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604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437" i="1" l="1"/>
  <c r="P4436" i="1"/>
  <c r="O4436" i="1"/>
  <c r="P4435" i="1"/>
  <c r="O4435" i="1"/>
  <c r="Q4434" i="1"/>
  <c r="P4434" i="1"/>
  <c r="O4434" i="1"/>
  <c r="I4434" i="1"/>
  <c r="Q4433" i="1"/>
  <c r="P4433" i="1"/>
  <c r="O4433" i="1"/>
  <c r="I4433" i="1"/>
  <c r="Q4432" i="1"/>
  <c r="P4432" i="1"/>
  <c r="O4432" i="1"/>
  <c r="I4432" i="1"/>
  <c r="Q4431" i="1"/>
  <c r="P4431" i="1"/>
  <c r="O4431" i="1"/>
  <c r="N4431" i="1"/>
  <c r="I4431" i="1"/>
  <c r="H4431" i="1"/>
  <c r="Q4430" i="1"/>
  <c r="P4430" i="1"/>
  <c r="O4430" i="1"/>
  <c r="N4430" i="1"/>
  <c r="I4430" i="1"/>
  <c r="H4430" i="1"/>
  <c r="Q4429" i="1"/>
  <c r="P4429" i="1"/>
  <c r="O4429" i="1"/>
  <c r="N4429" i="1"/>
  <c r="I4429" i="1"/>
  <c r="H4429" i="1"/>
  <c r="Q4428" i="1"/>
  <c r="P4428" i="1"/>
  <c r="O4428" i="1"/>
  <c r="N4428" i="1"/>
  <c r="I4428" i="1"/>
  <c r="H4428" i="1"/>
  <c r="V4427" i="1"/>
  <c r="Q4427" i="1"/>
  <c r="P4427" i="1"/>
  <c r="O4427" i="1"/>
  <c r="N4427" i="1"/>
  <c r="I4427" i="1"/>
  <c r="H4427" i="1"/>
  <c r="V4426" i="1"/>
  <c r="Q4426" i="1"/>
  <c r="P4426" i="1"/>
  <c r="O4426" i="1"/>
  <c r="N4426" i="1"/>
  <c r="I4426" i="1"/>
  <c r="H4426" i="1"/>
  <c r="V4425" i="1"/>
  <c r="Q4425" i="1"/>
  <c r="P4425" i="1"/>
  <c r="O4425" i="1"/>
  <c r="N4425" i="1"/>
  <c r="I4425" i="1"/>
  <c r="H4425" i="1"/>
  <c r="V4424" i="1"/>
  <c r="Q4424" i="1"/>
  <c r="P4424" i="1"/>
  <c r="O4424" i="1"/>
  <c r="N4424" i="1"/>
  <c r="I4424" i="1"/>
  <c r="H4424" i="1"/>
  <c r="V4423" i="1"/>
  <c r="Q4423" i="1"/>
  <c r="P4423" i="1"/>
  <c r="O4423" i="1"/>
  <c r="N4423" i="1"/>
  <c r="I4423" i="1"/>
  <c r="H4423" i="1"/>
  <c r="V4422" i="1"/>
  <c r="Q4422" i="1"/>
  <c r="P4422" i="1"/>
  <c r="O4422" i="1"/>
  <c r="N4422" i="1"/>
  <c r="I4422" i="1"/>
  <c r="H4422" i="1"/>
  <c r="V4421" i="1"/>
  <c r="Q4421" i="1"/>
  <c r="P4421" i="1"/>
  <c r="O4421" i="1"/>
  <c r="N4421" i="1"/>
  <c r="I4421" i="1"/>
  <c r="H4421" i="1"/>
  <c r="V4420" i="1"/>
  <c r="Q4420" i="1"/>
  <c r="P4420" i="1"/>
  <c r="O4420" i="1"/>
  <c r="N4420" i="1"/>
  <c r="I4420" i="1"/>
  <c r="H4420" i="1"/>
  <c r="V4419" i="1"/>
  <c r="Q4419" i="1"/>
  <c r="P4419" i="1"/>
  <c r="O4419" i="1"/>
  <c r="N4419" i="1"/>
  <c r="I4419" i="1"/>
  <c r="V4418" i="1"/>
  <c r="Q4418" i="1"/>
  <c r="P4418" i="1"/>
  <c r="O4418" i="1"/>
  <c r="N4418" i="1"/>
  <c r="I4418" i="1"/>
  <c r="V4417" i="1"/>
  <c r="Q4417" i="1"/>
  <c r="P4417" i="1"/>
  <c r="O4417" i="1"/>
  <c r="N4417" i="1"/>
  <c r="I4417" i="1"/>
  <c r="V4416" i="1"/>
  <c r="Q4416" i="1"/>
  <c r="P4416" i="1"/>
  <c r="O4416" i="1"/>
  <c r="N4416" i="1"/>
  <c r="I4416" i="1"/>
  <c r="V4415" i="1"/>
  <c r="Q4415" i="1"/>
  <c r="P4415" i="1"/>
  <c r="O4415" i="1"/>
  <c r="V4414" i="1"/>
  <c r="Q4414" i="1"/>
  <c r="P4414" i="1"/>
  <c r="O4414" i="1"/>
  <c r="V4413" i="1"/>
  <c r="Q4413" i="1"/>
  <c r="P4413" i="1"/>
  <c r="O4413" i="1"/>
  <c r="V4412" i="1"/>
  <c r="Q4412" i="1"/>
  <c r="P4412" i="1"/>
  <c r="O4412" i="1"/>
  <c r="V4411" i="1"/>
  <c r="Q4411" i="1"/>
  <c r="P4411" i="1"/>
  <c r="O4411" i="1"/>
  <c r="V4410" i="1"/>
  <c r="Q4410" i="1"/>
  <c r="P4410" i="1"/>
  <c r="O4410" i="1"/>
  <c r="V4409" i="1"/>
  <c r="Q4409" i="1"/>
  <c r="P4409" i="1"/>
  <c r="O4409" i="1"/>
  <c r="V4408" i="1"/>
  <c r="Q4408" i="1"/>
  <c r="P4408" i="1"/>
  <c r="O4408" i="1"/>
  <c r="V4407" i="1"/>
  <c r="Q4407" i="1"/>
  <c r="P4407" i="1"/>
  <c r="O4407" i="1"/>
  <c r="V4406" i="1"/>
  <c r="Q4406" i="1"/>
  <c r="P4406" i="1"/>
  <c r="O4406" i="1"/>
  <c r="V4405" i="1"/>
  <c r="Q4405" i="1"/>
  <c r="P4405" i="1"/>
  <c r="O4405" i="1"/>
  <c r="V4404" i="1"/>
  <c r="Q4404" i="1"/>
  <c r="P4404" i="1"/>
  <c r="O4404" i="1"/>
  <c r="V4403" i="1"/>
  <c r="Q4403" i="1"/>
  <c r="P4403" i="1"/>
  <c r="O4403" i="1"/>
  <c r="V4402" i="1"/>
  <c r="Q4402" i="1"/>
  <c r="P4402" i="1"/>
  <c r="O4402" i="1"/>
  <c r="V4401" i="1"/>
  <c r="Q4401" i="1"/>
  <c r="P4401" i="1"/>
  <c r="O4401" i="1"/>
  <c r="V4400" i="1"/>
  <c r="Q4400" i="1"/>
  <c r="P4400" i="1"/>
  <c r="O4400" i="1"/>
  <c r="V4399" i="1"/>
  <c r="Q4399" i="1"/>
  <c r="P4399" i="1"/>
  <c r="O4399" i="1"/>
  <c r="V4398" i="1"/>
  <c r="Q4398" i="1"/>
  <c r="P4398" i="1"/>
  <c r="O4398" i="1"/>
  <c r="V4397" i="1"/>
  <c r="Q4397" i="1"/>
  <c r="P4397" i="1"/>
  <c r="O4397" i="1"/>
  <c r="V4396" i="1"/>
  <c r="Q4396" i="1"/>
  <c r="P4396" i="1"/>
  <c r="O4396" i="1"/>
  <c r="V4395" i="1"/>
  <c r="Q4395" i="1"/>
  <c r="P4395" i="1"/>
  <c r="O4395" i="1"/>
  <c r="V4394" i="1"/>
  <c r="Q4394" i="1"/>
  <c r="P4394" i="1"/>
  <c r="O4394" i="1"/>
  <c r="V4393" i="1"/>
  <c r="Q4393" i="1"/>
  <c r="P4393" i="1"/>
  <c r="O4393" i="1"/>
  <c r="V4392" i="1"/>
  <c r="Q4392" i="1"/>
  <c r="P4392" i="1"/>
  <c r="O4392" i="1"/>
  <c r="V4391" i="1"/>
  <c r="Q4391" i="1"/>
  <c r="P4391" i="1"/>
  <c r="O4391" i="1"/>
  <c r="V4390" i="1"/>
  <c r="Q4390" i="1"/>
  <c r="P4390" i="1"/>
  <c r="O4390" i="1"/>
  <c r="V4389" i="1"/>
  <c r="Q4389" i="1"/>
  <c r="P4389" i="1"/>
  <c r="O4389" i="1"/>
  <c r="V4388" i="1"/>
  <c r="Q4388" i="1"/>
  <c r="P4388" i="1"/>
  <c r="O4388" i="1"/>
  <c r="V4387" i="1"/>
  <c r="Q4387" i="1"/>
  <c r="P4387" i="1"/>
  <c r="O4387" i="1"/>
  <c r="V4386" i="1"/>
  <c r="Q4386" i="1"/>
  <c r="P4386" i="1"/>
  <c r="O4386" i="1"/>
  <c r="V4385" i="1"/>
  <c r="Q4385" i="1"/>
  <c r="P4385" i="1"/>
  <c r="O4385" i="1"/>
  <c r="V4384" i="1"/>
  <c r="Q4384" i="1"/>
  <c r="P4384" i="1"/>
  <c r="O4384" i="1"/>
  <c r="V4383" i="1"/>
  <c r="Q4383" i="1"/>
  <c r="P4383" i="1"/>
  <c r="O4383" i="1"/>
  <c r="N4383" i="1"/>
  <c r="V4382" i="1"/>
  <c r="Q4382" i="1"/>
  <c r="P4382" i="1"/>
  <c r="O4382" i="1"/>
  <c r="N4382" i="1"/>
  <c r="V4381" i="1"/>
  <c r="Q4381" i="1"/>
  <c r="P4381" i="1"/>
  <c r="O4381" i="1"/>
  <c r="N4381" i="1"/>
  <c r="V4380" i="1"/>
  <c r="Q4380" i="1"/>
  <c r="P4380" i="1"/>
  <c r="O4380" i="1"/>
  <c r="N4380" i="1"/>
  <c r="V4379" i="1"/>
  <c r="Q4379" i="1"/>
  <c r="P4379" i="1"/>
  <c r="O4379" i="1"/>
  <c r="V4378" i="1"/>
  <c r="Q4378" i="1"/>
  <c r="P4378" i="1"/>
  <c r="O4378" i="1"/>
  <c r="V4377" i="1"/>
  <c r="Q4377" i="1"/>
  <c r="P4377" i="1"/>
  <c r="O4377" i="1"/>
  <c r="V4376" i="1"/>
  <c r="Q4376" i="1"/>
  <c r="P4376" i="1"/>
  <c r="O4376" i="1"/>
  <c r="V4375" i="1"/>
  <c r="Q4375" i="1"/>
  <c r="P4375" i="1"/>
  <c r="O4375" i="1"/>
  <c r="V4374" i="1"/>
  <c r="Q4374" i="1"/>
  <c r="P4374" i="1"/>
  <c r="O4374" i="1"/>
  <c r="V4373" i="1"/>
  <c r="Q4373" i="1"/>
  <c r="P4373" i="1"/>
  <c r="O4373" i="1"/>
  <c r="V4372" i="1"/>
  <c r="Q4372" i="1"/>
  <c r="P4372" i="1"/>
  <c r="O4372" i="1"/>
  <c r="V4371" i="1"/>
  <c r="Q4371" i="1"/>
  <c r="P4371" i="1"/>
  <c r="O4371" i="1"/>
  <c r="V4370" i="1"/>
  <c r="Q4370" i="1"/>
  <c r="P4370" i="1"/>
  <c r="O4370" i="1"/>
  <c r="V4369" i="1"/>
  <c r="Q4369" i="1"/>
  <c r="P4369" i="1"/>
  <c r="O4369" i="1"/>
  <c r="V4368" i="1"/>
  <c r="Q4368" i="1"/>
  <c r="P4368" i="1"/>
  <c r="O4368" i="1"/>
  <c r="V4367" i="1"/>
  <c r="Q4367" i="1"/>
  <c r="P4367" i="1"/>
  <c r="O4367" i="1"/>
  <c r="V4366" i="1"/>
  <c r="Q4366" i="1"/>
  <c r="P4366" i="1"/>
  <c r="O4366" i="1"/>
  <c r="V4365" i="1"/>
  <c r="Q4365" i="1"/>
  <c r="P4365" i="1"/>
  <c r="O4365" i="1"/>
  <c r="V4364" i="1"/>
  <c r="Q4364" i="1"/>
  <c r="P4364" i="1"/>
  <c r="O4364" i="1"/>
  <c r="V4363" i="1"/>
  <c r="Q4363" i="1"/>
  <c r="P4363" i="1"/>
  <c r="O4363" i="1"/>
  <c r="V4362" i="1"/>
  <c r="Q4362" i="1"/>
  <c r="P4362" i="1"/>
  <c r="O4362" i="1"/>
  <c r="V4361" i="1"/>
  <c r="Q4361" i="1"/>
  <c r="P4361" i="1"/>
  <c r="O4361" i="1"/>
  <c r="V4360" i="1"/>
  <c r="Q4360" i="1"/>
  <c r="P4360" i="1"/>
  <c r="O4360" i="1"/>
  <c r="V4359" i="1"/>
  <c r="Q4359" i="1"/>
  <c r="P4359" i="1"/>
  <c r="O4359" i="1"/>
  <c r="V4358" i="1"/>
  <c r="Q4358" i="1"/>
  <c r="P4358" i="1"/>
  <c r="O4358" i="1"/>
  <c r="V4357" i="1"/>
  <c r="Q4357" i="1"/>
  <c r="P4357" i="1"/>
  <c r="O4357" i="1"/>
  <c r="V4356" i="1"/>
  <c r="Q4356" i="1"/>
  <c r="P4356" i="1"/>
  <c r="O4356" i="1"/>
  <c r="V4355" i="1"/>
  <c r="Q4355" i="1"/>
  <c r="P4355" i="1"/>
  <c r="O4355" i="1"/>
  <c r="V4354" i="1"/>
  <c r="Q4354" i="1"/>
  <c r="P4354" i="1"/>
  <c r="O4354" i="1"/>
  <c r="V4353" i="1"/>
  <c r="Q4353" i="1"/>
  <c r="P4353" i="1"/>
  <c r="O4353" i="1"/>
  <c r="V4352" i="1"/>
  <c r="Q4352" i="1"/>
  <c r="P4352" i="1"/>
  <c r="O4352" i="1"/>
  <c r="V4351" i="1"/>
  <c r="Q4351" i="1"/>
  <c r="P4351" i="1"/>
  <c r="O4351" i="1"/>
  <c r="V4350" i="1"/>
  <c r="Q4350" i="1"/>
  <c r="P4350" i="1"/>
  <c r="O4350" i="1"/>
  <c r="V4349" i="1"/>
  <c r="Q4349" i="1"/>
  <c r="P4349" i="1"/>
  <c r="O4349" i="1"/>
  <c r="V4348" i="1"/>
  <c r="Q4348" i="1"/>
  <c r="P4348" i="1"/>
  <c r="O4348" i="1"/>
  <c r="V4347" i="1"/>
  <c r="Q4347" i="1"/>
  <c r="P4347" i="1"/>
  <c r="O4347" i="1"/>
  <c r="V4346" i="1"/>
  <c r="Q4346" i="1"/>
  <c r="P4346" i="1"/>
  <c r="O4346" i="1"/>
  <c r="V4345" i="1"/>
  <c r="Q4345" i="1"/>
  <c r="P4345" i="1"/>
  <c r="O4345" i="1"/>
  <c r="V4344" i="1"/>
  <c r="Q4344" i="1"/>
  <c r="P4344" i="1"/>
  <c r="O4344" i="1"/>
  <c r="V4343" i="1"/>
  <c r="Q4343" i="1"/>
  <c r="P4343" i="1"/>
  <c r="O4343" i="1"/>
  <c r="V4342" i="1"/>
  <c r="Q4342" i="1"/>
  <c r="P4342" i="1"/>
  <c r="O4342" i="1"/>
  <c r="V4341" i="1"/>
  <c r="Q4341" i="1"/>
  <c r="P4341" i="1"/>
  <c r="O4341" i="1"/>
  <c r="V4340" i="1"/>
  <c r="Q4340" i="1"/>
  <c r="P4340" i="1"/>
  <c r="O4340" i="1"/>
  <c r="V4339" i="1"/>
  <c r="Q4339" i="1"/>
  <c r="P4339" i="1"/>
  <c r="O4339" i="1"/>
  <c r="V4338" i="1"/>
  <c r="Q4338" i="1"/>
  <c r="P4338" i="1"/>
  <c r="O4338" i="1"/>
  <c r="V4337" i="1"/>
  <c r="Q4337" i="1"/>
  <c r="P4337" i="1"/>
  <c r="O4337" i="1"/>
  <c r="V4336" i="1"/>
  <c r="Q4336" i="1"/>
  <c r="P4336" i="1"/>
  <c r="O4336" i="1"/>
  <c r="V4335" i="1"/>
  <c r="Q4335" i="1"/>
  <c r="P4335" i="1"/>
  <c r="O4335" i="1"/>
  <c r="V4334" i="1"/>
  <c r="Q4334" i="1"/>
  <c r="P4334" i="1"/>
  <c r="O4334" i="1"/>
  <c r="V4333" i="1"/>
  <c r="Q4333" i="1"/>
  <c r="P4333" i="1"/>
  <c r="O4333" i="1"/>
  <c r="V4332" i="1"/>
  <c r="Q4332" i="1"/>
  <c r="P4332" i="1"/>
  <c r="O4332" i="1"/>
  <c r="V4331" i="1"/>
  <c r="Q4331" i="1"/>
  <c r="P4331" i="1"/>
  <c r="O4331" i="1"/>
  <c r="V4330" i="1"/>
  <c r="Q4330" i="1"/>
  <c r="P4330" i="1"/>
  <c r="O4330" i="1"/>
  <c r="V4329" i="1"/>
  <c r="Q4329" i="1"/>
  <c r="P4329" i="1"/>
  <c r="O4329" i="1"/>
  <c r="V4328" i="1"/>
  <c r="Q4328" i="1"/>
  <c r="P4328" i="1"/>
  <c r="O4328" i="1"/>
  <c r="V4327" i="1"/>
  <c r="Q4327" i="1"/>
  <c r="P4327" i="1"/>
  <c r="O4327" i="1"/>
  <c r="V4326" i="1"/>
  <c r="Q4326" i="1"/>
  <c r="P4326" i="1"/>
  <c r="O4326" i="1"/>
  <c r="V4325" i="1"/>
  <c r="Q4325" i="1"/>
  <c r="P4325" i="1"/>
  <c r="O4325" i="1"/>
  <c r="V4324" i="1"/>
  <c r="Q4324" i="1"/>
  <c r="P4324" i="1"/>
  <c r="O4324" i="1"/>
  <c r="V4323" i="1"/>
  <c r="Q4323" i="1"/>
  <c r="P4323" i="1"/>
  <c r="O4323" i="1"/>
  <c r="V4322" i="1"/>
  <c r="Q4322" i="1"/>
  <c r="P4322" i="1"/>
  <c r="O4322" i="1"/>
  <c r="V4321" i="1"/>
  <c r="Q4321" i="1"/>
  <c r="P4321" i="1"/>
  <c r="O4321" i="1"/>
  <c r="V4320" i="1"/>
  <c r="Q4320" i="1"/>
  <c r="P4320" i="1"/>
  <c r="O4320" i="1"/>
  <c r="V4319" i="1"/>
  <c r="Q4319" i="1"/>
  <c r="P4319" i="1"/>
  <c r="O4319" i="1"/>
  <c r="V4318" i="1"/>
  <c r="Q4318" i="1"/>
  <c r="P4318" i="1"/>
  <c r="O4318" i="1"/>
  <c r="V4317" i="1"/>
  <c r="Q4317" i="1"/>
  <c r="P4317" i="1"/>
  <c r="O4317" i="1"/>
  <c r="V4316" i="1"/>
  <c r="Q4316" i="1"/>
  <c r="P4316" i="1"/>
  <c r="O4316" i="1"/>
  <c r="V4315" i="1"/>
  <c r="Q4315" i="1"/>
  <c r="P4315" i="1"/>
  <c r="O4315" i="1"/>
  <c r="V4314" i="1"/>
  <c r="Q4314" i="1"/>
  <c r="P4314" i="1"/>
  <c r="O4314" i="1"/>
  <c r="V4313" i="1"/>
  <c r="Q4313" i="1"/>
  <c r="P4313" i="1"/>
  <c r="O4313" i="1"/>
  <c r="V4312" i="1"/>
  <c r="Q4312" i="1"/>
  <c r="P4312" i="1"/>
  <c r="O4312" i="1"/>
  <c r="V4311" i="1"/>
  <c r="Q4311" i="1"/>
  <c r="P4311" i="1"/>
  <c r="O4311" i="1"/>
  <c r="V4310" i="1"/>
  <c r="Q4310" i="1"/>
  <c r="P4310" i="1"/>
  <c r="O4310" i="1"/>
  <c r="Q4309" i="1"/>
  <c r="P4309" i="1"/>
  <c r="O4309" i="1"/>
  <c r="Q4308" i="1"/>
  <c r="P4308" i="1"/>
  <c r="O4308" i="1"/>
  <c r="Q4307" i="1"/>
  <c r="P4307" i="1"/>
  <c r="O4307" i="1"/>
  <c r="Q4306" i="1"/>
  <c r="P4306" i="1"/>
  <c r="O4306" i="1"/>
  <c r="Q4305" i="1"/>
  <c r="P4305" i="1"/>
  <c r="O4305" i="1"/>
  <c r="Q4304" i="1"/>
  <c r="P4304" i="1"/>
  <c r="O4304" i="1"/>
  <c r="Q4303" i="1"/>
  <c r="P4303" i="1"/>
  <c r="O4303" i="1"/>
  <c r="P4302" i="1"/>
  <c r="O4302" i="1"/>
  <c r="P4301" i="1"/>
  <c r="O4301" i="1"/>
  <c r="P4300" i="1"/>
  <c r="O4300" i="1"/>
  <c r="P4299" i="1"/>
  <c r="O4299" i="1"/>
  <c r="P4298" i="1"/>
  <c r="O4298" i="1"/>
  <c r="P4297" i="1"/>
  <c r="O4297" i="1"/>
  <c r="P4296" i="1"/>
  <c r="O4296" i="1"/>
  <c r="P4295" i="1"/>
  <c r="O4295" i="1"/>
  <c r="P4294" i="1"/>
  <c r="O4294" i="1"/>
  <c r="P4293" i="1"/>
  <c r="O4293" i="1"/>
  <c r="P4292" i="1"/>
  <c r="O4292" i="1"/>
  <c r="P4291" i="1"/>
  <c r="O4291" i="1"/>
  <c r="P4290" i="1"/>
  <c r="O4290" i="1"/>
  <c r="P4289" i="1"/>
  <c r="O4289" i="1"/>
  <c r="P4288" i="1"/>
  <c r="O4288" i="1"/>
  <c r="P4287" i="1"/>
  <c r="O4287" i="1"/>
  <c r="P4286" i="1"/>
  <c r="O4286" i="1"/>
  <c r="P4285" i="1"/>
  <c r="O4285" i="1"/>
  <c r="P4284" i="1"/>
  <c r="O4284" i="1"/>
  <c r="P4283" i="1"/>
  <c r="O4283" i="1"/>
  <c r="P4282" i="1"/>
  <c r="O4282" i="1"/>
  <c r="P4281" i="1"/>
  <c r="O4281" i="1"/>
  <c r="P4280" i="1"/>
  <c r="O4280" i="1"/>
  <c r="Q4279" i="1"/>
  <c r="P4279" i="1"/>
  <c r="O4279" i="1"/>
  <c r="Q4278" i="1"/>
  <c r="P4278" i="1"/>
  <c r="O4278" i="1"/>
  <c r="Q4277" i="1"/>
  <c r="P4277" i="1"/>
  <c r="O4277" i="1"/>
  <c r="V4276" i="1"/>
  <c r="Q4276" i="1"/>
  <c r="P4276" i="1"/>
  <c r="O4276" i="1"/>
  <c r="V4275" i="1"/>
  <c r="Q4275" i="1"/>
  <c r="P4275" i="1"/>
  <c r="O4275" i="1"/>
  <c r="V4274" i="1"/>
  <c r="Q4274" i="1"/>
  <c r="P4274" i="1"/>
  <c r="O4274" i="1"/>
  <c r="V4273" i="1"/>
  <c r="Q4273" i="1"/>
  <c r="P4273" i="1"/>
  <c r="O4273" i="1"/>
  <c r="V4272" i="1"/>
  <c r="Q4272" i="1"/>
  <c r="P4272" i="1"/>
  <c r="O4272" i="1"/>
  <c r="V4271" i="1"/>
  <c r="Q4271" i="1"/>
  <c r="P4271" i="1"/>
  <c r="O4271" i="1"/>
  <c r="V4270" i="1"/>
  <c r="Q4270" i="1"/>
  <c r="P4270" i="1"/>
  <c r="O4270" i="1"/>
  <c r="V4269" i="1"/>
  <c r="Q4269" i="1"/>
  <c r="P4269" i="1"/>
  <c r="O4269" i="1"/>
  <c r="N4269" i="1"/>
  <c r="V4268" i="1"/>
  <c r="Q4268" i="1"/>
  <c r="P4268" i="1"/>
  <c r="O4268" i="1"/>
  <c r="N4268" i="1"/>
  <c r="I4268" i="1"/>
  <c r="V4267" i="1"/>
  <c r="Q4267" i="1"/>
  <c r="P4267" i="1"/>
  <c r="O4267" i="1"/>
  <c r="N4267" i="1"/>
  <c r="I4267" i="1"/>
  <c r="H4267" i="1"/>
  <c r="V4266" i="1"/>
  <c r="Q4266" i="1"/>
  <c r="P4266" i="1"/>
  <c r="O4266" i="1"/>
  <c r="N4266" i="1"/>
  <c r="I4266" i="1"/>
  <c r="H4266" i="1"/>
  <c r="V4265" i="1"/>
  <c r="Q4265" i="1"/>
  <c r="P4265" i="1"/>
  <c r="O4265" i="1"/>
  <c r="N4265" i="1"/>
  <c r="I4265" i="1"/>
  <c r="H4265" i="1"/>
  <c r="V4264" i="1"/>
  <c r="Q4264" i="1"/>
  <c r="P4264" i="1"/>
  <c r="O4264" i="1"/>
  <c r="N4264" i="1"/>
  <c r="I4264" i="1"/>
  <c r="H4264" i="1"/>
  <c r="V4263" i="1"/>
  <c r="Q4263" i="1"/>
  <c r="P4263" i="1"/>
  <c r="O4263" i="1"/>
  <c r="N4263" i="1"/>
  <c r="I4263" i="1"/>
  <c r="H4263" i="1"/>
  <c r="V4262" i="1"/>
  <c r="Q4262" i="1"/>
  <c r="P4262" i="1"/>
  <c r="O4262" i="1"/>
  <c r="N4262" i="1"/>
  <c r="I4262" i="1"/>
  <c r="H4262" i="1"/>
  <c r="V4261" i="1"/>
  <c r="Q4261" i="1"/>
  <c r="P4261" i="1"/>
  <c r="O4261" i="1"/>
  <c r="N4261" i="1"/>
  <c r="I4261" i="1"/>
  <c r="H4261" i="1"/>
  <c r="G4261" i="1"/>
  <c r="V4260" i="1"/>
  <c r="Q4260" i="1"/>
  <c r="P4260" i="1"/>
  <c r="O4260" i="1"/>
  <c r="N4260" i="1"/>
  <c r="I4260" i="1"/>
  <c r="H4260" i="1"/>
  <c r="G4260" i="1"/>
  <c r="V4259" i="1"/>
  <c r="Q4259" i="1"/>
  <c r="P4259" i="1"/>
  <c r="O4259" i="1"/>
  <c r="N4259" i="1"/>
  <c r="I4259" i="1"/>
  <c r="H4259" i="1"/>
  <c r="G4259" i="1"/>
  <c r="V4258" i="1"/>
  <c r="Q4258" i="1"/>
  <c r="P4258" i="1"/>
  <c r="O4258" i="1"/>
  <c r="N4258" i="1"/>
  <c r="I4258" i="1"/>
  <c r="H4258" i="1"/>
  <c r="G4258" i="1"/>
  <c r="V4257" i="1"/>
  <c r="Q4257" i="1"/>
  <c r="P4257" i="1"/>
  <c r="O4257" i="1"/>
  <c r="N4257" i="1"/>
  <c r="I4257" i="1"/>
  <c r="H4257" i="1"/>
  <c r="G4257" i="1"/>
  <c r="V4256" i="1"/>
  <c r="Q4256" i="1"/>
  <c r="P4256" i="1"/>
  <c r="O4256" i="1"/>
  <c r="N4256" i="1"/>
  <c r="I4256" i="1"/>
  <c r="H4256" i="1"/>
  <c r="G4256" i="1"/>
  <c r="V4255" i="1"/>
  <c r="Q4255" i="1"/>
  <c r="P4255" i="1"/>
  <c r="O4255" i="1"/>
  <c r="N4255" i="1"/>
  <c r="I4255" i="1"/>
  <c r="H4255" i="1"/>
  <c r="G4255" i="1"/>
  <c r="V4254" i="1"/>
  <c r="Q4254" i="1"/>
  <c r="P4254" i="1"/>
  <c r="O4254" i="1"/>
  <c r="N4254" i="1"/>
  <c r="I4254" i="1"/>
  <c r="H4254" i="1"/>
  <c r="G4254" i="1"/>
  <c r="V4253" i="1"/>
  <c r="Q4253" i="1"/>
  <c r="P4253" i="1"/>
  <c r="O4253" i="1"/>
  <c r="N4253" i="1"/>
  <c r="I4253" i="1"/>
  <c r="H4253" i="1"/>
  <c r="G4253" i="1"/>
  <c r="V4252" i="1"/>
  <c r="Q4252" i="1"/>
  <c r="P4252" i="1"/>
  <c r="O4252" i="1"/>
  <c r="N4252" i="1"/>
  <c r="I4252" i="1"/>
  <c r="H4252" i="1"/>
  <c r="G4252" i="1"/>
  <c r="V4251" i="1"/>
  <c r="Q4251" i="1"/>
  <c r="P4251" i="1"/>
  <c r="O4251" i="1"/>
  <c r="N4251" i="1"/>
  <c r="I4251" i="1"/>
  <c r="H4251" i="1"/>
  <c r="G4251" i="1"/>
  <c r="V4250" i="1"/>
  <c r="Q4250" i="1"/>
  <c r="P4250" i="1"/>
  <c r="O4250" i="1"/>
  <c r="N4250" i="1"/>
  <c r="I4250" i="1"/>
  <c r="H4250" i="1"/>
  <c r="G4250" i="1"/>
  <c r="V4249" i="1"/>
  <c r="Q4249" i="1"/>
  <c r="P4249" i="1"/>
  <c r="O4249" i="1"/>
  <c r="N4249" i="1"/>
  <c r="I4249" i="1"/>
  <c r="H4249" i="1"/>
  <c r="G4249" i="1"/>
  <c r="V4248" i="1"/>
  <c r="Q4248" i="1"/>
  <c r="P4248" i="1"/>
  <c r="O4248" i="1"/>
  <c r="N4248" i="1"/>
  <c r="I4248" i="1"/>
  <c r="H4248" i="1"/>
  <c r="G4248" i="1"/>
  <c r="V4247" i="1"/>
  <c r="Q4247" i="1"/>
  <c r="P4247" i="1"/>
  <c r="O4247" i="1"/>
  <c r="N4247" i="1"/>
  <c r="I4247" i="1"/>
  <c r="H4247" i="1"/>
  <c r="G4247" i="1"/>
  <c r="V4246" i="1"/>
  <c r="Q4246" i="1"/>
  <c r="P4246" i="1"/>
  <c r="O4246" i="1"/>
  <c r="N4246" i="1"/>
  <c r="I4246" i="1"/>
  <c r="H4246" i="1"/>
  <c r="G4246" i="1"/>
  <c r="V4245" i="1"/>
  <c r="Q4245" i="1"/>
  <c r="P4245" i="1"/>
  <c r="O4245" i="1"/>
  <c r="N4245" i="1"/>
  <c r="I4245" i="1"/>
  <c r="H4245" i="1"/>
  <c r="G4245" i="1"/>
  <c r="V4244" i="1"/>
  <c r="Q4244" i="1"/>
  <c r="P4244" i="1"/>
  <c r="O4244" i="1"/>
  <c r="N4244" i="1"/>
  <c r="I4244" i="1"/>
  <c r="H4244" i="1"/>
  <c r="G4244" i="1"/>
  <c r="V4243" i="1"/>
  <c r="Q4243" i="1"/>
  <c r="P4243" i="1"/>
  <c r="O4243" i="1"/>
  <c r="N4243" i="1"/>
  <c r="I4243" i="1"/>
  <c r="H4243" i="1"/>
  <c r="G4243" i="1"/>
  <c r="V4242" i="1"/>
  <c r="Q4242" i="1"/>
  <c r="P4242" i="1"/>
  <c r="O4242" i="1"/>
  <c r="N4242" i="1"/>
  <c r="I4242" i="1"/>
  <c r="H4242" i="1"/>
  <c r="G4242" i="1"/>
  <c r="V4241" i="1"/>
  <c r="Q4241" i="1"/>
  <c r="P4241" i="1"/>
  <c r="O4241" i="1"/>
  <c r="N4241" i="1"/>
  <c r="I4241" i="1"/>
  <c r="H4241" i="1"/>
  <c r="G4241" i="1"/>
  <c r="V4240" i="1"/>
  <c r="Q4240" i="1"/>
  <c r="P4240" i="1"/>
  <c r="O4240" i="1"/>
  <c r="N4240" i="1"/>
  <c r="I4240" i="1"/>
  <c r="H4240" i="1"/>
  <c r="G4240" i="1"/>
  <c r="V4239" i="1"/>
  <c r="Q4239" i="1"/>
  <c r="P4239" i="1"/>
  <c r="O4239" i="1"/>
  <c r="N4239" i="1"/>
  <c r="I4239" i="1"/>
  <c r="H4239" i="1"/>
  <c r="G4239" i="1"/>
  <c r="V4238" i="1"/>
  <c r="Q4238" i="1"/>
  <c r="P4238" i="1"/>
  <c r="O4238" i="1"/>
  <c r="N4238" i="1"/>
  <c r="I4238" i="1"/>
  <c r="H4238" i="1"/>
  <c r="G4238" i="1"/>
  <c r="V4237" i="1"/>
  <c r="Q4237" i="1"/>
  <c r="P4237" i="1"/>
  <c r="O4237" i="1"/>
  <c r="N4237" i="1"/>
  <c r="I4237" i="1"/>
  <c r="H4237" i="1"/>
  <c r="G4237" i="1"/>
  <c r="V4236" i="1"/>
  <c r="Q4236" i="1"/>
  <c r="P4236" i="1"/>
  <c r="O4236" i="1"/>
  <c r="N4236" i="1"/>
  <c r="I4236" i="1"/>
  <c r="H4236" i="1"/>
  <c r="G4236" i="1"/>
  <c r="V4235" i="1"/>
  <c r="Q4235" i="1"/>
  <c r="P4235" i="1"/>
  <c r="O4235" i="1"/>
  <c r="N4235" i="1"/>
  <c r="I4235" i="1"/>
  <c r="H4235" i="1"/>
  <c r="G4235" i="1"/>
  <c r="V4234" i="1"/>
  <c r="Q4234" i="1"/>
  <c r="P4234" i="1"/>
  <c r="O4234" i="1"/>
  <c r="N4234" i="1"/>
  <c r="I4234" i="1"/>
  <c r="H4234" i="1"/>
  <c r="G4234" i="1"/>
  <c r="V4233" i="1"/>
  <c r="Q4233" i="1"/>
  <c r="P4233" i="1"/>
  <c r="O4233" i="1"/>
  <c r="N4233" i="1"/>
  <c r="I4233" i="1"/>
  <c r="H4233" i="1"/>
  <c r="G4233" i="1"/>
  <c r="V4232" i="1"/>
  <c r="Q4232" i="1"/>
  <c r="P4232" i="1"/>
  <c r="O4232" i="1"/>
  <c r="N4232" i="1"/>
  <c r="I4232" i="1"/>
  <c r="H4232" i="1"/>
  <c r="G4232" i="1"/>
  <c r="V4231" i="1"/>
  <c r="Q4231" i="1"/>
  <c r="P4231" i="1"/>
  <c r="O4231" i="1"/>
  <c r="N4231" i="1"/>
  <c r="I4231" i="1"/>
  <c r="H4231" i="1"/>
  <c r="G4231" i="1"/>
  <c r="V4230" i="1"/>
  <c r="Q4230" i="1"/>
  <c r="P4230" i="1"/>
  <c r="O4230" i="1"/>
  <c r="N4230" i="1"/>
  <c r="I4230" i="1"/>
  <c r="H4230" i="1"/>
  <c r="G4230" i="1"/>
  <c r="V4229" i="1"/>
  <c r="Q4229" i="1"/>
  <c r="P4229" i="1"/>
  <c r="O4229" i="1"/>
  <c r="N4229" i="1"/>
  <c r="I4229" i="1"/>
  <c r="H4229" i="1"/>
  <c r="G4229" i="1"/>
  <c r="V4228" i="1"/>
  <c r="Q4228" i="1"/>
  <c r="P4228" i="1"/>
  <c r="O4228" i="1"/>
  <c r="N4228" i="1"/>
  <c r="I4228" i="1"/>
  <c r="H4228" i="1"/>
  <c r="G4228" i="1"/>
  <c r="V4227" i="1"/>
  <c r="Q4227" i="1"/>
  <c r="P4227" i="1"/>
  <c r="O4227" i="1"/>
  <c r="N4227" i="1"/>
  <c r="I4227" i="1"/>
  <c r="H4227" i="1"/>
  <c r="G4227" i="1"/>
  <c r="V4226" i="1"/>
  <c r="Q4226" i="1"/>
  <c r="P4226" i="1"/>
  <c r="O4226" i="1"/>
  <c r="N4226" i="1"/>
  <c r="I4226" i="1"/>
  <c r="H4226" i="1"/>
  <c r="V4225" i="1"/>
  <c r="Q4225" i="1"/>
  <c r="P4225" i="1"/>
  <c r="O4225" i="1"/>
  <c r="N4225" i="1"/>
  <c r="I4225" i="1"/>
  <c r="H4225" i="1"/>
  <c r="V4224" i="1"/>
  <c r="Q4224" i="1"/>
  <c r="P4224" i="1"/>
  <c r="O4224" i="1"/>
  <c r="N4224" i="1"/>
  <c r="I4224" i="1"/>
  <c r="H4224" i="1"/>
  <c r="G4224" i="1"/>
  <c r="V4223" i="1"/>
  <c r="Q4223" i="1"/>
  <c r="P4223" i="1"/>
  <c r="O4223" i="1"/>
  <c r="N4223" i="1"/>
  <c r="I4223" i="1"/>
  <c r="H4223" i="1"/>
  <c r="G4223" i="1"/>
  <c r="V4222" i="1"/>
  <c r="Q4222" i="1"/>
  <c r="P4222" i="1"/>
  <c r="O4222" i="1"/>
  <c r="N4222" i="1"/>
  <c r="I4222" i="1"/>
  <c r="H4222" i="1"/>
  <c r="G4222" i="1"/>
  <c r="V4221" i="1"/>
  <c r="Q4221" i="1"/>
  <c r="P4221" i="1"/>
  <c r="O4221" i="1"/>
  <c r="N4221" i="1"/>
  <c r="I4221" i="1"/>
  <c r="H4221" i="1"/>
  <c r="G4221" i="1"/>
  <c r="V4220" i="1"/>
  <c r="Q4220" i="1"/>
  <c r="P4220" i="1"/>
  <c r="O4220" i="1"/>
  <c r="N4220" i="1"/>
  <c r="I4220" i="1"/>
  <c r="H4220" i="1"/>
  <c r="G4220" i="1"/>
  <c r="V4219" i="1"/>
  <c r="Q4219" i="1"/>
  <c r="P4219" i="1"/>
  <c r="O4219" i="1"/>
  <c r="N4219" i="1"/>
  <c r="I4219" i="1"/>
  <c r="H4219" i="1"/>
  <c r="G4219" i="1"/>
  <c r="V4218" i="1"/>
  <c r="Q4218" i="1"/>
  <c r="P4218" i="1"/>
  <c r="O4218" i="1"/>
  <c r="N4218" i="1"/>
  <c r="I4218" i="1"/>
  <c r="H4218" i="1"/>
  <c r="G4218" i="1"/>
  <c r="V4217" i="1"/>
  <c r="Q4217" i="1"/>
  <c r="P4217" i="1"/>
  <c r="O4217" i="1"/>
  <c r="N4217" i="1"/>
  <c r="I4217" i="1"/>
  <c r="H4217" i="1"/>
  <c r="G4217" i="1"/>
  <c r="V4216" i="1"/>
  <c r="Q4216" i="1"/>
  <c r="P4216" i="1"/>
  <c r="O4216" i="1"/>
  <c r="N4216" i="1"/>
  <c r="I4216" i="1"/>
  <c r="H4216" i="1"/>
  <c r="G4216" i="1"/>
  <c r="V4215" i="1"/>
  <c r="Q4215" i="1"/>
  <c r="P4215" i="1"/>
  <c r="O4215" i="1"/>
  <c r="N4215" i="1"/>
  <c r="I4215" i="1"/>
  <c r="H4215" i="1"/>
  <c r="G4215" i="1"/>
  <c r="V4214" i="1"/>
  <c r="Q4214" i="1"/>
  <c r="P4214" i="1"/>
  <c r="O4214" i="1"/>
  <c r="N4214" i="1"/>
  <c r="I4214" i="1"/>
  <c r="H4214" i="1"/>
  <c r="G4214" i="1"/>
  <c r="V4213" i="1"/>
  <c r="Q4213" i="1"/>
  <c r="P4213" i="1"/>
  <c r="O4213" i="1"/>
  <c r="N4213" i="1"/>
  <c r="I4213" i="1"/>
  <c r="H4213" i="1"/>
  <c r="G4213" i="1"/>
  <c r="V4212" i="1"/>
  <c r="Q4212" i="1"/>
  <c r="P4212" i="1"/>
  <c r="O4212" i="1"/>
  <c r="N4212" i="1"/>
  <c r="I4212" i="1"/>
  <c r="H4212" i="1"/>
  <c r="G4212" i="1"/>
  <c r="V4211" i="1"/>
  <c r="Q4211" i="1"/>
  <c r="P4211" i="1"/>
  <c r="O4211" i="1"/>
  <c r="N4211" i="1"/>
  <c r="J4211" i="1"/>
  <c r="I4211" i="1"/>
  <c r="H4211" i="1"/>
  <c r="G4211" i="1"/>
  <c r="V4210" i="1"/>
  <c r="Q4210" i="1"/>
  <c r="P4210" i="1"/>
  <c r="O4210" i="1"/>
  <c r="N4210" i="1"/>
  <c r="J4210" i="1"/>
  <c r="I4210" i="1"/>
  <c r="H4210" i="1"/>
  <c r="G4210" i="1"/>
  <c r="V4209" i="1"/>
  <c r="Q4209" i="1"/>
  <c r="P4209" i="1"/>
  <c r="O4209" i="1"/>
  <c r="N4209" i="1"/>
  <c r="J4209" i="1"/>
  <c r="I4209" i="1"/>
  <c r="H4209" i="1"/>
  <c r="G4209" i="1"/>
  <c r="V4208" i="1"/>
  <c r="Q4208" i="1"/>
  <c r="P4208" i="1"/>
  <c r="O4208" i="1"/>
  <c r="N4208" i="1"/>
  <c r="J4208" i="1"/>
  <c r="I4208" i="1"/>
  <c r="H4208" i="1"/>
  <c r="G4208" i="1"/>
  <c r="V4207" i="1"/>
  <c r="Q4207" i="1"/>
  <c r="P4207" i="1"/>
  <c r="O4207" i="1"/>
  <c r="N4207" i="1"/>
  <c r="J4207" i="1"/>
  <c r="I4207" i="1"/>
  <c r="H4207" i="1"/>
  <c r="G4207" i="1"/>
  <c r="V4206" i="1"/>
  <c r="Q4206" i="1"/>
  <c r="P4206" i="1"/>
  <c r="O4206" i="1"/>
  <c r="N4206" i="1"/>
  <c r="J4206" i="1"/>
  <c r="I4206" i="1"/>
  <c r="H4206" i="1"/>
  <c r="G4206" i="1"/>
  <c r="V4205" i="1"/>
  <c r="Q4205" i="1"/>
  <c r="P4205" i="1"/>
  <c r="O4205" i="1"/>
  <c r="N4205" i="1"/>
  <c r="J4205" i="1"/>
  <c r="I4205" i="1"/>
  <c r="H4205" i="1"/>
  <c r="G4205" i="1"/>
  <c r="V4204" i="1"/>
  <c r="Q4204" i="1"/>
  <c r="P4204" i="1"/>
  <c r="O4204" i="1"/>
  <c r="N4204" i="1"/>
  <c r="J4204" i="1"/>
  <c r="I4204" i="1"/>
  <c r="H4204" i="1"/>
  <c r="G4204" i="1"/>
  <c r="V4203" i="1"/>
  <c r="Q4203" i="1"/>
  <c r="P4203" i="1"/>
  <c r="O4203" i="1"/>
  <c r="N4203" i="1"/>
  <c r="J4203" i="1"/>
  <c r="I4203" i="1"/>
  <c r="H4203" i="1"/>
  <c r="G4203" i="1"/>
  <c r="V4202" i="1"/>
  <c r="Q4202" i="1"/>
  <c r="P4202" i="1"/>
  <c r="O4202" i="1"/>
  <c r="N4202" i="1"/>
  <c r="J4202" i="1"/>
  <c r="I4202" i="1"/>
  <c r="H4202" i="1"/>
  <c r="G4202" i="1"/>
  <c r="V4201" i="1"/>
  <c r="Q4201" i="1"/>
  <c r="P4201" i="1"/>
  <c r="O4201" i="1"/>
  <c r="N4201" i="1"/>
  <c r="J4201" i="1"/>
  <c r="I4201" i="1"/>
  <c r="H4201" i="1"/>
  <c r="G4201" i="1"/>
  <c r="V4200" i="1"/>
  <c r="Q4200" i="1"/>
  <c r="P4200" i="1"/>
  <c r="O4200" i="1"/>
  <c r="N4200" i="1"/>
  <c r="J4200" i="1"/>
  <c r="I4200" i="1"/>
  <c r="H4200" i="1"/>
  <c r="G4200" i="1"/>
  <c r="V4199" i="1"/>
  <c r="Q4199" i="1"/>
  <c r="P4199" i="1"/>
  <c r="O4199" i="1"/>
  <c r="N4199" i="1"/>
  <c r="J4199" i="1"/>
  <c r="I4199" i="1"/>
  <c r="H4199" i="1"/>
  <c r="G4199" i="1"/>
  <c r="V4198" i="1"/>
  <c r="Q4198" i="1"/>
  <c r="P4198" i="1"/>
  <c r="O4198" i="1"/>
  <c r="N4198" i="1"/>
  <c r="J4198" i="1"/>
  <c r="I4198" i="1"/>
  <c r="H4198" i="1"/>
  <c r="G4198" i="1"/>
  <c r="V4197" i="1"/>
  <c r="Q4197" i="1"/>
  <c r="P4197" i="1"/>
  <c r="O4197" i="1"/>
  <c r="N4197" i="1"/>
  <c r="J4197" i="1"/>
  <c r="I4197" i="1"/>
  <c r="H4197" i="1"/>
  <c r="G4197" i="1"/>
  <c r="V4196" i="1"/>
  <c r="Q4196" i="1"/>
  <c r="P4196" i="1"/>
  <c r="O4196" i="1"/>
  <c r="N4196" i="1"/>
  <c r="J4196" i="1"/>
  <c r="I4196" i="1"/>
  <c r="H4196" i="1"/>
  <c r="G4196" i="1"/>
  <c r="V4195" i="1"/>
  <c r="Q4195" i="1"/>
  <c r="P4195" i="1"/>
  <c r="O4195" i="1"/>
  <c r="N4195" i="1"/>
  <c r="J4195" i="1"/>
  <c r="I4195" i="1"/>
  <c r="H4195" i="1"/>
  <c r="G4195" i="1"/>
  <c r="V4194" i="1"/>
  <c r="Q4194" i="1"/>
  <c r="P4194" i="1"/>
  <c r="O4194" i="1"/>
  <c r="N4194" i="1"/>
  <c r="J4194" i="1"/>
  <c r="I4194" i="1"/>
  <c r="H4194" i="1"/>
  <c r="G4194" i="1"/>
  <c r="V4193" i="1"/>
  <c r="Q4193" i="1"/>
  <c r="P4193" i="1"/>
  <c r="O4193" i="1"/>
  <c r="N4193" i="1"/>
  <c r="J4193" i="1"/>
  <c r="I4193" i="1"/>
  <c r="H4193" i="1"/>
  <c r="G4193" i="1"/>
  <c r="V4192" i="1"/>
  <c r="Q4192" i="1"/>
  <c r="P4192" i="1"/>
  <c r="O4192" i="1"/>
  <c r="N4192" i="1"/>
  <c r="J4192" i="1"/>
  <c r="I4192" i="1"/>
  <c r="H4192" i="1"/>
  <c r="G4192" i="1"/>
  <c r="V4191" i="1"/>
  <c r="Q4191" i="1"/>
  <c r="P4191" i="1"/>
  <c r="O4191" i="1"/>
  <c r="N4191" i="1"/>
  <c r="J4191" i="1"/>
  <c r="I4191" i="1"/>
  <c r="H4191" i="1"/>
  <c r="G4191" i="1"/>
  <c r="V4190" i="1"/>
  <c r="Q4190" i="1"/>
  <c r="P4190" i="1"/>
  <c r="O4190" i="1"/>
  <c r="N4190" i="1"/>
  <c r="J4190" i="1"/>
  <c r="I4190" i="1"/>
  <c r="H4190" i="1"/>
  <c r="G4190" i="1"/>
  <c r="V4189" i="1"/>
  <c r="Q4189" i="1"/>
  <c r="P4189" i="1"/>
  <c r="O4189" i="1"/>
  <c r="N4189" i="1"/>
  <c r="J4189" i="1"/>
  <c r="I4189" i="1"/>
  <c r="H4189" i="1"/>
  <c r="G4189" i="1"/>
  <c r="V4188" i="1"/>
  <c r="Q4188" i="1"/>
  <c r="P4188" i="1"/>
  <c r="O4188" i="1"/>
  <c r="N4188" i="1"/>
  <c r="J4188" i="1"/>
  <c r="I4188" i="1"/>
  <c r="H4188" i="1"/>
  <c r="G4188" i="1"/>
  <c r="V4187" i="1"/>
  <c r="Q4187" i="1"/>
  <c r="P4187" i="1"/>
  <c r="O4187" i="1"/>
  <c r="N4187" i="1"/>
  <c r="J4187" i="1"/>
  <c r="I4187" i="1"/>
  <c r="H4187" i="1"/>
  <c r="G4187" i="1"/>
  <c r="V4186" i="1"/>
  <c r="Q4186" i="1"/>
  <c r="P4186" i="1"/>
  <c r="O4186" i="1"/>
  <c r="N4186" i="1"/>
  <c r="J4186" i="1"/>
  <c r="I4186" i="1"/>
  <c r="H4186" i="1"/>
  <c r="G4186" i="1"/>
  <c r="V4185" i="1"/>
  <c r="Q4185" i="1"/>
  <c r="P4185" i="1"/>
  <c r="O4185" i="1"/>
  <c r="N4185" i="1"/>
  <c r="J4185" i="1"/>
  <c r="I4185" i="1"/>
  <c r="H4185" i="1"/>
  <c r="G4185" i="1"/>
  <c r="V4184" i="1"/>
  <c r="Q4184" i="1"/>
  <c r="P4184" i="1"/>
  <c r="O4184" i="1"/>
  <c r="N4184" i="1"/>
  <c r="J4184" i="1"/>
  <c r="I4184" i="1"/>
  <c r="H4184" i="1"/>
  <c r="G4184" i="1"/>
  <c r="V4183" i="1"/>
  <c r="Q4183" i="1"/>
  <c r="P4183" i="1"/>
  <c r="O4183" i="1"/>
  <c r="N4183" i="1"/>
  <c r="J4183" i="1"/>
  <c r="I4183" i="1"/>
  <c r="H4183" i="1"/>
  <c r="G4183" i="1"/>
  <c r="V4182" i="1"/>
  <c r="Q4182" i="1"/>
  <c r="P4182" i="1"/>
  <c r="O4182" i="1"/>
  <c r="N4182" i="1"/>
  <c r="J4182" i="1"/>
  <c r="I4182" i="1"/>
  <c r="H4182" i="1"/>
  <c r="G4182" i="1"/>
  <c r="V4181" i="1"/>
  <c r="Q4181" i="1"/>
  <c r="P4181" i="1"/>
  <c r="O4181" i="1"/>
  <c r="N4181" i="1"/>
  <c r="J4181" i="1"/>
  <c r="I4181" i="1"/>
  <c r="H4181" i="1"/>
  <c r="G4181" i="1"/>
  <c r="V4180" i="1"/>
  <c r="Q4180" i="1"/>
  <c r="P4180" i="1"/>
  <c r="O4180" i="1"/>
  <c r="N4180" i="1"/>
  <c r="J4180" i="1"/>
  <c r="I4180" i="1"/>
  <c r="H4180" i="1"/>
  <c r="G4180" i="1"/>
  <c r="V4179" i="1"/>
  <c r="Q4179" i="1"/>
  <c r="P4179" i="1"/>
  <c r="O4179" i="1"/>
  <c r="N4179" i="1"/>
  <c r="J4179" i="1"/>
  <c r="I4179" i="1"/>
  <c r="H4179" i="1"/>
  <c r="G4179" i="1"/>
  <c r="V4178" i="1"/>
  <c r="Q4178" i="1"/>
  <c r="P4178" i="1"/>
  <c r="O4178" i="1"/>
  <c r="N4178" i="1"/>
  <c r="J4178" i="1"/>
  <c r="I4178" i="1"/>
  <c r="H4178" i="1"/>
  <c r="G4178" i="1"/>
  <c r="V4177" i="1"/>
  <c r="Q4177" i="1"/>
  <c r="P4177" i="1"/>
  <c r="O4177" i="1"/>
  <c r="N4177" i="1"/>
  <c r="J4177" i="1"/>
  <c r="I4177" i="1"/>
  <c r="H4177" i="1"/>
  <c r="G4177" i="1"/>
  <c r="V4176" i="1"/>
  <c r="Q4176" i="1"/>
  <c r="P4176" i="1"/>
  <c r="O4176" i="1"/>
  <c r="N4176" i="1"/>
  <c r="J4176" i="1"/>
  <c r="I4176" i="1"/>
  <c r="H4176" i="1"/>
  <c r="G4176" i="1"/>
  <c r="V4175" i="1"/>
  <c r="Q4175" i="1"/>
  <c r="P4175" i="1"/>
  <c r="O4175" i="1"/>
  <c r="N4175" i="1"/>
  <c r="J4175" i="1"/>
  <c r="I4175" i="1"/>
  <c r="H4175" i="1"/>
  <c r="G4175" i="1"/>
  <c r="V4174" i="1"/>
  <c r="Q4174" i="1"/>
  <c r="P4174" i="1"/>
  <c r="O4174" i="1"/>
  <c r="N4174" i="1"/>
  <c r="J4174" i="1"/>
  <c r="I4174" i="1"/>
  <c r="H4174" i="1"/>
  <c r="G4174" i="1"/>
  <c r="V4173" i="1"/>
  <c r="Q4173" i="1"/>
  <c r="P4173" i="1"/>
  <c r="O4173" i="1"/>
  <c r="N4173" i="1"/>
  <c r="J4173" i="1"/>
  <c r="I4173" i="1"/>
  <c r="H4173" i="1"/>
  <c r="G4173" i="1"/>
  <c r="V4172" i="1"/>
  <c r="Q4172" i="1"/>
  <c r="P4172" i="1"/>
  <c r="O4172" i="1"/>
  <c r="N4172" i="1"/>
  <c r="J4172" i="1"/>
  <c r="I4172" i="1"/>
  <c r="H4172" i="1"/>
  <c r="G4172" i="1"/>
  <c r="V4171" i="1"/>
  <c r="Q4171" i="1"/>
  <c r="P4171" i="1"/>
  <c r="O4171" i="1"/>
  <c r="N4171" i="1"/>
  <c r="J4171" i="1"/>
  <c r="I4171" i="1"/>
  <c r="H4171" i="1"/>
  <c r="G4171" i="1"/>
  <c r="V4170" i="1"/>
  <c r="Q4170" i="1"/>
  <c r="P4170" i="1"/>
  <c r="O4170" i="1"/>
  <c r="N4170" i="1"/>
  <c r="J4170" i="1"/>
  <c r="I4170" i="1"/>
  <c r="H4170" i="1"/>
  <c r="G4170" i="1"/>
  <c r="V4169" i="1"/>
  <c r="Q4169" i="1"/>
  <c r="P4169" i="1"/>
  <c r="O4169" i="1"/>
  <c r="N4169" i="1"/>
  <c r="J4169" i="1"/>
  <c r="I4169" i="1"/>
  <c r="H4169" i="1"/>
  <c r="G4169" i="1"/>
  <c r="V4168" i="1"/>
  <c r="Q4168" i="1"/>
  <c r="P4168" i="1"/>
  <c r="O4168" i="1"/>
  <c r="N4168" i="1"/>
  <c r="J4168" i="1"/>
  <c r="I4168" i="1"/>
  <c r="H4168" i="1"/>
  <c r="G4168" i="1"/>
  <c r="V4167" i="1"/>
  <c r="Q4167" i="1"/>
  <c r="P4167" i="1"/>
  <c r="O4167" i="1"/>
  <c r="N4167" i="1"/>
  <c r="J4167" i="1"/>
  <c r="I4167" i="1"/>
  <c r="H4167" i="1"/>
  <c r="G4167" i="1"/>
  <c r="V4166" i="1"/>
  <c r="Q4166" i="1"/>
  <c r="P4166" i="1"/>
  <c r="O4166" i="1"/>
  <c r="N4166" i="1"/>
  <c r="I4166" i="1"/>
  <c r="H4166" i="1"/>
  <c r="G4166" i="1"/>
  <c r="V4165" i="1"/>
  <c r="Q4165" i="1"/>
  <c r="P4165" i="1"/>
  <c r="O4165" i="1"/>
  <c r="N4165" i="1"/>
  <c r="I4165" i="1"/>
  <c r="H4165" i="1"/>
  <c r="G4165" i="1"/>
  <c r="V4164" i="1"/>
  <c r="Q4164" i="1"/>
  <c r="P4164" i="1"/>
  <c r="O4164" i="1"/>
  <c r="N4164" i="1"/>
  <c r="I4164" i="1"/>
  <c r="H4164" i="1"/>
  <c r="G4164" i="1"/>
  <c r="V4163" i="1"/>
  <c r="Q4163" i="1"/>
  <c r="P4163" i="1"/>
  <c r="O4163" i="1"/>
  <c r="N4163" i="1"/>
  <c r="I4163" i="1"/>
  <c r="H4163" i="1"/>
  <c r="G4163" i="1"/>
  <c r="V4162" i="1"/>
  <c r="Q4162" i="1"/>
  <c r="P4162" i="1"/>
  <c r="O4162" i="1"/>
  <c r="N4162" i="1"/>
  <c r="I4162" i="1"/>
  <c r="H4162" i="1"/>
  <c r="G4162" i="1"/>
  <c r="V4161" i="1"/>
  <c r="Q4161" i="1"/>
  <c r="P4161" i="1"/>
  <c r="O4161" i="1"/>
  <c r="N4161" i="1"/>
  <c r="I4161" i="1"/>
  <c r="H4161" i="1"/>
  <c r="G4161" i="1"/>
  <c r="V4160" i="1"/>
  <c r="Q4160" i="1"/>
  <c r="P4160" i="1"/>
  <c r="O4160" i="1"/>
  <c r="N4160" i="1"/>
  <c r="I4160" i="1"/>
  <c r="H4160" i="1"/>
  <c r="G4160" i="1"/>
  <c r="V4159" i="1"/>
  <c r="Q4159" i="1"/>
  <c r="P4159" i="1"/>
  <c r="O4159" i="1"/>
  <c r="N4159" i="1"/>
  <c r="I4159" i="1"/>
  <c r="H4159" i="1"/>
  <c r="G4159" i="1"/>
  <c r="V4158" i="1"/>
  <c r="Q4158" i="1"/>
  <c r="P4158" i="1"/>
  <c r="O4158" i="1"/>
  <c r="N4158" i="1"/>
  <c r="I4158" i="1"/>
  <c r="H4158" i="1"/>
  <c r="G4158" i="1"/>
  <c r="V4157" i="1"/>
  <c r="Q4157" i="1"/>
  <c r="P4157" i="1"/>
  <c r="O4157" i="1"/>
  <c r="N4157" i="1"/>
  <c r="I4157" i="1"/>
  <c r="H4157" i="1"/>
  <c r="G4157" i="1"/>
  <c r="V4156" i="1"/>
  <c r="Q4156" i="1"/>
  <c r="P4156" i="1"/>
  <c r="O4156" i="1"/>
  <c r="N4156" i="1"/>
  <c r="I4156" i="1"/>
  <c r="H4156" i="1"/>
  <c r="G4156" i="1"/>
  <c r="V4155" i="1"/>
  <c r="Q4155" i="1"/>
  <c r="P4155" i="1"/>
  <c r="O4155" i="1"/>
  <c r="N4155" i="1"/>
  <c r="I4155" i="1"/>
  <c r="H4155" i="1"/>
  <c r="G4155" i="1"/>
  <c r="V4154" i="1"/>
  <c r="Q4154" i="1"/>
  <c r="P4154" i="1"/>
  <c r="O4154" i="1"/>
  <c r="N4154" i="1"/>
  <c r="I4154" i="1"/>
  <c r="H4154" i="1"/>
  <c r="G4154" i="1"/>
  <c r="V4153" i="1"/>
  <c r="Q4153" i="1"/>
  <c r="P4153" i="1"/>
  <c r="O4153" i="1"/>
  <c r="N4153" i="1"/>
  <c r="I4153" i="1"/>
  <c r="H4153" i="1"/>
  <c r="G4153" i="1"/>
  <c r="V4152" i="1"/>
  <c r="Q4152" i="1"/>
  <c r="P4152" i="1"/>
  <c r="O4152" i="1"/>
  <c r="N4152" i="1"/>
  <c r="I4152" i="1"/>
  <c r="H4152" i="1"/>
  <c r="G4152" i="1"/>
  <c r="V4151" i="1"/>
  <c r="Q4151" i="1"/>
  <c r="P4151" i="1"/>
  <c r="O4151" i="1"/>
  <c r="N4151" i="1"/>
  <c r="I4151" i="1"/>
  <c r="H4151" i="1"/>
  <c r="V4150" i="1"/>
  <c r="Q4150" i="1"/>
  <c r="P4150" i="1"/>
  <c r="O4150" i="1"/>
  <c r="N4150" i="1"/>
  <c r="I4150" i="1"/>
  <c r="H4150" i="1"/>
  <c r="V4149" i="1"/>
  <c r="Q4149" i="1"/>
  <c r="P4149" i="1"/>
  <c r="O4149" i="1"/>
  <c r="N4149" i="1"/>
  <c r="I4149" i="1"/>
  <c r="H4149" i="1"/>
  <c r="V4148" i="1"/>
  <c r="Q4148" i="1"/>
  <c r="P4148" i="1"/>
  <c r="O4148" i="1"/>
  <c r="N4148" i="1"/>
  <c r="I4148" i="1"/>
  <c r="H4148" i="1"/>
  <c r="V4147" i="1"/>
  <c r="Q4147" i="1"/>
  <c r="P4147" i="1"/>
  <c r="O4147" i="1"/>
  <c r="N4147" i="1"/>
  <c r="I4147" i="1"/>
  <c r="H4147" i="1"/>
  <c r="G4147" i="1"/>
  <c r="V4146" i="1"/>
  <c r="Q4146" i="1"/>
  <c r="P4146" i="1"/>
  <c r="O4146" i="1"/>
  <c r="N4146" i="1"/>
  <c r="I4146" i="1"/>
  <c r="H4146" i="1"/>
  <c r="G4146" i="1"/>
  <c r="V4145" i="1"/>
  <c r="Q4145" i="1"/>
  <c r="P4145" i="1"/>
  <c r="O4145" i="1"/>
  <c r="N4145" i="1"/>
  <c r="I4145" i="1"/>
  <c r="H4145" i="1"/>
  <c r="G4145" i="1"/>
  <c r="V4144" i="1"/>
  <c r="Q4144" i="1"/>
  <c r="P4144" i="1"/>
  <c r="O4144" i="1"/>
  <c r="N4144" i="1"/>
  <c r="I4144" i="1"/>
  <c r="H4144" i="1"/>
  <c r="G4144" i="1"/>
  <c r="V4143" i="1"/>
  <c r="Q4143" i="1"/>
  <c r="P4143" i="1"/>
  <c r="O4143" i="1"/>
  <c r="N4143" i="1"/>
  <c r="I4143" i="1"/>
  <c r="H4143" i="1"/>
  <c r="G4143" i="1"/>
  <c r="V4142" i="1"/>
  <c r="Q4142" i="1"/>
  <c r="P4142" i="1"/>
  <c r="O4142" i="1"/>
  <c r="N4142" i="1"/>
  <c r="I4142" i="1"/>
  <c r="H4142" i="1"/>
  <c r="G4142" i="1"/>
  <c r="V4141" i="1"/>
  <c r="Q4141" i="1"/>
  <c r="P4141" i="1"/>
  <c r="O4141" i="1"/>
  <c r="N4141" i="1"/>
  <c r="I4141" i="1"/>
  <c r="H4141" i="1"/>
  <c r="G4141" i="1"/>
  <c r="V4140" i="1"/>
  <c r="Q4140" i="1"/>
  <c r="P4140" i="1"/>
  <c r="O4140" i="1"/>
  <c r="N4140" i="1"/>
  <c r="I4140" i="1"/>
  <c r="H4140" i="1"/>
  <c r="G4140" i="1"/>
  <c r="V4139" i="1"/>
  <c r="Q4139" i="1"/>
  <c r="P4139" i="1"/>
  <c r="O4139" i="1"/>
  <c r="N4139" i="1"/>
  <c r="I4139" i="1"/>
  <c r="H4139" i="1"/>
  <c r="G4139" i="1"/>
  <c r="V4138" i="1"/>
  <c r="Q4138" i="1"/>
  <c r="P4138" i="1"/>
  <c r="O4138" i="1"/>
  <c r="N4138" i="1"/>
  <c r="I4138" i="1"/>
  <c r="H4138" i="1"/>
  <c r="G4138" i="1"/>
  <c r="V4137" i="1"/>
  <c r="Q4137" i="1"/>
  <c r="P4137" i="1"/>
  <c r="O4137" i="1"/>
  <c r="N4137" i="1"/>
  <c r="I4137" i="1"/>
  <c r="H4137" i="1"/>
  <c r="G4137" i="1"/>
  <c r="V4136" i="1"/>
  <c r="Q4136" i="1"/>
  <c r="P4136" i="1"/>
  <c r="O4136" i="1"/>
  <c r="N4136" i="1"/>
  <c r="I4136" i="1"/>
  <c r="H4136" i="1"/>
  <c r="G4136" i="1"/>
  <c r="V4135" i="1"/>
  <c r="Q4135" i="1"/>
  <c r="P4135" i="1"/>
  <c r="O4135" i="1"/>
  <c r="N4135" i="1"/>
  <c r="I4135" i="1"/>
  <c r="H4135" i="1"/>
  <c r="G4135" i="1"/>
  <c r="V4134" i="1"/>
  <c r="Q4134" i="1"/>
  <c r="P4134" i="1"/>
  <c r="O4134" i="1"/>
  <c r="N4134" i="1"/>
  <c r="I4134" i="1"/>
  <c r="H4134" i="1"/>
  <c r="G4134" i="1"/>
  <c r="V4133" i="1"/>
  <c r="Q4133" i="1"/>
  <c r="P4133" i="1"/>
  <c r="O4133" i="1"/>
  <c r="N4133" i="1"/>
  <c r="I4133" i="1"/>
  <c r="H4133" i="1"/>
  <c r="G4133" i="1"/>
  <c r="V4132" i="1"/>
  <c r="Q4132" i="1"/>
  <c r="P4132" i="1"/>
  <c r="O4132" i="1"/>
  <c r="N4132" i="1"/>
  <c r="I4132" i="1"/>
  <c r="H4132" i="1"/>
  <c r="G4132" i="1"/>
  <c r="V4131" i="1"/>
  <c r="Q4131" i="1"/>
  <c r="P4131" i="1"/>
  <c r="O4131" i="1"/>
  <c r="N4131" i="1"/>
  <c r="J4131" i="1"/>
  <c r="I4131" i="1"/>
  <c r="H4131" i="1"/>
  <c r="G4131" i="1"/>
  <c r="V4130" i="1"/>
  <c r="Q4130" i="1"/>
  <c r="P4130" i="1"/>
  <c r="O4130" i="1"/>
  <c r="N4130" i="1"/>
  <c r="J4130" i="1"/>
  <c r="I4130" i="1"/>
  <c r="H4130" i="1"/>
  <c r="G4130" i="1"/>
  <c r="V4129" i="1"/>
  <c r="Q4129" i="1"/>
  <c r="P4129" i="1"/>
  <c r="O4129" i="1"/>
  <c r="N4129" i="1"/>
  <c r="J4129" i="1"/>
  <c r="I4129" i="1"/>
  <c r="H4129" i="1"/>
  <c r="G4129" i="1"/>
  <c r="V4128" i="1"/>
  <c r="Q4128" i="1"/>
  <c r="P4128" i="1"/>
  <c r="O4128" i="1"/>
  <c r="N4128" i="1"/>
  <c r="J4128" i="1"/>
  <c r="I4128" i="1"/>
  <c r="H4128" i="1"/>
  <c r="G4128" i="1"/>
  <c r="V4127" i="1"/>
  <c r="Q4127" i="1"/>
  <c r="P4127" i="1"/>
  <c r="O4127" i="1"/>
  <c r="N4127" i="1"/>
  <c r="J4127" i="1"/>
  <c r="I4127" i="1"/>
  <c r="H4127" i="1"/>
  <c r="G4127" i="1"/>
  <c r="V4126" i="1"/>
  <c r="Q4126" i="1"/>
  <c r="P4126" i="1"/>
  <c r="O4126" i="1"/>
  <c r="N4126" i="1"/>
  <c r="J4126" i="1"/>
  <c r="I4126" i="1"/>
  <c r="H4126" i="1"/>
  <c r="G4126" i="1"/>
  <c r="V4125" i="1"/>
  <c r="Q4125" i="1"/>
  <c r="P4125" i="1"/>
  <c r="O4125" i="1"/>
  <c r="N4125" i="1"/>
  <c r="J4125" i="1"/>
  <c r="I4125" i="1"/>
  <c r="H4125" i="1"/>
  <c r="G4125" i="1"/>
  <c r="F4125" i="1"/>
  <c r="V4124" i="1"/>
  <c r="Q4124" i="1"/>
  <c r="P4124" i="1"/>
  <c r="O4124" i="1"/>
  <c r="N4124" i="1"/>
  <c r="J4124" i="1"/>
  <c r="I4124" i="1"/>
  <c r="H4124" i="1"/>
  <c r="G4124" i="1"/>
  <c r="F4124" i="1"/>
  <c r="V4123" i="1"/>
  <c r="Q4123" i="1"/>
  <c r="P4123" i="1"/>
  <c r="O4123" i="1"/>
  <c r="N4123" i="1"/>
  <c r="J4123" i="1"/>
  <c r="I4123" i="1"/>
  <c r="H4123" i="1"/>
  <c r="G4123" i="1"/>
  <c r="F4123" i="1"/>
  <c r="V4122" i="1"/>
  <c r="Q4122" i="1"/>
  <c r="P4122" i="1"/>
  <c r="O4122" i="1"/>
  <c r="N4122" i="1"/>
  <c r="J4122" i="1"/>
  <c r="I4122" i="1"/>
  <c r="H4122" i="1"/>
  <c r="G4122" i="1"/>
  <c r="F4122" i="1"/>
  <c r="V4121" i="1"/>
  <c r="Q4121" i="1"/>
  <c r="P4121" i="1"/>
  <c r="O4121" i="1"/>
  <c r="N4121" i="1"/>
  <c r="J4121" i="1"/>
  <c r="I4121" i="1"/>
  <c r="H4121" i="1"/>
  <c r="G4121" i="1"/>
  <c r="F4121" i="1"/>
  <c r="V4120" i="1"/>
  <c r="Q4120" i="1"/>
  <c r="P4120" i="1"/>
  <c r="O4120" i="1"/>
  <c r="N4120" i="1"/>
  <c r="J4120" i="1"/>
  <c r="I4120" i="1"/>
  <c r="H4120" i="1"/>
  <c r="G4120" i="1"/>
  <c r="F4120" i="1"/>
  <c r="V4119" i="1"/>
  <c r="Q4119" i="1"/>
  <c r="P4119" i="1"/>
  <c r="O4119" i="1"/>
  <c r="N4119" i="1"/>
  <c r="J4119" i="1"/>
  <c r="I4119" i="1"/>
  <c r="H4119" i="1"/>
  <c r="G4119" i="1"/>
  <c r="V4118" i="1"/>
  <c r="Q4118" i="1"/>
  <c r="P4118" i="1"/>
  <c r="O4118" i="1"/>
  <c r="N4118" i="1"/>
  <c r="J4118" i="1"/>
  <c r="I4118" i="1"/>
  <c r="H4118" i="1"/>
  <c r="G4118" i="1"/>
  <c r="V4117" i="1"/>
  <c r="Q4117" i="1"/>
  <c r="P4117" i="1"/>
  <c r="O4117" i="1"/>
  <c r="N4117" i="1"/>
  <c r="J4117" i="1"/>
  <c r="I4117" i="1"/>
  <c r="H4117" i="1"/>
  <c r="G4117" i="1"/>
  <c r="V4116" i="1"/>
  <c r="Q4116" i="1"/>
  <c r="P4116" i="1"/>
  <c r="O4116" i="1"/>
  <c r="N4116" i="1"/>
  <c r="J4116" i="1"/>
  <c r="I4116" i="1"/>
  <c r="H4116" i="1"/>
  <c r="G4116" i="1"/>
  <c r="V4115" i="1"/>
  <c r="Q4115" i="1"/>
  <c r="P4115" i="1"/>
  <c r="O4115" i="1"/>
  <c r="N4115" i="1"/>
  <c r="J4115" i="1"/>
  <c r="I4115" i="1"/>
  <c r="H4115" i="1"/>
  <c r="G4115" i="1"/>
  <c r="V4114" i="1"/>
  <c r="Q4114" i="1"/>
  <c r="P4114" i="1"/>
  <c r="O4114" i="1"/>
  <c r="N4114" i="1"/>
  <c r="J4114" i="1"/>
  <c r="I4114" i="1"/>
  <c r="H4114" i="1"/>
  <c r="G4114" i="1"/>
  <c r="V4113" i="1"/>
  <c r="Q4113" i="1"/>
  <c r="P4113" i="1"/>
  <c r="O4113" i="1"/>
  <c r="N4113" i="1"/>
  <c r="J4113" i="1"/>
  <c r="I4113" i="1"/>
  <c r="H4113" i="1"/>
  <c r="G4113" i="1"/>
  <c r="V4112" i="1"/>
  <c r="Q4112" i="1"/>
  <c r="P4112" i="1"/>
  <c r="O4112" i="1"/>
  <c r="N4112" i="1"/>
  <c r="J4112" i="1"/>
  <c r="I4112" i="1"/>
  <c r="H4112" i="1"/>
  <c r="G4112" i="1"/>
  <c r="V4111" i="1"/>
  <c r="Q4111" i="1"/>
  <c r="P4111" i="1"/>
  <c r="O4111" i="1"/>
  <c r="N4111" i="1"/>
  <c r="J4111" i="1"/>
  <c r="I4111" i="1"/>
  <c r="H4111" i="1"/>
  <c r="G4111" i="1"/>
  <c r="V4110" i="1"/>
  <c r="Q4110" i="1"/>
  <c r="P4110" i="1"/>
  <c r="O4110" i="1"/>
  <c r="N4110" i="1"/>
  <c r="J4110" i="1"/>
  <c r="I4110" i="1"/>
  <c r="H4110" i="1"/>
  <c r="G4110" i="1"/>
  <c r="V4109" i="1"/>
  <c r="Q4109" i="1"/>
  <c r="P4109" i="1"/>
  <c r="O4109" i="1"/>
  <c r="N4109" i="1"/>
  <c r="I4109" i="1"/>
  <c r="H4109" i="1"/>
  <c r="G4109" i="1"/>
  <c r="V4108" i="1"/>
  <c r="Q4108" i="1"/>
  <c r="P4108" i="1"/>
  <c r="O4108" i="1"/>
  <c r="N4108" i="1"/>
  <c r="I4108" i="1"/>
  <c r="H4108" i="1"/>
  <c r="G4108" i="1"/>
  <c r="V4107" i="1"/>
  <c r="Q4107" i="1"/>
  <c r="P4107" i="1"/>
  <c r="O4107" i="1"/>
  <c r="N4107" i="1"/>
  <c r="I4107" i="1"/>
  <c r="H4107" i="1"/>
  <c r="G4107" i="1"/>
  <c r="V4106" i="1"/>
  <c r="Q4106" i="1"/>
  <c r="P4106" i="1"/>
  <c r="O4106" i="1"/>
  <c r="N4106" i="1"/>
  <c r="I4106" i="1"/>
  <c r="H4106" i="1"/>
  <c r="G4106" i="1"/>
  <c r="V4105" i="1"/>
  <c r="Q4105" i="1"/>
  <c r="P4105" i="1"/>
  <c r="O4105" i="1"/>
  <c r="N4105" i="1"/>
  <c r="I4105" i="1"/>
  <c r="H4105" i="1"/>
  <c r="G4105" i="1"/>
  <c r="V4104" i="1"/>
  <c r="Q4104" i="1"/>
  <c r="P4104" i="1"/>
  <c r="O4104" i="1"/>
  <c r="N4104" i="1"/>
  <c r="I4104" i="1"/>
  <c r="H4104" i="1"/>
  <c r="G4104" i="1"/>
  <c r="V4103" i="1"/>
  <c r="Q4103" i="1"/>
  <c r="P4103" i="1"/>
  <c r="O4103" i="1"/>
  <c r="N4103" i="1"/>
  <c r="I4103" i="1"/>
  <c r="H4103" i="1"/>
  <c r="G4103" i="1"/>
  <c r="V4102" i="1"/>
  <c r="Q4102" i="1"/>
  <c r="P4102" i="1"/>
  <c r="O4102" i="1"/>
  <c r="N4102" i="1"/>
  <c r="I4102" i="1"/>
  <c r="H4102" i="1"/>
  <c r="G4102" i="1"/>
  <c r="V4101" i="1"/>
  <c r="Q4101" i="1"/>
  <c r="P4101" i="1"/>
  <c r="O4101" i="1"/>
  <c r="N4101" i="1"/>
  <c r="I4101" i="1"/>
  <c r="H4101" i="1"/>
  <c r="G4101" i="1"/>
  <c r="V4100" i="1"/>
  <c r="Q4100" i="1"/>
  <c r="P4100" i="1"/>
  <c r="O4100" i="1"/>
  <c r="N4100" i="1"/>
  <c r="I4100" i="1"/>
  <c r="H4100" i="1"/>
  <c r="G4100" i="1"/>
  <c r="V4099" i="1"/>
  <c r="Q4099" i="1"/>
  <c r="P4099" i="1"/>
  <c r="O4099" i="1"/>
  <c r="N4099" i="1"/>
  <c r="I4099" i="1"/>
  <c r="H4099" i="1"/>
  <c r="G4099" i="1"/>
  <c r="V4098" i="1"/>
  <c r="Q4098" i="1"/>
  <c r="P4098" i="1"/>
  <c r="O4098" i="1"/>
  <c r="N4098" i="1"/>
  <c r="I4098" i="1"/>
  <c r="H4098" i="1"/>
  <c r="G4098" i="1"/>
  <c r="V4097" i="1"/>
  <c r="Q4097" i="1"/>
  <c r="P4097" i="1"/>
  <c r="O4097" i="1"/>
  <c r="N4097" i="1"/>
  <c r="I4097" i="1"/>
  <c r="H4097" i="1"/>
  <c r="G4097" i="1"/>
  <c r="V4096" i="1"/>
  <c r="Q4096" i="1"/>
  <c r="P4096" i="1"/>
  <c r="O4096" i="1"/>
  <c r="N4096" i="1"/>
  <c r="I4096" i="1"/>
  <c r="H4096" i="1"/>
  <c r="G4096" i="1"/>
  <c r="V4095" i="1"/>
  <c r="Q4095" i="1"/>
  <c r="P4095" i="1"/>
  <c r="O4095" i="1"/>
  <c r="N4095" i="1"/>
  <c r="I4095" i="1"/>
  <c r="H4095" i="1"/>
  <c r="G4095" i="1"/>
  <c r="V4094" i="1"/>
  <c r="Q4094" i="1"/>
  <c r="P4094" i="1"/>
  <c r="O4094" i="1"/>
  <c r="N4094" i="1"/>
  <c r="I4094" i="1"/>
  <c r="H4094" i="1"/>
  <c r="G4094" i="1"/>
  <c r="V4093" i="1"/>
  <c r="Q4093" i="1"/>
  <c r="P4093" i="1"/>
  <c r="O4093" i="1"/>
  <c r="N4093" i="1"/>
  <c r="I4093" i="1"/>
  <c r="H4093" i="1"/>
  <c r="G4093" i="1"/>
  <c r="V4092" i="1"/>
  <c r="Q4092" i="1"/>
  <c r="P4092" i="1"/>
  <c r="O4092" i="1"/>
  <c r="N4092" i="1"/>
  <c r="J4092" i="1"/>
  <c r="I4092" i="1"/>
  <c r="H4092" i="1"/>
  <c r="G4092" i="1"/>
  <c r="V4091" i="1"/>
  <c r="Q4091" i="1"/>
  <c r="P4091" i="1"/>
  <c r="O4091" i="1"/>
  <c r="N4091" i="1"/>
  <c r="J4091" i="1"/>
  <c r="I4091" i="1"/>
  <c r="H4091" i="1"/>
  <c r="G4091" i="1"/>
  <c r="V4090" i="1"/>
  <c r="Q4090" i="1"/>
  <c r="P4090" i="1"/>
  <c r="O4090" i="1"/>
  <c r="N4090" i="1"/>
  <c r="J4090" i="1"/>
  <c r="I4090" i="1"/>
  <c r="H4090" i="1"/>
  <c r="G4090" i="1"/>
  <c r="V4089" i="1"/>
  <c r="Q4089" i="1"/>
  <c r="P4089" i="1"/>
  <c r="O4089" i="1"/>
  <c r="N4089" i="1"/>
  <c r="J4089" i="1"/>
  <c r="I4089" i="1"/>
  <c r="H4089" i="1"/>
  <c r="G4089" i="1"/>
  <c r="V4088" i="1"/>
  <c r="Q4088" i="1"/>
  <c r="P4088" i="1"/>
  <c r="O4088" i="1"/>
  <c r="N4088" i="1"/>
  <c r="J4088" i="1"/>
  <c r="I4088" i="1"/>
  <c r="H4088" i="1"/>
  <c r="G4088" i="1"/>
  <c r="V4087" i="1"/>
  <c r="Q4087" i="1"/>
  <c r="P4087" i="1"/>
  <c r="O4087" i="1"/>
  <c r="N4087" i="1"/>
  <c r="J4087" i="1"/>
  <c r="I4087" i="1"/>
  <c r="H4087" i="1"/>
  <c r="G4087" i="1"/>
  <c r="V4086" i="1"/>
  <c r="Q4086" i="1"/>
  <c r="P4086" i="1"/>
  <c r="O4086" i="1"/>
  <c r="N4086" i="1"/>
  <c r="J4086" i="1"/>
  <c r="I4086" i="1"/>
  <c r="H4086" i="1"/>
  <c r="G4086" i="1"/>
  <c r="V4085" i="1"/>
  <c r="Q4085" i="1"/>
  <c r="P4085" i="1"/>
  <c r="O4085" i="1"/>
  <c r="N4085" i="1"/>
  <c r="J4085" i="1"/>
  <c r="I4085" i="1"/>
  <c r="H4085" i="1"/>
  <c r="G4085" i="1"/>
  <c r="F4085" i="1"/>
  <c r="V4084" i="1"/>
  <c r="Q4084" i="1"/>
  <c r="P4084" i="1"/>
  <c r="O4084" i="1"/>
  <c r="N4084" i="1"/>
  <c r="J4084" i="1"/>
  <c r="I4084" i="1"/>
  <c r="H4084" i="1"/>
  <c r="G4084" i="1"/>
  <c r="F4084" i="1"/>
  <c r="V4083" i="1"/>
  <c r="Q4083" i="1"/>
  <c r="P4083" i="1"/>
  <c r="O4083" i="1"/>
  <c r="N4083" i="1"/>
  <c r="J4083" i="1"/>
  <c r="I4083" i="1"/>
  <c r="H4083" i="1"/>
  <c r="G4083" i="1"/>
  <c r="F4083" i="1"/>
  <c r="V4082" i="1"/>
  <c r="Q4082" i="1"/>
  <c r="P4082" i="1"/>
  <c r="O4082" i="1"/>
  <c r="N4082" i="1"/>
  <c r="J4082" i="1"/>
  <c r="I4082" i="1"/>
  <c r="H4082" i="1"/>
  <c r="G4082" i="1"/>
  <c r="F4082" i="1"/>
  <c r="V4081" i="1"/>
  <c r="Q4081" i="1"/>
  <c r="P4081" i="1"/>
  <c r="O4081" i="1"/>
  <c r="N4081" i="1"/>
  <c r="J4081" i="1"/>
  <c r="I4081" i="1"/>
  <c r="H4081" i="1"/>
  <c r="G4081" i="1"/>
  <c r="F4081" i="1"/>
  <c r="V4080" i="1"/>
  <c r="Q4080" i="1"/>
  <c r="P4080" i="1"/>
  <c r="O4080" i="1"/>
  <c r="N4080" i="1"/>
  <c r="J4080" i="1"/>
  <c r="I4080" i="1"/>
  <c r="H4080" i="1"/>
  <c r="G4080" i="1"/>
  <c r="F4080" i="1"/>
  <c r="V4079" i="1"/>
  <c r="Q4079" i="1"/>
  <c r="P4079" i="1"/>
  <c r="O4079" i="1"/>
  <c r="N4079" i="1"/>
  <c r="J4079" i="1"/>
  <c r="I4079" i="1"/>
  <c r="H4079" i="1"/>
  <c r="G4079" i="1"/>
  <c r="F4079" i="1"/>
  <c r="V4078" i="1"/>
  <c r="Q4078" i="1"/>
  <c r="P4078" i="1"/>
  <c r="O4078" i="1"/>
  <c r="N4078" i="1"/>
  <c r="J4078" i="1"/>
  <c r="I4078" i="1"/>
  <c r="H4078" i="1"/>
  <c r="G4078" i="1"/>
  <c r="F4078" i="1"/>
  <c r="V4077" i="1"/>
  <c r="Q4077" i="1"/>
  <c r="P4077" i="1"/>
  <c r="O4077" i="1"/>
  <c r="N4077" i="1"/>
  <c r="J4077" i="1"/>
  <c r="I4077" i="1"/>
  <c r="H4077" i="1"/>
  <c r="G4077" i="1"/>
  <c r="F4077" i="1"/>
  <c r="V4076" i="1"/>
  <c r="Q4076" i="1"/>
  <c r="P4076" i="1"/>
  <c r="O4076" i="1"/>
  <c r="N4076" i="1"/>
  <c r="J4076" i="1"/>
  <c r="I4076" i="1"/>
  <c r="H4076" i="1"/>
  <c r="G4076" i="1"/>
  <c r="F4076" i="1"/>
  <c r="V4075" i="1"/>
  <c r="Q4075" i="1"/>
  <c r="P4075" i="1"/>
  <c r="O4075" i="1"/>
  <c r="N4075" i="1"/>
  <c r="J4075" i="1"/>
  <c r="I4075" i="1"/>
  <c r="H4075" i="1"/>
  <c r="G4075" i="1"/>
  <c r="F4075" i="1"/>
  <c r="V4074" i="1"/>
  <c r="Q4074" i="1"/>
  <c r="P4074" i="1"/>
  <c r="O4074" i="1"/>
  <c r="N4074" i="1"/>
  <c r="J4074" i="1"/>
  <c r="I4074" i="1"/>
  <c r="H4074" i="1"/>
  <c r="G4074" i="1"/>
  <c r="F4074" i="1"/>
  <c r="V4073" i="1"/>
  <c r="Q4073" i="1"/>
  <c r="P4073" i="1"/>
  <c r="O4073" i="1"/>
  <c r="N4073" i="1"/>
  <c r="J4073" i="1"/>
  <c r="I4073" i="1"/>
  <c r="H4073" i="1"/>
  <c r="G4073" i="1"/>
  <c r="F4073" i="1"/>
  <c r="V4072" i="1"/>
  <c r="Q4072" i="1"/>
  <c r="P4072" i="1"/>
  <c r="O4072" i="1"/>
  <c r="N4072" i="1"/>
  <c r="J4072" i="1"/>
  <c r="I4072" i="1"/>
  <c r="H4072" i="1"/>
  <c r="G4072" i="1"/>
  <c r="F4072" i="1"/>
  <c r="V4071" i="1"/>
  <c r="Q4071" i="1"/>
  <c r="P4071" i="1"/>
  <c r="O4071" i="1"/>
  <c r="N4071" i="1"/>
  <c r="J4071" i="1"/>
  <c r="I4071" i="1"/>
  <c r="H4071" i="1"/>
  <c r="G4071" i="1"/>
  <c r="F4071" i="1"/>
  <c r="V4070" i="1"/>
  <c r="Q4070" i="1"/>
  <c r="P4070" i="1"/>
  <c r="O4070" i="1"/>
  <c r="N4070" i="1"/>
  <c r="J4070" i="1"/>
  <c r="I4070" i="1"/>
  <c r="H4070" i="1"/>
  <c r="G4070" i="1"/>
  <c r="F4070" i="1"/>
  <c r="V4069" i="1"/>
  <c r="Q4069" i="1"/>
  <c r="P4069" i="1"/>
  <c r="O4069" i="1"/>
  <c r="N4069" i="1"/>
  <c r="J4069" i="1"/>
  <c r="I4069" i="1"/>
  <c r="H4069" i="1"/>
  <c r="G4069" i="1"/>
  <c r="V4068" i="1"/>
  <c r="Q4068" i="1"/>
  <c r="P4068" i="1"/>
  <c r="O4068" i="1"/>
  <c r="N4068" i="1"/>
  <c r="J4068" i="1"/>
  <c r="I4068" i="1"/>
  <c r="H4068" i="1"/>
  <c r="G4068" i="1"/>
  <c r="V4067" i="1"/>
  <c r="Q4067" i="1"/>
  <c r="P4067" i="1"/>
  <c r="O4067" i="1"/>
  <c r="N4067" i="1"/>
  <c r="J4067" i="1"/>
  <c r="I4067" i="1"/>
  <c r="H4067" i="1"/>
  <c r="G4067" i="1"/>
  <c r="V4066" i="1"/>
  <c r="Q4066" i="1"/>
  <c r="P4066" i="1"/>
  <c r="O4066" i="1"/>
  <c r="N4066" i="1"/>
  <c r="J4066" i="1"/>
  <c r="I4066" i="1"/>
  <c r="H4066" i="1"/>
  <c r="G4066" i="1"/>
  <c r="V4065" i="1"/>
  <c r="Q4065" i="1"/>
  <c r="P4065" i="1"/>
  <c r="O4065" i="1"/>
  <c r="N4065" i="1"/>
  <c r="J4065" i="1"/>
  <c r="I4065" i="1"/>
  <c r="H4065" i="1"/>
  <c r="G4065" i="1"/>
  <c r="V4064" i="1"/>
  <c r="Q4064" i="1"/>
  <c r="P4064" i="1"/>
  <c r="O4064" i="1"/>
  <c r="N4064" i="1"/>
  <c r="J4064" i="1"/>
  <c r="I4064" i="1"/>
  <c r="H4064" i="1"/>
  <c r="G4064" i="1"/>
  <c r="V4063" i="1"/>
  <c r="Q4063" i="1"/>
  <c r="P4063" i="1"/>
  <c r="O4063" i="1"/>
  <c r="N4063" i="1"/>
  <c r="J4063" i="1"/>
  <c r="I4063" i="1"/>
  <c r="H4063" i="1"/>
  <c r="G4063" i="1"/>
  <c r="V4062" i="1"/>
  <c r="Q4062" i="1"/>
  <c r="P4062" i="1"/>
  <c r="O4062" i="1"/>
  <c r="N4062" i="1"/>
  <c r="J4062" i="1"/>
  <c r="I4062" i="1"/>
  <c r="H4062" i="1"/>
  <c r="G4062" i="1"/>
  <c r="V4061" i="1"/>
  <c r="Q4061" i="1"/>
  <c r="P4061" i="1"/>
  <c r="O4061" i="1"/>
  <c r="N4061" i="1"/>
  <c r="J4061" i="1"/>
  <c r="I4061" i="1"/>
  <c r="H4061" i="1"/>
  <c r="G4061" i="1"/>
  <c r="V4060" i="1"/>
  <c r="Q4060" i="1"/>
  <c r="P4060" i="1"/>
  <c r="O4060" i="1"/>
  <c r="N4060" i="1"/>
  <c r="J4060" i="1"/>
  <c r="I4060" i="1"/>
  <c r="H4060" i="1"/>
  <c r="G4060" i="1"/>
  <c r="V4059" i="1"/>
  <c r="Q4059" i="1"/>
  <c r="P4059" i="1"/>
  <c r="O4059" i="1"/>
  <c r="N4059" i="1"/>
  <c r="J4059" i="1"/>
  <c r="I4059" i="1"/>
  <c r="H4059" i="1"/>
  <c r="G4059" i="1"/>
  <c r="V4058" i="1"/>
  <c r="Q4058" i="1"/>
  <c r="P4058" i="1"/>
  <c r="O4058" i="1"/>
  <c r="N4058" i="1"/>
  <c r="J4058" i="1"/>
  <c r="I4058" i="1"/>
  <c r="H4058" i="1"/>
  <c r="G4058" i="1"/>
  <c r="V4057" i="1"/>
  <c r="Q4057" i="1"/>
  <c r="P4057" i="1"/>
  <c r="O4057" i="1"/>
  <c r="N4057" i="1"/>
  <c r="J4057" i="1"/>
  <c r="I4057" i="1"/>
  <c r="H4057" i="1"/>
  <c r="G4057" i="1"/>
  <c r="V4056" i="1"/>
  <c r="Q4056" i="1"/>
  <c r="P4056" i="1"/>
  <c r="O4056" i="1"/>
  <c r="N4056" i="1"/>
  <c r="J4056" i="1"/>
  <c r="I4056" i="1"/>
  <c r="H4056" i="1"/>
  <c r="G4056" i="1"/>
  <c r="V4055" i="1"/>
  <c r="Q4055" i="1"/>
  <c r="P4055" i="1"/>
  <c r="O4055" i="1"/>
  <c r="N4055" i="1"/>
  <c r="J4055" i="1"/>
  <c r="I4055" i="1"/>
  <c r="H4055" i="1"/>
  <c r="G4055" i="1"/>
  <c r="F4055" i="1"/>
  <c r="V4054" i="1"/>
  <c r="Q4054" i="1"/>
  <c r="P4054" i="1"/>
  <c r="O4054" i="1"/>
  <c r="N4054" i="1"/>
  <c r="J4054" i="1"/>
  <c r="I4054" i="1"/>
  <c r="H4054" i="1"/>
  <c r="G4054" i="1"/>
  <c r="F4054" i="1"/>
  <c r="V4053" i="1"/>
  <c r="Q4053" i="1"/>
  <c r="P4053" i="1"/>
  <c r="O4053" i="1"/>
  <c r="N4053" i="1"/>
  <c r="J4053" i="1"/>
  <c r="I4053" i="1"/>
  <c r="H4053" i="1"/>
  <c r="G4053" i="1"/>
  <c r="F4053" i="1"/>
  <c r="V4052" i="1"/>
  <c r="Q4052" i="1"/>
  <c r="P4052" i="1"/>
  <c r="O4052" i="1"/>
  <c r="N4052" i="1"/>
  <c r="J4052" i="1"/>
  <c r="I4052" i="1"/>
  <c r="H4052" i="1"/>
  <c r="G4052" i="1"/>
  <c r="F4052" i="1"/>
  <c r="V4051" i="1"/>
  <c r="Q4051" i="1"/>
  <c r="P4051" i="1"/>
  <c r="O4051" i="1"/>
  <c r="N4051" i="1"/>
  <c r="J4051" i="1"/>
  <c r="I4051" i="1"/>
  <c r="H4051" i="1"/>
  <c r="G4051" i="1"/>
  <c r="F4051" i="1"/>
  <c r="V4050" i="1"/>
  <c r="Q4050" i="1"/>
  <c r="P4050" i="1"/>
  <c r="O4050" i="1"/>
  <c r="N4050" i="1"/>
  <c r="J4050" i="1"/>
  <c r="I4050" i="1"/>
  <c r="H4050" i="1"/>
  <c r="G4050" i="1"/>
  <c r="F4050" i="1"/>
  <c r="V4049" i="1"/>
  <c r="Q4049" i="1"/>
  <c r="P4049" i="1"/>
  <c r="O4049" i="1"/>
  <c r="N4049" i="1"/>
  <c r="J4049" i="1"/>
  <c r="I4049" i="1"/>
  <c r="H4049" i="1"/>
  <c r="G4049" i="1"/>
  <c r="F4049" i="1"/>
  <c r="V4048" i="1"/>
  <c r="Q4048" i="1"/>
  <c r="P4048" i="1"/>
  <c r="O4048" i="1"/>
  <c r="N4048" i="1"/>
  <c r="J4048" i="1"/>
  <c r="I4048" i="1"/>
  <c r="H4048" i="1"/>
  <c r="G4048" i="1"/>
  <c r="F4048" i="1"/>
  <c r="V4047" i="1"/>
  <c r="Q4047" i="1"/>
  <c r="P4047" i="1"/>
  <c r="O4047" i="1"/>
  <c r="N4047" i="1"/>
  <c r="J4047" i="1"/>
  <c r="I4047" i="1"/>
  <c r="H4047" i="1"/>
  <c r="G4047" i="1"/>
  <c r="F4047" i="1"/>
  <c r="V4046" i="1"/>
  <c r="Q4046" i="1"/>
  <c r="P4046" i="1"/>
  <c r="O4046" i="1"/>
  <c r="N4046" i="1"/>
  <c r="J4046" i="1"/>
  <c r="I4046" i="1"/>
  <c r="H4046" i="1"/>
  <c r="G4046" i="1"/>
  <c r="F4046" i="1"/>
  <c r="V4045" i="1"/>
  <c r="Q4045" i="1"/>
  <c r="P4045" i="1"/>
  <c r="O4045" i="1"/>
  <c r="N4045" i="1"/>
  <c r="J4045" i="1"/>
  <c r="I4045" i="1"/>
  <c r="H4045" i="1"/>
  <c r="G4045" i="1"/>
  <c r="F4045" i="1"/>
  <c r="V4044" i="1"/>
  <c r="Q4044" i="1"/>
  <c r="P4044" i="1"/>
  <c r="O4044" i="1"/>
  <c r="N4044" i="1"/>
  <c r="J4044" i="1"/>
  <c r="I4044" i="1"/>
  <c r="H4044" i="1"/>
  <c r="G4044" i="1"/>
  <c r="F4044" i="1"/>
  <c r="V4043" i="1"/>
  <c r="Q4043" i="1"/>
  <c r="P4043" i="1"/>
  <c r="O4043" i="1"/>
  <c r="N4043" i="1"/>
  <c r="J4043" i="1"/>
  <c r="I4043" i="1"/>
  <c r="H4043" i="1"/>
  <c r="G4043" i="1"/>
  <c r="F4043" i="1"/>
  <c r="V4042" i="1"/>
  <c r="Q4042" i="1"/>
  <c r="P4042" i="1"/>
  <c r="O4042" i="1"/>
  <c r="N4042" i="1"/>
  <c r="J4042" i="1"/>
  <c r="I4042" i="1"/>
  <c r="H4042" i="1"/>
  <c r="G4042" i="1"/>
  <c r="F4042" i="1"/>
  <c r="V4041" i="1"/>
  <c r="Q4041" i="1"/>
  <c r="P4041" i="1"/>
  <c r="O4041" i="1"/>
  <c r="N4041" i="1"/>
  <c r="J4041" i="1"/>
  <c r="I4041" i="1"/>
  <c r="H4041" i="1"/>
  <c r="G4041" i="1"/>
  <c r="F4041" i="1"/>
  <c r="V4040" i="1"/>
  <c r="Q4040" i="1"/>
  <c r="P4040" i="1"/>
  <c r="O4040" i="1"/>
  <c r="N4040" i="1"/>
  <c r="J4040" i="1"/>
  <c r="I4040" i="1"/>
  <c r="H4040" i="1"/>
  <c r="G4040" i="1"/>
  <c r="F4040" i="1"/>
  <c r="V4039" i="1"/>
  <c r="Q4039" i="1"/>
  <c r="P4039" i="1"/>
  <c r="O4039" i="1"/>
  <c r="N4039" i="1"/>
  <c r="J4039" i="1"/>
  <c r="I4039" i="1"/>
  <c r="H4039" i="1"/>
  <c r="G4039" i="1"/>
  <c r="F4039" i="1"/>
  <c r="V4038" i="1"/>
  <c r="Q4038" i="1"/>
  <c r="P4038" i="1"/>
  <c r="O4038" i="1"/>
  <c r="N4038" i="1"/>
  <c r="J4038" i="1"/>
  <c r="I4038" i="1"/>
  <c r="H4038" i="1"/>
  <c r="G4038" i="1"/>
  <c r="F4038" i="1"/>
  <c r="V4037" i="1"/>
  <c r="Q4037" i="1"/>
  <c r="P4037" i="1"/>
  <c r="O4037" i="1"/>
  <c r="N4037" i="1"/>
  <c r="J4037" i="1"/>
  <c r="I4037" i="1"/>
  <c r="H4037" i="1"/>
  <c r="G4037" i="1"/>
  <c r="F4037" i="1"/>
  <c r="V4036" i="1"/>
  <c r="Q4036" i="1"/>
  <c r="P4036" i="1"/>
  <c r="O4036" i="1"/>
  <c r="N4036" i="1"/>
  <c r="J4036" i="1"/>
  <c r="I4036" i="1"/>
  <c r="H4036" i="1"/>
  <c r="G4036" i="1"/>
  <c r="F4036" i="1"/>
  <c r="V4035" i="1"/>
  <c r="Q4035" i="1"/>
  <c r="P4035" i="1"/>
  <c r="O4035" i="1"/>
  <c r="N4035" i="1"/>
  <c r="J4035" i="1"/>
  <c r="I4035" i="1"/>
  <c r="H4035" i="1"/>
  <c r="G4035" i="1"/>
  <c r="F4035" i="1"/>
  <c r="V4034" i="1"/>
  <c r="Q4034" i="1"/>
  <c r="P4034" i="1"/>
  <c r="O4034" i="1"/>
  <c r="N4034" i="1"/>
  <c r="J4034" i="1"/>
  <c r="I4034" i="1"/>
  <c r="H4034" i="1"/>
  <c r="G4034" i="1"/>
  <c r="F4034" i="1"/>
  <c r="V4033" i="1"/>
  <c r="Q4033" i="1"/>
  <c r="P4033" i="1"/>
  <c r="O4033" i="1"/>
  <c r="N4033" i="1"/>
  <c r="J4033" i="1"/>
  <c r="I4033" i="1"/>
  <c r="H4033" i="1"/>
  <c r="G4033" i="1"/>
  <c r="F4033" i="1"/>
  <c r="V4032" i="1"/>
  <c r="Q4032" i="1"/>
  <c r="P4032" i="1"/>
  <c r="O4032" i="1"/>
  <c r="N4032" i="1"/>
  <c r="J4032" i="1"/>
  <c r="I4032" i="1"/>
  <c r="H4032" i="1"/>
  <c r="G4032" i="1"/>
  <c r="F4032" i="1"/>
  <c r="V4031" i="1"/>
  <c r="Q4031" i="1"/>
  <c r="P4031" i="1"/>
  <c r="O4031" i="1"/>
  <c r="N4031" i="1"/>
  <c r="J4031" i="1"/>
  <c r="I4031" i="1"/>
  <c r="H4031" i="1"/>
  <c r="G4031" i="1"/>
  <c r="F4031" i="1"/>
  <c r="V4030" i="1"/>
  <c r="Q4030" i="1"/>
  <c r="P4030" i="1"/>
  <c r="O4030" i="1"/>
  <c r="N4030" i="1"/>
  <c r="J4030" i="1"/>
  <c r="I4030" i="1"/>
  <c r="H4030" i="1"/>
  <c r="G4030" i="1"/>
  <c r="F4030" i="1"/>
  <c r="V4029" i="1"/>
  <c r="Q4029" i="1"/>
  <c r="P4029" i="1"/>
  <c r="O4029" i="1"/>
  <c r="N4029" i="1"/>
  <c r="J4029" i="1"/>
  <c r="I4029" i="1"/>
  <c r="H4029" i="1"/>
  <c r="G4029" i="1"/>
  <c r="F4029" i="1"/>
  <c r="V4028" i="1"/>
  <c r="Q4028" i="1"/>
  <c r="P4028" i="1"/>
  <c r="O4028" i="1"/>
  <c r="N4028" i="1"/>
  <c r="J4028" i="1"/>
  <c r="I4028" i="1"/>
  <c r="H4028" i="1"/>
  <c r="G4028" i="1"/>
  <c r="F4028" i="1"/>
  <c r="V4027" i="1"/>
  <c r="Q4027" i="1"/>
  <c r="P4027" i="1"/>
  <c r="O4027" i="1"/>
  <c r="N4027" i="1"/>
  <c r="J4027" i="1"/>
  <c r="I4027" i="1"/>
  <c r="H4027" i="1"/>
  <c r="G4027" i="1"/>
  <c r="F4027" i="1"/>
  <c r="V4026" i="1"/>
  <c r="Q4026" i="1"/>
  <c r="P4026" i="1"/>
  <c r="O4026" i="1"/>
  <c r="N4026" i="1"/>
  <c r="J4026" i="1"/>
  <c r="I4026" i="1"/>
  <c r="H4026" i="1"/>
  <c r="G4026" i="1"/>
  <c r="F4026" i="1"/>
  <c r="V4025" i="1"/>
  <c r="Q4025" i="1"/>
  <c r="P4025" i="1"/>
  <c r="O4025" i="1"/>
  <c r="N4025" i="1"/>
  <c r="J4025" i="1"/>
  <c r="I4025" i="1"/>
  <c r="H4025" i="1"/>
  <c r="G4025" i="1"/>
  <c r="F4025" i="1"/>
  <c r="V4024" i="1"/>
  <c r="Q4024" i="1"/>
  <c r="P4024" i="1"/>
  <c r="O4024" i="1"/>
  <c r="N4024" i="1"/>
  <c r="J4024" i="1"/>
  <c r="I4024" i="1"/>
  <c r="H4024" i="1"/>
  <c r="G4024" i="1"/>
  <c r="F4024" i="1"/>
  <c r="V4023" i="1"/>
  <c r="Q4023" i="1"/>
  <c r="P4023" i="1"/>
  <c r="O4023" i="1"/>
  <c r="N4023" i="1"/>
  <c r="J4023" i="1"/>
  <c r="I4023" i="1"/>
  <c r="H4023" i="1"/>
  <c r="G4023" i="1"/>
  <c r="F4023" i="1"/>
  <c r="V4022" i="1"/>
  <c r="Q4022" i="1"/>
  <c r="P4022" i="1"/>
  <c r="O4022" i="1"/>
  <c r="N4022" i="1"/>
  <c r="J4022" i="1"/>
  <c r="I4022" i="1"/>
  <c r="H4022" i="1"/>
  <c r="G4022" i="1"/>
  <c r="F4022" i="1"/>
  <c r="V4021" i="1"/>
  <c r="Q4021" i="1"/>
  <c r="P4021" i="1"/>
  <c r="O4021" i="1"/>
  <c r="N4021" i="1"/>
  <c r="J4021" i="1"/>
  <c r="I4021" i="1"/>
  <c r="H4021" i="1"/>
  <c r="G4021" i="1"/>
  <c r="F4021" i="1"/>
  <c r="V4020" i="1"/>
  <c r="Q4020" i="1"/>
  <c r="P4020" i="1"/>
  <c r="O4020" i="1"/>
  <c r="N4020" i="1"/>
  <c r="J4020" i="1"/>
  <c r="I4020" i="1"/>
  <c r="H4020" i="1"/>
  <c r="G4020" i="1"/>
  <c r="F4020" i="1"/>
  <c r="V4019" i="1"/>
  <c r="Q4019" i="1"/>
  <c r="P4019" i="1"/>
  <c r="O4019" i="1"/>
  <c r="N4019" i="1"/>
  <c r="J4019" i="1"/>
  <c r="I4019" i="1"/>
  <c r="H4019" i="1"/>
  <c r="G4019" i="1"/>
  <c r="F4019" i="1"/>
  <c r="V4018" i="1"/>
  <c r="Q4018" i="1"/>
  <c r="P4018" i="1"/>
  <c r="O4018" i="1"/>
  <c r="N4018" i="1"/>
  <c r="J4018" i="1"/>
  <c r="I4018" i="1"/>
  <c r="H4018" i="1"/>
  <c r="G4018" i="1"/>
  <c r="F4018" i="1"/>
  <c r="V4017" i="1"/>
  <c r="Q4017" i="1"/>
  <c r="P4017" i="1"/>
  <c r="O4017" i="1"/>
  <c r="N4017" i="1"/>
  <c r="J4017" i="1"/>
  <c r="I4017" i="1"/>
  <c r="H4017" i="1"/>
  <c r="G4017" i="1"/>
  <c r="F4017" i="1"/>
  <c r="V4016" i="1"/>
  <c r="Q4016" i="1"/>
  <c r="P4016" i="1"/>
  <c r="O4016" i="1"/>
  <c r="N4016" i="1"/>
  <c r="J4016" i="1"/>
  <c r="I4016" i="1"/>
  <c r="H4016" i="1"/>
  <c r="G4016" i="1"/>
  <c r="F4016" i="1"/>
  <c r="V4015" i="1"/>
  <c r="Q4015" i="1"/>
  <c r="P4015" i="1"/>
  <c r="O4015" i="1"/>
  <c r="N4015" i="1"/>
  <c r="J4015" i="1"/>
  <c r="I4015" i="1"/>
  <c r="H4015" i="1"/>
  <c r="G4015" i="1"/>
  <c r="F4015" i="1"/>
  <c r="V4014" i="1"/>
  <c r="Q4014" i="1"/>
  <c r="P4014" i="1"/>
  <c r="O4014" i="1"/>
  <c r="N4014" i="1"/>
  <c r="J4014" i="1"/>
  <c r="I4014" i="1"/>
  <c r="H4014" i="1"/>
  <c r="G4014" i="1"/>
  <c r="F4014" i="1"/>
  <c r="V4013" i="1"/>
  <c r="Q4013" i="1"/>
  <c r="P4013" i="1"/>
  <c r="O4013" i="1"/>
  <c r="N4013" i="1"/>
  <c r="J4013" i="1"/>
  <c r="I4013" i="1"/>
  <c r="H4013" i="1"/>
  <c r="G4013" i="1"/>
  <c r="V4012" i="1"/>
  <c r="Q4012" i="1"/>
  <c r="P4012" i="1"/>
  <c r="O4012" i="1"/>
  <c r="N4012" i="1"/>
  <c r="J4012" i="1"/>
  <c r="I4012" i="1"/>
  <c r="H4012" i="1"/>
  <c r="G4012" i="1"/>
  <c r="V4011" i="1"/>
  <c r="Q4011" i="1"/>
  <c r="P4011" i="1"/>
  <c r="O4011" i="1"/>
  <c r="N4011" i="1"/>
  <c r="J4011" i="1"/>
  <c r="I4011" i="1"/>
  <c r="H4011" i="1"/>
  <c r="G4011" i="1"/>
  <c r="V4010" i="1"/>
  <c r="Q4010" i="1"/>
  <c r="P4010" i="1"/>
  <c r="O4010" i="1"/>
  <c r="N4010" i="1"/>
  <c r="J4010" i="1"/>
  <c r="I4010" i="1"/>
  <c r="H4010" i="1"/>
  <c r="G4010" i="1"/>
  <c r="V4009" i="1"/>
  <c r="Q4009" i="1"/>
  <c r="P4009" i="1"/>
  <c r="O4009" i="1"/>
  <c r="N4009" i="1"/>
  <c r="J4009" i="1"/>
  <c r="I4009" i="1"/>
  <c r="H4009" i="1"/>
  <c r="G4009" i="1"/>
  <c r="V4008" i="1"/>
  <c r="Q4008" i="1"/>
  <c r="P4008" i="1"/>
  <c r="O4008" i="1"/>
  <c r="N4008" i="1"/>
  <c r="J4008" i="1"/>
  <c r="I4008" i="1"/>
  <c r="H4008" i="1"/>
  <c r="G4008" i="1"/>
  <c r="V4007" i="1"/>
  <c r="Q4007" i="1"/>
  <c r="P4007" i="1"/>
  <c r="O4007" i="1"/>
  <c r="N4007" i="1"/>
  <c r="J4007" i="1"/>
  <c r="I4007" i="1"/>
  <c r="H4007" i="1"/>
  <c r="G4007" i="1"/>
  <c r="V4006" i="1"/>
  <c r="Q4006" i="1"/>
  <c r="P4006" i="1"/>
  <c r="O4006" i="1"/>
  <c r="N4006" i="1"/>
  <c r="J4006" i="1"/>
  <c r="I4006" i="1"/>
  <c r="H4006" i="1"/>
  <c r="G4006" i="1"/>
  <c r="V4005" i="1"/>
  <c r="Q4005" i="1"/>
  <c r="P4005" i="1"/>
  <c r="O4005" i="1"/>
  <c r="N4005" i="1"/>
  <c r="J4005" i="1"/>
  <c r="I4005" i="1"/>
  <c r="H4005" i="1"/>
  <c r="G4005" i="1"/>
  <c r="V4004" i="1"/>
  <c r="Q4004" i="1"/>
  <c r="P4004" i="1"/>
  <c r="O4004" i="1"/>
  <c r="N4004" i="1"/>
  <c r="J4004" i="1"/>
  <c r="I4004" i="1"/>
  <c r="H4004" i="1"/>
  <c r="G4004" i="1"/>
  <c r="V4003" i="1"/>
  <c r="Q4003" i="1"/>
  <c r="P4003" i="1"/>
  <c r="O4003" i="1"/>
  <c r="N4003" i="1"/>
  <c r="J4003" i="1"/>
  <c r="I4003" i="1"/>
  <c r="H4003" i="1"/>
  <c r="G4003" i="1"/>
  <c r="V4002" i="1"/>
  <c r="Q4002" i="1"/>
  <c r="P4002" i="1"/>
  <c r="O4002" i="1"/>
  <c r="N4002" i="1"/>
  <c r="J4002" i="1"/>
  <c r="I4002" i="1"/>
  <c r="H4002" i="1"/>
  <c r="G4002" i="1"/>
  <c r="V4001" i="1"/>
  <c r="Q4001" i="1"/>
  <c r="P4001" i="1"/>
  <c r="O4001" i="1"/>
  <c r="N4001" i="1"/>
  <c r="J4001" i="1"/>
  <c r="I4001" i="1"/>
  <c r="H4001" i="1"/>
  <c r="G4001" i="1"/>
  <c r="V4000" i="1"/>
  <c r="Q4000" i="1"/>
  <c r="P4000" i="1"/>
  <c r="O4000" i="1"/>
  <c r="N4000" i="1"/>
  <c r="J4000" i="1"/>
  <c r="I4000" i="1"/>
  <c r="H4000" i="1"/>
  <c r="G4000" i="1"/>
  <c r="V3999" i="1"/>
  <c r="Q3999" i="1"/>
  <c r="P3999" i="1"/>
  <c r="O3999" i="1"/>
  <c r="N3999" i="1"/>
  <c r="J3999" i="1"/>
  <c r="I3999" i="1"/>
  <c r="H3999" i="1"/>
  <c r="G3999" i="1"/>
  <c r="V3998" i="1"/>
  <c r="Q3998" i="1"/>
  <c r="P3998" i="1"/>
  <c r="O3998" i="1"/>
  <c r="N3998" i="1"/>
  <c r="J3998" i="1"/>
  <c r="I3998" i="1"/>
  <c r="H3998" i="1"/>
  <c r="G3998" i="1"/>
  <c r="V3997" i="1"/>
  <c r="Q3997" i="1"/>
  <c r="P3997" i="1"/>
  <c r="O3997" i="1"/>
  <c r="N3997" i="1"/>
  <c r="J3997" i="1"/>
  <c r="I3997" i="1"/>
  <c r="H3997" i="1"/>
  <c r="G3997" i="1"/>
  <c r="V3996" i="1"/>
  <c r="Q3996" i="1"/>
  <c r="P3996" i="1"/>
  <c r="O3996" i="1"/>
  <c r="N3996" i="1"/>
  <c r="J3996" i="1"/>
  <c r="I3996" i="1"/>
  <c r="H3996" i="1"/>
  <c r="G3996" i="1"/>
  <c r="V3995" i="1"/>
  <c r="Q3995" i="1"/>
  <c r="P3995" i="1"/>
  <c r="O3995" i="1"/>
  <c r="N3995" i="1"/>
  <c r="J3995" i="1"/>
  <c r="I3995" i="1"/>
  <c r="H3995" i="1"/>
  <c r="G3995" i="1"/>
  <c r="V3994" i="1"/>
  <c r="Q3994" i="1"/>
  <c r="P3994" i="1"/>
  <c r="O3994" i="1"/>
  <c r="N3994" i="1"/>
  <c r="J3994" i="1"/>
  <c r="I3994" i="1"/>
  <c r="H3994" i="1"/>
  <c r="G3994" i="1"/>
  <c r="V3993" i="1"/>
  <c r="Q3993" i="1"/>
  <c r="P3993" i="1"/>
  <c r="O3993" i="1"/>
  <c r="N3993" i="1"/>
  <c r="J3993" i="1"/>
  <c r="I3993" i="1"/>
  <c r="H3993" i="1"/>
  <c r="G3993" i="1"/>
  <c r="V3992" i="1"/>
  <c r="Q3992" i="1"/>
  <c r="P3992" i="1"/>
  <c r="O3992" i="1"/>
  <c r="N3992" i="1"/>
  <c r="J3992" i="1"/>
  <c r="I3992" i="1"/>
  <c r="H3992" i="1"/>
  <c r="G3992" i="1"/>
  <c r="V3991" i="1"/>
  <c r="Q3991" i="1"/>
  <c r="P3991" i="1"/>
  <c r="O3991" i="1"/>
  <c r="N3991" i="1"/>
  <c r="J3991" i="1"/>
  <c r="I3991" i="1"/>
  <c r="H3991" i="1"/>
  <c r="G3991" i="1"/>
  <c r="V3990" i="1"/>
  <c r="Q3990" i="1"/>
  <c r="P3990" i="1"/>
  <c r="O3990" i="1"/>
  <c r="N3990" i="1"/>
  <c r="J3990" i="1"/>
  <c r="I3990" i="1"/>
  <c r="H3990" i="1"/>
  <c r="G3990" i="1"/>
  <c r="V3989" i="1"/>
  <c r="Q3989" i="1"/>
  <c r="P3989" i="1"/>
  <c r="O3989" i="1"/>
  <c r="N3989" i="1"/>
  <c r="J3989" i="1"/>
  <c r="I3989" i="1"/>
  <c r="H3989" i="1"/>
  <c r="G3989" i="1"/>
  <c r="V3988" i="1"/>
  <c r="Q3988" i="1"/>
  <c r="P3988" i="1"/>
  <c r="O3988" i="1"/>
  <c r="N3988" i="1"/>
  <c r="J3988" i="1"/>
  <c r="I3988" i="1"/>
  <c r="H3988" i="1"/>
  <c r="G3988" i="1"/>
  <c r="V3987" i="1"/>
  <c r="Q3987" i="1"/>
  <c r="P3987" i="1"/>
  <c r="O3987" i="1"/>
  <c r="N3987" i="1"/>
  <c r="J3987" i="1"/>
  <c r="I3987" i="1"/>
  <c r="H3987" i="1"/>
  <c r="G3987" i="1"/>
  <c r="V3986" i="1"/>
  <c r="Q3986" i="1"/>
  <c r="P3986" i="1"/>
  <c r="O3986" i="1"/>
  <c r="N3986" i="1"/>
  <c r="J3986" i="1"/>
  <c r="I3986" i="1"/>
  <c r="H3986" i="1"/>
  <c r="G3986" i="1"/>
  <c r="V3985" i="1"/>
  <c r="Q3985" i="1"/>
  <c r="P3985" i="1"/>
  <c r="O3985" i="1"/>
  <c r="N3985" i="1"/>
  <c r="J3985" i="1"/>
  <c r="I3985" i="1"/>
  <c r="H3985" i="1"/>
  <c r="G3985" i="1"/>
  <c r="V3984" i="1"/>
  <c r="Q3984" i="1"/>
  <c r="P3984" i="1"/>
  <c r="O3984" i="1"/>
  <c r="N3984" i="1"/>
  <c r="J3984" i="1"/>
  <c r="I3984" i="1"/>
  <c r="H3984" i="1"/>
  <c r="G3984" i="1"/>
  <c r="V3983" i="1"/>
  <c r="Q3983" i="1"/>
  <c r="P3983" i="1"/>
  <c r="O3983" i="1"/>
  <c r="N3983" i="1"/>
  <c r="J3983" i="1"/>
  <c r="I3983" i="1"/>
  <c r="H3983" i="1"/>
  <c r="G3983" i="1"/>
  <c r="V3982" i="1"/>
  <c r="Q3982" i="1"/>
  <c r="P3982" i="1"/>
  <c r="O3982" i="1"/>
  <c r="N3982" i="1"/>
  <c r="J3982" i="1"/>
  <c r="I3982" i="1"/>
  <c r="H3982" i="1"/>
  <c r="G3982" i="1"/>
  <c r="V3981" i="1"/>
  <c r="Q3981" i="1"/>
  <c r="P3981" i="1"/>
  <c r="O3981" i="1"/>
  <c r="N3981" i="1"/>
  <c r="J3981" i="1"/>
  <c r="I3981" i="1"/>
  <c r="H3981" i="1"/>
  <c r="G3981" i="1"/>
  <c r="V3980" i="1"/>
  <c r="Q3980" i="1"/>
  <c r="P3980" i="1"/>
  <c r="O3980" i="1"/>
  <c r="N3980" i="1"/>
  <c r="J3980" i="1"/>
  <c r="I3980" i="1"/>
  <c r="H3980" i="1"/>
  <c r="G3980" i="1"/>
  <c r="V3979" i="1"/>
  <c r="Q3979" i="1"/>
  <c r="P3979" i="1"/>
  <c r="O3979" i="1"/>
  <c r="N3979" i="1"/>
  <c r="J3979" i="1"/>
  <c r="I3979" i="1"/>
  <c r="H3979" i="1"/>
  <c r="G3979" i="1"/>
  <c r="V3978" i="1"/>
  <c r="Q3978" i="1"/>
  <c r="P3978" i="1"/>
  <c r="O3978" i="1"/>
  <c r="N3978" i="1"/>
  <c r="J3978" i="1"/>
  <c r="I3978" i="1"/>
  <c r="H3978" i="1"/>
  <c r="G3978" i="1"/>
  <c r="V3977" i="1"/>
  <c r="Q3977" i="1"/>
  <c r="P3977" i="1"/>
  <c r="O3977" i="1"/>
  <c r="N3977" i="1"/>
  <c r="J3977" i="1"/>
  <c r="I3977" i="1"/>
  <c r="H3977" i="1"/>
  <c r="G3977" i="1"/>
  <c r="V3976" i="1"/>
  <c r="Q3976" i="1"/>
  <c r="P3976" i="1"/>
  <c r="O3976" i="1"/>
  <c r="N3976" i="1"/>
  <c r="J3976" i="1"/>
  <c r="I3976" i="1"/>
  <c r="H3976" i="1"/>
  <c r="G3976" i="1"/>
  <c r="V3975" i="1"/>
  <c r="Q3975" i="1"/>
  <c r="P3975" i="1"/>
  <c r="O3975" i="1"/>
  <c r="N3975" i="1"/>
  <c r="J3975" i="1"/>
  <c r="I3975" i="1"/>
  <c r="H3975" i="1"/>
  <c r="G3975" i="1"/>
  <c r="V3974" i="1"/>
  <c r="Q3974" i="1"/>
  <c r="P3974" i="1"/>
  <c r="O3974" i="1"/>
  <c r="N3974" i="1"/>
  <c r="J3974" i="1"/>
  <c r="I3974" i="1"/>
  <c r="H3974" i="1"/>
  <c r="G3974" i="1"/>
  <c r="V3973" i="1"/>
  <c r="Q3973" i="1"/>
  <c r="P3973" i="1"/>
  <c r="O3973" i="1"/>
  <c r="N3973" i="1"/>
  <c r="J3973" i="1"/>
  <c r="I3973" i="1"/>
  <c r="H3973" i="1"/>
  <c r="G3973" i="1"/>
  <c r="V3972" i="1"/>
  <c r="Q3972" i="1"/>
  <c r="P3972" i="1"/>
  <c r="O3972" i="1"/>
  <c r="N3972" i="1"/>
  <c r="J3972" i="1"/>
  <c r="I3972" i="1"/>
  <c r="H3972" i="1"/>
  <c r="G3972" i="1"/>
  <c r="V3971" i="1"/>
  <c r="Q3971" i="1"/>
  <c r="P3971" i="1"/>
  <c r="O3971" i="1"/>
  <c r="N3971" i="1"/>
  <c r="J3971" i="1"/>
  <c r="I3971" i="1"/>
  <c r="H3971" i="1"/>
  <c r="G3971" i="1"/>
  <c r="V3970" i="1"/>
  <c r="Q3970" i="1"/>
  <c r="P3970" i="1"/>
  <c r="O3970" i="1"/>
  <c r="N3970" i="1"/>
  <c r="J3970" i="1"/>
  <c r="I3970" i="1"/>
  <c r="H3970" i="1"/>
  <c r="G3970" i="1"/>
  <c r="V3969" i="1"/>
  <c r="Q3969" i="1"/>
  <c r="P3969" i="1"/>
  <c r="O3969" i="1"/>
  <c r="N3969" i="1"/>
  <c r="J3969" i="1"/>
  <c r="I3969" i="1"/>
  <c r="H3969" i="1"/>
  <c r="G3969" i="1"/>
  <c r="V3968" i="1"/>
  <c r="Q3968" i="1"/>
  <c r="P3968" i="1"/>
  <c r="O3968" i="1"/>
  <c r="N3968" i="1"/>
  <c r="J3968" i="1"/>
  <c r="I3968" i="1"/>
  <c r="H3968" i="1"/>
  <c r="G3968" i="1"/>
  <c r="V3967" i="1"/>
  <c r="Q3967" i="1"/>
  <c r="P3967" i="1"/>
  <c r="O3967" i="1"/>
  <c r="N3967" i="1"/>
  <c r="J3967" i="1"/>
  <c r="I3967" i="1"/>
  <c r="H3967" i="1"/>
  <c r="G3967" i="1"/>
  <c r="V3966" i="1"/>
  <c r="Q3966" i="1"/>
  <c r="P3966" i="1"/>
  <c r="O3966" i="1"/>
  <c r="N3966" i="1"/>
  <c r="J3966" i="1"/>
  <c r="I3966" i="1"/>
  <c r="H3966" i="1"/>
  <c r="G3966" i="1"/>
  <c r="V3965" i="1"/>
  <c r="Q3965" i="1"/>
  <c r="P3965" i="1"/>
  <c r="O3965" i="1"/>
  <c r="N3965" i="1"/>
  <c r="J3965" i="1"/>
  <c r="I3965" i="1"/>
  <c r="H3965" i="1"/>
  <c r="G3965" i="1"/>
  <c r="V3964" i="1"/>
  <c r="Q3964" i="1"/>
  <c r="P3964" i="1"/>
  <c r="O3964" i="1"/>
  <c r="N3964" i="1"/>
  <c r="J3964" i="1"/>
  <c r="I3964" i="1"/>
  <c r="H3964" i="1"/>
  <c r="G3964" i="1"/>
  <c r="V3963" i="1"/>
  <c r="Q3963" i="1"/>
  <c r="P3963" i="1"/>
  <c r="O3963" i="1"/>
  <c r="N3963" i="1"/>
  <c r="J3963" i="1"/>
  <c r="I3963" i="1"/>
  <c r="H3963" i="1"/>
  <c r="G3963" i="1"/>
  <c r="V3962" i="1"/>
  <c r="Q3962" i="1"/>
  <c r="P3962" i="1"/>
  <c r="O3962" i="1"/>
  <c r="N3962" i="1"/>
  <c r="J3962" i="1"/>
  <c r="I3962" i="1"/>
  <c r="H3962" i="1"/>
  <c r="G3962" i="1"/>
  <c r="V3961" i="1"/>
  <c r="Q3961" i="1"/>
  <c r="P3961" i="1"/>
  <c r="O3961" i="1"/>
  <c r="N3961" i="1"/>
  <c r="J3961" i="1"/>
  <c r="I3961" i="1"/>
  <c r="H3961" i="1"/>
  <c r="G3961" i="1"/>
  <c r="V3960" i="1"/>
  <c r="Q3960" i="1"/>
  <c r="P3960" i="1"/>
  <c r="O3960" i="1"/>
  <c r="N3960" i="1"/>
  <c r="J3960" i="1"/>
  <c r="I3960" i="1"/>
  <c r="H3960" i="1"/>
  <c r="G3960" i="1"/>
  <c r="V3959" i="1"/>
  <c r="Q3959" i="1"/>
  <c r="P3959" i="1"/>
  <c r="O3959" i="1"/>
  <c r="N3959" i="1"/>
  <c r="J3959" i="1"/>
  <c r="I3959" i="1"/>
  <c r="H3959" i="1"/>
  <c r="G3959" i="1"/>
  <c r="V3958" i="1"/>
  <c r="Q3958" i="1"/>
  <c r="P3958" i="1"/>
  <c r="O3958" i="1"/>
  <c r="N3958" i="1"/>
  <c r="J3958" i="1"/>
  <c r="I3958" i="1"/>
  <c r="H3958" i="1"/>
  <c r="G3958" i="1"/>
  <c r="V3957" i="1"/>
  <c r="Q3957" i="1"/>
  <c r="P3957" i="1"/>
  <c r="O3957" i="1"/>
  <c r="N3957" i="1"/>
  <c r="J3957" i="1"/>
  <c r="I3957" i="1"/>
  <c r="H3957" i="1"/>
  <c r="G3957" i="1"/>
  <c r="V3956" i="1"/>
  <c r="Q3956" i="1"/>
  <c r="P3956" i="1"/>
  <c r="O3956" i="1"/>
  <c r="N3956" i="1"/>
  <c r="J3956" i="1"/>
  <c r="I3956" i="1"/>
  <c r="H3956" i="1"/>
  <c r="G3956" i="1"/>
  <c r="V3955" i="1"/>
  <c r="Q3955" i="1"/>
  <c r="P3955" i="1"/>
  <c r="O3955" i="1"/>
  <c r="N3955" i="1"/>
  <c r="J3955" i="1"/>
  <c r="I3955" i="1"/>
  <c r="H3955" i="1"/>
  <c r="G3955" i="1"/>
  <c r="V3954" i="1"/>
  <c r="Q3954" i="1"/>
  <c r="P3954" i="1"/>
  <c r="O3954" i="1"/>
  <c r="N3954" i="1"/>
  <c r="J3954" i="1"/>
  <c r="I3954" i="1"/>
  <c r="H3954" i="1"/>
  <c r="G3954" i="1"/>
  <c r="V3953" i="1"/>
  <c r="Q3953" i="1"/>
  <c r="P3953" i="1"/>
  <c r="O3953" i="1"/>
  <c r="N3953" i="1"/>
  <c r="J3953" i="1"/>
  <c r="I3953" i="1"/>
  <c r="H3953" i="1"/>
  <c r="G3953" i="1"/>
  <c r="V3952" i="1"/>
  <c r="Q3952" i="1"/>
  <c r="P3952" i="1"/>
  <c r="O3952" i="1"/>
  <c r="N3952" i="1"/>
  <c r="J3952" i="1"/>
  <c r="I3952" i="1"/>
  <c r="H3952" i="1"/>
  <c r="G3952" i="1"/>
  <c r="V3951" i="1"/>
  <c r="Q3951" i="1"/>
  <c r="P3951" i="1"/>
  <c r="O3951" i="1"/>
  <c r="N3951" i="1"/>
  <c r="J3951" i="1"/>
  <c r="I3951" i="1"/>
  <c r="H3951" i="1"/>
  <c r="G3951" i="1"/>
  <c r="V3950" i="1"/>
  <c r="Q3950" i="1"/>
  <c r="P3950" i="1"/>
  <c r="O3950" i="1"/>
  <c r="N3950" i="1"/>
  <c r="J3950" i="1"/>
  <c r="I3950" i="1"/>
  <c r="H3950" i="1"/>
  <c r="G3950" i="1"/>
  <c r="V3949" i="1"/>
  <c r="Q3949" i="1"/>
  <c r="P3949" i="1"/>
  <c r="O3949" i="1"/>
  <c r="N3949" i="1"/>
  <c r="J3949" i="1"/>
  <c r="I3949" i="1"/>
  <c r="H3949" i="1"/>
  <c r="G3949" i="1"/>
  <c r="V3948" i="1"/>
  <c r="Q3948" i="1"/>
  <c r="P3948" i="1"/>
  <c r="O3948" i="1"/>
  <c r="N3948" i="1"/>
  <c r="J3948" i="1"/>
  <c r="I3948" i="1"/>
  <c r="H3948" i="1"/>
  <c r="G3948" i="1"/>
  <c r="V3947" i="1"/>
  <c r="Q3947" i="1"/>
  <c r="P3947" i="1"/>
  <c r="O3947" i="1"/>
  <c r="N3947" i="1"/>
  <c r="J3947" i="1"/>
  <c r="I3947" i="1"/>
  <c r="H3947" i="1"/>
  <c r="G3947" i="1"/>
  <c r="V3946" i="1"/>
  <c r="Q3946" i="1"/>
  <c r="P3946" i="1"/>
  <c r="O3946" i="1"/>
  <c r="N3946" i="1"/>
  <c r="J3946" i="1"/>
  <c r="I3946" i="1"/>
  <c r="H3946" i="1"/>
  <c r="G3946" i="1"/>
  <c r="V3945" i="1"/>
  <c r="Q3945" i="1"/>
  <c r="P3945" i="1"/>
  <c r="O3945" i="1"/>
  <c r="N3945" i="1"/>
  <c r="J3945" i="1"/>
  <c r="I3945" i="1"/>
  <c r="H3945" i="1"/>
  <c r="G3945" i="1"/>
  <c r="V3944" i="1"/>
  <c r="Q3944" i="1"/>
  <c r="P3944" i="1"/>
  <c r="O3944" i="1"/>
  <c r="N3944" i="1"/>
  <c r="J3944" i="1"/>
  <c r="I3944" i="1"/>
  <c r="H3944" i="1"/>
  <c r="G3944" i="1"/>
  <c r="V3943" i="1"/>
  <c r="Q3943" i="1"/>
  <c r="P3943" i="1"/>
  <c r="O3943" i="1"/>
  <c r="N3943" i="1"/>
  <c r="J3943" i="1"/>
  <c r="I3943" i="1"/>
  <c r="H3943" i="1"/>
  <c r="G3943" i="1"/>
  <c r="V3942" i="1"/>
  <c r="Q3942" i="1"/>
  <c r="P3942" i="1"/>
  <c r="O3942" i="1"/>
  <c r="N3942" i="1"/>
  <c r="J3942" i="1"/>
  <c r="I3942" i="1"/>
  <c r="H3942" i="1"/>
  <c r="G3942" i="1"/>
  <c r="V3941" i="1"/>
  <c r="Q3941" i="1"/>
  <c r="P3941" i="1"/>
  <c r="O3941" i="1"/>
  <c r="N3941" i="1"/>
  <c r="J3941" i="1"/>
  <c r="I3941" i="1"/>
  <c r="H3941" i="1"/>
  <c r="G3941" i="1"/>
  <c r="V3940" i="1"/>
  <c r="Q3940" i="1"/>
  <c r="P3940" i="1"/>
  <c r="O3940" i="1"/>
  <c r="N3940" i="1"/>
  <c r="J3940" i="1"/>
  <c r="I3940" i="1"/>
  <c r="H3940" i="1"/>
  <c r="G3940" i="1"/>
  <c r="V3939" i="1"/>
  <c r="Q3939" i="1"/>
  <c r="P3939" i="1"/>
  <c r="O3939" i="1"/>
  <c r="N3939" i="1"/>
  <c r="J3939" i="1"/>
  <c r="I3939" i="1"/>
  <c r="H3939" i="1"/>
  <c r="G3939" i="1"/>
  <c r="V3938" i="1"/>
  <c r="Q3938" i="1"/>
  <c r="P3938" i="1"/>
  <c r="O3938" i="1"/>
  <c r="N3938" i="1"/>
  <c r="J3938" i="1"/>
  <c r="I3938" i="1"/>
  <c r="H3938" i="1"/>
  <c r="G3938" i="1"/>
  <c r="V3937" i="1"/>
  <c r="Q3937" i="1"/>
  <c r="P3937" i="1"/>
  <c r="O3937" i="1"/>
  <c r="N3937" i="1"/>
  <c r="J3937" i="1"/>
  <c r="I3937" i="1"/>
  <c r="H3937" i="1"/>
  <c r="G3937" i="1"/>
  <c r="V3936" i="1"/>
  <c r="Q3936" i="1"/>
  <c r="P3936" i="1"/>
  <c r="O3936" i="1"/>
  <c r="N3936" i="1"/>
  <c r="J3936" i="1"/>
  <c r="I3936" i="1"/>
  <c r="H3936" i="1"/>
  <c r="G3936" i="1"/>
  <c r="V3935" i="1"/>
  <c r="Q3935" i="1"/>
  <c r="P3935" i="1"/>
  <c r="O3935" i="1"/>
  <c r="N3935" i="1"/>
  <c r="J3935" i="1"/>
  <c r="I3935" i="1"/>
  <c r="H3935" i="1"/>
  <c r="G3935" i="1"/>
  <c r="V3934" i="1"/>
  <c r="Q3934" i="1"/>
  <c r="P3934" i="1"/>
  <c r="O3934" i="1"/>
  <c r="N3934" i="1"/>
  <c r="J3934" i="1"/>
  <c r="I3934" i="1"/>
  <c r="H3934" i="1"/>
  <c r="G3934" i="1"/>
  <c r="V3933" i="1"/>
  <c r="Q3933" i="1"/>
  <c r="P3933" i="1"/>
  <c r="O3933" i="1"/>
  <c r="N3933" i="1"/>
  <c r="J3933" i="1"/>
  <c r="I3933" i="1"/>
  <c r="H3933" i="1"/>
  <c r="G3933" i="1"/>
  <c r="V3932" i="1"/>
  <c r="Q3932" i="1"/>
  <c r="P3932" i="1"/>
  <c r="O3932" i="1"/>
  <c r="N3932" i="1"/>
  <c r="J3932" i="1"/>
  <c r="I3932" i="1"/>
  <c r="H3932" i="1"/>
  <c r="G3932" i="1"/>
  <c r="V3931" i="1"/>
  <c r="Q3931" i="1"/>
  <c r="P3931" i="1"/>
  <c r="O3931" i="1"/>
  <c r="N3931" i="1"/>
  <c r="J3931" i="1"/>
  <c r="I3931" i="1"/>
  <c r="H3931" i="1"/>
  <c r="G3931" i="1"/>
  <c r="V3930" i="1"/>
  <c r="Q3930" i="1"/>
  <c r="P3930" i="1"/>
  <c r="O3930" i="1"/>
  <c r="N3930" i="1"/>
  <c r="J3930" i="1"/>
  <c r="I3930" i="1"/>
  <c r="H3930" i="1"/>
  <c r="G3930" i="1"/>
  <c r="V3929" i="1"/>
  <c r="Q3929" i="1"/>
  <c r="P3929" i="1"/>
  <c r="O3929" i="1"/>
  <c r="N3929" i="1"/>
  <c r="J3929" i="1"/>
  <c r="I3929" i="1"/>
  <c r="H3929" i="1"/>
  <c r="G3929" i="1"/>
  <c r="V3928" i="1"/>
  <c r="Q3928" i="1"/>
  <c r="P3928" i="1"/>
  <c r="O3928" i="1"/>
  <c r="N3928" i="1"/>
  <c r="J3928" i="1"/>
  <c r="I3928" i="1"/>
  <c r="H3928" i="1"/>
  <c r="G3928" i="1"/>
  <c r="V3927" i="1"/>
  <c r="Q3927" i="1"/>
  <c r="P3927" i="1"/>
  <c r="O3927" i="1"/>
  <c r="N3927" i="1"/>
  <c r="J3927" i="1"/>
  <c r="I3927" i="1"/>
  <c r="H3927" i="1"/>
  <c r="G3927" i="1"/>
  <c r="V3926" i="1"/>
  <c r="Q3926" i="1"/>
  <c r="P3926" i="1"/>
  <c r="O3926" i="1"/>
  <c r="N3926" i="1"/>
  <c r="J3926" i="1"/>
  <c r="I3926" i="1"/>
  <c r="H3926" i="1"/>
  <c r="G3926" i="1"/>
  <c r="V3925" i="1"/>
  <c r="Q3925" i="1"/>
  <c r="P3925" i="1"/>
  <c r="O3925" i="1"/>
  <c r="N3925" i="1"/>
  <c r="J3925" i="1"/>
  <c r="I3925" i="1"/>
  <c r="H3925" i="1"/>
  <c r="G3925" i="1"/>
  <c r="V3924" i="1"/>
  <c r="Q3924" i="1"/>
  <c r="P3924" i="1"/>
  <c r="O3924" i="1"/>
  <c r="N3924" i="1"/>
  <c r="J3924" i="1"/>
  <c r="I3924" i="1"/>
  <c r="H3924" i="1"/>
  <c r="G3924" i="1"/>
  <c r="V3923" i="1"/>
  <c r="Q3923" i="1"/>
  <c r="P3923" i="1"/>
  <c r="O3923" i="1"/>
  <c r="N3923" i="1"/>
  <c r="J3923" i="1"/>
  <c r="I3923" i="1"/>
  <c r="H3923" i="1"/>
  <c r="G3923" i="1"/>
  <c r="V3922" i="1"/>
  <c r="Q3922" i="1"/>
  <c r="P3922" i="1"/>
  <c r="O3922" i="1"/>
  <c r="N3922" i="1"/>
  <c r="J3922" i="1"/>
  <c r="I3922" i="1"/>
  <c r="H3922" i="1"/>
  <c r="G3922" i="1"/>
  <c r="V3921" i="1"/>
  <c r="Q3921" i="1"/>
  <c r="P3921" i="1"/>
  <c r="O3921" i="1"/>
  <c r="N3921" i="1"/>
  <c r="J3921" i="1"/>
  <c r="I3921" i="1"/>
  <c r="H3921" i="1"/>
  <c r="G3921" i="1"/>
  <c r="V3920" i="1"/>
  <c r="Q3920" i="1"/>
  <c r="P3920" i="1"/>
  <c r="O3920" i="1"/>
  <c r="N3920" i="1"/>
  <c r="J3920" i="1"/>
  <c r="I3920" i="1"/>
  <c r="H3920" i="1"/>
  <c r="G3920" i="1"/>
  <c r="V3919" i="1"/>
  <c r="Q3919" i="1"/>
  <c r="P3919" i="1"/>
  <c r="O3919" i="1"/>
  <c r="N3919" i="1"/>
  <c r="J3919" i="1"/>
  <c r="I3919" i="1"/>
  <c r="H3919" i="1"/>
  <c r="G3919" i="1"/>
  <c r="V3918" i="1"/>
  <c r="Q3918" i="1"/>
  <c r="P3918" i="1"/>
  <c r="O3918" i="1"/>
  <c r="N3918" i="1"/>
  <c r="J3918" i="1"/>
  <c r="I3918" i="1"/>
  <c r="H3918" i="1"/>
  <c r="G3918" i="1"/>
  <c r="V3917" i="1"/>
  <c r="Q3917" i="1"/>
  <c r="P3917" i="1"/>
  <c r="O3917" i="1"/>
  <c r="N3917" i="1"/>
  <c r="J3917" i="1"/>
  <c r="I3917" i="1"/>
  <c r="H3917" i="1"/>
  <c r="G3917" i="1"/>
  <c r="V3916" i="1"/>
  <c r="Q3916" i="1"/>
  <c r="P3916" i="1"/>
  <c r="O3916" i="1"/>
  <c r="N3916" i="1"/>
  <c r="J3916" i="1"/>
  <c r="I3916" i="1"/>
  <c r="H3916" i="1"/>
  <c r="G3916" i="1"/>
  <c r="F3916" i="1"/>
  <c r="V3915" i="1"/>
  <c r="Q3915" i="1"/>
  <c r="P3915" i="1"/>
  <c r="O3915" i="1"/>
  <c r="N3915" i="1"/>
  <c r="J3915" i="1"/>
  <c r="I3915" i="1"/>
  <c r="H3915" i="1"/>
  <c r="G3915" i="1"/>
  <c r="F3915" i="1"/>
  <c r="V3914" i="1"/>
  <c r="Q3914" i="1"/>
  <c r="P3914" i="1"/>
  <c r="O3914" i="1"/>
  <c r="N3914" i="1"/>
  <c r="J3914" i="1"/>
  <c r="I3914" i="1"/>
  <c r="H3914" i="1"/>
  <c r="G3914" i="1"/>
  <c r="F3914" i="1"/>
  <c r="V3913" i="1"/>
  <c r="Q3913" i="1"/>
  <c r="P3913" i="1"/>
  <c r="O3913" i="1"/>
  <c r="N3913" i="1"/>
  <c r="J3913" i="1"/>
  <c r="I3913" i="1"/>
  <c r="H3913" i="1"/>
  <c r="G3913" i="1"/>
  <c r="F3913" i="1"/>
  <c r="V3912" i="1"/>
  <c r="Q3912" i="1"/>
  <c r="P3912" i="1"/>
  <c r="O3912" i="1"/>
  <c r="N3912" i="1"/>
  <c r="J3912" i="1"/>
  <c r="I3912" i="1"/>
  <c r="H3912" i="1"/>
  <c r="G3912" i="1"/>
  <c r="F3912" i="1"/>
  <c r="V3911" i="1"/>
  <c r="Q3911" i="1"/>
  <c r="P3911" i="1"/>
  <c r="O3911" i="1"/>
  <c r="N3911" i="1"/>
  <c r="J3911" i="1"/>
  <c r="I3911" i="1"/>
  <c r="H3911" i="1"/>
  <c r="G3911" i="1"/>
  <c r="F3911" i="1"/>
  <c r="V3910" i="1"/>
  <c r="Q3910" i="1"/>
  <c r="P3910" i="1"/>
  <c r="O3910" i="1"/>
  <c r="N3910" i="1"/>
  <c r="J3910" i="1"/>
  <c r="I3910" i="1"/>
  <c r="H3910" i="1"/>
  <c r="G3910" i="1"/>
  <c r="F3910" i="1"/>
  <c r="V3909" i="1"/>
  <c r="Q3909" i="1"/>
  <c r="P3909" i="1"/>
  <c r="O3909" i="1"/>
  <c r="N3909" i="1"/>
  <c r="J3909" i="1"/>
  <c r="I3909" i="1"/>
  <c r="H3909" i="1"/>
  <c r="G3909" i="1"/>
  <c r="F3909" i="1"/>
  <c r="V3908" i="1"/>
  <c r="Q3908" i="1"/>
  <c r="P3908" i="1"/>
  <c r="O3908" i="1"/>
  <c r="N3908" i="1"/>
  <c r="J3908" i="1"/>
  <c r="I3908" i="1"/>
  <c r="H3908" i="1"/>
  <c r="G3908" i="1"/>
  <c r="F3908" i="1"/>
  <c r="V3907" i="1"/>
  <c r="Q3907" i="1"/>
  <c r="P3907" i="1"/>
  <c r="O3907" i="1"/>
  <c r="N3907" i="1"/>
  <c r="J3907" i="1"/>
  <c r="I3907" i="1"/>
  <c r="H3907" i="1"/>
  <c r="G3907" i="1"/>
  <c r="F3907" i="1"/>
  <c r="V3906" i="1"/>
  <c r="Q3906" i="1"/>
  <c r="P3906" i="1"/>
  <c r="O3906" i="1"/>
  <c r="N3906" i="1"/>
  <c r="J3906" i="1"/>
  <c r="I3906" i="1"/>
  <c r="H3906" i="1"/>
  <c r="G3906" i="1"/>
  <c r="F3906" i="1"/>
  <c r="V3905" i="1"/>
  <c r="Q3905" i="1"/>
  <c r="P3905" i="1"/>
  <c r="O3905" i="1"/>
  <c r="N3905" i="1"/>
  <c r="J3905" i="1"/>
  <c r="I3905" i="1"/>
  <c r="H3905" i="1"/>
  <c r="G3905" i="1"/>
  <c r="F3905" i="1"/>
  <c r="V3904" i="1"/>
  <c r="Q3904" i="1"/>
  <c r="P3904" i="1"/>
  <c r="O3904" i="1"/>
  <c r="N3904" i="1"/>
  <c r="J3904" i="1"/>
  <c r="I3904" i="1"/>
  <c r="H3904" i="1"/>
  <c r="G3904" i="1"/>
  <c r="F3904" i="1"/>
  <c r="V3903" i="1"/>
  <c r="Q3903" i="1"/>
  <c r="P3903" i="1"/>
  <c r="O3903" i="1"/>
  <c r="N3903" i="1"/>
  <c r="J3903" i="1"/>
  <c r="I3903" i="1"/>
  <c r="H3903" i="1"/>
  <c r="G3903" i="1"/>
  <c r="F3903" i="1"/>
  <c r="V3902" i="1"/>
  <c r="Q3902" i="1"/>
  <c r="P3902" i="1"/>
  <c r="O3902" i="1"/>
  <c r="N3902" i="1"/>
  <c r="J3902" i="1"/>
  <c r="I3902" i="1"/>
  <c r="H3902" i="1"/>
  <c r="G3902" i="1"/>
  <c r="F3902" i="1"/>
  <c r="V3901" i="1"/>
  <c r="Q3901" i="1"/>
  <c r="P3901" i="1"/>
  <c r="O3901" i="1"/>
  <c r="N3901" i="1"/>
  <c r="J3901" i="1"/>
  <c r="I3901" i="1"/>
  <c r="H3901" i="1"/>
  <c r="G3901" i="1"/>
  <c r="F3901" i="1"/>
  <c r="V3900" i="1"/>
  <c r="Q3900" i="1"/>
  <c r="P3900" i="1"/>
  <c r="O3900" i="1"/>
  <c r="N3900" i="1"/>
  <c r="J3900" i="1"/>
  <c r="I3900" i="1"/>
  <c r="H3900" i="1"/>
  <c r="G3900" i="1"/>
  <c r="F3900" i="1"/>
  <c r="V3899" i="1"/>
  <c r="Q3899" i="1"/>
  <c r="P3899" i="1"/>
  <c r="O3899" i="1"/>
  <c r="N3899" i="1"/>
  <c r="J3899" i="1"/>
  <c r="I3899" i="1"/>
  <c r="H3899" i="1"/>
  <c r="G3899" i="1"/>
  <c r="F3899" i="1"/>
  <c r="V3898" i="1"/>
  <c r="Q3898" i="1"/>
  <c r="P3898" i="1"/>
  <c r="O3898" i="1"/>
  <c r="N3898" i="1"/>
  <c r="J3898" i="1"/>
  <c r="I3898" i="1"/>
  <c r="H3898" i="1"/>
  <c r="G3898" i="1"/>
  <c r="F3898" i="1"/>
  <c r="V3897" i="1"/>
  <c r="Q3897" i="1"/>
  <c r="P3897" i="1"/>
  <c r="O3897" i="1"/>
  <c r="N3897" i="1"/>
  <c r="J3897" i="1"/>
  <c r="I3897" i="1"/>
  <c r="H3897" i="1"/>
  <c r="G3897" i="1"/>
  <c r="F3897" i="1"/>
  <c r="V3896" i="1"/>
  <c r="Q3896" i="1"/>
  <c r="P3896" i="1"/>
  <c r="O3896" i="1"/>
  <c r="N3896" i="1"/>
  <c r="J3896" i="1"/>
  <c r="I3896" i="1"/>
  <c r="H3896" i="1"/>
  <c r="G3896" i="1"/>
  <c r="F3896" i="1"/>
  <c r="V3895" i="1"/>
  <c r="Q3895" i="1"/>
  <c r="P3895" i="1"/>
  <c r="O3895" i="1"/>
  <c r="N3895" i="1"/>
  <c r="J3895" i="1"/>
  <c r="I3895" i="1"/>
  <c r="H3895" i="1"/>
  <c r="G3895" i="1"/>
  <c r="F3895" i="1"/>
  <c r="V3894" i="1"/>
  <c r="Q3894" i="1"/>
  <c r="P3894" i="1"/>
  <c r="O3894" i="1"/>
  <c r="N3894" i="1"/>
  <c r="J3894" i="1"/>
  <c r="I3894" i="1"/>
  <c r="H3894" i="1"/>
  <c r="G3894" i="1"/>
  <c r="F3894" i="1"/>
  <c r="V3893" i="1"/>
  <c r="Q3893" i="1"/>
  <c r="P3893" i="1"/>
  <c r="O3893" i="1"/>
  <c r="N3893" i="1"/>
  <c r="J3893" i="1"/>
  <c r="I3893" i="1"/>
  <c r="H3893" i="1"/>
  <c r="G3893" i="1"/>
  <c r="F3893" i="1"/>
  <c r="V3892" i="1"/>
  <c r="Q3892" i="1"/>
  <c r="P3892" i="1"/>
  <c r="O3892" i="1"/>
  <c r="N3892" i="1"/>
  <c r="J3892" i="1"/>
  <c r="I3892" i="1"/>
  <c r="H3892" i="1"/>
  <c r="G3892" i="1"/>
  <c r="F3892" i="1"/>
  <c r="V3891" i="1"/>
  <c r="Q3891" i="1"/>
  <c r="P3891" i="1"/>
  <c r="O3891" i="1"/>
  <c r="N3891" i="1"/>
  <c r="J3891" i="1"/>
  <c r="I3891" i="1"/>
  <c r="H3891" i="1"/>
  <c r="G3891" i="1"/>
  <c r="F3891" i="1"/>
  <c r="V3890" i="1"/>
  <c r="Q3890" i="1"/>
  <c r="P3890" i="1"/>
  <c r="O3890" i="1"/>
  <c r="N3890" i="1"/>
  <c r="J3890" i="1"/>
  <c r="I3890" i="1"/>
  <c r="H3890" i="1"/>
  <c r="G3890" i="1"/>
  <c r="F3890" i="1"/>
  <c r="V3889" i="1"/>
  <c r="Q3889" i="1"/>
  <c r="P3889" i="1"/>
  <c r="O3889" i="1"/>
  <c r="N3889" i="1"/>
  <c r="J3889" i="1"/>
  <c r="I3889" i="1"/>
  <c r="H3889" i="1"/>
  <c r="G3889" i="1"/>
  <c r="F3889" i="1"/>
  <c r="V3888" i="1"/>
  <c r="Q3888" i="1"/>
  <c r="P3888" i="1"/>
  <c r="O3888" i="1"/>
  <c r="N3888" i="1"/>
  <c r="J3888" i="1"/>
  <c r="I3888" i="1"/>
  <c r="H3888" i="1"/>
  <c r="G3888" i="1"/>
  <c r="F3888" i="1"/>
  <c r="V3887" i="1"/>
  <c r="Q3887" i="1"/>
  <c r="P3887" i="1"/>
  <c r="O3887" i="1"/>
  <c r="N3887" i="1"/>
  <c r="J3887" i="1"/>
  <c r="I3887" i="1"/>
  <c r="H3887" i="1"/>
  <c r="G3887" i="1"/>
  <c r="F3887" i="1"/>
  <c r="V3886" i="1"/>
  <c r="Q3886" i="1"/>
  <c r="P3886" i="1"/>
  <c r="O3886" i="1"/>
  <c r="N3886" i="1"/>
  <c r="J3886" i="1"/>
  <c r="I3886" i="1"/>
  <c r="H3886" i="1"/>
  <c r="G3886" i="1"/>
  <c r="F3886" i="1"/>
  <c r="V3885" i="1"/>
  <c r="Q3885" i="1"/>
  <c r="P3885" i="1"/>
  <c r="O3885" i="1"/>
  <c r="N3885" i="1"/>
  <c r="J3885" i="1"/>
  <c r="I3885" i="1"/>
  <c r="H3885" i="1"/>
  <c r="G3885" i="1"/>
  <c r="F3885" i="1"/>
  <c r="V3884" i="1"/>
  <c r="Q3884" i="1"/>
  <c r="P3884" i="1"/>
  <c r="O3884" i="1"/>
  <c r="N3884" i="1"/>
  <c r="J3884" i="1"/>
  <c r="I3884" i="1"/>
  <c r="H3884" i="1"/>
  <c r="G3884" i="1"/>
  <c r="F3884" i="1"/>
  <c r="V3883" i="1"/>
  <c r="Q3883" i="1"/>
  <c r="P3883" i="1"/>
  <c r="O3883" i="1"/>
  <c r="N3883" i="1"/>
  <c r="J3883" i="1"/>
  <c r="I3883" i="1"/>
  <c r="H3883" i="1"/>
  <c r="G3883" i="1"/>
  <c r="F3883" i="1"/>
  <c r="V3882" i="1"/>
  <c r="Q3882" i="1"/>
  <c r="P3882" i="1"/>
  <c r="O3882" i="1"/>
  <c r="N3882" i="1"/>
  <c r="J3882" i="1"/>
  <c r="I3882" i="1"/>
  <c r="H3882" i="1"/>
  <c r="G3882" i="1"/>
  <c r="F3882" i="1"/>
  <c r="V3881" i="1"/>
  <c r="Q3881" i="1"/>
  <c r="P3881" i="1"/>
  <c r="O3881" i="1"/>
  <c r="N3881" i="1"/>
  <c r="J3881" i="1"/>
  <c r="I3881" i="1"/>
  <c r="H3881" i="1"/>
  <c r="G3881" i="1"/>
  <c r="F3881" i="1"/>
  <c r="V3880" i="1"/>
  <c r="Q3880" i="1"/>
  <c r="P3880" i="1"/>
  <c r="O3880" i="1"/>
  <c r="N3880" i="1"/>
  <c r="J3880" i="1"/>
  <c r="I3880" i="1"/>
  <c r="H3880" i="1"/>
  <c r="G3880" i="1"/>
  <c r="F3880" i="1"/>
  <c r="V3879" i="1"/>
  <c r="Q3879" i="1"/>
  <c r="P3879" i="1"/>
  <c r="O3879" i="1"/>
  <c r="N3879" i="1"/>
  <c r="J3879" i="1"/>
  <c r="I3879" i="1"/>
  <c r="H3879" i="1"/>
  <c r="G3879" i="1"/>
  <c r="F3879" i="1"/>
  <c r="V3878" i="1"/>
  <c r="Q3878" i="1"/>
  <c r="P3878" i="1"/>
  <c r="O3878" i="1"/>
  <c r="N3878" i="1"/>
  <c r="J3878" i="1"/>
  <c r="I3878" i="1"/>
  <c r="H3878" i="1"/>
  <c r="G3878" i="1"/>
  <c r="F3878" i="1"/>
  <c r="V3877" i="1"/>
  <c r="Q3877" i="1"/>
  <c r="P3877" i="1"/>
  <c r="O3877" i="1"/>
  <c r="N3877" i="1"/>
  <c r="J3877" i="1"/>
  <c r="I3877" i="1"/>
  <c r="H3877" i="1"/>
  <c r="G3877" i="1"/>
  <c r="V3876" i="1"/>
  <c r="Q3876" i="1"/>
  <c r="P3876" i="1"/>
  <c r="O3876" i="1"/>
  <c r="N3876" i="1"/>
  <c r="J3876" i="1"/>
  <c r="I3876" i="1"/>
  <c r="H3876" i="1"/>
  <c r="G3876" i="1"/>
  <c r="V3875" i="1"/>
  <c r="Q3875" i="1"/>
  <c r="P3875" i="1"/>
  <c r="O3875" i="1"/>
  <c r="N3875" i="1"/>
  <c r="J3875" i="1"/>
  <c r="I3875" i="1"/>
  <c r="H3875" i="1"/>
  <c r="G3875" i="1"/>
  <c r="V3874" i="1"/>
  <c r="Q3874" i="1"/>
  <c r="P3874" i="1"/>
  <c r="O3874" i="1"/>
  <c r="N3874" i="1"/>
  <c r="J3874" i="1"/>
  <c r="I3874" i="1"/>
  <c r="H3874" i="1"/>
  <c r="G3874" i="1"/>
  <c r="V3873" i="1"/>
  <c r="Q3873" i="1"/>
  <c r="P3873" i="1"/>
  <c r="O3873" i="1"/>
  <c r="N3873" i="1"/>
  <c r="J3873" i="1"/>
  <c r="I3873" i="1"/>
  <c r="H3873" i="1"/>
  <c r="G3873" i="1"/>
  <c r="V3872" i="1"/>
  <c r="Q3872" i="1"/>
  <c r="P3872" i="1"/>
  <c r="O3872" i="1"/>
  <c r="N3872" i="1"/>
  <c r="J3872" i="1"/>
  <c r="I3872" i="1"/>
  <c r="H3872" i="1"/>
  <c r="G3872" i="1"/>
  <c r="V3871" i="1"/>
  <c r="Q3871" i="1"/>
  <c r="P3871" i="1"/>
  <c r="O3871" i="1"/>
  <c r="N3871" i="1"/>
  <c r="J3871" i="1"/>
  <c r="I3871" i="1"/>
  <c r="H3871" i="1"/>
  <c r="G3871" i="1"/>
  <c r="V3870" i="1"/>
  <c r="Q3870" i="1"/>
  <c r="P3870" i="1"/>
  <c r="O3870" i="1"/>
  <c r="N3870" i="1"/>
  <c r="J3870" i="1"/>
  <c r="I3870" i="1"/>
  <c r="H3870" i="1"/>
  <c r="G3870" i="1"/>
  <c r="V3869" i="1"/>
  <c r="Q3869" i="1"/>
  <c r="P3869" i="1"/>
  <c r="O3869" i="1"/>
  <c r="N3869" i="1"/>
  <c r="J3869" i="1"/>
  <c r="I3869" i="1"/>
  <c r="H3869" i="1"/>
  <c r="G3869" i="1"/>
  <c r="V3868" i="1"/>
  <c r="Q3868" i="1"/>
  <c r="P3868" i="1"/>
  <c r="O3868" i="1"/>
  <c r="N3868" i="1"/>
  <c r="J3868" i="1"/>
  <c r="I3868" i="1"/>
  <c r="H3868" i="1"/>
  <c r="G3868" i="1"/>
  <c r="V3867" i="1"/>
  <c r="Q3867" i="1"/>
  <c r="P3867" i="1"/>
  <c r="O3867" i="1"/>
  <c r="N3867" i="1"/>
  <c r="J3867" i="1"/>
  <c r="I3867" i="1"/>
  <c r="H3867" i="1"/>
  <c r="G3867" i="1"/>
  <c r="V3866" i="1"/>
  <c r="Q3866" i="1"/>
  <c r="P3866" i="1"/>
  <c r="O3866" i="1"/>
  <c r="N3866" i="1"/>
  <c r="J3866" i="1"/>
  <c r="I3866" i="1"/>
  <c r="H3866" i="1"/>
  <c r="G3866" i="1"/>
  <c r="V3865" i="1"/>
  <c r="Q3865" i="1"/>
  <c r="P3865" i="1"/>
  <c r="O3865" i="1"/>
  <c r="N3865" i="1"/>
  <c r="J3865" i="1"/>
  <c r="I3865" i="1"/>
  <c r="H3865" i="1"/>
  <c r="G3865" i="1"/>
  <c r="V3864" i="1"/>
  <c r="Q3864" i="1"/>
  <c r="P3864" i="1"/>
  <c r="O3864" i="1"/>
  <c r="N3864" i="1"/>
  <c r="J3864" i="1"/>
  <c r="I3864" i="1"/>
  <c r="H3864" i="1"/>
  <c r="G3864" i="1"/>
  <c r="V3863" i="1"/>
  <c r="Q3863" i="1"/>
  <c r="P3863" i="1"/>
  <c r="O3863" i="1"/>
  <c r="N3863" i="1"/>
  <c r="J3863" i="1"/>
  <c r="I3863" i="1"/>
  <c r="H3863" i="1"/>
  <c r="G3863" i="1"/>
  <c r="V3862" i="1"/>
  <c r="Q3862" i="1"/>
  <c r="P3862" i="1"/>
  <c r="O3862" i="1"/>
  <c r="N3862" i="1"/>
  <c r="J3862" i="1"/>
  <c r="I3862" i="1"/>
  <c r="H3862" i="1"/>
  <c r="G3862" i="1"/>
  <c r="V3861" i="1"/>
  <c r="Q3861" i="1"/>
  <c r="P3861" i="1"/>
  <c r="O3861" i="1"/>
  <c r="N3861" i="1"/>
  <c r="I3861" i="1"/>
  <c r="H3861" i="1"/>
  <c r="G3861" i="1"/>
  <c r="V3860" i="1"/>
  <c r="Q3860" i="1"/>
  <c r="P3860" i="1"/>
  <c r="O3860" i="1"/>
  <c r="N3860" i="1"/>
  <c r="I3860" i="1"/>
  <c r="H3860" i="1"/>
  <c r="G3860" i="1"/>
  <c r="V3859" i="1"/>
  <c r="Q3859" i="1"/>
  <c r="P3859" i="1"/>
  <c r="O3859" i="1"/>
  <c r="N3859" i="1"/>
  <c r="I3859" i="1"/>
  <c r="H3859" i="1"/>
  <c r="G3859" i="1"/>
  <c r="V3858" i="1"/>
  <c r="Q3858" i="1"/>
  <c r="P3858" i="1"/>
  <c r="O3858" i="1"/>
  <c r="N3858" i="1"/>
  <c r="I3858" i="1"/>
  <c r="H3858" i="1"/>
  <c r="G3858" i="1"/>
  <c r="V3857" i="1"/>
  <c r="Q3857" i="1"/>
  <c r="P3857" i="1"/>
  <c r="O3857" i="1"/>
  <c r="N3857" i="1"/>
  <c r="I3857" i="1"/>
  <c r="H3857" i="1"/>
  <c r="G3857" i="1"/>
  <c r="V3856" i="1"/>
  <c r="Q3856" i="1"/>
  <c r="P3856" i="1"/>
  <c r="O3856" i="1"/>
  <c r="N3856" i="1"/>
  <c r="I3856" i="1"/>
  <c r="H3856" i="1"/>
  <c r="G3856" i="1"/>
  <c r="V3855" i="1"/>
  <c r="Q3855" i="1"/>
  <c r="P3855" i="1"/>
  <c r="O3855" i="1"/>
  <c r="N3855" i="1"/>
  <c r="I3855" i="1"/>
  <c r="H3855" i="1"/>
  <c r="G3855" i="1"/>
  <c r="V3854" i="1"/>
  <c r="Q3854" i="1"/>
  <c r="P3854" i="1"/>
  <c r="O3854" i="1"/>
  <c r="N3854" i="1"/>
  <c r="I3854" i="1"/>
  <c r="H3854" i="1"/>
  <c r="G3854" i="1"/>
  <c r="V3853" i="1"/>
  <c r="Q3853" i="1"/>
  <c r="P3853" i="1"/>
  <c r="O3853" i="1"/>
  <c r="N3853" i="1"/>
  <c r="I3853" i="1"/>
  <c r="H3853" i="1"/>
  <c r="G3853" i="1"/>
  <c r="V3852" i="1"/>
  <c r="Q3852" i="1"/>
  <c r="P3852" i="1"/>
  <c r="O3852" i="1"/>
  <c r="N3852" i="1"/>
  <c r="I3852" i="1"/>
  <c r="H3852" i="1"/>
  <c r="G3852" i="1"/>
  <c r="V3851" i="1"/>
  <c r="Q3851" i="1"/>
  <c r="P3851" i="1"/>
  <c r="O3851" i="1"/>
  <c r="N3851" i="1"/>
  <c r="I3851" i="1"/>
  <c r="H3851" i="1"/>
  <c r="G3851" i="1"/>
  <c r="V3850" i="1"/>
  <c r="Q3850" i="1"/>
  <c r="P3850" i="1"/>
  <c r="O3850" i="1"/>
  <c r="N3850" i="1"/>
  <c r="I3850" i="1"/>
  <c r="H3850" i="1"/>
  <c r="G3850" i="1"/>
  <c r="V3849" i="1"/>
  <c r="Q3849" i="1"/>
  <c r="P3849" i="1"/>
  <c r="O3849" i="1"/>
  <c r="N3849" i="1"/>
  <c r="I3849" i="1"/>
  <c r="H3849" i="1"/>
  <c r="G3849" i="1"/>
  <c r="V3848" i="1"/>
  <c r="Q3848" i="1"/>
  <c r="P3848" i="1"/>
  <c r="O3848" i="1"/>
  <c r="N3848" i="1"/>
  <c r="I3848" i="1"/>
  <c r="H3848" i="1"/>
  <c r="G3848" i="1"/>
  <c r="V3847" i="1"/>
  <c r="Q3847" i="1"/>
  <c r="P3847" i="1"/>
  <c r="O3847" i="1"/>
  <c r="N3847" i="1"/>
  <c r="I3847" i="1"/>
  <c r="H3847" i="1"/>
  <c r="G3847" i="1"/>
  <c r="V3846" i="1"/>
  <c r="Q3846" i="1"/>
  <c r="P3846" i="1"/>
  <c r="O3846" i="1"/>
  <c r="N3846" i="1"/>
  <c r="I3846" i="1"/>
  <c r="H3846" i="1"/>
  <c r="G3846" i="1"/>
  <c r="V3845" i="1"/>
  <c r="Q3845" i="1"/>
  <c r="P3845" i="1"/>
  <c r="O3845" i="1"/>
  <c r="N3845" i="1"/>
  <c r="I3845" i="1"/>
  <c r="H3845" i="1"/>
  <c r="G3845" i="1"/>
  <c r="V3844" i="1"/>
  <c r="Q3844" i="1"/>
  <c r="P3844" i="1"/>
  <c r="O3844" i="1"/>
  <c r="N3844" i="1"/>
  <c r="I3844" i="1"/>
  <c r="H3844" i="1"/>
  <c r="G3844" i="1"/>
  <c r="V3843" i="1"/>
  <c r="Q3843" i="1"/>
  <c r="P3843" i="1"/>
  <c r="O3843" i="1"/>
  <c r="N3843" i="1"/>
  <c r="I3843" i="1"/>
  <c r="H3843" i="1"/>
  <c r="G3843" i="1"/>
  <c r="V3842" i="1"/>
  <c r="Q3842" i="1"/>
  <c r="P3842" i="1"/>
  <c r="O3842" i="1"/>
  <c r="N3842" i="1"/>
  <c r="I3842" i="1"/>
  <c r="H3842" i="1"/>
  <c r="G3842" i="1"/>
  <c r="V3841" i="1"/>
  <c r="Q3841" i="1"/>
  <c r="P3841" i="1"/>
  <c r="O3841" i="1"/>
  <c r="N3841" i="1"/>
  <c r="I3841" i="1"/>
  <c r="H3841" i="1"/>
  <c r="G3841" i="1"/>
  <c r="V3840" i="1"/>
  <c r="Q3840" i="1"/>
  <c r="P3840" i="1"/>
  <c r="O3840" i="1"/>
  <c r="N3840" i="1"/>
  <c r="I3840" i="1"/>
  <c r="H3840" i="1"/>
  <c r="G3840" i="1"/>
  <c r="V3839" i="1"/>
  <c r="Q3839" i="1"/>
  <c r="P3839" i="1"/>
  <c r="O3839" i="1"/>
  <c r="N3839" i="1"/>
  <c r="I3839" i="1"/>
  <c r="H3839" i="1"/>
  <c r="G3839" i="1"/>
  <c r="V3838" i="1"/>
  <c r="Q3838" i="1"/>
  <c r="P3838" i="1"/>
  <c r="O3838" i="1"/>
  <c r="N3838" i="1"/>
  <c r="I3838" i="1"/>
  <c r="H3838" i="1"/>
  <c r="G3838" i="1"/>
  <c r="V3837" i="1"/>
  <c r="Q3837" i="1"/>
  <c r="P3837" i="1"/>
  <c r="O3837" i="1"/>
  <c r="N3837" i="1"/>
  <c r="J3837" i="1"/>
  <c r="I3837" i="1"/>
  <c r="H3837" i="1"/>
  <c r="G3837" i="1"/>
  <c r="V3836" i="1"/>
  <c r="Q3836" i="1"/>
  <c r="P3836" i="1"/>
  <c r="O3836" i="1"/>
  <c r="N3836" i="1"/>
  <c r="J3836" i="1"/>
  <c r="I3836" i="1"/>
  <c r="H3836" i="1"/>
  <c r="G3836" i="1"/>
  <c r="V3835" i="1"/>
  <c r="Q3835" i="1"/>
  <c r="P3835" i="1"/>
  <c r="O3835" i="1"/>
  <c r="N3835" i="1"/>
  <c r="J3835" i="1"/>
  <c r="I3835" i="1"/>
  <c r="H3835" i="1"/>
  <c r="G3835" i="1"/>
  <c r="V3834" i="1"/>
  <c r="Q3834" i="1"/>
  <c r="P3834" i="1"/>
  <c r="O3834" i="1"/>
  <c r="N3834" i="1"/>
  <c r="J3834" i="1"/>
  <c r="I3834" i="1"/>
  <c r="H3834" i="1"/>
  <c r="G3834" i="1"/>
  <c r="V3833" i="1"/>
  <c r="Q3833" i="1"/>
  <c r="P3833" i="1"/>
  <c r="O3833" i="1"/>
  <c r="N3833" i="1"/>
  <c r="J3833" i="1"/>
  <c r="I3833" i="1"/>
  <c r="H3833" i="1"/>
  <c r="G3833" i="1"/>
  <c r="V3832" i="1"/>
  <c r="Q3832" i="1"/>
  <c r="P3832" i="1"/>
  <c r="O3832" i="1"/>
  <c r="N3832" i="1"/>
  <c r="J3832" i="1"/>
  <c r="I3832" i="1"/>
  <c r="H3832" i="1"/>
  <c r="G3832" i="1"/>
  <c r="V3831" i="1"/>
  <c r="Q3831" i="1"/>
  <c r="P3831" i="1"/>
  <c r="O3831" i="1"/>
  <c r="N3831" i="1"/>
  <c r="J3831" i="1"/>
  <c r="I3831" i="1"/>
  <c r="H3831" i="1"/>
  <c r="G3831" i="1"/>
  <c r="V3830" i="1"/>
  <c r="Q3830" i="1"/>
  <c r="P3830" i="1"/>
  <c r="O3830" i="1"/>
  <c r="N3830" i="1"/>
  <c r="J3830" i="1"/>
  <c r="I3830" i="1"/>
  <c r="H3830" i="1"/>
  <c r="G3830" i="1"/>
  <c r="V3829" i="1"/>
  <c r="Q3829" i="1"/>
  <c r="P3829" i="1"/>
  <c r="O3829" i="1"/>
  <c r="N3829" i="1"/>
  <c r="J3829" i="1"/>
  <c r="I3829" i="1"/>
  <c r="H3829" i="1"/>
  <c r="G3829" i="1"/>
  <c r="V3828" i="1"/>
  <c r="Q3828" i="1"/>
  <c r="P3828" i="1"/>
  <c r="O3828" i="1"/>
  <c r="N3828" i="1"/>
  <c r="J3828" i="1"/>
  <c r="I3828" i="1"/>
  <c r="H3828" i="1"/>
  <c r="G3828" i="1"/>
  <c r="V3827" i="1"/>
  <c r="Q3827" i="1"/>
  <c r="P3827" i="1"/>
  <c r="O3827" i="1"/>
  <c r="N3827" i="1"/>
  <c r="J3827" i="1"/>
  <c r="I3827" i="1"/>
  <c r="H3827" i="1"/>
  <c r="G3827" i="1"/>
  <c r="V3826" i="1"/>
  <c r="Q3826" i="1"/>
  <c r="P3826" i="1"/>
  <c r="O3826" i="1"/>
  <c r="N3826" i="1"/>
  <c r="J3826" i="1"/>
  <c r="I3826" i="1"/>
  <c r="H3826" i="1"/>
  <c r="G3826" i="1"/>
  <c r="V3825" i="1"/>
  <c r="Q3825" i="1"/>
  <c r="P3825" i="1"/>
  <c r="O3825" i="1"/>
  <c r="N3825" i="1"/>
  <c r="J3825" i="1"/>
  <c r="I3825" i="1"/>
  <c r="H3825" i="1"/>
  <c r="G3825" i="1"/>
  <c r="V3824" i="1"/>
  <c r="Q3824" i="1"/>
  <c r="P3824" i="1"/>
  <c r="O3824" i="1"/>
  <c r="N3824" i="1"/>
  <c r="I3824" i="1"/>
  <c r="H3824" i="1"/>
  <c r="G3824" i="1"/>
  <c r="V3823" i="1"/>
  <c r="Q3823" i="1"/>
  <c r="P3823" i="1"/>
  <c r="O3823" i="1"/>
  <c r="N3823" i="1"/>
  <c r="I3823" i="1"/>
  <c r="H3823" i="1"/>
  <c r="G3823" i="1"/>
  <c r="V3822" i="1"/>
  <c r="Q3822" i="1"/>
  <c r="P3822" i="1"/>
  <c r="O3822" i="1"/>
  <c r="N3822" i="1"/>
  <c r="I3822" i="1"/>
  <c r="H3822" i="1"/>
  <c r="G3822" i="1"/>
  <c r="V3821" i="1"/>
  <c r="Q3821" i="1"/>
  <c r="P3821" i="1"/>
  <c r="O3821" i="1"/>
  <c r="N3821" i="1"/>
  <c r="I3821" i="1"/>
  <c r="H3821" i="1"/>
  <c r="G3821" i="1"/>
  <c r="V3820" i="1"/>
  <c r="Q3820" i="1"/>
  <c r="P3820" i="1"/>
  <c r="O3820" i="1"/>
  <c r="N3820" i="1"/>
  <c r="I3820" i="1"/>
  <c r="H3820" i="1"/>
  <c r="G3820" i="1"/>
  <c r="V3819" i="1"/>
  <c r="Q3819" i="1"/>
  <c r="P3819" i="1"/>
  <c r="O3819" i="1"/>
  <c r="N3819" i="1"/>
  <c r="I3819" i="1"/>
  <c r="H3819" i="1"/>
  <c r="G3819" i="1"/>
  <c r="V3818" i="1"/>
  <c r="Q3818" i="1"/>
  <c r="P3818" i="1"/>
  <c r="O3818" i="1"/>
  <c r="N3818" i="1"/>
  <c r="I3818" i="1"/>
  <c r="H3818" i="1"/>
  <c r="G3818" i="1"/>
  <c r="V3817" i="1"/>
  <c r="Q3817" i="1"/>
  <c r="P3817" i="1"/>
  <c r="O3817" i="1"/>
  <c r="N3817" i="1"/>
  <c r="I3817" i="1"/>
  <c r="H3817" i="1"/>
  <c r="G3817" i="1"/>
  <c r="V3816" i="1"/>
  <c r="Q3816" i="1"/>
  <c r="P3816" i="1"/>
  <c r="O3816" i="1"/>
  <c r="N3816" i="1"/>
  <c r="I3816" i="1"/>
  <c r="H3816" i="1"/>
  <c r="G3816" i="1"/>
  <c r="V3815" i="1"/>
  <c r="Q3815" i="1"/>
  <c r="P3815" i="1"/>
  <c r="O3815" i="1"/>
  <c r="N3815" i="1"/>
  <c r="I3815" i="1"/>
  <c r="H3815" i="1"/>
  <c r="G3815" i="1"/>
  <c r="V3814" i="1"/>
  <c r="Q3814" i="1"/>
  <c r="P3814" i="1"/>
  <c r="O3814" i="1"/>
  <c r="N3814" i="1"/>
  <c r="I3814" i="1"/>
  <c r="H3814" i="1"/>
  <c r="G3814" i="1"/>
  <c r="V3813" i="1"/>
  <c r="Q3813" i="1"/>
  <c r="P3813" i="1"/>
  <c r="O3813" i="1"/>
  <c r="N3813" i="1"/>
  <c r="J3813" i="1"/>
  <c r="I3813" i="1"/>
  <c r="H3813" i="1"/>
  <c r="G3813" i="1"/>
  <c r="V3812" i="1"/>
  <c r="Q3812" i="1"/>
  <c r="P3812" i="1"/>
  <c r="O3812" i="1"/>
  <c r="N3812" i="1"/>
  <c r="J3812" i="1"/>
  <c r="I3812" i="1"/>
  <c r="H3812" i="1"/>
  <c r="G3812" i="1"/>
  <c r="V3811" i="1"/>
  <c r="Q3811" i="1"/>
  <c r="P3811" i="1"/>
  <c r="O3811" i="1"/>
  <c r="N3811" i="1"/>
  <c r="J3811" i="1"/>
  <c r="I3811" i="1"/>
  <c r="H3811" i="1"/>
  <c r="G3811" i="1"/>
  <c r="V3810" i="1"/>
  <c r="Q3810" i="1"/>
  <c r="P3810" i="1"/>
  <c r="O3810" i="1"/>
  <c r="N3810" i="1"/>
  <c r="J3810" i="1"/>
  <c r="I3810" i="1"/>
  <c r="H3810" i="1"/>
  <c r="G3810" i="1"/>
  <c r="V3809" i="1"/>
  <c r="Q3809" i="1"/>
  <c r="P3809" i="1"/>
  <c r="O3809" i="1"/>
  <c r="N3809" i="1"/>
  <c r="J3809" i="1"/>
  <c r="I3809" i="1"/>
  <c r="H3809" i="1"/>
  <c r="G3809" i="1"/>
  <c r="V3808" i="1"/>
  <c r="Q3808" i="1"/>
  <c r="P3808" i="1"/>
  <c r="O3808" i="1"/>
  <c r="N3808" i="1"/>
  <c r="J3808" i="1"/>
  <c r="I3808" i="1"/>
  <c r="H3808" i="1"/>
  <c r="G3808" i="1"/>
  <c r="V3807" i="1"/>
  <c r="Q3807" i="1"/>
  <c r="P3807" i="1"/>
  <c r="O3807" i="1"/>
  <c r="N3807" i="1"/>
  <c r="J3807" i="1"/>
  <c r="I3807" i="1"/>
  <c r="H3807" i="1"/>
  <c r="G3807" i="1"/>
  <c r="V3806" i="1"/>
  <c r="Q3806" i="1"/>
  <c r="P3806" i="1"/>
  <c r="O3806" i="1"/>
  <c r="N3806" i="1"/>
  <c r="J3806" i="1"/>
  <c r="I3806" i="1"/>
  <c r="H3806" i="1"/>
  <c r="G3806" i="1"/>
  <c r="V3805" i="1"/>
  <c r="Q3805" i="1"/>
  <c r="P3805" i="1"/>
  <c r="O3805" i="1"/>
  <c r="N3805" i="1"/>
  <c r="J3805" i="1"/>
  <c r="I3805" i="1"/>
  <c r="H3805" i="1"/>
  <c r="G3805" i="1"/>
  <c r="V3804" i="1"/>
  <c r="Q3804" i="1"/>
  <c r="P3804" i="1"/>
  <c r="O3804" i="1"/>
  <c r="N3804" i="1"/>
  <c r="J3804" i="1"/>
  <c r="I3804" i="1"/>
  <c r="H3804" i="1"/>
  <c r="G3804" i="1"/>
  <c r="V3803" i="1"/>
  <c r="Q3803" i="1"/>
  <c r="P3803" i="1"/>
  <c r="O3803" i="1"/>
  <c r="N3803" i="1"/>
  <c r="J3803" i="1"/>
  <c r="I3803" i="1"/>
  <c r="H3803" i="1"/>
  <c r="G3803" i="1"/>
  <c r="V3802" i="1"/>
  <c r="Q3802" i="1"/>
  <c r="P3802" i="1"/>
  <c r="O3802" i="1"/>
  <c r="N3802" i="1"/>
  <c r="J3802" i="1"/>
  <c r="I3802" i="1"/>
  <c r="H3802" i="1"/>
  <c r="G3802" i="1"/>
  <c r="V3801" i="1"/>
  <c r="Q3801" i="1"/>
  <c r="P3801" i="1"/>
  <c r="O3801" i="1"/>
  <c r="N3801" i="1"/>
  <c r="J3801" i="1"/>
  <c r="I3801" i="1"/>
  <c r="H3801" i="1"/>
  <c r="G3801" i="1"/>
  <c r="F3801" i="1"/>
  <c r="V3800" i="1"/>
  <c r="Q3800" i="1"/>
  <c r="P3800" i="1"/>
  <c r="O3800" i="1"/>
  <c r="N3800" i="1"/>
  <c r="J3800" i="1"/>
  <c r="I3800" i="1"/>
  <c r="H3800" i="1"/>
  <c r="G3800" i="1"/>
  <c r="F3800" i="1"/>
  <c r="V3799" i="1"/>
  <c r="Q3799" i="1"/>
  <c r="P3799" i="1"/>
  <c r="O3799" i="1"/>
  <c r="N3799" i="1"/>
  <c r="J3799" i="1"/>
  <c r="I3799" i="1"/>
  <c r="H3799" i="1"/>
  <c r="G3799" i="1"/>
  <c r="F3799" i="1"/>
  <c r="V3798" i="1"/>
  <c r="Q3798" i="1"/>
  <c r="P3798" i="1"/>
  <c r="O3798" i="1"/>
  <c r="N3798" i="1"/>
  <c r="J3798" i="1"/>
  <c r="I3798" i="1"/>
  <c r="H3798" i="1"/>
  <c r="G3798" i="1"/>
  <c r="F3798" i="1"/>
  <c r="V3797" i="1"/>
  <c r="Q3797" i="1"/>
  <c r="P3797" i="1"/>
  <c r="O3797" i="1"/>
  <c r="N3797" i="1"/>
  <c r="J3797" i="1"/>
  <c r="I3797" i="1"/>
  <c r="H3797" i="1"/>
  <c r="G3797" i="1"/>
  <c r="F3797" i="1"/>
  <c r="V3796" i="1"/>
  <c r="Q3796" i="1"/>
  <c r="P3796" i="1"/>
  <c r="O3796" i="1"/>
  <c r="N3796" i="1"/>
  <c r="J3796" i="1"/>
  <c r="I3796" i="1"/>
  <c r="H3796" i="1"/>
  <c r="G3796" i="1"/>
  <c r="F3796" i="1"/>
  <c r="V3795" i="1"/>
  <c r="Q3795" i="1"/>
  <c r="P3795" i="1"/>
  <c r="O3795" i="1"/>
  <c r="N3795" i="1"/>
  <c r="J3795" i="1"/>
  <c r="I3795" i="1"/>
  <c r="H3795" i="1"/>
  <c r="G3795" i="1"/>
  <c r="F3795" i="1"/>
  <c r="V3794" i="1"/>
  <c r="Q3794" i="1"/>
  <c r="P3794" i="1"/>
  <c r="O3794" i="1"/>
  <c r="N3794" i="1"/>
  <c r="J3794" i="1"/>
  <c r="I3794" i="1"/>
  <c r="H3794" i="1"/>
  <c r="G3794" i="1"/>
  <c r="F3794" i="1"/>
  <c r="V3793" i="1"/>
  <c r="Q3793" i="1"/>
  <c r="P3793" i="1"/>
  <c r="O3793" i="1"/>
  <c r="N3793" i="1"/>
  <c r="J3793" i="1"/>
  <c r="I3793" i="1"/>
  <c r="H3793" i="1"/>
  <c r="G3793" i="1"/>
  <c r="F3793" i="1"/>
  <c r="V3792" i="1"/>
  <c r="Q3792" i="1"/>
  <c r="P3792" i="1"/>
  <c r="O3792" i="1"/>
  <c r="N3792" i="1"/>
  <c r="J3792" i="1"/>
  <c r="I3792" i="1"/>
  <c r="H3792" i="1"/>
  <c r="G3792" i="1"/>
  <c r="F3792" i="1"/>
  <c r="V3791" i="1"/>
  <c r="Q3791" i="1"/>
  <c r="P3791" i="1"/>
  <c r="O3791" i="1"/>
  <c r="N3791" i="1"/>
  <c r="J3791" i="1"/>
  <c r="I3791" i="1"/>
  <c r="H3791" i="1"/>
  <c r="G3791" i="1"/>
  <c r="V3790" i="1"/>
  <c r="Q3790" i="1"/>
  <c r="P3790" i="1"/>
  <c r="O3790" i="1"/>
  <c r="N3790" i="1"/>
  <c r="J3790" i="1"/>
  <c r="I3790" i="1"/>
  <c r="H3790" i="1"/>
  <c r="G3790" i="1"/>
  <c r="V3789" i="1"/>
  <c r="Q3789" i="1"/>
  <c r="P3789" i="1"/>
  <c r="O3789" i="1"/>
  <c r="N3789" i="1"/>
  <c r="J3789" i="1"/>
  <c r="I3789" i="1"/>
  <c r="H3789" i="1"/>
  <c r="G3789" i="1"/>
  <c r="V3788" i="1"/>
  <c r="Q3788" i="1"/>
  <c r="P3788" i="1"/>
  <c r="O3788" i="1"/>
  <c r="N3788" i="1"/>
  <c r="J3788" i="1"/>
  <c r="I3788" i="1"/>
  <c r="H3788" i="1"/>
  <c r="G3788" i="1"/>
  <c r="V3787" i="1"/>
  <c r="Q3787" i="1"/>
  <c r="P3787" i="1"/>
  <c r="O3787" i="1"/>
  <c r="N3787" i="1"/>
  <c r="J3787" i="1"/>
  <c r="I3787" i="1"/>
  <c r="H3787" i="1"/>
  <c r="G3787" i="1"/>
  <c r="V3786" i="1"/>
  <c r="Q3786" i="1"/>
  <c r="P3786" i="1"/>
  <c r="O3786" i="1"/>
  <c r="N3786" i="1"/>
  <c r="J3786" i="1"/>
  <c r="I3786" i="1"/>
  <c r="H3786" i="1"/>
  <c r="G3786" i="1"/>
  <c r="V3785" i="1"/>
  <c r="Q3785" i="1"/>
  <c r="P3785" i="1"/>
  <c r="O3785" i="1"/>
  <c r="N3785" i="1"/>
  <c r="J3785" i="1"/>
  <c r="I3785" i="1"/>
  <c r="H3785" i="1"/>
  <c r="G3785" i="1"/>
  <c r="V3784" i="1"/>
  <c r="Q3784" i="1"/>
  <c r="P3784" i="1"/>
  <c r="O3784" i="1"/>
  <c r="N3784" i="1"/>
  <c r="J3784" i="1"/>
  <c r="I3784" i="1"/>
  <c r="H3784" i="1"/>
  <c r="G3784" i="1"/>
  <c r="V3783" i="1"/>
  <c r="Q3783" i="1"/>
  <c r="P3783" i="1"/>
  <c r="O3783" i="1"/>
  <c r="N3783" i="1"/>
  <c r="J3783" i="1"/>
  <c r="I3783" i="1"/>
  <c r="H3783" i="1"/>
  <c r="G3783" i="1"/>
  <c r="V3782" i="1"/>
  <c r="Q3782" i="1"/>
  <c r="P3782" i="1"/>
  <c r="O3782" i="1"/>
  <c r="N3782" i="1"/>
  <c r="J3782" i="1"/>
  <c r="I3782" i="1"/>
  <c r="H3782" i="1"/>
  <c r="G3782" i="1"/>
  <c r="V3781" i="1"/>
  <c r="Q3781" i="1"/>
  <c r="P3781" i="1"/>
  <c r="O3781" i="1"/>
  <c r="N3781" i="1"/>
  <c r="J3781" i="1"/>
  <c r="I3781" i="1"/>
  <c r="H3781" i="1"/>
  <c r="G3781" i="1"/>
  <c r="V3780" i="1"/>
  <c r="Q3780" i="1"/>
  <c r="P3780" i="1"/>
  <c r="O3780" i="1"/>
  <c r="N3780" i="1"/>
  <c r="J3780" i="1"/>
  <c r="I3780" i="1"/>
  <c r="H3780" i="1"/>
  <c r="G3780" i="1"/>
  <c r="V3779" i="1"/>
  <c r="Q3779" i="1"/>
  <c r="P3779" i="1"/>
  <c r="O3779" i="1"/>
  <c r="N3779" i="1"/>
  <c r="J3779" i="1"/>
  <c r="I3779" i="1"/>
  <c r="H3779" i="1"/>
  <c r="G3779" i="1"/>
  <c r="V3778" i="1"/>
  <c r="Q3778" i="1"/>
  <c r="P3778" i="1"/>
  <c r="O3778" i="1"/>
  <c r="N3778" i="1"/>
  <c r="J3778" i="1"/>
  <c r="I3778" i="1"/>
  <c r="H3778" i="1"/>
  <c r="G3778" i="1"/>
  <c r="V3777" i="1"/>
  <c r="Q3777" i="1"/>
  <c r="P3777" i="1"/>
  <c r="O3777" i="1"/>
  <c r="N3777" i="1"/>
  <c r="J3777" i="1"/>
  <c r="I3777" i="1"/>
  <c r="H3777" i="1"/>
  <c r="G3777" i="1"/>
  <c r="V3776" i="1"/>
  <c r="Q3776" i="1"/>
  <c r="P3776" i="1"/>
  <c r="O3776" i="1"/>
  <c r="N3776" i="1"/>
  <c r="J3776" i="1"/>
  <c r="I3776" i="1"/>
  <c r="H3776" i="1"/>
  <c r="G3776" i="1"/>
  <c r="F3776" i="1"/>
  <c r="V3775" i="1"/>
  <c r="Q3775" i="1"/>
  <c r="P3775" i="1"/>
  <c r="O3775" i="1"/>
  <c r="N3775" i="1"/>
  <c r="J3775" i="1"/>
  <c r="I3775" i="1"/>
  <c r="H3775" i="1"/>
  <c r="G3775" i="1"/>
  <c r="F3775" i="1"/>
  <c r="V3774" i="1"/>
  <c r="Q3774" i="1"/>
  <c r="P3774" i="1"/>
  <c r="O3774" i="1"/>
  <c r="N3774" i="1"/>
  <c r="J3774" i="1"/>
  <c r="I3774" i="1"/>
  <c r="H3774" i="1"/>
  <c r="G3774" i="1"/>
  <c r="F3774" i="1"/>
  <c r="V3773" i="1"/>
  <c r="Q3773" i="1"/>
  <c r="P3773" i="1"/>
  <c r="O3773" i="1"/>
  <c r="N3773" i="1"/>
  <c r="J3773" i="1"/>
  <c r="I3773" i="1"/>
  <c r="H3773" i="1"/>
  <c r="G3773" i="1"/>
  <c r="F3773" i="1"/>
  <c r="V3772" i="1"/>
  <c r="Q3772" i="1"/>
  <c r="P3772" i="1"/>
  <c r="O3772" i="1"/>
  <c r="N3772" i="1"/>
  <c r="J3772" i="1"/>
  <c r="I3772" i="1"/>
  <c r="H3772" i="1"/>
  <c r="G3772" i="1"/>
  <c r="F3772" i="1"/>
  <c r="V3771" i="1"/>
  <c r="Q3771" i="1"/>
  <c r="P3771" i="1"/>
  <c r="O3771" i="1"/>
  <c r="N3771" i="1"/>
  <c r="J3771" i="1"/>
  <c r="I3771" i="1"/>
  <c r="H3771" i="1"/>
  <c r="G3771" i="1"/>
  <c r="F3771" i="1"/>
  <c r="V3770" i="1"/>
  <c r="Q3770" i="1"/>
  <c r="P3770" i="1"/>
  <c r="O3770" i="1"/>
  <c r="N3770" i="1"/>
  <c r="J3770" i="1"/>
  <c r="I3770" i="1"/>
  <c r="H3770" i="1"/>
  <c r="G3770" i="1"/>
  <c r="F3770" i="1"/>
  <c r="V3769" i="1"/>
  <c r="Q3769" i="1"/>
  <c r="P3769" i="1"/>
  <c r="O3769" i="1"/>
  <c r="N3769" i="1"/>
  <c r="J3769" i="1"/>
  <c r="I3769" i="1"/>
  <c r="H3769" i="1"/>
  <c r="G3769" i="1"/>
  <c r="F3769" i="1"/>
  <c r="V3768" i="1"/>
  <c r="Q3768" i="1"/>
  <c r="P3768" i="1"/>
  <c r="O3768" i="1"/>
  <c r="N3768" i="1"/>
  <c r="J3768" i="1"/>
  <c r="I3768" i="1"/>
  <c r="H3768" i="1"/>
  <c r="G3768" i="1"/>
  <c r="F3768" i="1"/>
  <c r="V3767" i="1"/>
  <c r="Q3767" i="1"/>
  <c r="P3767" i="1"/>
  <c r="O3767" i="1"/>
  <c r="N3767" i="1"/>
  <c r="J3767" i="1"/>
  <c r="I3767" i="1"/>
  <c r="H3767" i="1"/>
  <c r="G3767" i="1"/>
  <c r="F3767" i="1"/>
  <c r="V3766" i="1"/>
  <c r="Q3766" i="1"/>
  <c r="P3766" i="1"/>
  <c r="O3766" i="1"/>
  <c r="N3766" i="1"/>
  <c r="J3766" i="1"/>
  <c r="I3766" i="1"/>
  <c r="H3766" i="1"/>
  <c r="G3766" i="1"/>
  <c r="F3766" i="1"/>
  <c r="V3765" i="1"/>
  <c r="Q3765" i="1"/>
  <c r="P3765" i="1"/>
  <c r="O3765" i="1"/>
  <c r="N3765" i="1"/>
  <c r="J3765" i="1"/>
  <c r="I3765" i="1"/>
  <c r="H3765" i="1"/>
  <c r="G3765" i="1"/>
  <c r="F3765" i="1"/>
  <c r="V3764" i="1"/>
  <c r="Q3764" i="1"/>
  <c r="P3764" i="1"/>
  <c r="O3764" i="1"/>
  <c r="N3764" i="1"/>
  <c r="J3764" i="1"/>
  <c r="I3764" i="1"/>
  <c r="H3764" i="1"/>
  <c r="G3764" i="1"/>
  <c r="F3764" i="1"/>
  <c r="V3763" i="1"/>
  <c r="Q3763" i="1"/>
  <c r="P3763" i="1"/>
  <c r="O3763" i="1"/>
  <c r="N3763" i="1"/>
  <c r="J3763" i="1"/>
  <c r="I3763" i="1"/>
  <c r="H3763" i="1"/>
  <c r="G3763" i="1"/>
  <c r="F3763" i="1"/>
  <c r="V3762" i="1"/>
  <c r="Q3762" i="1"/>
  <c r="P3762" i="1"/>
  <c r="O3762" i="1"/>
  <c r="N3762" i="1"/>
  <c r="J3762" i="1"/>
  <c r="I3762" i="1"/>
  <c r="H3762" i="1"/>
  <c r="G3762" i="1"/>
  <c r="F3762" i="1"/>
  <c r="V3761" i="1"/>
  <c r="Q3761" i="1"/>
  <c r="P3761" i="1"/>
  <c r="O3761" i="1"/>
  <c r="N3761" i="1"/>
  <c r="J3761" i="1"/>
  <c r="I3761" i="1"/>
  <c r="H3761" i="1"/>
  <c r="G3761" i="1"/>
  <c r="F3761" i="1"/>
  <c r="V3760" i="1"/>
  <c r="Q3760" i="1"/>
  <c r="P3760" i="1"/>
  <c r="O3760" i="1"/>
  <c r="N3760" i="1"/>
  <c r="J3760" i="1"/>
  <c r="I3760" i="1"/>
  <c r="H3760" i="1"/>
  <c r="G3760" i="1"/>
  <c r="F3760" i="1"/>
  <c r="V3759" i="1"/>
  <c r="Q3759" i="1"/>
  <c r="P3759" i="1"/>
  <c r="O3759" i="1"/>
  <c r="N3759" i="1"/>
  <c r="J3759" i="1"/>
  <c r="I3759" i="1"/>
  <c r="H3759" i="1"/>
  <c r="G3759" i="1"/>
  <c r="F3759" i="1"/>
  <c r="V3758" i="1"/>
  <c r="Q3758" i="1"/>
  <c r="P3758" i="1"/>
  <c r="O3758" i="1"/>
  <c r="N3758" i="1"/>
  <c r="J3758" i="1"/>
  <c r="I3758" i="1"/>
  <c r="H3758" i="1"/>
  <c r="G3758" i="1"/>
  <c r="F3758" i="1"/>
  <c r="V3757" i="1"/>
  <c r="Q3757" i="1"/>
  <c r="P3757" i="1"/>
  <c r="O3757" i="1"/>
  <c r="N3757" i="1"/>
  <c r="J3757" i="1"/>
  <c r="I3757" i="1"/>
  <c r="H3757" i="1"/>
  <c r="G3757" i="1"/>
  <c r="F3757" i="1"/>
  <c r="V3756" i="1"/>
  <c r="Q3756" i="1"/>
  <c r="P3756" i="1"/>
  <c r="O3756" i="1"/>
  <c r="N3756" i="1"/>
  <c r="J3756" i="1"/>
  <c r="I3756" i="1"/>
  <c r="H3756" i="1"/>
  <c r="G3756" i="1"/>
  <c r="F3756" i="1"/>
  <c r="V3755" i="1"/>
  <c r="Q3755" i="1"/>
  <c r="P3755" i="1"/>
  <c r="O3755" i="1"/>
  <c r="N3755" i="1"/>
  <c r="J3755" i="1"/>
  <c r="I3755" i="1"/>
  <c r="H3755" i="1"/>
  <c r="G3755" i="1"/>
  <c r="F3755" i="1"/>
  <c r="V3754" i="1"/>
  <c r="Q3754" i="1"/>
  <c r="P3754" i="1"/>
  <c r="O3754" i="1"/>
  <c r="N3754" i="1"/>
  <c r="J3754" i="1"/>
  <c r="I3754" i="1"/>
  <c r="H3754" i="1"/>
  <c r="G3754" i="1"/>
  <c r="F3754" i="1"/>
  <c r="V3753" i="1"/>
  <c r="Q3753" i="1"/>
  <c r="P3753" i="1"/>
  <c r="O3753" i="1"/>
  <c r="N3753" i="1"/>
  <c r="J3753" i="1"/>
  <c r="I3753" i="1"/>
  <c r="H3753" i="1"/>
  <c r="G3753" i="1"/>
  <c r="F3753" i="1"/>
  <c r="V3752" i="1"/>
  <c r="Q3752" i="1"/>
  <c r="P3752" i="1"/>
  <c r="O3752" i="1"/>
  <c r="N3752" i="1"/>
  <c r="J3752" i="1"/>
  <c r="I3752" i="1"/>
  <c r="H3752" i="1"/>
  <c r="G3752" i="1"/>
  <c r="F3752" i="1"/>
  <c r="V3751" i="1"/>
  <c r="Q3751" i="1"/>
  <c r="P3751" i="1"/>
  <c r="O3751" i="1"/>
  <c r="N3751" i="1"/>
  <c r="J3751" i="1"/>
  <c r="I3751" i="1"/>
  <c r="H3751" i="1"/>
  <c r="G3751" i="1"/>
  <c r="F3751" i="1"/>
  <c r="V3750" i="1"/>
  <c r="Q3750" i="1"/>
  <c r="P3750" i="1"/>
  <c r="O3750" i="1"/>
  <c r="N3750" i="1"/>
  <c r="J3750" i="1"/>
  <c r="I3750" i="1"/>
  <c r="H3750" i="1"/>
  <c r="G3750" i="1"/>
  <c r="F3750" i="1"/>
  <c r="V3749" i="1"/>
  <c r="Q3749" i="1"/>
  <c r="P3749" i="1"/>
  <c r="O3749" i="1"/>
  <c r="N3749" i="1"/>
  <c r="J3749" i="1"/>
  <c r="I3749" i="1"/>
  <c r="H3749" i="1"/>
  <c r="G3749" i="1"/>
  <c r="F3749" i="1"/>
  <c r="V3748" i="1"/>
  <c r="Q3748" i="1"/>
  <c r="P3748" i="1"/>
  <c r="O3748" i="1"/>
  <c r="N3748" i="1"/>
  <c r="J3748" i="1"/>
  <c r="I3748" i="1"/>
  <c r="H3748" i="1"/>
  <c r="G3748" i="1"/>
  <c r="F3748" i="1"/>
  <c r="V3747" i="1"/>
  <c r="Q3747" i="1"/>
  <c r="P3747" i="1"/>
  <c r="O3747" i="1"/>
  <c r="N3747" i="1"/>
  <c r="J3747" i="1"/>
  <c r="I3747" i="1"/>
  <c r="H3747" i="1"/>
  <c r="G3747" i="1"/>
  <c r="F3747" i="1"/>
  <c r="V3746" i="1"/>
  <c r="Q3746" i="1"/>
  <c r="P3746" i="1"/>
  <c r="O3746" i="1"/>
  <c r="N3746" i="1"/>
  <c r="J3746" i="1"/>
  <c r="I3746" i="1"/>
  <c r="H3746" i="1"/>
  <c r="G3746" i="1"/>
  <c r="F3746" i="1"/>
  <c r="V3745" i="1"/>
  <c r="Q3745" i="1"/>
  <c r="P3745" i="1"/>
  <c r="O3745" i="1"/>
  <c r="N3745" i="1"/>
  <c r="J3745" i="1"/>
  <c r="I3745" i="1"/>
  <c r="H3745" i="1"/>
  <c r="G3745" i="1"/>
  <c r="F3745" i="1"/>
  <c r="V3744" i="1"/>
  <c r="Q3744" i="1"/>
  <c r="P3744" i="1"/>
  <c r="O3744" i="1"/>
  <c r="N3744" i="1"/>
  <c r="J3744" i="1"/>
  <c r="I3744" i="1"/>
  <c r="H3744" i="1"/>
  <c r="G3744" i="1"/>
  <c r="F3744" i="1"/>
  <c r="V3743" i="1"/>
  <c r="Q3743" i="1"/>
  <c r="P3743" i="1"/>
  <c r="O3743" i="1"/>
  <c r="N3743" i="1"/>
  <c r="J3743" i="1"/>
  <c r="I3743" i="1"/>
  <c r="H3743" i="1"/>
  <c r="G3743" i="1"/>
  <c r="F3743" i="1"/>
  <c r="V3742" i="1"/>
  <c r="Q3742" i="1"/>
  <c r="P3742" i="1"/>
  <c r="O3742" i="1"/>
  <c r="N3742" i="1"/>
  <c r="J3742" i="1"/>
  <c r="I3742" i="1"/>
  <c r="H3742" i="1"/>
  <c r="G3742" i="1"/>
  <c r="F3742" i="1"/>
  <c r="V3741" i="1"/>
  <c r="Q3741" i="1"/>
  <c r="P3741" i="1"/>
  <c r="O3741" i="1"/>
  <c r="N3741" i="1"/>
  <c r="J3741" i="1"/>
  <c r="I3741" i="1"/>
  <c r="H3741" i="1"/>
  <c r="G3741" i="1"/>
  <c r="F3741" i="1"/>
  <c r="V3740" i="1"/>
  <c r="Q3740" i="1"/>
  <c r="P3740" i="1"/>
  <c r="O3740" i="1"/>
  <c r="N3740" i="1"/>
  <c r="J3740" i="1"/>
  <c r="I3740" i="1"/>
  <c r="H3740" i="1"/>
  <c r="G3740" i="1"/>
  <c r="F3740" i="1"/>
  <c r="V3739" i="1"/>
  <c r="Q3739" i="1"/>
  <c r="P3739" i="1"/>
  <c r="O3739" i="1"/>
  <c r="N3739" i="1"/>
  <c r="J3739" i="1"/>
  <c r="I3739" i="1"/>
  <c r="H3739" i="1"/>
  <c r="G3739" i="1"/>
  <c r="F3739" i="1"/>
  <c r="V3738" i="1"/>
  <c r="Q3738" i="1"/>
  <c r="P3738" i="1"/>
  <c r="O3738" i="1"/>
  <c r="N3738" i="1"/>
  <c r="J3738" i="1"/>
  <c r="I3738" i="1"/>
  <c r="H3738" i="1"/>
  <c r="G3738" i="1"/>
  <c r="F3738" i="1"/>
  <c r="V3737" i="1"/>
  <c r="Q3737" i="1"/>
  <c r="P3737" i="1"/>
  <c r="O3737" i="1"/>
  <c r="N3737" i="1"/>
  <c r="J3737" i="1"/>
  <c r="I3737" i="1"/>
  <c r="H3737" i="1"/>
  <c r="G3737" i="1"/>
  <c r="F3737" i="1"/>
  <c r="V3736" i="1"/>
  <c r="Q3736" i="1"/>
  <c r="P3736" i="1"/>
  <c r="O3736" i="1"/>
  <c r="N3736" i="1"/>
  <c r="J3736" i="1"/>
  <c r="I3736" i="1"/>
  <c r="H3736" i="1"/>
  <c r="G3736" i="1"/>
  <c r="F3736" i="1"/>
  <c r="V3735" i="1"/>
  <c r="Q3735" i="1"/>
  <c r="P3735" i="1"/>
  <c r="O3735" i="1"/>
  <c r="N3735" i="1"/>
  <c r="J3735" i="1"/>
  <c r="I3735" i="1"/>
  <c r="H3735" i="1"/>
  <c r="G3735" i="1"/>
  <c r="F3735" i="1"/>
  <c r="V3734" i="1"/>
  <c r="Q3734" i="1"/>
  <c r="P3734" i="1"/>
  <c r="O3734" i="1"/>
  <c r="N3734" i="1"/>
  <c r="J3734" i="1"/>
  <c r="I3734" i="1"/>
  <c r="H3734" i="1"/>
  <c r="G3734" i="1"/>
  <c r="F3734" i="1"/>
  <c r="V3733" i="1"/>
  <c r="Q3733" i="1"/>
  <c r="P3733" i="1"/>
  <c r="O3733" i="1"/>
  <c r="N3733" i="1"/>
  <c r="J3733" i="1"/>
  <c r="I3733" i="1"/>
  <c r="H3733" i="1"/>
  <c r="G3733" i="1"/>
  <c r="F3733" i="1"/>
  <c r="V3732" i="1"/>
  <c r="Q3732" i="1"/>
  <c r="P3732" i="1"/>
  <c r="O3732" i="1"/>
  <c r="N3732" i="1"/>
  <c r="J3732" i="1"/>
  <c r="I3732" i="1"/>
  <c r="H3732" i="1"/>
  <c r="G3732" i="1"/>
  <c r="F3732" i="1"/>
  <c r="V3731" i="1"/>
  <c r="Q3731" i="1"/>
  <c r="P3731" i="1"/>
  <c r="O3731" i="1"/>
  <c r="N3731" i="1"/>
  <c r="J3731" i="1"/>
  <c r="I3731" i="1"/>
  <c r="H3731" i="1"/>
  <c r="G3731" i="1"/>
  <c r="F3731" i="1"/>
  <c r="V3730" i="1"/>
  <c r="Q3730" i="1"/>
  <c r="P3730" i="1"/>
  <c r="O3730" i="1"/>
  <c r="N3730" i="1"/>
  <c r="J3730" i="1"/>
  <c r="I3730" i="1"/>
  <c r="H3730" i="1"/>
  <c r="G3730" i="1"/>
  <c r="F3730" i="1"/>
  <c r="V3729" i="1"/>
  <c r="Q3729" i="1"/>
  <c r="P3729" i="1"/>
  <c r="O3729" i="1"/>
  <c r="N3729" i="1"/>
  <c r="J3729" i="1"/>
  <c r="I3729" i="1"/>
  <c r="H3729" i="1"/>
  <c r="G3729" i="1"/>
  <c r="F3729" i="1"/>
  <c r="V3728" i="1"/>
  <c r="Q3728" i="1"/>
  <c r="P3728" i="1"/>
  <c r="O3728" i="1"/>
  <c r="N3728" i="1"/>
  <c r="J3728" i="1"/>
  <c r="I3728" i="1"/>
  <c r="H3728" i="1"/>
  <c r="G3728" i="1"/>
  <c r="F3728" i="1"/>
  <c r="V3727" i="1"/>
  <c r="Q3727" i="1"/>
  <c r="P3727" i="1"/>
  <c r="O3727" i="1"/>
  <c r="N3727" i="1"/>
  <c r="J3727" i="1"/>
  <c r="I3727" i="1"/>
  <c r="H3727" i="1"/>
  <c r="G3727" i="1"/>
  <c r="F3727" i="1"/>
  <c r="V3726" i="1"/>
  <c r="Q3726" i="1"/>
  <c r="P3726" i="1"/>
  <c r="O3726" i="1"/>
  <c r="N3726" i="1"/>
  <c r="J3726" i="1"/>
  <c r="I3726" i="1"/>
  <c r="H3726" i="1"/>
  <c r="G3726" i="1"/>
  <c r="F3726" i="1"/>
  <c r="V3725" i="1"/>
  <c r="Q3725" i="1"/>
  <c r="P3725" i="1"/>
  <c r="O3725" i="1"/>
  <c r="N3725" i="1"/>
  <c r="J3725" i="1"/>
  <c r="I3725" i="1"/>
  <c r="H3725" i="1"/>
  <c r="G3725" i="1"/>
  <c r="F3725" i="1"/>
  <c r="V3724" i="1"/>
  <c r="Q3724" i="1"/>
  <c r="P3724" i="1"/>
  <c r="O3724" i="1"/>
  <c r="N3724" i="1"/>
  <c r="J3724" i="1"/>
  <c r="I3724" i="1"/>
  <c r="H3724" i="1"/>
  <c r="G3724" i="1"/>
  <c r="F3724" i="1"/>
  <c r="V3723" i="1"/>
  <c r="Q3723" i="1"/>
  <c r="P3723" i="1"/>
  <c r="O3723" i="1"/>
  <c r="N3723" i="1"/>
  <c r="J3723" i="1"/>
  <c r="I3723" i="1"/>
  <c r="H3723" i="1"/>
  <c r="G3723" i="1"/>
  <c r="F3723" i="1"/>
  <c r="V3722" i="1"/>
  <c r="Q3722" i="1"/>
  <c r="P3722" i="1"/>
  <c r="O3722" i="1"/>
  <c r="N3722" i="1"/>
  <c r="J3722" i="1"/>
  <c r="I3722" i="1"/>
  <c r="H3722" i="1"/>
  <c r="G3722" i="1"/>
  <c r="F3722" i="1"/>
  <c r="V3721" i="1"/>
  <c r="Q3721" i="1"/>
  <c r="P3721" i="1"/>
  <c r="O3721" i="1"/>
  <c r="N3721" i="1"/>
  <c r="J3721" i="1"/>
  <c r="I3721" i="1"/>
  <c r="H3721" i="1"/>
  <c r="G3721" i="1"/>
  <c r="F3721" i="1"/>
  <c r="V3720" i="1"/>
  <c r="Q3720" i="1"/>
  <c r="P3720" i="1"/>
  <c r="O3720" i="1"/>
  <c r="N3720" i="1"/>
  <c r="J3720" i="1"/>
  <c r="I3720" i="1"/>
  <c r="H3720" i="1"/>
  <c r="G3720" i="1"/>
  <c r="F3720" i="1"/>
  <c r="V3719" i="1"/>
  <c r="Q3719" i="1"/>
  <c r="P3719" i="1"/>
  <c r="O3719" i="1"/>
  <c r="N3719" i="1"/>
  <c r="J3719" i="1"/>
  <c r="I3719" i="1"/>
  <c r="H3719" i="1"/>
  <c r="G3719" i="1"/>
  <c r="F3719" i="1"/>
  <c r="V3718" i="1"/>
  <c r="Q3718" i="1"/>
  <c r="P3718" i="1"/>
  <c r="O3718" i="1"/>
  <c r="N3718" i="1"/>
  <c r="J3718" i="1"/>
  <c r="I3718" i="1"/>
  <c r="H3718" i="1"/>
  <c r="G3718" i="1"/>
  <c r="F3718" i="1"/>
  <c r="V3717" i="1"/>
  <c r="Q3717" i="1"/>
  <c r="P3717" i="1"/>
  <c r="O3717" i="1"/>
  <c r="N3717" i="1"/>
  <c r="J3717" i="1"/>
  <c r="I3717" i="1"/>
  <c r="H3717" i="1"/>
  <c r="G3717" i="1"/>
  <c r="F3717" i="1"/>
  <c r="V3716" i="1"/>
  <c r="Q3716" i="1"/>
  <c r="P3716" i="1"/>
  <c r="O3716" i="1"/>
  <c r="N3716" i="1"/>
  <c r="J3716" i="1"/>
  <c r="I3716" i="1"/>
  <c r="H3716" i="1"/>
  <c r="G3716" i="1"/>
  <c r="F3716" i="1"/>
  <c r="V3715" i="1"/>
  <c r="Q3715" i="1"/>
  <c r="P3715" i="1"/>
  <c r="O3715" i="1"/>
  <c r="N3715" i="1"/>
  <c r="J3715" i="1"/>
  <c r="I3715" i="1"/>
  <c r="H3715" i="1"/>
  <c r="G3715" i="1"/>
  <c r="F3715" i="1"/>
  <c r="V3714" i="1"/>
  <c r="Q3714" i="1"/>
  <c r="P3714" i="1"/>
  <c r="O3714" i="1"/>
  <c r="N3714" i="1"/>
  <c r="J3714" i="1"/>
  <c r="I3714" i="1"/>
  <c r="H3714" i="1"/>
  <c r="G3714" i="1"/>
  <c r="F3714" i="1"/>
  <c r="V3713" i="1"/>
  <c r="Q3713" i="1"/>
  <c r="P3713" i="1"/>
  <c r="O3713" i="1"/>
  <c r="N3713" i="1"/>
  <c r="J3713" i="1"/>
  <c r="I3713" i="1"/>
  <c r="H3713" i="1"/>
  <c r="G3713" i="1"/>
  <c r="F3713" i="1"/>
  <c r="V3712" i="1"/>
  <c r="Q3712" i="1"/>
  <c r="P3712" i="1"/>
  <c r="O3712" i="1"/>
  <c r="N3712" i="1"/>
  <c r="J3712" i="1"/>
  <c r="I3712" i="1"/>
  <c r="H3712" i="1"/>
  <c r="G3712" i="1"/>
  <c r="F3712" i="1"/>
  <c r="V3711" i="1"/>
  <c r="Q3711" i="1"/>
  <c r="P3711" i="1"/>
  <c r="O3711" i="1"/>
  <c r="N3711" i="1"/>
  <c r="J3711" i="1"/>
  <c r="I3711" i="1"/>
  <c r="H3711" i="1"/>
  <c r="G3711" i="1"/>
  <c r="F3711" i="1"/>
  <c r="V3710" i="1"/>
  <c r="Q3710" i="1"/>
  <c r="P3710" i="1"/>
  <c r="O3710" i="1"/>
  <c r="N3710" i="1"/>
  <c r="J3710" i="1"/>
  <c r="I3710" i="1"/>
  <c r="H3710" i="1"/>
  <c r="G3710" i="1"/>
  <c r="F3710" i="1"/>
  <c r="V3709" i="1"/>
  <c r="Q3709" i="1"/>
  <c r="P3709" i="1"/>
  <c r="O3709" i="1"/>
  <c r="N3709" i="1"/>
  <c r="J3709" i="1"/>
  <c r="I3709" i="1"/>
  <c r="H3709" i="1"/>
  <c r="G3709" i="1"/>
  <c r="F3709" i="1"/>
  <c r="V3708" i="1"/>
  <c r="Q3708" i="1"/>
  <c r="P3708" i="1"/>
  <c r="O3708" i="1"/>
  <c r="N3708" i="1"/>
  <c r="J3708" i="1"/>
  <c r="I3708" i="1"/>
  <c r="H3708" i="1"/>
  <c r="G3708" i="1"/>
  <c r="F3708" i="1"/>
  <c r="V3707" i="1"/>
  <c r="Q3707" i="1"/>
  <c r="P3707" i="1"/>
  <c r="O3707" i="1"/>
  <c r="N3707" i="1"/>
  <c r="J3707" i="1"/>
  <c r="I3707" i="1"/>
  <c r="H3707" i="1"/>
  <c r="G3707" i="1"/>
  <c r="F3707" i="1"/>
  <c r="V3706" i="1"/>
  <c r="Q3706" i="1"/>
  <c r="P3706" i="1"/>
  <c r="O3706" i="1"/>
  <c r="N3706" i="1"/>
  <c r="J3706" i="1"/>
  <c r="I3706" i="1"/>
  <c r="H3706" i="1"/>
  <c r="G3706" i="1"/>
  <c r="F3706" i="1"/>
  <c r="V3705" i="1"/>
  <c r="Q3705" i="1"/>
  <c r="P3705" i="1"/>
  <c r="O3705" i="1"/>
  <c r="N3705" i="1"/>
  <c r="J3705" i="1"/>
  <c r="I3705" i="1"/>
  <c r="H3705" i="1"/>
  <c r="G3705" i="1"/>
  <c r="F3705" i="1"/>
  <c r="V3704" i="1"/>
  <c r="Q3704" i="1"/>
  <c r="P3704" i="1"/>
  <c r="O3704" i="1"/>
  <c r="N3704" i="1"/>
  <c r="J3704" i="1"/>
  <c r="I3704" i="1"/>
  <c r="H3704" i="1"/>
  <c r="G3704" i="1"/>
  <c r="F3704" i="1"/>
  <c r="V3703" i="1"/>
  <c r="Q3703" i="1"/>
  <c r="P3703" i="1"/>
  <c r="O3703" i="1"/>
  <c r="N3703" i="1"/>
  <c r="J3703" i="1"/>
  <c r="I3703" i="1"/>
  <c r="H3703" i="1"/>
  <c r="G3703" i="1"/>
  <c r="F3703" i="1"/>
  <c r="V3702" i="1"/>
  <c r="Q3702" i="1"/>
  <c r="P3702" i="1"/>
  <c r="O3702" i="1"/>
  <c r="N3702" i="1"/>
  <c r="J3702" i="1"/>
  <c r="I3702" i="1"/>
  <c r="H3702" i="1"/>
  <c r="G3702" i="1"/>
  <c r="F3702" i="1"/>
  <c r="V3701" i="1"/>
  <c r="Q3701" i="1"/>
  <c r="P3701" i="1"/>
  <c r="O3701" i="1"/>
  <c r="N3701" i="1"/>
  <c r="J3701" i="1"/>
  <c r="I3701" i="1"/>
  <c r="H3701" i="1"/>
  <c r="G3701" i="1"/>
  <c r="F3701" i="1"/>
  <c r="V3700" i="1"/>
  <c r="Q3700" i="1"/>
  <c r="P3700" i="1"/>
  <c r="O3700" i="1"/>
  <c r="N3700" i="1"/>
  <c r="J3700" i="1"/>
  <c r="I3700" i="1"/>
  <c r="H3700" i="1"/>
  <c r="G3700" i="1"/>
  <c r="F3700" i="1"/>
  <c r="V3699" i="1"/>
  <c r="Q3699" i="1"/>
  <c r="P3699" i="1"/>
  <c r="O3699" i="1"/>
  <c r="N3699" i="1"/>
  <c r="J3699" i="1"/>
  <c r="I3699" i="1"/>
  <c r="H3699" i="1"/>
  <c r="G3699" i="1"/>
  <c r="F3699" i="1"/>
  <c r="V3698" i="1"/>
  <c r="Q3698" i="1"/>
  <c r="P3698" i="1"/>
  <c r="O3698" i="1"/>
  <c r="N3698" i="1"/>
  <c r="J3698" i="1"/>
  <c r="I3698" i="1"/>
  <c r="H3698" i="1"/>
  <c r="G3698" i="1"/>
  <c r="F3698" i="1"/>
  <c r="V3697" i="1"/>
  <c r="Q3697" i="1"/>
  <c r="P3697" i="1"/>
  <c r="O3697" i="1"/>
  <c r="N3697" i="1"/>
  <c r="J3697" i="1"/>
  <c r="I3697" i="1"/>
  <c r="H3697" i="1"/>
  <c r="G3697" i="1"/>
  <c r="F3697" i="1"/>
  <c r="V3696" i="1"/>
  <c r="Q3696" i="1"/>
  <c r="P3696" i="1"/>
  <c r="O3696" i="1"/>
  <c r="N3696" i="1"/>
  <c r="J3696" i="1"/>
  <c r="I3696" i="1"/>
  <c r="H3696" i="1"/>
  <c r="G3696" i="1"/>
  <c r="F3696" i="1"/>
  <c r="V3695" i="1"/>
  <c r="Q3695" i="1"/>
  <c r="P3695" i="1"/>
  <c r="O3695" i="1"/>
  <c r="N3695" i="1"/>
  <c r="J3695" i="1"/>
  <c r="I3695" i="1"/>
  <c r="H3695" i="1"/>
  <c r="G3695" i="1"/>
  <c r="F3695" i="1"/>
  <c r="V3694" i="1"/>
  <c r="Q3694" i="1"/>
  <c r="P3694" i="1"/>
  <c r="O3694" i="1"/>
  <c r="N3694" i="1"/>
  <c r="J3694" i="1"/>
  <c r="I3694" i="1"/>
  <c r="H3694" i="1"/>
  <c r="G3694" i="1"/>
  <c r="F3694" i="1"/>
  <c r="V3693" i="1"/>
  <c r="Q3693" i="1"/>
  <c r="P3693" i="1"/>
  <c r="O3693" i="1"/>
  <c r="N3693" i="1"/>
  <c r="J3693" i="1"/>
  <c r="I3693" i="1"/>
  <c r="H3693" i="1"/>
  <c r="G3693" i="1"/>
  <c r="F3693" i="1"/>
  <c r="V3692" i="1"/>
  <c r="Q3692" i="1"/>
  <c r="P3692" i="1"/>
  <c r="O3692" i="1"/>
  <c r="N3692" i="1"/>
  <c r="J3692" i="1"/>
  <c r="I3692" i="1"/>
  <c r="H3692" i="1"/>
  <c r="G3692" i="1"/>
  <c r="F3692" i="1"/>
  <c r="V3691" i="1"/>
  <c r="Q3691" i="1"/>
  <c r="P3691" i="1"/>
  <c r="O3691" i="1"/>
  <c r="N3691" i="1"/>
  <c r="J3691" i="1"/>
  <c r="I3691" i="1"/>
  <c r="H3691" i="1"/>
  <c r="G3691" i="1"/>
  <c r="F3691" i="1"/>
  <c r="V3690" i="1"/>
  <c r="Q3690" i="1"/>
  <c r="P3690" i="1"/>
  <c r="O3690" i="1"/>
  <c r="N3690" i="1"/>
  <c r="J3690" i="1"/>
  <c r="I3690" i="1"/>
  <c r="H3690" i="1"/>
  <c r="G3690" i="1"/>
  <c r="V3689" i="1"/>
  <c r="Q3689" i="1"/>
  <c r="P3689" i="1"/>
  <c r="O3689" i="1"/>
  <c r="N3689" i="1"/>
  <c r="J3689" i="1"/>
  <c r="I3689" i="1"/>
  <c r="H3689" i="1"/>
  <c r="G3689" i="1"/>
  <c r="V3688" i="1"/>
  <c r="Q3688" i="1"/>
  <c r="P3688" i="1"/>
  <c r="O3688" i="1"/>
  <c r="N3688" i="1"/>
  <c r="J3688" i="1"/>
  <c r="I3688" i="1"/>
  <c r="H3688" i="1"/>
  <c r="G3688" i="1"/>
  <c r="V3687" i="1"/>
  <c r="Q3687" i="1"/>
  <c r="P3687" i="1"/>
  <c r="O3687" i="1"/>
  <c r="N3687" i="1"/>
  <c r="I3687" i="1"/>
  <c r="H3687" i="1"/>
  <c r="G3687" i="1"/>
  <c r="V3686" i="1"/>
  <c r="Q3686" i="1"/>
  <c r="P3686" i="1"/>
  <c r="O3686" i="1"/>
  <c r="N3686" i="1"/>
  <c r="I3686" i="1"/>
  <c r="H3686" i="1"/>
  <c r="G3686" i="1"/>
  <c r="V3685" i="1"/>
  <c r="Q3685" i="1"/>
  <c r="P3685" i="1"/>
  <c r="O3685" i="1"/>
  <c r="N3685" i="1"/>
  <c r="I3685" i="1"/>
  <c r="H3685" i="1"/>
  <c r="G3685" i="1"/>
  <c r="V3684" i="1"/>
  <c r="Q3684" i="1"/>
  <c r="P3684" i="1"/>
  <c r="O3684" i="1"/>
  <c r="N3684" i="1"/>
  <c r="I3684" i="1"/>
  <c r="H3684" i="1"/>
  <c r="G3684" i="1"/>
  <c r="V3683" i="1"/>
  <c r="Q3683" i="1"/>
  <c r="P3683" i="1"/>
  <c r="O3683" i="1"/>
  <c r="N3683" i="1"/>
  <c r="I3683" i="1"/>
  <c r="H3683" i="1"/>
  <c r="G3683" i="1"/>
  <c r="V3682" i="1"/>
  <c r="Q3682" i="1"/>
  <c r="P3682" i="1"/>
  <c r="O3682" i="1"/>
  <c r="N3682" i="1"/>
  <c r="I3682" i="1"/>
  <c r="H3682" i="1"/>
  <c r="G3682" i="1"/>
  <c r="V3681" i="1"/>
  <c r="Q3681" i="1"/>
  <c r="P3681" i="1"/>
  <c r="O3681" i="1"/>
  <c r="N3681" i="1"/>
  <c r="I3681" i="1"/>
  <c r="H3681" i="1"/>
  <c r="G3681" i="1"/>
  <c r="V3680" i="1"/>
  <c r="Q3680" i="1"/>
  <c r="P3680" i="1"/>
  <c r="O3680" i="1"/>
  <c r="N3680" i="1"/>
  <c r="I3680" i="1"/>
  <c r="H3680" i="1"/>
  <c r="G3680" i="1"/>
  <c r="V3679" i="1"/>
  <c r="Q3679" i="1"/>
  <c r="P3679" i="1"/>
  <c r="O3679" i="1"/>
  <c r="N3679" i="1"/>
  <c r="I3679" i="1"/>
  <c r="H3679" i="1"/>
  <c r="G3679" i="1"/>
  <c r="V3678" i="1"/>
  <c r="Q3678" i="1"/>
  <c r="P3678" i="1"/>
  <c r="O3678" i="1"/>
  <c r="N3678" i="1"/>
  <c r="I3678" i="1"/>
  <c r="H3678" i="1"/>
  <c r="G3678" i="1"/>
  <c r="V3677" i="1"/>
  <c r="Q3677" i="1"/>
  <c r="P3677" i="1"/>
  <c r="O3677" i="1"/>
  <c r="N3677" i="1"/>
  <c r="I3677" i="1"/>
  <c r="H3677" i="1"/>
  <c r="G3677" i="1"/>
  <c r="V3676" i="1"/>
  <c r="Q3676" i="1"/>
  <c r="P3676" i="1"/>
  <c r="O3676" i="1"/>
  <c r="N3676" i="1"/>
  <c r="I3676" i="1"/>
  <c r="H3676" i="1"/>
  <c r="G3676" i="1"/>
  <c r="V3675" i="1"/>
  <c r="Q3675" i="1"/>
  <c r="P3675" i="1"/>
  <c r="O3675" i="1"/>
  <c r="N3675" i="1"/>
  <c r="I3675" i="1"/>
  <c r="H3675" i="1"/>
  <c r="G3675" i="1"/>
  <c r="V3674" i="1"/>
  <c r="Q3674" i="1"/>
  <c r="P3674" i="1"/>
  <c r="O3674" i="1"/>
  <c r="N3674" i="1"/>
  <c r="I3674" i="1"/>
  <c r="H3674" i="1"/>
  <c r="G3674" i="1"/>
  <c r="V3673" i="1"/>
  <c r="Q3673" i="1"/>
  <c r="P3673" i="1"/>
  <c r="O3673" i="1"/>
  <c r="N3673" i="1"/>
  <c r="I3673" i="1"/>
  <c r="H3673" i="1"/>
  <c r="G3673" i="1"/>
  <c r="V3672" i="1"/>
  <c r="Q3672" i="1"/>
  <c r="P3672" i="1"/>
  <c r="O3672" i="1"/>
  <c r="N3672" i="1"/>
  <c r="I3672" i="1"/>
  <c r="H3672" i="1"/>
  <c r="G3672" i="1"/>
  <c r="V3671" i="1"/>
  <c r="Q3671" i="1"/>
  <c r="P3671" i="1"/>
  <c r="O3671" i="1"/>
  <c r="N3671" i="1"/>
  <c r="I3671" i="1"/>
  <c r="H3671" i="1"/>
  <c r="G3671" i="1"/>
  <c r="V3670" i="1"/>
  <c r="Q3670" i="1"/>
  <c r="P3670" i="1"/>
  <c r="O3670" i="1"/>
  <c r="N3670" i="1"/>
  <c r="I3670" i="1"/>
  <c r="H3670" i="1"/>
  <c r="G3670" i="1"/>
  <c r="V3669" i="1"/>
  <c r="Q3669" i="1"/>
  <c r="P3669" i="1"/>
  <c r="O3669" i="1"/>
  <c r="N3669" i="1"/>
  <c r="I3669" i="1"/>
  <c r="H3669" i="1"/>
  <c r="G3669" i="1"/>
  <c r="V3668" i="1"/>
  <c r="Q3668" i="1"/>
  <c r="P3668" i="1"/>
  <c r="O3668" i="1"/>
  <c r="N3668" i="1"/>
  <c r="I3668" i="1"/>
  <c r="H3668" i="1"/>
  <c r="G3668" i="1"/>
  <c r="V3667" i="1"/>
  <c r="Q3667" i="1"/>
  <c r="P3667" i="1"/>
  <c r="O3667" i="1"/>
  <c r="N3667" i="1"/>
  <c r="I3667" i="1"/>
  <c r="H3667" i="1"/>
  <c r="G3667" i="1"/>
  <c r="V3666" i="1"/>
  <c r="Q3666" i="1"/>
  <c r="P3666" i="1"/>
  <c r="O3666" i="1"/>
  <c r="N3666" i="1"/>
  <c r="I3666" i="1"/>
  <c r="H3666" i="1"/>
  <c r="G3666" i="1"/>
  <c r="V3665" i="1"/>
  <c r="Q3665" i="1"/>
  <c r="P3665" i="1"/>
  <c r="O3665" i="1"/>
  <c r="N3665" i="1"/>
  <c r="I3665" i="1"/>
  <c r="H3665" i="1"/>
  <c r="G3665" i="1"/>
  <c r="V3664" i="1"/>
  <c r="Q3664" i="1"/>
  <c r="P3664" i="1"/>
  <c r="O3664" i="1"/>
  <c r="N3664" i="1"/>
  <c r="I3664" i="1"/>
  <c r="H3664" i="1"/>
  <c r="G3664" i="1"/>
  <c r="V3663" i="1"/>
  <c r="Q3663" i="1"/>
  <c r="P3663" i="1"/>
  <c r="O3663" i="1"/>
  <c r="N3663" i="1"/>
  <c r="I3663" i="1"/>
  <c r="H3663" i="1"/>
  <c r="G3663" i="1"/>
  <c r="V3662" i="1"/>
  <c r="Q3662" i="1"/>
  <c r="P3662" i="1"/>
  <c r="O3662" i="1"/>
  <c r="N3662" i="1"/>
  <c r="I3662" i="1"/>
  <c r="H3662" i="1"/>
  <c r="G3662" i="1"/>
  <c r="V3661" i="1"/>
  <c r="Q3661" i="1"/>
  <c r="P3661" i="1"/>
  <c r="O3661" i="1"/>
  <c r="N3661" i="1"/>
  <c r="J3661" i="1"/>
  <c r="I3661" i="1"/>
  <c r="H3661" i="1"/>
  <c r="G3661" i="1"/>
  <c r="V3660" i="1"/>
  <c r="Q3660" i="1"/>
  <c r="P3660" i="1"/>
  <c r="O3660" i="1"/>
  <c r="N3660" i="1"/>
  <c r="J3660" i="1"/>
  <c r="I3660" i="1"/>
  <c r="H3660" i="1"/>
  <c r="G3660" i="1"/>
  <c r="V3659" i="1"/>
  <c r="Q3659" i="1"/>
  <c r="P3659" i="1"/>
  <c r="O3659" i="1"/>
  <c r="N3659" i="1"/>
  <c r="J3659" i="1"/>
  <c r="I3659" i="1"/>
  <c r="H3659" i="1"/>
  <c r="G3659" i="1"/>
  <c r="V3658" i="1"/>
  <c r="Q3658" i="1"/>
  <c r="P3658" i="1"/>
  <c r="O3658" i="1"/>
  <c r="N3658" i="1"/>
  <c r="J3658" i="1"/>
  <c r="I3658" i="1"/>
  <c r="H3658" i="1"/>
  <c r="G3658" i="1"/>
  <c r="V3657" i="1"/>
  <c r="Q3657" i="1"/>
  <c r="P3657" i="1"/>
  <c r="O3657" i="1"/>
  <c r="N3657" i="1"/>
  <c r="J3657" i="1"/>
  <c r="I3657" i="1"/>
  <c r="H3657" i="1"/>
  <c r="G3657" i="1"/>
  <c r="F3657" i="1"/>
  <c r="V3656" i="1"/>
  <c r="Q3656" i="1"/>
  <c r="P3656" i="1"/>
  <c r="O3656" i="1"/>
  <c r="N3656" i="1"/>
  <c r="J3656" i="1"/>
  <c r="I3656" i="1"/>
  <c r="H3656" i="1"/>
  <c r="G3656" i="1"/>
  <c r="F3656" i="1"/>
  <c r="V3655" i="1"/>
  <c r="Q3655" i="1"/>
  <c r="P3655" i="1"/>
  <c r="O3655" i="1"/>
  <c r="N3655" i="1"/>
  <c r="J3655" i="1"/>
  <c r="I3655" i="1"/>
  <c r="H3655" i="1"/>
  <c r="G3655" i="1"/>
  <c r="F3655" i="1"/>
  <c r="V3654" i="1"/>
  <c r="Q3654" i="1"/>
  <c r="P3654" i="1"/>
  <c r="O3654" i="1"/>
  <c r="N3654" i="1"/>
  <c r="J3654" i="1"/>
  <c r="I3654" i="1"/>
  <c r="H3654" i="1"/>
  <c r="G3654" i="1"/>
  <c r="F3654" i="1"/>
  <c r="V3653" i="1"/>
  <c r="Q3653" i="1"/>
  <c r="P3653" i="1"/>
  <c r="O3653" i="1"/>
  <c r="N3653" i="1"/>
  <c r="J3653" i="1"/>
  <c r="I3653" i="1"/>
  <c r="H3653" i="1"/>
  <c r="G3653" i="1"/>
  <c r="F3653" i="1"/>
  <c r="V3652" i="1"/>
  <c r="Q3652" i="1"/>
  <c r="P3652" i="1"/>
  <c r="O3652" i="1"/>
  <c r="N3652" i="1"/>
  <c r="J3652" i="1"/>
  <c r="I3652" i="1"/>
  <c r="H3652" i="1"/>
  <c r="G3652" i="1"/>
  <c r="F3652" i="1"/>
  <c r="V3651" i="1"/>
  <c r="Q3651" i="1"/>
  <c r="P3651" i="1"/>
  <c r="O3651" i="1"/>
  <c r="N3651" i="1"/>
  <c r="J3651" i="1"/>
  <c r="I3651" i="1"/>
  <c r="H3651" i="1"/>
  <c r="G3651" i="1"/>
  <c r="F3651" i="1"/>
  <c r="V3650" i="1"/>
  <c r="Q3650" i="1"/>
  <c r="P3650" i="1"/>
  <c r="O3650" i="1"/>
  <c r="N3650" i="1"/>
  <c r="J3650" i="1"/>
  <c r="I3650" i="1"/>
  <c r="H3650" i="1"/>
  <c r="G3650" i="1"/>
  <c r="F3650" i="1"/>
  <c r="V3649" i="1"/>
  <c r="Q3649" i="1"/>
  <c r="P3649" i="1"/>
  <c r="O3649" i="1"/>
  <c r="N3649" i="1"/>
  <c r="J3649" i="1"/>
  <c r="I3649" i="1"/>
  <c r="H3649" i="1"/>
  <c r="G3649" i="1"/>
  <c r="V3648" i="1"/>
  <c r="Q3648" i="1"/>
  <c r="P3648" i="1"/>
  <c r="O3648" i="1"/>
  <c r="N3648" i="1"/>
  <c r="J3648" i="1"/>
  <c r="I3648" i="1"/>
  <c r="H3648" i="1"/>
  <c r="G3648" i="1"/>
  <c r="V3647" i="1"/>
  <c r="Q3647" i="1"/>
  <c r="P3647" i="1"/>
  <c r="O3647" i="1"/>
  <c r="N3647" i="1"/>
  <c r="J3647" i="1"/>
  <c r="I3647" i="1"/>
  <c r="H3647" i="1"/>
  <c r="G3647" i="1"/>
  <c r="V3646" i="1"/>
  <c r="Q3646" i="1"/>
  <c r="P3646" i="1"/>
  <c r="O3646" i="1"/>
  <c r="N3646" i="1"/>
  <c r="J3646" i="1"/>
  <c r="I3646" i="1"/>
  <c r="H3646" i="1"/>
  <c r="G3646" i="1"/>
  <c r="V3645" i="1"/>
  <c r="Q3645" i="1"/>
  <c r="P3645" i="1"/>
  <c r="O3645" i="1"/>
  <c r="N3645" i="1"/>
  <c r="J3645" i="1"/>
  <c r="I3645" i="1"/>
  <c r="H3645" i="1"/>
  <c r="G3645" i="1"/>
  <c r="V3644" i="1"/>
  <c r="Q3644" i="1"/>
  <c r="P3644" i="1"/>
  <c r="O3644" i="1"/>
  <c r="N3644" i="1"/>
  <c r="J3644" i="1"/>
  <c r="I3644" i="1"/>
  <c r="H3644" i="1"/>
  <c r="G3644" i="1"/>
  <c r="V3643" i="1"/>
  <c r="Q3643" i="1"/>
  <c r="P3643" i="1"/>
  <c r="O3643" i="1"/>
  <c r="N3643" i="1"/>
  <c r="J3643" i="1"/>
  <c r="I3643" i="1"/>
  <c r="H3643" i="1"/>
  <c r="G3643" i="1"/>
  <c r="V3642" i="1"/>
  <c r="Q3642" i="1"/>
  <c r="P3642" i="1"/>
  <c r="O3642" i="1"/>
  <c r="N3642" i="1"/>
  <c r="J3642" i="1"/>
  <c r="I3642" i="1"/>
  <c r="H3642" i="1"/>
  <c r="G3642" i="1"/>
  <c r="V3641" i="1"/>
  <c r="Q3641" i="1"/>
  <c r="P3641" i="1"/>
  <c r="O3641" i="1"/>
  <c r="N3641" i="1"/>
  <c r="I3641" i="1"/>
  <c r="H3641" i="1"/>
  <c r="G3641" i="1"/>
  <c r="V3640" i="1"/>
  <c r="Q3640" i="1"/>
  <c r="P3640" i="1"/>
  <c r="O3640" i="1"/>
  <c r="N3640" i="1"/>
  <c r="I3640" i="1"/>
  <c r="H3640" i="1"/>
  <c r="G3640" i="1"/>
  <c r="V3639" i="1"/>
  <c r="Q3639" i="1"/>
  <c r="P3639" i="1"/>
  <c r="O3639" i="1"/>
  <c r="N3639" i="1"/>
  <c r="I3639" i="1"/>
  <c r="H3639" i="1"/>
  <c r="G3639" i="1"/>
  <c r="V3638" i="1"/>
  <c r="Q3638" i="1"/>
  <c r="P3638" i="1"/>
  <c r="O3638" i="1"/>
  <c r="N3638" i="1"/>
  <c r="I3638" i="1"/>
  <c r="H3638" i="1"/>
  <c r="G3638" i="1"/>
  <c r="V3637" i="1"/>
  <c r="Q3637" i="1"/>
  <c r="P3637" i="1"/>
  <c r="O3637" i="1"/>
  <c r="N3637" i="1"/>
  <c r="I3637" i="1"/>
  <c r="H3637" i="1"/>
  <c r="G3637" i="1"/>
  <c r="V3636" i="1"/>
  <c r="Q3636" i="1"/>
  <c r="P3636" i="1"/>
  <c r="O3636" i="1"/>
  <c r="N3636" i="1"/>
  <c r="I3636" i="1"/>
  <c r="H3636" i="1"/>
  <c r="V3635" i="1"/>
  <c r="Q3635" i="1"/>
  <c r="P3635" i="1"/>
  <c r="O3635" i="1"/>
  <c r="N3635" i="1"/>
  <c r="I3635" i="1"/>
  <c r="H3635" i="1"/>
  <c r="V3634" i="1"/>
  <c r="Q3634" i="1"/>
  <c r="P3634" i="1"/>
  <c r="O3634" i="1"/>
  <c r="N3634" i="1"/>
  <c r="I3634" i="1"/>
  <c r="H3634" i="1"/>
  <c r="V3633" i="1"/>
  <c r="Q3633" i="1"/>
  <c r="P3633" i="1"/>
  <c r="O3633" i="1"/>
  <c r="N3633" i="1"/>
  <c r="I3633" i="1"/>
  <c r="H3633" i="1"/>
  <c r="V3632" i="1"/>
  <c r="Q3632" i="1"/>
  <c r="P3632" i="1"/>
  <c r="O3632" i="1"/>
  <c r="N3632" i="1"/>
  <c r="I3632" i="1"/>
  <c r="H3632" i="1"/>
  <c r="V3631" i="1"/>
  <c r="Q3631" i="1"/>
  <c r="P3631" i="1"/>
  <c r="O3631" i="1"/>
  <c r="N3631" i="1"/>
  <c r="I3631" i="1"/>
  <c r="H3631" i="1"/>
  <c r="V3630" i="1"/>
  <c r="Q3630" i="1"/>
  <c r="P3630" i="1"/>
  <c r="O3630" i="1"/>
  <c r="N3630" i="1"/>
  <c r="I3630" i="1"/>
  <c r="H3630" i="1"/>
  <c r="V3629" i="1"/>
  <c r="Q3629" i="1"/>
  <c r="P3629" i="1"/>
  <c r="O3629" i="1"/>
  <c r="N3629" i="1"/>
  <c r="I3629" i="1"/>
  <c r="H3629" i="1"/>
  <c r="V3628" i="1"/>
  <c r="Q3628" i="1"/>
  <c r="P3628" i="1"/>
  <c r="O3628" i="1"/>
  <c r="N3628" i="1"/>
  <c r="I3628" i="1"/>
  <c r="H3628" i="1"/>
  <c r="V3627" i="1"/>
  <c r="Q3627" i="1"/>
  <c r="P3627" i="1"/>
  <c r="O3627" i="1"/>
  <c r="N3627" i="1"/>
  <c r="I3627" i="1"/>
  <c r="H3627" i="1"/>
  <c r="V3626" i="1"/>
  <c r="Q3626" i="1"/>
  <c r="P3626" i="1"/>
  <c r="O3626" i="1"/>
  <c r="N3626" i="1"/>
  <c r="I3626" i="1"/>
  <c r="H3626" i="1"/>
  <c r="V3625" i="1"/>
  <c r="Q3625" i="1"/>
  <c r="P3625" i="1"/>
  <c r="O3625" i="1"/>
  <c r="N3625" i="1"/>
  <c r="I3625" i="1"/>
  <c r="H3625" i="1"/>
  <c r="V3624" i="1"/>
  <c r="Q3624" i="1"/>
  <c r="P3624" i="1"/>
  <c r="O3624" i="1"/>
  <c r="N3624" i="1"/>
  <c r="I3624" i="1"/>
  <c r="H3624" i="1"/>
  <c r="V3623" i="1"/>
  <c r="Q3623" i="1"/>
  <c r="P3623" i="1"/>
  <c r="O3623" i="1"/>
  <c r="N3623" i="1"/>
  <c r="I3623" i="1"/>
  <c r="H3623" i="1"/>
  <c r="V3622" i="1"/>
  <c r="Q3622" i="1"/>
  <c r="P3622" i="1"/>
  <c r="O3622" i="1"/>
  <c r="N3622" i="1"/>
  <c r="I3622" i="1"/>
  <c r="H3622" i="1"/>
  <c r="V3621" i="1"/>
  <c r="Q3621" i="1"/>
  <c r="P3621" i="1"/>
  <c r="O3621" i="1"/>
  <c r="N3621" i="1"/>
  <c r="I3621" i="1"/>
  <c r="H3621" i="1"/>
  <c r="V3620" i="1"/>
  <c r="Q3620" i="1"/>
  <c r="P3620" i="1"/>
  <c r="O3620" i="1"/>
  <c r="N3620" i="1"/>
  <c r="I3620" i="1"/>
  <c r="H3620" i="1"/>
  <c r="V3619" i="1"/>
  <c r="Q3619" i="1"/>
  <c r="P3619" i="1"/>
  <c r="O3619" i="1"/>
  <c r="N3619" i="1"/>
  <c r="I3619" i="1"/>
  <c r="H3619" i="1"/>
  <c r="V3618" i="1"/>
  <c r="Q3618" i="1"/>
  <c r="P3618" i="1"/>
  <c r="O3618" i="1"/>
  <c r="N3618" i="1"/>
  <c r="I3618" i="1"/>
  <c r="H3618" i="1"/>
  <c r="V3617" i="1"/>
  <c r="Q3617" i="1"/>
  <c r="P3617" i="1"/>
  <c r="O3617" i="1"/>
  <c r="N3617" i="1"/>
  <c r="I3617" i="1"/>
  <c r="H3617" i="1"/>
  <c r="V3616" i="1"/>
  <c r="Q3616" i="1"/>
  <c r="P3616" i="1"/>
  <c r="O3616" i="1"/>
  <c r="N3616" i="1"/>
  <c r="I3616" i="1"/>
  <c r="H3616" i="1"/>
  <c r="V3615" i="1"/>
  <c r="Q3615" i="1"/>
  <c r="P3615" i="1"/>
  <c r="O3615" i="1"/>
  <c r="N3615" i="1"/>
  <c r="I3615" i="1"/>
  <c r="H3615" i="1"/>
  <c r="V3614" i="1"/>
  <c r="Q3614" i="1"/>
  <c r="P3614" i="1"/>
  <c r="O3614" i="1"/>
  <c r="N3614" i="1"/>
  <c r="I3614" i="1"/>
  <c r="H3614" i="1"/>
  <c r="V3613" i="1"/>
  <c r="Q3613" i="1"/>
  <c r="P3613" i="1"/>
  <c r="O3613" i="1"/>
  <c r="N3613" i="1"/>
  <c r="I3613" i="1"/>
  <c r="H3613" i="1"/>
  <c r="V3612" i="1"/>
  <c r="Q3612" i="1"/>
  <c r="P3612" i="1"/>
  <c r="O3612" i="1"/>
  <c r="N3612" i="1"/>
  <c r="I3612" i="1"/>
  <c r="V3611" i="1"/>
  <c r="Q3611" i="1"/>
  <c r="P3611" i="1"/>
  <c r="O3611" i="1"/>
  <c r="N3611" i="1"/>
  <c r="I3611" i="1"/>
  <c r="V3610" i="1"/>
  <c r="Q3610" i="1"/>
  <c r="P3610" i="1"/>
  <c r="O3610" i="1"/>
  <c r="N3610" i="1"/>
  <c r="I3610" i="1"/>
  <c r="V3609" i="1"/>
  <c r="Q3609" i="1"/>
  <c r="P3609" i="1"/>
  <c r="O3609" i="1"/>
  <c r="N3609" i="1"/>
  <c r="I3609" i="1"/>
  <c r="V3608" i="1"/>
  <c r="Q3608" i="1"/>
  <c r="P3608" i="1"/>
  <c r="O3608" i="1"/>
  <c r="N3608" i="1"/>
  <c r="I3608" i="1"/>
  <c r="V3607" i="1"/>
  <c r="Q3607" i="1"/>
  <c r="P3607" i="1"/>
  <c r="O3607" i="1"/>
  <c r="N3607" i="1"/>
  <c r="I3607" i="1"/>
  <c r="V3606" i="1"/>
  <c r="Q3606" i="1"/>
  <c r="P3606" i="1"/>
  <c r="O3606" i="1"/>
  <c r="N3606" i="1"/>
  <c r="I3606" i="1"/>
  <c r="V3605" i="1"/>
  <c r="Q3605" i="1"/>
  <c r="P3605" i="1"/>
  <c r="O3605" i="1"/>
  <c r="N3605" i="1"/>
  <c r="I3605" i="1"/>
  <c r="V3604" i="1"/>
  <c r="Q3604" i="1"/>
  <c r="P3604" i="1"/>
  <c r="O3604" i="1"/>
  <c r="N3604" i="1"/>
  <c r="I3604" i="1"/>
  <c r="V3603" i="1"/>
  <c r="Q3603" i="1"/>
  <c r="P3603" i="1"/>
  <c r="O3603" i="1"/>
  <c r="N3603" i="1"/>
  <c r="I3603" i="1"/>
  <c r="V3602" i="1"/>
  <c r="Q3602" i="1"/>
  <c r="P3602" i="1"/>
  <c r="O3602" i="1"/>
  <c r="N3602" i="1"/>
  <c r="I3602" i="1"/>
  <c r="V3601" i="1"/>
  <c r="Q3601" i="1"/>
  <c r="P3601" i="1"/>
  <c r="O3601" i="1"/>
  <c r="N3601" i="1"/>
  <c r="I3601" i="1"/>
  <c r="V3600" i="1"/>
  <c r="Q3600" i="1"/>
  <c r="P3600" i="1"/>
  <c r="O3600" i="1"/>
  <c r="N3600" i="1"/>
  <c r="I3600" i="1"/>
  <c r="V3599" i="1"/>
  <c r="Q3599" i="1"/>
  <c r="P3599" i="1"/>
  <c r="O3599" i="1"/>
  <c r="N3599" i="1"/>
  <c r="I3599" i="1"/>
  <c r="V3598" i="1"/>
  <c r="Q3598" i="1"/>
  <c r="P3598" i="1"/>
  <c r="O3598" i="1"/>
  <c r="N3598" i="1"/>
  <c r="I3598" i="1"/>
  <c r="V3597" i="1"/>
  <c r="Q3597" i="1"/>
  <c r="P3597" i="1"/>
  <c r="O3597" i="1"/>
  <c r="N3597" i="1"/>
  <c r="I3597" i="1"/>
  <c r="V3596" i="1"/>
  <c r="Q3596" i="1"/>
  <c r="P3596" i="1"/>
  <c r="O3596" i="1"/>
  <c r="N3596" i="1"/>
  <c r="I3596" i="1"/>
  <c r="V3595" i="1"/>
  <c r="Q3595" i="1"/>
  <c r="P3595" i="1"/>
  <c r="O3595" i="1"/>
  <c r="N3595" i="1"/>
  <c r="I3595" i="1"/>
  <c r="V3594" i="1"/>
  <c r="Q3594" i="1"/>
  <c r="P3594" i="1"/>
  <c r="O3594" i="1"/>
  <c r="N3594" i="1"/>
  <c r="I3594" i="1"/>
  <c r="V3593" i="1"/>
  <c r="Q3593" i="1"/>
  <c r="P3593" i="1"/>
  <c r="O3593" i="1"/>
  <c r="N3593" i="1"/>
  <c r="I3593" i="1"/>
  <c r="H3593" i="1"/>
  <c r="V3592" i="1"/>
  <c r="Q3592" i="1"/>
  <c r="P3592" i="1"/>
  <c r="O3592" i="1"/>
  <c r="N3592" i="1"/>
  <c r="I3592" i="1"/>
  <c r="H3592" i="1"/>
  <c r="V3591" i="1"/>
  <c r="Q3591" i="1"/>
  <c r="P3591" i="1"/>
  <c r="O3591" i="1"/>
  <c r="N3591" i="1"/>
  <c r="I3591" i="1"/>
  <c r="H3591" i="1"/>
  <c r="V3590" i="1"/>
  <c r="Q3590" i="1"/>
  <c r="P3590" i="1"/>
  <c r="O3590" i="1"/>
  <c r="N3590" i="1"/>
  <c r="I3590" i="1"/>
  <c r="H3590" i="1"/>
  <c r="V3589" i="1"/>
  <c r="Q3589" i="1"/>
  <c r="P3589" i="1"/>
  <c r="O3589" i="1"/>
  <c r="N3589" i="1"/>
  <c r="I3589" i="1"/>
  <c r="H3589" i="1"/>
  <c r="V3588" i="1"/>
  <c r="Q3588" i="1"/>
  <c r="P3588" i="1"/>
  <c r="O3588" i="1"/>
  <c r="N3588" i="1"/>
  <c r="I3588" i="1"/>
  <c r="H3588" i="1"/>
  <c r="V3587" i="1"/>
  <c r="Q3587" i="1"/>
  <c r="P3587" i="1"/>
  <c r="O3587" i="1"/>
  <c r="N3587" i="1"/>
  <c r="I3587" i="1"/>
  <c r="H3587" i="1"/>
  <c r="V3586" i="1"/>
  <c r="Q3586" i="1"/>
  <c r="P3586" i="1"/>
  <c r="O3586" i="1"/>
  <c r="N3586" i="1"/>
  <c r="I3586" i="1"/>
  <c r="H3586" i="1"/>
  <c r="V3585" i="1"/>
  <c r="Q3585" i="1"/>
  <c r="P3585" i="1"/>
  <c r="O3585" i="1"/>
  <c r="N3585" i="1"/>
  <c r="I3585" i="1"/>
  <c r="H3585" i="1"/>
  <c r="V3584" i="1"/>
  <c r="Q3584" i="1"/>
  <c r="P3584" i="1"/>
  <c r="O3584" i="1"/>
  <c r="N3584" i="1"/>
  <c r="I3584" i="1"/>
  <c r="H3584" i="1"/>
  <c r="V3583" i="1"/>
  <c r="Q3583" i="1"/>
  <c r="P3583" i="1"/>
  <c r="O3583" i="1"/>
  <c r="N3583" i="1"/>
  <c r="I3583" i="1"/>
  <c r="H3583" i="1"/>
  <c r="G3583" i="1"/>
  <c r="V3582" i="1"/>
  <c r="Q3582" i="1"/>
  <c r="P3582" i="1"/>
  <c r="O3582" i="1"/>
  <c r="N3582" i="1"/>
  <c r="I3582" i="1"/>
  <c r="H3582" i="1"/>
  <c r="G3582" i="1"/>
  <c r="V3581" i="1"/>
  <c r="Q3581" i="1"/>
  <c r="P3581" i="1"/>
  <c r="O3581" i="1"/>
  <c r="N3581" i="1"/>
  <c r="I3581" i="1"/>
  <c r="H3581" i="1"/>
  <c r="G3581" i="1"/>
  <c r="V3580" i="1"/>
  <c r="Q3580" i="1"/>
  <c r="P3580" i="1"/>
  <c r="O3580" i="1"/>
  <c r="N3580" i="1"/>
  <c r="J3580" i="1"/>
  <c r="I3580" i="1"/>
  <c r="H3580" i="1"/>
  <c r="G3580" i="1"/>
  <c r="V3579" i="1"/>
  <c r="Q3579" i="1"/>
  <c r="P3579" i="1"/>
  <c r="O3579" i="1"/>
  <c r="N3579" i="1"/>
  <c r="J3579" i="1"/>
  <c r="I3579" i="1"/>
  <c r="H3579" i="1"/>
  <c r="G3579" i="1"/>
  <c r="V3578" i="1"/>
  <c r="Q3578" i="1"/>
  <c r="P3578" i="1"/>
  <c r="O3578" i="1"/>
  <c r="N3578" i="1"/>
  <c r="J3578" i="1"/>
  <c r="I3578" i="1"/>
  <c r="H3578" i="1"/>
  <c r="G3578" i="1"/>
  <c r="V3577" i="1"/>
  <c r="Q3577" i="1"/>
  <c r="P3577" i="1"/>
  <c r="O3577" i="1"/>
  <c r="N3577" i="1"/>
  <c r="J3577" i="1"/>
  <c r="I3577" i="1"/>
  <c r="H3577" i="1"/>
  <c r="G3577" i="1"/>
  <c r="F3577" i="1"/>
  <c r="V3576" i="1"/>
  <c r="Q3576" i="1"/>
  <c r="P3576" i="1"/>
  <c r="O3576" i="1"/>
  <c r="N3576" i="1"/>
  <c r="J3576" i="1"/>
  <c r="I3576" i="1"/>
  <c r="H3576" i="1"/>
  <c r="G3576" i="1"/>
  <c r="F3576" i="1"/>
  <c r="V3575" i="1"/>
  <c r="Q3575" i="1"/>
  <c r="P3575" i="1"/>
  <c r="O3575" i="1"/>
  <c r="N3575" i="1"/>
  <c r="J3575" i="1"/>
  <c r="I3575" i="1"/>
  <c r="H3575" i="1"/>
  <c r="G3575" i="1"/>
  <c r="F3575" i="1"/>
  <c r="V3574" i="1"/>
  <c r="Q3574" i="1"/>
  <c r="P3574" i="1"/>
  <c r="O3574" i="1"/>
  <c r="N3574" i="1"/>
  <c r="J3574" i="1"/>
  <c r="I3574" i="1"/>
  <c r="H3574" i="1"/>
  <c r="G3574" i="1"/>
  <c r="F3574" i="1"/>
  <c r="V3573" i="1"/>
  <c r="Q3573" i="1"/>
  <c r="P3573" i="1"/>
  <c r="O3573" i="1"/>
  <c r="N3573" i="1"/>
  <c r="J3573" i="1"/>
  <c r="I3573" i="1"/>
  <c r="H3573" i="1"/>
  <c r="G3573" i="1"/>
  <c r="F3573" i="1"/>
  <c r="V3572" i="1"/>
  <c r="Q3572" i="1"/>
  <c r="P3572" i="1"/>
  <c r="O3572" i="1"/>
  <c r="N3572" i="1"/>
  <c r="J3572" i="1"/>
  <c r="I3572" i="1"/>
  <c r="H3572" i="1"/>
  <c r="G3572" i="1"/>
  <c r="F3572" i="1"/>
  <c r="V3571" i="1"/>
  <c r="Q3571" i="1"/>
  <c r="P3571" i="1"/>
  <c r="O3571" i="1"/>
  <c r="N3571" i="1"/>
  <c r="J3571" i="1"/>
  <c r="I3571" i="1"/>
  <c r="H3571" i="1"/>
  <c r="G3571" i="1"/>
  <c r="F3571" i="1"/>
  <c r="V3570" i="1"/>
  <c r="Q3570" i="1"/>
  <c r="P3570" i="1"/>
  <c r="O3570" i="1"/>
  <c r="N3570" i="1"/>
  <c r="J3570" i="1"/>
  <c r="I3570" i="1"/>
  <c r="H3570" i="1"/>
  <c r="G3570" i="1"/>
  <c r="F3570" i="1"/>
  <c r="V3569" i="1"/>
  <c r="Q3569" i="1"/>
  <c r="P3569" i="1"/>
  <c r="O3569" i="1"/>
  <c r="N3569" i="1"/>
  <c r="J3569" i="1"/>
  <c r="I3569" i="1"/>
  <c r="H3569" i="1"/>
  <c r="G3569" i="1"/>
  <c r="F3569" i="1"/>
  <c r="V3568" i="1"/>
  <c r="Q3568" i="1"/>
  <c r="P3568" i="1"/>
  <c r="O3568" i="1"/>
  <c r="N3568" i="1"/>
  <c r="K3568" i="1"/>
  <c r="J3568" i="1"/>
  <c r="I3568" i="1"/>
  <c r="H3568" i="1"/>
  <c r="G3568" i="1"/>
  <c r="F3568" i="1"/>
  <c r="V3567" i="1"/>
  <c r="Q3567" i="1"/>
  <c r="P3567" i="1"/>
  <c r="O3567" i="1"/>
  <c r="N3567" i="1"/>
  <c r="K3567" i="1"/>
  <c r="J3567" i="1"/>
  <c r="I3567" i="1"/>
  <c r="H3567" i="1"/>
  <c r="G3567" i="1"/>
  <c r="F3567" i="1"/>
  <c r="V3566" i="1"/>
  <c r="Q3566" i="1"/>
  <c r="P3566" i="1"/>
  <c r="O3566" i="1"/>
  <c r="N3566" i="1"/>
  <c r="K3566" i="1"/>
  <c r="J3566" i="1"/>
  <c r="I3566" i="1"/>
  <c r="H3566" i="1"/>
  <c r="G3566" i="1"/>
  <c r="F3566" i="1"/>
  <c r="E3566" i="1"/>
  <c r="V3565" i="1"/>
  <c r="Q3565" i="1"/>
  <c r="P3565" i="1"/>
  <c r="O3565" i="1"/>
  <c r="N3565" i="1"/>
  <c r="K3565" i="1"/>
  <c r="J3565" i="1"/>
  <c r="I3565" i="1"/>
  <c r="H3565" i="1"/>
  <c r="G3565" i="1"/>
  <c r="F3565" i="1"/>
  <c r="E3565" i="1"/>
  <c r="V3564" i="1"/>
  <c r="Q3564" i="1"/>
  <c r="P3564" i="1"/>
  <c r="O3564" i="1"/>
  <c r="N3564" i="1"/>
  <c r="K3564" i="1"/>
  <c r="J3564" i="1"/>
  <c r="I3564" i="1"/>
  <c r="H3564" i="1"/>
  <c r="G3564" i="1"/>
  <c r="F3564" i="1"/>
  <c r="E3564" i="1"/>
  <c r="V3563" i="1"/>
  <c r="Q3563" i="1"/>
  <c r="P3563" i="1"/>
  <c r="O3563" i="1"/>
  <c r="N3563" i="1"/>
  <c r="K3563" i="1"/>
  <c r="J3563" i="1"/>
  <c r="I3563" i="1"/>
  <c r="H3563" i="1"/>
  <c r="G3563" i="1"/>
  <c r="F3563" i="1"/>
  <c r="E3563" i="1"/>
  <c r="V3562" i="1"/>
  <c r="Q3562" i="1"/>
  <c r="P3562" i="1"/>
  <c r="O3562" i="1"/>
  <c r="N3562" i="1"/>
  <c r="K3562" i="1"/>
  <c r="J3562" i="1"/>
  <c r="I3562" i="1"/>
  <c r="H3562" i="1"/>
  <c r="G3562" i="1"/>
  <c r="F3562" i="1"/>
  <c r="E3562" i="1"/>
  <c r="V3561" i="1"/>
  <c r="Q3561" i="1"/>
  <c r="P3561" i="1"/>
  <c r="O3561" i="1"/>
  <c r="N3561" i="1"/>
  <c r="K3561" i="1"/>
  <c r="J3561" i="1"/>
  <c r="I3561" i="1"/>
  <c r="H3561" i="1"/>
  <c r="G3561" i="1"/>
  <c r="F3561" i="1"/>
  <c r="E3561" i="1"/>
  <c r="V3560" i="1"/>
  <c r="Q3560" i="1"/>
  <c r="P3560" i="1"/>
  <c r="O3560" i="1"/>
  <c r="N3560" i="1"/>
  <c r="K3560" i="1"/>
  <c r="J3560" i="1"/>
  <c r="I3560" i="1"/>
  <c r="H3560" i="1"/>
  <c r="G3560" i="1"/>
  <c r="F3560" i="1"/>
  <c r="E3560" i="1"/>
  <c r="V3559" i="1"/>
  <c r="Q3559" i="1"/>
  <c r="P3559" i="1"/>
  <c r="O3559" i="1"/>
  <c r="N3559" i="1"/>
  <c r="K3559" i="1"/>
  <c r="J3559" i="1"/>
  <c r="I3559" i="1"/>
  <c r="H3559" i="1"/>
  <c r="G3559" i="1"/>
  <c r="F3559" i="1"/>
  <c r="E3559" i="1"/>
  <c r="V3558" i="1"/>
  <c r="Q3558" i="1"/>
  <c r="P3558" i="1"/>
  <c r="O3558" i="1"/>
  <c r="N3558" i="1"/>
  <c r="K3558" i="1"/>
  <c r="J3558" i="1"/>
  <c r="I3558" i="1"/>
  <c r="H3558" i="1"/>
  <c r="G3558" i="1"/>
  <c r="F3558" i="1"/>
  <c r="E3558" i="1"/>
  <c r="V3557" i="1"/>
  <c r="Q3557" i="1"/>
  <c r="P3557" i="1"/>
  <c r="O3557" i="1"/>
  <c r="N3557" i="1"/>
  <c r="K3557" i="1"/>
  <c r="J3557" i="1"/>
  <c r="I3557" i="1"/>
  <c r="H3557" i="1"/>
  <c r="G3557" i="1"/>
  <c r="F3557" i="1"/>
  <c r="E3557" i="1"/>
  <c r="V3556" i="1"/>
  <c r="Q3556" i="1"/>
  <c r="P3556" i="1"/>
  <c r="O3556" i="1"/>
  <c r="N3556" i="1"/>
  <c r="K3556" i="1"/>
  <c r="J3556" i="1"/>
  <c r="I3556" i="1"/>
  <c r="H3556" i="1"/>
  <c r="G3556" i="1"/>
  <c r="F3556" i="1"/>
  <c r="E3556" i="1"/>
  <c r="V3555" i="1"/>
  <c r="Q3555" i="1"/>
  <c r="P3555" i="1"/>
  <c r="O3555" i="1"/>
  <c r="N3555" i="1"/>
  <c r="K3555" i="1"/>
  <c r="J3555" i="1"/>
  <c r="I3555" i="1"/>
  <c r="H3555" i="1"/>
  <c r="G3555" i="1"/>
  <c r="F3555" i="1"/>
  <c r="E3555" i="1"/>
  <c r="V3554" i="1"/>
  <c r="Q3554" i="1"/>
  <c r="P3554" i="1"/>
  <c r="O3554" i="1"/>
  <c r="N3554" i="1"/>
  <c r="K3554" i="1"/>
  <c r="J3554" i="1"/>
  <c r="I3554" i="1"/>
  <c r="H3554" i="1"/>
  <c r="G3554" i="1"/>
  <c r="F3554" i="1"/>
  <c r="E3554" i="1"/>
  <c r="V3553" i="1"/>
  <c r="Q3553" i="1"/>
  <c r="P3553" i="1"/>
  <c r="O3553" i="1"/>
  <c r="N3553" i="1"/>
  <c r="K3553" i="1"/>
  <c r="J3553" i="1"/>
  <c r="I3553" i="1"/>
  <c r="H3553" i="1"/>
  <c r="G3553" i="1"/>
  <c r="F3553" i="1"/>
  <c r="E3553" i="1"/>
  <c r="V3552" i="1"/>
  <c r="Q3552" i="1"/>
  <c r="P3552" i="1"/>
  <c r="O3552" i="1"/>
  <c r="N3552" i="1"/>
  <c r="K3552" i="1"/>
  <c r="J3552" i="1"/>
  <c r="I3552" i="1"/>
  <c r="H3552" i="1"/>
  <c r="G3552" i="1"/>
  <c r="F3552" i="1"/>
  <c r="E3552" i="1"/>
  <c r="V3551" i="1"/>
  <c r="Q3551" i="1"/>
  <c r="P3551" i="1"/>
  <c r="O3551" i="1"/>
  <c r="N3551" i="1"/>
  <c r="K3551" i="1"/>
  <c r="J3551" i="1"/>
  <c r="I3551" i="1"/>
  <c r="H3551" i="1"/>
  <c r="G3551" i="1"/>
  <c r="F3551" i="1"/>
  <c r="E3551" i="1"/>
  <c r="V3550" i="1"/>
  <c r="Q3550" i="1"/>
  <c r="P3550" i="1"/>
  <c r="O3550" i="1"/>
  <c r="N3550" i="1"/>
  <c r="K3550" i="1"/>
  <c r="J3550" i="1"/>
  <c r="I3550" i="1"/>
  <c r="H3550" i="1"/>
  <c r="G3550" i="1"/>
  <c r="F3550" i="1"/>
  <c r="E3550" i="1"/>
  <c r="V3549" i="1"/>
  <c r="Q3549" i="1"/>
  <c r="P3549" i="1"/>
  <c r="O3549" i="1"/>
  <c r="N3549" i="1"/>
  <c r="K3549" i="1"/>
  <c r="J3549" i="1"/>
  <c r="I3549" i="1"/>
  <c r="H3549" i="1"/>
  <c r="G3549" i="1"/>
  <c r="F3549" i="1"/>
  <c r="E3549" i="1"/>
  <c r="V3548" i="1"/>
  <c r="Q3548" i="1"/>
  <c r="P3548" i="1"/>
  <c r="O3548" i="1"/>
  <c r="N3548" i="1"/>
  <c r="K3548" i="1"/>
  <c r="J3548" i="1"/>
  <c r="I3548" i="1"/>
  <c r="H3548" i="1"/>
  <c r="G3548" i="1"/>
  <c r="F3548" i="1"/>
  <c r="E3548" i="1"/>
  <c r="V3547" i="1"/>
  <c r="Q3547" i="1"/>
  <c r="P3547" i="1"/>
  <c r="O3547" i="1"/>
  <c r="N3547" i="1"/>
  <c r="K3547" i="1"/>
  <c r="J3547" i="1"/>
  <c r="I3547" i="1"/>
  <c r="H3547" i="1"/>
  <c r="G3547" i="1"/>
  <c r="F3547" i="1"/>
  <c r="E3547" i="1"/>
  <c r="V3546" i="1"/>
  <c r="Q3546" i="1"/>
  <c r="P3546" i="1"/>
  <c r="O3546" i="1"/>
  <c r="N3546" i="1"/>
  <c r="K3546" i="1"/>
  <c r="J3546" i="1"/>
  <c r="I3546" i="1"/>
  <c r="H3546" i="1"/>
  <c r="G3546" i="1"/>
  <c r="F3546" i="1"/>
  <c r="E3546" i="1"/>
  <c r="V3545" i="1"/>
  <c r="Q3545" i="1"/>
  <c r="P3545" i="1"/>
  <c r="O3545" i="1"/>
  <c r="N3545" i="1"/>
  <c r="K3545" i="1"/>
  <c r="J3545" i="1"/>
  <c r="I3545" i="1"/>
  <c r="H3545" i="1"/>
  <c r="G3545" i="1"/>
  <c r="F3545" i="1"/>
  <c r="E3545" i="1"/>
  <c r="V3544" i="1"/>
  <c r="Q3544" i="1"/>
  <c r="P3544" i="1"/>
  <c r="O3544" i="1"/>
  <c r="N3544" i="1"/>
  <c r="K3544" i="1"/>
  <c r="J3544" i="1"/>
  <c r="I3544" i="1"/>
  <c r="H3544" i="1"/>
  <c r="G3544" i="1"/>
  <c r="F3544" i="1"/>
  <c r="E3544" i="1"/>
  <c r="V3543" i="1"/>
  <c r="Q3543" i="1"/>
  <c r="P3543" i="1"/>
  <c r="O3543" i="1"/>
  <c r="N3543" i="1"/>
  <c r="K3543" i="1"/>
  <c r="J3543" i="1"/>
  <c r="I3543" i="1"/>
  <c r="H3543" i="1"/>
  <c r="G3543" i="1"/>
  <c r="F3543" i="1"/>
  <c r="E3543" i="1"/>
  <c r="V3542" i="1"/>
  <c r="Q3542" i="1"/>
  <c r="P3542" i="1"/>
  <c r="O3542" i="1"/>
  <c r="N3542" i="1"/>
  <c r="K3542" i="1"/>
  <c r="J3542" i="1"/>
  <c r="I3542" i="1"/>
  <c r="H3542" i="1"/>
  <c r="G3542" i="1"/>
  <c r="F3542" i="1"/>
  <c r="E3542" i="1"/>
  <c r="V3541" i="1"/>
  <c r="Q3541" i="1"/>
  <c r="P3541" i="1"/>
  <c r="O3541" i="1"/>
  <c r="N3541" i="1"/>
  <c r="K3541" i="1"/>
  <c r="J3541" i="1"/>
  <c r="I3541" i="1"/>
  <c r="H3541" i="1"/>
  <c r="G3541" i="1"/>
  <c r="F3541" i="1"/>
  <c r="E3541" i="1"/>
  <c r="V3540" i="1"/>
  <c r="Q3540" i="1"/>
  <c r="P3540" i="1"/>
  <c r="O3540" i="1"/>
  <c r="N3540" i="1"/>
  <c r="K3540" i="1"/>
  <c r="J3540" i="1"/>
  <c r="I3540" i="1"/>
  <c r="H3540" i="1"/>
  <c r="G3540" i="1"/>
  <c r="F3540" i="1"/>
  <c r="E3540" i="1"/>
  <c r="V3539" i="1"/>
  <c r="Q3539" i="1"/>
  <c r="P3539" i="1"/>
  <c r="O3539" i="1"/>
  <c r="N3539" i="1"/>
  <c r="K3539" i="1"/>
  <c r="J3539" i="1"/>
  <c r="I3539" i="1"/>
  <c r="H3539" i="1"/>
  <c r="G3539" i="1"/>
  <c r="F3539" i="1"/>
  <c r="E3539" i="1"/>
  <c r="V3538" i="1"/>
  <c r="Q3538" i="1"/>
  <c r="P3538" i="1"/>
  <c r="O3538" i="1"/>
  <c r="N3538" i="1"/>
  <c r="M3538" i="1"/>
  <c r="K3538" i="1"/>
  <c r="J3538" i="1"/>
  <c r="I3538" i="1"/>
  <c r="H3538" i="1"/>
  <c r="G3538" i="1"/>
  <c r="F3538" i="1"/>
  <c r="E3538" i="1"/>
  <c r="V3537" i="1"/>
  <c r="Q3537" i="1"/>
  <c r="P3537" i="1"/>
  <c r="O3537" i="1"/>
  <c r="N3537" i="1"/>
  <c r="M3537" i="1"/>
  <c r="K3537" i="1"/>
  <c r="J3537" i="1"/>
  <c r="I3537" i="1"/>
  <c r="H3537" i="1"/>
  <c r="G3537" i="1"/>
  <c r="F3537" i="1"/>
  <c r="E3537" i="1"/>
  <c r="V3536" i="1"/>
  <c r="Q3536" i="1"/>
  <c r="P3536" i="1"/>
  <c r="O3536" i="1"/>
  <c r="N3536" i="1"/>
  <c r="M3536" i="1"/>
  <c r="K3536" i="1"/>
  <c r="J3536" i="1"/>
  <c r="I3536" i="1"/>
  <c r="H3536" i="1"/>
  <c r="G3536" i="1"/>
  <c r="F3536" i="1"/>
  <c r="E3536" i="1"/>
  <c r="V3535" i="1"/>
  <c r="Q3535" i="1"/>
  <c r="P3535" i="1"/>
  <c r="O3535" i="1"/>
  <c r="N3535" i="1"/>
  <c r="M3535" i="1"/>
  <c r="J3535" i="1"/>
  <c r="I3535" i="1"/>
  <c r="H3535" i="1"/>
  <c r="G3535" i="1"/>
  <c r="F3535" i="1"/>
  <c r="V3534" i="1"/>
  <c r="Q3534" i="1"/>
  <c r="P3534" i="1"/>
  <c r="O3534" i="1"/>
  <c r="N3534" i="1"/>
  <c r="M3534" i="1"/>
  <c r="J3534" i="1"/>
  <c r="I3534" i="1"/>
  <c r="H3534" i="1"/>
  <c r="G3534" i="1"/>
  <c r="F3534" i="1"/>
  <c r="V3533" i="1"/>
  <c r="Q3533" i="1"/>
  <c r="P3533" i="1"/>
  <c r="O3533" i="1"/>
  <c r="N3533" i="1"/>
  <c r="M3533" i="1"/>
  <c r="J3533" i="1"/>
  <c r="I3533" i="1"/>
  <c r="H3533" i="1"/>
  <c r="G3533" i="1"/>
  <c r="F3533" i="1"/>
  <c r="V3532" i="1"/>
  <c r="Q3532" i="1"/>
  <c r="P3532" i="1"/>
  <c r="O3532" i="1"/>
  <c r="N3532" i="1"/>
  <c r="M3532" i="1"/>
  <c r="J3532" i="1"/>
  <c r="I3532" i="1"/>
  <c r="H3532" i="1"/>
  <c r="G3532" i="1"/>
  <c r="F3532" i="1"/>
  <c r="V3531" i="1"/>
  <c r="Q3531" i="1"/>
  <c r="P3531" i="1"/>
  <c r="O3531" i="1"/>
  <c r="N3531" i="1"/>
  <c r="M3531" i="1"/>
  <c r="J3531" i="1"/>
  <c r="I3531" i="1"/>
  <c r="H3531" i="1"/>
  <c r="G3531" i="1"/>
  <c r="V3530" i="1"/>
  <c r="Q3530" i="1"/>
  <c r="P3530" i="1"/>
  <c r="O3530" i="1"/>
  <c r="N3530" i="1"/>
  <c r="M3530" i="1"/>
  <c r="J3530" i="1"/>
  <c r="I3530" i="1"/>
  <c r="H3530" i="1"/>
  <c r="G3530" i="1"/>
  <c r="V3529" i="1"/>
  <c r="Q3529" i="1"/>
  <c r="P3529" i="1"/>
  <c r="O3529" i="1"/>
  <c r="N3529" i="1"/>
  <c r="M3529" i="1"/>
  <c r="J3529" i="1"/>
  <c r="I3529" i="1"/>
  <c r="H3529" i="1"/>
  <c r="G3529" i="1"/>
  <c r="V3528" i="1"/>
  <c r="Q3528" i="1"/>
  <c r="P3528" i="1"/>
  <c r="O3528" i="1"/>
  <c r="N3528" i="1"/>
  <c r="M3528" i="1"/>
  <c r="J3528" i="1"/>
  <c r="I3528" i="1"/>
  <c r="H3528" i="1"/>
  <c r="G3528" i="1"/>
  <c r="Q3527" i="1"/>
  <c r="P3527" i="1"/>
  <c r="O3527" i="1"/>
  <c r="N3527" i="1"/>
  <c r="M3527" i="1"/>
  <c r="I3527" i="1"/>
  <c r="H3527" i="1"/>
  <c r="Q3526" i="1"/>
  <c r="P3526" i="1"/>
  <c r="O3526" i="1"/>
  <c r="N3526" i="1"/>
  <c r="M3526" i="1"/>
  <c r="I3526" i="1"/>
  <c r="H3526" i="1"/>
  <c r="Q3525" i="1"/>
  <c r="P3525" i="1"/>
  <c r="O3525" i="1"/>
  <c r="N3525" i="1"/>
  <c r="M3525" i="1"/>
  <c r="I3525" i="1"/>
  <c r="H3525" i="1"/>
  <c r="Q3524" i="1"/>
  <c r="P3524" i="1"/>
  <c r="O3524" i="1"/>
  <c r="N3524" i="1"/>
  <c r="M3524" i="1"/>
  <c r="I3524" i="1"/>
  <c r="H3524" i="1"/>
  <c r="Q3523" i="1"/>
  <c r="P3523" i="1"/>
  <c r="O3523" i="1"/>
  <c r="M3523" i="1"/>
  <c r="I3523" i="1"/>
  <c r="Q3522" i="1"/>
  <c r="P3522" i="1"/>
  <c r="O3522" i="1"/>
  <c r="M3522" i="1"/>
  <c r="I3522" i="1"/>
  <c r="Q3521" i="1"/>
  <c r="P3521" i="1"/>
  <c r="O3521" i="1"/>
  <c r="M3521" i="1"/>
  <c r="I3521" i="1"/>
  <c r="Q3520" i="1"/>
  <c r="P3520" i="1"/>
  <c r="O3520" i="1"/>
  <c r="M3520" i="1"/>
  <c r="I3520" i="1"/>
  <c r="Q3519" i="1"/>
  <c r="P3519" i="1"/>
  <c r="O3519" i="1"/>
  <c r="M3519" i="1"/>
  <c r="Q3518" i="1"/>
  <c r="P3518" i="1"/>
  <c r="O3518" i="1"/>
  <c r="M3518" i="1"/>
  <c r="Q3517" i="1"/>
  <c r="P3517" i="1"/>
  <c r="O3517" i="1"/>
  <c r="M3517" i="1"/>
  <c r="Q3516" i="1"/>
  <c r="P3516" i="1"/>
  <c r="O3516" i="1"/>
  <c r="M3516" i="1"/>
  <c r="Q3515" i="1"/>
  <c r="P3515" i="1"/>
  <c r="O3515" i="1"/>
  <c r="M3515" i="1"/>
  <c r="Q3514" i="1"/>
  <c r="P3514" i="1"/>
  <c r="O3514" i="1"/>
  <c r="M3514" i="1"/>
  <c r="Q3513" i="1"/>
  <c r="P3513" i="1"/>
  <c r="O3513" i="1"/>
  <c r="M3513" i="1"/>
  <c r="Q3512" i="1"/>
  <c r="P3512" i="1"/>
  <c r="O3512" i="1"/>
  <c r="M3512" i="1"/>
  <c r="Q3511" i="1"/>
  <c r="P3511" i="1"/>
  <c r="O3511" i="1"/>
  <c r="Q3510" i="1"/>
  <c r="P3510" i="1"/>
  <c r="O3510" i="1"/>
  <c r="Q3509" i="1"/>
  <c r="P3509" i="1"/>
  <c r="O3509" i="1"/>
  <c r="Q3508" i="1"/>
  <c r="P3508" i="1"/>
  <c r="O3508" i="1"/>
  <c r="Q3507" i="1"/>
  <c r="P3507" i="1"/>
  <c r="O3507" i="1"/>
  <c r="Q3506" i="1"/>
  <c r="P3506" i="1"/>
  <c r="O3506" i="1"/>
  <c r="Q3505" i="1"/>
  <c r="P3505" i="1"/>
  <c r="O3505" i="1"/>
  <c r="Q3504" i="1"/>
  <c r="P3504" i="1"/>
  <c r="O3504" i="1"/>
  <c r="Q3503" i="1"/>
  <c r="P3503" i="1"/>
  <c r="O3503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Q3498" i="1"/>
  <c r="P3498" i="1"/>
  <c r="O3498" i="1"/>
  <c r="Q3497" i="1"/>
  <c r="P3497" i="1"/>
  <c r="O3497" i="1"/>
  <c r="Q3496" i="1"/>
  <c r="P3496" i="1"/>
  <c r="O3496" i="1"/>
  <c r="Q3495" i="1"/>
  <c r="P3495" i="1"/>
  <c r="O3495" i="1"/>
  <c r="Q3494" i="1"/>
  <c r="P3494" i="1"/>
  <c r="O3494" i="1"/>
  <c r="Q3493" i="1"/>
  <c r="P3493" i="1"/>
  <c r="O3493" i="1"/>
  <c r="Q3492" i="1"/>
  <c r="P3492" i="1"/>
  <c r="O3492" i="1"/>
  <c r="Q3491" i="1"/>
  <c r="P3491" i="1"/>
  <c r="O3491" i="1"/>
  <c r="Q3490" i="1"/>
  <c r="P3490" i="1"/>
  <c r="O3490" i="1"/>
  <c r="Q3489" i="1"/>
  <c r="P3489" i="1"/>
  <c r="O3489" i="1"/>
  <c r="Q3488" i="1"/>
  <c r="P3488" i="1"/>
  <c r="O3488" i="1"/>
  <c r="Q3487" i="1"/>
  <c r="P3487" i="1"/>
  <c r="O3487" i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Q3481" i="1"/>
  <c r="P3481" i="1"/>
  <c r="O3481" i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Q3472" i="1"/>
  <c r="P3472" i="1"/>
  <c r="O3472" i="1"/>
  <c r="Q3471" i="1"/>
  <c r="P3471" i="1"/>
  <c r="O3471" i="1"/>
  <c r="Q3470" i="1"/>
  <c r="P3470" i="1"/>
  <c r="O3470" i="1"/>
  <c r="Q3469" i="1"/>
  <c r="P3469" i="1"/>
  <c r="O3469" i="1"/>
  <c r="Q3468" i="1"/>
  <c r="P3468" i="1"/>
  <c r="O3468" i="1"/>
  <c r="Q3467" i="1"/>
  <c r="P3467" i="1"/>
  <c r="O3467" i="1"/>
  <c r="Q3466" i="1"/>
  <c r="P3466" i="1"/>
  <c r="O3466" i="1"/>
  <c r="Q3465" i="1"/>
  <c r="P3465" i="1"/>
  <c r="O3465" i="1"/>
  <c r="Q3464" i="1"/>
  <c r="P3464" i="1"/>
  <c r="O3464" i="1"/>
  <c r="Q3463" i="1"/>
  <c r="P3463" i="1"/>
  <c r="O3463" i="1"/>
  <c r="Q3462" i="1"/>
  <c r="P3462" i="1"/>
  <c r="O3462" i="1"/>
  <c r="Q3461" i="1"/>
  <c r="P3461" i="1"/>
  <c r="O3461" i="1"/>
  <c r="Q3460" i="1"/>
  <c r="P3460" i="1"/>
  <c r="O3460" i="1"/>
  <c r="Q3459" i="1"/>
  <c r="P3459" i="1"/>
  <c r="O3459" i="1"/>
  <c r="Q3458" i="1"/>
  <c r="P3458" i="1"/>
  <c r="O3458" i="1"/>
  <c r="Q3457" i="1"/>
  <c r="P3457" i="1"/>
  <c r="O3457" i="1"/>
  <c r="Q3456" i="1"/>
  <c r="P3456" i="1"/>
  <c r="O3456" i="1"/>
  <c r="Q3455" i="1"/>
  <c r="P3455" i="1"/>
  <c r="O3455" i="1"/>
  <c r="Q3454" i="1"/>
  <c r="P3454" i="1"/>
  <c r="O3454" i="1"/>
  <c r="Q3453" i="1"/>
  <c r="P3453" i="1"/>
  <c r="O3453" i="1"/>
  <c r="Q3452" i="1"/>
  <c r="P3452" i="1"/>
  <c r="O3452" i="1"/>
  <c r="Q3451" i="1"/>
  <c r="P3451" i="1"/>
  <c r="O3451" i="1"/>
  <c r="Q3450" i="1"/>
  <c r="P3450" i="1"/>
  <c r="O3450" i="1"/>
  <c r="Q3449" i="1"/>
  <c r="P3449" i="1"/>
  <c r="O3449" i="1"/>
  <c r="Q3448" i="1"/>
  <c r="P3448" i="1"/>
  <c r="O3448" i="1"/>
  <c r="Q3447" i="1"/>
  <c r="P3447" i="1"/>
  <c r="O3447" i="1"/>
  <c r="Q3446" i="1"/>
  <c r="P3446" i="1"/>
  <c r="O3446" i="1"/>
  <c r="Q3445" i="1"/>
  <c r="P3445" i="1"/>
  <c r="O3445" i="1"/>
  <c r="Q3444" i="1"/>
  <c r="P3444" i="1"/>
  <c r="O3444" i="1"/>
  <c r="Q3443" i="1"/>
  <c r="P3443" i="1"/>
  <c r="O3443" i="1"/>
  <c r="Q3442" i="1"/>
  <c r="P3442" i="1"/>
  <c r="O3442" i="1"/>
  <c r="Q3441" i="1"/>
  <c r="P3441" i="1"/>
  <c r="O3441" i="1"/>
  <c r="Q3440" i="1"/>
  <c r="P3440" i="1"/>
  <c r="O3440" i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Q3435" i="1"/>
  <c r="P3435" i="1"/>
  <c r="O3435" i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Q3429" i="1"/>
  <c r="P3429" i="1"/>
  <c r="O3429" i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Q3422" i="1"/>
  <c r="P3422" i="1"/>
  <c r="O3422" i="1"/>
  <c r="Q3421" i="1"/>
  <c r="P3421" i="1"/>
  <c r="O3421" i="1"/>
  <c r="Q3420" i="1"/>
  <c r="P3420" i="1"/>
  <c r="O3420" i="1"/>
  <c r="Q3419" i="1"/>
  <c r="P3419" i="1"/>
  <c r="O3419" i="1"/>
  <c r="Q3418" i="1"/>
  <c r="P3418" i="1"/>
  <c r="O3418" i="1"/>
  <c r="Q3417" i="1"/>
  <c r="P3417" i="1"/>
  <c r="O3417" i="1"/>
  <c r="Q3416" i="1"/>
  <c r="P3416" i="1"/>
  <c r="O3416" i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Q3410" i="1"/>
  <c r="P3410" i="1"/>
  <c r="O3410" i="1"/>
  <c r="Q3409" i="1"/>
  <c r="P3409" i="1"/>
  <c r="O3409" i="1"/>
  <c r="Q3408" i="1"/>
  <c r="P3408" i="1"/>
  <c r="O3408" i="1"/>
  <c r="Q3407" i="1"/>
  <c r="P3407" i="1"/>
  <c r="O3407" i="1"/>
  <c r="Q3406" i="1"/>
  <c r="P3406" i="1"/>
  <c r="O3406" i="1"/>
  <c r="Q3405" i="1"/>
  <c r="P3405" i="1"/>
  <c r="O3405" i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Q3400" i="1"/>
  <c r="P3400" i="1"/>
  <c r="O3400" i="1"/>
  <c r="Q3399" i="1"/>
  <c r="P3399" i="1"/>
  <c r="O3399" i="1"/>
  <c r="I3399" i="1"/>
  <c r="Q3398" i="1"/>
  <c r="P3398" i="1"/>
  <c r="O3398" i="1"/>
  <c r="I3398" i="1"/>
  <c r="Q3397" i="1"/>
  <c r="P3397" i="1"/>
  <c r="O3397" i="1"/>
  <c r="I3397" i="1"/>
  <c r="Q3396" i="1"/>
  <c r="P3396" i="1"/>
  <c r="O3396" i="1"/>
  <c r="I3396" i="1"/>
  <c r="Q3395" i="1"/>
  <c r="P3395" i="1"/>
  <c r="O3395" i="1"/>
  <c r="I3395" i="1"/>
  <c r="Q3394" i="1"/>
  <c r="P3394" i="1"/>
  <c r="O3394" i="1"/>
  <c r="I3394" i="1"/>
  <c r="Q3393" i="1"/>
  <c r="P3393" i="1"/>
  <c r="O3393" i="1"/>
  <c r="I3393" i="1"/>
  <c r="Q3392" i="1"/>
  <c r="P3392" i="1"/>
  <c r="O3392" i="1"/>
  <c r="I3392" i="1"/>
  <c r="Q3391" i="1"/>
  <c r="P3391" i="1"/>
  <c r="O3391" i="1"/>
  <c r="I3391" i="1"/>
  <c r="Q3390" i="1"/>
  <c r="P3390" i="1"/>
  <c r="O3390" i="1"/>
  <c r="I3390" i="1"/>
  <c r="Q3389" i="1"/>
  <c r="P3389" i="1"/>
  <c r="O3389" i="1"/>
  <c r="I3389" i="1"/>
  <c r="Q3388" i="1"/>
  <c r="P3388" i="1"/>
  <c r="O3388" i="1"/>
  <c r="I3388" i="1"/>
  <c r="Q3387" i="1"/>
  <c r="P3387" i="1"/>
  <c r="O3387" i="1"/>
  <c r="I3387" i="1"/>
  <c r="Q3386" i="1"/>
  <c r="P3386" i="1"/>
  <c r="O3386" i="1"/>
  <c r="I3386" i="1"/>
  <c r="Q3385" i="1"/>
  <c r="P3385" i="1"/>
  <c r="O3385" i="1"/>
  <c r="I3385" i="1"/>
  <c r="Q3384" i="1"/>
  <c r="P3384" i="1"/>
  <c r="O3384" i="1"/>
  <c r="I3384" i="1"/>
  <c r="Q3383" i="1"/>
  <c r="P3383" i="1"/>
  <c r="O3383" i="1"/>
  <c r="I3383" i="1"/>
  <c r="Q3382" i="1"/>
  <c r="P3382" i="1"/>
  <c r="O3382" i="1"/>
  <c r="I3382" i="1"/>
  <c r="Q3381" i="1"/>
  <c r="P3381" i="1"/>
  <c r="O3381" i="1"/>
  <c r="Q3380" i="1"/>
  <c r="P3380" i="1"/>
  <c r="O3380" i="1"/>
  <c r="Q3379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O3170" i="1"/>
  <c r="Q3169" i="1"/>
  <c r="P3169" i="1"/>
  <c r="O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O3161" i="1"/>
  <c r="Q3160" i="1"/>
  <c r="P3160" i="1"/>
  <c r="O3160" i="1"/>
  <c r="Q3159" i="1"/>
  <c r="P3159" i="1"/>
  <c r="O3159" i="1"/>
  <c r="Q3158" i="1"/>
  <c r="P3158" i="1"/>
  <c r="O3158" i="1"/>
  <c r="Q3157" i="1"/>
  <c r="P3157" i="1"/>
  <c r="O3157" i="1"/>
  <c r="Q3156" i="1"/>
  <c r="P3156" i="1"/>
  <c r="O3156" i="1"/>
  <c r="Q3155" i="1"/>
  <c r="P3155" i="1"/>
  <c r="O3155" i="1"/>
  <c r="Q3154" i="1"/>
  <c r="P3154" i="1"/>
  <c r="O3154" i="1"/>
  <c r="Q3153" i="1"/>
  <c r="P3153" i="1"/>
  <c r="O3153" i="1"/>
  <c r="Q3152" i="1"/>
  <c r="P3152" i="1"/>
  <c r="O3152" i="1"/>
  <c r="Q3151" i="1"/>
  <c r="P3151" i="1"/>
  <c r="O3151" i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Q3145" i="1"/>
  <c r="P3145" i="1"/>
  <c r="O3145" i="1"/>
  <c r="Q3144" i="1"/>
  <c r="P3144" i="1"/>
  <c r="O3144" i="1"/>
  <c r="Q3143" i="1"/>
  <c r="P3143" i="1"/>
  <c r="O3143" i="1"/>
  <c r="Q3142" i="1"/>
  <c r="P3142" i="1"/>
  <c r="O3142" i="1"/>
  <c r="Q3141" i="1"/>
  <c r="P3141" i="1"/>
  <c r="O3141" i="1"/>
  <c r="Q3140" i="1"/>
  <c r="P3140" i="1"/>
  <c r="O3140" i="1"/>
  <c r="Q3139" i="1"/>
  <c r="P3139" i="1"/>
  <c r="O3139" i="1"/>
  <c r="Q3138" i="1"/>
  <c r="P3138" i="1"/>
  <c r="O3138" i="1"/>
  <c r="Q3137" i="1"/>
  <c r="P3137" i="1"/>
  <c r="O3137" i="1"/>
  <c r="Q3136" i="1"/>
  <c r="P3136" i="1"/>
  <c r="O3136" i="1"/>
  <c r="Q3135" i="1"/>
  <c r="P3135" i="1"/>
  <c r="O3135" i="1"/>
  <c r="Q3134" i="1"/>
  <c r="P3134" i="1"/>
  <c r="O3134" i="1"/>
  <c r="Q3133" i="1"/>
  <c r="P3133" i="1"/>
  <c r="O3133" i="1"/>
  <c r="Q3132" i="1"/>
  <c r="P3132" i="1"/>
  <c r="O3132" i="1"/>
  <c r="Q3131" i="1"/>
  <c r="P3131" i="1"/>
  <c r="O3131" i="1"/>
  <c r="Q3130" i="1"/>
  <c r="P3130" i="1"/>
  <c r="O3130" i="1"/>
  <c r="Q3129" i="1"/>
  <c r="P3129" i="1"/>
  <c r="O3129" i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Q3121" i="1"/>
  <c r="P3121" i="1"/>
  <c r="O3121" i="1"/>
  <c r="Q3120" i="1"/>
  <c r="P3120" i="1"/>
  <c r="O3120" i="1"/>
  <c r="Q3119" i="1"/>
  <c r="P3119" i="1"/>
  <c r="O3119" i="1"/>
  <c r="Q3118" i="1"/>
  <c r="P3118" i="1"/>
  <c r="O3118" i="1"/>
  <c r="Q3117" i="1"/>
  <c r="P3117" i="1"/>
  <c r="O3117" i="1"/>
  <c r="Q3116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Q3091" i="1"/>
  <c r="P3091" i="1"/>
  <c r="O3091" i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Q3081" i="1"/>
  <c r="P3081" i="1"/>
  <c r="O3081" i="1"/>
  <c r="Q3080" i="1"/>
  <c r="P3080" i="1"/>
  <c r="O3080" i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Q3075" i="1"/>
  <c r="P3075" i="1"/>
  <c r="O3075" i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Q3070" i="1"/>
  <c r="P3070" i="1"/>
  <c r="O3070" i="1"/>
  <c r="Q3069" i="1"/>
  <c r="P3069" i="1"/>
  <c r="O3069" i="1"/>
  <c r="Q3068" i="1"/>
  <c r="P3068" i="1"/>
  <c r="O3068" i="1"/>
  <c r="Q3067" i="1"/>
  <c r="P3067" i="1"/>
  <c r="O3067" i="1"/>
  <c r="Q3066" i="1"/>
  <c r="P3066" i="1"/>
  <c r="O3066" i="1"/>
  <c r="Q3065" i="1"/>
  <c r="P3065" i="1"/>
  <c r="O3065" i="1"/>
  <c r="P3064" i="1"/>
  <c r="O3064" i="1"/>
  <c r="P3063" i="1"/>
  <c r="O3063" i="1"/>
  <c r="Q3062" i="1"/>
  <c r="P3062" i="1"/>
  <c r="O3062" i="1"/>
  <c r="Q3061" i="1"/>
  <c r="P3061" i="1"/>
  <c r="O3061" i="1"/>
  <c r="Q3060" i="1"/>
  <c r="P3060" i="1"/>
  <c r="O3060" i="1"/>
  <c r="Q3059" i="1"/>
  <c r="P3059" i="1"/>
  <c r="O3059" i="1"/>
  <c r="Q3058" i="1"/>
  <c r="P3058" i="1"/>
  <c r="O3058" i="1"/>
  <c r="Q3057" i="1"/>
  <c r="P3057" i="1"/>
  <c r="O3057" i="1"/>
  <c r="Q3056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Q3050" i="1"/>
  <c r="P3050" i="1"/>
  <c r="O3050" i="1"/>
  <c r="Q3049" i="1"/>
  <c r="P3049" i="1"/>
  <c r="O3049" i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Q3042" i="1"/>
  <c r="P3042" i="1"/>
  <c r="O3042" i="1"/>
  <c r="Q3041" i="1"/>
  <c r="P3041" i="1"/>
  <c r="O3041" i="1"/>
  <c r="Q3040" i="1"/>
  <c r="P3040" i="1"/>
  <c r="O3040" i="1"/>
  <c r="Q3039" i="1"/>
  <c r="P3039" i="1"/>
  <c r="O3039" i="1"/>
  <c r="Q3038" i="1"/>
  <c r="P3038" i="1"/>
  <c r="O3038" i="1"/>
  <c r="Q3037" i="1"/>
  <c r="P3037" i="1"/>
  <c r="O3037" i="1"/>
  <c r="Q3036" i="1"/>
  <c r="P3036" i="1"/>
  <c r="O3036" i="1"/>
  <c r="Q3035" i="1"/>
  <c r="P3035" i="1"/>
  <c r="O3035" i="1"/>
  <c r="Q3034" i="1"/>
  <c r="P3034" i="1"/>
  <c r="O3034" i="1"/>
  <c r="Q3033" i="1"/>
  <c r="P3033" i="1"/>
  <c r="O3033" i="1"/>
  <c r="Q3032" i="1"/>
  <c r="P3032" i="1"/>
  <c r="O3032" i="1"/>
  <c r="Q3031" i="1"/>
  <c r="P3031" i="1"/>
  <c r="O3031" i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Q3026" i="1"/>
  <c r="P3026" i="1"/>
  <c r="O3026" i="1"/>
  <c r="Q3025" i="1"/>
  <c r="P3025" i="1"/>
  <c r="O3025" i="1"/>
  <c r="Q3024" i="1"/>
  <c r="P3024" i="1"/>
  <c r="O3024" i="1"/>
  <c r="Q3023" i="1"/>
  <c r="P3023" i="1"/>
  <c r="O3023" i="1"/>
  <c r="Q3022" i="1"/>
  <c r="P3022" i="1"/>
  <c r="O3022" i="1"/>
  <c r="Q3021" i="1"/>
  <c r="P3021" i="1"/>
  <c r="O3021" i="1"/>
  <c r="Q3020" i="1"/>
  <c r="P3020" i="1"/>
  <c r="O3020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Q3015" i="1"/>
  <c r="P3015" i="1"/>
  <c r="O3015" i="1"/>
  <c r="Q3014" i="1"/>
  <c r="P3014" i="1"/>
  <c r="O3014" i="1"/>
  <c r="P3013" i="1"/>
  <c r="O3013" i="1"/>
  <c r="Q3012" i="1"/>
  <c r="P3012" i="1"/>
  <c r="O3012" i="1"/>
  <c r="Q3011" i="1"/>
  <c r="P3011" i="1"/>
  <c r="O3011" i="1"/>
  <c r="Q3010" i="1"/>
  <c r="P3010" i="1"/>
  <c r="O3010" i="1"/>
  <c r="Q3009" i="1"/>
  <c r="P3009" i="1"/>
  <c r="O3009" i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Q3001" i="1"/>
  <c r="P3001" i="1"/>
  <c r="O3001" i="1"/>
  <c r="Q3000" i="1"/>
  <c r="P3000" i="1"/>
  <c r="O3000" i="1"/>
  <c r="Q2999" i="1"/>
  <c r="P2999" i="1"/>
  <c r="O2999" i="1"/>
  <c r="Q2998" i="1"/>
  <c r="P2998" i="1"/>
  <c r="O2998" i="1"/>
  <c r="Q2997" i="1"/>
  <c r="P2997" i="1"/>
  <c r="O2997" i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Q2991" i="1"/>
  <c r="P2991" i="1"/>
  <c r="O2991" i="1"/>
  <c r="Q2990" i="1"/>
  <c r="P2990" i="1"/>
  <c r="O2990" i="1"/>
  <c r="Q2989" i="1"/>
  <c r="P2989" i="1"/>
  <c r="O2989" i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Q2976" i="1"/>
  <c r="P2976" i="1"/>
  <c r="O2976" i="1"/>
  <c r="Q2975" i="1"/>
  <c r="P2975" i="1"/>
  <c r="O2975" i="1"/>
  <c r="Q2974" i="1"/>
  <c r="P2974" i="1"/>
  <c r="O2974" i="1"/>
  <c r="Q2973" i="1"/>
  <c r="P2973" i="1"/>
  <c r="O2973" i="1"/>
  <c r="Q2972" i="1"/>
  <c r="P2972" i="1"/>
  <c r="O2972" i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Q2966" i="1"/>
  <c r="P2966" i="1"/>
  <c r="O2966" i="1"/>
  <c r="Q2965" i="1"/>
  <c r="P2965" i="1"/>
  <c r="O2965" i="1"/>
  <c r="Q2964" i="1"/>
  <c r="P2964" i="1"/>
  <c r="O2964" i="1"/>
  <c r="P2963" i="1"/>
  <c r="O2963" i="1"/>
  <c r="P2962" i="1"/>
  <c r="O2962" i="1"/>
  <c r="P2961" i="1"/>
  <c r="O2961" i="1"/>
  <c r="P2960" i="1"/>
  <c r="O2960" i="1"/>
  <c r="Q2959" i="1"/>
  <c r="P2959" i="1"/>
  <c r="O2959" i="1"/>
  <c r="Q2958" i="1"/>
  <c r="P2958" i="1"/>
  <c r="O2958" i="1"/>
  <c r="Q2957" i="1"/>
  <c r="P2957" i="1"/>
  <c r="O2957" i="1"/>
  <c r="Q2956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M2813" i="1"/>
  <c r="P2812" i="1"/>
  <c r="O2812" i="1"/>
  <c r="M2812" i="1"/>
  <c r="P2811" i="1"/>
  <c r="O2811" i="1"/>
  <c r="M2811" i="1"/>
  <c r="P2810" i="1"/>
  <c r="O2810" i="1"/>
  <c r="M2810" i="1"/>
  <c r="P2809" i="1"/>
  <c r="O2809" i="1"/>
  <c r="M2809" i="1"/>
  <c r="P2808" i="1"/>
  <c r="O2808" i="1"/>
  <c r="M2808" i="1"/>
  <c r="P2807" i="1"/>
  <c r="O2807" i="1"/>
  <c r="M2807" i="1"/>
  <c r="P2806" i="1"/>
  <c r="O2806" i="1"/>
  <c r="M2806" i="1"/>
  <c r="P2805" i="1"/>
  <c r="O2805" i="1"/>
  <c r="M2805" i="1"/>
  <c r="P2804" i="1"/>
  <c r="O2804" i="1"/>
  <c r="M2804" i="1"/>
  <c r="P2803" i="1"/>
  <c r="O2803" i="1"/>
  <c r="M2803" i="1"/>
  <c r="P2802" i="1"/>
  <c r="O2802" i="1"/>
  <c r="M2802" i="1"/>
  <c r="P2801" i="1"/>
  <c r="O2801" i="1"/>
  <c r="M2801" i="1"/>
  <c r="P2800" i="1"/>
  <c r="O2800" i="1"/>
  <c r="M2800" i="1"/>
  <c r="P2799" i="1"/>
  <c r="O2799" i="1"/>
  <c r="M2799" i="1"/>
  <c r="P2798" i="1"/>
  <c r="O2798" i="1"/>
  <c r="M2798" i="1"/>
  <c r="P2797" i="1"/>
  <c r="O2797" i="1"/>
  <c r="M2797" i="1"/>
  <c r="P2796" i="1"/>
  <c r="O2796" i="1"/>
  <c r="M2796" i="1"/>
  <c r="P2795" i="1"/>
  <c r="O2795" i="1"/>
  <c r="M2795" i="1"/>
  <c r="Q2794" i="1"/>
  <c r="P2794" i="1"/>
  <c r="O2794" i="1"/>
  <c r="M2794" i="1"/>
  <c r="Q2793" i="1"/>
  <c r="P2793" i="1"/>
  <c r="O2793" i="1"/>
  <c r="Q2792" i="1"/>
  <c r="P2792" i="1"/>
  <c r="O2792" i="1"/>
  <c r="Q2791" i="1"/>
  <c r="P2791" i="1"/>
  <c r="O2791" i="1"/>
  <c r="Q2790" i="1"/>
  <c r="P2790" i="1"/>
  <c r="O2790" i="1"/>
  <c r="Q2789" i="1"/>
  <c r="P2789" i="1"/>
  <c r="O2789" i="1"/>
  <c r="Q2788" i="1"/>
  <c r="P2788" i="1"/>
  <c r="O2788" i="1"/>
  <c r="Q2787" i="1"/>
  <c r="P2787" i="1"/>
  <c r="O2787" i="1"/>
  <c r="Q2786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Q2744" i="1"/>
  <c r="P2744" i="1"/>
  <c r="O2744" i="1"/>
  <c r="Q2743" i="1"/>
  <c r="P2743" i="1"/>
  <c r="O2743" i="1"/>
  <c r="Q2742" i="1"/>
  <c r="P2742" i="1"/>
  <c r="O2742" i="1"/>
  <c r="Q2741" i="1"/>
  <c r="P2741" i="1"/>
  <c r="O2741" i="1"/>
  <c r="Q2740" i="1"/>
  <c r="P2740" i="1"/>
  <c r="O2740" i="1"/>
  <c r="P2739" i="1"/>
  <c r="O2739" i="1"/>
  <c r="Q2738" i="1"/>
  <c r="P2738" i="1"/>
  <c r="O2738" i="1"/>
  <c r="Q2737" i="1"/>
  <c r="P2737" i="1"/>
  <c r="O2737" i="1"/>
  <c r="Q2736" i="1"/>
  <c r="P2736" i="1"/>
  <c r="O2736" i="1"/>
  <c r="Q2735" i="1"/>
  <c r="P2735" i="1"/>
  <c r="O2735" i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Q2730" i="1"/>
  <c r="P2730" i="1"/>
  <c r="O2730" i="1"/>
  <c r="Q2729" i="1"/>
  <c r="P2729" i="1"/>
  <c r="O2729" i="1"/>
  <c r="Q2728" i="1"/>
  <c r="P2728" i="1"/>
  <c r="O2728" i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Q2723" i="1"/>
  <c r="P2723" i="1"/>
  <c r="O2723" i="1"/>
  <c r="Q2722" i="1"/>
  <c r="P2722" i="1"/>
  <c r="O2722" i="1"/>
  <c r="Q2721" i="1"/>
  <c r="P2721" i="1"/>
  <c r="O2721" i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Q2716" i="1"/>
  <c r="P2716" i="1"/>
  <c r="O2716" i="1"/>
  <c r="Q2715" i="1"/>
  <c r="P2715" i="1"/>
  <c r="O2715" i="1"/>
  <c r="Q2714" i="1"/>
  <c r="P2714" i="1"/>
  <c r="O2714" i="1"/>
  <c r="Q2713" i="1"/>
  <c r="P2713" i="1"/>
  <c r="O2713" i="1"/>
  <c r="Q2712" i="1"/>
  <c r="P2712" i="1"/>
  <c r="O2712" i="1"/>
  <c r="Q2711" i="1"/>
  <c r="P2711" i="1"/>
  <c r="O2711" i="1"/>
  <c r="Q2710" i="1"/>
  <c r="P2710" i="1"/>
  <c r="O2710" i="1"/>
  <c r="Q2709" i="1"/>
  <c r="P2709" i="1"/>
  <c r="O2709" i="1"/>
  <c r="Q2708" i="1"/>
  <c r="P2708" i="1"/>
  <c r="O2708" i="1"/>
  <c r="Q2707" i="1"/>
  <c r="P2707" i="1"/>
  <c r="O2707" i="1"/>
  <c r="Q2706" i="1"/>
  <c r="P2706" i="1"/>
  <c r="O2706" i="1"/>
  <c r="Q2705" i="1"/>
  <c r="P2705" i="1"/>
  <c r="O2705" i="1"/>
  <c r="Q2704" i="1"/>
  <c r="P2704" i="1"/>
  <c r="O2704" i="1"/>
  <c r="Q2703" i="1"/>
  <c r="P2703" i="1"/>
  <c r="O2703" i="1"/>
  <c r="Q2702" i="1"/>
  <c r="P2702" i="1"/>
  <c r="O2702" i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Q2697" i="1"/>
  <c r="P2697" i="1"/>
  <c r="O2697" i="1"/>
  <c r="Q2696" i="1"/>
  <c r="P2696" i="1"/>
  <c r="O2696" i="1"/>
  <c r="Q2695" i="1"/>
  <c r="P2695" i="1"/>
  <c r="O2695" i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Q2690" i="1"/>
  <c r="P2690" i="1"/>
  <c r="O2690" i="1"/>
  <c r="Q2689" i="1"/>
  <c r="P2689" i="1"/>
  <c r="O2689" i="1"/>
  <c r="Q2688" i="1"/>
  <c r="P2688" i="1"/>
  <c r="O2688" i="1"/>
  <c r="Q2687" i="1"/>
  <c r="P2687" i="1"/>
  <c r="O2687" i="1"/>
  <c r="Q2686" i="1"/>
  <c r="P2686" i="1"/>
  <c r="O2686" i="1"/>
  <c r="Q2685" i="1"/>
  <c r="P2685" i="1"/>
  <c r="O2685" i="1"/>
  <c r="Q2684" i="1"/>
  <c r="P2684" i="1"/>
  <c r="O2684" i="1"/>
  <c r="Q2683" i="1"/>
  <c r="P2683" i="1"/>
  <c r="O2683" i="1"/>
  <c r="Q2682" i="1"/>
  <c r="P2682" i="1"/>
  <c r="O2682" i="1"/>
  <c r="Q2681" i="1"/>
  <c r="P2681" i="1"/>
  <c r="O2681" i="1"/>
  <c r="Q2680" i="1"/>
  <c r="P2680" i="1"/>
  <c r="O2680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Q2664" i="1"/>
  <c r="P2664" i="1"/>
  <c r="O2664" i="1"/>
  <c r="Q2663" i="1"/>
  <c r="P2663" i="1"/>
  <c r="O2663" i="1"/>
  <c r="Q2662" i="1"/>
  <c r="P2662" i="1"/>
  <c r="O2662" i="1"/>
  <c r="Q2661" i="1"/>
  <c r="P2661" i="1"/>
  <c r="O2661" i="1"/>
  <c r="Q2660" i="1"/>
  <c r="P2660" i="1"/>
  <c r="O2660" i="1"/>
  <c r="Q2659" i="1"/>
  <c r="P2659" i="1"/>
  <c r="O2659" i="1"/>
  <c r="Q2658" i="1"/>
  <c r="P2658" i="1"/>
  <c r="O2658" i="1"/>
  <c r="P2657" i="1"/>
  <c r="O2657" i="1"/>
  <c r="P2656" i="1"/>
  <c r="O2656" i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P2640" i="1"/>
  <c r="O2640" i="1"/>
  <c r="P2639" i="1"/>
  <c r="O2639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Q2604" i="1"/>
  <c r="P2604" i="1"/>
  <c r="O2604" i="1"/>
  <c r="Q2603" i="1"/>
  <c r="P2603" i="1"/>
  <c r="O2603" i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Q2567" i="1"/>
  <c r="P2567" i="1"/>
  <c r="O2567" i="1"/>
  <c r="Q2566" i="1"/>
  <c r="P2566" i="1"/>
  <c r="O2566" i="1"/>
  <c r="Q2565" i="1"/>
  <c r="P2565" i="1"/>
  <c r="O2565" i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Q2556" i="1"/>
  <c r="P2556" i="1"/>
  <c r="O2556" i="1"/>
  <c r="Q2555" i="1"/>
  <c r="P2555" i="1"/>
  <c r="O2555" i="1"/>
  <c r="Q2554" i="1"/>
  <c r="P2554" i="1"/>
  <c r="O2554" i="1"/>
  <c r="Q2553" i="1"/>
  <c r="P2553" i="1"/>
  <c r="O2553" i="1"/>
  <c r="Q2552" i="1"/>
  <c r="P2552" i="1"/>
  <c r="O2552" i="1"/>
  <c r="Q2551" i="1"/>
  <c r="P2551" i="1"/>
  <c r="O2551" i="1"/>
  <c r="Q2550" i="1"/>
  <c r="P2550" i="1"/>
  <c r="O2550" i="1"/>
  <c r="Q2549" i="1"/>
  <c r="P2549" i="1"/>
  <c r="O2549" i="1"/>
  <c r="Q2548" i="1"/>
  <c r="P2548" i="1"/>
  <c r="O2548" i="1"/>
  <c r="Q2547" i="1"/>
  <c r="P2547" i="1"/>
  <c r="O2547" i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Q2444" i="1"/>
  <c r="P2444" i="1"/>
  <c r="O2444" i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Q2437" i="1"/>
  <c r="P2437" i="1"/>
  <c r="O2437" i="1"/>
  <c r="Q2436" i="1"/>
  <c r="P2436" i="1"/>
  <c r="O2436" i="1"/>
  <c r="Q2435" i="1"/>
  <c r="P2435" i="1"/>
  <c r="O2435" i="1"/>
  <c r="Q2434" i="1"/>
  <c r="P2434" i="1"/>
  <c r="O2434" i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Q2424" i="1"/>
  <c r="P2424" i="1"/>
  <c r="O2424" i="1"/>
  <c r="Q2423" i="1"/>
  <c r="P2423" i="1"/>
  <c r="O2423" i="1"/>
  <c r="Q2422" i="1"/>
  <c r="P2422" i="1"/>
  <c r="O2422" i="1"/>
  <c r="Q2421" i="1"/>
  <c r="P2421" i="1"/>
  <c r="O2421" i="1"/>
  <c r="Q2420" i="1"/>
  <c r="P2420" i="1"/>
  <c r="O2420" i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Q2404" i="1"/>
  <c r="P2404" i="1"/>
  <c r="O2404" i="1"/>
  <c r="Q2403" i="1"/>
  <c r="P2403" i="1"/>
  <c r="O2403" i="1"/>
  <c r="Q2402" i="1"/>
  <c r="P2402" i="1"/>
  <c r="O2402" i="1"/>
  <c r="Q2401" i="1"/>
  <c r="P2401" i="1"/>
  <c r="O2401" i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Q2390" i="1"/>
  <c r="P2390" i="1"/>
  <c r="O2390" i="1"/>
  <c r="Q2389" i="1"/>
  <c r="P2389" i="1"/>
  <c r="O2389" i="1"/>
  <c r="Q2388" i="1"/>
  <c r="P2388" i="1"/>
  <c r="O2388" i="1"/>
  <c r="Q2387" i="1"/>
  <c r="P2387" i="1"/>
  <c r="O2387" i="1"/>
  <c r="Q2386" i="1"/>
  <c r="P2386" i="1"/>
  <c r="O2386" i="1"/>
  <c r="Q2385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Q2380" i="1"/>
  <c r="P2380" i="1"/>
  <c r="O2380" i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Q2375" i="1"/>
  <c r="P2375" i="1"/>
  <c r="O2375" i="1"/>
  <c r="Q2374" i="1"/>
  <c r="P2374" i="1"/>
  <c r="O2374" i="1"/>
  <c r="Q2373" i="1"/>
  <c r="P2373" i="1"/>
  <c r="O2373" i="1"/>
  <c r="Q2372" i="1"/>
  <c r="P2372" i="1"/>
  <c r="O2372" i="1"/>
  <c r="Q2371" i="1"/>
  <c r="P2371" i="1"/>
  <c r="O2371" i="1"/>
  <c r="Q2370" i="1"/>
  <c r="P2370" i="1"/>
  <c r="O2370" i="1"/>
  <c r="Q2369" i="1"/>
  <c r="P2369" i="1"/>
  <c r="O2369" i="1"/>
  <c r="Q2368" i="1"/>
  <c r="P2368" i="1"/>
  <c r="O2368" i="1"/>
  <c r="Q2367" i="1"/>
  <c r="P2367" i="1"/>
  <c r="O2367" i="1"/>
  <c r="Q2366" i="1"/>
  <c r="P2366" i="1"/>
  <c r="O2366" i="1"/>
  <c r="Q2365" i="1"/>
  <c r="P2365" i="1"/>
  <c r="O2365" i="1"/>
  <c r="Q2364" i="1"/>
  <c r="P2364" i="1"/>
  <c r="O2364" i="1"/>
  <c r="Q2363" i="1"/>
  <c r="P2363" i="1"/>
  <c r="O2363" i="1"/>
  <c r="Q2362" i="1"/>
  <c r="P2362" i="1"/>
  <c r="O2362" i="1"/>
  <c r="Q2361" i="1"/>
  <c r="P2361" i="1"/>
  <c r="O2361" i="1"/>
  <c r="Q2360" i="1"/>
  <c r="P2360" i="1"/>
  <c r="O2360" i="1"/>
  <c r="Q2359" i="1"/>
  <c r="P2359" i="1"/>
  <c r="O2359" i="1"/>
  <c r="Q2358" i="1"/>
  <c r="P2358" i="1"/>
  <c r="O2358" i="1"/>
  <c r="Q2357" i="1"/>
  <c r="P2357" i="1"/>
  <c r="O2357" i="1"/>
  <c r="Q2356" i="1"/>
  <c r="P2356" i="1"/>
  <c r="O2356" i="1"/>
  <c r="Q2355" i="1"/>
  <c r="P2355" i="1"/>
  <c r="O2355" i="1"/>
  <c r="Q2354" i="1"/>
  <c r="P2354" i="1"/>
  <c r="O2354" i="1"/>
  <c r="Q2353" i="1"/>
  <c r="P2353" i="1"/>
  <c r="O2353" i="1"/>
  <c r="Q2352" i="1"/>
  <c r="P2352" i="1"/>
  <c r="O2352" i="1"/>
  <c r="Q2351" i="1"/>
  <c r="P2351" i="1"/>
  <c r="O2351" i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Q2341" i="1"/>
  <c r="P2341" i="1"/>
  <c r="O2341" i="1"/>
  <c r="Q2340" i="1"/>
  <c r="P2340" i="1"/>
  <c r="O2340" i="1"/>
  <c r="Q2339" i="1"/>
  <c r="P2339" i="1"/>
  <c r="O2339" i="1"/>
  <c r="Q2338" i="1"/>
  <c r="P2338" i="1"/>
  <c r="O2338" i="1"/>
  <c r="Q2337" i="1"/>
  <c r="P2337" i="1"/>
  <c r="O2337" i="1"/>
  <c r="Q2336" i="1"/>
  <c r="P2336" i="1"/>
  <c r="O2336" i="1"/>
  <c r="Q2335" i="1"/>
  <c r="P2335" i="1"/>
  <c r="O2335" i="1"/>
  <c r="Q2334" i="1"/>
  <c r="P2334" i="1"/>
  <c r="O2334" i="1"/>
  <c r="Q2333" i="1"/>
  <c r="P2333" i="1"/>
  <c r="O2333" i="1"/>
  <c r="Q2332" i="1"/>
  <c r="P2332" i="1"/>
  <c r="O2332" i="1"/>
  <c r="Q2331" i="1"/>
  <c r="P2331" i="1"/>
  <c r="O2331" i="1"/>
  <c r="Q2330" i="1"/>
  <c r="P2330" i="1"/>
  <c r="O2330" i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Q2306" i="1"/>
  <c r="P2306" i="1"/>
  <c r="O2306" i="1"/>
  <c r="Q2305" i="1"/>
  <c r="P2305" i="1"/>
  <c r="O2305" i="1"/>
  <c r="Q2304" i="1"/>
  <c r="P2304" i="1"/>
  <c r="O2304" i="1"/>
  <c r="Q2303" i="1"/>
  <c r="P2303" i="1"/>
  <c r="O2303" i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Q2290" i="1"/>
  <c r="P2290" i="1"/>
  <c r="O2290" i="1"/>
  <c r="Q2289" i="1"/>
  <c r="P2289" i="1"/>
  <c r="O2289" i="1"/>
  <c r="Q2288" i="1"/>
  <c r="P2288" i="1"/>
  <c r="O2288" i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Q2282" i="1"/>
  <c r="P2282" i="1"/>
  <c r="O2282" i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Q2275" i="1"/>
  <c r="P2275" i="1"/>
  <c r="O2275" i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Q2267" i="1"/>
  <c r="P2267" i="1"/>
  <c r="O2267" i="1"/>
  <c r="Q2266" i="1"/>
  <c r="P2266" i="1"/>
  <c r="O2266" i="1"/>
  <c r="Q2265" i="1"/>
  <c r="P2265" i="1"/>
  <c r="O2265" i="1"/>
  <c r="Q2264" i="1"/>
  <c r="P2264" i="1"/>
  <c r="O2264" i="1"/>
  <c r="Q2263" i="1"/>
  <c r="P2263" i="1"/>
  <c r="O2263" i="1"/>
  <c r="Q2262" i="1"/>
  <c r="P2262" i="1"/>
  <c r="O2262" i="1"/>
  <c r="Q2261" i="1"/>
  <c r="P2261" i="1"/>
  <c r="O2261" i="1"/>
  <c r="Q2260" i="1"/>
  <c r="P2260" i="1"/>
  <c r="O2260" i="1"/>
  <c r="Q2259" i="1"/>
  <c r="P2259" i="1"/>
  <c r="O2259" i="1"/>
  <c r="Q2258" i="1"/>
  <c r="P2258" i="1"/>
  <c r="O2258" i="1"/>
  <c r="Q2257" i="1"/>
  <c r="P2257" i="1"/>
  <c r="O2257" i="1"/>
  <c r="Q2256" i="1"/>
  <c r="P2256" i="1"/>
  <c r="O2256" i="1"/>
  <c r="Q2255" i="1"/>
  <c r="P2255" i="1"/>
  <c r="O2255" i="1"/>
  <c r="Q2254" i="1"/>
  <c r="P2254" i="1"/>
  <c r="O2254" i="1"/>
  <c r="Q2253" i="1"/>
  <c r="P2253" i="1"/>
  <c r="O2253" i="1"/>
  <c r="Q2252" i="1"/>
  <c r="P2252" i="1"/>
  <c r="O2252" i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Q2246" i="1"/>
  <c r="P2246" i="1"/>
  <c r="O2246" i="1"/>
  <c r="Q2245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Q2220" i="1"/>
  <c r="P2220" i="1"/>
  <c r="O2220" i="1"/>
  <c r="Q2219" i="1"/>
  <c r="P2219" i="1"/>
  <c r="O2219" i="1"/>
  <c r="Q2218" i="1"/>
  <c r="P2218" i="1"/>
  <c r="O2218" i="1"/>
  <c r="M2218" i="1"/>
  <c r="Q2217" i="1"/>
  <c r="P2217" i="1"/>
  <c r="O2217" i="1"/>
  <c r="M2217" i="1"/>
  <c r="Q2216" i="1"/>
  <c r="P2216" i="1"/>
  <c r="O2216" i="1"/>
  <c r="M2216" i="1"/>
  <c r="Q2215" i="1"/>
  <c r="P2215" i="1"/>
  <c r="O2215" i="1"/>
  <c r="M2215" i="1"/>
  <c r="Q2214" i="1"/>
  <c r="P2214" i="1"/>
  <c r="O2214" i="1"/>
  <c r="M2214" i="1"/>
  <c r="Q2213" i="1"/>
  <c r="P2213" i="1"/>
  <c r="O2213" i="1"/>
  <c r="M2213" i="1"/>
  <c r="Q2212" i="1"/>
  <c r="P2212" i="1"/>
  <c r="O2212" i="1"/>
  <c r="M2212" i="1"/>
  <c r="Q2211" i="1"/>
  <c r="P2211" i="1"/>
  <c r="O2211" i="1"/>
  <c r="M2211" i="1"/>
  <c r="Q2210" i="1"/>
  <c r="P2210" i="1"/>
  <c r="O2210" i="1"/>
  <c r="M2210" i="1"/>
  <c r="Q2209" i="1"/>
  <c r="P2209" i="1"/>
  <c r="O2209" i="1"/>
  <c r="M2209" i="1"/>
  <c r="Q2208" i="1"/>
  <c r="P2208" i="1"/>
  <c r="O2208" i="1"/>
  <c r="M2208" i="1"/>
  <c r="Q2207" i="1"/>
  <c r="P2207" i="1"/>
  <c r="O2207" i="1"/>
  <c r="M2207" i="1"/>
  <c r="Q2206" i="1"/>
  <c r="P2206" i="1"/>
  <c r="O2206" i="1"/>
  <c r="M2206" i="1"/>
  <c r="Q2205" i="1"/>
  <c r="P2205" i="1"/>
  <c r="O2205" i="1"/>
  <c r="M2205" i="1"/>
  <c r="Q2204" i="1"/>
  <c r="P2204" i="1"/>
  <c r="O2204" i="1"/>
  <c r="M2204" i="1"/>
  <c r="Q2203" i="1"/>
  <c r="P2203" i="1"/>
  <c r="O2203" i="1"/>
  <c r="M2203" i="1"/>
  <c r="Q2202" i="1"/>
  <c r="P2202" i="1"/>
  <c r="O2202" i="1"/>
  <c r="M2202" i="1"/>
  <c r="Q2201" i="1"/>
  <c r="P2201" i="1"/>
  <c r="O2201" i="1"/>
  <c r="M2201" i="1"/>
  <c r="Q2200" i="1"/>
  <c r="P2200" i="1"/>
  <c r="O2200" i="1"/>
  <c r="M2200" i="1"/>
  <c r="Q2199" i="1"/>
  <c r="P2199" i="1"/>
  <c r="O2199" i="1"/>
  <c r="M2199" i="1"/>
  <c r="Q2198" i="1"/>
  <c r="P2198" i="1"/>
  <c r="O2198" i="1"/>
  <c r="M2198" i="1"/>
  <c r="Q2197" i="1"/>
  <c r="P2197" i="1"/>
  <c r="O2197" i="1"/>
  <c r="M2197" i="1"/>
  <c r="Q2196" i="1"/>
  <c r="P2196" i="1"/>
  <c r="O2196" i="1"/>
  <c r="M2196" i="1"/>
  <c r="Q2195" i="1"/>
  <c r="P2195" i="1"/>
  <c r="O2195" i="1"/>
  <c r="M2195" i="1"/>
  <c r="Q2194" i="1"/>
  <c r="P2194" i="1"/>
  <c r="O2194" i="1"/>
  <c r="M2194" i="1"/>
  <c r="Q2193" i="1"/>
  <c r="P2193" i="1"/>
  <c r="O2193" i="1"/>
  <c r="M2193" i="1"/>
  <c r="Q2192" i="1"/>
  <c r="P2192" i="1"/>
  <c r="O2192" i="1"/>
  <c r="M2192" i="1"/>
  <c r="Q2191" i="1"/>
  <c r="P2191" i="1"/>
  <c r="O2191" i="1"/>
  <c r="M2191" i="1"/>
  <c r="Q2190" i="1"/>
  <c r="P2190" i="1"/>
  <c r="O2190" i="1"/>
  <c r="M2190" i="1"/>
  <c r="Q2189" i="1"/>
  <c r="P2189" i="1"/>
  <c r="O2189" i="1"/>
  <c r="M2189" i="1"/>
  <c r="Q2188" i="1"/>
  <c r="P2188" i="1"/>
  <c r="O2188" i="1"/>
  <c r="M2188" i="1"/>
  <c r="Q2187" i="1"/>
  <c r="P2187" i="1"/>
  <c r="O2187" i="1"/>
  <c r="M2187" i="1"/>
  <c r="Q2186" i="1"/>
  <c r="P2186" i="1"/>
  <c r="O2186" i="1"/>
  <c r="M2186" i="1"/>
  <c r="Q2185" i="1"/>
  <c r="P2185" i="1"/>
  <c r="O2185" i="1"/>
  <c r="M2185" i="1"/>
  <c r="Q2184" i="1"/>
  <c r="P2184" i="1"/>
  <c r="O2184" i="1"/>
  <c r="M2184" i="1"/>
  <c r="Q2183" i="1"/>
  <c r="P2183" i="1"/>
  <c r="O2183" i="1"/>
  <c r="M2183" i="1"/>
  <c r="Q2182" i="1"/>
  <c r="P2182" i="1"/>
  <c r="O2182" i="1"/>
  <c r="M2182" i="1"/>
  <c r="Q2181" i="1"/>
  <c r="P2181" i="1"/>
  <c r="O2181" i="1"/>
  <c r="M2181" i="1"/>
  <c r="Q2180" i="1"/>
  <c r="P2180" i="1"/>
  <c r="O2180" i="1"/>
  <c r="M2180" i="1"/>
  <c r="Q2179" i="1"/>
  <c r="P2179" i="1"/>
  <c r="O2179" i="1"/>
  <c r="M2179" i="1"/>
  <c r="Q2178" i="1"/>
  <c r="P2178" i="1"/>
  <c r="O2178" i="1"/>
  <c r="M2178" i="1"/>
  <c r="Q2177" i="1"/>
  <c r="P2177" i="1"/>
  <c r="O2177" i="1"/>
  <c r="M2177" i="1"/>
  <c r="Q2176" i="1"/>
  <c r="P2176" i="1"/>
  <c r="O2176" i="1"/>
  <c r="M2176" i="1"/>
  <c r="Q2175" i="1"/>
  <c r="P2175" i="1"/>
  <c r="O2175" i="1"/>
  <c r="M2175" i="1"/>
  <c r="Q2174" i="1"/>
  <c r="P2174" i="1"/>
  <c r="O2174" i="1"/>
  <c r="M2174" i="1"/>
  <c r="Q2173" i="1"/>
  <c r="P2173" i="1"/>
  <c r="O2173" i="1"/>
  <c r="M2173" i="1"/>
  <c r="Q2172" i="1"/>
  <c r="P2172" i="1"/>
  <c r="O2172" i="1"/>
  <c r="M2172" i="1"/>
  <c r="Q2171" i="1"/>
  <c r="P2171" i="1"/>
  <c r="O2171" i="1"/>
  <c r="M2171" i="1"/>
  <c r="Q2170" i="1"/>
  <c r="P2170" i="1"/>
  <c r="O2170" i="1"/>
  <c r="M2170" i="1"/>
  <c r="Q2169" i="1"/>
  <c r="P2169" i="1"/>
  <c r="O2169" i="1"/>
  <c r="M2169" i="1"/>
  <c r="Q2168" i="1"/>
  <c r="P2168" i="1"/>
  <c r="O2168" i="1"/>
  <c r="M2168" i="1"/>
  <c r="Q2167" i="1"/>
  <c r="P2167" i="1"/>
  <c r="O2167" i="1"/>
  <c r="M2167" i="1"/>
  <c r="Q2166" i="1"/>
  <c r="P2166" i="1"/>
  <c r="O2166" i="1"/>
  <c r="M2166" i="1"/>
  <c r="Q2165" i="1"/>
  <c r="P2165" i="1"/>
  <c r="O2165" i="1"/>
  <c r="M2165" i="1"/>
  <c r="Q2164" i="1"/>
  <c r="P2164" i="1"/>
  <c r="O2164" i="1"/>
  <c r="M2164" i="1"/>
  <c r="Q2163" i="1"/>
  <c r="P2163" i="1"/>
  <c r="O2163" i="1"/>
  <c r="M2163" i="1"/>
  <c r="Q2162" i="1"/>
  <c r="P2162" i="1"/>
  <c r="O2162" i="1"/>
  <c r="M2162" i="1"/>
  <c r="Q2161" i="1"/>
  <c r="P2161" i="1"/>
  <c r="O2161" i="1"/>
  <c r="M2161" i="1"/>
  <c r="Q2160" i="1"/>
  <c r="P2160" i="1"/>
  <c r="O2160" i="1"/>
  <c r="M2160" i="1"/>
  <c r="Q2159" i="1"/>
  <c r="P2159" i="1"/>
  <c r="O2159" i="1"/>
  <c r="M2159" i="1"/>
  <c r="Q2158" i="1"/>
  <c r="P2158" i="1"/>
  <c r="O2158" i="1"/>
  <c r="M2158" i="1"/>
  <c r="Q2157" i="1"/>
  <c r="P2157" i="1"/>
  <c r="O2157" i="1"/>
  <c r="M2157" i="1"/>
  <c r="Q2156" i="1"/>
  <c r="P2156" i="1"/>
  <c r="O2156" i="1"/>
  <c r="M2156" i="1"/>
  <c r="Q2155" i="1"/>
  <c r="P2155" i="1"/>
  <c r="O2155" i="1"/>
  <c r="M2155" i="1"/>
  <c r="Q2154" i="1"/>
  <c r="P2154" i="1"/>
  <c r="O2154" i="1"/>
  <c r="M2154" i="1"/>
  <c r="Q2153" i="1"/>
  <c r="P2153" i="1"/>
  <c r="O2153" i="1"/>
  <c r="M2153" i="1"/>
  <c r="Q2152" i="1"/>
  <c r="P2152" i="1"/>
  <c r="O2152" i="1"/>
  <c r="M2152" i="1"/>
  <c r="Q2151" i="1"/>
  <c r="P2151" i="1"/>
  <c r="O2151" i="1"/>
  <c r="M2151" i="1"/>
  <c r="Q2150" i="1"/>
  <c r="P2150" i="1"/>
  <c r="O2150" i="1"/>
  <c r="M2150" i="1"/>
  <c r="Q2149" i="1"/>
  <c r="P2149" i="1"/>
  <c r="O2149" i="1"/>
  <c r="M2149" i="1"/>
  <c r="Q2148" i="1"/>
  <c r="P2148" i="1"/>
  <c r="O2148" i="1"/>
  <c r="M2148" i="1"/>
  <c r="Q2147" i="1"/>
  <c r="P2147" i="1"/>
  <c r="O2147" i="1"/>
  <c r="M2147" i="1"/>
  <c r="Q2146" i="1"/>
  <c r="P2146" i="1"/>
  <c r="O2146" i="1"/>
  <c r="M2146" i="1"/>
  <c r="Q2145" i="1"/>
  <c r="P2145" i="1"/>
  <c r="O2145" i="1"/>
  <c r="M2145" i="1"/>
  <c r="Q2144" i="1"/>
  <c r="P2144" i="1"/>
  <c r="O2144" i="1"/>
  <c r="M2144" i="1"/>
  <c r="Q2143" i="1"/>
  <c r="P2143" i="1"/>
  <c r="O2143" i="1"/>
  <c r="M2143" i="1"/>
  <c r="Q2142" i="1"/>
  <c r="P2142" i="1"/>
  <c r="O2142" i="1"/>
  <c r="M2142" i="1"/>
  <c r="Q2141" i="1"/>
  <c r="P2141" i="1"/>
  <c r="O2141" i="1"/>
  <c r="M2141" i="1"/>
  <c r="Q2140" i="1"/>
  <c r="P2140" i="1"/>
  <c r="O2140" i="1"/>
  <c r="M2140" i="1"/>
  <c r="Q2139" i="1"/>
  <c r="P2139" i="1"/>
  <c r="O2139" i="1"/>
  <c r="M2139" i="1"/>
  <c r="Q2138" i="1"/>
  <c r="P2138" i="1"/>
  <c r="O2138" i="1"/>
  <c r="M2138" i="1"/>
  <c r="Q2137" i="1"/>
  <c r="P2137" i="1"/>
  <c r="O2137" i="1"/>
  <c r="M2137" i="1"/>
  <c r="Q2136" i="1"/>
  <c r="P2136" i="1"/>
  <c r="O2136" i="1"/>
  <c r="M2136" i="1"/>
  <c r="Q2135" i="1"/>
  <c r="P2135" i="1"/>
  <c r="O2135" i="1"/>
  <c r="M2135" i="1"/>
  <c r="Q2134" i="1"/>
  <c r="P2134" i="1"/>
  <c r="O2134" i="1"/>
  <c r="M2134" i="1"/>
  <c r="Q2133" i="1"/>
  <c r="P2133" i="1"/>
  <c r="O2133" i="1"/>
  <c r="M2133" i="1"/>
  <c r="Q2132" i="1"/>
  <c r="P2132" i="1"/>
  <c r="O2132" i="1"/>
  <c r="M2132" i="1"/>
  <c r="Q2131" i="1"/>
  <c r="P2131" i="1"/>
  <c r="O2131" i="1"/>
  <c r="M2131" i="1"/>
  <c r="Q2130" i="1"/>
  <c r="P2130" i="1"/>
  <c r="O2130" i="1"/>
  <c r="M2130" i="1"/>
  <c r="Q2129" i="1"/>
  <c r="P2129" i="1"/>
  <c r="O2129" i="1"/>
  <c r="M2129" i="1"/>
  <c r="Q2128" i="1"/>
  <c r="P2128" i="1"/>
  <c r="O2128" i="1"/>
  <c r="M2128" i="1"/>
  <c r="Q2127" i="1"/>
  <c r="P2127" i="1"/>
  <c r="O2127" i="1"/>
  <c r="M2127" i="1"/>
  <c r="Q2126" i="1"/>
  <c r="P2126" i="1"/>
  <c r="O2126" i="1"/>
  <c r="M2126" i="1"/>
  <c r="Q2125" i="1"/>
  <c r="P2125" i="1"/>
  <c r="O2125" i="1"/>
  <c r="M2125" i="1"/>
  <c r="Q2124" i="1"/>
  <c r="P2124" i="1"/>
  <c r="O2124" i="1"/>
  <c r="M2124" i="1"/>
  <c r="Q2123" i="1"/>
  <c r="P2123" i="1"/>
  <c r="O2123" i="1"/>
  <c r="M2123" i="1"/>
  <c r="Q2122" i="1"/>
  <c r="P2122" i="1"/>
  <c r="O2122" i="1"/>
  <c r="M2122" i="1"/>
  <c r="Q2121" i="1"/>
  <c r="P2121" i="1"/>
  <c r="O2121" i="1"/>
  <c r="M2121" i="1"/>
  <c r="Q2120" i="1"/>
  <c r="P2120" i="1"/>
  <c r="O2120" i="1"/>
  <c r="M2120" i="1"/>
  <c r="Q2119" i="1"/>
  <c r="P2119" i="1"/>
  <c r="O2119" i="1"/>
  <c r="M2119" i="1"/>
  <c r="Q2118" i="1"/>
  <c r="P2118" i="1"/>
  <c r="O2118" i="1"/>
  <c r="M2118" i="1"/>
  <c r="Q2117" i="1"/>
  <c r="P2117" i="1"/>
  <c r="O2117" i="1"/>
  <c r="M2117" i="1"/>
  <c r="Q2116" i="1"/>
  <c r="P2116" i="1"/>
  <c r="O2116" i="1"/>
  <c r="M2116" i="1"/>
  <c r="Q2115" i="1"/>
  <c r="P2115" i="1"/>
  <c r="O2115" i="1"/>
  <c r="M2115" i="1"/>
  <c r="Q2114" i="1"/>
  <c r="P2114" i="1"/>
  <c r="O2114" i="1"/>
  <c r="M2114" i="1"/>
  <c r="V2113" i="1"/>
  <c r="Q2113" i="1"/>
  <c r="P2113" i="1"/>
  <c r="O2113" i="1"/>
  <c r="M2113" i="1"/>
  <c r="V2112" i="1"/>
  <c r="Q2112" i="1"/>
  <c r="P2112" i="1"/>
  <c r="O2112" i="1"/>
  <c r="M2112" i="1"/>
  <c r="V2111" i="1"/>
  <c r="Q2111" i="1"/>
  <c r="P2111" i="1"/>
  <c r="O2111" i="1"/>
  <c r="M2111" i="1"/>
  <c r="V2110" i="1"/>
  <c r="Q2110" i="1"/>
  <c r="P2110" i="1"/>
  <c r="O2110" i="1"/>
  <c r="M2110" i="1"/>
  <c r="V2109" i="1"/>
  <c r="Q2109" i="1"/>
  <c r="P2109" i="1"/>
  <c r="O2109" i="1"/>
  <c r="M2109" i="1"/>
  <c r="V2108" i="1"/>
  <c r="Q2108" i="1"/>
  <c r="P2108" i="1"/>
  <c r="O2108" i="1"/>
  <c r="M2108" i="1"/>
  <c r="V2107" i="1"/>
  <c r="Q2107" i="1"/>
  <c r="P2107" i="1"/>
  <c r="O2107" i="1"/>
  <c r="M2107" i="1"/>
  <c r="V2106" i="1"/>
  <c r="Q2106" i="1"/>
  <c r="P2106" i="1"/>
  <c r="O2106" i="1"/>
  <c r="M2106" i="1"/>
  <c r="V2105" i="1"/>
  <c r="Q2105" i="1"/>
  <c r="P2105" i="1"/>
  <c r="O2105" i="1"/>
  <c r="M2105" i="1"/>
  <c r="V2104" i="1"/>
  <c r="Q2104" i="1"/>
  <c r="P2104" i="1"/>
  <c r="O2104" i="1"/>
  <c r="M2104" i="1"/>
  <c r="V2103" i="1"/>
  <c r="Q2103" i="1"/>
  <c r="P2103" i="1"/>
  <c r="O2103" i="1"/>
  <c r="M2103" i="1"/>
  <c r="Q2102" i="1"/>
  <c r="P2102" i="1"/>
  <c r="O2102" i="1"/>
  <c r="M2102" i="1"/>
  <c r="Q2101" i="1"/>
  <c r="P2101" i="1"/>
  <c r="O2101" i="1"/>
  <c r="M2101" i="1"/>
  <c r="Q2100" i="1"/>
  <c r="P2100" i="1"/>
  <c r="O2100" i="1"/>
  <c r="M2100" i="1"/>
  <c r="Q2099" i="1"/>
  <c r="P2099" i="1"/>
  <c r="O2099" i="1"/>
  <c r="M2099" i="1"/>
  <c r="Q2098" i="1"/>
  <c r="P2098" i="1"/>
  <c r="O2098" i="1"/>
  <c r="M2098" i="1"/>
  <c r="Q2097" i="1"/>
  <c r="P2097" i="1"/>
  <c r="O2097" i="1"/>
  <c r="Q2096" i="1"/>
  <c r="P2096" i="1"/>
  <c r="O2096" i="1"/>
  <c r="Q2095" i="1"/>
  <c r="P2095" i="1"/>
  <c r="O2095" i="1"/>
  <c r="Q2094" i="1"/>
  <c r="P2094" i="1"/>
  <c r="O2094" i="1"/>
  <c r="Q2093" i="1"/>
  <c r="P2093" i="1"/>
  <c r="O2093" i="1"/>
  <c r="Q2092" i="1"/>
  <c r="P2092" i="1"/>
  <c r="O2092" i="1"/>
  <c r="V2091" i="1"/>
  <c r="Q2091" i="1"/>
  <c r="P2091" i="1"/>
  <c r="O2091" i="1"/>
  <c r="V2090" i="1"/>
  <c r="Q2090" i="1"/>
  <c r="P2090" i="1"/>
  <c r="O2090" i="1"/>
  <c r="V2089" i="1"/>
  <c r="Q2089" i="1"/>
  <c r="P2089" i="1"/>
  <c r="O2089" i="1"/>
  <c r="V2088" i="1"/>
  <c r="Q2088" i="1"/>
  <c r="P2088" i="1"/>
  <c r="O2088" i="1"/>
  <c r="V2087" i="1"/>
  <c r="Q2087" i="1"/>
  <c r="P2087" i="1"/>
  <c r="O2087" i="1"/>
  <c r="V2086" i="1"/>
  <c r="Q2086" i="1"/>
  <c r="P2086" i="1"/>
  <c r="O2086" i="1"/>
  <c r="V2085" i="1"/>
  <c r="Q2085" i="1"/>
  <c r="P2085" i="1"/>
  <c r="O2085" i="1"/>
  <c r="V2084" i="1"/>
  <c r="Q2084" i="1"/>
  <c r="P2084" i="1"/>
  <c r="O2084" i="1"/>
  <c r="V2083" i="1"/>
  <c r="Q2083" i="1"/>
  <c r="P2083" i="1"/>
  <c r="O2083" i="1"/>
  <c r="V2082" i="1"/>
  <c r="Q2082" i="1"/>
  <c r="P2082" i="1"/>
  <c r="O2082" i="1"/>
  <c r="V2081" i="1"/>
  <c r="Q2081" i="1"/>
  <c r="P2081" i="1"/>
  <c r="O2081" i="1"/>
  <c r="V2080" i="1"/>
  <c r="Q2080" i="1"/>
  <c r="P2080" i="1"/>
  <c r="O2080" i="1"/>
  <c r="V2079" i="1"/>
  <c r="Q2079" i="1"/>
  <c r="P2079" i="1"/>
  <c r="O2079" i="1"/>
  <c r="V2078" i="1"/>
  <c r="Q2078" i="1"/>
  <c r="P2078" i="1"/>
  <c r="O2078" i="1"/>
  <c r="V2077" i="1"/>
  <c r="Q2077" i="1"/>
  <c r="P2077" i="1"/>
  <c r="O2077" i="1"/>
  <c r="V2076" i="1"/>
  <c r="Q2076" i="1"/>
  <c r="P2076" i="1"/>
  <c r="O2076" i="1"/>
  <c r="V2075" i="1"/>
  <c r="Q2075" i="1"/>
  <c r="P2075" i="1"/>
  <c r="O2075" i="1"/>
  <c r="V2074" i="1"/>
  <c r="Q2074" i="1"/>
  <c r="P2074" i="1"/>
  <c r="O2074" i="1"/>
  <c r="V2073" i="1"/>
  <c r="Q2073" i="1"/>
  <c r="P2073" i="1"/>
  <c r="O2073" i="1"/>
  <c r="V2072" i="1"/>
  <c r="Q2072" i="1"/>
  <c r="P2072" i="1"/>
  <c r="O2072" i="1"/>
  <c r="V2071" i="1"/>
  <c r="Q2071" i="1"/>
  <c r="P2071" i="1"/>
  <c r="O2071" i="1"/>
  <c r="V2070" i="1"/>
  <c r="Q2070" i="1"/>
  <c r="P2070" i="1"/>
  <c r="O2070" i="1"/>
  <c r="V2069" i="1"/>
  <c r="Q2069" i="1"/>
  <c r="P2069" i="1"/>
  <c r="O2069" i="1"/>
  <c r="V2068" i="1"/>
  <c r="Q2068" i="1"/>
  <c r="P2068" i="1"/>
  <c r="O2068" i="1"/>
  <c r="V2067" i="1"/>
  <c r="Q2067" i="1"/>
  <c r="P2067" i="1"/>
  <c r="O2067" i="1"/>
  <c r="V2066" i="1"/>
  <c r="Q2066" i="1"/>
  <c r="P2066" i="1"/>
  <c r="O2066" i="1"/>
  <c r="V2065" i="1"/>
  <c r="Q2065" i="1"/>
  <c r="P2065" i="1"/>
  <c r="O2065" i="1"/>
  <c r="V2064" i="1"/>
  <c r="Q2064" i="1"/>
  <c r="P2064" i="1"/>
  <c r="O2064" i="1"/>
  <c r="V2063" i="1"/>
  <c r="Q2063" i="1"/>
  <c r="P2063" i="1"/>
  <c r="O2063" i="1"/>
  <c r="V2062" i="1"/>
  <c r="Q2062" i="1"/>
  <c r="P2062" i="1"/>
  <c r="O2062" i="1"/>
  <c r="V2061" i="1"/>
  <c r="Q2061" i="1"/>
  <c r="P2061" i="1"/>
  <c r="O2061" i="1"/>
  <c r="V2060" i="1"/>
  <c r="Q2060" i="1"/>
  <c r="P2060" i="1"/>
  <c r="O2060" i="1"/>
  <c r="V2059" i="1"/>
  <c r="Q2059" i="1"/>
  <c r="P2059" i="1"/>
  <c r="O2059" i="1"/>
  <c r="V2058" i="1"/>
  <c r="Q2058" i="1"/>
  <c r="P2058" i="1"/>
  <c r="O2058" i="1"/>
  <c r="V2057" i="1"/>
  <c r="Q2057" i="1"/>
  <c r="P2057" i="1"/>
  <c r="O2057" i="1"/>
  <c r="V2056" i="1"/>
  <c r="Q2056" i="1"/>
  <c r="P2056" i="1"/>
  <c r="O2056" i="1"/>
  <c r="V2055" i="1"/>
  <c r="Q2055" i="1"/>
  <c r="P2055" i="1"/>
  <c r="O2055" i="1"/>
  <c r="M2055" i="1"/>
  <c r="V2054" i="1"/>
  <c r="Q2054" i="1"/>
  <c r="P2054" i="1"/>
  <c r="O2054" i="1"/>
  <c r="M2054" i="1"/>
  <c r="V2053" i="1"/>
  <c r="Q2053" i="1"/>
  <c r="P2053" i="1"/>
  <c r="O2053" i="1"/>
  <c r="M2053" i="1"/>
  <c r="V2052" i="1"/>
  <c r="Q2052" i="1"/>
  <c r="P2052" i="1"/>
  <c r="O2052" i="1"/>
  <c r="M2052" i="1"/>
  <c r="V2051" i="1"/>
  <c r="Q2051" i="1"/>
  <c r="P2051" i="1"/>
  <c r="O2051" i="1"/>
  <c r="M2051" i="1"/>
  <c r="V2050" i="1"/>
  <c r="Q2050" i="1"/>
  <c r="P2050" i="1"/>
  <c r="O2050" i="1"/>
  <c r="M2050" i="1"/>
  <c r="V2049" i="1"/>
  <c r="Q2049" i="1"/>
  <c r="P2049" i="1"/>
  <c r="O2049" i="1"/>
  <c r="M2049" i="1"/>
  <c r="V2048" i="1"/>
  <c r="Q2048" i="1"/>
  <c r="P2048" i="1"/>
  <c r="O2048" i="1"/>
  <c r="M2048" i="1"/>
  <c r="V2047" i="1"/>
  <c r="Q2047" i="1"/>
  <c r="P2047" i="1"/>
  <c r="O2047" i="1"/>
  <c r="M2047" i="1"/>
  <c r="V2046" i="1"/>
  <c r="Q2046" i="1"/>
  <c r="P2046" i="1"/>
  <c r="O2046" i="1"/>
  <c r="M2046" i="1"/>
  <c r="V2045" i="1"/>
  <c r="Q2045" i="1"/>
  <c r="P2045" i="1"/>
  <c r="O2045" i="1"/>
  <c r="M2045" i="1"/>
  <c r="V2044" i="1"/>
  <c r="Q2044" i="1"/>
  <c r="P2044" i="1"/>
  <c r="O2044" i="1"/>
  <c r="M2044" i="1"/>
  <c r="V2043" i="1"/>
  <c r="Q2043" i="1"/>
  <c r="P2043" i="1"/>
  <c r="O2043" i="1"/>
  <c r="M2043" i="1"/>
  <c r="V2042" i="1"/>
  <c r="Q2042" i="1"/>
  <c r="P2042" i="1"/>
  <c r="O2042" i="1"/>
  <c r="M2042" i="1"/>
  <c r="V2041" i="1"/>
  <c r="Q2041" i="1"/>
  <c r="P2041" i="1"/>
  <c r="O2041" i="1"/>
  <c r="M2041" i="1"/>
  <c r="V2040" i="1"/>
  <c r="Q2040" i="1"/>
  <c r="P2040" i="1"/>
  <c r="O2040" i="1"/>
  <c r="M2040" i="1"/>
  <c r="V2039" i="1"/>
  <c r="Q2039" i="1"/>
  <c r="P2039" i="1"/>
  <c r="O2039" i="1"/>
  <c r="M2039" i="1"/>
  <c r="V2038" i="1"/>
  <c r="Q2038" i="1"/>
  <c r="P2038" i="1"/>
  <c r="O2038" i="1"/>
  <c r="M2038" i="1"/>
  <c r="V2037" i="1"/>
  <c r="Q2037" i="1"/>
  <c r="P2037" i="1"/>
  <c r="O2037" i="1"/>
  <c r="M2037" i="1"/>
  <c r="V2036" i="1"/>
  <c r="Q2036" i="1"/>
  <c r="P2036" i="1"/>
  <c r="O2036" i="1"/>
  <c r="M2036" i="1"/>
  <c r="V2035" i="1"/>
  <c r="Q2035" i="1"/>
  <c r="P2035" i="1"/>
  <c r="O2035" i="1"/>
  <c r="M2035" i="1"/>
  <c r="V2034" i="1"/>
  <c r="Q2034" i="1"/>
  <c r="P2034" i="1"/>
  <c r="O2034" i="1"/>
  <c r="M2034" i="1"/>
  <c r="V2033" i="1"/>
  <c r="Q2033" i="1"/>
  <c r="P2033" i="1"/>
  <c r="O2033" i="1"/>
  <c r="M2033" i="1"/>
  <c r="V2032" i="1"/>
  <c r="Q2032" i="1"/>
  <c r="P2032" i="1"/>
  <c r="O2032" i="1"/>
  <c r="M2032" i="1"/>
  <c r="V2031" i="1"/>
  <c r="Q2031" i="1"/>
  <c r="P2031" i="1"/>
  <c r="O2031" i="1"/>
  <c r="V2030" i="1"/>
  <c r="Q2030" i="1"/>
  <c r="P2030" i="1"/>
  <c r="O2030" i="1"/>
  <c r="V2029" i="1"/>
  <c r="Q2029" i="1"/>
  <c r="P2029" i="1"/>
  <c r="O2029" i="1"/>
  <c r="V2028" i="1"/>
  <c r="Q2028" i="1"/>
  <c r="P2028" i="1"/>
  <c r="O2028" i="1"/>
  <c r="V2027" i="1"/>
  <c r="Q2027" i="1"/>
  <c r="P2027" i="1"/>
  <c r="O2027" i="1"/>
  <c r="V2026" i="1"/>
  <c r="Q2026" i="1"/>
  <c r="P2026" i="1"/>
  <c r="O2026" i="1"/>
  <c r="V2025" i="1"/>
  <c r="Q2025" i="1"/>
  <c r="P2025" i="1"/>
  <c r="O2025" i="1"/>
  <c r="V2024" i="1"/>
  <c r="Q2024" i="1"/>
  <c r="P2024" i="1"/>
  <c r="O2024" i="1"/>
  <c r="V2023" i="1"/>
  <c r="Q2023" i="1"/>
  <c r="P2023" i="1"/>
  <c r="O2023" i="1"/>
  <c r="V2022" i="1"/>
  <c r="Q2022" i="1"/>
  <c r="P2022" i="1"/>
  <c r="O2022" i="1"/>
  <c r="V2021" i="1"/>
  <c r="Q2021" i="1"/>
  <c r="P2021" i="1"/>
  <c r="O2021" i="1"/>
  <c r="V2020" i="1"/>
  <c r="Q2020" i="1"/>
  <c r="P2020" i="1"/>
  <c r="O2020" i="1"/>
  <c r="V2019" i="1"/>
  <c r="Q2019" i="1"/>
  <c r="P2019" i="1"/>
  <c r="O2019" i="1"/>
  <c r="V2018" i="1"/>
  <c r="Q2018" i="1"/>
  <c r="P2018" i="1"/>
  <c r="O2018" i="1"/>
  <c r="V2017" i="1"/>
  <c r="Q2017" i="1"/>
  <c r="P2017" i="1"/>
  <c r="O2017" i="1"/>
  <c r="V2016" i="1"/>
  <c r="Q2016" i="1"/>
  <c r="P2016" i="1"/>
  <c r="O2016" i="1"/>
  <c r="V2015" i="1"/>
  <c r="Q2015" i="1"/>
  <c r="P2015" i="1"/>
  <c r="O2015" i="1"/>
  <c r="V2014" i="1"/>
  <c r="Q2014" i="1"/>
  <c r="P2014" i="1"/>
  <c r="O2014" i="1"/>
  <c r="V2013" i="1"/>
  <c r="Q2013" i="1"/>
  <c r="P2013" i="1"/>
  <c r="O2013" i="1"/>
  <c r="V2012" i="1"/>
  <c r="Q2012" i="1"/>
  <c r="P2012" i="1"/>
  <c r="O2012" i="1"/>
  <c r="V2011" i="1"/>
  <c r="Q2011" i="1"/>
  <c r="P2011" i="1"/>
  <c r="O2011" i="1"/>
  <c r="V2010" i="1"/>
  <c r="Q2010" i="1"/>
  <c r="P2010" i="1"/>
  <c r="O2010" i="1"/>
  <c r="V2009" i="1"/>
  <c r="Q2009" i="1"/>
  <c r="P2009" i="1"/>
  <c r="O2009" i="1"/>
  <c r="V2008" i="1"/>
  <c r="Q2008" i="1"/>
  <c r="P2008" i="1"/>
  <c r="O2008" i="1"/>
  <c r="V2007" i="1"/>
  <c r="Q2007" i="1"/>
  <c r="P2007" i="1"/>
  <c r="O2007" i="1"/>
  <c r="M2007" i="1"/>
  <c r="V2006" i="1"/>
  <c r="Q2006" i="1"/>
  <c r="P2006" i="1"/>
  <c r="O2006" i="1"/>
  <c r="M2006" i="1"/>
  <c r="V2005" i="1"/>
  <c r="Q2005" i="1"/>
  <c r="P2005" i="1"/>
  <c r="O2005" i="1"/>
  <c r="M2005" i="1"/>
  <c r="V2004" i="1"/>
  <c r="Q2004" i="1"/>
  <c r="P2004" i="1"/>
  <c r="O2004" i="1"/>
  <c r="M2004" i="1"/>
  <c r="V2003" i="1"/>
  <c r="Q2003" i="1"/>
  <c r="P2003" i="1"/>
  <c r="O2003" i="1"/>
  <c r="M2003" i="1"/>
  <c r="V2002" i="1"/>
  <c r="Q2002" i="1"/>
  <c r="P2002" i="1"/>
  <c r="O2002" i="1"/>
  <c r="M2002" i="1"/>
  <c r="V2001" i="1"/>
  <c r="Q2001" i="1"/>
  <c r="P2001" i="1"/>
  <c r="O2001" i="1"/>
  <c r="M2001" i="1"/>
  <c r="V2000" i="1"/>
  <c r="Q2000" i="1"/>
  <c r="P2000" i="1"/>
  <c r="O2000" i="1"/>
  <c r="M2000" i="1"/>
  <c r="V1999" i="1"/>
  <c r="Q1999" i="1"/>
  <c r="P1999" i="1"/>
  <c r="O1999" i="1"/>
  <c r="M1999" i="1"/>
  <c r="V1998" i="1"/>
  <c r="Q1998" i="1"/>
  <c r="P1998" i="1"/>
  <c r="O1998" i="1"/>
  <c r="M1998" i="1"/>
  <c r="V1997" i="1"/>
  <c r="Q1997" i="1"/>
  <c r="P1997" i="1"/>
  <c r="O1997" i="1"/>
  <c r="M1997" i="1"/>
  <c r="V1996" i="1"/>
  <c r="Q1996" i="1"/>
  <c r="P1996" i="1"/>
  <c r="O1996" i="1"/>
  <c r="M1996" i="1"/>
  <c r="V1995" i="1"/>
  <c r="Q1995" i="1"/>
  <c r="P1995" i="1"/>
  <c r="O1995" i="1"/>
  <c r="M1995" i="1"/>
  <c r="V1994" i="1"/>
  <c r="Q1994" i="1"/>
  <c r="P1994" i="1"/>
  <c r="O1994" i="1"/>
  <c r="M1994" i="1"/>
  <c r="V1993" i="1"/>
  <c r="Q1993" i="1"/>
  <c r="P1993" i="1"/>
  <c r="O1993" i="1"/>
  <c r="M1993" i="1"/>
  <c r="V1992" i="1"/>
  <c r="Q1992" i="1"/>
  <c r="P1992" i="1"/>
  <c r="O1992" i="1"/>
  <c r="M1992" i="1"/>
  <c r="V1991" i="1"/>
  <c r="Q1991" i="1"/>
  <c r="P1991" i="1"/>
  <c r="O1991" i="1"/>
  <c r="M1991" i="1"/>
  <c r="V1990" i="1"/>
  <c r="Q1990" i="1"/>
  <c r="P1990" i="1"/>
  <c r="O1990" i="1"/>
  <c r="V1989" i="1"/>
  <c r="Q1989" i="1"/>
  <c r="P1989" i="1"/>
  <c r="O1989" i="1"/>
  <c r="V1988" i="1"/>
  <c r="Q1988" i="1"/>
  <c r="P1988" i="1"/>
  <c r="O1988" i="1"/>
  <c r="V1987" i="1"/>
  <c r="Q1987" i="1"/>
  <c r="P1987" i="1"/>
  <c r="O1987" i="1"/>
  <c r="N1987" i="1"/>
  <c r="V1986" i="1"/>
  <c r="Q1986" i="1"/>
  <c r="P1986" i="1"/>
  <c r="O1986" i="1"/>
  <c r="N1986" i="1"/>
  <c r="V1985" i="1"/>
  <c r="Q1985" i="1"/>
  <c r="P1985" i="1"/>
  <c r="O1985" i="1"/>
  <c r="N1985" i="1"/>
  <c r="V1984" i="1"/>
  <c r="Q1984" i="1"/>
  <c r="P1984" i="1"/>
  <c r="O1984" i="1"/>
  <c r="N1984" i="1"/>
  <c r="V1983" i="1"/>
  <c r="Q1983" i="1"/>
  <c r="P1983" i="1"/>
  <c r="O1983" i="1"/>
  <c r="N1983" i="1"/>
  <c r="I1983" i="1"/>
  <c r="V1982" i="1"/>
  <c r="Q1982" i="1"/>
  <c r="P1982" i="1"/>
  <c r="O1982" i="1"/>
  <c r="N1982" i="1"/>
  <c r="I1982" i="1"/>
  <c r="V1981" i="1"/>
  <c r="Q1981" i="1"/>
  <c r="P1981" i="1"/>
  <c r="O1981" i="1"/>
  <c r="N1981" i="1"/>
  <c r="I1981" i="1"/>
  <c r="V1980" i="1"/>
  <c r="Q1980" i="1"/>
  <c r="P1980" i="1"/>
  <c r="O1980" i="1"/>
  <c r="N1980" i="1"/>
  <c r="I1980" i="1"/>
  <c r="V1979" i="1"/>
  <c r="Q1979" i="1"/>
  <c r="P1979" i="1"/>
  <c r="O1979" i="1"/>
  <c r="N1979" i="1"/>
  <c r="I1979" i="1"/>
  <c r="V1978" i="1"/>
  <c r="Q1978" i="1"/>
  <c r="P1978" i="1"/>
  <c r="O1978" i="1"/>
  <c r="N1978" i="1"/>
  <c r="I1978" i="1"/>
  <c r="V1977" i="1"/>
  <c r="Q1977" i="1"/>
  <c r="P1977" i="1"/>
  <c r="O1977" i="1"/>
  <c r="N1977" i="1"/>
  <c r="I1977" i="1"/>
  <c r="V1976" i="1"/>
  <c r="Q1976" i="1"/>
  <c r="P1976" i="1"/>
  <c r="O1976" i="1"/>
  <c r="N1976" i="1"/>
  <c r="I1976" i="1"/>
  <c r="V1975" i="1"/>
  <c r="Q1975" i="1"/>
  <c r="P1975" i="1"/>
  <c r="O1975" i="1"/>
  <c r="N1975" i="1"/>
  <c r="I1975" i="1"/>
  <c r="V1974" i="1"/>
  <c r="Q1974" i="1"/>
  <c r="P1974" i="1"/>
  <c r="O1974" i="1"/>
  <c r="N1974" i="1"/>
  <c r="I1974" i="1"/>
  <c r="V1973" i="1"/>
  <c r="Q1973" i="1"/>
  <c r="P1973" i="1"/>
  <c r="O1973" i="1"/>
  <c r="N1973" i="1"/>
  <c r="I1973" i="1"/>
  <c r="V1972" i="1"/>
  <c r="Q1972" i="1"/>
  <c r="P1972" i="1"/>
  <c r="O1972" i="1"/>
  <c r="N1972" i="1"/>
  <c r="V1971" i="1"/>
  <c r="Q1971" i="1"/>
  <c r="P1971" i="1"/>
  <c r="O1971" i="1"/>
  <c r="N1971" i="1"/>
  <c r="V1970" i="1"/>
  <c r="Q1970" i="1"/>
  <c r="P1970" i="1"/>
  <c r="O1970" i="1"/>
  <c r="N1970" i="1"/>
  <c r="V1969" i="1"/>
  <c r="Q1969" i="1"/>
  <c r="P1969" i="1"/>
  <c r="O1969" i="1"/>
  <c r="N1969" i="1"/>
  <c r="V1968" i="1"/>
  <c r="Q1968" i="1"/>
  <c r="P1968" i="1"/>
  <c r="O1968" i="1"/>
  <c r="N1968" i="1"/>
  <c r="V1967" i="1"/>
  <c r="Q1967" i="1"/>
  <c r="P1967" i="1"/>
  <c r="O1967" i="1"/>
  <c r="V1966" i="1"/>
  <c r="Q1966" i="1"/>
  <c r="P1966" i="1"/>
  <c r="O1966" i="1"/>
  <c r="V1965" i="1"/>
  <c r="Q1965" i="1"/>
  <c r="P1965" i="1"/>
  <c r="O1965" i="1"/>
  <c r="V1964" i="1"/>
  <c r="Q1964" i="1"/>
  <c r="P1964" i="1"/>
  <c r="O1964" i="1"/>
  <c r="V1963" i="1"/>
  <c r="Q1963" i="1"/>
  <c r="P1963" i="1"/>
  <c r="O1963" i="1"/>
  <c r="V1962" i="1"/>
  <c r="Q1962" i="1"/>
  <c r="P1962" i="1"/>
  <c r="O1962" i="1"/>
  <c r="V1961" i="1"/>
  <c r="Q1961" i="1"/>
  <c r="P1961" i="1"/>
  <c r="O1961" i="1"/>
  <c r="V1960" i="1"/>
  <c r="Q1960" i="1"/>
  <c r="P1960" i="1"/>
  <c r="O1960" i="1"/>
  <c r="V1959" i="1"/>
  <c r="Q1959" i="1"/>
  <c r="P1959" i="1"/>
  <c r="O1959" i="1"/>
  <c r="V1958" i="1"/>
  <c r="Q1958" i="1"/>
  <c r="P1958" i="1"/>
  <c r="O1958" i="1"/>
  <c r="V1957" i="1"/>
  <c r="Q1957" i="1"/>
  <c r="P1957" i="1"/>
  <c r="O1957" i="1"/>
  <c r="V1956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O1952" i="1"/>
  <c r="Q1951" i="1"/>
  <c r="P1951" i="1"/>
  <c r="O1951" i="1"/>
  <c r="Q1950" i="1"/>
  <c r="P1950" i="1"/>
  <c r="O1950" i="1"/>
  <c r="Q1949" i="1"/>
  <c r="P1949" i="1"/>
  <c r="O1949" i="1"/>
  <c r="Q1948" i="1"/>
  <c r="P1948" i="1"/>
  <c r="O1948" i="1"/>
  <c r="Q1947" i="1"/>
  <c r="P1947" i="1"/>
  <c r="O1947" i="1"/>
  <c r="Q1946" i="1"/>
  <c r="P1946" i="1"/>
  <c r="O1946" i="1"/>
  <c r="Q1945" i="1"/>
  <c r="P1945" i="1"/>
  <c r="O1945" i="1"/>
  <c r="Q1944" i="1"/>
  <c r="P1944" i="1"/>
  <c r="O1944" i="1"/>
  <c r="Q1943" i="1"/>
  <c r="P1943" i="1"/>
  <c r="O1943" i="1"/>
  <c r="Q1942" i="1"/>
  <c r="P1942" i="1"/>
  <c r="O1942" i="1"/>
  <c r="Q1941" i="1"/>
  <c r="P1941" i="1"/>
  <c r="O1941" i="1"/>
  <c r="Q1940" i="1"/>
  <c r="P1940" i="1"/>
  <c r="O1940" i="1"/>
  <c r="Q1939" i="1"/>
  <c r="P1939" i="1"/>
  <c r="O1939" i="1"/>
  <c r="Q1938" i="1"/>
  <c r="P1938" i="1"/>
  <c r="O1938" i="1"/>
  <c r="Q1937" i="1"/>
  <c r="P1937" i="1"/>
  <c r="O1937" i="1"/>
  <c r="Q1936" i="1"/>
  <c r="P1936" i="1"/>
  <c r="O1936" i="1"/>
  <c r="Q1935" i="1"/>
  <c r="P1935" i="1"/>
  <c r="O1935" i="1"/>
  <c r="Q1934" i="1"/>
  <c r="P1934" i="1"/>
  <c r="O1934" i="1"/>
  <c r="Q1933" i="1"/>
  <c r="P1933" i="1"/>
  <c r="O1933" i="1"/>
  <c r="Q1932" i="1"/>
  <c r="P1932" i="1"/>
  <c r="O1932" i="1"/>
  <c r="Q1931" i="1"/>
  <c r="P1931" i="1"/>
  <c r="O1931" i="1"/>
  <c r="Q1930" i="1"/>
  <c r="P1930" i="1"/>
  <c r="O1930" i="1"/>
  <c r="Q1929" i="1"/>
  <c r="P1929" i="1"/>
  <c r="O1929" i="1"/>
  <c r="Q1928" i="1"/>
  <c r="P1928" i="1"/>
  <c r="O1928" i="1"/>
  <c r="Q1927" i="1"/>
  <c r="P1927" i="1"/>
  <c r="O1927" i="1"/>
  <c r="Q1926" i="1"/>
  <c r="P1926" i="1"/>
  <c r="O1926" i="1"/>
  <c r="Q1925" i="1"/>
  <c r="P1925" i="1"/>
  <c r="O1925" i="1"/>
  <c r="Q1924" i="1"/>
  <c r="P1924" i="1"/>
  <c r="O1924" i="1"/>
  <c r="Q1923" i="1"/>
  <c r="P1923" i="1"/>
  <c r="O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M1897" i="1"/>
  <c r="P1896" i="1"/>
  <c r="O1896" i="1"/>
  <c r="M1896" i="1"/>
  <c r="P1895" i="1"/>
  <c r="O1895" i="1"/>
  <c r="M1895" i="1"/>
  <c r="P1894" i="1"/>
  <c r="O1894" i="1"/>
  <c r="M1894" i="1"/>
  <c r="P1893" i="1"/>
  <c r="O1893" i="1"/>
  <c r="M1893" i="1"/>
  <c r="P1892" i="1"/>
  <c r="O1892" i="1"/>
  <c r="M1892" i="1"/>
  <c r="P1891" i="1"/>
  <c r="O1891" i="1"/>
  <c r="M1891" i="1"/>
  <c r="P1890" i="1"/>
  <c r="O1890" i="1"/>
  <c r="M1890" i="1"/>
  <c r="P1889" i="1"/>
  <c r="O1889" i="1"/>
  <c r="M1889" i="1"/>
  <c r="P1888" i="1"/>
  <c r="O1888" i="1"/>
  <c r="M1888" i="1"/>
  <c r="P1887" i="1"/>
  <c r="O1887" i="1"/>
  <c r="M1887" i="1"/>
  <c r="P1886" i="1"/>
  <c r="O1886" i="1"/>
  <c r="M1886" i="1"/>
  <c r="P1885" i="1"/>
  <c r="O1885" i="1"/>
  <c r="M1885" i="1"/>
  <c r="P1884" i="1"/>
  <c r="O1884" i="1"/>
  <c r="M1884" i="1"/>
  <c r="P1883" i="1"/>
  <c r="O1883" i="1"/>
  <c r="M1883" i="1"/>
  <c r="P1882" i="1"/>
  <c r="O1882" i="1"/>
  <c r="M1882" i="1"/>
  <c r="P1881" i="1"/>
  <c r="O1881" i="1"/>
  <c r="M1881" i="1"/>
  <c r="P1880" i="1"/>
  <c r="O1880" i="1"/>
  <c r="M1880" i="1"/>
  <c r="P1879" i="1"/>
  <c r="O1879" i="1"/>
  <c r="M1879" i="1"/>
  <c r="P1878" i="1"/>
  <c r="O1878" i="1"/>
  <c r="M1878" i="1"/>
  <c r="P1877" i="1"/>
  <c r="O1877" i="1"/>
  <c r="M1877" i="1"/>
  <c r="P1876" i="1"/>
  <c r="O1876" i="1"/>
  <c r="M1876" i="1"/>
  <c r="Q1875" i="1"/>
  <c r="P1875" i="1"/>
  <c r="O1875" i="1"/>
  <c r="M1875" i="1"/>
  <c r="Q1874" i="1"/>
  <c r="P1874" i="1"/>
  <c r="O1874" i="1"/>
  <c r="M1874" i="1"/>
  <c r="Q1873" i="1"/>
  <c r="P1873" i="1"/>
  <c r="O1873" i="1"/>
  <c r="M1873" i="1"/>
  <c r="Q1872" i="1"/>
  <c r="P1872" i="1"/>
  <c r="O1872" i="1"/>
  <c r="M1872" i="1"/>
  <c r="Q1871" i="1"/>
  <c r="P1871" i="1"/>
  <c r="O1871" i="1"/>
  <c r="M1871" i="1"/>
  <c r="Q1870" i="1"/>
  <c r="P1870" i="1"/>
  <c r="O1870" i="1"/>
  <c r="M1870" i="1"/>
  <c r="Q1869" i="1"/>
  <c r="P1869" i="1"/>
  <c r="O1869" i="1"/>
  <c r="M1869" i="1"/>
  <c r="Q1868" i="1"/>
  <c r="P1868" i="1"/>
  <c r="O1868" i="1"/>
  <c r="M1868" i="1"/>
  <c r="Q1867" i="1"/>
  <c r="P1867" i="1"/>
  <c r="O1867" i="1"/>
  <c r="M1867" i="1"/>
  <c r="Q1866" i="1"/>
  <c r="P1866" i="1"/>
  <c r="O1866" i="1"/>
  <c r="M1866" i="1"/>
  <c r="Q1865" i="1"/>
  <c r="P1865" i="1"/>
  <c r="O1865" i="1"/>
  <c r="M1865" i="1"/>
  <c r="Q1864" i="1"/>
  <c r="P1864" i="1"/>
  <c r="O1864" i="1"/>
  <c r="M1864" i="1"/>
  <c r="Q1863" i="1"/>
  <c r="P1863" i="1"/>
  <c r="O1863" i="1"/>
  <c r="M1863" i="1"/>
  <c r="Q1862" i="1"/>
  <c r="P1862" i="1"/>
  <c r="O1862" i="1"/>
  <c r="M1862" i="1"/>
  <c r="Q1861" i="1"/>
  <c r="P1861" i="1"/>
  <c r="O1861" i="1"/>
  <c r="M1861" i="1"/>
  <c r="Q1860" i="1"/>
  <c r="P1860" i="1"/>
  <c r="O1860" i="1"/>
  <c r="M1860" i="1"/>
  <c r="Q1859" i="1"/>
  <c r="P1859" i="1"/>
  <c r="O1859" i="1"/>
  <c r="M1859" i="1"/>
  <c r="Q1858" i="1"/>
  <c r="P1858" i="1"/>
  <c r="O1858" i="1"/>
  <c r="M1858" i="1"/>
  <c r="Q1857" i="1"/>
  <c r="P1857" i="1"/>
  <c r="O1857" i="1"/>
  <c r="M1857" i="1"/>
  <c r="Q1856" i="1"/>
  <c r="P1856" i="1"/>
  <c r="O1856" i="1"/>
  <c r="M1856" i="1"/>
  <c r="Q1855" i="1"/>
  <c r="P1855" i="1"/>
  <c r="O1855" i="1"/>
  <c r="M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M1849" i="1"/>
  <c r="Q1848" i="1"/>
  <c r="P1848" i="1"/>
  <c r="O1848" i="1"/>
  <c r="M1848" i="1"/>
  <c r="Q1847" i="1"/>
  <c r="P1847" i="1"/>
  <c r="O1847" i="1"/>
  <c r="M1847" i="1"/>
  <c r="Q1846" i="1"/>
  <c r="P1846" i="1"/>
  <c r="O1846" i="1"/>
  <c r="M1846" i="1"/>
  <c r="Q1845" i="1"/>
  <c r="P1845" i="1"/>
  <c r="O1845" i="1"/>
  <c r="M1845" i="1"/>
  <c r="Q1844" i="1"/>
  <c r="P1844" i="1"/>
  <c r="O1844" i="1"/>
  <c r="M1844" i="1"/>
  <c r="Q1843" i="1"/>
  <c r="P1843" i="1"/>
  <c r="O1843" i="1"/>
  <c r="M1843" i="1"/>
  <c r="Q1842" i="1"/>
  <c r="P1842" i="1"/>
  <c r="O1842" i="1"/>
  <c r="M1842" i="1"/>
  <c r="Q1841" i="1"/>
  <c r="P1841" i="1"/>
  <c r="O1841" i="1"/>
  <c r="M1841" i="1"/>
  <c r="Q1840" i="1"/>
  <c r="P1840" i="1"/>
  <c r="O1840" i="1"/>
  <c r="M1840" i="1"/>
  <c r="Q1839" i="1"/>
  <c r="P1839" i="1"/>
  <c r="O1839" i="1"/>
  <c r="M1839" i="1"/>
  <c r="Q1838" i="1"/>
  <c r="P1838" i="1"/>
  <c r="O1838" i="1"/>
  <c r="M1838" i="1"/>
  <c r="Q1837" i="1"/>
  <c r="P1837" i="1"/>
  <c r="O1837" i="1"/>
  <c r="M1837" i="1"/>
  <c r="Q1836" i="1"/>
  <c r="P1836" i="1"/>
  <c r="O1836" i="1"/>
  <c r="M1836" i="1"/>
  <c r="Q1835" i="1"/>
  <c r="P1835" i="1"/>
  <c r="O1835" i="1"/>
  <c r="M1835" i="1"/>
  <c r="Q1834" i="1"/>
  <c r="P1834" i="1"/>
  <c r="O1834" i="1"/>
  <c r="M1834" i="1"/>
  <c r="Q1833" i="1"/>
  <c r="P1833" i="1"/>
  <c r="O1833" i="1"/>
  <c r="M1833" i="1"/>
  <c r="Q1832" i="1"/>
  <c r="P1832" i="1"/>
  <c r="O1832" i="1"/>
  <c r="M1832" i="1"/>
  <c r="Q1831" i="1"/>
  <c r="P1831" i="1"/>
  <c r="O1831" i="1"/>
  <c r="M1831" i="1"/>
  <c r="Q1830" i="1"/>
  <c r="P1830" i="1"/>
  <c r="O1830" i="1"/>
  <c r="M1830" i="1"/>
  <c r="Q1829" i="1"/>
  <c r="P1829" i="1"/>
  <c r="O1829" i="1"/>
  <c r="M1829" i="1"/>
  <c r="Q1828" i="1"/>
  <c r="P1828" i="1"/>
  <c r="O1828" i="1"/>
  <c r="M1828" i="1"/>
  <c r="Q1827" i="1"/>
  <c r="P1827" i="1"/>
  <c r="O1827" i="1"/>
  <c r="M1827" i="1"/>
  <c r="Q1826" i="1"/>
  <c r="P1826" i="1"/>
  <c r="O1826" i="1"/>
  <c r="M1826" i="1"/>
  <c r="Q1825" i="1"/>
  <c r="P1825" i="1"/>
  <c r="O1825" i="1"/>
  <c r="M1825" i="1"/>
  <c r="Q1824" i="1"/>
  <c r="P1824" i="1"/>
  <c r="O1824" i="1"/>
  <c r="M1824" i="1"/>
  <c r="Q1823" i="1"/>
  <c r="P1823" i="1"/>
  <c r="O1823" i="1"/>
  <c r="M1823" i="1"/>
  <c r="Q1822" i="1"/>
  <c r="P1822" i="1"/>
  <c r="O1822" i="1"/>
  <c r="M1822" i="1"/>
  <c r="Q1821" i="1"/>
  <c r="P1821" i="1"/>
  <c r="O1821" i="1"/>
  <c r="M1821" i="1"/>
  <c r="Q1820" i="1"/>
  <c r="P1820" i="1"/>
  <c r="O1820" i="1"/>
  <c r="M1820" i="1"/>
  <c r="Q1819" i="1"/>
  <c r="P1819" i="1"/>
  <c r="O1819" i="1"/>
  <c r="M1819" i="1"/>
  <c r="Q1818" i="1"/>
  <c r="P1818" i="1"/>
  <c r="O1818" i="1"/>
  <c r="M1818" i="1"/>
  <c r="Q1817" i="1"/>
  <c r="P1817" i="1"/>
  <c r="O1817" i="1"/>
  <c r="M1817" i="1"/>
  <c r="Q1816" i="1"/>
  <c r="P1816" i="1"/>
  <c r="O1816" i="1"/>
  <c r="M1816" i="1"/>
  <c r="Q1815" i="1"/>
  <c r="P1815" i="1"/>
  <c r="O1815" i="1"/>
  <c r="M1815" i="1"/>
  <c r="Q1814" i="1"/>
  <c r="P1814" i="1"/>
  <c r="O1814" i="1"/>
  <c r="M1814" i="1"/>
  <c r="Q1813" i="1"/>
  <c r="P1813" i="1"/>
  <c r="O1813" i="1"/>
  <c r="M1813" i="1"/>
  <c r="P1812" i="1"/>
  <c r="O1812" i="1"/>
  <c r="M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M1794" i="1"/>
  <c r="Q1793" i="1"/>
  <c r="P1793" i="1"/>
  <c r="O1793" i="1"/>
  <c r="M1793" i="1"/>
  <c r="Q1792" i="1"/>
  <c r="P1792" i="1"/>
  <c r="O1792" i="1"/>
  <c r="M1792" i="1"/>
  <c r="Q1791" i="1"/>
  <c r="P1791" i="1"/>
  <c r="O1791" i="1"/>
  <c r="M1791" i="1"/>
  <c r="Q1790" i="1"/>
  <c r="P1790" i="1"/>
  <c r="O1790" i="1"/>
  <c r="M1790" i="1"/>
  <c r="Q1789" i="1"/>
  <c r="P1789" i="1"/>
  <c r="O1789" i="1"/>
  <c r="M1789" i="1"/>
  <c r="Q1788" i="1"/>
  <c r="P1788" i="1"/>
  <c r="O1788" i="1"/>
  <c r="M1788" i="1"/>
  <c r="Q1787" i="1"/>
  <c r="P1787" i="1"/>
  <c r="O1787" i="1"/>
  <c r="M1787" i="1"/>
  <c r="Q1786" i="1"/>
  <c r="P1786" i="1"/>
  <c r="O1786" i="1"/>
  <c r="M1786" i="1"/>
  <c r="Q1785" i="1"/>
  <c r="P1785" i="1"/>
  <c r="O1785" i="1"/>
  <c r="M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M1766" i="1"/>
  <c r="Q1765" i="1"/>
  <c r="P1765" i="1"/>
  <c r="O1765" i="1"/>
  <c r="M1765" i="1"/>
  <c r="Q1764" i="1"/>
  <c r="P1764" i="1"/>
  <c r="O1764" i="1"/>
  <c r="M1764" i="1"/>
  <c r="Q1763" i="1"/>
  <c r="P1763" i="1"/>
  <c r="O1763" i="1"/>
  <c r="M1763" i="1"/>
  <c r="Q1762" i="1"/>
  <c r="P1762" i="1"/>
  <c r="O1762" i="1"/>
  <c r="M1762" i="1"/>
  <c r="Q1761" i="1"/>
  <c r="P1761" i="1"/>
  <c r="O1761" i="1"/>
  <c r="M1761" i="1"/>
  <c r="Q1760" i="1"/>
  <c r="P1760" i="1"/>
  <c r="O1760" i="1"/>
  <c r="M1760" i="1"/>
  <c r="Q1759" i="1"/>
  <c r="P1759" i="1"/>
  <c r="O1759" i="1"/>
  <c r="M1759" i="1"/>
  <c r="Q1758" i="1"/>
  <c r="P1758" i="1"/>
  <c r="O1758" i="1"/>
  <c r="M1758" i="1"/>
  <c r="Q1757" i="1"/>
  <c r="P1757" i="1"/>
  <c r="O1757" i="1"/>
  <c r="M1757" i="1"/>
  <c r="Q1756" i="1"/>
  <c r="P1756" i="1"/>
  <c r="O1756" i="1"/>
  <c r="M1756" i="1"/>
  <c r="Q1755" i="1"/>
  <c r="P1755" i="1"/>
  <c r="O1755" i="1"/>
  <c r="M1755" i="1"/>
  <c r="Q1754" i="1"/>
  <c r="P1754" i="1"/>
  <c r="O1754" i="1"/>
  <c r="M1754" i="1"/>
  <c r="Q1753" i="1"/>
  <c r="P1753" i="1"/>
  <c r="O1753" i="1"/>
  <c r="M1753" i="1"/>
  <c r="Q1752" i="1"/>
  <c r="P1752" i="1"/>
  <c r="O1752" i="1"/>
  <c r="M1752" i="1"/>
  <c r="Q1751" i="1"/>
  <c r="P1751" i="1"/>
  <c r="O1751" i="1"/>
  <c r="M1751" i="1"/>
  <c r="Q1750" i="1"/>
  <c r="P1750" i="1"/>
  <c r="O1750" i="1"/>
  <c r="M1750" i="1"/>
  <c r="Q1749" i="1"/>
  <c r="P1749" i="1"/>
  <c r="O1749" i="1"/>
  <c r="M1749" i="1"/>
  <c r="Q1748" i="1"/>
  <c r="P1748" i="1"/>
  <c r="O1748" i="1"/>
  <c r="M1748" i="1"/>
  <c r="Q1747" i="1"/>
  <c r="P1747" i="1"/>
  <c r="O1747" i="1"/>
  <c r="M1747" i="1"/>
  <c r="Q1746" i="1"/>
  <c r="P1746" i="1"/>
  <c r="O1746" i="1"/>
  <c r="M1746" i="1"/>
  <c r="Q1745" i="1"/>
  <c r="P1745" i="1"/>
  <c r="O1745" i="1"/>
  <c r="M1745" i="1"/>
  <c r="Q1744" i="1"/>
  <c r="P1744" i="1"/>
  <c r="O1744" i="1"/>
  <c r="M1744" i="1"/>
  <c r="Q1743" i="1"/>
  <c r="P1743" i="1"/>
  <c r="O1743" i="1"/>
  <c r="M1743" i="1"/>
  <c r="Q1742" i="1"/>
  <c r="P1742" i="1"/>
  <c r="O1742" i="1"/>
  <c r="M1742" i="1"/>
  <c r="Q1741" i="1"/>
  <c r="P1741" i="1"/>
  <c r="O1741" i="1"/>
  <c r="M1741" i="1"/>
  <c r="Q1740" i="1"/>
  <c r="P1740" i="1"/>
  <c r="O1740" i="1"/>
  <c r="M1740" i="1"/>
  <c r="Q1739" i="1"/>
  <c r="P1739" i="1"/>
  <c r="O1739" i="1"/>
  <c r="M1739" i="1"/>
  <c r="Q1738" i="1"/>
  <c r="P1738" i="1"/>
  <c r="O1738" i="1"/>
  <c r="M1738" i="1"/>
  <c r="Q1737" i="1"/>
  <c r="P1737" i="1"/>
  <c r="O1737" i="1"/>
  <c r="M1737" i="1"/>
  <c r="Q1736" i="1"/>
  <c r="P1736" i="1"/>
  <c r="O1736" i="1"/>
  <c r="M1736" i="1"/>
  <c r="Q1735" i="1"/>
  <c r="P1735" i="1"/>
  <c r="O1735" i="1"/>
  <c r="M1735" i="1"/>
  <c r="Q1734" i="1"/>
  <c r="P1734" i="1"/>
  <c r="O1734" i="1"/>
  <c r="M1734" i="1"/>
  <c r="Q1733" i="1"/>
  <c r="P1733" i="1"/>
  <c r="O1733" i="1"/>
  <c r="M1733" i="1"/>
  <c r="Q1732" i="1"/>
  <c r="P1732" i="1"/>
  <c r="O1732" i="1"/>
  <c r="M1732" i="1"/>
  <c r="Q1731" i="1"/>
  <c r="P1731" i="1"/>
  <c r="O1731" i="1"/>
  <c r="M1731" i="1"/>
  <c r="Q1730" i="1"/>
  <c r="P1730" i="1"/>
  <c r="O1730" i="1"/>
  <c r="M1730" i="1"/>
  <c r="Q1729" i="1"/>
  <c r="P1729" i="1"/>
  <c r="O1729" i="1"/>
  <c r="M1729" i="1"/>
  <c r="Q1728" i="1"/>
  <c r="P1728" i="1"/>
  <c r="O1728" i="1"/>
  <c r="M1728" i="1"/>
  <c r="Q1727" i="1"/>
  <c r="P1727" i="1"/>
  <c r="O1727" i="1"/>
  <c r="M1727" i="1"/>
  <c r="Q1726" i="1"/>
  <c r="P1726" i="1"/>
  <c r="O1726" i="1"/>
  <c r="M1726" i="1"/>
  <c r="Q1725" i="1"/>
  <c r="P1725" i="1"/>
  <c r="O1725" i="1"/>
  <c r="Q1724" i="1"/>
  <c r="P1724" i="1"/>
  <c r="O1724" i="1"/>
  <c r="Q1723" i="1"/>
  <c r="P1723" i="1"/>
  <c r="O1723" i="1"/>
  <c r="Q1722" i="1"/>
  <c r="P1722" i="1"/>
  <c r="O1722" i="1"/>
  <c r="Q1721" i="1"/>
  <c r="P1721" i="1"/>
  <c r="O1721" i="1"/>
  <c r="Q1720" i="1"/>
  <c r="P1720" i="1"/>
  <c r="O1720" i="1"/>
  <c r="Q1719" i="1"/>
  <c r="P1719" i="1"/>
  <c r="O1719" i="1"/>
  <c r="Q1718" i="1"/>
  <c r="P1718" i="1"/>
  <c r="O1718" i="1"/>
  <c r="Q1717" i="1"/>
  <c r="P1717" i="1"/>
  <c r="O1717" i="1"/>
  <c r="Q1716" i="1"/>
  <c r="P1716" i="1"/>
  <c r="O1716" i="1"/>
  <c r="Q1715" i="1"/>
  <c r="P1715" i="1"/>
  <c r="O1715" i="1"/>
  <c r="Q1714" i="1"/>
  <c r="P1714" i="1"/>
  <c r="O1714" i="1"/>
  <c r="Q1713" i="1"/>
  <c r="P1713" i="1"/>
  <c r="O1713" i="1"/>
  <c r="Q1712" i="1"/>
  <c r="P1712" i="1"/>
  <c r="O1712" i="1"/>
  <c r="Q1711" i="1"/>
  <c r="P1711" i="1"/>
  <c r="O1711" i="1"/>
  <c r="Q1710" i="1"/>
  <c r="P1710" i="1"/>
  <c r="O1710" i="1"/>
  <c r="Q1709" i="1"/>
  <c r="P1709" i="1"/>
  <c r="O1709" i="1"/>
  <c r="Q1708" i="1"/>
  <c r="P1708" i="1"/>
  <c r="O1708" i="1"/>
  <c r="Q1707" i="1"/>
  <c r="P1707" i="1"/>
  <c r="O1707" i="1"/>
  <c r="Q1706" i="1"/>
  <c r="P1706" i="1"/>
  <c r="O1706" i="1"/>
  <c r="Q1705" i="1"/>
  <c r="P1705" i="1"/>
  <c r="O1705" i="1"/>
  <c r="Q1704" i="1"/>
  <c r="P1704" i="1"/>
  <c r="O1704" i="1"/>
  <c r="Q1703" i="1"/>
  <c r="P1703" i="1"/>
  <c r="O1703" i="1"/>
  <c r="Q1702" i="1"/>
  <c r="P1702" i="1"/>
  <c r="O1702" i="1"/>
  <c r="Q1701" i="1"/>
  <c r="P1701" i="1"/>
  <c r="O1701" i="1"/>
  <c r="Q1700" i="1"/>
  <c r="P1700" i="1"/>
  <c r="O1700" i="1"/>
  <c r="Q1699" i="1"/>
  <c r="P1699" i="1"/>
  <c r="O1699" i="1"/>
  <c r="Q1698" i="1"/>
  <c r="P1698" i="1"/>
  <c r="O1698" i="1"/>
  <c r="Q1697" i="1"/>
  <c r="P1697" i="1"/>
  <c r="O1697" i="1"/>
  <c r="M1697" i="1"/>
  <c r="Q1696" i="1"/>
  <c r="P1696" i="1"/>
  <c r="O1696" i="1"/>
  <c r="M1696" i="1"/>
  <c r="Q1695" i="1"/>
  <c r="P1695" i="1"/>
  <c r="O1695" i="1"/>
  <c r="M1695" i="1"/>
  <c r="Q1694" i="1"/>
  <c r="P1694" i="1"/>
  <c r="O1694" i="1"/>
  <c r="M1694" i="1"/>
  <c r="Q1693" i="1"/>
  <c r="P1693" i="1"/>
  <c r="O1693" i="1"/>
  <c r="M1693" i="1"/>
  <c r="Q1692" i="1"/>
  <c r="P1692" i="1"/>
  <c r="O1692" i="1"/>
  <c r="M1692" i="1"/>
  <c r="Q1691" i="1"/>
  <c r="P1691" i="1"/>
  <c r="O1691" i="1"/>
  <c r="M1691" i="1"/>
  <c r="Q1690" i="1"/>
  <c r="P1690" i="1"/>
  <c r="O1690" i="1"/>
  <c r="Q1689" i="1"/>
  <c r="P1689" i="1"/>
  <c r="O1689" i="1"/>
  <c r="Q1688" i="1"/>
  <c r="P1688" i="1"/>
  <c r="O1688" i="1"/>
  <c r="Q1687" i="1"/>
  <c r="P1687" i="1"/>
  <c r="O1687" i="1"/>
  <c r="Q1686" i="1"/>
  <c r="P1686" i="1"/>
  <c r="O1686" i="1"/>
  <c r="Q1685" i="1"/>
  <c r="P1685" i="1"/>
  <c r="O1685" i="1"/>
  <c r="Q1684" i="1"/>
  <c r="P1684" i="1"/>
  <c r="O1684" i="1"/>
  <c r="Q1683" i="1"/>
  <c r="P1683" i="1"/>
  <c r="O1683" i="1"/>
  <c r="Q1682" i="1"/>
  <c r="P1682" i="1"/>
  <c r="O1682" i="1"/>
  <c r="Q1681" i="1"/>
  <c r="P1681" i="1"/>
  <c r="O1681" i="1"/>
  <c r="Q1680" i="1"/>
  <c r="P1680" i="1"/>
  <c r="O1680" i="1"/>
  <c r="Q1679" i="1"/>
  <c r="P1679" i="1"/>
  <c r="O1679" i="1"/>
  <c r="Q1678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Q1667" i="1"/>
  <c r="P1667" i="1"/>
  <c r="O1667" i="1"/>
  <c r="Q1666" i="1"/>
  <c r="P1666" i="1"/>
  <c r="O1666" i="1"/>
  <c r="Q1665" i="1"/>
  <c r="P1665" i="1"/>
  <c r="O1665" i="1"/>
  <c r="Q1664" i="1"/>
  <c r="P1664" i="1"/>
  <c r="O1664" i="1"/>
  <c r="Q1663" i="1"/>
  <c r="P1663" i="1"/>
  <c r="O1663" i="1"/>
  <c r="Q1662" i="1"/>
  <c r="P1662" i="1"/>
  <c r="O1662" i="1"/>
  <c r="Q1661" i="1"/>
  <c r="P1661" i="1"/>
  <c r="O1661" i="1"/>
  <c r="Q1660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Q1643" i="1"/>
  <c r="P1643" i="1"/>
  <c r="O1643" i="1"/>
  <c r="Q1642" i="1"/>
  <c r="P1642" i="1"/>
  <c r="O1642" i="1"/>
  <c r="P1641" i="1"/>
  <c r="O1641" i="1"/>
  <c r="P1640" i="1"/>
  <c r="O1640" i="1"/>
  <c r="P1639" i="1"/>
  <c r="O1639" i="1"/>
  <c r="Q1638" i="1"/>
  <c r="P1638" i="1"/>
  <c r="O1638" i="1"/>
  <c r="Q1637" i="1"/>
  <c r="P1637" i="1"/>
  <c r="O1637" i="1"/>
  <c r="Q1636" i="1"/>
  <c r="P1636" i="1"/>
  <c r="O1636" i="1"/>
  <c r="Q1635" i="1"/>
  <c r="P1635" i="1"/>
  <c r="O1635" i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Q1627" i="1"/>
  <c r="P1627" i="1"/>
  <c r="O1627" i="1"/>
  <c r="Q1626" i="1"/>
  <c r="P1626" i="1"/>
  <c r="O1626" i="1"/>
  <c r="Q1625" i="1"/>
  <c r="P1625" i="1"/>
  <c r="O1625" i="1"/>
  <c r="Q1624" i="1"/>
  <c r="P1624" i="1"/>
  <c r="O1624" i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Q1619" i="1"/>
  <c r="P1619" i="1"/>
  <c r="O1619" i="1"/>
  <c r="Q1618" i="1"/>
  <c r="P1618" i="1"/>
  <c r="O1618" i="1"/>
  <c r="Q1617" i="1"/>
  <c r="P1617" i="1"/>
  <c r="O1617" i="1"/>
  <c r="Q1616" i="1"/>
  <c r="P1616" i="1"/>
  <c r="O1616" i="1"/>
  <c r="Q1615" i="1"/>
  <c r="P1615" i="1"/>
  <c r="O1615" i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Q1602" i="1"/>
  <c r="P1602" i="1"/>
  <c r="O1602" i="1"/>
  <c r="Q1601" i="1"/>
  <c r="P1601" i="1"/>
  <c r="O1601" i="1"/>
  <c r="Q1600" i="1"/>
  <c r="P1600" i="1"/>
  <c r="O1600" i="1"/>
  <c r="Q1599" i="1"/>
  <c r="P1599" i="1"/>
  <c r="O1599" i="1"/>
  <c r="Q1598" i="1"/>
  <c r="P1598" i="1"/>
  <c r="O1598" i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Q1592" i="1"/>
  <c r="P1592" i="1"/>
  <c r="O1592" i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Q1582" i="1"/>
  <c r="P1582" i="1"/>
  <c r="O1582" i="1"/>
  <c r="Q1581" i="1"/>
  <c r="P1581" i="1"/>
  <c r="O1581" i="1"/>
  <c r="Q1580" i="1"/>
  <c r="P1580" i="1"/>
  <c r="O1580" i="1"/>
  <c r="Q1579" i="1"/>
  <c r="P1579" i="1"/>
  <c r="O1579" i="1"/>
  <c r="Q1578" i="1"/>
  <c r="P1578" i="1"/>
  <c r="O1578" i="1"/>
  <c r="Q1577" i="1"/>
  <c r="P1577" i="1"/>
  <c r="O1577" i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Q1571" i="1"/>
  <c r="P1571" i="1"/>
  <c r="O1571" i="1"/>
  <c r="Q1570" i="1"/>
  <c r="P1570" i="1"/>
  <c r="O1570" i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Q1557" i="1"/>
  <c r="P1557" i="1"/>
  <c r="O1557" i="1"/>
  <c r="Q1556" i="1"/>
  <c r="P1556" i="1"/>
  <c r="O1556" i="1"/>
  <c r="Q1555" i="1"/>
  <c r="P1555" i="1"/>
  <c r="O1555" i="1"/>
  <c r="Q1554" i="1"/>
  <c r="P1554" i="1"/>
  <c r="O1554" i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Q1549" i="1"/>
  <c r="P1549" i="1"/>
  <c r="O1549" i="1"/>
  <c r="Q1548" i="1"/>
  <c r="P1548" i="1"/>
  <c r="O1548" i="1"/>
  <c r="Q1547" i="1"/>
  <c r="P1547" i="1"/>
  <c r="O1547" i="1"/>
  <c r="Q1546" i="1"/>
  <c r="P1546" i="1"/>
  <c r="O1546" i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Q1540" i="1"/>
  <c r="P1540" i="1"/>
  <c r="O1540" i="1"/>
  <c r="Q1539" i="1"/>
  <c r="P1539" i="1"/>
  <c r="O1539" i="1"/>
  <c r="Q1538" i="1"/>
  <c r="P1538" i="1"/>
  <c r="O1538" i="1"/>
  <c r="Q1537" i="1"/>
  <c r="P1537" i="1"/>
  <c r="O1537" i="1"/>
  <c r="Q1536" i="1"/>
  <c r="P1536" i="1"/>
  <c r="O1536" i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Q1531" i="1"/>
  <c r="P1531" i="1"/>
  <c r="O1531" i="1"/>
  <c r="Q1530" i="1"/>
  <c r="P1530" i="1"/>
  <c r="O1530" i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Q1520" i="1"/>
  <c r="P1520" i="1"/>
  <c r="O1520" i="1"/>
  <c r="Q1519" i="1"/>
  <c r="P1519" i="1"/>
  <c r="O1519" i="1"/>
  <c r="Q1518" i="1"/>
  <c r="P1518" i="1"/>
  <c r="O1518" i="1"/>
  <c r="Q1517" i="1"/>
  <c r="P1517" i="1"/>
  <c r="O1517" i="1"/>
  <c r="Q1516" i="1"/>
  <c r="P1516" i="1"/>
  <c r="O1516" i="1"/>
  <c r="Q1515" i="1"/>
  <c r="P1515" i="1"/>
  <c r="O1515" i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Q1510" i="1"/>
  <c r="P1510" i="1"/>
  <c r="O1510" i="1"/>
  <c r="Q1509" i="1"/>
  <c r="P1509" i="1"/>
  <c r="O1509" i="1"/>
  <c r="Q1508" i="1"/>
  <c r="P1508" i="1"/>
  <c r="O1508" i="1"/>
  <c r="Q1507" i="1"/>
  <c r="P1507" i="1"/>
  <c r="O1507" i="1"/>
  <c r="Q1506" i="1"/>
  <c r="P1506" i="1"/>
  <c r="O1506" i="1"/>
  <c r="Q1505" i="1"/>
  <c r="P1505" i="1"/>
  <c r="O1505" i="1"/>
  <c r="Q1504" i="1"/>
  <c r="P1504" i="1"/>
  <c r="O1504" i="1"/>
  <c r="Q1503" i="1"/>
  <c r="P1503" i="1"/>
  <c r="O1503" i="1"/>
  <c r="Q1502" i="1"/>
  <c r="P1502" i="1"/>
  <c r="O1502" i="1"/>
  <c r="Q1501" i="1"/>
  <c r="P1501" i="1"/>
  <c r="O1501" i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Q1494" i="1"/>
  <c r="P1494" i="1"/>
  <c r="O1494" i="1"/>
  <c r="Q1493" i="1"/>
  <c r="P1493" i="1"/>
  <c r="O1493" i="1"/>
  <c r="Q1492" i="1"/>
  <c r="P1492" i="1"/>
  <c r="O1492" i="1"/>
  <c r="Q1491" i="1"/>
  <c r="P1491" i="1"/>
  <c r="O1491" i="1"/>
  <c r="Q1490" i="1"/>
  <c r="P1490" i="1"/>
  <c r="O1490" i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Q1476" i="1"/>
  <c r="P1476" i="1"/>
  <c r="O1476" i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Q1471" i="1"/>
  <c r="P1471" i="1"/>
  <c r="O1471" i="1"/>
  <c r="Q1470" i="1"/>
  <c r="P1470" i="1"/>
  <c r="O1470" i="1"/>
  <c r="Q1469" i="1"/>
  <c r="P1469" i="1"/>
  <c r="O1469" i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Q1453" i="1"/>
  <c r="P1453" i="1"/>
  <c r="O1453" i="1"/>
  <c r="Q1452" i="1"/>
  <c r="P1452" i="1"/>
  <c r="O1452" i="1"/>
  <c r="Q1451" i="1"/>
  <c r="P1451" i="1"/>
  <c r="O1451" i="1"/>
  <c r="Q1450" i="1"/>
  <c r="P1450" i="1"/>
  <c r="O1450" i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Q1445" i="1"/>
  <c r="P1445" i="1"/>
  <c r="O1445" i="1"/>
  <c r="Q1444" i="1"/>
  <c r="P1444" i="1"/>
  <c r="O1444" i="1"/>
  <c r="Q1443" i="1"/>
  <c r="P1443" i="1"/>
  <c r="O1443" i="1"/>
  <c r="Q1442" i="1"/>
  <c r="P1442" i="1"/>
  <c r="O1442" i="1"/>
  <c r="Q1441" i="1"/>
  <c r="P1441" i="1"/>
  <c r="O1441" i="1"/>
  <c r="Q1440" i="1"/>
  <c r="P1440" i="1"/>
  <c r="O1440" i="1"/>
  <c r="Q1439" i="1"/>
  <c r="P1439" i="1"/>
  <c r="O1439" i="1"/>
  <c r="Q1438" i="1"/>
  <c r="P1438" i="1"/>
  <c r="O1438" i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Q1429" i="1"/>
  <c r="P1429" i="1"/>
  <c r="O1429" i="1"/>
  <c r="Q1428" i="1"/>
  <c r="P1428" i="1"/>
  <c r="O1428" i="1"/>
  <c r="Q1427" i="1"/>
  <c r="P1427" i="1"/>
  <c r="O1427" i="1"/>
  <c r="Q1426" i="1"/>
  <c r="P1426" i="1"/>
  <c r="O1426" i="1"/>
  <c r="Q1425" i="1"/>
  <c r="P1425" i="1"/>
  <c r="O1425" i="1"/>
  <c r="Q1424" i="1"/>
  <c r="P1424" i="1"/>
  <c r="O1424" i="1"/>
  <c r="Q1423" i="1"/>
  <c r="P1423" i="1"/>
  <c r="O1423" i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Q1412" i="1"/>
  <c r="P1412" i="1"/>
  <c r="O1412" i="1"/>
  <c r="Q1411" i="1"/>
  <c r="P1411" i="1"/>
  <c r="O1411" i="1"/>
  <c r="Q1410" i="1"/>
  <c r="P1410" i="1"/>
  <c r="O1410" i="1"/>
  <c r="Q1409" i="1"/>
  <c r="P1409" i="1"/>
  <c r="O1409" i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Q1400" i="1"/>
  <c r="P1400" i="1"/>
  <c r="O1400" i="1"/>
  <c r="Q1399" i="1"/>
  <c r="P1399" i="1"/>
  <c r="O1399" i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Q1392" i="1"/>
  <c r="P1392" i="1"/>
  <c r="O1392" i="1"/>
  <c r="Q1391" i="1"/>
  <c r="P1391" i="1"/>
  <c r="O1391" i="1"/>
  <c r="Q1390" i="1"/>
  <c r="P1390" i="1"/>
  <c r="O1390" i="1"/>
  <c r="Q1389" i="1"/>
  <c r="P1389" i="1"/>
  <c r="O1389" i="1"/>
  <c r="Q1388" i="1"/>
  <c r="P1388" i="1"/>
  <c r="O1388" i="1"/>
  <c r="Q1387" i="1"/>
  <c r="P1387" i="1"/>
  <c r="O1387" i="1"/>
  <c r="Q1386" i="1"/>
  <c r="P1386" i="1"/>
  <c r="O1386" i="1"/>
  <c r="Q1385" i="1"/>
  <c r="P1385" i="1"/>
  <c r="O1385" i="1"/>
  <c r="Q1384" i="1"/>
  <c r="P1384" i="1"/>
  <c r="O1384" i="1"/>
  <c r="Q1383" i="1"/>
  <c r="P1383" i="1"/>
  <c r="O1383" i="1"/>
  <c r="Q1382" i="1"/>
  <c r="P1382" i="1"/>
  <c r="O1382" i="1"/>
  <c r="Q1381" i="1"/>
  <c r="P1381" i="1"/>
  <c r="O1381" i="1"/>
  <c r="Q1380" i="1"/>
  <c r="P1380" i="1"/>
  <c r="O1380" i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Q1375" i="1"/>
  <c r="P1375" i="1"/>
  <c r="O1375" i="1"/>
  <c r="Q1374" i="1"/>
  <c r="P1374" i="1"/>
  <c r="O1374" i="1"/>
  <c r="Q1373" i="1"/>
  <c r="P1373" i="1"/>
  <c r="O1373" i="1"/>
  <c r="Q1372" i="1"/>
  <c r="P1372" i="1"/>
  <c r="O1372" i="1"/>
  <c r="Q1371" i="1"/>
  <c r="P1371" i="1"/>
  <c r="O1371" i="1"/>
  <c r="Q1370" i="1"/>
  <c r="P1370" i="1"/>
  <c r="O1370" i="1"/>
  <c r="Q1369" i="1"/>
  <c r="P1369" i="1"/>
  <c r="O1369" i="1"/>
  <c r="Q1368" i="1"/>
  <c r="P1368" i="1"/>
  <c r="O1368" i="1"/>
  <c r="Q1367" i="1"/>
  <c r="P1367" i="1"/>
  <c r="O1367" i="1"/>
  <c r="Q1366" i="1"/>
  <c r="P1366" i="1"/>
  <c r="O1366" i="1"/>
  <c r="Q1365" i="1"/>
  <c r="P1365" i="1"/>
  <c r="O1365" i="1"/>
  <c r="Q1364" i="1"/>
  <c r="P1364" i="1"/>
  <c r="O1364" i="1"/>
  <c r="Q1363" i="1"/>
  <c r="P1363" i="1"/>
  <c r="O1363" i="1"/>
  <c r="Q1362" i="1"/>
  <c r="P1362" i="1"/>
  <c r="O1362" i="1"/>
  <c r="Q1361" i="1"/>
  <c r="P1361" i="1"/>
  <c r="O1361" i="1"/>
  <c r="Q1360" i="1"/>
  <c r="P1360" i="1"/>
  <c r="O1360" i="1"/>
  <c r="Q1359" i="1"/>
  <c r="P1359" i="1"/>
  <c r="O1359" i="1"/>
  <c r="Q1358" i="1"/>
  <c r="P1358" i="1"/>
  <c r="O1358" i="1"/>
  <c r="Q1357" i="1"/>
  <c r="P1357" i="1"/>
  <c r="O1357" i="1"/>
  <c r="Q1356" i="1"/>
  <c r="P1356" i="1"/>
  <c r="O1356" i="1"/>
  <c r="Q1355" i="1"/>
  <c r="P1355" i="1"/>
  <c r="O1355" i="1"/>
  <c r="Q1354" i="1"/>
  <c r="P1354" i="1"/>
  <c r="O1354" i="1"/>
  <c r="Q1353" i="1"/>
  <c r="P1353" i="1"/>
  <c r="O1353" i="1"/>
  <c r="Q1352" i="1"/>
  <c r="P1352" i="1"/>
  <c r="O1352" i="1"/>
  <c r="Q1351" i="1"/>
  <c r="P1351" i="1"/>
  <c r="O1351" i="1"/>
  <c r="Q1350" i="1"/>
  <c r="P1350" i="1"/>
  <c r="O1350" i="1"/>
  <c r="Q1349" i="1"/>
  <c r="P1349" i="1"/>
  <c r="O1349" i="1"/>
  <c r="Q1348" i="1"/>
  <c r="P1348" i="1"/>
  <c r="O1348" i="1"/>
  <c r="Q1347" i="1"/>
  <c r="P1347" i="1"/>
  <c r="O1347" i="1"/>
  <c r="Q1346" i="1"/>
  <c r="P1346" i="1"/>
  <c r="O1346" i="1"/>
  <c r="Q1345" i="1"/>
  <c r="P1345" i="1"/>
  <c r="O1345" i="1"/>
  <c r="Q1344" i="1"/>
  <c r="P1344" i="1"/>
  <c r="O1344" i="1"/>
  <c r="Q1343" i="1"/>
  <c r="P1343" i="1"/>
  <c r="O1343" i="1"/>
  <c r="Q1342" i="1"/>
  <c r="P1342" i="1"/>
  <c r="O1342" i="1"/>
  <c r="Q1341" i="1"/>
  <c r="P1341" i="1"/>
  <c r="O1341" i="1"/>
  <c r="Q1340" i="1"/>
  <c r="P1340" i="1"/>
  <c r="O1340" i="1"/>
  <c r="Q1339" i="1"/>
  <c r="P1339" i="1"/>
  <c r="O1339" i="1"/>
  <c r="Q1338" i="1"/>
  <c r="P1338" i="1"/>
  <c r="O1338" i="1"/>
  <c r="Q1337" i="1"/>
  <c r="P1337" i="1"/>
  <c r="O1337" i="1"/>
  <c r="Q1336" i="1"/>
  <c r="P1336" i="1"/>
  <c r="O1336" i="1"/>
  <c r="Q1335" i="1"/>
  <c r="P1335" i="1"/>
  <c r="O1335" i="1"/>
  <c r="Q1334" i="1"/>
  <c r="P1334" i="1"/>
  <c r="O1334" i="1"/>
  <c r="Q1333" i="1"/>
  <c r="P1333" i="1"/>
  <c r="O1333" i="1"/>
  <c r="Q1332" i="1"/>
  <c r="P1332" i="1"/>
  <c r="O1332" i="1"/>
  <c r="Q1331" i="1"/>
  <c r="P1331" i="1"/>
  <c r="O1331" i="1"/>
  <c r="Q1330" i="1"/>
  <c r="P1330" i="1"/>
  <c r="O1330" i="1"/>
  <c r="Q1329" i="1"/>
  <c r="P1329" i="1"/>
  <c r="O1329" i="1"/>
  <c r="Q1328" i="1"/>
  <c r="P1328" i="1"/>
  <c r="O1328" i="1"/>
  <c r="Q1327" i="1"/>
  <c r="P1327" i="1"/>
  <c r="O1327" i="1"/>
  <c r="Q1326" i="1"/>
  <c r="P1326" i="1"/>
  <c r="O1326" i="1"/>
  <c r="Q1325" i="1"/>
  <c r="P1325" i="1"/>
  <c r="O1325" i="1"/>
  <c r="Q1324" i="1"/>
  <c r="P1324" i="1"/>
  <c r="O1324" i="1"/>
  <c r="Q1323" i="1"/>
  <c r="P1323" i="1"/>
  <c r="O1323" i="1"/>
  <c r="Q1322" i="1"/>
  <c r="P1322" i="1"/>
  <c r="O1322" i="1"/>
  <c r="Q1321" i="1"/>
  <c r="P1321" i="1"/>
  <c r="O1321" i="1"/>
  <c r="Q1320" i="1"/>
  <c r="P1320" i="1"/>
  <c r="O1320" i="1"/>
  <c r="Q1319" i="1"/>
  <c r="P1319" i="1"/>
  <c r="O1319" i="1"/>
  <c r="Q1318" i="1"/>
  <c r="P1318" i="1"/>
  <c r="O1318" i="1"/>
  <c r="Q1317" i="1"/>
  <c r="P1317" i="1"/>
  <c r="O1317" i="1"/>
  <c r="Q1316" i="1"/>
  <c r="P1316" i="1"/>
  <c r="O1316" i="1"/>
  <c r="Q1315" i="1"/>
  <c r="P1315" i="1"/>
  <c r="O1315" i="1"/>
  <c r="Q1314" i="1"/>
  <c r="P1314" i="1"/>
  <c r="O1314" i="1"/>
  <c r="Q1313" i="1"/>
  <c r="P1313" i="1"/>
  <c r="O1313" i="1"/>
  <c r="Q1312" i="1"/>
  <c r="P1312" i="1"/>
  <c r="O1312" i="1"/>
  <c r="Q1311" i="1"/>
  <c r="P1311" i="1"/>
  <c r="O1311" i="1"/>
  <c r="Q1310" i="1"/>
  <c r="P1310" i="1"/>
  <c r="O1310" i="1"/>
  <c r="Q1309" i="1"/>
  <c r="P1309" i="1"/>
  <c r="O1309" i="1"/>
  <c r="Q1308" i="1"/>
  <c r="P1308" i="1"/>
  <c r="O1308" i="1"/>
  <c r="Q1307" i="1"/>
  <c r="P1307" i="1"/>
  <c r="O1307" i="1"/>
  <c r="Q1306" i="1"/>
  <c r="P1306" i="1"/>
  <c r="O1306" i="1"/>
  <c r="Q1305" i="1"/>
  <c r="P1305" i="1"/>
  <c r="O1305" i="1"/>
  <c r="Q1304" i="1"/>
  <c r="P1304" i="1"/>
  <c r="O1304" i="1"/>
  <c r="Q1303" i="1"/>
  <c r="P1303" i="1"/>
  <c r="O1303" i="1"/>
  <c r="Q1302" i="1"/>
  <c r="P1302" i="1"/>
  <c r="O1302" i="1"/>
  <c r="Q1301" i="1"/>
  <c r="P1301" i="1"/>
  <c r="O1301" i="1"/>
  <c r="Q1300" i="1"/>
  <c r="P1300" i="1"/>
  <c r="O1300" i="1"/>
  <c r="Q1299" i="1"/>
  <c r="P1299" i="1"/>
  <c r="O1299" i="1"/>
  <c r="Q1298" i="1"/>
  <c r="P1298" i="1"/>
  <c r="O1298" i="1"/>
  <c r="Q1297" i="1"/>
  <c r="P1297" i="1"/>
  <c r="O1297" i="1"/>
  <c r="Q1296" i="1"/>
  <c r="P1296" i="1"/>
  <c r="O1296" i="1"/>
  <c r="Q1295" i="1"/>
  <c r="P1295" i="1"/>
  <c r="O1295" i="1"/>
  <c r="Q1294" i="1"/>
  <c r="P1294" i="1"/>
  <c r="O1294" i="1"/>
  <c r="Q1293" i="1"/>
  <c r="P1293" i="1"/>
  <c r="O1293" i="1"/>
  <c r="Q1292" i="1"/>
  <c r="P1292" i="1"/>
  <c r="O1292" i="1"/>
  <c r="Q1291" i="1"/>
  <c r="P1291" i="1"/>
  <c r="O1291" i="1"/>
  <c r="Q1290" i="1"/>
  <c r="P1290" i="1"/>
  <c r="O1290" i="1"/>
  <c r="Q1289" i="1"/>
  <c r="P1289" i="1"/>
  <c r="O1289" i="1"/>
  <c r="Q1288" i="1"/>
  <c r="P1288" i="1"/>
  <c r="O1288" i="1"/>
  <c r="Q1287" i="1"/>
  <c r="P1287" i="1"/>
  <c r="O1287" i="1"/>
  <c r="Q1286" i="1"/>
  <c r="P1286" i="1"/>
  <c r="O1286" i="1"/>
  <c r="Q1285" i="1"/>
  <c r="P1285" i="1"/>
  <c r="O1285" i="1"/>
  <c r="Q1284" i="1"/>
  <c r="P1284" i="1"/>
  <c r="O1284" i="1"/>
  <c r="Q1283" i="1"/>
  <c r="P1283" i="1"/>
  <c r="O1283" i="1"/>
  <c r="Q1282" i="1"/>
  <c r="P1282" i="1"/>
  <c r="O1282" i="1"/>
  <c r="Q1281" i="1"/>
  <c r="P1281" i="1"/>
  <c r="O1281" i="1"/>
  <c r="Q1280" i="1"/>
  <c r="P1280" i="1"/>
  <c r="O1280" i="1"/>
  <c r="Q1279" i="1"/>
  <c r="P1279" i="1"/>
  <c r="O1279" i="1"/>
  <c r="Q1278" i="1"/>
  <c r="P1278" i="1"/>
  <c r="O1278" i="1"/>
  <c r="Q1277" i="1"/>
  <c r="P1277" i="1"/>
  <c r="O1277" i="1"/>
  <c r="Q1276" i="1"/>
  <c r="P1276" i="1"/>
  <c r="O1276" i="1"/>
  <c r="Q1275" i="1"/>
  <c r="P1275" i="1"/>
  <c r="O1275" i="1"/>
  <c r="Q1274" i="1"/>
  <c r="P1274" i="1"/>
  <c r="O1274" i="1"/>
  <c r="Q1273" i="1"/>
  <c r="P1273" i="1"/>
  <c r="O1273" i="1"/>
  <c r="Q1272" i="1"/>
  <c r="P1272" i="1"/>
  <c r="O1272" i="1"/>
  <c r="Q1271" i="1"/>
  <c r="P1271" i="1"/>
  <c r="O1271" i="1"/>
  <c r="Q1270" i="1"/>
  <c r="P1270" i="1"/>
  <c r="O1270" i="1"/>
  <c r="Q1269" i="1"/>
  <c r="P1269" i="1"/>
  <c r="O1269" i="1"/>
  <c r="Q1268" i="1"/>
  <c r="P1268" i="1"/>
  <c r="O1268" i="1"/>
  <c r="Q1267" i="1"/>
  <c r="P1267" i="1"/>
  <c r="O1267" i="1"/>
  <c r="Q1266" i="1"/>
  <c r="P1266" i="1"/>
  <c r="O1266" i="1"/>
  <c r="Q1265" i="1"/>
  <c r="P1265" i="1"/>
  <c r="O1265" i="1"/>
  <c r="Q1264" i="1"/>
  <c r="P1264" i="1"/>
  <c r="O1264" i="1"/>
  <c r="Q1263" i="1"/>
  <c r="P1263" i="1"/>
  <c r="O1263" i="1"/>
  <c r="Q1262" i="1"/>
  <c r="P1262" i="1"/>
  <c r="O1262" i="1"/>
  <c r="Q1261" i="1"/>
  <c r="P1261" i="1"/>
  <c r="O1261" i="1"/>
  <c r="Q1260" i="1"/>
  <c r="P1260" i="1"/>
  <c r="O1260" i="1"/>
  <c r="Q1259" i="1"/>
  <c r="P1259" i="1"/>
  <c r="O1259" i="1"/>
  <c r="Q1258" i="1"/>
  <c r="P1258" i="1"/>
  <c r="O1258" i="1"/>
  <c r="Q1257" i="1"/>
  <c r="P1257" i="1"/>
  <c r="O1257" i="1"/>
  <c r="Q1256" i="1"/>
  <c r="P1256" i="1"/>
  <c r="O1256" i="1"/>
  <c r="Q1255" i="1"/>
  <c r="P1255" i="1"/>
  <c r="O1255" i="1"/>
  <c r="Q1254" i="1"/>
  <c r="P1254" i="1"/>
  <c r="O1254" i="1"/>
  <c r="Q1253" i="1"/>
  <c r="P1253" i="1"/>
  <c r="O1253" i="1"/>
  <c r="Q1252" i="1"/>
  <c r="P1252" i="1"/>
  <c r="O1252" i="1"/>
  <c r="Q1251" i="1"/>
  <c r="P1251" i="1"/>
  <c r="O1251" i="1"/>
  <c r="Q1250" i="1"/>
  <c r="P1250" i="1"/>
  <c r="O1250" i="1"/>
  <c r="Q1249" i="1"/>
  <c r="P1249" i="1"/>
  <c r="O1249" i="1"/>
  <c r="Q1248" i="1"/>
  <c r="P1248" i="1"/>
  <c r="O1248" i="1"/>
  <c r="Q1247" i="1"/>
  <c r="P1247" i="1"/>
  <c r="O1247" i="1"/>
  <c r="Q1246" i="1"/>
  <c r="P1246" i="1"/>
  <c r="O1246" i="1"/>
  <c r="Q1245" i="1"/>
  <c r="P1245" i="1"/>
  <c r="O1245" i="1"/>
  <c r="Q1244" i="1"/>
  <c r="P1244" i="1"/>
  <c r="O1244" i="1"/>
  <c r="Q1243" i="1"/>
  <c r="P1243" i="1"/>
  <c r="O1243" i="1"/>
  <c r="Q1242" i="1"/>
  <c r="P1242" i="1"/>
  <c r="O1242" i="1"/>
  <c r="Q1241" i="1"/>
  <c r="P1241" i="1"/>
  <c r="O1241" i="1"/>
  <c r="Q1240" i="1"/>
  <c r="P1240" i="1"/>
  <c r="O1240" i="1"/>
  <c r="Q1239" i="1"/>
  <c r="P1239" i="1"/>
  <c r="O1239" i="1"/>
  <c r="Q1238" i="1"/>
  <c r="P1238" i="1"/>
  <c r="O1238" i="1"/>
  <c r="Q1237" i="1"/>
  <c r="P1237" i="1"/>
  <c r="O1237" i="1"/>
  <c r="Q1236" i="1"/>
  <c r="P1236" i="1"/>
  <c r="O1236" i="1"/>
  <c r="Q1235" i="1"/>
  <c r="P1235" i="1"/>
  <c r="O1235" i="1"/>
  <c r="Q1234" i="1"/>
  <c r="P1234" i="1"/>
  <c r="O1234" i="1"/>
  <c r="Q1233" i="1"/>
  <c r="P1233" i="1"/>
  <c r="O1233" i="1"/>
  <c r="Q1232" i="1"/>
  <c r="P1232" i="1"/>
  <c r="O1232" i="1"/>
  <c r="Q1231" i="1"/>
  <c r="P1231" i="1"/>
  <c r="O1231" i="1"/>
  <c r="Q1230" i="1"/>
  <c r="P1230" i="1"/>
  <c r="O1230" i="1"/>
  <c r="Q1229" i="1"/>
  <c r="P1229" i="1"/>
  <c r="O1229" i="1"/>
  <c r="Q1228" i="1"/>
  <c r="P1228" i="1"/>
  <c r="O1228" i="1"/>
  <c r="Q1227" i="1"/>
  <c r="P1227" i="1"/>
  <c r="O1227" i="1"/>
  <c r="Q1226" i="1"/>
  <c r="P1226" i="1"/>
  <c r="O1226" i="1"/>
  <c r="Q1225" i="1"/>
  <c r="P1225" i="1"/>
  <c r="O1225" i="1"/>
  <c r="Q1224" i="1"/>
  <c r="P1224" i="1"/>
  <c r="O1224" i="1"/>
  <c r="Q1223" i="1"/>
  <c r="P1223" i="1"/>
  <c r="O1223" i="1"/>
  <c r="Q1222" i="1"/>
  <c r="P1222" i="1"/>
  <c r="O1222" i="1"/>
  <c r="Q1221" i="1"/>
  <c r="P1221" i="1"/>
  <c r="O1221" i="1"/>
  <c r="Q1220" i="1"/>
  <c r="P1220" i="1"/>
  <c r="O1220" i="1"/>
  <c r="Q1219" i="1"/>
  <c r="P1219" i="1"/>
  <c r="O1219" i="1"/>
  <c r="Q1218" i="1"/>
  <c r="P1218" i="1"/>
  <c r="O1218" i="1"/>
  <c r="Q1217" i="1"/>
  <c r="P1217" i="1"/>
  <c r="O1217" i="1"/>
  <c r="Q1216" i="1"/>
  <c r="P1216" i="1"/>
  <c r="O1216" i="1"/>
  <c r="Q1215" i="1"/>
  <c r="P1215" i="1"/>
  <c r="O1215" i="1"/>
  <c r="Q1214" i="1"/>
  <c r="P1214" i="1"/>
  <c r="O1214" i="1"/>
  <c r="Q1213" i="1"/>
  <c r="P1213" i="1"/>
  <c r="O1213" i="1"/>
  <c r="Q1212" i="1"/>
  <c r="P1212" i="1"/>
  <c r="O1212" i="1"/>
  <c r="Q1211" i="1"/>
  <c r="P1211" i="1"/>
  <c r="O1211" i="1"/>
  <c r="Q1210" i="1"/>
  <c r="P1210" i="1"/>
  <c r="O1210" i="1"/>
  <c r="Q1209" i="1"/>
  <c r="P1209" i="1"/>
  <c r="O1209" i="1"/>
  <c r="Q1208" i="1"/>
  <c r="P1208" i="1"/>
  <c r="O1208" i="1"/>
  <c r="Q1207" i="1"/>
  <c r="P1207" i="1"/>
  <c r="O1207" i="1"/>
  <c r="Q1206" i="1"/>
  <c r="P1206" i="1"/>
  <c r="O1206" i="1"/>
  <c r="Q1205" i="1"/>
  <c r="P1205" i="1"/>
  <c r="O1205" i="1"/>
  <c r="Q1204" i="1"/>
  <c r="P1204" i="1"/>
  <c r="O1204" i="1"/>
  <c r="Q1203" i="1"/>
  <c r="P1203" i="1"/>
  <c r="O1203" i="1"/>
  <c r="Q1202" i="1"/>
  <c r="P1202" i="1"/>
  <c r="O1202" i="1"/>
  <c r="Q1201" i="1"/>
  <c r="P1201" i="1"/>
  <c r="O1201" i="1"/>
  <c r="Q1200" i="1"/>
  <c r="P1200" i="1"/>
  <c r="O1200" i="1"/>
  <c r="Q1199" i="1"/>
  <c r="P1199" i="1"/>
  <c r="O1199" i="1"/>
  <c r="Q1198" i="1"/>
  <c r="P1198" i="1"/>
  <c r="O1198" i="1"/>
  <c r="Q1197" i="1"/>
  <c r="P1197" i="1"/>
  <c r="O1197" i="1"/>
  <c r="Q1196" i="1"/>
  <c r="P1196" i="1"/>
  <c r="O1196" i="1"/>
  <c r="Q1195" i="1"/>
  <c r="P1195" i="1"/>
  <c r="O1195" i="1"/>
  <c r="Q1194" i="1"/>
  <c r="P1194" i="1"/>
  <c r="O1194" i="1"/>
  <c r="Q1193" i="1"/>
  <c r="P1193" i="1"/>
  <c r="O1193" i="1"/>
  <c r="Q1192" i="1"/>
  <c r="P1192" i="1"/>
  <c r="O1192" i="1"/>
  <c r="Q1191" i="1"/>
  <c r="P1191" i="1"/>
  <c r="O1191" i="1"/>
  <c r="Q1190" i="1"/>
  <c r="P1190" i="1"/>
  <c r="O1190" i="1"/>
  <c r="Q1189" i="1"/>
  <c r="P1189" i="1"/>
  <c r="O1189" i="1"/>
  <c r="Q1188" i="1"/>
  <c r="P1188" i="1"/>
  <c r="O1188" i="1"/>
  <c r="Q1187" i="1"/>
  <c r="P1187" i="1"/>
  <c r="O1187" i="1"/>
  <c r="Q1186" i="1"/>
  <c r="P1186" i="1"/>
  <c r="O1186" i="1"/>
  <c r="Q1185" i="1"/>
  <c r="P1185" i="1"/>
  <c r="O1185" i="1"/>
  <c r="Q1184" i="1"/>
  <c r="P1184" i="1"/>
  <c r="O1184" i="1"/>
  <c r="Q1183" i="1"/>
  <c r="P1183" i="1"/>
  <c r="O1183" i="1"/>
  <c r="Q1182" i="1"/>
  <c r="P1182" i="1"/>
  <c r="O1182" i="1"/>
  <c r="Q1181" i="1"/>
  <c r="P1181" i="1"/>
  <c r="O1181" i="1"/>
  <c r="Q1180" i="1"/>
  <c r="P1180" i="1"/>
  <c r="O1180" i="1"/>
  <c r="Q1179" i="1"/>
  <c r="P1179" i="1"/>
  <c r="O1179" i="1"/>
  <c r="Q1178" i="1"/>
  <c r="P1178" i="1"/>
  <c r="O1178" i="1"/>
  <c r="Q1177" i="1"/>
  <c r="P1177" i="1"/>
  <c r="O1177" i="1"/>
  <c r="Q1176" i="1"/>
  <c r="P1176" i="1"/>
  <c r="O1176" i="1"/>
  <c r="Q1175" i="1"/>
  <c r="P1175" i="1"/>
  <c r="O1175" i="1"/>
  <c r="Q1174" i="1"/>
  <c r="P1174" i="1"/>
  <c r="O1174" i="1"/>
  <c r="Q1173" i="1"/>
  <c r="P1173" i="1"/>
  <c r="O1173" i="1"/>
  <c r="Q1172" i="1"/>
  <c r="P1172" i="1"/>
  <c r="O1172" i="1"/>
  <c r="Q1171" i="1"/>
  <c r="P1171" i="1"/>
  <c r="O1171" i="1"/>
  <c r="Q1170" i="1"/>
  <c r="P1170" i="1"/>
  <c r="O1170" i="1"/>
  <c r="Q1169" i="1"/>
  <c r="P1169" i="1"/>
  <c r="O1169" i="1"/>
  <c r="Q1168" i="1"/>
  <c r="P1168" i="1"/>
  <c r="O1168" i="1"/>
  <c r="Q1167" i="1"/>
  <c r="P1167" i="1"/>
  <c r="O1167" i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Q1160" i="1"/>
  <c r="P1160" i="1"/>
  <c r="O1160" i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M1141" i="1"/>
  <c r="Q1140" i="1"/>
  <c r="P1140" i="1"/>
  <c r="O1140" i="1"/>
  <c r="M1140" i="1"/>
  <c r="Q1139" i="1"/>
  <c r="P1139" i="1"/>
  <c r="O1139" i="1"/>
  <c r="M1139" i="1"/>
  <c r="Q1138" i="1"/>
  <c r="P1138" i="1"/>
  <c r="O1138" i="1"/>
  <c r="M1138" i="1"/>
  <c r="Q1137" i="1"/>
  <c r="P1137" i="1"/>
  <c r="O1137" i="1"/>
  <c r="M1137" i="1"/>
  <c r="Q1136" i="1"/>
  <c r="P1136" i="1"/>
  <c r="O1136" i="1"/>
  <c r="M1136" i="1"/>
  <c r="Q1135" i="1"/>
  <c r="P1135" i="1"/>
  <c r="O1135" i="1"/>
  <c r="M1135" i="1"/>
  <c r="Q1134" i="1"/>
  <c r="P1134" i="1"/>
  <c r="O1134" i="1"/>
  <c r="M1134" i="1"/>
  <c r="Q1133" i="1"/>
  <c r="P1133" i="1"/>
  <c r="O1133" i="1"/>
  <c r="M1133" i="1"/>
  <c r="Q1132" i="1"/>
  <c r="P1132" i="1"/>
  <c r="O1132" i="1"/>
  <c r="M1132" i="1"/>
  <c r="Q1131" i="1"/>
  <c r="P1131" i="1"/>
  <c r="O1131" i="1"/>
  <c r="M1131" i="1"/>
  <c r="Q1130" i="1"/>
  <c r="P1130" i="1"/>
  <c r="O1130" i="1"/>
  <c r="M1130" i="1"/>
  <c r="Q1129" i="1"/>
  <c r="P1129" i="1"/>
  <c r="O1129" i="1"/>
  <c r="Q1128" i="1"/>
  <c r="P1128" i="1"/>
  <c r="O1128" i="1"/>
  <c r="Q1127" i="1"/>
  <c r="P1127" i="1"/>
  <c r="O1127" i="1"/>
  <c r="Q1126" i="1"/>
  <c r="P1126" i="1"/>
  <c r="O1126" i="1"/>
  <c r="Q1125" i="1"/>
  <c r="P1125" i="1"/>
  <c r="O1125" i="1"/>
  <c r="Q1124" i="1"/>
  <c r="P1124" i="1"/>
  <c r="O1124" i="1"/>
  <c r="Q1123" i="1"/>
  <c r="P1123" i="1"/>
  <c r="O1123" i="1"/>
  <c r="Q1122" i="1"/>
  <c r="P1122" i="1"/>
  <c r="O1122" i="1"/>
  <c r="Q1121" i="1"/>
  <c r="P1121" i="1"/>
  <c r="O1121" i="1"/>
  <c r="Q1120" i="1"/>
  <c r="P1120" i="1"/>
  <c r="O1120" i="1"/>
  <c r="Q1119" i="1"/>
  <c r="P1119" i="1"/>
  <c r="O1119" i="1"/>
  <c r="Q1118" i="1"/>
  <c r="P1118" i="1"/>
  <c r="O1118" i="1"/>
  <c r="Q1117" i="1"/>
  <c r="P1117" i="1"/>
  <c r="O1117" i="1"/>
  <c r="Q1116" i="1"/>
  <c r="P1116" i="1"/>
  <c r="O1116" i="1"/>
  <c r="Q1115" i="1"/>
  <c r="P1115" i="1"/>
  <c r="O1115" i="1"/>
  <c r="Q1114" i="1"/>
  <c r="P1114" i="1"/>
  <c r="O1114" i="1"/>
  <c r="Q1113" i="1"/>
  <c r="P1113" i="1"/>
  <c r="O1113" i="1"/>
  <c r="Q1112" i="1"/>
  <c r="P1112" i="1"/>
  <c r="O1112" i="1"/>
  <c r="Q1111" i="1"/>
  <c r="P1111" i="1"/>
  <c r="O1111" i="1"/>
  <c r="Q1110" i="1"/>
  <c r="P1110" i="1"/>
  <c r="O1110" i="1"/>
  <c r="Q1109" i="1"/>
  <c r="P1109" i="1"/>
  <c r="O1109" i="1"/>
  <c r="Q1108" i="1"/>
  <c r="P1108" i="1"/>
  <c r="O1108" i="1"/>
  <c r="Q1107" i="1"/>
  <c r="P1107" i="1"/>
  <c r="O1107" i="1"/>
  <c r="Q1106" i="1"/>
  <c r="P1106" i="1"/>
  <c r="O1106" i="1"/>
  <c r="Q1105" i="1"/>
  <c r="P1105" i="1"/>
  <c r="O1105" i="1"/>
  <c r="Q1104" i="1"/>
  <c r="P1104" i="1"/>
  <c r="O1104" i="1"/>
  <c r="Q1103" i="1"/>
  <c r="P1103" i="1"/>
  <c r="O1103" i="1"/>
  <c r="Q1102" i="1"/>
  <c r="P1102" i="1"/>
  <c r="O1102" i="1"/>
  <c r="Q1101" i="1"/>
  <c r="P1101" i="1"/>
  <c r="O1101" i="1"/>
  <c r="Q1100" i="1"/>
  <c r="P1100" i="1"/>
  <c r="O1100" i="1"/>
  <c r="Q1099" i="1"/>
  <c r="P1099" i="1"/>
  <c r="O1099" i="1"/>
  <c r="Q1098" i="1"/>
  <c r="P1098" i="1"/>
  <c r="O1098" i="1"/>
  <c r="Q1097" i="1"/>
  <c r="P1097" i="1"/>
  <c r="O1097" i="1"/>
  <c r="Q1096" i="1"/>
  <c r="P1096" i="1"/>
  <c r="O1096" i="1"/>
  <c r="Q1095" i="1"/>
  <c r="P1095" i="1"/>
  <c r="O1095" i="1"/>
  <c r="Q1094" i="1"/>
  <c r="P1094" i="1"/>
  <c r="O1094" i="1"/>
  <c r="Q1093" i="1"/>
  <c r="P1093" i="1"/>
  <c r="O1093" i="1"/>
  <c r="Q1092" i="1"/>
  <c r="P1092" i="1"/>
  <c r="O1092" i="1"/>
  <c r="Q1091" i="1"/>
  <c r="P1091" i="1"/>
  <c r="O1091" i="1"/>
  <c r="Q1090" i="1"/>
  <c r="P1090" i="1"/>
  <c r="O1090" i="1"/>
  <c r="Q1089" i="1"/>
  <c r="P1089" i="1"/>
  <c r="O1089" i="1"/>
  <c r="Q1088" i="1"/>
  <c r="P1088" i="1"/>
  <c r="O1088" i="1"/>
  <c r="Q1087" i="1"/>
  <c r="P1087" i="1"/>
  <c r="O1087" i="1"/>
  <c r="Q1086" i="1"/>
  <c r="P1086" i="1"/>
  <c r="O1086" i="1"/>
  <c r="Q1085" i="1"/>
  <c r="P1085" i="1"/>
  <c r="O1085" i="1"/>
  <c r="Q1084" i="1"/>
  <c r="P1084" i="1"/>
  <c r="O1084" i="1"/>
  <c r="Q1083" i="1"/>
  <c r="P1083" i="1"/>
  <c r="O1083" i="1"/>
  <c r="Q1082" i="1"/>
  <c r="P1082" i="1"/>
  <c r="O1082" i="1"/>
  <c r="Q1081" i="1"/>
  <c r="P1081" i="1"/>
  <c r="O1081" i="1"/>
  <c r="M1081" i="1"/>
  <c r="Q1080" i="1"/>
  <c r="P1080" i="1"/>
  <c r="O1080" i="1"/>
  <c r="M1080" i="1"/>
  <c r="Q1079" i="1"/>
  <c r="P1079" i="1"/>
  <c r="O1079" i="1"/>
  <c r="M1079" i="1"/>
  <c r="Q1078" i="1"/>
  <c r="P1078" i="1"/>
  <c r="O1078" i="1"/>
  <c r="M1078" i="1"/>
  <c r="Q1077" i="1"/>
  <c r="P1077" i="1"/>
  <c r="O1077" i="1"/>
  <c r="M1077" i="1"/>
  <c r="Q1076" i="1"/>
  <c r="P1076" i="1"/>
  <c r="O1076" i="1"/>
  <c r="M1076" i="1"/>
  <c r="Q1075" i="1"/>
  <c r="P1075" i="1"/>
  <c r="O1075" i="1"/>
  <c r="M1075" i="1"/>
  <c r="Q1074" i="1"/>
  <c r="P1074" i="1"/>
  <c r="O1074" i="1"/>
  <c r="M1074" i="1"/>
  <c r="Q1073" i="1"/>
  <c r="P1073" i="1"/>
  <c r="O1073" i="1"/>
  <c r="M1073" i="1"/>
  <c r="Q1072" i="1"/>
  <c r="P1072" i="1"/>
  <c r="O1072" i="1"/>
  <c r="M1072" i="1"/>
  <c r="Q1071" i="1"/>
  <c r="P1071" i="1"/>
  <c r="O1071" i="1"/>
  <c r="Q1070" i="1"/>
  <c r="P1070" i="1"/>
  <c r="O1070" i="1"/>
  <c r="Q1069" i="1"/>
  <c r="P1069" i="1"/>
  <c r="O1069" i="1"/>
  <c r="Q1068" i="1"/>
  <c r="P1068" i="1"/>
  <c r="O1068" i="1"/>
  <c r="Q1067" i="1"/>
  <c r="P1067" i="1"/>
  <c r="O1067" i="1"/>
  <c r="Q1066" i="1"/>
  <c r="P1066" i="1"/>
  <c r="O1066" i="1"/>
  <c r="Q1065" i="1"/>
  <c r="P1065" i="1"/>
  <c r="O1065" i="1"/>
  <c r="Q1064" i="1"/>
  <c r="P1064" i="1"/>
  <c r="O1064" i="1"/>
  <c r="Q1063" i="1"/>
  <c r="P1063" i="1"/>
  <c r="O1063" i="1"/>
  <c r="Q1062" i="1"/>
  <c r="P1062" i="1"/>
  <c r="O1062" i="1"/>
  <c r="Q1061" i="1"/>
  <c r="P1061" i="1"/>
  <c r="O1061" i="1"/>
  <c r="Q1060" i="1"/>
  <c r="P1060" i="1"/>
  <c r="O1060" i="1"/>
  <c r="Q1059" i="1"/>
  <c r="P1059" i="1"/>
  <c r="O1059" i="1"/>
  <c r="Q1058" i="1"/>
  <c r="P1058" i="1"/>
  <c r="O1058" i="1"/>
  <c r="Q1057" i="1"/>
  <c r="P1057" i="1"/>
  <c r="O1057" i="1"/>
  <c r="Q1056" i="1"/>
  <c r="P1056" i="1"/>
  <c r="O1056" i="1"/>
  <c r="Q1055" i="1"/>
  <c r="P1055" i="1"/>
  <c r="O1055" i="1"/>
  <c r="Q1054" i="1"/>
  <c r="P1054" i="1"/>
  <c r="O1054" i="1"/>
  <c r="Q1053" i="1"/>
  <c r="P1053" i="1"/>
  <c r="O1053" i="1"/>
  <c r="Q1052" i="1"/>
  <c r="P1052" i="1"/>
  <c r="O1052" i="1"/>
  <c r="Q1051" i="1"/>
  <c r="P1051" i="1"/>
  <c r="O1051" i="1"/>
  <c r="Q1050" i="1"/>
  <c r="P1050" i="1"/>
  <c r="O1050" i="1"/>
  <c r="Q1049" i="1"/>
  <c r="P1049" i="1"/>
  <c r="O1049" i="1"/>
  <c r="Q1048" i="1"/>
  <c r="P1048" i="1"/>
  <c r="O1048" i="1"/>
  <c r="Q1047" i="1"/>
  <c r="P1047" i="1"/>
  <c r="O1047" i="1"/>
  <c r="Q1046" i="1"/>
  <c r="P1046" i="1"/>
  <c r="O1046" i="1"/>
  <c r="Q1045" i="1"/>
  <c r="P1045" i="1"/>
  <c r="O1045" i="1"/>
  <c r="Q1044" i="1"/>
  <c r="P1044" i="1"/>
  <c r="O1044" i="1"/>
  <c r="Q1043" i="1"/>
  <c r="P1043" i="1"/>
  <c r="O1043" i="1"/>
  <c r="Q1042" i="1"/>
  <c r="P1042" i="1"/>
  <c r="O1042" i="1"/>
  <c r="Q1041" i="1"/>
  <c r="P1041" i="1"/>
  <c r="O1041" i="1"/>
  <c r="Q1040" i="1"/>
  <c r="P1040" i="1"/>
  <c r="O1040" i="1"/>
  <c r="Q1039" i="1"/>
  <c r="P1039" i="1"/>
  <c r="O1039" i="1"/>
  <c r="Q1038" i="1"/>
  <c r="P1038" i="1"/>
  <c r="O1038" i="1"/>
  <c r="Q1037" i="1"/>
  <c r="P1037" i="1"/>
  <c r="O1037" i="1"/>
  <c r="Q1036" i="1"/>
  <c r="P1036" i="1"/>
  <c r="O1036" i="1"/>
  <c r="Q1035" i="1"/>
  <c r="P1035" i="1"/>
  <c r="O1035" i="1"/>
  <c r="Q1034" i="1"/>
  <c r="P1034" i="1"/>
  <c r="O1034" i="1"/>
  <c r="Q1033" i="1"/>
  <c r="P1033" i="1"/>
  <c r="O1033" i="1"/>
  <c r="Q1032" i="1"/>
  <c r="P1032" i="1"/>
  <c r="O1032" i="1"/>
  <c r="Q1031" i="1"/>
  <c r="P1031" i="1"/>
  <c r="O1031" i="1"/>
  <c r="Q1030" i="1"/>
  <c r="P1030" i="1"/>
  <c r="O1030" i="1"/>
  <c r="Q1029" i="1"/>
  <c r="P1029" i="1"/>
  <c r="O1029" i="1"/>
  <c r="Q1028" i="1"/>
  <c r="P1028" i="1"/>
  <c r="O1028" i="1"/>
  <c r="Q1027" i="1"/>
  <c r="P1027" i="1"/>
  <c r="O1027" i="1"/>
  <c r="Q1026" i="1"/>
  <c r="P1026" i="1"/>
  <c r="O1026" i="1"/>
  <c r="Q1025" i="1"/>
  <c r="P1025" i="1"/>
  <c r="O1025" i="1"/>
  <c r="Q1024" i="1"/>
  <c r="P1024" i="1"/>
  <c r="O1024" i="1"/>
  <c r="Q1023" i="1"/>
  <c r="P1023" i="1"/>
  <c r="O1023" i="1"/>
  <c r="Q1022" i="1"/>
  <c r="P1022" i="1"/>
  <c r="O1022" i="1"/>
  <c r="Q1021" i="1"/>
  <c r="P1021" i="1"/>
  <c r="O1021" i="1"/>
  <c r="Q1020" i="1"/>
  <c r="P1020" i="1"/>
  <c r="O1020" i="1"/>
  <c r="Q1019" i="1"/>
  <c r="P1019" i="1"/>
  <c r="O1019" i="1"/>
  <c r="Q1018" i="1"/>
  <c r="P1018" i="1"/>
  <c r="O1018" i="1"/>
  <c r="Q1017" i="1"/>
  <c r="P1017" i="1"/>
  <c r="O1017" i="1"/>
  <c r="Q1016" i="1"/>
  <c r="P1016" i="1"/>
  <c r="O1016" i="1"/>
  <c r="Q1015" i="1"/>
  <c r="P1015" i="1"/>
  <c r="O1015" i="1"/>
  <c r="Q1014" i="1"/>
  <c r="P1014" i="1"/>
  <c r="O1014" i="1"/>
  <c r="Q1013" i="1"/>
  <c r="P1013" i="1"/>
  <c r="O1013" i="1"/>
  <c r="Q1012" i="1"/>
  <c r="P1012" i="1"/>
  <c r="O1012" i="1"/>
  <c r="Q1011" i="1"/>
  <c r="P1011" i="1"/>
  <c r="O1011" i="1"/>
  <c r="Q1010" i="1"/>
  <c r="P1010" i="1"/>
  <c r="O1010" i="1"/>
  <c r="Q1009" i="1"/>
  <c r="P1009" i="1"/>
  <c r="O1009" i="1"/>
  <c r="Q1008" i="1"/>
  <c r="P1008" i="1"/>
  <c r="O1008" i="1"/>
  <c r="Q1007" i="1"/>
  <c r="P1007" i="1"/>
  <c r="O1007" i="1"/>
  <c r="Q1006" i="1"/>
  <c r="P1006" i="1"/>
  <c r="O1006" i="1"/>
  <c r="Q1005" i="1"/>
  <c r="P1005" i="1"/>
  <c r="O1005" i="1"/>
  <c r="Q1004" i="1"/>
  <c r="P1004" i="1"/>
  <c r="O1004" i="1"/>
  <c r="Q1003" i="1"/>
  <c r="P1003" i="1"/>
  <c r="O1003" i="1"/>
  <c r="Q1002" i="1"/>
  <c r="P1002" i="1"/>
  <c r="O1002" i="1"/>
  <c r="Q1001" i="1"/>
  <c r="P1001" i="1"/>
  <c r="O1001" i="1"/>
  <c r="Q1000" i="1"/>
  <c r="P1000" i="1"/>
  <c r="O1000" i="1"/>
  <c r="Q999" i="1"/>
  <c r="P999" i="1"/>
  <c r="O999" i="1"/>
  <c r="Q998" i="1"/>
  <c r="P998" i="1"/>
  <c r="O998" i="1"/>
  <c r="Q997" i="1"/>
  <c r="P997" i="1"/>
  <c r="O997" i="1"/>
  <c r="Q996" i="1"/>
  <c r="P996" i="1"/>
  <c r="O996" i="1"/>
  <c r="Q995" i="1"/>
  <c r="P995" i="1"/>
  <c r="O995" i="1"/>
  <c r="Q994" i="1"/>
  <c r="P994" i="1"/>
  <c r="O994" i="1"/>
  <c r="Q993" i="1"/>
  <c r="P993" i="1"/>
  <c r="O993" i="1"/>
  <c r="Q992" i="1"/>
  <c r="P992" i="1"/>
  <c r="O992" i="1"/>
  <c r="Q991" i="1"/>
  <c r="P991" i="1"/>
  <c r="O991" i="1"/>
  <c r="Q990" i="1"/>
  <c r="P990" i="1"/>
  <c r="O990" i="1"/>
  <c r="Q989" i="1"/>
  <c r="P989" i="1"/>
  <c r="O989" i="1"/>
  <c r="Q988" i="1"/>
  <c r="P988" i="1"/>
  <c r="O988" i="1"/>
  <c r="Q987" i="1"/>
  <c r="P987" i="1"/>
  <c r="O987" i="1"/>
  <c r="Q986" i="1"/>
  <c r="P986" i="1"/>
  <c r="O986" i="1"/>
  <c r="Q985" i="1"/>
  <c r="P985" i="1"/>
  <c r="O985" i="1"/>
  <c r="Q984" i="1"/>
  <c r="P984" i="1"/>
  <c r="O984" i="1"/>
  <c r="Q983" i="1"/>
  <c r="P983" i="1"/>
  <c r="O983" i="1"/>
  <c r="Q982" i="1"/>
  <c r="P982" i="1"/>
  <c r="O982" i="1"/>
  <c r="Q981" i="1"/>
  <c r="P981" i="1"/>
  <c r="O981" i="1"/>
  <c r="Q980" i="1"/>
  <c r="P980" i="1"/>
  <c r="O980" i="1"/>
  <c r="Q979" i="1"/>
  <c r="P979" i="1"/>
  <c r="O979" i="1"/>
  <c r="Q978" i="1"/>
  <c r="P978" i="1"/>
  <c r="O978" i="1"/>
  <c r="Q977" i="1"/>
  <c r="P977" i="1"/>
  <c r="O977" i="1"/>
  <c r="Q976" i="1"/>
  <c r="P976" i="1"/>
  <c r="O976" i="1"/>
  <c r="Q975" i="1"/>
  <c r="P975" i="1"/>
  <c r="O975" i="1"/>
  <c r="Q974" i="1"/>
  <c r="P974" i="1"/>
  <c r="O974" i="1"/>
  <c r="Q973" i="1"/>
  <c r="P973" i="1"/>
  <c r="O973" i="1"/>
  <c r="Q972" i="1"/>
  <c r="P972" i="1"/>
  <c r="O972" i="1"/>
  <c r="Q971" i="1"/>
  <c r="P971" i="1"/>
  <c r="O971" i="1"/>
  <c r="Q970" i="1"/>
  <c r="P970" i="1"/>
  <c r="O970" i="1"/>
  <c r="Q969" i="1"/>
  <c r="P969" i="1"/>
  <c r="O969" i="1"/>
  <c r="Q968" i="1"/>
  <c r="P968" i="1"/>
  <c r="O968" i="1"/>
  <c r="Q967" i="1"/>
  <c r="P967" i="1"/>
  <c r="O967" i="1"/>
  <c r="Q966" i="1"/>
  <c r="P966" i="1"/>
  <c r="O966" i="1"/>
  <c r="Q965" i="1"/>
  <c r="P965" i="1"/>
  <c r="O965" i="1"/>
  <c r="Q964" i="1"/>
  <c r="P964" i="1"/>
  <c r="O964" i="1"/>
  <c r="Q963" i="1"/>
  <c r="P963" i="1"/>
  <c r="O963" i="1"/>
  <c r="Q962" i="1"/>
  <c r="P962" i="1"/>
  <c r="O962" i="1"/>
  <c r="Q961" i="1"/>
  <c r="P961" i="1"/>
  <c r="O961" i="1"/>
  <c r="Q960" i="1"/>
  <c r="P960" i="1"/>
  <c r="O960" i="1"/>
  <c r="Q959" i="1"/>
  <c r="P959" i="1"/>
  <c r="O959" i="1"/>
  <c r="Q958" i="1"/>
  <c r="P958" i="1"/>
  <c r="O958" i="1"/>
  <c r="Q957" i="1"/>
  <c r="P957" i="1"/>
  <c r="O957" i="1"/>
  <c r="Q956" i="1"/>
  <c r="P956" i="1"/>
  <c r="O956" i="1"/>
  <c r="Q955" i="1"/>
  <c r="P955" i="1"/>
  <c r="O955" i="1"/>
  <c r="Q954" i="1"/>
  <c r="P954" i="1"/>
  <c r="O954" i="1"/>
  <c r="Q953" i="1"/>
  <c r="P953" i="1"/>
  <c r="O953" i="1"/>
  <c r="Q952" i="1"/>
  <c r="P952" i="1"/>
  <c r="O952" i="1"/>
  <c r="Q951" i="1"/>
  <c r="P951" i="1"/>
  <c r="O951" i="1"/>
  <c r="Q950" i="1"/>
  <c r="P950" i="1"/>
  <c r="O950" i="1"/>
  <c r="Q949" i="1"/>
  <c r="P949" i="1"/>
  <c r="O949" i="1"/>
  <c r="Q948" i="1"/>
  <c r="P948" i="1"/>
  <c r="O948" i="1"/>
  <c r="Q947" i="1"/>
  <c r="P947" i="1"/>
  <c r="O947" i="1"/>
  <c r="Q946" i="1"/>
  <c r="P946" i="1"/>
  <c r="O946" i="1"/>
  <c r="Q945" i="1"/>
  <c r="P945" i="1"/>
  <c r="O945" i="1"/>
  <c r="Q944" i="1"/>
  <c r="P944" i="1"/>
  <c r="O944" i="1"/>
  <c r="Q943" i="1"/>
  <c r="P943" i="1"/>
  <c r="O943" i="1"/>
  <c r="Q942" i="1"/>
  <c r="P942" i="1"/>
  <c r="O942" i="1"/>
  <c r="Q941" i="1"/>
  <c r="P941" i="1"/>
  <c r="O941" i="1"/>
  <c r="Q940" i="1"/>
  <c r="P940" i="1"/>
  <c r="O940" i="1"/>
  <c r="Q939" i="1"/>
  <c r="P939" i="1"/>
  <c r="O939" i="1"/>
  <c r="Q938" i="1"/>
  <c r="P938" i="1"/>
  <c r="O938" i="1"/>
  <c r="Q937" i="1"/>
  <c r="P937" i="1"/>
  <c r="O937" i="1"/>
  <c r="Q936" i="1"/>
  <c r="P936" i="1"/>
  <c r="O936" i="1"/>
  <c r="Q935" i="1"/>
  <c r="P935" i="1"/>
  <c r="O935" i="1"/>
  <c r="Q934" i="1"/>
  <c r="P934" i="1"/>
  <c r="O934" i="1"/>
  <c r="Q933" i="1"/>
  <c r="P933" i="1"/>
  <c r="O933" i="1"/>
  <c r="Q932" i="1"/>
  <c r="P932" i="1"/>
  <c r="O932" i="1"/>
  <c r="Q931" i="1"/>
  <c r="P931" i="1"/>
  <c r="O931" i="1"/>
  <c r="Q930" i="1"/>
  <c r="P930" i="1"/>
  <c r="O930" i="1"/>
  <c r="Q929" i="1"/>
  <c r="P929" i="1"/>
  <c r="O929" i="1"/>
  <c r="Q928" i="1"/>
  <c r="P928" i="1"/>
  <c r="O928" i="1"/>
  <c r="Q927" i="1"/>
  <c r="P927" i="1"/>
  <c r="O927" i="1"/>
  <c r="Q926" i="1"/>
  <c r="P926" i="1"/>
  <c r="O926" i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Q912" i="1"/>
  <c r="P912" i="1"/>
  <c r="O912" i="1"/>
  <c r="Q911" i="1"/>
  <c r="P911" i="1"/>
  <c r="O911" i="1"/>
  <c r="Q910" i="1"/>
  <c r="P910" i="1"/>
  <c r="O910" i="1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Q863" i="1"/>
  <c r="P863" i="1"/>
  <c r="O863" i="1"/>
  <c r="Q862" i="1"/>
  <c r="P862" i="1"/>
  <c r="O862" i="1"/>
  <c r="Q861" i="1"/>
  <c r="P861" i="1"/>
  <c r="O861" i="1"/>
  <c r="Q860" i="1"/>
  <c r="P860" i="1"/>
  <c r="O860" i="1"/>
  <c r="Q859" i="1"/>
  <c r="P859" i="1"/>
  <c r="O859" i="1"/>
  <c r="Q858" i="1"/>
  <c r="P858" i="1"/>
  <c r="O858" i="1"/>
  <c r="Q857" i="1"/>
  <c r="P857" i="1"/>
  <c r="O857" i="1"/>
  <c r="Q856" i="1"/>
  <c r="P856" i="1"/>
  <c r="O856" i="1"/>
  <c r="Q855" i="1"/>
  <c r="P855" i="1"/>
  <c r="O855" i="1"/>
  <c r="Q854" i="1"/>
  <c r="P854" i="1"/>
  <c r="O854" i="1"/>
  <c r="Q853" i="1"/>
  <c r="P853" i="1"/>
  <c r="O853" i="1"/>
  <c r="Q852" i="1"/>
  <c r="P852" i="1"/>
  <c r="O852" i="1"/>
  <c r="Q851" i="1"/>
  <c r="P851" i="1"/>
  <c r="O851" i="1"/>
  <c r="Q850" i="1"/>
  <c r="P850" i="1"/>
  <c r="O850" i="1"/>
  <c r="Q849" i="1"/>
  <c r="P849" i="1"/>
  <c r="O849" i="1"/>
  <c r="Q848" i="1"/>
  <c r="P848" i="1"/>
  <c r="O848" i="1"/>
  <c r="Q847" i="1"/>
  <c r="P847" i="1"/>
  <c r="O847" i="1"/>
  <c r="Q846" i="1"/>
  <c r="P846" i="1"/>
  <c r="O846" i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Q831" i="1"/>
  <c r="P831" i="1"/>
  <c r="O831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V307" i="1"/>
  <c r="Q307" i="1"/>
  <c r="P307" i="1"/>
  <c r="O307" i="1"/>
  <c r="V306" i="1"/>
  <c r="Q306" i="1"/>
  <c r="P306" i="1"/>
  <c r="O306" i="1"/>
  <c r="V305" i="1"/>
  <c r="Q305" i="1"/>
  <c r="P305" i="1"/>
  <c r="O305" i="1"/>
  <c r="V304" i="1"/>
  <c r="Q304" i="1"/>
  <c r="P304" i="1"/>
  <c r="O304" i="1"/>
  <c r="V303" i="1"/>
  <c r="Q303" i="1"/>
  <c r="P303" i="1"/>
  <c r="O303" i="1"/>
  <c r="V302" i="1"/>
  <c r="Q302" i="1"/>
  <c r="P302" i="1"/>
  <c r="O302" i="1"/>
  <c r="V301" i="1"/>
  <c r="Q301" i="1"/>
  <c r="P301" i="1"/>
  <c r="O301" i="1"/>
  <c r="N301" i="1"/>
  <c r="I301" i="1"/>
  <c r="V300" i="1"/>
  <c r="Q300" i="1"/>
  <c r="P300" i="1"/>
  <c r="O300" i="1"/>
  <c r="N300" i="1"/>
  <c r="I300" i="1"/>
  <c r="V299" i="1"/>
  <c r="Q299" i="1"/>
  <c r="P299" i="1"/>
  <c r="O299" i="1"/>
  <c r="N299" i="1"/>
  <c r="I299" i="1"/>
  <c r="H299" i="1"/>
  <c r="V298" i="1"/>
  <c r="Q298" i="1"/>
  <c r="P298" i="1"/>
  <c r="O298" i="1"/>
  <c r="N298" i="1"/>
  <c r="I298" i="1"/>
  <c r="H298" i="1"/>
  <c r="V297" i="1"/>
  <c r="Q297" i="1"/>
  <c r="P297" i="1"/>
  <c r="O297" i="1"/>
  <c r="N297" i="1"/>
  <c r="I297" i="1"/>
  <c r="H297" i="1"/>
  <c r="V296" i="1"/>
  <c r="Q296" i="1"/>
  <c r="P296" i="1"/>
  <c r="O296" i="1"/>
  <c r="N296" i="1"/>
  <c r="I296" i="1"/>
  <c r="H296" i="1"/>
  <c r="V295" i="1"/>
  <c r="Q295" i="1"/>
  <c r="P295" i="1"/>
  <c r="O295" i="1"/>
  <c r="N295" i="1"/>
  <c r="I295" i="1"/>
  <c r="H295" i="1"/>
  <c r="V294" i="1"/>
  <c r="Q294" i="1"/>
  <c r="P294" i="1"/>
  <c r="O294" i="1"/>
  <c r="N294" i="1"/>
  <c r="I294" i="1"/>
  <c r="H294" i="1"/>
  <c r="V293" i="1"/>
  <c r="Q293" i="1"/>
  <c r="P293" i="1"/>
  <c r="O293" i="1"/>
  <c r="N293" i="1"/>
  <c r="I293" i="1"/>
  <c r="H293" i="1"/>
  <c r="V292" i="1"/>
  <c r="Q292" i="1"/>
  <c r="P292" i="1"/>
  <c r="O292" i="1"/>
  <c r="N292" i="1"/>
  <c r="I292" i="1"/>
  <c r="V291" i="1"/>
  <c r="Q291" i="1"/>
  <c r="P291" i="1"/>
  <c r="O291" i="1"/>
  <c r="N291" i="1"/>
  <c r="I291" i="1"/>
  <c r="V290" i="1"/>
  <c r="Q290" i="1"/>
  <c r="P290" i="1"/>
  <c r="O290" i="1"/>
  <c r="N290" i="1"/>
  <c r="I290" i="1"/>
  <c r="V289" i="1"/>
  <c r="Q289" i="1"/>
  <c r="P289" i="1"/>
  <c r="O289" i="1"/>
  <c r="V288" i="1"/>
  <c r="Q288" i="1"/>
  <c r="P288" i="1"/>
  <c r="O288" i="1"/>
  <c r="V287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O277" i="1"/>
  <c r="Q276" i="1"/>
  <c r="O276" i="1"/>
  <c r="Q275" i="1"/>
  <c r="O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O261" i="1"/>
  <c r="Q260" i="1"/>
  <c r="O260" i="1"/>
  <c r="Q259" i="1"/>
  <c r="O259" i="1"/>
  <c r="Q258" i="1"/>
  <c r="O258" i="1"/>
  <c r="Q257" i="1"/>
  <c r="O257" i="1"/>
  <c r="Q256" i="1"/>
  <c r="O256" i="1"/>
  <c r="Q255" i="1"/>
  <c r="O255" i="1"/>
  <c r="Q254" i="1"/>
  <c r="O254" i="1"/>
  <c r="Q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O240" i="1"/>
  <c r="Q239" i="1"/>
  <c r="O239" i="1"/>
  <c r="Q238" i="1"/>
  <c r="O238" i="1"/>
  <c r="Q237" i="1"/>
  <c r="O237" i="1"/>
  <c r="Q236" i="1"/>
  <c r="O236" i="1"/>
  <c r="Q235" i="1"/>
  <c r="O235" i="1"/>
  <c r="Q234" i="1"/>
  <c r="O234" i="1"/>
  <c r="Q233" i="1"/>
  <c r="O233" i="1"/>
  <c r="Q232" i="1"/>
  <c r="O232" i="1"/>
  <c r="Q231" i="1"/>
  <c r="O231" i="1"/>
  <c r="Q230" i="1"/>
  <c r="O230" i="1"/>
  <c r="Q229" i="1"/>
  <c r="O229" i="1"/>
  <c r="Q228" i="1"/>
  <c r="O228" i="1"/>
  <c r="Q227" i="1"/>
  <c r="O227" i="1"/>
  <c r="Q226" i="1"/>
  <c r="O226" i="1"/>
  <c r="Q225" i="1"/>
  <c r="O225" i="1"/>
  <c r="Q224" i="1"/>
  <c r="O224" i="1"/>
  <c r="Q223" i="1"/>
  <c r="O223" i="1"/>
  <c r="Q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O189" i="1"/>
  <c r="Q188" i="1"/>
  <c r="O188" i="1"/>
  <c r="Q187" i="1"/>
  <c r="O187" i="1"/>
  <c r="Q186" i="1"/>
  <c r="O186" i="1"/>
  <c r="Q185" i="1"/>
  <c r="O185" i="1"/>
  <c r="Q184" i="1"/>
  <c r="O184" i="1"/>
  <c r="Q183" i="1"/>
  <c r="O183" i="1"/>
  <c r="Q182" i="1"/>
  <c r="O182" i="1"/>
  <c r="Q181" i="1"/>
  <c r="O181" i="1"/>
  <c r="Q180" i="1"/>
  <c r="O180" i="1"/>
  <c r="Q179" i="1"/>
  <c r="O179" i="1"/>
  <c r="Q178" i="1"/>
  <c r="O178" i="1"/>
  <c r="Q177" i="1"/>
  <c r="O177" i="1"/>
  <c r="Q176" i="1"/>
  <c r="O176" i="1"/>
  <c r="Q175" i="1"/>
  <c r="O175" i="1"/>
  <c r="Q174" i="1"/>
  <c r="O174" i="1"/>
  <c r="Q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O134" i="1"/>
  <c r="Q133" i="1"/>
  <c r="O133" i="1"/>
  <c r="Q132" i="1"/>
  <c r="O132" i="1"/>
  <c r="Q131" i="1"/>
  <c r="O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O109" i="1"/>
  <c r="Q108" i="1"/>
  <c r="O108" i="1"/>
  <c r="Q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O83" i="1"/>
  <c r="Q82" i="1"/>
  <c r="O82" i="1"/>
  <c r="Q81" i="1"/>
  <c r="O81" i="1"/>
  <c r="Q80" i="1"/>
  <c r="O80" i="1"/>
  <c r="Q79" i="1"/>
  <c r="O79" i="1"/>
  <c r="Q78" i="1"/>
  <c r="O78" i="1"/>
  <c r="Q77" i="1"/>
  <c r="O77" i="1"/>
  <c r="Q76" i="1"/>
  <c r="O76" i="1"/>
  <c r="Q75" i="1"/>
  <c r="O75" i="1"/>
  <c r="Q74" i="1"/>
  <c r="O74" i="1"/>
  <c r="Q73" i="1"/>
  <c r="O73" i="1"/>
  <c r="Q72" i="1"/>
  <c r="O72" i="1"/>
  <c r="Q71" i="1"/>
  <c r="O71" i="1"/>
  <c r="Q70" i="1"/>
  <c r="O70" i="1"/>
  <c r="Q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  <c r="Q5" i="1"/>
  <c r="P5" i="1"/>
  <c r="O5" i="1"/>
  <c r="Q4" i="1"/>
  <c r="P4" i="1"/>
  <c r="O4" i="1"/>
  <c r="Q3" i="1"/>
  <c r="P3" i="1"/>
  <c r="O3" i="1"/>
  <c r="Q2" i="1"/>
  <c r="P2" i="1"/>
  <c r="O2" i="1"/>
  <c r="Q1" i="1"/>
  <c r="P1" i="1"/>
  <c r="O1" i="1"/>
</calcChain>
</file>

<file path=xl/sharedStrings.xml><?xml version="1.0" encoding="utf-8"?>
<sst xmlns="http://schemas.openxmlformats.org/spreadsheetml/2006/main" count="91874" uniqueCount="91533">
  <si>
    <t>9763-20170724T160421.825627000.bin</t>
  </si>
  <si>
    <t>-579.950564260122 153.491168786344 -228.874268178769</t>
  </si>
  <si>
    <t>-616.954350558844 155.603667643923 -344.174294838667</t>
  </si>
  <si>
    <t>-632.241356601801 151.550422199856 -464.342669585827</t>
  </si>
  <si>
    <t>-637.026162149285 145.194899696623 -573.574304819909</t>
  </si>
  <si>
    <t>-632.854289873664 136.152495026671 -682.641565350472</t>
  </si>
  <si>
    <t>-617.759490522758 120.746116726191 -833.422242633252</t>
  </si>
  <si>
    <t>-581.892405128339 92.4283554661579 -924.497130645553</t>
  </si>
  <si>
    <t>-605.799007238783 153.308551764395 -767.471009741857</t>
  </si>
  <si>
    <t>-515.301772389385 267.198921908305 -746.074022142494</t>
  </si>
  <si>
    <t>-488.744643801784 309.196627352592 -433.476622059402</t>
  </si>
  <si>
    <t>-357.88797586545 129.711391949425 -298.185770097581</t>
  </si>
  <si>
    <t>-643.077917016295 101.817394455757 -765.941977563071</t>
  </si>
  <si>
    <t>-526.431720140477 235.712673976357 -243.78188933619</t>
  </si>
  <si>
    <t>-552.30524593479 230.752365722499 211.150630743543</t>
  </si>
  <si>
    <t>-599.001189202847 211.878449563683 678.017535475632</t>
  </si>
  <si>
    <t>-482.218328046063 113.155372301842 764.960206834267</t>
  </si>
  <si>
    <t>-633.307198625932 71.2860256430013 -213.188189244312</t>
  </si>
  <si>
    <t>-508.78749200827 -75.4677878360164 199.868509617509</t>
  </si>
  <si>
    <t>-558.30620977862 26.4913454424754 655.904802467169</t>
  </si>
  <si>
    <t>-540.520573825836 -124.4248694582 744.513439527923</t>
  </si>
  <si>
    <t>9763-20170724T160421.898521100.bin</t>
  </si>
  <si>
    <t>-580.128941938614 153.491036311545 -229.100115097953</t>
  </si>
  <si>
    <t>-616.755868058484 155.464661682764 -344.522754278701</t>
  </si>
  <si>
    <t>-631.350536710344 151.672753442714 -464.785723755333</t>
  </si>
  <si>
    <t>-635.396308159414 145.664078526516 -574.066922632263</t>
  </si>
  <si>
    <t>-630.384332724756 137.047253825896 -683.133363650676</t>
  </si>
  <si>
    <t>-614.028434537551 122.286440559352 -833.847042476293</t>
  </si>
  <si>
    <t>-584.01476153891 92.0968561771424 -926.425368593402</t>
  </si>
  <si>
    <t>-602.401590960105 154.406423787529 -767.619824256995</t>
  </si>
  <si>
    <t>-511.203580049369 267.535757929527 -745.037600823927</t>
  </si>
  <si>
    <t>-488.944838898439 309.563347394613 -432.108806218907</t>
  </si>
  <si>
    <t>-357.981546122019 129.895656401907 -297.163487254254</t>
  </si>
  <si>
    <t>-640.129327686692 103.228746513997 -766.701853623712</t>
  </si>
  <si>
    <t>-527.118547392572 235.993031852287 -243.627280240064</t>
  </si>
  <si>
    <t>-553.477372105066 231.40465756804 211.281350556688</t>
  </si>
  <si>
    <t>-599.482506118606 211.704269355766 678.245649614959</t>
  </si>
  <si>
    <t>-482.078522766163 113.444322021946 764.875892636187</t>
  </si>
  <si>
    <t>-633.016959448401 70.9360989521726 -213.851949228933</t>
  </si>
  <si>
    <t>-508.655273486532 -75.4505224188756 199.382624136712</t>
  </si>
  <si>
    <t>-558.424436064769 26.141146514937 655.604714220814</t>
  </si>
  <si>
    <t>-540.269713979591 -124.461080655501 744.671441690547</t>
  </si>
  <si>
    <t>9763-20170724T160421.927231900.bin</t>
  </si>
  <si>
    <t>-580.164903055633 153.435803120878 -229.11986931544</t>
  </si>
  <si>
    <t>-616.539809343978 155.3507015067 -344.623067552697</t>
  </si>
  <si>
    <t>-630.792526810538 151.679664607677 -464.930870771346</t>
  </si>
  <si>
    <t>-634.501929851666 145.823325808916 -574.232184938921</t>
  </si>
  <si>
    <t>-629.132777405535 137.383936717536 -683.295400492027</t>
  </si>
  <si>
    <t>-612.265311472865 122.879400216862 -833.977618616575</t>
  </si>
  <si>
    <t>-584.916380560851 91.7977066764026 -927.084826214057</t>
  </si>
  <si>
    <t>-600.721044086197 154.781527255985 -767.630767413348</t>
  </si>
  <si>
    <t>-509.039096017902 267.426654707801 -744.517746827427</t>
  </si>
  <si>
    <t>-488.274615543499 309.296669723211 -431.465203948653</t>
  </si>
  <si>
    <t>-358.0120558725 129.309543453163 -296.267797607672</t>
  </si>
  <si>
    <t>-638.736255149803 103.812869202251 -766.980073956584</t>
  </si>
  <si>
    <t>-527.436238349299 236.110502733757 -243.486480496522</t>
  </si>
  <si>
    <t>-554.125040532142 231.762890173676 211.405199491692</t>
  </si>
  <si>
    <t>-599.830546688948 211.568859600602 678.423312154497</t>
  </si>
  <si>
    <t>-481.960052954246 113.656242734083 764.813006935174</t>
  </si>
  <si>
    <t>-632.777144022383 70.7501629264721 -214.081091922828</t>
  </si>
  <si>
    <t>-508.403129166655 -75.2925535851266 199.271418116787</t>
  </si>
  <si>
    <t>-558.485139913773 25.9801919349002 655.487315831683</t>
  </si>
  <si>
    <t>-540.060503369969 -124.456663218317 744.777724536781</t>
  </si>
  <si>
    <t>9763-20170724T160421.991901200.bin</t>
  </si>
  <si>
    <t>-580.058440323262 153.186945173809 -228.969186288737</t>
  </si>
  <si>
    <t>-616.160305487599 155.080181983844 -344.558492764071</t>
  </si>
  <si>
    <t>-629.961971696805 151.47622071771 -464.920837368135</t>
  </si>
  <si>
    <t>-633.206426239771 145.666350860527 -574.239532398051</t>
  </si>
  <si>
    <t>-627.326459911564 137.229956289072 -683.276562758775</t>
  </si>
  <si>
    <t>-609.713413554922 122.65771652871 -833.866864062112</t>
  </si>
  <si>
    <t>-585.94831852608 89.9623695000844 -927.404228590974</t>
  </si>
  <si>
    <t>-598.206888147449 154.370813612913 -767.423054458949</t>
  </si>
  <si>
    <t>-504.995798335219 265.62631310613 -743.734764109846</t>
  </si>
  <si>
    <t>-485.531086451883 307.534580737048 -430.603771563407</t>
  </si>
  <si>
    <t>-357.737379119486 126.409308249308 -294.57266571612</t>
  </si>
  <si>
    <t>-636.806395690258 103.840145219022 -767.047807353772</t>
  </si>
  <si>
    <t>-527.660735385238 236.139645763924 -243.065458783395</t>
  </si>
  <si>
    <t>-554.725038668656 232.052058620638 211.806481038437</t>
  </si>
  <si>
    <t>-600.289545980954 211.748956295259 678.919547555135</t>
  </si>
  <si>
    <t>-482.069313619919 113.692357757489 764.665636437251</t>
  </si>
  <si>
    <t>-632.38337293938 70.1572032443314 -214.252040334801</t>
  </si>
  <si>
    <t>-507.877937077044 -75.2870289199384 199.27193090437</t>
  </si>
  <si>
    <t>-558.550408499901 25.597446127776 655.387770565409</t>
  </si>
  <si>
    <t>-539.727592788299 -124.497491012715 745.169293615011</t>
  </si>
  <si>
    <t>9763-20170724T160422.031006100.bin</t>
  </si>
  <si>
    <t>-579.870004063738 152.931381841156 -228.770620927198</t>
  </si>
  <si>
    <t>-615.944402946646 154.859514741481 -344.367848090981</t>
  </si>
  <si>
    <t>-629.808514698425 151.267340034687 -464.723411182566</t>
  </si>
  <si>
    <t>-633.151669655126 145.441440844829 -574.038266064012</t>
  </si>
  <si>
    <t>-627.415738873999 136.952150037324 -683.078868825766</t>
  </si>
  <si>
    <t>-610.052724727054 122.258824458942 -833.686434346678</t>
  </si>
  <si>
    <t>-587.39681170627 88.8079769226313 -927.231842611675</t>
  </si>
  <si>
    <t>-598.295915351007 153.917995847337 -767.260683601364</t>
  </si>
  <si>
    <t>-504.165406525074 264.455878415592 -743.737650788174</t>
  </si>
  <si>
    <t>-484.521692256568 306.33802769811 -430.614230320791</t>
  </si>
  <si>
    <t>-358.625161582929 124.394672563805 -293.907703668044</t>
  </si>
  <si>
    <t>-637.174664045297 103.602413179591 -766.83401227027</t>
  </si>
  <si>
    <t>-527.666289705072 235.857577105839 -242.764838549117</t>
  </si>
  <si>
    <t>-554.786570132368 231.767863110897 212.103672112437</t>
  </si>
  <si>
    <t>-600.793857617884 211.576090037005 679.229523218528</t>
  </si>
  <si>
    <t>-482.116230741639 113.723402347538 764.575772687741</t>
  </si>
  <si>
    <t>-632.029757461544 69.9262166059734 -214.135721215597</t>
  </si>
  <si>
    <t>-507.730765864723 -75.4824091264188 199.462832643623</t>
  </si>
  <si>
    <t>-558.485724390367 25.5689595977317 655.511242904867</t>
  </si>
  <si>
    <t>-539.69375096378 -124.464770157211 745.401331228654</t>
  </si>
  <si>
    <t>9763-20170724T160422.093191300.bin</t>
  </si>
  <si>
    <t>-578.965230470735 152.468296734262 -228.309842716726</t>
  </si>
  <si>
    <t>-615.136217395905 154.545452100759 -343.874282818576</t>
  </si>
  <si>
    <t>-629.488759473793 150.905723980212 -464.171053915423</t>
  </si>
  <si>
    <t>-633.440303793821 144.941228486126 -573.458090012862</t>
  </si>
  <si>
    <t>-628.481561273073 136.208602130814 -682.517766887752</t>
  </si>
  <si>
    <t>-612.37509454363 121.059318749178 -833.219722148884</t>
  </si>
  <si>
    <t>-591.134273516996 86.6207028131103 -926.738731913682</t>
  </si>
  <si>
    <t>-599.844468457428 152.747976279016 -766.949653972599</t>
  </si>
  <si>
    <t>-504.247623154332 262.166221093077 -744.392298135878</t>
  </si>
  <si>
    <t>-481.604758242742 304.749364063889 -431.566240372398</t>
  </si>
  <si>
    <t>-359.202996760048 121.338343513326 -293.65235489708</t>
  </si>
  <si>
    <t>-639.158909231689 102.776885605828 -766.128120929104</t>
  </si>
  <si>
    <t>-526.849082441905 235.277213265052 -242.209617271757</t>
  </si>
  <si>
    <t>-554.244419921733 231.017552527593 212.640947329141</t>
  </si>
  <si>
    <t>-601.355461888548 211.533238335432 679.675803599168</t>
  </si>
  <si>
    <t>-482.269936788556 113.66072505274 764.429090023174</t>
  </si>
  <si>
    <t>-631.006323297768 69.623433963895 -213.702795984146</t>
  </si>
  <si>
    <t>-507.53708208227 -75.9480130967695 200.087011929274</t>
  </si>
  <si>
    <t>-558.277793211766 25.6631045945066 655.9882959978</t>
  </si>
  <si>
    <t>-539.72882189841 -124.410414420642 745.862623988358</t>
  </si>
  <si>
    <t>9763-20170724T160422.129287300.bin</t>
  </si>
  <si>
    <t>-578.407889294298 152.338808883707 -228.048744193402</t>
  </si>
  <si>
    <t>-614.612374898689 154.467650823918 -343.601851613299</t>
  </si>
  <si>
    <t>-629.246858756277 150.776296115473 -463.863074414842</t>
  </si>
  <si>
    <t>-633.557734379052 144.719973627276 -573.131403089319</t>
  </si>
  <si>
    <t>-629.062663773158 135.848924508415 -682.199967123229</t>
  </si>
  <si>
    <t>-613.708478120394 120.456869125244 -832.955846935824</t>
  </si>
  <si>
    <t>-592.965144850355 85.7293517189025 -926.479621820062</t>
  </si>
  <si>
    <t>-600.74918887217 152.174923846025 -766.78235889042</t>
  </si>
  <si>
    <t>-504.533077442 261.154224562521 -744.791361701856</t>
  </si>
  <si>
    <t>-479.994830293715 304.73463324416 -432.245748268768</t>
  </si>
  <si>
    <t>-358.913363201657 120.666557156661 -294.04206476061</t>
  </si>
  <si>
    <t>-640.255255568576 102.359848885136 -765.719807571191</t>
  </si>
  <si>
    <t>-526.206309048453 235.014075623187 -241.990210503691</t>
  </si>
  <si>
    <t>-553.746388339583 230.648757792785 212.850580242439</t>
  </si>
  <si>
    <t>-601.536366520407 211.516726512639 679.823738819866</t>
  </si>
  <si>
    <t>-482.273458908865 113.694611479734 764.385578537864</t>
  </si>
  <si>
    <t>-630.469931564777 69.6374783134393 -213.425225840464</t>
  </si>
  <si>
    <t>-507.479827439493 -76.1665465500773 200.425366931663</t>
  </si>
  <si>
    <t>-558.201465112485 25.6762429762296 656.17577332208</t>
  </si>
  <si>
    <t>-539.786938693115 -124.372283201606 746.119418486406</t>
  </si>
  <si>
    <t>9763-20170724T160422.161873400.bin</t>
  </si>
  <si>
    <t>-577.831214108647 152.284614495962 -227.828096577667</t>
  </si>
  <si>
    <t>-614.059028791471 154.430817715909 -343.373481779343</t>
  </si>
  <si>
    <t>-628.966208957779 150.706001819007 -463.600289346204</t>
  </si>
  <si>
    <t>-633.627231741506 144.597707044238 -572.851326636893</t>
  </si>
  <si>
    <t>-629.585405475581 135.652133665554 -681.931557366693</t>
  </si>
  <si>
    <t>-614.967350761844 120.131495565196 -832.747401654436</t>
  </si>
  <si>
    <t>-594.62374279152 85.2279583097845 -926.293476257859</t>
  </si>
  <si>
    <t>-601.598009180976 151.836880550052 -766.649389680642</t>
  </si>
  <si>
    <t>-504.811864646644 260.423236715831 -745.190553948096</t>
  </si>
  <si>
    <t>-478.620884119819 304.896533721223 -432.904950061332</t>
  </si>
  <si>
    <t>-358.518225789035 120.404029128238 -294.413318444181</t>
  </si>
  <si>
    <t>-641.272819685903 102.160853917467 -765.382859779853</t>
  </si>
  <si>
    <t>-525.539294911005 234.874091356511 -241.825056940947</t>
  </si>
  <si>
    <t>-553.249791206341 230.341500510357 213.003718401864</t>
  </si>
  <si>
    <t>-601.656619359536 211.508420119952 679.923765559013</t>
  </si>
  <si>
    <t>-482.352429934614 113.631085180273 764.363373577791</t>
  </si>
  <si>
    <t>-629.98419054753 69.6934369207015 -213.185029576318</t>
  </si>
  <si>
    <t>-507.42039143297 -76.37688552807 200.698139837122</t>
  </si>
  <si>
    <t>-558.187534661167 25.592480247301 656.359946405267</t>
  </si>
  <si>
    <t>-539.876427217749 -124.394869157004 746.426674990455</t>
  </si>
  <si>
    <t>9763-20170724T160422.223537400.bin</t>
  </si>
  <si>
    <t>-576.756453790753 152.322055996834 -227.513156394511</t>
  </si>
  <si>
    <t>-613.121205791081 154.486938074508 -343.015175778741</t>
  </si>
  <si>
    <t>-628.498919012964 150.718505871229 -463.181224853838</t>
  </si>
  <si>
    <t>-633.724452167446 144.539470632887 -572.40299022801</t>
  </si>
  <si>
    <t>-630.385765782225 135.488563758212 -681.498110403214</t>
  </si>
  <si>
    <t>-616.88780671396 119.781983454525 -832.399177636087</t>
  </si>
  <si>
    <t>-597.136237389876 84.5687197389468 -925.956101806437</t>
  </si>
  <si>
    <t>-602.871584725915 151.44385410164 -766.414465036477</t>
  </si>
  <si>
    <t>-505.093576206499 259.293515893486 -745.660183079946</t>
  </si>
  <si>
    <t>-476.530295733128 305.041631129176 -433.766800857689</t>
  </si>
  <si>
    <t>-357.512510622905 120.346070381248 -294.610890658139</t>
  </si>
  <si>
    <t>-642.848823332952 102.01954051278 -764.846001296886</t>
  </si>
  <si>
    <t>-524.359653099177 234.722550076709 -241.6006817786</t>
  </si>
  <si>
    <t>-552.406730881675 229.952694067659 213.20502148635</t>
  </si>
  <si>
    <t>-601.889312655519 211.381196544221 680.029608646321</t>
  </si>
  <si>
    <t>-482.303426214129 113.745809153302 764.350771826519</t>
  </si>
  <si>
    <t>-628.990585338382 69.9595234924707 -212.712289320266</t>
  </si>
  <si>
    <t>-507.085225220331 -76.6458251322281 201.176159100979</t>
  </si>
  <si>
    <t>-558.040319212863 25.5990812742471 656.841410924194</t>
  </si>
  <si>
    <t>-539.912980133674 -124.358204058021 746.995207189373</t>
  </si>
  <si>
    <t>9763-20170724T160422.296738600.bin</t>
  </si>
  <si>
    <t>-575.878586562509 152.570106988178 -227.164344076272</t>
  </si>
  <si>
    <t>-612.233838467308 154.710936258373 -342.6699569418</t>
  </si>
  <si>
    <t>-627.888370086895 150.874777871727 -462.798166638912</t>
  </si>
  <si>
    <t>-633.485886464866 144.609174751907 -571.996390184313</t>
  </si>
  <si>
    <t>-630.642175065801 135.441778199281 -681.096051530717</t>
  </si>
  <si>
    <t>-617.960549926263 119.53740599865 -832.047093046568</t>
  </si>
  <si>
    <t>-598.672127082396 84.0668617373785 -925.603301191507</t>
  </si>
  <si>
    <t>-603.467123624275 151.188364943968 -766.16016142164</t>
  </si>
  <si>
    <t>-504.912128632782 258.435832630613 -745.917438445942</t>
  </si>
  <si>
    <t>-475.433450840854 304.668083489778 -434.180756684422</t>
  </si>
  <si>
    <t>-356.73068956362 120.271181140691 -294.361351423444</t>
  </si>
  <si>
    <t>-643.676355928882 101.960914787358 -764.351610031894</t>
  </si>
  <si>
    <t>-523.463226457841 234.942017214892 -241.418536368713</t>
  </si>
  <si>
    <t>-551.811124455127 230.102481449592 213.367856597729</t>
  </si>
  <si>
    <t>-601.813016435437 211.442348364997 680.019287304223</t>
  </si>
  <si>
    <t>-482.246535510588 113.849246859742 764.416892855146</t>
  </si>
  <si>
    <t>-628.113157676831 70.3215816978056 -212.278091103911</t>
  </si>
  <si>
    <t>-506.379315317896 -76.4567452027907 201.599497104376</t>
  </si>
  <si>
    <t>-557.833737739444 25.7590518012983 657.289818197085</t>
  </si>
  <si>
    <t>-539.846404216715 -124.295556699123 747.30970978384</t>
  </si>
  <si>
    <t>9763-20170724T160422.331835000.bin</t>
  </si>
  <si>
    <t>-575.493016922936 152.717307791399 -227.107307458617</t>
  </si>
  <si>
    <t>-611.884478580719 154.855412841078 -342.60150861578</t>
  </si>
  <si>
    <t>-627.656812503551 150.999146342782 -462.713626096122</t>
  </si>
  <si>
    <t>-633.395190860433 144.705253203533 -571.902938061758</t>
  </si>
  <si>
    <t>-630.727583481783 135.49693457887 -681.003510855624</t>
  </si>
  <si>
    <t>-618.327564465712 119.520702056583 -831.970448847301</t>
  </si>
  <si>
    <t>-599.175833811398 83.9566809012508 -925.519354288803</t>
  </si>
  <si>
    <t>-603.668745913903 151.168334085229 -766.118660879456</t>
  </si>
  <si>
    <t>-504.827590203749 258.186634493401 -746.064347415075</t>
  </si>
  <si>
    <t>-475.282631277777 304.701309776635 -434.375974254784</t>
  </si>
  <si>
    <t>-356.601539073884 120.429972674171 -294.372673061134</t>
  </si>
  <si>
    <t>-643.95969419171 102.010971455976 -764.226004115308</t>
  </si>
  <si>
    <t>-523.095598525035 235.052291292807 -241.421184121152</t>
  </si>
  <si>
    <t>-551.496756655247 230.091747245219 213.360554925661</t>
  </si>
  <si>
    <t>-601.762962841499 211.384772142975 679.939342845138</t>
  </si>
  <si>
    <t>-482.433515685915 113.625996227765 764.480556212984</t>
  </si>
  <si>
    <t>-627.744891712397 70.4685194812789 -212.16008593955</t>
  </si>
  <si>
    <t>-505.960083069831 -76.33684115046 201.692861460383</t>
  </si>
  <si>
    <t>-557.758004722756 25.8025493876951 657.389857102306</t>
  </si>
  <si>
    <t>-539.772797461635 -124.279455559098 747.364513496235</t>
  </si>
  <si>
    <t>9763-20170724T160422.398756100.bin</t>
  </si>
  <si>
    <t>-575.018539654022 152.618532313439 -227.089769532373</t>
  </si>
  <si>
    <t>-611.34707873502 154.702785684723 -342.604709160384</t>
  </si>
  <si>
    <t>-627.199498646281 150.77179736632 -462.703895794503</t>
  </si>
  <si>
    <t>-633.069800774001 144.404850019162 -571.882049537016</t>
  </si>
  <si>
    <t>-630.593127316909 135.119760302042 -680.980552076098</t>
  </si>
  <si>
    <t>-618.51901580033 119.034082351801 -831.962142819942</t>
  </si>
  <si>
    <t>-599.32060281729 83.4139140141103 -925.480274766758</t>
  </si>
  <si>
    <t>-603.70387736216 150.7178349446 -766.162883317122</t>
  </si>
  <si>
    <t>-504.771355150773 257.679850081964 -746.325305035699</t>
  </si>
  <si>
    <t>-474.768520055046 304.771985707152 -434.767339016074</t>
  </si>
  <si>
    <t>-356.103116157948 120.788527444072 -294.372695538162</t>
  </si>
  <si>
    <t>-644.019108967087 101.58502251792 -764.152194720724</t>
  </si>
  <si>
    <t>-522.579272346036 234.732991621917 -241.404917716753</t>
  </si>
  <si>
    <t>-551.107240341981 229.797123358564 213.369164961811</t>
  </si>
  <si>
    <t>-601.840064146048 211.290941437024 679.974979768609</t>
  </si>
  <si>
    <t>-482.230149374765 113.929212083723 764.578003090684</t>
  </si>
  <si>
    <t>-627.320005552302 70.5015335454796 -212.141161193279</t>
  </si>
  <si>
    <t>-505.685281462247 -75.9646928036989 201.876078614077</t>
  </si>
  <si>
    <t>-557.650763942695 25.9367304224872 657.635222281317</t>
  </si>
  <si>
    <t>-539.526277418569 -124.229996752524 747.440253251026</t>
  </si>
  <si>
    <t>9763-20170724T160422.432852500.bin</t>
  </si>
  <si>
    <t>-574.805689454368 152.462396148193 -227.135853370406</t>
  </si>
  <si>
    <t>-611.060899682857 154.54431816954 -342.673885902164</t>
  </si>
  <si>
    <t>-626.896869769792 150.611252368233 -462.775184973044</t>
  </si>
  <si>
    <t>-632.775670449024 144.245543201745 -571.952827619506</t>
  </si>
  <si>
    <t>-630.330538681519 134.96635838498 -681.052693607438</t>
  </si>
  <si>
    <t>-618.323362738206 118.895324315181 -832.041222170475</t>
  </si>
  <si>
    <t>-598.979180497794 83.3400829718091 -925.553814551726</t>
  </si>
  <si>
    <t>-603.500801274829 150.590648213383 -766.248980129071</t>
  </si>
  <si>
    <t>-504.623377698317 257.618312110531 -746.467404710103</t>
  </si>
  <si>
    <t>-474.544114068645 304.91865651721 -434.948470505273</t>
  </si>
  <si>
    <t>-355.711220258114 121.16006737916 -294.40107979506</t>
  </si>
  <si>
    <t>-643.771361022973 101.422073602254 -764.217964284918</t>
  </si>
  <si>
    <t>-522.434595066935 234.568229873058 -241.370762727935</t>
  </si>
  <si>
    <t>-551.111399168237 229.615630205673 213.393656458676</t>
  </si>
  <si>
    <t>-601.984500061529 211.204669051045 680.037541972348</t>
  </si>
  <si>
    <t>-482.115556538247 114.108986981658 764.579709267496</t>
  </si>
  <si>
    <t>-627.092541083126 70.4300825286375 -212.215175631892</t>
  </si>
  <si>
    <t>-505.805904376046 -75.8421524181954 201.972786572225</t>
  </si>
  <si>
    <t>-557.633690598248 25.9935470737107 657.802910124696</t>
  </si>
  <si>
    <t>-539.408469261447 -124.21436224287 747.518994801829</t>
  </si>
  <si>
    <t>9763-20170724T160422.492001600.bin</t>
  </si>
  <si>
    <t>-575.043063991049 151.791769637007 -227.304966761179</t>
  </si>
  <si>
    <t>-611.087859239779 153.932097639964 -342.907736503528</t>
  </si>
  <si>
    <t>-626.748418118644 149.988005218442 -463.031634511445</t>
  </si>
  <si>
    <t>-632.486022608091 143.584900388896 -572.214641984865</t>
  </si>
  <si>
    <t>-629.918694085322 134.241310786626 -681.306087081943</t>
  </si>
  <si>
    <t>-617.76310419624 118.052654801944 -832.270294693027</t>
  </si>
  <si>
    <t>-598.107743078991 82.5544639933667 -925.739682918789</t>
  </si>
  <si>
    <t>-603.077915674279 149.85791452282 -766.500372508306</t>
  </si>
  <si>
    <t>-504.649974808789 257.29874651807 -746.671513618895</t>
  </si>
  <si>
    <t>-474.979786233248 304.741266796021 -435.134913999504</t>
  </si>
  <si>
    <t>-355.353731142567 121.499110873797 -294.585937446974</t>
  </si>
  <si>
    <t>-643.205203475173 100.573396251558 -764.446363181835</t>
  </si>
  <si>
    <t>-522.735468215886 233.782470195123 -241.279732405342</t>
  </si>
  <si>
    <t>-551.42115727491 229.257994662766 213.488657712937</t>
  </si>
  <si>
    <t>-602.306593052858 211.035452906931 680.152406011549</t>
  </si>
  <si>
    <t>-481.736505179092 114.667821943414 764.530392091131</t>
  </si>
  <si>
    <t>-627.266155804752 69.8759070741369 -212.594990666335</t>
  </si>
  <si>
    <t>-506.849042194585 -75.3848591793071 202.202237572932</t>
  </si>
  <si>
    <t>-557.800123387893 26.1259885392089 658.332475121684</t>
  </si>
  <si>
    <t>-538.670757757611 -124.207016301507 747.649727702755</t>
  </si>
  <si>
    <t>9763-20170724T160422.529608900.bin</t>
  </si>
  <si>
    <t>-575.244917214575 151.602888686076 -227.396301225507</t>
  </si>
  <si>
    <t>-611.113178124751 153.824024017938 -343.052297048026</t>
  </si>
  <si>
    <t>-626.612442048228 149.918614576736 -463.19841462671</t>
  </si>
  <si>
    <t>-632.212288022455 143.534642141212 -572.389757317023</t>
  </si>
  <si>
    <t>-629.516522306021 134.194686489345 -681.478448171206</t>
  </si>
  <si>
    <t>-617.193004165885 117.995460132184 -832.427861311959</t>
  </si>
  <si>
    <t>-597.383912063103 82.5247450489453 -925.875190355912</t>
  </si>
  <si>
    <t>-602.639171743082 149.852285414355 -766.653630599391</t>
  </si>
  <si>
    <t>-504.541838323826 257.573748486646 -746.72855660201</t>
  </si>
  <si>
    <t>-475.304386492007 305.009164729581 -435.149904989225</t>
  </si>
  <si>
    <t>-355.139952421325 122.036526099961 -294.709403432479</t>
  </si>
  <si>
    <t>-642.652291408325 100.474064025099 -764.621360800794</t>
  </si>
  <si>
    <t>-523.053865747849 233.528468233996 -241.292951347888</t>
  </si>
  <si>
    <t>-551.738058077538 228.991756254677 213.475440827306</t>
  </si>
  <si>
    <t>-602.352233256391 210.936071165796 680.061110344318</t>
  </si>
  <si>
    <t>-481.52779408934 114.964148623997 764.526220073548</t>
  </si>
  <si>
    <t>-627.274909061942 69.8377204267883 -212.823025530275</t>
  </si>
  <si>
    <t>-507.431418917597 -75.0595008134092 202.267304623137</t>
  </si>
  <si>
    <t>-557.765780423923 26.3156381084339 658.621743373151</t>
  </si>
  <si>
    <t>-538.312249459857 -124.185417790307 747.585250271646</t>
  </si>
  <si>
    <t>9763-20170724T160422.593915400.bin</t>
  </si>
  <si>
    <t>-574.998818948625 151.215362872387 -227.628928343592</t>
  </si>
  <si>
    <t>-610.713033856422 153.555144216149 -343.330346398475</t>
  </si>
  <si>
    <t>-625.937230000791 149.768376330275 -463.515485140745</t>
  </si>
  <si>
    <t>-631.238729049511 143.494414017736 -572.728124539575</t>
  </si>
  <si>
    <t>-628.195594705413 134.268561916362 -681.817321457246</t>
  </si>
  <si>
    <t>-615.338521693729 118.234387677703 -832.739924244665</t>
  </si>
  <si>
    <t>-595.122354887542 82.8479055833561 -926.132057822851</t>
  </si>
  <si>
    <t>-601.14350214448 150.1201750507 -766.901324851118</t>
  </si>
  <si>
    <t>-503.878005951928 258.510878705199 -746.562034749992</t>
  </si>
  <si>
    <t>-475.962724871384 305.986127613753 -434.868267994318</t>
  </si>
  <si>
    <t>-354.485625282189 123.572470734191 -294.830487077567</t>
  </si>
  <si>
    <t>-640.911184414309 100.537926246948 -765.021344954595</t>
  </si>
  <si>
    <t>-523.202135407119 233.025674038379 -241.394378390589</t>
  </si>
  <si>
    <t>-551.605776016007 228.316191967703 213.389871104574</t>
  </si>
  <si>
    <t>-602.339388827111 210.82837651551 679.995785501811</t>
  </si>
  <si>
    <t>-481.394700155916 115.167846581294 764.641845776579</t>
  </si>
  <si>
    <t>-626.511597671765 69.4379039766741 -213.143557300582</t>
  </si>
  <si>
    <t>-507.437522330693 -74.6510636493258 202.449310368231</t>
  </si>
  <si>
    <t>-557.489475855936 26.8791182168573 658.901800267645</t>
  </si>
  <si>
    <t>-538.390349458324 -124.141231683781 747.058459450099</t>
  </si>
  <si>
    <t>9763-20170724T160422.627101600.bin</t>
  </si>
  <si>
    <t>-574.670715232215 151.051790117865 -227.56156396904</t>
  </si>
  <si>
    <t>-610.371740889431 153.425742185746 -343.266415242071</t>
  </si>
  <si>
    <t>-625.460030612092 149.707152539239 -463.470796294499</t>
  </si>
  <si>
    <t>-630.585417836836 143.51427709822 -572.696456232754</t>
  </si>
  <si>
    <t>-627.312043231787 134.39174027638 -681.787667788598</t>
  </si>
  <si>
    <t>-614.077795206744 118.527349934938 -832.695461160556</t>
  </si>
  <si>
    <t>-593.58744244882 83.2393422742678 -926.065124366853</t>
  </si>
  <si>
    <t>-600.120279632686 150.396778833301 -766.79831353013</t>
  </si>
  <si>
    <t>-503.284727952347 259.114310339637 -746.194176445602</t>
  </si>
  <si>
    <t>-476.10726688726 306.708388269123 -434.453215257731</t>
  </si>
  <si>
    <t>-353.964660599806 124.551489783403 -294.660240035448</t>
  </si>
  <si>
    <t>-639.746886418801 100.696818280885 -765.048679774095</t>
  </si>
  <si>
    <t>-522.987419941546 232.898649064932 -241.304944991255</t>
  </si>
  <si>
    <t>-551.551977279864 228.285415461856 213.470237398803</t>
  </si>
  <si>
    <t>-602.351467034205 210.880323564851 680.060756865284</t>
  </si>
  <si>
    <t>-481.577029275993 115.003079220558 764.70471881412</t>
  </si>
  <si>
    <t>-626.173294787026 69.2172900701867 -213.060556161397</t>
  </si>
  <si>
    <t>-507.045175283667 -74.6784436861271 202.583741855868</t>
  </si>
  <si>
    <t>-557.362192282779 27.1031665526475 658.93225638666</t>
  </si>
  <si>
    <t>-538.494376002875 -124.145707989312 746.746338648916</t>
  </si>
  <si>
    <t>9763-20170724T160422.693266700.bin</t>
  </si>
  <si>
    <t>-574.257378063857 150.820863267784 -227.187392717651</t>
  </si>
  <si>
    <t>-609.891802153337 152.995348417555 -342.916764913723</t>
  </si>
  <si>
    <t>-624.695685655155 149.305759839661 -463.157205485569</t>
  </si>
  <si>
    <t>-629.468540444857 143.243580190685 -572.406193947689</t>
  </si>
  <si>
    <t>-625.743421702811 134.363232085903 -681.50297501129</t>
  </si>
  <si>
    <t>-611.775235886318 118.957412105452 -832.392138456861</t>
  </si>
  <si>
    <t>-590.702241869116 83.9477737718883 -925.736907028595</t>
  </si>
  <si>
    <t>-598.267891576099 150.728176205313 -766.35369349306</t>
  </si>
  <si>
    <t>-502.143740362681 259.945110066293 -745.004535959463</t>
  </si>
  <si>
    <t>-476.324477637976 308.086735127283 -433.232292955208</t>
  </si>
  <si>
    <t>-352.854634937888 126.38614811121 -294.012438723289</t>
  </si>
  <si>
    <t>-637.64363577201 100.819750732194 -764.903048270261</t>
  </si>
  <si>
    <t>-522.740547775735 232.693073198749 -241.068772231794</t>
  </si>
  <si>
    <t>-552.057703263098 228.916746439354 213.666153673122</t>
  </si>
  <si>
    <t>-602.485049125732 210.862527321697 680.215538556241</t>
  </si>
  <si>
    <t>-481.541292810836 115.128834673359 764.78018155858</t>
  </si>
  <si>
    <t>-625.662947023524 68.9471286217558 -212.580258937836</t>
  </si>
  <si>
    <t>-506.066603308982 -75.4399670544556 202.75910774242</t>
  </si>
  <si>
    <t>-557.008320176072 27.4456237592904 658.751725762644</t>
  </si>
  <si>
    <t>-538.724317832628 -124.147572204802 746.094293185058</t>
  </si>
  <si>
    <t>9763-20170724T160422.725353200.bin</t>
  </si>
  <si>
    <t>-574.035282798218 150.688304884925 -227.044566756476</t>
  </si>
  <si>
    <t>-609.592648197198 152.680571927619 -342.800773619395</t>
  </si>
  <si>
    <t>-624.239163807066 148.975170643802 -463.060133463366</t>
  </si>
  <si>
    <t>-628.834576135356 142.970007033298 -572.319768621159</t>
  </si>
  <si>
    <t>-624.89559140076 134.219656181702 -681.419620980522</t>
  </si>
  <si>
    <t>-610.590794363303 119.072259325154 -832.303396352541</t>
  </si>
  <si>
    <t>-589.223335874002 84.214495079234 -925.638092136021</t>
  </si>
  <si>
    <t>-597.293009471764 150.778483048454 -766.191419457175</t>
  </si>
  <si>
    <t>-501.502913465598 260.200646923322 -744.433256767656</t>
  </si>
  <si>
    <t>-476.477515925206 308.445608322091 -432.612215850468</t>
  </si>
  <si>
    <t>-352.300205821618 127.037388672175 -293.640480266908</t>
  </si>
  <si>
    <t>-636.547429728733 100.770557540829 -764.892745222505</t>
  </si>
  <si>
    <t>-522.590347283736 232.58734542327 -240.984813119339</t>
  </si>
  <si>
    <t>-552.308254986851 229.400292906063 213.728654327125</t>
  </si>
  <si>
    <t>-602.475875835911 210.974588265335 680.295664824172</t>
  </si>
  <si>
    <t>-481.594534252586 115.114717287614 764.806592770626</t>
  </si>
  <si>
    <t>-625.349934902533 68.760204611247 -212.372938282724</t>
  </si>
  <si>
    <t>-505.439237520484 -75.9250014581796 202.77193575391</t>
  </si>
  <si>
    <t>-556.840650684391 27.5433088370778 658.566281404686</t>
  </si>
  <si>
    <t>-538.853640069083 -124.152333824264 745.792398647367</t>
  </si>
  <si>
    <t>9763-20170724T160422.795562800.bin</t>
  </si>
  <si>
    <t>-573.932822340455 150.103818766959 -227.021660267344</t>
  </si>
  <si>
    <t>-609.437146668724 151.921608829516 -342.79708721387</t>
  </si>
  <si>
    <t>-623.754102083802 148.280566491875 -463.098246424116</t>
  </si>
  <si>
    <t>-627.934278534021 142.434003104188 -572.383104878938</t>
  </si>
  <si>
    <t>-623.461678472244 133.944021600221 -681.482912133068</t>
  </si>
  <si>
    <t>-608.291769611608 119.265876577955 -832.328587832199</t>
  </si>
  <si>
    <t>-586.264069216878 84.6546681595801 -925.601348112625</t>
  </si>
  <si>
    <t>-595.533682503149 150.890669663276 -766.071262056104</t>
  </si>
  <si>
    <t>-500.221959853142 260.535561386118 -743.38008643091</t>
  </si>
  <si>
    <t>-476.44619564163 309.267745068185 -431.536926710202</t>
  </si>
  <si>
    <t>-351.362690062074 128.016962999359 -293.17397323912</t>
  </si>
  <si>
    <t>-634.474194889058 100.630434677217 -765.096778658979</t>
  </si>
  <si>
    <t>-522.856101254929 232.251389901083 -240.951808594235</t>
  </si>
  <si>
    <t>-552.867771238359 229.551596919058 213.745550086883</t>
  </si>
  <si>
    <t>-602.580722887187 211.048296624622 680.419381853435</t>
  </si>
  <si>
    <t>-481.684085296926 115.101173457143 764.809338544713</t>
  </si>
  <si>
    <t>-624.920702434091 67.9534829490819 -212.426523286384</t>
  </si>
  <si>
    <t>-504.528839733309 -76.582018601031 202.631233201597</t>
  </si>
  <si>
    <t>-556.764951842126 27.4468087401524 658.079848520992</t>
  </si>
  <si>
    <t>-538.90242640333 -124.203895283247 745.409582718746</t>
  </si>
  <si>
    <t>9763-20170724T160422.829656300.bin</t>
  </si>
  <si>
    <t>-573.978232488688 149.729796900245 -227.189449498512</t>
  </si>
  <si>
    <t>-609.500555264903 151.52564294589 -342.959802035705</t>
  </si>
  <si>
    <t>-623.678623936722 147.911401338356 -463.277953586897</t>
  </si>
  <si>
    <t>-627.667604837345 142.109303015403 -572.572411095834</t>
  </si>
  <si>
    <t>-622.938304202706 133.684227841041 -681.666400335645</t>
  </si>
  <si>
    <t>-607.344131817834 119.118030716103 -832.479783836204</t>
  </si>
  <si>
    <t>-585.022657956616 84.5873178088787 -925.712603007848</t>
  </si>
  <si>
    <t>-594.836101975519 150.742425179835 -766.174734918496</t>
  </si>
  <si>
    <t>-499.699406855059 260.526148563557 -743.22119762197</t>
  </si>
  <si>
    <t>-478.449567907483 308.667884111352 -431.10430804763</t>
  </si>
  <si>
    <t>-352.179497153496 127.616523262077 -293.560358065846</t>
  </si>
  <si>
    <t>-633.652017843345 100.38383607733 -765.324385350516</t>
  </si>
  <si>
    <t>-523.087465498309 231.97652356854 -241.025167766711</t>
  </si>
  <si>
    <t>-553.100312349964 229.266558296878 213.671991640496</t>
  </si>
  <si>
    <t>-602.745278673953 210.909332090419 680.41794796478</t>
  </si>
  <si>
    <t>-481.630224726286 115.199589471187 764.764258827331</t>
  </si>
  <si>
    <t>-624.822109411009 67.4651061572456 -212.69362562006</t>
  </si>
  <si>
    <t>-504.355320072879 -76.8266387294918 202.427221357302</t>
  </si>
  <si>
    <t>-556.850261421973 27.1543427798838 657.736323460244</t>
  </si>
  <si>
    <t>-538.847362752117 -124.279497969009 745.413013176797</t>
  </si>
  <si>
    <t>9763-20170724T160422.893818200.bin</t>
  </si>
  <si>
    <t>-574.178256221818 148.927936126166 -227.335465869986</t>
  </si>
  <si>
    <t>-609.559347956916 150.571812197688 -343.151089755278</t>
  </si>
  <si>
    <t>-623.451660913943 146.948817008911 -463.502471407714</t>
  </si>
  <si>
    <t>-627.120551749858 141.205974736545 -572.811270764043</t>
  </si>
  <si>
    <t>-622.007969441245 132.912534494738 -681.898040988671</t>
  </si>
  <si>
    <t>-605.814381591896 118.609169931859 -832.673296772779</t>
  </si>
  <si>
    <t>-583.06453526657 84.3022671694441 -925.885250807763</t>
  </si>
  <si>
    <t>-593.721151301102 150.233249941314 -766.291189300708</t>
  </si>
  <si>
    <t>-499.589666021093 260.770849354499 -742.879979455232</t>
  </si>
  <si>
    <t>-485.162925470148 304.734069272746 -429.758001621481</t>
  </si>
  <si>
    <t>-351.108163099673 128.226963683675 -293.682216409966</t>
  </si>
  <si>
    <t>-632.238029801751 99.6425669558137 -765.628650291916</t>
  </si>
  <si>
    <t>-523.424813540499 231.223827572089 -241.129465385548</t>
  </si>
  <si>
    <t>-553.533107852986 228.752575622325 213.562819141099</t>
  </si>
  <si>
    <t>-602.835208115089 210.905094688989 680.38347033385</t>
  </si>
  <si>
    <t>-481.526444716663 115.39768302273 764.68074681907</t>
  </si>
  <si>
    <t>-624.815128560363 66.5900959547255 -212.94350642938</t>
  </si>
  <si>
    <t>-504.193817034468 -77.1823638408566 202.31260161952</t>
  </si>
  <si>
    <t>-556.900983575465 27.0268013668292 657.714703710107</t>
  </si>
  <si>
    <t>-538.709660308178 -124.335813702719 745.475447220706</t>
  </si>
  <si>
    <t>9763-20170724T160422.925904700.bin</t>
  </si>
  <si>
    <t>-574.284395976875 148.62358641998 -227.32548795711</t>
  </si>
  <si>
    <t>-609.658546409419 150.184578335084 -343.144523702861</t>
  </si>
  <si>
    <t>-623.460894490288 146.545112476199 -463.505611191725</t>
  </si>
  <si>
    <t>-627.011326908015 140.823537876383 -572.819435513083</t>
  </si>
  <si>
    <t>-621.741396366491 132.592841246554 -681.903461092251</t>
  </si>
  <si>
    <t>-605.287240052213 118.424581342807 -832.663384864084</t>
  </si>
  <si>
    <t>-582.305461810968 84.2483446021693 -925.866473129718</t>
  </si>
  <si>
    <t>-593.422129548687 150.074924765558 -766.252565766267</t>
  </si>
  <si>
    <t>-500.064101134039 261.201719808466 -742.558814805872</t>
  </si>
  <si>
    <t>-487.813975479317 303.208430652807 -429.075864320313</t>
  </si>
  <si>
    <t>-348.810271706261 130.211222433661 -293.458702283275</t>
  </si>
  <si>
    <t>-631.713228809169 99.3123031153461 -765.6610404602</t>
  </si>
  <si>
    <t>-523.627609996473 230.951678774509 -241.143409454674</t>
  </si>
  <si>
    <t>-553.733548082125 228.58628027743 213.549507514552</t>
  </si>
  <si>
    <t>-602.911062452702 210.852235117945 680.383104405313</t>
  </si>
  <si>
    <t>-481.495292029912 115.469153770406 764.667085203144</t>
  </si>
  <si>
    <t>-624.820633462011 66.3469902113015 -212.815198168012</t>
  </si>
  <si>
    <t>-504.103424540408 -77.4281765569174 202.412150299724</t>
  </si>
  <si>
    <t>-556.833900490629 27.1639886959908 657.814888226034</t>
  </si>
  <si>
    <t>-538.696551517106 -124.32898703894 745.36164076018</t>
  </si>
  <si>
    <t>9763-20170724T160422.995671100.bin</t>
  </si>
  <si>
    <t>-574.49578431152 148.335904532281 -227.118643249872</t>
  </si>
  <si>
    <t>-609.866550302948 149.668096790511 -342.941497520077</t>
  </si>
  <si>
    <t>-623.48073443423 145.946957391756 -463.321583469192</t>
  </si>
  <si>
    <t>-626.777562213848 140.234792277422 -572.643888165702</t>
  </si>
  <si>
    <t>-621.16697247477 132.109355083357 -681.718805872968</t>
  </si>
  <si>
    <t>-604.145016537129 118.199511423481 -832.439633742746</t>
  </si>
  <si>
    <t>-580.590626980559 84.2335837803068 -925.576595250339</t>
  </si>
  <si>
    <t>-592.81137526647 149.945119336757 -765.981535394626</t>
  </si>
  <si>
    <t>-500.943052666146 262.234976695331 -741.933623302717</t>
  </si>
  <si>
    <t>-489.373075147015 303.622363833661 -428.342633161532</t>
  </si>
  <si>
    <t>-342.577482635565 136.768832868526 -293.238989071479</t>
  </si>
  <si>
    <t>-630.542014348363 98.7632711070687 -765.519219427617</t>
  </si>
  <si>
    <t>-524.114226363832 230.772664316989 -241.088069372634</t>
  </si>
  <si>
    <t>-554.09672349855 228.719706143593 213.614532971348</t>
  </si>
  <si>
    <t>-603.033979482203 210.812966763578 680.452098441505</t>
  </si>
  <si>
    <t>-481.504545803583 115.5204406317 764.674672936097</t>
  </si>
  <si>
    <t>-624.671631916403 66.002750247698 -212.423403818378</t>
  </si>
  <si>
    <t>-503.783230555673 -78.0951411337492 202.642179518595</t>
  </si>
  <si>
    <t>-556.642605343919 27.424074551689 657.807658234986</t>
  </si>
  <si>
    <t>-538.764954188746 -124.335392501543 744.945147915157</t>
  </si>
  <si>
    <t>9763-20170724T160423.027756800.bin</t>
  </si>
  <si>
    <t>-574.658435659165 148.253778656619 -227.057745040109</t>
  </si>
  <si>
    <t>-610.10166478441 149.47410363419 -342.859636062771</t>
  </si>
  <si>
    <t>-623.67601118853 145.69930542049 -463.242492096261</t>
  </si>
  <si>
    <t>-626.8870775938 139.971583067633 -572.566558453135</t>
  </si>
  <si>
    <t>-621.139288335332 131.868863601689 -681.636195080709</t>
  </si>
  <si>
    <t>-603.872096842476 118.035115499984 -832.336049191239</t>
  </si>
  <si>
    <t>-580.026092394749 84.1521817398038 -925.429023176602</t>
  </si>
  <si>
    <t>-592.784027482722 149.847601300355 -765.868558965458</t>
  </si>
  <si>
    <t>-501.536720014225 262.631180184776 -741.818941672569</t>
  </si>
  <si>
    <t>-488.836407522116 305.665502434177 -428.493246736868</t>
  </si>
  <si>
    <t>-339.743226104273 140.854737953128 -293.398062100261</t>
  </si>
  <si>
    <t>-630.240645085612 98.4645439385381 -765.443528398749</t>
  </si>
  <si>
    <t>-524.502261783108 230.804102436318 -241.08554114449</t>
  </si>
  <si>
    <t>-554.279008902391 228.847123785645 213.631048585178</t>
  </si>
  <si>
    <t>-603.020305378067 210.903130531812 680.493885843449</t>
  </si>
  <si>
    <t>-481.635736700376 115.396289219832 764.682606697524</t>
  </si>
  <si>
    <t>-624.668771883049 65.7813048039386 -212.319008863313</t>
  </si>
  <si>
    <t>-503.467638984781 -78.1955732367924 202.697382301042</t>
  </si>
  <si>
    <t>-556.501261690297 27.4880776131106 657.715103163956</t>
  </si>
  <si>
    <t>-538.800356311754 -124.34552752476 744.759641743926</t>
  </si>
  <si>
    <t>9763-20170724T160423.093437800.bin</t>
  </si>
  <si>
    <t>-575.307878390897 148.035486423134 -227.095334188685</t>
  </si>
  <si>
    <t>-610.902604235895 149.093924317762 -342.852424802364</t>
  </si>
  <si>
    <t>-624.466476404755 145.181576271789 -463.232166755578</t>
  </si>
  <si>
    <t>-627.596557375775 139.350688350092 -572.553001191516</t>
  </si>
  <si>
    <t>-621.695426208949 131.17105144004 -681.608646335216</t>
  </si>
  <si>
    <t>-604.138466802262 117.264013184325 -832.268330560436</t>
  </si>
  <si>
    <t>-579.849144183527 83.4379057123635 -925.26724194426</t>
  </si>
  <si>
    <t>-593.389066368144 149.260946247595 -765.833584587693</t>
  </si>
  <si>
    <t>-503.022649311872 262.793745144416 -741.990792094079</t>
  </si>
  <si>
    <t>-487.060559933528 310.48114108311 -429.489029758353</t>
  </si>
  <si>
    <t>-336.120083507276 147.853210132974 -293.801320712136</t>
  </si>
  <si>
    <t>-630.424721384791 97.573901557791 -765.37845506121</t>
  </si>
  <si>
    <t>-525.660872920873 230.828092192025 -241.145830592761</t>
  </si>
  <si>
    <t>-554.752930621144 228.819727617542 213.61486083864</t>
  </si>
  <si>
    <t>-603.2148487478 210.838888897985 680.578370813014</t>
  </si>
  <si>
    <t>-481.707384995322 115.381083499243 764.645333506529</t>
  </si>
  <si>
    <t>-624.792280533935 65.2965507448034 -212.386980976833</t>
  </si>
  <si>
    <t>-502.431178056202 -77.8156329623325 202.588112041931</t>
  </si>
  <si>
    <t>-556.181665968524 27.4762319400443 657.47751773588</t>
  </si>
  <si>
    <t>-538.733358559265 -124.374595267737 744.543051625777</t>
  </si>
  <si>
    <t>9763-20170724T160423.128529200.bin</t>
  </si>
  <si>
    <t>-575.692841673461 147.918703537545 -227.145742602316</t>
  </si>
  <si>
    <t>-611.391961442517 148.927555199484 -342.871217250393</t>
  </si>
  <si>
    <t>-624.970492428894 144.961889833754 -463.247434858564</t>
  </si>
  <si>
    <t>-628.075570945369 139.082818713137 -572.566500510144</t>
  </si>
  <si>
    <t>-622.110735259933 130.856219686767 -681.615039061111</t>
  </si>
  <si>
    <t>-604.425556431785 116.885819206568 -832.253953634206</t>
  </si>
  <si>
    <t>-579.973364186705 83.0680766671583 -925.213186720641</t>
  </si>
  <si>
    <t>-593.816669896669 148.970608311247 -765.839046031748</t>
  </si>
  <si>
    <t>-503.760999890081 262.785828509036 -742.148070770653</t>
  </si>
  <si>
    <t>-486.551272600202 312.515667954538 -430.031044430802</t>
  </si>
  <si>
    <t>-335.643702920401 150.185624357855 -293.950536144841</t>
  </si>
  <si>
    <t>-630.684682375869 97.1640317850452 -765.362786626905</t>
  </si>
  <si>
    <t>-526.319162178089 230.863940490317 -241.178135176814</t>
  </si>
  <si>
    <t>-554.947285506989 228.746477546189 213.61146652235</t>
  </si>
  <si>
    <t>-603.261493430183 210.867327978028 680.60749209925</t>
  </si>
  <si>
    <t>-481.799597771554 115.302259257558 764.618427414253</t>
  </si>
  <si>
    <t>-624.929392018033 64.9790775344438 -212.454162946485</t>
  </si>
  <si>
    <t>-501.620305084824 -77.3280796533386 202.517147317105</t>
  </si>
  <si>
    <t>-556.051667175387 27.434996811666 657.392311427854</t>
  </si>
  <si>
    <t>-538.617453069407 -124.394244227039 744.498264224784</t>
  </si>
  <si>
    <t>9763-20170724T160423.193721400.bin</t>
  </si>
  <si>
    <t>-576.416321665614 148.086365094325 -227.226332312033</t>
  </si>
  <si>
    <t>-612.381628699698 148.997718904349 -342.869993594401</t>
  </si>
  <si>
    <t>-626.055988067139 144.890379141433 -463.230729274542</t>
  </si>
  <si>
    <t>-629.175210893251 138.864201723007 -572.541433159057</t>
  </si>
  <si>
    <t>-623.1524261622 130.470458112839 -681.574109754318</t>
  </si>
  <si>
    <t>-605.313221827734 116.246226896332 -832.171034741556</t>
  </si>
  <si>
    <t>-580.710539936153 82.3397085657073 -925.058217683585</t>
  </si>
  <si>
    <t>-594.879352977701 148.518458886823 -765.819343495981</t>
  </si>
  <si>
    <t>-505.252613877544 262.725065781073 -742.41054938671</t>
  </si>
  <si>
    <t>-487.028748278819 314.933791395087 -430.756384653461</t>
  </si>
  <si>
    <t>-336.914110636439 152.201075988758 -294.280348453816</t>
  </si>
  <si>
    <t>-631.533782014048 96.5614369382301 -765.253772478251</t>
  </si>
  <si>
    <t>-527.511298707602 231.510669796125 -241.275975484161</t>
  </si>
  <si>
    <t>-555.162109664267 229.05811974219 213.572450438224</t>
  </si>
  <si>
    <t>-603.129337394127 211.159207547513 680.636786412327</t>
  </si>
  <si>
    <t>-482.114712001893 114.966622806219 764.576998558084</t>
  </si>
  <si>
    <t>-625.210002089187 64.6956037211455 -212.546911832316</t>
  </si>
  <si>
    <t>-499.796180965983 -75.9455008031841 202.361681139265</t>
  </si>
  <si>
    <t>-555.810672981364 27.3756758063366 657.330761853557</t>
  </si>
  <si>
    <t>-538.294297166125 -124.407691688085 744.500118205936</t>
  </si>
  <si>
    <t>9763-20170724T160423.226805800.bin</t>
  </si>
  <si>
    <t>-576.670741594188 148.33233385936 -227.186059454675</t>
  </si>
  <si>
    <t>-612.746829055935 149.193359714982 -342.795664243252</t>
  </si>
  <si>
    <t>-626.481923102046 145.022304500776 -463.147346297457</t>
  </si>
  <si>
    <t>-629.633966048834 138.934632759764 -572.453569436143</t>
  </si>
  <si>
    <t>-623.621512968946 130.476365970799 -681.481744060426</t>
  </si>
  <si>
    <t>-605.773277803907 116.160090226557 -832.068918003111</t>
  </si>
  <si>
    <t>-581.136475460488 82.2015603536804 -924.92816617757</t>
  </si>
  <si>
    <t>-595.376076366542 148.496002490287 -765.742425039633</t>
  </si>
  <si>
    <t>-505.886418654665 262.826591592561 -742.442808138418</t>
  </si>
  <si>
    <t>-487.869924909944 315.077050431272 -430.783515749107</t>
  </si>
  <si>
    <t>-338.517562952962 151.586372537806 -294.377068319382</t>
  </si>
  <si>
    <t>-631.965056057817 96.4932053715336 -765.135260105726</t>
  </si>
  <si>
    <t>-527.887110903524 231.922252467602 -241.283032351745</t>
  </si>
  <si>
    <t>-555.29085809018 229.411623892675 213.580048802413</t>
  </si>
  <si>
    <t>-603.076520875467 211.264890994199 680.642685214097</t>
  </si>
  <si>
    <t>-482.259061996367 114.811799233377 764.567969322346</t>
  </si>
  <si>
    <t>-625.351369478728 64.7478668047006 -212.453994625892</t>
  </si>
  <si>
    <t>-498.952034944904 -75.3142109229841 202.351350674259</t>
  </si>
  <si>
    <t>-555.714464728576 27.3522897464602 657.333927335552</t>
  </si>
  <si>
    <t>-538.122687920799 -124.412440541123 744.5205066327</t>
  </si>
  <si>
    <t>9763-20170724T160423.291999100.bin</t>
  </si>
  <si>
    <t>-576.827923710362 148.727793701314 -226.945981032399</t>
  </si>
  <si>
    <t>-613.032395375997 149.341372856419 -342.51695737226</t>
  </si>
  <si>
    <t>-626.879516819605 144.952497474088 -462.848044592897</t>
  </si>
  <si>
    <t>-630.124063494028 138.683297780972 -572.141350134437</t>
  </si>
  <si>
    <t>-624.194196569784 130.060764105233 -681.161162702733</t>
  </si>
  <si>
    <t>-606.44932458057 115.535933292636 -831.740611039809</t>
  </si>
  <si>
    <t>-581.820566234007 81.4321151436936 -924.548625040067</t>
  </si>
  <si>
    <t>-596.026018094123 147.977285046996 -765.469775616897</t>
  </si>
  <si>
    <t>-506.644195367111 262.418080277061 -742.279410655259</t>
  </si>
  <si>
    <t>-489.396158338016 313.192292128312 -430.332903430012</t>
  </si>
  <si>
    <t>-342.562992075772 147.009821086862 -294.445201548168</t>
  </si>
  <si>
    <t>-632.575701648736 95.9482063908097 -764.75814421925</t>
  </si>
  <si>
    <t>-528.056881999797 232.342256085033 -241.268415264092</t>
  </si>
  <si>
    <t>-555.34621206653 229.922217229276 213.602079576622</t>
  </si>
  <si>
    <t>-602.97852480132 211.416095944179 680.642755521374</t>
  </si>
  <si>
    <t>-482.40046619754 114.668162405623 764.572966164271</t>
  </si>
  <si>
    <t>-625.457282165786 65.0228540948312 -211.954292442044</t>
  </si>
  <si>
    <t>-497.481068812356 -74.7428367547279 202.46738089808</t>
  </si>
  <si>
    <t>-555.578081689143 27.3510692138218 657.396711932965</t>
  </si>
  <si>
    <t>-537.870104169211 -124.413083811105 744.561034713241</t>
  </si>
  <si>
    <t>9763-20170724T160423.330096900.bin</t>
  </si>
  <si>
    <t>-576.791204762927 148.919870730312 -226.856529622329</t>
  </si>
  <si>
    <t>-613.010235700423 149.429121328688 -342.423595066799</t>
  </si>
  <si>
    <t>-626.917532404028 144.959081565615 -462.744611336318</t>
  </si>
  <si>
    <t>-630.234499015608 138.628111612644 -572.03216786121</t>
  </si>
  <si>
    <t>-624.394432579556 129.956369067275 -681.05313943295</t>
  </si>
  <si>
    <t>-606.791476161717 115.377099268964 -831.643771818194</t>
  </si>
  <si>
    <t>-582.19978771429 81.2236666186222 -924.443414609229</t>
  </si>
  <si>
    <t>-596.304753438464 147.84153244191 -765.394287320288</t>
  </si>
  <si>
    <t>-506.886441638426 262.251761620132 -742.243915706883</t>
  </si>
  <si>
    <t>-489.967493058424 311.986260397437 -430.111710974069</t>
  </si>
  <si>
    <t>-344.829323755004 144.133970365983 -294.455739578347</t>
  </si>
  <si>
    <t>-632.855788119894 95.814342845275 -764.62987256637</t>
  </si>
  <si>
    <t>-527.991945554805 232.553685141835 -241.289896587428</t>
  </si>
  <si>
    <t>-555.301297524848 230.154451932547 213.579384873156</t>
  </si>
  <si>
    <t>-602.890270820149 211.465993331776 680.579195741126</t>
  </si>
  <si>
    <t>-482.461821752814 114.597148601292 764.584697640703</t>
  </si>
  <si>
    <t>-625.454614440765 65.2420314840488 -211.768339477096</t>
  </si>
  <si>
    <t>-497.032922502466 -74.6497272410888 202.473029510259</t>
  </si>
  <si>
    <t>-555.489978981924 27.3523944181436 657.387003272257</t>
  </si>
  <si>
    <t>-537.833388088008 -124.410683785725 744.563347152729</t>
  </si>
  <si>
    <t>9763-20170724T160423.393869200.bin</t>
  </si>
  <si>
    <t>-576.610321986687 149.388200896013 -226.773789084188</t>
  </si>
  <si>
    <t>-612.861702049952 149.816270324993 -342.33096130426</t>
  </si>
  <si>
    <t>-626.905255528158 145.241270607977 -462.63231382326</t>
  </si>
  <si>
    <t>-630.387443848374 138.808386376782 -571.908798973105</t>
  </si>
  <si>
    <t>-624.753791760593 130.02895861303 -680.93190283572</t>
  </si>
  <si>
    <t>-607.479002172368 115.295345349316 -831.545665277947</t>
  </si>
  <si>
    <t>-583.041482092377 81.0472083444288 -924.351171210516</t>
  </si>
  <si>
    <t>-596.812763458048 147.80308880997 -765.346029856705</t>
  </si>
  <si>
    <t>-507.100592057016 262.010047745285 -742.28588005652</t>
  </si>
  <si>
    <t>-490.479631057727 310.090072387455 -429.878793289912</t>
  </si>
  <si>
    <t>-350.296145643539 137.75191141501 -294.637470826248</t>
  </si>
  <si>
    <t>-633.43235687169 95.8259401234145 -764.461436650957</t>
  </si>
  <si>
    <t>-527.688565588479 233.032688785895 -241.355748554277</t>
  </si>
  <si>
    <t>-555.099627100744 230.519704897677 213.506790410828</t>
  </si>
  <si>
    <t>-602.812196738802 211.455371161967 680.493239036638</t>
  </si>
  <si>
    <t>-482.476304117686 114.582354809157 764.626488845993</t>
  </si>
  <si>
    <t>-625.450736821229 65.7528738004557 -211.519294806795</t>
  </si>
  <si>
    <t>-496.487936514565 -74.4323329773486 202.454543971075</t>
  </si>
  <si>
    <t>-555.407247751836 27.3557484551468 657.378929495189</t>
  </si>
  <si>
    <t>-537.778774000065 -124.409871371467 744.556650084944</t>
  </si>
  <si>
    <t>9763-20170724T160423.426956700.bin</t>
  </si>
  <si>
    <t>-576.493633403692 149.627100360367 -226.762133560922</t>
  </si>
  <si>
    <t>-612.777093165407 150.081090865555 -342.309104225335</t>
  </si>
  <si>
    <t>-626.896672846906 145.475113630229 -462.600324007048</t>
  </si>
  <si>
    <t>-630.465438808223 138.992923854817 -571.871114088503</t>
  </si>
  <si>
    <t>-624.935615903888 130.144404897617 -680.893912661154</t>
  </si>
  <si>
    <t>-607.822659249623 115.295196691706 -831.514837520333</t>
  </si>
  <si>
    <t>-583.500565009458 80.9928232690047 -924.330625345693</t>
  </si>
  <si>
    <t>-597.055573256351 147.832761432554 -765.346089448868</t>
  </si>
  <si>
    <t>-507.092725339993 261.87039044958 -742.38647740036</t>
  </si>
  <si>
    <t>-490.598557429021 309.532216365699 -429.908425501197</t>
  </si>
  <si>
    <t>-353.285934927085 134.874872573951 -294.697108775708</t>
  </si>
  <si>
    <t>-633.733726783103 95.8981675306381 -764.393411407537</t>
  </si>
  <si>
    <t>-527.451623827993 233.261641050438 -241.368822939022</t>
  </si>
  <si>
    <t>-554.921436143534 230.615227650795 213.48955719369</t>
  </si>
  <si>
    <t>-602.780194764642 211.468541034962 680.465560898804</t>
  </si>
  <si>
    <t>-482.561696921071 114.483296239405 764.637318436594</t>
  </si>
  <si>
    <t>-625.446206550975 66.0212719906917 -211.464242721768</t>
  </si>
  <si>
    <t>-496.380709274053 -74.2869736061916 202.43600797596</t>
  </si>
  <si>
    <t>-555.399969136115 27.3652166947306 657.38685924902</t>
  </si>
  <si>
    <t>-537.731087149236 -124.401783493934 744.553927258971</t>
  </si>
  <si>
    <t>9763-20170724T160423.494143000.bin</t>
  </si>
  <si>
    <t>-576.219928004959 150.038475475229 -226.651311692902</t>
  </si>
  <si>
    <t>-612.527164191029 150.558926204522 -342.190460219101</t>
  </si>
  <si>
    <t>-626.789791209861 145.895023627636 -462.462682827537</t>
  </si>
  <si>
    <t>-630.536997133083 139.314051397505 -571.721527385499</t>
  </si>
  <si>
    <t>-625.233589585109 130.323740053652 -680.744071464891</t>
  </si>
  <si>
    <t>-608.483847678604 115.235486688102 -831.382023798047</t>
  </si>
  <si>
    <t>-584.452253649844 80.8471264962234 -924.241642851198</t>
  </si>
  <si>
    <t>-597.464915612573 147.8127939214 -765.27436214127</t>
  </si>
  <si>
    <t>-506.950766141604 261.45642330975 -742.52599444765</t>
  </si>
  <si>
    <t>-490.114136854287 309.155898127888 -430.07206875719</t>
  </si>
  <si>
    <t>-358.400347003207 130.486795686846 -294.532968337849</t>
  </si>
  <si>
    <t>-634.325375813772 96.0102069837142 -764.184259340411</t>
  </si>
  <si>
    <t>-526.756951607965 233.465230748896 -241.307347071398</t>
  </si>
  <si>
    <t>-554.452865840848 230.681854495736 213.536374782447</t>
  </si>
  <si>
    <t>-602.657473654344 211.676770915593 680.50403856463</t>
  </si>
  <si>
    <t>-482.797640082381 114.225748473949 764.649317789178</t>
  </si>
  <si>
    <t>-625.59104119025 66.5786298685282 -211.254878078916</t>
  </si>
  <si>
    <t>-496.491721916335 -74.1723457712299 202.484433913594</t>
  </si>
  <si>
    <t>-555.425984245167 27.4196157683064 657.46446058632</t>
  </si>
  <si>
    <t>-537.725593450438 -124.390507936515 744.54992823516</t>
  </si>
  <si>
    <t>9763-20170724T160423.526230100.bin</t>
  </si>
  <si>
    <t>-576.065077846771 150.164076357366 -226.539623566054</t>
  </si>
  <si>
    <t>-612.357554119994 150.706817669539 -342.083314165526</t>
  </si>
  <si>
    <t>-626.635738144355 146.002287629479 -462.352046469079</t>
  </si>
  <si>
    <t>-630.409831008073 139.360595781506 -571.606392151169</t>
  </si>
  <si>
    <t>-625.146009618418 130.286934635344 -680.62380770329</t>
  </si>
  <si>
    <t>-608.464829658838 115.059839531167 -831.255486154302</t>
  </si>
  <si>
    <t>-584.551345308408 80.5955521967921 -924.117432932296</t>
  </si>
  <si>
    <t>-597.354519599338 147.654710084291 -765.171850484036</t>
  </si>
  <si>
    <t>-506.482418034456 261.030604695144 -742.556767294844</t>
  </si>
  <si>
    <t>-489.4597268906 309.214574370766 -430.187270662148</t>
  </si>
  <si>
    <t>-360.41237283789 128.828093608347 -294.358147663783</t>
  </si>
  <si>
    <t>-634.336998626397 95.9399499994379 -764.039552670065</t>
  </si>
  <si>
    <t>-526.384953826107 233.479701290916 -241.229185165749</t>
  </si>
  <si>
    <t>-554.223984948761 230.6608435402 213.605619808358</t>
  </si>
  <si>
    <t>-602.714348296085 211.675887611209 680.554362481031</t>
  </si>
  <si>
    <t>-482.919173957369 114.097436392969 764.644043478706</t>
  </si>
  <si>
    <t>-625.648625688891 66.8209225569801 -211.089865380625</t>
  </si>
  <si>
    <t>-496.747663966319 -74.3287010641079 202.575451173146</t>
  </si>
  <si>
    <t>-555.485874836118 27.4770199922693 657.554176195198</t>
  </si>
  <si>
    <t>-537.720485471699 -124.378342990301 744.547597150196</t>
  </si>
  <si>
    <t>9763-20170724T160423.595381200.bin</t>
  </si>
  <si>
    <t>-575.915773106973 150.251196207913 -226.171932364119</t>
  </si>
  <si>
    <t>-612.177978173329 150.827518793339 -341.725136829989</t>
  </si>
  <si>
    <t>-626.505314171559 146.025906375357 -461.984161313413</t>
  </si>
  <si>
    <t>-630.35867760037 139.242347825076 -571.226897835302</t>
  </si>
  <si>
    <t>-625.209421307504 129.973162803592 -680.233459950127</t>
  </si>
  <si>
    <t>-608.724614802658 114.418512084954 -830.853212618528</t>
  </si>
  <si>
    <t>-585.121001805372 79.7933873901209 -923.734616053093</t>
  </si>
  <si>
    <t>-597.373733975374 147.046513941028 -764.826809090834</t>
  </si>
  <si>
    <t>-505.776450865141 259.895302448552 -742.436059849045</t>
  </si>
  <si>
    <t>-488.133061811553 309.468814895861 -430.318396685623</t>
  </si>
  <si>
    <t>-363.333269513135 126.722932639023 -293.676503520512</t>
  </si>
  <si>
    <t>-634.663510515134 95.5554304034488 -763.59051160165</t>
  </si>
  <si>
    <t>-525.740686173569 233.17741565001 -240.992075012422</t>
  </si>
  <si>
    <t>-553.869144520174 230.436291094705 213.825409765264</t>
  </si>
  <si>
    <t>-602.892235808645 211.602424582945 680.681910697603</t>
  </si>
  <si>
    <t>-482.938067028319 114.104641684098 764.638385285523</t>
  </si>
  <si>
    <t>-626.051426204452 67.3083935612381 -210.571292106602</t>
  </si>
  <si>
    <t>-497.895761048074 -75.2217424935388 202.852164119764</t>
  </si>
  <si>
    <t>-555.670778045692 27.6579061494949 657.802592012168</t>
  </si>
  <si>
    <t>-537.838407364464 -124.358784764177 744.499866814794</t>
  </si>
  <si>
    <t>9763-20170724T160423.629476500.bin</t>
  </si>
  <si>
    <t>-575.951642577582 150.209594512355 -225.974601186495</t>
  </si>
  <si>
    <t>-612.118901363354 150.748601473399 -341.557642024213</t>
  </si>
  <si>
    <t>-626.446747042553 145.884653460182 -461.814271680608</t>
  </si>
  <si>
    <t>-630.341031784235 139.035762371527 -571.051417594665</t>
  </si>
  <si>
    <t>-625.273329183465 129.692845109173 -680.055407134386</t>
  </si>
  <si>
    <t>-608.943446421709 114.027744143916 -830.680612157659</t>
  </si>
  <si>
    <t>-585.488564920922 79.3478170152441 -923.579306022768</t>
  </si>
  <si>
    <t>-597.457280910543 146.655604870019 -764.677503903005</t>
  </si>
  <si>
    <t>-505.559660962016 259.274533801572 -742.409664794954</t>
  </si>
  <si>
    <t>-487.397936677645 309.56465172144 -430.436470882383</t>
  </si>
  <si>
    <t>-364.177552577514 126.081490750125 -293.349837775769</t>
  </si>
  <si>
    <t>-634.880519459167 95.2625625774238 -763.389819497616</t>
  </si>
  <si>
    <t>-525.448546746158 232.890120093585 -240.87968619342</t>
  </si>
  <si>
    <t>-553.736289081435 230.250715643879 213.928540852398</t>
  </si>
  <si>
    <t>-602.828945692189 211.746450387766 680.737678500984</t>
  </si>
  <si>
    <t>-482.944993600378 114.120695276963 764.645737145752</t>
  </si>
  <si>
    <t>-626.383324263752 67.512572855527 -210.329419411241</t>
  </si>
  <si>
    <t>-498.829090669806 -75.944145519517 202.959471022931</t>
  </si>
  <si>
    <t>-555.750936125599 27.7464057960574 657.883192394751</t>
  </si>
  <si>
    <t>-537.935389477674 -124.348747774553 744.446497980982</t>
  </si>
  <si>
    <t>9763-20170724T160423.695649000.bin</t>
  </si>
  <si>
    <t>-576.146655960801 149.905824029952 -225.723523051283</t>
  </si>
  <si>
    <t>-612.108612325837 150.400380600641 -341.370871854592</t>
  </si>
  <si>
    <t>-626.456572301055 145.435138660089 -461.620904786944</t>
  </si>
  <si>
    <t>-630.464789377142 138.472538345173 -570.84665084573</t>
  </si>
  <si>
    <t>-625.606650495022 128.994853402627 -679.848702595586</t>
  </si>
  <si>
    <t>-609.666855909884 113.120501041259 -830.493655747936</t>
  </si>
  <si>
    <t>-586.491049286217 78.3466279152574 -923.427344362254</t>
  </si>
  <si>
    <t>-597.896356943809 145.757315823979 -764.545297520242</t>
  </si>
  <si>
    <t>-505.515799241085 258.029436118954 -742.498828850452</t>
  </si>
  <si>
    <t>-485.852031642297 309.505806309278 -430.810388537721</t>
  </si>
  <si>
    <t>-364.255234026336 125.450552812985 -293.042518003216</t>
  </si>
  <si>
    <t>-635.543212820023 94.5313512563823 -763.130719498815</t>
  </si>
  <si>
    <t>-525.190609248047 232.271861548334 -240.705607020344</t>
  </si>
  <si>
    <t>-553.703940007345 229.858487448623 214.089712099796</t>
  </si>
  <si>
    <t>-602.947897926772 211.730933987285 680.854162263343</t>
  </si>
  <si>
    <t>-482.941608238961 114.175987773387 764.66964454046</t>
  </si>
  <si>
    <t>-626.978806813398 67.6080681303297 -210.046115363309</t>
  </si>
  <si>
    <t>-501.09504854968 -77.5339649057953 203.166591361739</t>
  </si>
  <si>
    <t>-555.901971310902 27.8720658349791 657.982795956032</t>
  </si>
  <si>
    <t>-538.326983078226 -124.360363610525 744.353728103365</t>
  </si>
  <si>
    <t>9763-20170724T160423.728736900.bin</t>
  </si>
  <si>
    <t>-576.261659798346 149.714625310904 -225.668530290367</t>
  </si>
  <si>
    <t>-612.126651558811 150.228767833215 -341.345770000441</t>
  </si>
  <si>
    <t>-626.471710685002 145.244880871802 -461.595449129556</t>
  </si>
  <si>
    <t>-630.517218573847 138.25088148764 -570.818026003933</t>
  </si>
  <si>
    <t>-625.736578588964 128.727662820305 -679.819312700527</t>
  </si>
  <si>
    <t>-609.945868066578 112.775913005689 -830.471950963849</t>
  </si>
  <si>
    <t>-586.882090911659 77.9540718538665 -923.415337905747</t>
  </si>
  <si>
    <t>-598.066109687127 145.414755593725 -764.543832309371</t>
  </si>
  <si>
    <t>-505.487743581798 257.545855577319 -742.611773430868</t>
  </si>
  <si>
    <t>-485.124504291951 309.541693375089 -431.05441305429</t>
  </si>
  <si>
    <t>-363.451381662012 125.614837227042 -293.182503105601</t>
  </si>
  <si>
    <t>-635.799420513242 94.2533933914053 -763.081748127043</t>
  </si>
  <si>
    <t>-525.131988421009 231.95925364677 -240.657382704339</t>
  </si>
  <si>
    <t>-553.714952824335 229.707050927618 214.134419049832</t>
  </si>
  <si>
    <t>-602.980399693882 211.732350520931 680.881814868037</t>
  </si>
  <si>
    <t>-482.953576463741 114.188667511708 764.681000547918</t>
  </si>
  <si>
    <t>-627.240807556971 67.5591167880796 -210.009190995599</t>
  </si>
  <si>
    <t>-502.166579190023 -78.2243080639657 203.223451902057</t>
  </si>
  <si>
    <t>-555.943645923401 27.906605784973 657.992328198512</t>
  </si>
  <si>
    <t>-538.516183633599 -124.367094446148 744.320183771825</t>
  </si>
  <si>
    <t>9763-20170724T160423.792943600.bin</t>
  </si>
  <si>
    <t>-576.501981117586 149.312142527567 -225.764302396424</t>
  </si>
  <si>
    <t>-612.291022274722 149.966186070124 -341.464350120151</t>
  </si>
  <si>
    <t>-626.656249215151 145.006719672441 -461.712454521776</t>
  </si>
  <si>
    <t>-630.760458798567 137.99127280351 -570.931479183755</t>
  </si>
  <si>
    <t>-626.078663092472 128.405823820503 -679.931702634042</t>
  </si>
  <si>
    <t>-610.466590354792 112.327318292339 -830.589421840536</t>
  </si>
  <si>
    <t>-587.564926207237 77.4190622402398 -923.540551580966</t>
  </si>
  <si>
    <t>-598.429611333981 144.963396154483 -764.68859979935</t>
  </si>
  <si>
    <t>-505.568127009364 256.874740820001 -742.882150589559</t>
  </si>
  <si>
    <t>-484.333306337657 309.600198501714 -431.505623615244</t>
  </si>
  <si>
    <t>-360.97138084195 126.633413007261 -293.857281305872</t>
  </si>
  <si>
    <t>-636.319254154184 93.9197555985827 -763.167479139329</t>
  </si>
  <si>
    <t>-525.051656467749 231.33323632579 -240.717605027585</t>
  </si>
  <si>
    <t>-553.663017553024 229.384165917851 214.073836815938</t>
  </si>
  <si>
    <t>-602.927560236317 211.772205117639 680.824342428132</t>
  </si>
  <si>
    <t>-483.122464449357 114.025507943059 764.704209425875</t>
  </si>
  <si>
    <t>-627.791813508887 67.378233798039 -210.169709826162</t>
  </si>
  <si>
    <t>-503.676426415715 -78.9735534332203 203.151243030015</t>
  </si>
  <si>
    <t>-555.879391676976 27.8487539155644 657.840517556804</t>
  </si>
  <si>
    <t>-538.860415725983 -124.406062893246 744.283187487952</t>
  </si>
  <si>
    <t>9763-20170724T160423.825029300.bin</t>
  </si>
  <si>
    <t>-576.608357788288 149.148865320781 -225.909325823727</t>
  </si>
  <si>
    <t>-612.426680523047 149.92852084968 -341.599687450999</t>
  </si>
  <si>
    <t>-626.820432904581 145.020188880808 -461.846455052158</t>
  </si>
  <si>
    <t>-630.950015955075 138.02179797443 -571.065620381774</t>
  </si>
  <si>
    <t>-626.29295457005 128.425488478101 -680.065936236075</t>
  </si>
  <si>
    <t>-610.714605968659 112.303896524884 -830.722524833398</t>
  </si>
  <si>
    <t>-587.856685228743 77.3625440496508 -923.672051200991</t>
  </si>
  <si>
    <t>-598.618062092193 144.925652989252 -764.825633779854</t>
  </si>
  <si>
    <t>-505.61517969169 256.728520097278 -743.028685881191</t>
  </si>
  <si>
    <t>-484.063022278041 309.757084579662 -431.725506285261</t>
  </si>
  <si>
    <t>-359.495700322233 127.475903486151 -294.253314544479</t>
  </si>
  <si>
    <t>-636.597029333152 93.9487380125727 -763.297767031929</t>
  </si>
  <si>
    <t>-524.994023169362 231.10433325428 -240.831080399179</t>
  </si>
  <si>
    <t>-553.525806968422 229.202088371144 213.965601289278</t>
  </si>
  <si>
    <t>-602.81502981374 211.857026526357 680.757119261581</t>
  </si>
  <si>
    <t>-483.260127498039 113.868706257955 764.712025729868</t>
  </si>
  <si>
    <t>-628.061831894519 67.2992523858845 -210.33679218661</t>
  </si>
  <si>
    <t>-503.859188855458 -78.9398703128702 202.997788145023</t>
  </si>
  <si>
    <t>-555.762727976772 27.8022034464839 657.709653764191</t>
  </si>
  <si>
    <t>-539.012686744563 -124.41478178027 744.271436246203</t>
  </si>
  <si>
    <t>9763-20170724T160423.894216700.bin</t>
  </si>
  <si>
    <t>-576.976505643422 148.839655080252 -226.130037838203</t>
  </si>
  <si>
    <t>-612.92548481678 149.840462342225 -341.778041767671</t>
  </si>
  <si>
    <t>-627.40248210301 145.05974567741 -462.020006529118</t>
  </si>
  <si>
    <t>-631.586924470788 138.138089471521 -571.242060549353</t>
  </si>
  <si>
    <t>-626.96398933744 128.580384508277 -680.247257978329</t>
  </si>
  <si>
    <t>-611.411672259804 112.473314386082 -830.908056544821</t>
  </si>
  <si>
    <t>-588.575785907492 77.5361527076627 -923.864490514746</t>
  </si>
  <si>
    <t>-599.219798694327 145.026479908996 -764.994739279173</t>
  </si>
  <si>
    <t>-505.875252670382 256.539964783683 -743.186904126136</t>
  </si>
  <si>
    <t>-483.889961901435 309.989853345026 -431.985996682454</t>
  </si>
  <si>
    <t>-357.087265488958 129.071145305025 -294.757864177491</t>
  </si>
  <si>
    <t>-637.366456475221 94.1738130063288 -763.495813279059</t>
  </si>
  <si>
    <t>-525.130353710914 230.653833822353 -241.021255330542</t>
  </si>
  <si>
    <t>-553.461294417287 228.903684290045 213.788520745378</t>
  </si>
  <si>
    <t>-602.771770110247 211.852793606319 680.645641043673</t>
  </si>
  <si>
    <t>-483.334468898641 113.810559684384 764.704930130588</t>
  </si>
  <si>
    <t>-628.69087227186 67.0981556582362 -210.561229385838</t>
  </si>
  <si>
    <t>-503.539500806395 -78.4052900366592 202.746798937313</t>
  </si>
  <si>
    <t>-555.654340124694 27.7210742732752 657.579923292677</t>
  </si>
  <si>
    <t>-538.952916941194 -124.428367742889 744.269568677771</t>
  </si>
  <si>
    <t>9763-20170724T160423.928306700.bin</t>
  </si>
  <si>
    <t>-577.108340135095 148.736378838113 -226.197135067439</t>
  </si>
  <si>
    <t>-613.106259262798 149.765691495931 -341.829768507022</t>
  </si>
  <si>
    <t>-627.611340568565 145.019063955614 -462.069629235408</t>
  </si>
  <si>
    <t>-631.812805259907 138.127493891779 -571.292800371838</t>
  </si>
  <si>
    <t>-627.198741432532 128.597590101708 -680.300810126544</t>
  </si>
  <si>
    <t>-611.650666156895 112.525361542657 -830.965854286991</t>
  </si>
  <si>
    <t>-588.81391237171 77.6138754730355 -923.931742408869</t>
  </si>
  <si>
    <t>-599.417474775672 145.033788143739 -765.038104672223</t>
  </si>
  <si>
    <t>-505.920205001085 256.407541685365 -743.185888256235</t>
  </si>
  <si>
    <t>-483.660774978183 310.039577103339 -432.035905234186</t>
  </si>
  <si>
    <t>-355.971224933504 129.626971085142 -294.964012051053</t>
  </si>
  <si>
    <t>-637.64300196511 94.2397862947714 -763.56436823436</t>
  </si>
  <si>
    <t>-525.223212198602 230.545697406726 -241.109022634678</t>
  </si>
  <si>
    <t>-553.507757941485 228.944202005287 213.7042392638</t>
  </si>
  <si>
    <t>-602.701841743972 211.870987301842 680.560380414892</t>
  </si>
  <si>
    <t>-483.449883242686 113.684107569487 764.713912277066</t>
  </si>
  <si>
    <t>-628.839257743163 66.9532084866294 -210.615245974561</t>
  </si>
  <si>
    <t>-503.097890421828 -78.1565418896446 202.652170061223</t>
  </si>
  <si>
    <t>-555.606749661316 27.7013785313513 657.529654899835</t>
  </si>
  <si>
    <t>-538.866547587334 -124.433464682159 744.237783120074</t>
  </si>
  <si>
    <t>9763-20170724T160423.991484800.bin</t>
  </si>
  <si>
    <t>-577.203270758028 148.521127144207 -226.274945266824</t>
  </si>
  <si>
    <t>-613.268204099352 149.512010055636 -341.887071365378</t>
  </si>
  <si>
    <t>-627.807361089517 144.784169559298 -462.123512052584</t>
  </si>
  <si>
    <t>-632.026687542765 137.926548270797 -571.348231812031</t>
  </si>
  <si>
    <t>-627.417898476337 128.444123076838 -680.36063738324</t>
  </si>
  <si>
    <t>-611.86485896473 112.448541436375 -831.033224278925</t>
  </si>
  <si>
    <t>-589.002058635375 77.6104874064972 -924.020142343548</t>
  </si>
  <si>
    <t>-599.588243639586 144.889239625171 -765.080169285687</t>
  </si>
  <si>
    <t>-505.857812845767 256.059508058404 -743.127889493915</t>
  </si>
  <si>
    <t>-483.000161687039 309.840090720921 -432.046910108927</t>
  </si>
  <si>
    <t>-353.928365301816 130.160583456896 -295.307078798763</t>
  </si>
  <si>
    <t>-637.90498392783 94.1629018817332 -763.650226676126</t>
  </si>
  <si>
    <t>-525.370030978202 230.438567105011 -241.243984729242</t>
  </si>
  <si>
    <t>-553.587688770453 229.132199121474 213.574335875583</t>
  </si>
  <si>
    <t>-602.555319338779 211.954497844132 680.461005652598</t>
  </si>
  <si>
    <t>-483.594219300853 113.52900287228 764.747373142545</t>
  </si>
  <si>
    <t>-628.918245160806 66.5995574040751 -210.614604497269</t>
  </si>
  <si>
    <t>-502.19795308456 -77.9538878201663 202.548699330873</t>
  </si>
  <si>
    <t>-555.550983442192 27.6719084603776 657.397775878844</t>
  </si>
  <si>
    <t>-538.628171395049 -124.443158483153 744.104836440346</t>
  </si>
  <si>
    <t>9763-20170724T160424.023569400.bin</t>
  </si>
  <si>
    <t>-577.209012425657 148.380847623027 -226.293373805327</t>
  </si>
  <si>
    <t>-613.300243531761 149.327890379237 -341.897707154842</t>
  </si>
  <si>
    <t>-627.85593721278 144.590744989727 -462.131876682204</t>
  </si>
  <si>
    <t>-632.086059825411 137.737065595248 -571.356315427411</t>
  </si>
  <si>
    <t>-627.483922084869 128.269831153043 -680.370203417319</t>
  </si>
  <si>
    <t>-611.936182814882 112.305689732269 -831.046793706998</t>
  </si>
  <si>
    <t>-589.0422128292 77.5021222475882 -924.039063881772</t>
  </si>
  <si>
    <t>-599.656688933723 144.732229353593 -765.087262416669</t>
  </si>
  <si>
    <t>-505.92094787041 255.881523583928 -743.101911601715</t>
  </si>
  <si>
    <t>-482.888193381054 309.545141793441 -432.013810002269</t>
  </si>
  <si>
    <t>-353.380521961797 130.049849372659 -295.444111343546</t>
  </si>
  <si>
    <t>-637.974470483973 94.0064112910013 -763.666826239786</t>
  </si>
  <si>
    <t>-525.44655657734 230.365713583954 -241.289198861065</t>
  </si>
  <si>
    <t>-553.624241080911 229.147726025388 213.531798655928</t>
  </si>
  <si>
    <t>-602.499663940871 211.992486250632 680.421525004488</t>
  </si>
  <si>
    <t>-483.548835643324 113.588015447713 764.746908684082</t>
  </si>
  <si>
    <t>-628.850715107741 66.3935163090805 -210.589880547833</t>
  </si>
  <si>
    <t>-501.928125167475 -78.03412522286 202.555341570518</t>
  </si>
  <si>
    <t>-555.511567345398 27.6778191808146 657.3413491307</t>
  </si>
  <si>
    <t>-538.569273251582 -124.439788720557 744.040368466184</t>
  </si>
  <si>
    <t>9763-20170724T160424.094772400.bin</t>
  </si>
  <si>
    <t>-577.034769351161 148.070988842546 -226.339854058696</t>
  </si>
  <si>
    <t>-613.14203470144 148.958122440879 -341.939537722348</t>
  </si>
  <si>
    <t>-627.725281930326 144.206317114466 -462.169820774713</t>
  </si>
  <si>
    <t>-631.983881158312 137.35975384273 -571.393560377811</t>
  </si>
  <si>
    <t>-627.413281657829 127.920577702443 -680.411307649053</t>
  </si>
  <si>
    <t>-611.911484231713 112.018264556859 -831.099164829215</t>
  </si>
  <si>
    <t>-588.962588929861 77.2948176738857 -924.107772629531</t>
  </si>
  <si>
    <t>-599.651360925626 144.447423092266 -765.137310080225</t>
  </si>
  <si>
    <t>-506.088718715589 255.735873943992 -743.11778514341</t>
  </si>
  <si>
    <t>-483.064751121917 308.909226512484 -431.944710252592</t>
  </si>
  <si>
    <t>-353.067124191857 129.568355010972 -295.638064666164</t>
  </si>
  <si>
    <t>-637.889700904651 93.6617131150922 -763.7115899124</t>
  </si>
  <si>
    <t>-525.410606899341 230.143381813678 -241.332983527798</t>
  </si>
  <si>
    <t>-553.576537968486 229.03392467692 213.489046896859</t>
  </si>
  <si>
    <t>-602.547448548803 211.954332222146 680.411320028417</t>
  </si>
  <si>
    <t>-483.697532827567 113.439215763304 764.749814138245</t>
  </si>
  <si>
    <t>-628.540980581964 65.9950197561329 -210.635143748843</t>
  </si>
  <si>
    <t>-501.653728064855 -78.3362237756189 202.554594521674</t>
  </si>
  <si>
    <t>-555.458663214808 27.6561535737051 657.227279133781</t>
  </si>
  <si>
    <t>-538.541652836479 -124.44575731861 743.958634574558</t>
  </si>
  <si>
    <t>9763-20170724T160424.127855000.bin</t>
  </si>
  <si>
    <t>-576.911409891595 147.923476346577 -226.375629431132</t>
  </si>
  <si>
    <t>-613.016606792681 148.794980843767 -341.976225642276</t>
  </si>
  <si>
    <t>-627.621989014357 144.055109484695 -462.204193860216</t>
  </si>
  <si>
    <t>-631.909694618264 137.232845545042 -571.428364882812</t>
  </si>
  <si>
    <t>-627.37665311382 127.832593662959 -680.451003801429</t>
  </si>
  <si>
    <t>-611.934832285422 112.000848226915 -831.152416616197</t>
  </si>
  <si>
    <t>-588.970613879496 77.3340415625726 -924.178337382469</t>
  </si>
  <si>
    <t>-599.678079291899 144.421148830896 -765.185584974445</t>
  </si>
  <si>
    <t>-506.223176160368 255.798571465623 -743.159091393695</t>
  </si>
  <si>
    <t>-483.550804479717 308.715078222787 -431.916388972874</t>
  </si>
  <si>
    <t>-353.481458316454 129.379783381173 -295.670788166763</t>
  </si>
  <si>
    <t>-637.856698649928 93.5905866917933 -763.757679942788</t>
  </si>
  <si>
    <t>-525.349452209155 230.021804882239 -241.352678897843</t>
  </si>
  <si>
    <t>-553.503460271033 228.92217373408 213.470222297815</t>
  </si>
  <si>
    <t>-602.554987891923 211.953152526372 680.399501063349</t>
  </si>
  <si>
    <t>-483.790580370296 113.335840763341 764.739003924041</t>
  </si>
  <si>
    <t>-628.370297246664 65.838537759945 -210.673758852836</t>
  </si>
  <si>
    <t>-501.577307386857 -78.4290253211284 202.567140887072</t>
  </si>
  <si>
    <t>-555.415142158141 27.6437779744931 657.184786193114</t>
  </si>
  <si>
    <t>-538.552325389566 -124.445480658158 743.948901709706</t>
  </si>
  <si>
    <t>9763-20170724T160424.197055100.bin</t>
  </si>
  <si>
    <t>-576.764803908818 147.586941194164 -226.429839605583</t>
  </si>
  <si>
    <t>-612.844433809043 148.447805480994 -342.038278128477</t>
  </si>
  <si>
    <t>-627.463155370577 143.740742493288 -462.266092436907</t>
  </si>
  <si>
    <t>-631.778255349113 136.96833130268 -571.492233783964</t>
  </si>
  <si>
    <t>-627.286599509057 127.640126667159 -680.522882830136</t>
  </si>
  <si>
    <t>-611.916302460302 111.93218564239 -831.24448993216</t>
  </si>
  <si>
    <t>-588.949793897236 77.3639058493513 -924.306495799199</t>
  </si>
  <si>
    <t>-599.677285330003 144.334829656271 -765.265733395923</t>
  </si>
  <si>
    <t>-506.417396248583 255.876461693167 -743.230813921359</t>
  </si>
  <si>
    <t>-484.991003810838 308.448259793701 -431.841346219352</t>
  </si>
  <si>
    <t>-354.966117803996 129.159668310381 -295.491844555564</t>
  </si>
  <si>
    <t>-637.757069950592 93.430110141627 -763.843870071551</t>
  </si>
  <si>
    <t>-525.332037597078 229.665247479099 -241.352891373538</t>
  </si>
  <si>
    <t>-553.486108201402 228.526653095598 213.469863555611</t>
  </si>
  <si>
    <t>-602.689664871614 211.872531442366 680.422608515232</t>
  </si>
  <si>
    <t>-483.583779372334 113.603328878424 764.68685524401</t>
  </si>
  <si>
    <t>-628.055578193588 65.5270994434243 -210.814179189991</t>
  </si>
  <si>
    <t>-501.283563005905 -78.4381503027862 202.538650136252</t>
  </si>
  <si>
    <t>-555.301842052741 27.5747603277662 657.108073208537</t>
  </si>
  <si>
    <t>-538.592544563989 -124.455145079913 744.005948334622</t>
  </si>
  <si>
    <t>9763-20170724T160424.230147200.bin</t>
  </si>
  <si>
    <t>-576.642524632535 147.506948551671 -226.446576926458</t>
  </si>
  <si>
    <t>-612.729373044661 148.352940139365 -342.052933967351</t>
  </si>
  <si>
    <t>-627.379616590865 143.671737544901 -462.277834505577</t>
  </si>
  <si>
    <t>-631.732039899087 136.9408012368 -571.505150350272</t>
  </si>
  <si>
    <t>-627.286464012421 127.671913774452 -680.542601637776</t>
  </si>
  <si>
    <t>-611.988067539734 112.065922950296 -831.282145815133</t>
  </si>
  <si>
    <t>-589.040109402225 77.5653595350293 -924.373991344006</t>
  </si>
  <si>
    <t>-599.747173165164 144.445921381618 -765.292638828485</t>
  </si>
  <si>
    <t>-506.575968169635 256.057475586332 -743.234823582545</t>
  </si>
  <si>
    <t>-485.683964574043 308.508866622971 -431.788921977481</t>
  </si>
  <si>
    <t>-355.748840981099 129.287577358377 -295.265406991678</t>
  </si>
  <si>
    <t>-637.767080578796 93.4962705396711 -763.876535954511</t>
  </si>
  <si>
    <t>-525.300864174647 229.648849429773 -241.362927196283</t>
  </si>
  <si>
    <t>-553.429981174068 228.476267584083 213.461312765479</t>
  </si>
  <si>
    <t>-602.68300642134 211.885208114849 680.406473016525</t>
  </si>
  <si>
    <t>-483.557400121465 113.638272435372 764.668816026041</t>
  </si>
  <si>
    <t>-627.838981777241 65.4153088671362 -210.82109563075</t>
  </si>
  <si>
    <t>-500.919634886289 -78.3600355633084 202.55261702378</t>
  </si>
  <si>
    <t>-555.259123826517 27.5471788819928 657.099082986766</t>
  </si>
  <si>
    <t>-538.551032853701 -124.457710222562 744.040882601019</t>
  </si>
  <si>
    <t>9763-20170724T160424.296322900.bin</t>
  </si>
  <si>
    <t>-576.393290281732 147.402058538575 -226.454557913198</t>
  </si>
  <si>
    <t>-612.544633980767 148.189645862033 -342.041107638988</t>
  </si>
  <si>
    <t>-627.245791310285 143.515646496171 -462.260006448409</t>
  </si>
  <si>
    <t>-631.637491491625 136.817344226404 -571.487846161106</t>
  </si>
  <si>
    <t>-627.223670434011 127.606822478266 -680.531477387649</t>
  </si>
  <si>
    <t>-611.961414174634 112.107776741762 -831.285809429384</t>
  </si>
  <si>
    <t>-589.010943819879 77.7036987147414 -924.412720531977</t>
  </si>
  <si>
    <t>-599.766113134427 144.486564185757 -765.287104503897</t>
  </si>
  <si>
    <t>-506.884942211148 256.322914816281 -743.188721264543</t>
  </si>
  <si>
    <t>-486.460073365127 308.677770013278 -431.695549769467</t>
  </si>
  <si>
    <t>-356.789490428581 129.41846231697 -294.970771631059</t>
  </si>
  <si>
    <t>-637.662772153546 93.4447929845169 -763.876113902088</t>
  </si>
  <si>
    <t>-525.318763531537 229.607169836703 -241.359146087289</t>
  </si>
  <si>
    <t>-553.328453078658 228.322748726942 213.472142616988</t>
  </si>
  <si>
    <t>-602.77632418648 211.845435608885 680.443349983557</t>
  </si>
  <si>
    <t>-483.534756611655 113.689041006569 764.647174402309</t>
  </si>
  <si>
    <t>-627.322712018934 65.2121556324555 -210.857695830201</t>
  </si>
  <si>
    <t>-499.979797213185 -78.0589575392764 202.560810526128</t>
  </si>
  <si>
    <t>-555.122071045406 27.4959051645994 657.088039222497</t>
  </si>
  <si>
    <t>-538.473965691968 -124.457749585081 744.130689417933</t>
  </si>
  <si>
    <t>9763-20170724T160424.327407500.bin</t>
  </si>
  <si>
    <t>-576.257196370878 147.385990358164 -226.435645601259</t>
  </si>
  <si>
    <t>-612.448697167762 148.143155306782 -342.009847334459</t>
  </si>
  <si>
    <t>-627.149246780662 143.467057567012 -462.228716153068</t>
  </si>
  <si>
    <t>-631.522835736017 136.778551170263 -571.45779439924</t>
  </si>
  <si>
    <t>-627.073160660656 127.589471604832 -680.501857912268</t>
  </si>
  <si>
    <t>-611.742686070836 112.132278081099 -831.253486318455</t>
  </si>
  <si>
    <t>-588.738777473719 77.7616063489024 -924.379536953436</t>
  </si>
  <si>
    <t>-599.622548779803 144.525970720537 -765.248486875727</t>
  </si>
  <si>
    <t>-506.888460176584 256.496938733255 -743.139575660546</t>
  </si>
  <si>
    <t>-486.499422083362 308.825730164825 -431.639750810944</t>
  </si>
  <si>
    <t>-356.82430241871 129.571345066692 -294.912807745363</t>
  </si>
  <si>
    <t>-637.429285925367 93.4173113301642 -763.852811949763</t>
  </si>
  <si>
    <t>-525.354258668184 229.66573932494 -241.336671004672</t>
  </si>
  <si>
    <t>-553.243693925375 228.229937369997 213.501625398321</t>
  </si>
  <si>
    <t>-602.80778036428 211.873985478193 680.485576313052</t>
  </si>
  <si>
    <t>-483.508102207436 113.735979291037 764.628484344828</t>
  </si>
  <si>
    <t>-626.999153078471 65.1399910623215 -210.837061338943</t>
  </si>
  <si>
    <t>-499.413529724042 -77.8572940081665 202.601406514253</t>
  </si>
  <si>
    <t>-555.072676109429 27.4631249854745 657.103966841103</t>
  </si>
  <si>
    <t>-538.404633485093 -124.466626528702 744.184549363862</t>
  </si>
  <si>
    <t>9763-20170724T160424.391601900.bin</t>
  </si>
  <si>
    <t>-576.017939007103 147.418520630318 -226.429527337421</t>
  </si>
  <si>
    <t>-612.312347226729 148.103847482698 -341.971988373457</t>
  </si>
  <si>
    <t>-627.07007253535 143.402399264367 -462.182864499439</t>
  </si>
  <si>
    <t>-631.474707465036 136.710145658599 -571.4103999012</t>
  </si>
  <si>
    <t>-627.035415368975 127.535542281567 -680.456164539117</t>
  </si>
  <si>
    <t>-611.697101173397 112.117792331246 -831.211106864907</t>
  </si>
  <si>
    <t>-588.561737655651 77.8685935639201 -924.34935916774</t>
  </si>
  <si>
    <t>-599.679401153084 144.566709571439 -765.214383744042</t>
  </si>
  <si>
    <t>-507.441458577717 256.942153878386 -743.133931376285</t>
  </si>
  <si>
    <t>-486.800707724228 309.149339120546 -431.630158826351</t>
  </si>
  <si>
    <t>-356.704714006362 130.183565471143 -294.924967785558</t>
  </si>
  <si>
    <t>-637.288228147217 93.3126660424468 -763.799105083873</t>
  </si>
  <si>
    <t>-525.532484269944 229.861875666172 -241.314460684164</t>
  </si>
  <si>
    <t>-553.182023170357 228.082075994943 213.537229725573</t>
  </si>
  <si>
    <t>-602.924619137072 211.745155224225 680.469574287246</t>
  </si>
  <si>
    <t>-483.37353007487 113.901156593481 764.59804729025</t>
  </si>
  <si>
    <t>-626.36156931572 64.999771315217 -210.849930145789</t>
  </si>
  <si>
    <t>-498.131197686015 -77.2326883779242 202.652963141713</t>
  </si>
  <si>
    <t>-554.97598943794 27.4166537214167 657.153214557399</t>
  </si>
  <si>
    <t>-538.185454882094 -124.468626202133 744.287899119773</t>
  </si>
  <si>
    <t>9763-20170724T160424.429701100.bin</t>
  </si>
  <si>
    <t>-575.932770328106 147.476370249015 -226.452242752824</t>
  </si>
  <si>
    <t>-612.241601628256 148.113157610524 -341.990449050282</t>
  </si>
  <si>
    <t>-627.045976962093 143.422634479458 -462.196052017151</t>
  </si>
  <si>
    <t>-631.505776885646 136.763431026549 -571.42344409371</t>
  </si>
  <si>
    <t>-627.133828141373 127.644703523728 -680.476650141321</t>
  </si>
  <si>
    <t>-611.901459534453 112.327263965509 -831.252454053381</t>
  </si>
  <si>
    <t>-588.703802273003 78.177108539247 -924.411428833461</t>
  </si>
  <si>
    <t>-599.886616294351 144.768139633612 -765.251280637616</t>
  </si>
  <si>
    <t>-507.845276493267 257.318340460822 -743.1953488911</t>
  </si>
  <si>
    <t>-487.116436069687 309.455412017459 -431.685734090965</t>
  </si>
  <si>
    <t>-356.632207719849 130.803453945686 -294.939946194649</t>
  </si>
  <si>
    <t>-637.39591737528 93.4414765581323 -763.826344008422</t>
  </si>
  <si>
    <t>-525.650330499194 230.016527045148 -241.332811943477</t>
  </si>
  <si>
    <t>-553.267772658229 228.083872418558 213.520083369911</t>
  </si>
  <si>
    <t>-602.996074449847 211.637143529726 680.450462593009</t>
  </si>
  <si>
    <t>-483.205586992678 114.100599180623 764.595412247243</t>
  </si>
  <si>
    <t>-626.100902943734 64.9738714748853 -210.88724095619</t>
  </si>
  <si>
    <t>-497.595209045098 -76.8660337634765 202.664931308131</t>
  </si>
  <si>
    <t>-554.952390315215 27.4047470058206 657.200957445179</t>
  </si>
  <si>
    <t>-538.063530245842 -124.472883705505 744.330015001614</t>
  </si>
  <si>
    <t>9763-20170724T160424.494752300.bin</t>
  </si>
  <si>
    <t>-575.727429988088 147.894403112797 -226.489905030092</t>
  </si>
  <si>
    <t>-612.075034332622 148.441942042612 -342.016391612515</t>
  </si>
  <si>
    <t>-626.994048979857 143.775328177805 -462.208675801688</t>
  </si>
  <si>
    <t>-631.587508906822 137.181570998587 -571.434461328265</t>
  </si>
  <si>
    <t>-627.379044924436 128.1691811811 -680.503000105572</t>
  </si>
  <si>
    <t>-612.403445006399 113.04034502325 -831.323552934188</t>
  </si>
  <si>
    <t>-589.121792954623 79.0775996695422 -924.530235395048</t>
  </si>
  <si>
    <t>-600.358984853596 145.45853124909 -765.316629268315</t>
  </si>
  <si>
    <t>-508.698663402247 258.31987354064 -743.327677235389</t>
  </si>
  <si>
    <t>-487.94218612209 310.370205276346 -431.805425596195</t>
  </si>
  <si>
    <t>-356.546971803387 132.400223911208 -295.042751443535</t>
  </si>
  <si>
    <t>-637.700371863604 94.0102560062703 -763.863557137288</t>
  </si>
  <si>
    <t>-525.733849977337 230.724691510364 -241.358055545943</t>
  </si>
  <si>
    <t>-553.323828987481 228.579664899108 213.495643533168</t>
  </si>
  <si>
    <t>-602.802452747218 211.831452180235 680.413761240265</t>
  </si>
  <si>
    <t>-483.103314348294 114.23263967606 764.616500173667</t>
  </si>
  <si>
    <t>-625.586002137 65.115059381209 -210.92218059296</t>
  </si>
  <si>
    <t>-496.695584536714 -76.2167845128324 202.684235323056</t>
  </si>
  <si>
    <t>-554.93434135497 27.4148537718586 657.2966107932</t>
  </si>
  <si>
    <t>-537.812511791068 -124.470341376072 744.366957665581</t>
  </si>
  <si>
    <t>9763-20170724T160424.527838800.bin</t>
  </si>
  <si>
    <t>-575.660458965023 148.090906784107 -226.472972563453</t>
  </si>
  <si>
    <t>-612.040937325576 148.612973795149 -341.989135939416</t>
  </si>
  <si>
    <t>-627.024743894377 143.977142400682 -462.174653816431</t>
  </si>
  <si>
    <t>-631.68870998405 137.434971638948 -571.40057901393</t>
  </si>
  <si>
    <t>-627.561705024981 128.498275532325 -680.478382478879</t>
  </si>
  <si>
    <t>-612.709876529847 113.499695325394 -831.324181392651</t>
  </si>
  <si>
    <t>-589.425933611603 79.6314598240176 -924.564651653907</t>
  </si>
  <si>
    <t>-600.655634875489 145.892758875445 -765.306722999396</t>
  </si>
  <si>
    <t>-509.175347975756 258.914415490647 -743.350459731929</t>
  </si>
  <si>
    <t>-488.283913743916 311.036490158587 -431.849214784299</t>
  </si>
  <si>
    <t>-356.516527421521 133.360214504279 -295.062607849902</t>
  </si>
  <si>
    <t>-637.907005821163 94.3795193875972 -763.852400165577</t>
  </si>
  <si>
    <t>-525.794012502771 230.972464873271 -241.350761345971</t>
  </si>
  <si>
    <t>-553.393531396759 228.757025972508 213.501996561259</t>
  </si>
  <si>
    <t>-602.895457798071 211.695457824759 680.401011093748</t>
  </si>
  <si>
    <t>-483.132965478226 114.200222053155 764.633626060789</t>
  </si>
  <si>
    <t>-625.411905850053 65.2138800651676 -210.89420530371</t>
  </si>
  <si>
    <t>-496.440085841901 -76.0926313590764 202.695430042611</t>
  </si>
  <si>
    <t>-554.941186747428 27.4251451110063 657.319507721188</t>
  </si>
  <si>
    <t>-537.742729779055 -124.471332583746 744.355154648252</t>
  </si>
  <si>
    <t>9763-20170724T160424.596604400.bin</t>
  </si>
  <si>
    <t>-575.450364438813 148.554583629716 -226.410749234461</t>
  </si>
  <si>
    <t>-611.874297674584 149.068480277103 -341.913220979198</t>
  </si>
  <si>
    <t>-626.950244569845 144.542838541495 -462.09136707259</t>
  </si>
  <si>
    <t>-631.71429321956 138.154258692634 -571.32206533328</t>
  </si>
  <si>
    <t>-627.701852168649 129.428063585329 -680.421164336328</t>
  </si>
  <si>
    <t>-613.021680508392 114.783983323332 -831.31861390528</t>
  </si>
  <si>
    <t>-589.732214364565 81.1499430386057 -924.6424572384</t>
  </si>
  <si>
    <t>-600.972131885423 147.078984059138 -765.252290937003</t>
  </si>
  <si>
    <t>-509.804923661308 260.355170088599 -743.318425766416</t>
  </si>
  <si>
    <t>-488.607176561871 312.773795745935 -431.887661511842</t>
  </si>
  <si>
    <t>-356.225613878734 135.592858295664 -295.051646713227</t>
  </si>
  <si>
    <t>-638.062326362499 95.4480140352894 -763.849964953432</t>
  </si>
  <si>
    <t>-525.65817159432 231.469757403315 -241.302158870572</t>
  </si>
  <si>
    <t>-553.308919651396 229.090094343873 213.546623691893</t>
  </si>
  <si>
    <t>-602.89497936751 211.718481119378 680.431053979744</t>
  </si>
  <si>
    <t>-483.166301942936 114.183637556225 764.665905254319</t>
  </si>
  <si>
    <t>-625.125063024701 65.6142208877668 -210.823037632859</t>
  </si>
  <si>
    <t>-496.24117885805 -75.968372650595 202.69961932481</t>
  </si>
  <si>
    <t>-554.928159051521 27.4384726924779 657.316787519638</t>
  </si>
  <si>
    <t>-537.709437044703 -124.470953470988 744.325807850995</t>
  </si>
  <si>
    <t>9763-20170724T160424.628691600.bin</t>
  </si>
  <si>
    <t>-575.373087645839 148.764233145601 -226.406715911929</t>
  </si>
  <si>
    <t>-611.802721136356 149.322004725746 -341.907249392883</t>
  </si>
  <si>
    <t>-626.939375252234 144.875525912349 -462.080686064211</t>
  </si>
  <si>
    <t>-631.779665088959 138.576191441891 -571.313220387446</t>
  </si>
  <si>
    <t>-627.863593791621 129.958854179426 -680.424438474276</t>
  </si>
  <si>
    <t>-613.336951582893 115.48801812542 -831.35361934872</t>
  </si>
  <si>
    <t>-590.080152187112 81.9635918618928 -924.724937260536</t>
  </si>
  <si>
    <t>-601.241543602147 147.7224385723 -765.265916037597</t>
  </si>
  <si>
    <t>-510.140849305971 261.063442733234 -743.343893718463</t>
  </si>
  <si>
    <t>-488.924804662082 313.524295747298 -431.921275289805</t>
  </si>
  <si>
    <t>-356.306257367362 136.580967765599 -295.007461660719</t>
  </si>
  <si>
    <t>-638.287570204311 96.0593517207774 -763.878155817395</t>
  </si>
  <si>
    <t>-525.554592980009 231.642125619554 -241.277669135975</t>
  </si>
  <si>
    <t>-553.216600799638 229.099673518956 213.569494033343</t>
  </si>
  <si>
    <t>-602.918527941692 211.718493654597 680.44734007221</t>
  </si>
  <si>
    <t>-483.080077082866 114.298616859237 764.659121359836</t>
  </si>
  <si>
    <t>-625.080633570558 65.8758103815453 -210.846248729623</t>
  </si>
  <si>
    <t>-496.349850001811 -75.8413085856114 202.677955497696</t>
  </si>
  <si>
    <t>-554.94318615108 27.4396918462853 657.331005312922</t>
  </si>
  <si>
    <t>-537.699130254099 -124.47125513321 744.33234303326</t>
  </si>
  <si>
    <t>9763-20170724T160424.692867200.bin</t>
  </si>
  <si>
    <t>-575.260684942709 149.252332292681 -226.428668175919</t>
  </si>
  <si>
    <t>-611.695002704441 149.920964049927 -341.927101434283</t>
  </si>
  <si>
    <t>-626.954300317241 145.655298465526 -462.091747463055</t>
  </si>
  <si>
    <t>-631.951520203628 139.554069012424 -571.328399507103</t>
  </si>
  <si>
    <t>-628.236042823642 131.173049201515 -680.465012868251</t>
  </si>
  <si>
    <t>-614.030708433883 117.073546976205 -831.45984207228</t>
  </si>
  <si>
    <t>-590.839369726662 83.7581569438585 -924.922190457703</t>
  </si>
  <si>
    <t>-601.828359445908 149.169413632694 -765.324475945862</t>
  </si>
  <si>
    <t>-510.759035442501 262.531280865908 -743.436932777179</t>
  </si>
  <si>
    <t>-489.516251440231 314.742974624747 -431.974466711743</t>
  </si>
  <si>
    <t>-356.621755692043 138.129375903319 -294.902403955393</t>
  </si>
  <si>
    <t>-638.803844927601 97.4549288996491 -763.974091494621</t>
  </si>
  <si>
    <t>-525.287173080027 232.077862072653 -241.235093984851</t>
  </si>
  <si>
    <t>-553.041769082206 229.24046399307 213.604788459048</t>
  </si>
  <si>
    <t>-602.900458053401 211.77016170478 680.445432061788</t>
  </si>
  <si>
    <t>-483.1846590008 114.200986439446 764.658831437524</t>
  </si>
  <si>
    <t>-625.120003799387 66.4406492213975 -210.923418012671</t>
  </si>
  <si>
    <t>-496.668497714964 -75.4920199675214 202.613790929498</t>
  </si>
  <si>
    <t>-554.987539991984 27.4433215088234 657.390418588939</t>
  </si>
  <si>
    <t>-537.733389456584 -124.477586591075 744.37220849176</t>
  </si>
  <si>
    <t>9763-20170724T160424.725955800.bin</t>
  </si>
  <si>
    <t>-575.228796677735 149.485738631791 -226.439512372845</t>
  </si>
  <si>
    <t>-611.653289747708 150.209849148371 -341.940865100788</t>
  </si>
  <si>
    <t>-626.972760315077 146.042775468585 -462.101294680399</t>
  </si>
  <si>
    <t>-632.052141545653 140.050371753088 -571.340053921792</t>
  </si>
  <si>
    <t>-628.445886938852 131.798581211171 -680.490300735672</t>
  </si>
  <si>
    <t>-614.418834343766 117.901251089702 -831.520490146655</t>
  </si>
  <si>
    <t>-591.273534349349 84.6815954413723 -925.028407398188</t>
  </si>
  <si>
    <t>-602.144660122171 149.912939724407 -765.357599315312</t>
  </si>
  <si>
    <t>-511.031584017628 263.257165335652 -743.488381825986</t>
  </si>
  <si>
    <t>-489.741237033166 315.409726007555 -432.01929201503</t>
  </si>
  <si>
    <t>-356.881802757555 138.78098885552 -294.932683358588</t>
  </si>
  <si>
    <t>-639.106165426526 98.187731783757 -764.030900371481</t>
  </si>
  <si>
    <t>-525.200439818925 232.274721132831 -241.224236706612</t>
  </si>
  <si>
    <t>-553.004256798371 229.305339996883 213.611790594368</t>
  </si>
  <si>
    <t>-602.910776036144 211.762766436955 680.440673524713</t>
  </si>
  <si>
    <t>-483.089308962175 114.323076940714 764.653703756871</t>
  </si>
  <si>
    <t>-625.132989603291 66.7046422657929 -210.962214550289</t>
  </si>
  <si>
    <t>-496.8727135862 -75.3696882436802 202.585623434416</t>
  </si>
  <si>
    <t>-555.005097529834 27.4586532826413 657.426487435266</t>
  </si>
  <si>
    <t>-537.735164246937 -124.474697274031 744.38358954764</t>
  </si>
  <si>
    <t>9763-20170724T160424.797155600.bin</t>
  </si>
  <si>
    <t>-575.083933226263 150.019932061234 -226.360847623137</t>
  </si>
  <si>
    <t>-611.505771889696 150.823650014369 -341.86240377839</t>
  </si>
  <si>
    <t>-626.923357714307 146.803140216629 -462.01516332125</t>
  </si>
  <si>
    <t>-632.131903592502 140.972015382787 -571.256767475458</t>
  </si>
  <si>
    <t>-628.693592158478 132.911578824581 -680.426588108527</t>
  </si>
  <si>
    <t>-614.938879500068 119.311794021379 -831.508895640465</t>
  </si>
  <si>
    <t>-591.857505209634 86.220447763242 -925.07806897725</t>
  </si>
  <si>
    <t>-602.542095565532 151.19090154927 -765.305022180411</t>
  </si>
  <si>
    <t>-511.309690459735 264.425168801621 -743.457572088422</t>
  </si>
  <si>
    <t>-489.68313074464 316.494981454123 -431.997721597279</t>
  </si>
  <si>
    <t>-357.182760577847 139.595573239078 -294.912851651282</t>
  </si>
  <si>
    <t>-639.507721685087 99.4676744544038 -764.014515406104</t>
  </si>
  <si>
    <t>-524.93413740699 232.761979974758 -241.134924177979</t>
  </si>
  <si>
    <t>-552.889662856977 229.562783722233 213.690205150119</t>
  </si>
  <si>
    <t>-602.971898620018 211.746523545673 680.473873294997</t>
  </si>
  <si>
    <t>-483.030479614084 114.432428107885 764.661368543547</t>
  </si>
  <si>
    <t>-625.099079145286 67.2876130894026 -210.889416272904</t>
  </si>
  <si>
    <t>-497.287781862114 -75.3732168927465 202.595570206845</t>
  </si>
  <si>
    <t>-555.085571077014 27.5038705528711 657.505589655013</t>
  </si>
  <si>
    <t>-537.757881662314 -124.475168991983 744.37113057405</t>
  </si>
  <si>
    <t>9763-20170724T160424.830242000.bin</t>
  </si>
  <si>
    <t>-574.976140277681 150.331587933982 -226.312720158943</t>
  </si>
  <si>
    <t>-611.392779582909 151.174829844516 -341.815667221973</t>
  </si>
  <si>
    <t>-626.857981666532 147.238388330424 -461.965149792222</t>
  </si>
  <si>
    <t>-632.131148973393 141.501133211611 -571.208498016598</t>
  </si>
  <si>
    <t>-628.778294696739 133.552596557267 -680.389304954913</t>
  </si>
  <si>
    <t>-615.162952517785 120.127308560078 -831.499837142359</t>
  </si>
  <si>
    <t>-592.077138438594 87.091444052317 -925.087503229387</t>
  </si>
  <si>
    <t>-602.693901946748 151.922008249995 -765.268815334246</t>
  </si>
  <si>
    <t>-511.340739172901 265.065664342985 -743.410421593345</t>
  </si>
  <si>
    <t>-489.601619815095 317.006808932352 -431.936823585917</t>
  </si>
  <si>
    <t>-357.325552318395 139.933655582846 -294.859423432058</t>
  </si>
  <si>
    <t>-639.680717595686 100.213178839956 -764.007365283816</t>
  </si>
  <si>
    <t>-524.748483057781 233.063520914886 -241.089392637452</t>
  </si>
  <si>
    <t>-552.770312926658 229.744494743158 213.730898898461</t>
  </si>
  <si>
    <t>-602.926093874599 211.816064982228 680.48332776224</t>
  </si>
  <si>
    <t>-483.087885450037 114.377073227863 764.67334050673</t>
  </si>
  <si>
    <t>-625.060435231432 67.6137957894127 -210.83739448456</t>
  </si>
  <si>
    <t>-497.516206371326 -75.4145457713717 202.603094680573</t>
  </si>
  <si>
    <t>-555.134327121672 27.5326526527228 657.528988011205</t>
  </si>
  <si>
    <t>-537.775836741332 -124.477951308911 744.333377008056</t>
  </si>
  <si>
    <t>9763-20170724T160424.896003800.bin</t>
  </si>
  <si>
    <t>-574.833191567817 150.829279707714 -226.202307765421</t>
  </si>
  <si>
    <t>-611.222242085632 151.727674657086 -341.713552133207</t>
  </si>
  <si>
    <t>-626.761494841324 147.931245410193 -461.857878320969</t>
  </si>
  <si>
    <t>-632.142913958133 142.354651627622 -571.104420585421</t>
  </si>
  <si>
    <t>-628.938821590717 134.600292857726 -680.30358562292</t>
  </si>
  <si>
    <t>-615.57110423645 121.479144653724 -831.462862002552</t>
  </si>
  <si>
    <t>-592.405820870309 88.4361694535548 -925.028450761647</t>
  </si>
  <si>
    <t>-602.95738465722 153.114644728515 -765.183158961499</t>
  </si>
  <si>
    <t>-511.380419709034 266.059975118402 -743.265431464286</t>
  </si>
  <si>
    <t>-489.448812300702 317.605517206467 -431.73966292959</t>
  </si>
  <si>
    <t>-357.500041444926 140.184053147093 -294.797371077696</t>
  </si>
  <si>
    <t>-640.014418132407 101.455057600481 -763.975927685072</t>
  </si>
  <si>
    <t>-524.460846460721 233.420045451875 -240.970815300938</t>
  </si>
  <si>
    <t>-552.64776557595 229.883132256299 213.837654998076</t>
  </si>
  <si>
    <t>-603.003827297093 211.802950703009 680.550585580849</t>
  </si>
  <si>
    <t>-482.997316597492 114.52706654121 764.689471787709</t>
  </si>
  <si>
    <t>-625.129189849795 68.2409276191695 -210.727387453385</t>
  </si>
  <si>
    <t>-498.196397858265 -75.5522575860819 202.635966620747</t>
  </si>
  <si>
    <t>-555.271457891096 27.6305387811931 657.621269598883</t>
  </si>
  <si>
    <t>-537.788786330792 -124.477806764811 744.229261807084</t>
  </si>
  <si>
    <t>9763-20170724T160424.929090900.bin</t>
  </si>
  <si>
    <t>-574.775721624024 151.07111279853 -226.156154424136</t>
  </si>
  <si>
    <t>-611.145858128372 152.02393474849 -341.672992721779</t>
  </si>
  <si>
    <t>-626.72169056795 148.341246921778 -461.816129418218</t>
  </si>
  <si>
    <t>-632.158901586534 142.890850125362 -571.066246545353</t>
  </si>
  <si>
    <t>-629.032556030766 135.285960902486 -680.278073189198</t>
  </si>
  <si>
    <t>-615.795181627944 122.396071428702 -831.468863707403</t>
  </si>
  <si>
    <t>-592.473750487635 89.1911531099581 -924.938210340815</t>
  </si>
  <si>
    <t>-603.09781864506 153.911196974286 -765.147725353493</t>
  </si>
  <si>
    <t>-511.388285966537 266.731269385518 -743.15557559691</t>
  </si>
  <si>
    <t>-489.429499789111 318.052496816716 -431.594857631554</t>
  </si>
  <si>
    <t>-357.628102376196 140.469384426478 -294.720199761722</t>
  </si>
  <si>
    <t>-640.206844013493 102.287648534139 -763.995516106119</t>
  </si>
  <si>
    <t>-524.261581374207 233.608010318547 -240.913151127497</t>
  </si>
  <si>
    <t>-552.53128504935 229.975646087211 213.889362463551</t>
  </si>
  <si>
    <t>-602.991440706963 211.858490607579 680.573889866606</t>
  </si>
  <si>
    <t>-483.098633882345 114.433631286348 764.702496941147</t>
  </si>
  <si>
    <t>-625.18403860726 68.5479145689719 -210.705840913264</t>
  </si>
  <si>
    <t>-498.649489446202 -75.6656000742382 202.633184001245</t>
  </si>
  <si>
    <t>-555.331874891141 27.6737158182739 657.648259622872</t>
  </si>
  <si>
    <t>-537.836918628082 -124.482144502575 744.170260617868</t>
  </si>
  <si>
    <t>9763-20170724T160424.995934500.bin</t>
  </si>
  <si>
    <t>-574.663264296056 151.43093543447 -226.128792606143</t>
  </si>
  <si>
    <t>-610.954467750995 152.50393221773 -341.669161202186</t>
  </si>
  <si>
    <t>-626.567453499677 149.121616797506 -461.816499705635</t>
  </si>
  <si>
    <t>-632.08478856234 144.017398381313 -571.079232404108</t>
  </si>
  <si>
    <t>-629.083519117125 136.833891358453 -680.323244396933</t>
  </si>
  <si>
    <t>-616.064541117638 124.608296203454 -831.588109594516</t>
  </si>
  <si>
    <t>-592.097315453937 90.649827111208 -924.622262604901</t>
  </si>
  <si>
    <t>-603.231837920635 155.803534241573 -765.141710044435</t>
  </si>
  <si>
    <t>-511.310511779289 268.405639957087 -742.850829815186</t>
  </si>
  <si>
    <t>-489.228458296718 318.851864984577 -431.155764463378</t>
  </si>
  <si>
    <t>-357.692225834973 140.757636181493 -294.690785265892</t>
  </si>
  <si>
    <t>-640.418272011842 104.231900159657 -764.174267374658</t>
  </si>
  <si>
    <t>-523.893653595299 233.776182303559 -240.823082189982</t>
  </si>
  <si>
    <t>-552.371386756809 229.953707026772 213.964889276067</t>
  </si>
  <si>
    <t>-603.086404511972 211.81834257435 680.613742956647</t>
  </si>
  <si>
    <t>-482.99714734376 114.601005997008 764.702208042563</t>
  </si>
  <si>
    <t>-625.312822848678 69.1097193330013 -210.739491998154</t>
  </si>
  <si>
    <t>-499.643780270612 -75.9200331217251 202.577981687045</t>
  </si>
  <si>
    <t>-555.372814860535 27.7294453586803 657.63386649116</t>
  </si>
  <si>
    <t>-537.985428131955 -124.489548410279 744.066450333759</t>
  </si>
  <si>
    <t>9763-20170724T160425.028020200.bin</t>
  </si>
  <si>
    <t>-574.583249721049 151.641971482073 -226.148286488736</t>
  </si>
  <si>
    <t>-610.848247072491 152.796145018023 -341.696378650388</t>
  </si>
  <si>
    <t>-626.484715158389 149.590197056681 -461.845247242989</t>
  </si>
  <si>
    <t>-632.042996264581 144.685072973096 -571.115197133026</t>
  </si>
  <si>
    <t>-629.101327485029 137.741041731392 -680.376168228163</t>
  </si>
  <si>
    <t>-616.183169720444 125.891064369587 -831.679546907592</t>
  </si>
  <si>
    <t>-591.802962731854 91.3976300618672 -924.409251387158</t>
  </si>
  <si>
    <t>-603.296487131401 156.914226014132 -765.16326658598</t>
  </si>
  <si>
    <t>-511.32103457057 269.427314458341 -742.661586423159</t>
  </si>
  <si>
    <t>-489.17817276331 319.258446295296 -430.871890887848</t>
  </si>
  <si>
    <t>-357.733567444646 140.869156240049 -294.704281254131</t>
  </si>
  <si>
    <t>-640.501667985231 105.354336365665 -764.301630992499</t>
  </si>
  <si>
    <t>-523.667442828101 233.943194715955 -240.807511844977</t>
  </si>
  <si>
    <t>-552.20658915873 230.00826977325 213.975698382289</t>
  </si>
  <si>
    <t>-603.022728876112 211.922497036217 680.614862936506</t>
  </si>
  <si>
    <t>-483.125792493755 114.46934702095 764.704819109266</t>
  </si>
  <si>
    <t>-625.360607922884 69.3863548171175 -210.805727221731</t>
  </si>
  <si>
    <t>-500.108208174339 -75.9534432351563 202.529292100212</t>
  </si>
  <si>
    <t>-555.392052748982 27.7471189621681 657.630999275784</t>
  </si>
  <si>
    <t>-538.08960477637 -124.497282581343 744.035717336773</t>
  </si>
  <si>
    <t>9763-20170724T160425.092748000.bin</t>
  </si>
  <si>
    <t>-574.536845592759 151.979445245893 -226.183437942984</t>
  </si>
  <si>
    <t>-610.800718129408 153.321924782276 -341.729690771928</t>
  </si>
  <si>
    <t>-626.444190151615 150.378796610804 -461.884608459361</t>
  </si>
  <si>
    <t>-632.011835621146 145.739477007174 -571.165485074287</t>
  </si>
  <si>
    <t>-629.081575669482 139.08912844964 -680.445200712499</t>
  </si>
  <si>
    <t>-616.181081876669 127.675231180345 -831.783532802504</t>
  </si>
  <si>
    <t>-590.922752173912 92.0418624270717 -923.844707283209</t>
  </si>
  <si>
    <t>-603.235789168333 158.470120464147 -765.17258068724</t>
  </si>
  <si>
    <t>-511.155731752925 270.817028696693 -742.304810643027</t>
  </si>
  <si>
    <t>-489.156694485601 319.562321840298 -430.333421159457</t>
  </si>
  <si>
    <t>-357.790007742342 140.628378664881 -294.80676076496</t>
  </si>
  <si>
    <t>-640.542472486216 106.980981372783 -764.46942720379</t>
  </si>
  <si>
    <t>-523.422895746112 234.140911361945 -240.776837317884</t>
  </si>
  <si>
    <t>-552.03252274433 229.97842405817 213.999851419956</t>
  </si>
  <si>
    <t>-603.1396064616 211.817384430791 680.607065037585</t>
  </si>
  <si>
    <t>-483.08768854478 114.558789978883 764.701147618307</t>
  </si>
  <si>
    <t>-625.533194104267 69.855685871147 -210.91274767287</t>
  </si>
  <si>
    <t>-500.941764042012 -76.0224972988619 202.432363968671</t>
  </si>
  <si>
    <t>-555.388245429145 27.7748673139374 657.608028232406</t>
  </si>
  <si>
    <t>-538.307854109775 -124.514833619521 743.977160328414</t>
  </si>
  <si>
    <t>9763-20170724T160425.129852600.bin</t>
  </si>
  <si>
    <t>-574.478318745612 152.189010467754 -226.185161903911</t>
  </si>
  <si>
    <t>-610.732946965858 153.608041310586 -341.733423266718</t>
  </si>
  <si>
    <t>-626.312789949435 150.747799911769 -461.898574636241</t>
  </si>
  <si>
    <t>-631.800793832595 146.184192769134 -571.186770419298</t>
  </si>
  <si>
    <t>-628.769338514954 139.609200597886 -680.46819625529</t>
  </si>
  <si>
    <t>-615.706228085055 128.299046871563 -831.800325805663</t>
  </si>
  <si>
    <t>-589.961335308934 92.0853594214539 -923.499624387077</t>
  </si>
  <si>
    <t>-602.796761629405 159.022211617778 -765.149349986975</t>
  </si>
  <si>
    <t>-510.613471748776 271.25169734868 -742.149998403525</t>
  </si>
  <si>
    <t>-488.760032094885 319.822614930735 -430.141162819751</t>
  </si>
  <si>
    <t>-357.526062294615 140.669313395691 -294.77580792965</t>
  </si>
  <si>
    <t>-640.175848061048 107.584535022519 -764.53167149518</t>
  </si>
  <si>
    <t>-523.220038201733 234.296898632861 -240.751812395976</t>
  </si>
  <si>
    <t>-551.852979065898 230.038178157001 214.022542098007</t>
  </si>
  <si>
    <t>-603.081845153061 211.919092972926 680.609955744516</t>
  </si>
  <si>
    <t>-483.280108034067 114.364818590377 764.718331834464</t>
  </si>
  <si>
    <t>-625.587963620104 70.1019721837599 -210.95307299609</t>
  </si>
  <si>
    <t>-501.194289314224 -76.0077974053336 202.369841717423</t>
  </si>
  <si>
    <t>-555.369841501262 27.7865648642382 657.584457894524</t>
  </si>
  <si>
    <t>-538.388928910671 -124.523405461027 743.937484952779</t>
  </si>
  <si>
    <t>9763-20170724T160425.192951300.bin</t>
  </si>
  <si>
    <t>-574.428475556711 152.477864311402 -226.230181821673</t>
  </si>
  <si>
    <t>-610.609055315526 154.007231637697 -341.800279725275</t>
  </si>
  <si>
    <t>-626.017621110142 151.231048570156 -461.989473725445</t>
  </si>
  <si>
    <t>-631.312762601819 146.728693430398 -571.289691510941</t>
  </si>
  <si>
    <t>-628.051475754325 140.198767930383 -680.567175023115</t>
  </si>
  <si>
    <t>-614.632232662689 128.932746788545 -831.871528873438</t>
  </si>
  <si>
    <t>-587.969836013448 91.7734663171836 -922.928089000796</t>
  </si>
  <si>
    <t>-601.809068292315 159.585145200275 -765.171335941781</t>
  </si>
  <si>
    <t>-509.51961390246 271.665664314665 -741.855486022866</t>
  </si>
  <si>
    <t>-487.844802709247 320.312008166742 -429.846037655501</t>
  </si>
  <si>
    <t>-357.081187316684 140.760730673022 -294.552765597208</t>
  </si>
  <si>
    <t>-639.330622955093 108.250048381585 -764.676785686904</t>
  </si>
  <si>
    <t>-522.964734987401 234.431796577547 -240.727372131838</t>
  </si>
  <si>
    <t>-551.737134926211 230.061880838185 214.037036933267</t>
  </si>
  <si>
    <t>-603.113152903734 211.917805294801 680.593899424513</t>
  </si>
  <si>
    <t>-483.097710146281 114.629162028712 764.705292331174</t>
  </si>
  <si>
    <t>-625.74679270445 70.5313557396862 -211.047319741267</t>
  </si>
  <si>
    <t>-501.592467512394 -75.8978956912706 202.234515807158</t>
  </si>
  <si>
    <t>-555.379255535728 27.7949328674497 657.534411924413</t>
  </si>
  <si>
    <t>-538.478161306281 -124.546473786192 743.847724243105</t>
  </si>
  <si>
    <t>9763-20170724T160425.231052000.bin</t>
  </si>
  <si>
    <t>-574.384323250521 152.660597818432 -226.258544692815</t>
  </si>
  <si>
    <t>-610.483920975471 154.22079578943 -341.853362293955</t>
  </si>
  <si>
    <t>-625.764943334317 151.452737376708 -462.059062891069</t>
  </si>
  <si>
    <t>-630.926826890995 146.947432849059 -571.365575574271</t>
  </si>
  <si>
    <t>-627.515283828759 140.403684486253 -680.637708747091</t>
  </si>
  <si>
    <t>-613.870649886978 129.106558498447 -831.919488952844</t>
  </si>
  <si>
    <t>-586.804671693695 91.5853854788829 -922.708119552807</t>
  </si>
  <si>
    <t>-601.125206457645 159.756927240562 -765.203457326146</t>
  </si>
  <si>
    <t>-508.82976926767 271.810363287336 -741.756054920125</t>
  </si>
  <si>
    <t>-487.344082291731 320.612869861812 -429.757861193687</t>
  </si>
  <si>
    <t>-356.728771054215 140.968445062969 -294.445037154679</t>
  </si>
  <si>
    <t>-638.690679109705 108.453531750003 -764.760562084409</t>
  </si>
  <si>
    <t>-725.524879682499 0.0235286287481813 -419.759906773401</t>
  </si>
  <si>
    <t>-522.838995767005 234.598956588278 -240.718924425985</t>
  </si>
  <si>
    <t>-551.745529308084 230.172672632075 214.03645829905</t>
  </si>
  <si>
    <t>-603.179014577956 211.862498237314 680.587814650842</t>
  </si>
  <si>
    <t>-483.149550862192 114.601975266683 764.711703032795</t>
  </si>
  <si>
    <t>-625.789464718922 70.7413717549323 -211.133122458955</t>
  </si>
  <si>
    <t>-501.783551455711 -75.7708270844291 202.163804584105</t>
  </si>
  <si>
    <t>-555.403616620844 27.8020421580718 657.52488748087</t>
  </si>
  <si>
    <t>-538.481107787441 -124.556046570948 743.804396401579</t>
  </si>
  <si>
    <t>9763-20170724T160425.299270100.bin</t>
  </si>
  <si>
    <t>-574.264074825573 153.165806410832 -226.329083799383</t>
  </si>
  <si>
    <t>-610.216843188723 154.785262765804 -341.96896567531</t>
  </si>
  <si>
    <t>-625.215273339803 151.94927784901 -462.208662733321</t>
  </si>
  <si>
    <t>-630.068743003277 147.329521296679 -571.524502128725</t>
  </si>
  <si>
    <t>-626.298160177449 140.617963325376 -680.774539148322</t>
  </si>
  <si>
    <t>-612.104619530828 129.031926831177 -831.984019391215</t>
  </si>
  <si>
    <t>-584.44635308776 90.968594263976 -922.367504926317</t>
  </si>
  <si>
    <t>-599.584038623093 159.797043475432 -765.278326586129</t>
  </si>
  <si>
    <t>-507.43403611922 271.919440794634 -741.635457046642</t>
  </si>
  <si>
    <t>-486.631742125763 320.936736370935 -429.624614225695</t>
  </si>
  <si>
    <t>-355.973092269865 141.329417337028 -294.304313705141</t>
  </si>
  <si>
    <t>-637.185607771907 108.519735670311 -764.878792118498</t>
  </si>
  <si>
    <t>-725.029167805513 0.621368930896097 -419.879671029037</t>
  </si>
  <si>
    <t>-522.613544772275 235.143012146792 -240.70587311449</t>
  </si>
  <si>
    <t>-551.731787568732 230.58285885691 214.034761621386</t>
  </si>
  <si>
    <t>-603.161300933871 211.921592340842 680.56741062829</t>
  </si>
  <si>
    <t>-483.190953975449 114.61246824225 764.719424568274</t>
  </si>
  <si>
    <t>-625.785773193498 71.231144984924 -211.279973713362</t>
  </si>
  <si>
    <t>-502.167488619702 -75.5920920802673 202.022757430731</t>
  </si>
  <si>
    <t>-555.481936226119 27.8026821806179 657.486158579471</t>
  </si>
  <si>
    <t>-538.436607474371 -124.578761016791 743.700141426287</t>
  </si>
  <si>
    <t>9763-20170724T160425.326843700.bin</t>
  </si>
  <si>
    <t>-574.160761897085 153.44372235533 -226.365380756199</t>
  </si>
  <si>
    <t>-610.044294383269 155.077417301043 -342.026601036848</t>
  </si>
  <si>
    <t>-624.892500326137 152.193452778974 -462.283815940513</t>
  </si>
  <si>
    <t>-629.57826502122 147.504653127128 -571.603952049972</t>
  </si>
  <si>
    <t>-625.609386154883 140.698294069512 -680.841131815338</t>
  </si>
  <si>
    <t>-611.10947551863 128.954296928014 -832.0094440217</t>
  </si>
  <si>
    <t>-583.236389907485 90.7020741224651 -922.247130173128</t>
  </si>
  <si>
    <t>-598.721983546172 159.787448587682 -765.310291774555</t>
  </si>
  <si>
    <t>-506.617676421422 271.941566948265 -741.589014869935</t>
  </si>
  <si>
    <t>-486.310786911005 321.142184241386 -429.574378081727</t>
  </si>
  <si>
    <t>-355.584401838273 141.617222036135 -294.210193351637</t>
  </si>
  <si>
    <t>-636.328507837256 108.513830915479 -764.934010847614</t>
  </si>
  <si>
    <t>-724.627128171012 1.07499946632538 -419.911513376254</t>
  </si>
  <si>
    <t>-522.455272505978 235.429613515455 -240.694635876048</t>
  </si>
  <si>
    <t>-551.679307454722 230.832014860772 214.038758051395</t>
  </si>
  <si>
    <t>-603.113239729504 212.011446268657 680.560299917363</t>
  </si>
  <si>
    <t>-483.253184984457 114.575656958419 764.722914852738</t>
  </si>
  <si>
    <t>-625.744351253661 71.4765919868655 -211.354185004776</t>
  </si>
  <si>
    <t>-502.360570110987 -75.5644055841829 201.941102216046</t>
  </si>
  <si>
    <t>-555.525958642313 27.7477842260064 657.397492778657</t>
  </si>
  <si>
    <t>-538.42988061093 -124.595621809002 743.668680698297</t>
  </si>
  <si>
    <t>9763-20170724T160425.394025000.bin</t>
  </si>
  <si>
    <t>-573.989237236514 153.813213566441 -226.499154435084</t>
  </si>
  <si>
    <t>-609.728502738443 155.474918684813 -342.204586616922</t>
  </si>
  <si>
    <t>-624.305678636301 152.522792250886 -462.493311144334</t>
  </si>
  <si>
    <t>-628.696610964405 147.733509947005 -571.82141860542</t>
  </si>
  <si>
    <t>-624.385215834436 140.788095407061 -681.036871159492</t>
  </si>
  <si>
    <t>-609.362073540841 128.81120204904 -832.135675127606</t>
  </si>
  <si>
    <t>-581.087318000684 90.249528010562 -922.116297474826</t>
  </si>
  <si>
    <t>-597.204857054319 159.746711508734 -765.441605024756</t>
  </si>
  <si>
    <t>-505.232193884692 271.97317119402 -741.54680708634</t>
  </si>
  <si>
    <t>-485.766536892715 321.535523427915 -429.535798166245</t>
  </si>
  <si>
    <t>-355.161801028429 142.072252822715 -293.972645798089</t>
  </si>
  <si>
    <t>-634.813857239309 108.474477728992 -765.116709635727</t>
  </si>
  <si>
    <t>-723.709638063077 1.91865267603112 -420.074009052689</t>
  </si>
  <si>
    <t>-522.209841853869 235.825691721877 -240.704022840161</t>
  </si>
  <si>
    <t>-551.674477332529 231.070153004973 214.012188272208</t>
  </si>
  <si>
    <t>-603.232478276344 211.968854932383 680.556342569298</t>
  </si>
  <si>
    <t>-483.236690960678 114.672505998985 764.686862163309</t>
  </si>
  <si>
    <t>-625.679853088363 71.7609362991689 -211.63205657101</t>
  </si>
  <si>
    <t>-502.775338811038 -75.7053982091359 201.65462284601</t>
  </si>
  <si>
    <t>-555.738701929569 27.3257193500356 656.998065432949</t>
  </si>
  <si>
    <t>-538.452613946361 -124.670502549669 743.842032140273</t>
  </si>
  <si>
    <t>9763-20170724T160425.424101200.bin</t>
  </si>
  <si>
    <t>-573.937701019091 153.799816535559 -226.691169704546</t>
  </si>
  <si>
    <t>-609.603692344514 155.480614909435 -342.418871908752</t>
  </si>
  <si>
    <t>-624.089841200558 152.539863832236 -462.718874438353</t>
  </si>
  <si>
    <t>-628.392079011232 147.757456523185 -572.050859845304</t>
  </si>
  <si>
    <t>-623.986075272524 140.81548895687 -681.262738080837</t>
  </si>
  <si>
    <t>-608.82601695316 128.839542615475 -832.34802217918</t>
  </si>
  <si>
    <t>-580.287284286921 90.096346743929 -922.167148635763</t>
  </si>
  <si>
    <t>-596.724413431213 159.771222054136 -765.641896467208</t>
  </si>
  <si>
    <t>-504.767551995489 271.992141612076 -741.648299659683</t>
  </si>
  <si>
    <t>-485.647744547806 321.618011981532 -429.626145611302</t>
  </si>
  <si>
    <t>-355.164667268838 142.168789415767 -293.927251663768</t>
  </si>
  <si>
    <t>-634.343336627957 108.50582872909 -765.352986957188</t>
  </si>
  <si>
    <t>-723.413810386447 2.08701551328932 -420.305327670362</t>
  </si>
  <si>
    <t>-522.095859583689 235.943859692389 -240.800754646455</t>
  </si>
  <si>
    <t>-551.682463904013 231.091384723339 213.906567780141</t>
  </si>
  <si>
    <t>-603.19114029602 212.034128299763 680.484867929254</t>
  </si>
  <si>
    <t>-483.19042556343 114.756410976624 764.629889972216</t>
  </si>
  <si>
    <t>-625.713632238381 71.5908688358338 -211.980866610996</t>
  </si>
  <si>
    <t>-503.049930519111 -75.9986689361224 201.333362970136</t>
  </si>
  <si>
    <t>-556.002341094672 26.68218056051 656.53875336226</t>
  </si>
  <si>
    <t>-538.470795253013 -124.79306419414 744.239353861551</t>
  </si>
  <si>
    <t>9763-20170724T160425.494289300.bin</t>
  </si>
  <si>
    <t>-573.852195879356 153.264459138035 -227.233774683382</t>
  </si>
  <si>
    <t>-609.367106073064 154.910742625206 -343.008493586166</t>
  </si>
  <si>
    <t>-623.72385681471 152.014142858355 -463.324969560648</t>
  </si>
  <si>
    <t>-627.919819683066 147.299852328297 -572.664041894575</t>
  </si>
  <si>
    <t>-623.41956994632 140.451131707958 -681.877946428937</t>
  </si>
  <si>
    <t>-608.141327882488 128.628931192325 -832.963416022023</t>
  </si>
  <si>
    <t>-579.009288752218 89.3695490033142 -922.367070752219</t>
  </si>
  <si>
    <t>-596.101066523892 159.499350203181 -766.217852281058</t>
  </si>
  <si>
    <t>-504.213677218406 271.736473211364 -742.048604080223</t>
  </si>
  <si>
    <t>-485.304665220178 320.986401195702 -429.95394776256</t>
  </si>
  <si>
    <t>-355.094508724675 141.364564891556 -294.221143512995</t>
  </si>
  <si>
    <t>-633.701936170235 108.220374440589 -766.007804514771</t>
  </si>
  <si>
    <t>-722.744339167074 1.7191822543989 -420.996013747527</t>
  </si>
  <si>
    <t>-521.933910177577 235.771200754794 -241.102031138579</t>
  </si>
  <si>
    <t>-551.673742471942 230.644373296376 213.592295865167</t>
  </si>
  <si>
    <t>-603.298992122646 211.970644769783 680.316215614736</t>
  </si>
  <si>
    <t>-483.077851974502 114.964843707479 764.460526297979</t>
  </si>
  <si>
    <t>-625.671115481148 70.6839706964063 -212.800269425842</t>
  </si>
  <si>
    <t>-503.600266152951 -77.0500859967374 200.637842648104</t>
  </si>
  <si>
    <t>-556.587628026428 25.1528189788326 655.868996845</t>
  </si>
  <si>
    <t>-538.441931153041 -125.064926912464 745.584587728167</t>
  </si>
  <si>
    <t>9763-20170724T160425.524869700.bin</t>
  </si>
  <si>
    <t>-573.736770486481 152.993679646894 -227.414652618098</t>
  </si>
  <si>
    <t>-609.211318332817 154.641553355944 -343.201755915892</t>
  </si>
  <si>
    <t>-623.53610355423 151.788513125287 -463.523100214755</t>
  </si>
  <si>
    <t>-627.707468428695 147.127375197952 -572.865307085124</t>
  </si>
  <si>
    <t>-623.186946915816 140.344012079199 -682.082492935663</t>
  </si>
  <si>
    <t>-607.885987199549 128.62273594513 -833.173541568659</t>
  </si>
  <si>
    <t>-578.390724815161 89.0629819037244 -922.325364140505</t>
  </si>
  <si>
    <t>-595.870783811468 159.45959525897 -766.408077981172</t>
  </si>
  <si>
    <t>-504.045327572995 271.737522835086 -742.160932047176</t>
  </si>
  <si>
    <t>-485.130874029918 320.638419309474 -430.011760763331</t>
  </si>
  <si>
    <t>-354.922089388288 140.894492664283 -294.439406473879</t>
  </si>
  <si>
    <t>-633.441553529417 108.158527781108 -766.232997760303</t>
  </si>
  <si>
    <t>-722.353603320812 1.6082753303067 -421.259752361637</t>
  </si>
  <si>
    <t>-521.848184432872 235.73596955086 -241.195130409998</t>
  </si>
  <si>
    <t>-551.625111700173 230.459689218967 213.495099852639</t>
  </si>
  <si>
    <t>-603.293846861283 212.002213458686 680.230929620252</t>
  </si>
  <si>
    <t>-483.021483241407 115.062680041441 764.378393244529</t>
  </si>
  <si>
    <t>-625.483051412171 70.2712320485425 -213.023838673491</t>
  </si>
  <si>
    <t>-503.69113882479 -77.4834946630415 200.489036394231</t>
  </si>
  <si>
    <t>-556.72808725496 24.6590436419403 655.831832730489</t>
  </si>
  <si>
    <t>-538.378280261373 -125.0956349087 746.277144240727</t>
  </si>
  <si>
    <t>9763-20170724T160425.592671700.bin</t>
  </si>
  <si>
    <t>-573.418141088591 152.631375059941 -227.540100272975</t>
  </si>
  <si>
    <t>-608.8287282505 154.247819023823 -343.3471206012</t>
  </si>
  <si>
    <t>-623.115290272207 151.491751637645 -463.675344544603</t>
  </si>
  <si>
    <t>-627.262987990876 146.966354895459 -573.024135769029</t>
  </si>
  <si>
    <t>-622.730174691067 140.363370422738 -682.251897080229</t>
  </si>
  <si>
    <t>-607.423509340183 128.936900861838 -833.365003700147</t>
  </si>
  <si>
    <t>-577.131328569125 88.7295447827921 -921.95803280669</t>
  </si>
  <si>
    <t>-595.461019690673 159.680051542777 -766.546782428256</t>
  </si>
  <si>
    <t>-503.892804854887 272.113474431249 -742.102130681492</t>
  </si>
  <si>
    <t>-484.745588489949 320.109217352995 -429.826589246243</t>
  </si>
  <si>
    <t>-354.3166056372 140.124398675001 -294.786681295389</t>
  </si>
  <si>
    <t>-632.931510455154 108.305395751659 -766.457470386854</t>
  </si>
  <si>
    <t>-721.528016387165 1.21833065431065 -421.622287881071</t>
  </si>
  <si>
    <t>-521.729642811471 235.748047791239 -241.233655947909</t>
  </si>
  <si>
    <t>-551.595364203599 230.221492757365 213.447765038209</t>
  </si>
  <si>
    <t>-603.457607995642 211.870527477579 680.154912498431</t>
  </si>
  <si>
    <t>-482.827641649171 115.356488682375 764.279609788571</t>
  </si>
  <si>
    <t>-624.978825874435 69.6120892707324 -213.129342600461</t>
  </si>
  <si>
    <t>-503.557109395532 -78.1637992678923 200.48483289703</t>
  </si>
  <si>
    <t>-556.922500324051 23.9198145520811 655.934761251129</t>
  </si>
  <si>
    <t>-538.201957728583 -125.156458974291 747.418744850058</t>
  </si>
  <si>
    <t>9763-20170724T160425.627257100.bin</t>
  </si>
  <si>
    <t>-573.155821205607 152.655209671901 -227.467375953057</t>
  </si>
  <si>
    <t>-608.531341155031 154.250200608436 -343.28536111823</t>
  </si>
  <si>
    <t>-622.79628124706 151.552915947355 -463.617486137676</t>
  </si>
  <si>
    <t>-626.930112134786 147.110769296123 -572.970260395833</t>
  </si>
  <si>
    <t>-622.389360760036 140.619110707732 -682.204315684775</t>
  </si>
  <si>
    <t>-607.077465453751 129.375277832041 -833.330616297831</t>
  </si>
  <si>
    <t>-576.368134423983 88.864559089139 -921.641368750963</t>
  </si>
  <si>
    <t>-595.138352454675 160.053023326349 -766.478214401609</t>
  </si>
  <si>
    <t>-503.693099572453 272.564049406451 -741.911667351078</t>
  </si>
  <si>
    <t>-484.568766774812 320.119602284998 -429.567399514812</t>
  </si>
  <si>
    <t>-353.860665234189 140.105653423126 -294.836366094727</t>
  </si>
  <si>
    <t>-632.56669611091 108.647579006362 -766.445826801834</t>
  </si>
  <si>
    <t>-720.90627568545 1.10071082262016 -421.712984204133</t>
  </si>
  <si>
    <t>-521.561705392739 235.921987515144 -241.165635498827</t>
  </si>
  <si>
    <t>-551.498599587699 230.284379357693 213.509681735976</t>
  </si>
  <si>
    <t>-603.439145166551 211.931146659494 680.165723443658</t>
  </si>
  <si>
    <t>-482.885652850444 115.313157111035 764.280709219151</t>
  </si>
  <si>
    <t>-624.593184738419 69.5108898972553 -213.030078861706</t>
  </si>
  <si>
    <t>-503.323599172587 -78.2259598300016 200.642707878023</t>
  </si>
  <si>
    <t>-556.902556353798 23.8408232918357 656.156147886066</t>
  </si>
  <si>
    <t>-538.110132545607 -125.134138577504 747.790370062311</t>
  </si>
  <si>
    <t>9763-20170724T160425.692951500.bin</t>
  </si>
  <si>
    <t>-572.540247244506 152.821423698787 -227.176921716527</t>
  </si>
  <si>
    <t>-607.899723304645 154.410852712422 -343.000035690769</t>
  </si>
  <si>
    <t>-622.145828638347 151.851356015987 -463.337282181982</t>
  </si>
  <si>
    <t>-626.260527519261 147.590708551734 -572.697843740941</t>
  </si>
  <si>
    <t>-621.697696242936 141.336554197749 -681.944944160123</t>
  </si>
  <si>
    <t>-606.351710039926 130.479569056957 -833.096052814692</t>
  </si>
  <si>
    <t>-574.861627542884 89.4179622864892 -920.875954660648</t>
  </si>
  <si>
    <t>-594.493917899219 161.034188725242 -766.172803216514</t>
  </si>
  <si>
    <t>-503.426692258754 273.793069439156 -741.35485749886</t>
  </si>
  <si>
    <t>-484.479511950625 320.604971815387 -428.887400808579</t>
  </si>
  <si>
    <t>-353.165833725543 140.728056999922 -294.563055707399</t>
  </si>
  <si>
    <t>-631.789799585087 109.532652972434 -766.260114456183</t>
  </si>
  <si>
    <t>-719.788343641382 1.09200982043672 -421.78775637076</t>
  </si>
  <si>
    <t>-521.226487707593 236.130044620779 -240.906787274009</t>
  </si>
  <si>
    <t>-551.189539456943 230.254201079923 213.763774792926</t>
  </si>
  <si>
    <t>-603.547307579905 211.910541407747 680.284191855479</t>
  </si>
  <si>
    <t>-482.845635252125 115.419914152038 764.332841245476</t>
  </si>
  <si>
    <t>-623.726377695848 69.5882891771337 -212.686855124601</t>
  </si>
  <si>
    <t>-502.657207737299 -78.0267140239769 201.088132651897</t>
  </si>
  <si>
    <t>-556.740224828299 23.982179502364 656.607052139306</t>
  </si>
  <si>
    <t>-537.965452074452 -125.050548497231 748.150813966664</t>
  </si>
  <si>
    <t>9763-20170724T160425.723531900.bin</t>
  </si>
  <si>
    <t>-572.250842279717 152.820051814911 -227.054189832846</t>
  </si>
  <si>
    <t>-607.631515443734 154.410504220758 -342.87084559653</t>
  </si>
  <si>
    <t>-621.864672036979 151.903097861297 -463.210671456985</t>
  </si>
  <si>
    <t>-625.952800353912 147.710953751111 -572.575055586898</t>
  </si>
  <si>
    <t>-621.348170440682 141.546996218676 -681.82545191398</t>
  </si>
  <si>
    <t>-605.927960178377 130.83830577148 -832.979597631651</t>
  </si>
  <si>
    <t>-574.104485520298 89.5690243129902 -920.541388077487</t>
  </si>
  <si>
    <t>-594.144392970215 161.357188260073 -766.026735238944</t>
  </si>
  <si>
    <t>-503.313960449057 274.29063220546 -741.114973704548</t>
  </si>
  <si>
    <t>-484.642603523299 320.915082834116 -428.603002023506</t>
  </si>
  <si>
    <t>-353.005078797441 141.186284385282 -294.397442754129</t>
  </si>
  <si>
    <t>-631.357506787174 109.795889175208 -766.170338978685</t>
  </si>
  <si>
    <t>-719.224670186565 1.17562239022527 -421.809738048015</t>
  </si>
  <si>
    <t>-521.106862762838 236.094995784639 -240.779927621822</t>
  </si>
  <si>
    <t>-551.044848767084 230.038477247202 213.889954011126</t>
  </si>
  <si>
    <t>-603.752831535144 211.72326460304 680.352660178568</t>
  </si>
  <si>
    <t>-482.724214697286 115.601885190204 764.354233760826</t>
  </si>
  <si>
    <t>-623.298049257283 69.5708085319172 -212.585017686908</t>
  </si>
  <si>
    <t>-502.361381873794 -77.9665303165441 201.256360483609</t>
  </si>
  <si>
    <t>-556.708501957992 23.9812567048757 656.704169297608</t>
  </si>
  <si>
    <t>-537.923732465757 -125.044173307298 748.257747052912</t>
  </si>
  <si>
    <t>9763-20170724T160425.794723900.bin</t>
  </si>
  <si>
    <t>-571.570859640895 152.79104372805 -226.927386768836</t>
  </si>
  <si>
    <t>-606.998056815507 154.417183558956 -342.729298334352</t>
  </si>
  <si>
    <t>-621.163147790921 151.990734917062 -463.078854903687</t>
  </si>
  <si>
    <t>-625.141529168051 147.890052750393 -572.450772825424</t>
  </si>
  <si>
    <t>-620.37916221111 141.835368299389 -681.70055142933</t>
  </si>
  <si>
    <t>-604.690116900935 131.297249042012 -832.838931450816</t>
  </si>
  <si>
    <t>-572.329740528669 89.7873612190401 -920.089706588812</t>
  </si>
  <si>
    <t>-593.101136202397 161.794785754808 -765.84258300263</t>
  </si>
  <si>
    <t>-502.691394795555 275.0261137901 -740.767612508123</t>
  </si>
  <si>
    <t>-484.709378575584 321.837513928064 -428.243203911376</t>
  </si>
  <si>
    <t>-352.563317907798 142.461480345743 -294.06524772851</t>
  </si>
  <si>
    <t>-630.162982117459 110.125230223247 -766.087185472055</t>
  </si>
  <si>
    <t>-718.132868405964 1.11274675663003 -421.903534157856</t>
  </si>
  <si>
    <t>-520.663352760495 236.1844630337 -240.608594800648</t>
  </si>
  <si>
    <t>-550.577755973302 229.808759967101 214.05841920634</t>
  </si>
  <si>
    <t>-603.794804642399 211.729103097773 680.422077379576</t>
  </si>
  <si>
    <t>-482.705610586658 115.669915989693 764.407490514456</t>
  </si>
  <si>
    <t>-622.352955283021 69.420669629247 -212.554324351446</t>
  </si>
  <si>
    <t>-501.769325226523 -77.9222785233635 201.459344514836</t>
  </si>
  <si>
    <t>-556.623195787152 23.9132467151685 656.833567329865</t>
  </si>
  <si>
    <t>-537.852993371414 -125.027508704785 748.527824961139</t>
  </si>
  <si>
    <t>9763-20170724T160425.825575100.bin</t>
  </si>
  <si>
    <t>-571.272253387002 152.777517923049 -226.917636178413</t>
  </si>
  <si>
    <t>-606.676508586872 154.410705515319 -342.726447231003</t>
  </si>
  <si>
    <t>-620.800595951579 152.025948316235 -463.081753239516</t>
  </si>
  <si>
    <t>-624.734234380671 147.97701241782 -572.457108737121</t>
  </si>
  <si>
    <t>-619.919803636156 141.987493697047 -681.708220338348</t>
  </si>
  <si>
    <t>-604.150555763928 131.554041021642 -832.845604558055</t>
  </si>
  <si>
    <t>-571.610418454166 90.0000699099185 -920.008482775324</t>
  </si>
  <si>
    <t>-592.633860444747 162.031627992341 -765.827549545012</t>
  </si>
  <si>
    <t>-502.410298332567 275.406070689455 -740.708880903177</t>
  </si>
  <si>
    <t>-484.825444525835 322.354271252069 -428.182364567427</t>
  </si>
  <si>
    <t>-352.515878918783 143.201448754827 -293.867487162793</t>
  </si>
  <si>
    <t>-629.622026103715 110.309444766749 -766.116205232724</t>
  </si>
  <si>
    <t>-717.758161718054 1.28596506690769 -422.002717355876</t>
  </si>
  <si>
    <t>-520.471562416628 236.264483053246 -240.557503309131</t>
  </si>
  <si>
    <t>-550.417043242195 229.762182419514 214.105806467831</t>
  </si>
  <si>
    <t>-603.780558413765 211.768873283666 680.435621712965</t>
  </si>
  <si>
    <t>-482.690001181606 115.718876696291 764.429583761148</t>
  </si>
  <si>
    <t>-621.954368227021 69.3136533352713 -212.614206477982</t>
  </si>
  <si>
    <t>-501.55466843101 -77.9183786237447 201.492373904541</t>
  </si>
  <si>
    <t>-556.62654837215 23.8001537157011 656.836796597942</t>
  </si>
  <si>
    <t>-537.796189096033 -125.031417218222 748.695881850158</t>
  </si>
  <si>
    <t>9763-20170724T160425.894760100.bin</t>
  </si>
  <si>
    <t>-570.640150711459 152.600167792622 -227.013589846424</t>
  </si>
  <si>
    <t>-605.97767473159 154.192069606751 -342.843395941499</t>
  </si>
  <si>
    <t>-619.952030537276 151.802271644125 -463.215906820389</t>
  </si>
  <si>
    <t>-623.717384157559 147.759965382275 -572.597548812701</t>
  </si>
  <si>
    <t>-618.702748616678 141.786203203229 -681.840523710506</t>
  </si>
  <si>
    <t>-602.623757561586 131.381833173232 -832.947166415302</t>
  </si>
  <si>
    <t>-569.782479493822 89.7930108210478 -919.980429920215</t>
  </si>
  <si>
    <t>-591.298147481201 161.884883213712 -765.908272099863</t>
  </si>
  <si>
    <t>-501.424409861921 275.49369380219 -740.682790428948</t>
  </si>
  <si>
    <t>-484.422112261185 322.708873040638 -428.164306101337</t>
  </si>
  <si>
    <t>-351.881080442656 143.850674736151 -293.685102822735</t>
  </si>
  <si>
    <t>-628.178244921565 110.086043457859 -766.266032241392</t>
  </si>
  <si>
    <t>-716.700309590809 0.720306232695521 -422.242255183644</t>
  </si>
  <si>
    <t>-520.0642381022 236.214644196146 -240.572902086429</t>
  </si>
  <si>
    <t>-550.125032303352 229.571905344236 214.080637889015</t>
  </si>
  <si>
    <t>-603.740942133905 211.786855753803 680.390691390047</t>
  </si>
  <si>
    <t>-482.539837999917 115.949215198774 764.467734988241</t>
  </si>
  <si>
    <t>-621.065996458184 68.9936247469791 -212.784725172764</t>
  </si>
  <si>
    <t>-501.081770073524 -77.9731624532642 201.536689282333</t>
  </si>
  <si>
    <t>-556.548805103713 23.6611829840833 656.923472900841</t>
  </si>
  <si>
    <t>-537.612854811008 -125.007654680309 749.0239812464</t>
  </si>
  <si>
    <t>9763-20170724T160425.925843300.bin</t>
  </si>
  <si>
    <t>-570.34244627872 152.52366968664 -227.034281914985</t>
  </si>
  <si>
    <t>-605.625477385742 154.083615058437 -342.881034460337</t>
  </si>
  <si>
    <t>-619.512352031966 151.700717683937 -463.263979294729</t>
  </si>
  <si>
    <t>-623.185884051776 147.67765021539 -572.649299422741</t>
  </si>
  <si>
    <t>-618.067479800863 141.734203974901 -681.889187284725</t>
  </si>
  <si>
    <t>-601.832708652694 131.381705057347 -832.982746272635</t>
  </si>
  <si>
    <t>-568.879145709232 89.8160031813904 -919.984698631679</t>
  </si>
  <si>
    <t>-590.601787410167 161.879995553425 -765.925643183291</t>
  </si>
  <si>
    <t>-500.826162002878 275.569590673679 -740.621609045857</t>
  </si>
  <si>
    <t>-483.982915732229 322.871590821592 -428.107506154654</t>
  </si>
  <si>
    <t>-351.329617431586 144.116504271966 -293.601998380023</t>
  </si>
  <si>
    <t>-627.430362368162 110.044765235123 -766.33135502034</t>
  </si>
  <si>
    <t>-716.037745709241 0.354278739164101 -422.395146884689</t>
  </si>
  <si>
    <t>-519.920479080851 236.192957273588 -240.560107323346</t>
  </si>
  <si>
    <t>-550.040797332608 229.481716946174 214.08850997982</t>
  </si>
  <si>
    <t>-603.807044057627 211.724913408216 680.402615442515</t>
  </si>
  <si>
    <t>-482.384727943241 116.168998670322 764.48114630116</t>
  </si>
  <si>
    <t>-620.599455527311 68.864880875567 -212.841075387028</t>
  </si>
  <si>
    <t>-500.848724136547 -77.9718638408419 201.594003478858</t>
  </si>
  <si>
    <t>-556.536616422874 23.6286036862343 656.98093147717</t>
  </si>
  <si>
    <t>-537.556288467324 -124.994218618016 749.146568727625</t>
  </si>
  <si>
    <t>9763-20170724T160425.992539800.bin</t>
  </si>
  <si>
    <t>-569.760091354259 152.457363589784 -227.069812070737</t>
  </si>
  <si>
    <t>-604.9387242392 153.991076788121 -342.948712369914</t>
  </si>
  <si>
    <t>-618.687272509939 151.605740737425 -463.347427441564</t>
  </si>
  <si>
    <t>-622.223684017004 147.585177642502 -572.737477856288</t>
  </si>
  <si>
    <t>-616.957608497753 141.645598967188 -681.970402018314</t>
  </si>
  <si>
    <t>-600.508010886707 131.297113375194 -833.041020259708</t>
  </si>
  <si>
    <t>-567.39497557059 89.8173239421028 -920.023395892547</t>
  </si>
  <si>
    <t>-589.409756266463 161.820063285712 -765.973285677877</t>
  </si>
  <si>
    <t>-499.861865535858 275.655847906949 -740.535839430762</t>
  </si>
  <si>
    <t>-483.231391653114 322.765568110755 -427.981383919597</t>
  </si>
  <si>
    <t>-350.362374564739 144.15210799081 -293.500433416333</t>
  </si>
  <si>
    <t>-626.163176704766 109.931884957145 -766.42089516715</t>
  </si>
  <si>
    <t>-519.631611193474 236.245596378671 -240.486631305128</t>
  </si>
  <si>
    <t>-549.853957816515 229.354969997376 214.152519516397</t>
  </si>
  <si>
    <t>-603.898157008521 211.699133324355 680.443815938211</t>
  </si>
  <si>
    <t>-482.354897008749 116.276201469771 764.498635672511</t>
  </si>
  <si>
    <t>-619.779409212908 68.689735936533 -212.95403550372</t>
  </si>
  <si>
    <t>-500.384733422978 -77.8457358973212 201.690355898845</t>
  </si>
  <si>
    <t>-556.498669482693 23.5958208474688 657.091590673076</t>
  </si>
  <si>
    <t>-537.467224351795 -124.983059051082 749.317464145767</t>
  </si>
  <si>
    <t>9763-20170724T160426.029669000.bin</t>
  </si>
  <si>
    <t>-569.476516024542 152.321380644927 -227.072002730233</t>
  </si>
  <si>
    <t>-604.607603590487 153.829062981101 -342.965613199731</t>
  </si>
  <si>
    <t>-618.322842234383 151.439891245391 -463.368086540268</t>
  </si>
  <si>
    <t>-621.835311628146 147.424425590937 -572.759097991542</t>
  </si>
  <si>
    <t>-616.55187194019 141.497731244941 -681.991843805135</t>
  </si>
  <si>
    <t>-600.084942942043 131.174891030635 -833.062349715651</t>
  </si>
  <si>
    <t>-566.9163488122 89.7617826011542 -920.055381048775</t>
  </si>
  <si>
    <t>-589.024006938076 161.707475803647 -765.992691069004</t>
  </si>
  <si>
    <t>-499.608909914238 275.641789791494 -740.514034210135</t>
  </si>
  <si>
    <t>-483.013761543221 322.535769857438 -427.925220341077</t>
  </si>
  <si>
    <t>-350.024348506032 143.97304101861 -293.49614407357</t>
  </si>
  <si>
    <t>-625.718117315806 109.77734337375 -766.44391461097</t>
  </si>
  <si>
    <t>-519.490151746984 236.105374699786 -240.445815356712</t>
  </si>
  <si>
    <t>-549.806678302132 229.170163819732 214.18641299385</t>
  </si>
  <si>
    <t>-604.056077458852 211.548812351413 680.46464912846</t>
  </si>
  <si>
    <t>-482.25597610883 116.431987196052 764.494622449392</t>
  </si>
  <si>
    <t>-619.389529902849 68.5332229709893 -213.000797826981</t>
  </si>
  <si>
    <t>-500.174637150288 -77.8563527490687 201.746807997748</t>
  </si>
  <si>
    <t>-556.487532801769 23.5532497255128 657.118525006662</t>
  </si>
  <si>
    <t>-537.406666575955 -124.984475309938 749.400447494732</t>
  </si>
  <si>
    <t>9763-20170724T160426.093357400.bin</t>
  </si>
  <si>
    <t>-568.797433894269 152.174919639567 -227.086047048856</t>
  </si>
  <si>
    <t>-603.855901229492 153.629461605811 -343.002279478364</t>
  </si>
  <si>
    <t>-617.499609321301 151.231035080879 -463.412768858337</t>
  </si>
  <si>
    <t>-620.948344799159 147.223803352936 -572.806086157758</t>
  </si>
  <si>
    <t>-615.602869596407 141.320349042892 -682.037168464828</t>
  </si>
  <si>
    <t>-599.051394521558 131.044841894755 -833.101643093197</t>
  </si>
  <si>
    <t>-565.752198764156 89.7473032625646 -920.099615661437</t>
  </si>
  <si>
    <t>-588.092262350906 161.601821629378 -766.026334717616</t>
  </si>
  <si>
    <t>-498.984430740435 275.754101269614 -740.463577599686</t>
  </si>
  <si>
    <t>-482.365339817638 322.271516881437 -427.81973437094</t>
  </si>
  <si>
    <t>-349.032858222105 143.769635546395 -293.649715320475</t>
  </si>
  <si>
    <t>-624.657589536135 109.581015874868 -766.494139923238</t>
  </si>
  <si>
    <t>-519.044485459137 236.172799886698 -240.402554365337</t>
  </si>
  <si>
    <t>-549.506389202268 229.135564990105 214.218367466775</t>
  </si>
  <si>
    <t>-604.005368957504 211.654398051664 680.450716083202</t>
  </si>
  <si>
    <t>-482.22662723602 116.527661704346 764.500419160891</t>
  </si>
  <si>
    <t>-618.45280826291 68.2028853776005 -213.099995440395</t>
  </si>
  <si>
    <t>-499.673533116031 -77.9681925742111 201.849566712505</t>
  </si>
  <si>
    <t>-556.434795175828 23.4545394307343 657.171423676996</t>
  </si>
  <si>
    <t>-537.323049401812 -124.997496145789 749.584822743691</t>
  </si>
  <si>
    <t>9763-20170724T160426.124870800.bin</t>
  </si>
  <si>
    <t>-568.389702921951 152.068936003934 -227.114812247534</t>
  </si>
  <si>
    <t>-603.424921301689 153.4990349416 -343.038469033298</t>
  </si>
  <si>
    <t>-617.029562483267 151.097343837367 -463.453298341337</t>
  </si>
  <si>
    <t>-620.436970154926 147.094189948447 -572.848037104631</t>
  </si>
  <si>
    <t>-615.043989918782 141.201450478278 -682.077253312267</t>
  </si>
  <si>
    <t>-598.42119127647 130.945976059145 -833.13530125674</t>
  </si>
  <si>
    <t>-565.042808890276 89.6963500257466 -920.125725425361</t>
  </si>
  <si>
    <t>-587.524550046272 161.515603530489 -766.055674428784</t>
  </si>
  <si>
    <t>-498.565714236718 275.76803021798 -740.44836988227</t>
  </si>
  <si>
    <t>-482.094158206785 322.096360739805 -427.768730847635</t>
  </si>
  <si>
    <t>-348.585021159907 143.65682103972 -293.691566741126</t>
  </si>
  <si>
    <t>-624.028037229637 109.451735435417 -766.538029158099</t>
  </si>
  <si>
    <t>-518.77584253211 236.096118632853 -240.39259755077</t>
  </si>
  <si>
    <t>-549.298468572773 229.006350763664 214.223420195874</t>
  </si>
  <si>
    <t>-604.016038355888 211.656586861798 680.438091898218</t>
  </si>
  <si>
    <t>-482.135828739 116.670175984719 764.499417272421</t>
  </si>
  <si>
    <t>-617.900439649501 68.0576477806433 -213.138904328328</t>
  </si>
  <si>
    <t>-499.358286859574 -78.0281700089708 201.908559038592</t>
  </si>
  <si>
    <t>-556.387889307178 23.4346341123817 657.195669010833</t>
  </si>
  <si>
    <t>-537.260930146684 -124.987596808338 749.653749002455</t>
  </si>
  <si>
    <t>9763-20170724T160426.191051400.bin</t>
  </si>
  <si>
    <t>-567.628346167945 151.708765745762 -227.124253979667</t>
  </si>
  <si>
    <t>-602.6121572059 153.118147399126 -343.063679778091</t>
  </si>
  <si>
    <t>-616.138948263146 150.742614900153 -463.487732647329</t>
  </si>
  <si>
    <t>-619.465891056578 146.777891656573 -572.886343410906</t>
  </si>
  <si>
    <t>-613.983584165635 140.934942553122 -682.113909529176</t>
  </si>
  <si>
    <t>-597.227781265543 130.758454946842 -833.16252748262</t>
  </si>
  <si>
    <t>-563.680021814072 89.5804066061348 -920.121641685412</t>
  </si>
  <si>
    <t>-586.43502756051 161.324491008738 -766.064521153736</t>
  </si>
  <si>
    <t>-497.706523673265 275.740967867918 -740.342965660193</t>
  </si>
  <si>
    <t>-481.608292215544 322.065178887334 -427.64333902863</t>
  </si>
  <si>
    <t>-347.780769911645 143.863608291143 -293.567103711157</t>
  </si>
  <si>
    <t>-622.848439172324 109.197906315176 -766.591866607677</t>
  </si>
  <si>
    <t>-518.363813557804 235.718677939222 -240.33943920099</t>
  </si>
  <si>
    <t>-548.874570470473 228.384307535657 214.273582415267</t>
  </si>
  <si>
    <t>-604.234918629866 211.42352960399 680.439325988275</t>
  </si>
  <si>
    <t>-481.825839603404 117.11700280891 764.497687483535</t>
  </si>
  <si>
    <t>-616.769195148902 67.711742279957 -213.225703107204</t>
  </si>
  <si>
    <t>-498.662292587568 -78.0063402124813 202.074980964444</t>
  </si>
  <si>
    <t>-556.279157738207 23.5095578725275 657.362751310514</t>
  </si>
  <si>
    <t>-537.187873666432 -124.989199022742 749.705346322309</t>
  </si>
  <si>
    <t>9763-20170724T160426.233153600.bin</t>
  </si>
  <si>
    <t>-567.234075797149 151.567664420904 -227.14772064363</t>
  </si>
  <si>
    <t>-602.211120967566 152.995016844085 -343.088982285384</t>
  </si>
  <si>
    <t>-615.714930159795 150.650900010781 -463.516193478721</t>
  </si>
  <si>
    <t>-619.014524296331 146.718775587621 -572.916922224757</t>
  </si>
  <si>
    <t>-613.498551420875 140.911693027012 -682.144585398866</t>
  </si>
  <si>
    <t>-596.689785856698 130.787558957652 -833.190833912251</t>
  </si>
  <si>
    <t>-563.06160208295 89.6555255291573 -920.140686100561</t>
  </si>
  <si>
    <t>-585.944242300533 161.347123497619 -766.082222916178</t>
  </si>
  <si>
    <t>-497.343285765701 275.839304379683 -740.301122284145</t>
  </si>
  <si>
    <t>-481.391669535509 322.269041311342 -427.609578434277</t>
  </si>
  <si>
    <t>-347.466503217324 144.215015082107 -293.434792402863</t>
  </si>
  <si>
    <t>-622.3099322946 109.187363654157 -766.633029517533</t>
  </si>
  <si>
    <t>-518.1118278744 235.616683134386 -240.321806779994</t>
  </si>
  <si>
    <t>-548.604281926935 228.169703514415 214.290575252291</t>
  </si>
  <si>
    <t>-604.219137037892 211.436903516417 680.420999056866</t>
  </si>
  <si>
    <t>-481.791391286594 117.183885608174 764.512182605582</t>
  </si>
  <si>
    <t>-616.251059165773 67.5647563322273 -213.281394862029</t>
  </si>
  <si>
    <t>-498.316837515806 -77.8635480923083 202.169936895571</t>
  </si>
  <si>
    <t>-556.238355968534 23.5895653512737 657.43895818889</t>
  </si>
  <si>
    <t>-537.174735806342 -124.979396918675 749.674221035191</t>
  </si>
  <si>
    <t>9763-20170724T160426.295334100.bin</t>
  </si>
  <si>
    <t>-566.608820846061 151.19167071546 -227.266198649196</t>
  </si>
  <si>
    <t>-601.516679686939 152.618681086 -343.22831883753</t>
  </si>
  <si>
    <t>-614.954309218751 150.313392170233 -463.663799814881</t>
  </si>
  <si>
    <t>-618.195632520524 146.431265610821 -573.06790742763</t>
  </si>
  <si>
    <t>-612.623529294091 140.687742297099 -682.29615120895</t>
  </si>
  <si>
    <t>-595.738952371215 130.665448041021 -833.340814929889</t>
  </si>
  <si>
    <t>-561.962211770914 89.6680003426147 -920.296577792184</t>
  </si>
  <si>
    <t>-585.096619321954 161.228164677244 -766.217067242409</t>
  </si>
  <si>
    <t>-496.766559333256 275.930467930606 -740.397541820899</t>
  </si>
  <si>
    <t>-481.159212176882 322.619687692952 -427.727182759594</t>
  </si>
  <si>
    <t>-346.976474266389 144.876141251632 -293.398167154425</t>
  </si>
  <si>
    <t>-621.323071849249 108.971859501792 -766.799339196094</t>
  </si>
  <si>
    <t>-517.78200701608 235.321636511588 -240.333887302906</t>
  </si>
  <si>
    <t>-548.258377160233 227.685495664969 214.276502593245</t>
  </si>
  <si>
    <t>-604.242440174085 211.411427395616 680.372539523735</t>
  </si>
  <si>
    <t>-481.641477416792 117.433120890674 764.518790899913</t>
  </si>
  <si>
    <t>-615.305183474528 67.0925297540959 -213.526509531448</t>
  </si>
  <si>
    <t>-497.716809203441 -77.7063700415433 202.242572830368</t>
  </si>
  <si>
    <t>-556.228232239305 23.5458043306007 657.442757818018</t>
  </si>
  <si>
    <t>-537.12844981282 -125.032087680491 749.656376080089</t>
  </si>
  <si>
    <t>9763-20170724T160426.328437200.bin</t>
  </si>
  <si>
    <t>-566.353900291851 151.030595916693 -227.306973093592</t>
  </si>
  <si>
    <t>-601.212285713326 152.445551935589 -343.284089841152</t>
  </si>
  <si>
    <t>-614.607252538066 150.142570674486 -463.724294604306</t>
  </si>
  <si>
    <t>-617.813306014126 146.267674340165 -573.129811137932</t>
  </si>
  <si>
    <t>-612.209430233652 140.536020797479 -682.35713345632</t>
  </si>
  <si>
    <t>-595.284857328247 130.534133196318 -833.398561298815</t>
  </si>
  <si>
    <t>-561.437384219052 89.6074994821606 -920.360234992096</t>
  </si>
  <si>
    <t>-584.701600536353 161.116303633743 -766.274446062268</t>
  </si>
  <si>
    <t>-496.568808365715 275.961778762196 -740.437471922291</t>
  </si>
  <si>
    <t>-481.021474719121 322.767563162876 -427.781545729983</t>
  </si>
  <si>
    <t>-346.657125367581 145.193271166828 -293.410225692457</t>
  </si>
  <si>
    <t>-620.84535402193 108.802959727932 -766.86029236391</t>
  </si>
  <si>
    <t>-517.701529818472 235.224862860164 -240.317353736244</t>
  </si>
  <si>
    <t>-548.205432235701 227.533241147684 214.290159916849</t>
  </si>
  <si>
    <t>-604.319974709165 211.332482205334 680.376160367945</t>
  </si>
  <si>
    <t>-481.506749363714 117.631505155511 764.52216560049</t>
  </si>
  <si>
    <t>-614.867193211285 66.8784623837028 -213.614784081809</t>
  </si>
  <si>
    <t>-497.399931316909 -77.6655287438111 202.277176508126</t>
  </si>
  <si>
    <t>-556.186468157171 23.5768761033892 657.491329127455</t>
  </si>
  <si>
    <t>-537.0947820858 -125.041266494228 749.641689795453</t>
  </si>
  <si>
    <t>9763-20170724T160426.395617500.bin</t>
  </si>
  <si>
    <t>-565.913540122047 150.862245194381 -227.357898342954</t>
  </si>
  <si>
    <t>-600.659484748864 152.216583439165 -343.369414610044</t>
  </si>
  <si>
    <t>-613.943864332682 149.898401326466 -463.821665160304</t>
  </si>
  <si>
    <t>-617.05174745375 146.026819360395 -573.229959833548</t>
  </si>
  <si>
    <t>-611.352258415035 140.314195978355 -682.453268090201</t>
  </si>
  <si>
    <t>-594.297785419437 130.354211828699 -833.482908194948</t>
  </si>
  <si>
    <t>-560.29847681073 89.5664243423264 -920.450588954163</t>
  </si>
  <si>
    <t>-583.840076498518 160.964756133953 -766.35204414434</t>
  </si>
  <si>
    <t>-496.060432264268 276.068423553191 -740.461138169263</t>
  </si>
  <si>
    <t>-480.777748902501 322.985931738441 -427.809077262603</t>
  </si>
  <si>
    <t>-345.880794803983 145.833638005686 -293.41437612763</t>
  </si>
  <si>
    <t>-619.84755678141 108.557738768384 -766.961991458778</t>
  </si>
  <si>
    <t>-517.561773368092 235.134583253858 -240.298101730636</t>
  </si>
  <si>
    <t>-548.124648470764 227.425300487301 214.305122665229</t>
  </si>
  <si>
    <t>-604.378351751844 211.282400887013 680.364447973685</t>
  </si>
  <si>
    <t>-481.331958936639 117.911824446376 764.537082581597</t>
  </si>
  <si>
    <t>-614.13419908148 66.6271217910958 -213.720215380482</t>
  </si>
  <si>
    <t>-496.765953250924 -77.5124030402835 202.340111309415</t>
  </si>
  <si>
    <t>-556.106291192317 23.6514366156102 657.494626225344</t>
  </si>
  <si>
    <t>-536.991939508897 -125.035655357824 749.528874374723</t>
  </si>
  <si>
    <t>9763-20170724T160426.429730000.bin</t>
  </si>
  <si>
    <t>-565.682338527664 150.79997636941 -227.410274914936</t>
  </si>
  <si>
    <t>-600.374213481291 152.115878155319 -343.438503561172</t>
  </si>
  <si>
    <t>-613.610357382096 149.786895367794 -463.895719171064</t>
  </si>
  <si>
    <t>-616.677377287165 145.916122675906 -573.305339281369</t>
  </si>
  <si>
    <t>-610.940288566117 140.213873538175 -682.527160093335</t>
  </si>
  <si>
    <t>-593.837000225921 130.277790701549 -833.552858171892</t>
  </si>
  <si>
    <t>-559.754859034365 89.5490395058575 -920.515955288358</t>
  </si>
  <si>
    <t>-583.430767942818 160.898097736122 -766.418601012344</t>
  </si>
  <si>
    <t>-495.805323203378 276.114568687503 -740.506366990477</t>
  </si>
  <si>
    <t>-480.639615157873 323.062075670029 -427.852905911693</t>
  </si>
  <si>
    <t>-345.508917866643 146.120174486881 -293.41591606221</t>
  </si>
  <si>
    <t>-619.378623863337 108.450252659494 -767.038920823371</t>
  </si>
  <si>
    <t>-517.452450608399 235.109789852183 -240.309808067744</t>
  </si>
  <si>
    <t>-548.039606930658 227.433961589913 214.292470626591</t>
  </si>
  <si>
    <t>-604.38309129258 211.289097892893 680.350154900702</t>
  </si>
  <si>
    <t>-481.367106793224 117.902365529493 764.549307907945</t>
  </si>
  <si>
    <t>-613.775341453953 66.5135048919092 -213.812697760901</t>
  </si>
  <si>
    <t>-496.461353854325 -77.4362302189154 202.328585754163</t>
  </si>
  <si>
    <t>-556.068935317215 23.6559490221364 657.480977372139</t>
  </si>
  <si>
    <t>-536.929779625074 -125.048388101237 749.482172703337</t>
  </si>
  <si>
    <t>9763-20170724T160426.499419900.bin</t>
  </si>
  <si>
    <t>-565.362262493084 150.689667228393 -227.484255376636</t>
  </si>
  <si>
    <t>-599.97434717727 151.986481581774 -343.536554372611</t>
  </si>
  <si>
    <t>-613.133712607258 149.654826017013 -464.002130078659</t>
  </si>
  <si>
    <t>-616.133117283426 145.788099890487 -573.413845074766</t>
  </si>
  <si>
    <t>-610.330885727722 140.095579172666 -682.632681478881</t>
  </si>
  <si>
    <t>-593.139920491173 130.178562830202 -833.649690544806</t>
  </si>
  <si>
    <t>-558.897473630167 89.546867560862 -920.595100444604</t>
  </si>
  <si>
    <t>-582.833550968986 160.832185528342 -766.515078683735</t>
  </si>
  <si>
    <t>-495.487276692874 276.258616913175 -740.583553612228</t>
  </si>
  <si>
    <t>-480.416368605115 323.321274893942 -427.942908824177</t>
  </si>
  <si>
    <t>-344.932258259962 146.693053979897 -293.449318143511</t>
  </si>
  <si>
    <t>-618.659217574467 108.300899265393 -767.143617985639</t>
  </si>
  <si>
    <t>-517.397421336657 235.066527061157 -240.318433290316</t>
  </si>
  <si>
    <t>-547.953305002254 227.282902568472 214.284101301511</t>
  </si>
  <si>
    <t>-604.413556943806 211.29325324276 680.338869343628</t>
  </si>
  <si>
    <t>-481.215125593478 118.159676122847 764.551669259043</t>
  </si>
  <si>
    <t>-613.211930604321 66.3545939343517 -213.970174419211</t>
  </si>
  <si>
    <t>-496.003460450311 -77.2300178388257 202.326917438241</t>
  </si>
  <si>
    <t>-555.963562856513 23.7302187085756 657.473619047615</t>
  </si>
  <si>
    <t>-536.812990067144 -125.032298917505 749.378300823278</t>
  </si>
  <si>
    <t>9763-20170724T160426.525973400.bin</t>
  </si>
  <si>
    <t>-565.256823869847 150.668409583817 -227.523219797043</t>
  </si>
  <si>
    <t>-599.856125023451 151.963252762684 -343.579338432994</t>
  </si>
  <si>
    <t>-612.994547079801 149.623058109258 -464.047025849502</t>
  </si>
  <si>
    <t>-615.971878647833 145.746475610415 -573.458904975449</t>
  </si>
  <si>
    <t>-610.144303937294 140.04258764891 -682.675905809534</t>
  </si>
  <si>
    <t>-592.915006114224 130.108325538647 -833.687357702383</t>
  </si>
  <si>
    <t>-558.602057355868 89.5069717017302 -920.619110814591</t>
  </si>
  <si>
    <t>-582.653690192844 160.788644835529 -766.558054518805</t>
  </si>
  <si>
    <t>-495.440231944782 276.317380381451 -740.642957532504</t>
  </si>
  <si>
    <t>-480.466192318454 323.442262932785 -428.007044741936</t>
  </si>
  <si>
    <t>-344.851884293807 146.930938019535 -293.49104497739</t>
  </si>
  <si>
    <t>-618.423212236517 108.21918535542 -767.180903794673</t>
  </si>
  <si>
    <t>-517.390484302131 235.061756069772 -240.320086481558</t>
  </si>
  <si>
    <t>-547.911783607371 227.219522621208 214.283647870179</t>
  </si>
  <si>
    <t>-604.487824236086 211.225667182216 680.340983817784</t>
  </si>
  <si>
    <t>-481.199763428713 118.207245369466 764.54989387891</t>
  </si>
  <si>
    <t>-613.039192204284 66.3018620447594 -214.037235416363</t>
  </si>
  <si>
    <t>-495.842508098979 -77.1581718702628 202.306160608646</t>
  </si>
  <si>
    <t>-555.944388634722 23.7228717449336 657.4513190715</t>
  </si>
  <si>
    <t>-536.767312846113 -125.04975010337 749.334138274603</t>
  </si>
  <si>
    <t>9763-20170724T160426.596161900.bin</t>
  </si>
  <si>
    <t>-565.142243950311 150.625617315373 -227.554097244572</t>
  </si>
  <si>
    <t>-599.719997677565 151.919458828435 -343.616747953185</t>
  </si>
  <si>
    <t>-612.807565871193 149.558469187301 -464.089492294105</t>
  </si>
  <si>
    <t>-615.726907593585 145.657273156366 -573.502063771421</t>
  </si>
  <si>
    <t>-609.82963012845 139.92407859813 -682.713820427779</t>
  </si>
  <si>
    <t>-592.49128178401 129.945684723803 -833.709922650896</t>
  </si>
  <si>
    <t>-558.036656613683 89.3807184183829 -920.602674102691</t>
  </si>
  <si>
    <t>-582.322542980649 160.675677977066 -766.589227005041</t>
  </si>
  <si>
    <t>-495.293823914129 276.350848638507 -740.688599302632</t>
  </si>
  <si>
    <t>-480.563573783219 323.670215097582 -428.070541749207</t>
  </si>
  <si>
    <t>-344.862657308276 147.362687880198 -293.374628827497</t>
  </si>
  <si>
    <t>-618.003433170501 108.045888552031 -767.208324539522</t>
  </si>
  <si>
    <t>-517.375020703504 235.073900574559 -240.318785121896</t>
  </si>
  <si>
    <t>-547.906750968043 227.244976808801 214.284500070058</t>
  </si>
  <si>
    <t>-604.527397929624 211.238084955178 680.33590859961</t>
  </si>
  <si>
    <t>-481.242757261887 118.219600490781 764.549736263386</t>
  </si>
  <si>
    <t>-612.824606352928 66.18605991504 -214.108739686366</t>
  </si>
  <si>
    <t>-495.654625515263 -77.1410114914354 202.287997026732</t>
  </si>
  <si>
    <t>-555.89982881962 23.7068229658505 657.38917015626</t>
  </si>
  <si>
    <t>-536.717298167114 -125.061264848103 749.278247668088</t>
  </si>
  <si>
    <t>9763-20170724T160426.627249000.bin</t>
  </si>
  <si>
    <t>-565.117414702677 150.535252681663 -227.569680930475</t>
  </si>
  <si>
    <t>-599.681023373227 151.818958475909 -343.636549354837</t>
  </si>
  <si>
    <t>-612.754739378056 149.445204136214 -464.110687922705</t>
  </si>
  <si>
    <t>-615.661247782397 145.533764178845 -573.523213388802</t>
  </si>
  <si>
    <t>-609.750805665123 139.792658086802 -682.733770738835</t>
  </si>
  <si>
    <t>-592.393636052773 129.806794639195 -833.727293745967</t>
  </si>
  <si>
    <t>-557.878089844589 89.2681466571373 -920.608032497928</t>
  </si>
  <si>
    <t>-582.256350729383 160.555857833926 -766.610485279783</t>
  </si>
  <si>
    <t>-495.341077836975 276.307895336417 -740.735505099107</t>
  </si>
  <si>
    <t>-480.673574436079 323.744820871176 -428.132175729077</t>
  </si>
  <si>
    <t>-344.965330126064 147.541239867149 -293.307589489456</t>
  </si>
  <si>
    <t>-617.890900881879 107.894645195112 -767.224081519792</t>
  </si>
  <si>
    <t>-517.368167628257 234.980255591434 -240.328284624219</t>
  </si>
  <si>
    <t>-547.930452772555 227.209445653922 214.27391645726</t>
  </si>
  <si>
    <t>-604.553081077591 211.22736923758 680.326697500901</t>
  </si>
  <si>
    <t>-481.226410842047 118.268741107512 764.54509609994</t>
  </si>
  <si>
    <t>-612.788531752062 66.0830119302652 -214.132165187796</t>
  </si>
  <si>
    <t>-495.610109598321 -77.2252614552258 202.268643819411</t>
  </si>
  <si>
    <t>-555.889431285839 23.6743791502884 657.364811363152</t>
  </si>
  <si>
    <t>-536.694038700768 -125.082096308676 749.270047509195</t>
  </si>
  <si>
    <t>9763-20170724T160426.692421900.bin</t>
  </si>
  <si>
    <t>-565.139243728437 150.372182128526 -227.601713787092</t>
  </si>
  <si>
    <t>-599.686202486912 151.65587772453 -343.673562273412</t>
  </si>
  <si>
    <t>-612.694186049017 149.221787093656 -464.153534181294</t>
  </si>
  <si>
    <t>-615.522336290008 145.229633813338 -573.565116749335</t>
  </si>
  <si>
    <t>-609.515670093933 139.380832809987 -682.764922307871</t>
  </si>
  <si>
    <t>-592.0073695131 129.216604155736 -833.728948808872</t>
  </si>
  <si>
    <t>-557.385758122698 88.6300402674722 -920.54514655196</t>
  </si>
  <si>
    <t>-581.93033337308 160.040134772822 -766.637388863169</t>
  </si>
  <si>
    <t>-495.039188155445 275.828439816956 -740.821342291044</t>
  </si>
  <si>
    <t>-480.701379564381 323.536611150569 -428.244026108733</t>
  </si>
  <si>
    <t>-344.909546493644 147.558142119306 -293.209762778773</t>
  </si>
  <si>
    <t>-617.578225228393 107.387712956831 -767.22666382608</t>
  </si>
  <si>
    <t>-517.409094635818 234.770862781357 -240.345995752739</t>
  </si>
  <si>
    <t>-547.937169720252 227.022082838024 214.258931755996</t>
  </si>
  <si>
    <t>-604.588709347971 211.238867588703 680.321422865431</t>
  </si>
  <si>
    <t>-481.209451023257 118.354876620657 764.545141209146</t>
  </si>
  <si>
    <t>-612.748347989078 65.9998760663909 -214.153715658577</t>
  </si>
  <si>
    <t>-495.591789613291 -77.3212459399269 202.248720801619</t>
  </si>
  <si>
    <t>-555.847945963268 23.70082436142 657.352437687214</t>
  </si>
  <si>
    <t>-536.692557819634 -125.09334834274 749.205010438994</t>
  </si>
  <si>
    <t>9763-20170724T160426.732046900.bin</t>
  </si>
  <si>
    <t>-565.194674386405 150.357156403088 -227.605580239931</t>
  </si>
  <si>
    <t>-599.755769750404 151.649556129549 -343.673054176416</t>
  </si>
  <si>
    <t>-612.746730028962 149.190494943582 -464.154477507589</t>
  </si>
  <si>
    <t>-615.547008040134 145.161386924226 -573.565520947924</t>
  </si>
  <si>
    <t>-609.500292925899 139.261083758006 -682.760214843675</t>
  </si>
  <si>
    <t>-591.9243784042 129.009729480878 -833.710426181417</t>
  </si>
  <si>
    <t>-557.279244982179 88.3878579010241 -920.50080367941</t>
  </si>
  <si>
    <t>-581.865972091247 159.864287201904 -766.630457732377</t>
  </si>
  <si>
    <t>-494.900195876727 275.614193000097 -740.845527201263</t>
  </si>
  <si>
    <t>-480.595715407678 323.572732825176 -428.305047781467</t>
  </si>
  <si>
    <t>-344.905525272241 147.624698649831 -293.129177980834</t>
  </si>
  <si>
    <t>-617.536393127283 107.226972085004 -767.208928859214</t>
  </si>
  <si>
    <t>-517.44896242218 234.738276937857 -240.357613652098</t>
  </si>
  <si>
    <t>-547.931964990739 226.977620006141 214.250183014107</t>
  </si>
  <si>
    <t>-604.588721342611 211.26883096634 680.318843822373</t>
  </si>
  <si>
    <t>-481.250391148845 118.335934102213 764.54855954268</t>
  </si>
  <si>
    <t>-612.836487577213 65.9955213298056 -214.144664838546</t>
  </si>
  <si>
    <t>-495.587746901347 -77.2932433828944 202.243069779271</t>
  </si>
  <si>
    <t>-555.807586391608 23.7323554001939 657.357985639828</t>
  </si>
  <si>
    <t>-536.681484167005 -125.097779452938 749.158352466999</t>
  </si>
  <si>
    <t>9763-20170724T160426.792775700.bin</t>
  </si>
  <si>
    <t>-565.394235984446 150.592080842764 -227.525046514751</t>
  </si>
  <si>
    <t>-599.948115594053 151.898567082446 -343.594460463193</t>
  </si>
  <si>
    <t>-612.897527688856 149.351946322903 -464.078496959821</t>
  </si>
  <si>
    <t>-615.647245702993 145.203064845061 -573.486306077712</t>
  </si>
  <si>
    <t>-609.537851966727 139.143092058139 -682.668784652512</t>
  </si>
  <si>
    <t>-591.863411457701 128.628844536483 -833.589507616894</t>
  </si>
  <si>
    <t>-557.233076192247 87.9294260977356 -920.349373274158</t>
  </si>
  <si>
    <t>-581.820654489193 159.581130984188 -766.552064440718</t>
  </si>
  <si>
    <t>-494.765996108875 275.283555862293 -740.870246558376</t>
  </si>
  <si>
    <t>-480.263613937991 323.669125337052 -428.40465437626</t>
  </si>
  <si>
    <t>-344.84927281776 147.678452663843 -293.007831052975</t>
  </si>
  <si>
    <t>-617.546988242005 106.980969113291 -767.071452780848</t>
  </si>
  <si>
    <t>-517.567817125527 234.956828529953 -240.310473252323</t>
  </si>
  <si>
    <t>-548.016715492304 227.201233882815 214.299673581774</t>
  </si>
  <si>
    <t>-604.564076045604 211.385048149639 680.352372608638</t>
  </si>
  <si>
    <t>-481.317555498726 118.318138643907 764.568509219848</t>
  </si>
  <si>
    <t>-613.08059573122 66.3045832257194 -214.02302608285</t>
  </si>
  <si>
    <t>-495.692436123102 -77.0190488988269 202.313465064422</t>
  </si>
  <si>
    <t>-555.647115313755 24.0544480630122 657.566579646513</t>
  </si>
  <si>
    <t>-536.606076922824 -125.061676085303 748.919385458529</t>
  </si>
  <si>
    <t>9763-20170724T160426.826916800.bin</t>
  </si>
  <si>
    <t>-565.4980164063 150.860161398891 -227.414947035357</t>
  </si>
  <si>
    <t>-600.058417490199 152.161520825591 -343.482663957759</t>
  </si>
  <si>
    <t>-613.015957150475 149.575141826017 -463.964834964958</t>
  </si>
  <si>
    <t>-615.774182547376 145.375841782103 -573.370627260745</t>
  </si>
  <si>
    <t>-609.674540582702 139.25110684841 -682.549962286008</t>
  </si>
  <si>
    <t>-592.015321722538 128.631738776183 -833.465143520522</t>
  </si>
  <si>
    <t>-557.426668089337 87.9334338919114 -920.242151438722</t>
  </si>
  <si>
    <t>-581.953397338168 159.622161170004 -766.44811698242</t>
  </si>
  <si>
    <t>-494.828216885574 275.280984774794 -740.836731267609</t>
  </si>
  <si>
    <t>-480.235493954994 323.820095137063 -428.399303609009</t>
  </si>
  <si>
    <t>-344.874892085558 147.847235378571 -292.925773761741</t>
  </si>
  <si>
    <t>-617.704566644412 107.038792626306 -766.931492751668</t>
  </si>
  <si>
    <t>-517.67517371299 235.153244180266 -240.238635825096</t>
  </si>
  <si>
    <t>-548.13494191461 227.418494690229 214.371137589383</t>
  </si>
  <si>
    <t>-604.61712299463 211.365228935003 680.400191967689</t>
  </si>
  <si>
    <t>-481.311907677224 118.358400278549 764.596777518567</t>
  </si>
  <si>
    <t>-613.210847712726 66.6459687891565 -213.831318876212</t>
  </si>
  <si>
    <t>-495.762124865881 -76.7437858664186 202.465266814484</t>
  </si>
  <si>
    <t>-555.485322767279 24.4824785929095 657.841436201757</t>
  </si>
  <si>
    <t>-536.580580942798 -124.999361207674 748.623013090069</t>
  </si>
  <si>
    <t>9763-20170724T160426.892086500.bin</t>
  </si>
  <si>
    <t>-565.697038032002 151.679083561919 -227.106281431618</t>
  </si>
  <si>
    <t>-600.274919122687 153.00171170782 -343.168530804621</t>
  </si>
  <si>
    <t>-613.273744621015 150.345388937704 -463.644741533906</t>
  </si>
  <si>
    <t>-616.079839465167 146.046254138043 -573.045446516647</t>
  </si>
  <si>
    <t>-610.03877332516 139.785860422413 -682.220278295373</t>
  </si>
  <si>
    <t>-592.472226052461 128.941383937169 -833.130269215551</t>
  </si>
  <si>
    <t>-557.991109369394 88.2131035691027 -919.936021033711</t>
  </si>
  <si>
    <t>-582.34188474691 160.01311921522 -766.161359216046</t>
  </si>
  <si>
    <t>-495.061716339375 275.599442782854 -740.715998038918</t>
  </si>
  <si>
    <t>-480.239129455306 324.16601584743 -428.293626242014</t>
  </si>
  <si>
    <t>-344.881281999214 148.239600102477 -292.756988841106</t>
  </si>
  <si>
    <t>-618.147894708388 107.466309729842 -766.553297146525</t>
  </si>
  <si>
    <t>-517.865134451031 235.759178153717 -240.052277906098</t>
  </si>
  <si>
    <t>-548.238970898285 228.017561866699 214.56309097352</t>
  </si>
  <si>
    <t>-604.571009502472 211.512847948214 680.516593013274</t>
  </si>
  <si>
    <t>-481.455032007458 118.249003560071 764.70579947854</t>
  </si>
  <si>
    <t>-613.391387902546 67.6940067513083 -213.38594032581</t>
  </si>
  <si>
    <t>-495.843027019328 -75.7855204416185 202.851563622438</t>
  </si>
  <si>
    <t>-555.129266507289 25.5693020742603 658.337104797195</t>
  </si>
  <si>
    <t>-536.571686813606 -124.847952711485 747.633034684382</t>
  </si>
  <si>
    <t>9763-20170724T160426.927682600.bin</t>
  </si>
  <si>
    <t>-565.813641261904 152.040116247833 -227.003562300811</t>
  </si>
  <si>
    <t>-600.432129138049 153.385248898242 -343.053273856005</t>
  </si>
  <si>
    <t>-613.45934579133 150.722725407103 -463.526386256143</t>
  </si>
  <si>
    <t>-616.285805462416 146.405973731111 -572.92570521222</t>
  </si>
  <si>
    <t>-610.260028186345 140.115562367309 -682.099880868924</t>
  </si>
  <si>
    <t>-592.709815818007 129.216070842388 -833.007713606249</t>
  </si>
  <si>
    <t>-558.26763646041 88.4856395095624 -919.827935898612</t>
  </si>
  <si>
    <t>-582.553706479118 160.29968340406 -766.048180094043</t>
  </si>
  <si>
    <t>-495.169812659329 275.800231176434 -740.645402232924</t>
  </si>
  <si>
    <t>-480.248026298946 324.384134519111 -428.230463035532</t>
  </si>
  <si>
    <t>-344.890021775504 148.433950142986 -292.724895798388</t>
  </si>
  <si>
    <t>-618.396661656817 107.777967365198 -766.423189559343</t>
  </si>
  <si>
    <t>-517.982214197735 235.979417784491 -239.984592120595</t>
  </si>
  <si>
    <t>-548.277840052178 228.253780341559 214.636267579925</t>
  </si>
  <si>
    <t>-604.54856522204 211.581716362748 680.565145794733</t>
  </si>
  <si>
    <t>-481.509564942795 118.216122516 764.754099401843</t>
  </si>
  <si>
    <t>-613.52158703945 68.1384142858376 -213.26449941192</t>
  </si>
  <si>
    <t>-495.890582930314 -75.4163161416084 202.923752186834</t>
  </si>
  <si>
    <t>-555.033830961916 25.9086097347367 658.32529588608</t>
  </si>
  <si>
    <t>-536.598013241272 -124.815472278065 747.127663858</t>
  </si>
  <si>
    <t>9763-20170724T160426.993858600.bin</t>
  </si>
  <si>
    <t>-566.22036997053 152.343529147971 -227.012579629946</t>
  </si>
  <si>
    <t>-600.918697649642 153.75940372727 -343.037708477986</t>
  </si>
  <si>
    <t>-614.036634890596 151.136548882761 -463.501899311365</t>
  </si>
  <si>
    <t>-616.949482195371 146.840794388412 -572.899811887355</t>
  </si>
  <si>
    <t>-611.014366718899 140.555494959016 -682.07913052731</t>
  </si>
  <si>
    <t>-593.594218759388 129.646099666477 -833.001359160945</t>
  </si>
  <si>
    <t>-559.271127966217 88.9051296955997 -919.863836135002</t>
  </si>
  <si>
    <t>-583.324812571955 160.695926710632 -766.043493568523</t>
  </si>
  <si>
    <t>-495.627822515145 275.997932747203 -740.705211818167</t>
  </si>
  <si>
    <t>-480.541763929331 324.706445164051 -428.317504036906</t>
  </si>
  <si>
    <t>-345.38211127134 148.690157268334 -292.699782538416</t>
  </si>
  <si>
    <t>-619.27932734883 108.250464773008 -766.402415562473</t>
  </si>
  <si>
    <t>-518.349642716135 236.082833279049 -239.990283589635</t>
  </si>
  <si>
    <t>-548.396096757631 228.269514830835 214.645635982044</t>
  </si>
  <si>
    <t>-604.636421069398 211.55491905735 680.61438235885</t>
  </si>
  <si>
    <t>-481.462893697635 118.350757400397 764.785494480559</t>
  </si>
  <si>
    <t>-614.016915639898 68.5351213013837 -213.365739308938</t>
  </si>
  <si>
    <t>-496.182776271675 -75.0321834932111 202.760678596308</t>
  </si>
  <si>
    <t>-554.965549279569 26.2030126512998 658.130679564955</t>
  </si>
  <si>
    <t>-536.629887326496 -124.849317162064 746.394527630197</t>
  </si>
  <si>
    <t>9763-20170724T160427.030454300.bin</t>
  </si>
  <si>
    <t>-566.492322382778 152.44432077634 -227.069865864783</t>
  </si>
  <si>
    <t>-601.238051103441 153.896927817894 -343.080367561842</t>
  </si>
  <si>
    <t>-614.422343931177 151.293429693729 -463.537702879278</t>
  </si>
  <si>
    <t>-617.40237373315 147.008518260337 -572.93414354113</t>
  </si>
  <si>
    <t>-611.54118306085 140.727766699294 -682.117710052436</t>
  </si>
  <si>
    <t>-594.230890953378 129.817779314905 -833.052702233657</t>
  </si>
  <si>
    <t>-559.991572302883 89.1073389565247 -919.962480665972</t>
  </si>
  <si>
    <t>-583.893081818918 160.854326517455 -766.098979699221</t>
  </si>
  <si>
    <t>-496.061581413015 276.048754125119 -740.810300317909</t>
  </si>
  <si>
    <t>-480.74412329773 324.791005227483 -428.43919925852</t>
  </si>
  <si>
    <t>-345.781049409403 148.685336168451 -292.741683928163</t>
  </si>
  <si>
    <t>-619.887323985379 108.4357929803 -766.438232821737</t>
  </si>
  <si>
    <t>-518.537294821935 236.185218377209 -240.037297730496</t>
  </si>
  <si>
    <t>-548.459544552894 228.327100004097 214.606066351124</t>
  </si>
  <si>
    <t>-604.595641938506 211.651433641387 680.606126416073</t>
  </si>
  <si>
    <t>-481.478891168582 118.370587949247 764.775365328547</t>
  </si>
  <si>
    <t>-614.358703982717 68.6799526855089 -213.452511153491</t>
  </si>
  <si>
    <t>-496.397836928547 -74.9206435483773 202.626489344296</t>
  </si>
  <si>
    <t>-554.976000940928 26.2250013071134 657.982936049279</t>
  </si>
  <si>
    <t>-536.625060656556 -124.877165345469 746.15820208786</t>
  </si>
  <si>
    <t>9763-20170724T160427.096630000.bin</t>
  </si>
  <si>
    <t>-567.025341552896 152.736480936575 -227.208106138158</t>
  </si>
  <si>
    <t>-601.871120818658 154.250309246202 -343.18771052331</t>
  </si>
  <si>
    <t>-615.225285306746 151.71453720482 -463.627812244131</t>
  </si>
  <si>
    <t>-618.38610516361 147.49406553017 -573.021708030888</t>
  </si>
  <si>
    <t>-612.73177954114 141.28125034032 -682.220231076011</t>
  </si>
  <si>
    <t>-595.734327389708 130.470080440925 -833.197653749844</t>
  </si>
  <si>
    <t>-561.718604825859 89.8921334010709 -920.257046257464</t>
  </si>
  <si>
    <t>-585.231628510102 161.444929869905 -766.241222366978</t>
  </si>
  <si>
    <t>-497.161733663378 276.490154297528 -741.094806684498</t>
  </si>
  <si>
    <t>-481.480001815055 325.260825625319 -428.746291639563</t>
  </si>
  <si>
    <t>-346.748953442623 148.97298974281 -293.05454884237</t>
  </si>
  <si>
    <t>-621.278657248959 109.062516754839 -766.548356579476</t>
  </si>
  <si>
    <t>-518.959068108807 236.540212031324 -240.13538554269</t>
  </si>
  <si>
    <t>-548.669763991745 228.609634173462 214.520560211678</t>
  </si>
  <si>
    <t>-604.610222894072 211.755567302378 680.607659940981</t>
  </si>
  <si>
    <t>-481.609333309442 118.282607115186 764.73314137053</t>
  </si>
  <si>
    <t>-614.96626003394 68.9383256215986 -213.618722660657</t>
  </si>
  <si>
    <t>-496.884341140222 -74.8478327967762 202.361855591688</t>
  </si>
  <si>
    <t>-554.945125058676 26.2750052068575 657.796188731852</t>
  </si>
  <si>
    <t>-536.694318695016 -124.912101824547 745.84657980188</t>
  </si>
  <si>
    <t>9763-20170724T160427.132290900.bin</t>
  </si>
  <si>
    <t>-567.287008333132 152.95269964279 -227.241750843702</t>
  </si>
  <si>
    <t>-602.200456308571 154.499508342517 -343.200613398541</t>
  </si>
  <si>
    <t>-615.661709495215 152.014006994104 -463.629769893353</t>
  </si>
  <si>
    <t>-618.934404770307 147.846968361056 -573.022404886873</t>
  </si>
  <si>
    <t>-613.405887494269 141.69640549885 -682.230758433725</t>
  </si>
  <si>
    <t>-596.596791009401 130.981425265914 -833.23620352163</t>
  </si>
  <si>
    <t>-562.698141973985 90.4924976237326 -920.382748414737</t>
  </si>
  <si>
    <t>-586.00284418105 161.90830271585 -766.272014973707</t>
  </si>
  <si>
    <t>-497.82957776462 276.878664047866 -741.163182856339</t>
  </si>
  <si>
    <t>-481.870764246165 325.629920544414 -428.825586309103</t>
  </si>
  <si>
    <t>-347.263288939933 149.225330171437 -293.163207494521</t>
  </si>
  <si>
    <t>-622.06575765208 109.536625768887 -766.570059184395</t>
  </si>
  <si>
    <t>-712.756713191068 0.332293320984718 -422.610667942693</t>
  </si>
  <si>
    <t>-519.175836205615 236.765442730321 -240.171246756202</t>
  </si>
  <si>
    <t>-548.784382971706 228.792175882083 214.490663377812</t>
  </si>
  <si>
    <t>-604.625722607219 211.800930185426 680.612309739547</t>
  </si>
  <si>
    <t>-481.672882198226 118.240751192585 764.711087449026</t>
  </si>
  <si>
    <t>-615.293933013128 69.1654334171387 -213.602004124338</t>
  </si>
  <si>
    <t>-497.093536933457 -74.7476087226416 202.301046347535</t>
  </si>
  <si>
    <t>-554.928550219207 26.362680491012 657.798165557065</t>
  </si>
  <si>
    <t>-536.712560156657 -124.922603116525 745.687110792361</t>
  </si>
  <si>
    <t>9763-20170724T160427.200475500.bin</t>
  </si>
  <si>
    <t>-567.688462222779 153.601388769404 -227.175626258048</t>
  </si>
  <si>
    <t>-602.77473192825 155.229231788931 -343.081311393903</t>
  </si>
  <si>
    <t>-616.47819425524 152.851471240318 -463.485330068507</t>
  </si>
  <si>
    <t>-619.995450777355 148.795997450061 -572.874586652998</t>
  </si>
  <si>
    <t>-614.734522276398 142.773692768526 -682.103356542588</t>
  </si>
  <si>
    <t>-598.319447308198 132.255626968265 -833.165940664775</t>
  </si>
  <si>
    <t>-564.668467927522 91.9470089242027 -920.491871403228</t>
  </si>
  <si>
    <t>-587.536906307579 163.085554674316 -766.187159409077</t>
  </si>
  <si>
    <t>-499.151505332992 277.928810457561 -741.211782357116</t>
  </si>
  <si>
    <t>-482.789290048662 326.332013806334 -428.840931313731</t>
  </si>
  <si>
    <t>-348.225411391342 149.837643407691 -293.251933706974</t>
  </si>
  <si>
    <t>-623.628291823286 110.733563700873 -766.463796335818</t>
  </si>
  <si>
    <t>-714.112614715035 1.85949916316667 -422.599838759543</t>
  </si>
  <si>
    <t>-519.486739173262 237.435552106277 -240.179979684828</t>
  </si>
  <si>
    <t>-548.856119023655 229.332235012645 214.495136442164</t>
  </si>
  <si>
    <t>-604.555903462306 212.010445119085 680.634201023123</t>
  </si>
  <si>
    <t>-481.869061515389 118.060438063804 764.686847791599</t>
  </si>
  <si>
    <t>-615.776872746696 69.8224434345605 -213.456933218868</t>
  </si>
  <si>
    <t>-497.413297818711 -74.3566627017819 202.307562976944</t>
  </si>
  <si>
    <t>-554.847758029852 26.6479847614928 657.857509198046</t>
  </si>
  <si>
    <t>-536.793548358196 -124.9097377519 745.309169792637</t>
  </si>
  <si>
    <t>9763-20170724T160427.226512000.bin</t>
  </si>
  <si>
    <t>-567.871654119682 153.977559762904 -227.127580880821</t>
  </si>
  <si>
    <t>-603.108605687349 155.655799137423 -342.986712061823</t>
  </si>
  <si>
    <t>-616.961680307229 153.334020785502 -463.37477362627</t>
  </si>
  <si>
    <t>-620.611716044095 149.331834236522 -572.761668884277</t>
  </si>
  <si>
    <t>-615.480337881408 143.365390971525 -681.999615961409</t>
  </si>
  <si>
    <t>-599.240573333335 132.928500073245 -833.086768533778</t>
  </si>
  <si>
    <t>-565.705012428561 92.7057725716907 -920.496778578125</t>
  </si>
  <si>
    <t>-588.364270150972 163.711308560132 -766.101560595895</t>
  </si>
  <si>
    <t>-499.858018268488 278.471827855357 -741.186667006814</t>
  </si>
  <si>
    <t>-483.294287700271 326.752305198576 -428.807398916173</t>
  </si>
  <si>
    <t>-348.722263254976 150.235763157084 -293.255532119357</t>
  </si>
  <si>
    <t>-624.488099555807 111.381645343178 -766.369422784879</t>
  </si>
  <si>
    <t>-714.862530785068 2.35718142311339 -422.540699507563</t>
  </si>
  <si>
    <t>-519.632796777934 237.827688668907 -240.175957398151</t>
  </si>
  <si>
    <t>-548.694357212819 229.554492491935 214.515825389471</t>
  </si>
  <si>
    <t>-604.523433982569 212.102075915552 680.64291021122</t>
  </si>
  <si>
    <t>-481.99636517169 117.929345379414 764.679354485677</t>
  </si>
  <si>
    <t>-616.006470261296 70.1645659650947 -213.365565518575</t>
  </si>
  <si>
    <t>-497.504202600762 -74.1850840068237 202.300258471194</t>
  </si>
  <si>
    <t>-554.806307662215 26.747253589785 657.83684517533</t>
  </si>
  <si>
    <t>-536.817628926668 -124.909564492498 745.130095241204</t>
  </si>
  <si>
    <t>9763-20170724T160427.292687000.bin</t>
  </si>
  <si>
    <t>-568.213156764516 154.506933294151 -227.060699473928</t>
  </si>
  <si>
    <t>-603.866321071624 156.338201110134 -342.790201734966</t>
  </si>
  <si>
    <t>-618.09502251977 154.15389281804 -463.136848994266</t>
  </si>
  <si>
    <t>-622.063620474419 150.267970262835 -572.517039514435</t>
  </si>
  <si>
    <t>-617.227502593436 144.409355740267 -681.774059476778</t>
  </si>
  <si>
    <t>-601.372608557213 134.11287993049 -832.91191559759</t>
  </si>
  <si>
    <t>-568.077271546632 94.0166384575921 -920.471545136187</t>
  </si>
  <si>
    <t>-590.288171163438 164.807456683794 -765.920097062415</t>
  </si>
  <si>
    <t>-501.4878131812 279.384861292607 -741.167035375934</t>
  </si>
  <si>
    <t>-484.409663689826 327.477862293028 -428.786503907323</t>
  </si>
  <si>
    <t>-350.059258062887 150.772218717952 -293.261008241449</t>
  </si>
  <si>
    <t>-626.487682653029 112.530003749188 -766.156166191368</t>
  </si>
  <si>
    <t>-717.906803696297 0.64449451926771 -738.846725680573</t>
  </si>
  <si>
    <t>-716.603252559213 3.24216810679195 -422.338000460858</t>
  </si>
  <si>
    <t>-519.982017484363 238.395046661326 -240.186096811889</t>
  </si>
  <si>
    <t>-548.176555845981 229.471725529132 214.548014208214</t>
  </si>
  <si>
    <t>-604.548245736778 212.163121972874 680.652397417379</t>
  </si>
  <si>
    <t>-482.030514631084 117.933066932469 764.638195583683</t>
  </si>
  <si>
    <t>-616.360184544518 70.6127630292233 -213.236162579922</t>
  </si>
  <si>
    <t>-497.579773851131 -73.8826683796988 202.299609554192</t>
  </si>
  <si>
    <t>-554.753342555193 26.8570378412753 657.793850211334</t>
  </si>
  <si>
    <t>-536.883376875186 -124.926673248477 744.890922150558</t>
  </si>
  <si>
    <t>9763-20170724T160427.324784700.bin</t>
  </si>
  <si>
    <t>-568.355239675282 154.645027359814 -227.035097327921</t>
  </si>
  <si>
    <t>-604.26560281567 156.568037350937 -342.683504817899</t>
  </si>
  <si>
    <t>-618.69666974725 154.474582451957 -463.007826951652</t>
  </si>
  <si>
    <t>-622.823005703201 150.668262080799 -572.384815523483</t>
  </si>
  <si>
    <t>-618.118402307258 144.88557044857 -681.651922510682</t>
  </si>
  <si>
    <t>-602.418423503967 134.689939190811 -832.812607571805</t>
  </si>
  <si>
    <t>-569.221254851044 94.6629630667321 -920.441118494502</t>
  </si>
  <si>
    <t>-591.245661154979 165.326318596044 -765.808770314031</t>
  </si>
  <si>
    <t>-502.311975389633 279.797461933142 -741.119963568593</t>
  </si>
  <si>
    <t>-484.949988776188 327.856201485708 -428.749735486616</t>
  </si>
  <si>
    <t>-350.705443841573 151.024037843344 -293.284407426899</t>
  </si>
  <si>
    <t>-627.484660587231 113.076093382908 -766.048522846863</t>
  </si>
  <si>
    <t>-718.923757811106 1.1845565308015 -738.779778765287</t>
  </si>
  <si>
    <t>-717.476533830978 3.26716899617986 -422.267898574257</t>
  </si>
  <si>
    <t>-520.158063308903 238.544559753503 -240.206626427313</t>
  </si>
  <si>
    <t>-547.772231638308 229.108954446237 214.552761015716</t>
  </si>
  <si>
    <t>-604.578701124263 212.155848128725 680.647850842283</t>
  </si>
  <si>
    <t>-482.071006431384 117.894555660514 764.613238350934</t>
  </si>
  <si>
    <t>-616.419304816538 70.719973183702 -213.200304022107</t>
  </si>
  <si>
    <t>-497.560666787353 -73.7281021473102 202.329562599539</t>
  </si>
  <si>
    <t>-554.728580166699 26.887763695514 657.784789451843</t>
  </si>
  <si>
    <t>-536.921506204743 -124.929773018017 744.83571064337</t>
  </si>
  <si>
    <t>9763-20170724T160427.395975000.bin</t>
  </si>
  <si>
    <t>-568.570160272492 154.658870194412 -227.109542417849</t>
  </si>
  <si>
    <t>-604.999064460944 156.784463136589 -342.592172027582</t>
  </si>
  <si>
    <t>-619.824091341718 154.885211111958 -462.87179224642</t>
  </si>
  <si>
    <t>-624.250047280436 151.246954406848 -572.242780701743</t>
  </si>
  <si>
    <t>-619.786307192084 145.623001320183 -681.528194362781</t>
  </si>
  <si>
    <t>-604.359000502157 135.636733620895 -832.730891451153</t>
  </si>
  <si>
    <t>-571.320537317408 95.7028091343807 -920.461937290819</t>
  </si>
  <si>
    <t>-593.047256377204 166.167693166263 -765.70233499364</t>
  </si>
  <si>
    <t>-503.919947116514 280.525808643341 -741.116501412373</t>
  </si>
  <si>
    <t>-486.013748525128 328.319456230072 -428.736458814005</t>
  </si>
  <si>
    <t>-351.960431353491 151.229697321551 -293.4183398129</t>
  </si>
  <si>
    <t>-629.322947600115 113.943012044648 -765.954380214836</t>
  </si>
  <si>
    <t>-720.715454438782 2.00750124471688 -738.749969180688</t>
  </si>
  <si>
    <t>-718.780361487929 3.95809176438456 -422.239939640212</t>
  </si>
  <si>
    <t>-520.512836233588 238.620163107557 -240.278425527763</t>
  </si>
  <si>
    <t>-546.868026930592 228.039153591174 214.530482151682</t>
  </si>
  <si>
    <t>-604.642256819479 212.130792866506 680.600512651642</t>
  </si>
  <si>
    <t>-482.090401044827 117.897709533261 764.533102125798</t>
  </si>
  <si>
    <t>-616.553310249847 70.6684614740375 -213.288993333242</t>
  </si>
  <si>
    <t>-497.671268419747 -73.3952929149855 202.367638458705</t>
  </si>
  <si>
    <t>-554.747854832762 26.8073174214751 657.807265993157</t>
  </si>
  <si>
    <t>-536.951246814201 -124.959352076087 744.948935524446</t>
  </si>
  <si>
    <t>9763-20170724T160427.430070300.bin</t>
  </si>
  <si>
    <t>-568.68886140288 154.621808091672 -227.156416930994</t>
  </si>
  <si>
    <t>-605.306480930098 156.837861099387 -342.577602087579</t>
  </si>
  <si>
    <t>-620.265079152278 155.008231642287 -462.841669973773</t>
  </si>
  <si>
    <t>-624.787000686099 151.423529233552 -572.210612531862</t>
  </si>
  <si>
    <t>-620.393761994742 145.843258038677 -681.500982490954</t>
  </si>
  <si>
    <t>-605.037917061136 135.906898818539 -832.71437465809</t>
  </si>
  <si>
    <t>-572.045255561995 96.0158143145791 -920.482008964138</t>
  </si>
  <si>
    <t>-593.695963755133 166.416675208251 -765.681347229162</t>
  </si>
  <si>
    <t>-504.529926170463 280.741895762972 -741.14701341718</t>
  </si>
  <si>
    <t>-486.404740891551 328.348304488815 -428.751113763156</t>
  </si>
  <si>
    <t>-352.391313647565 151.180239999592 -293.495911485274</t>
  </si>
  <si>
    <t>-629.968863492637 114.190155881085 -765.933078573647</t>
  </si>
  <si>
    <t>-721.333845452176 2.21212167551789 -738.763168504835</t>
  </si>
  <si>
    <t>-719.420658486217 4.10208234989182 -422.252481761735</t>
  </si>
  <si>
    <t>-520.668902273786 238.698237155387 -240.313304127724</t>
  </si>
  <si>
    <t>-546.590137071915 227.615984703477 214.508682234684</t>
  </si>
  <si>
    <t>-604.623738341237 212.170761890776 680.568535456378</t>
  </si>
  <si>
    <t>-482.177512124025 117.7944018275 764.494317165674</t>
  </si>
  <si>
    <t>-616.600274420585 70.5739679156002 -213.366173782018</t>
  </si>
  <si>
    <t>-497.773218419037 -73.203968888238 202.405017267863</t>
  </si>
  <si>
    <t>-554.777696740761 26.7424285407076 657.860185643671</t>
  </si>
  <si>
    <t>-536.94403996148 -124.963836994084 745.099373827962</t>
  </si>
  <si>
    <t>9763-20170724T160427.491232800.bin</t>
  </si>
  <si>
    <t>-569.113837391055 154.520318222695 -227.310631972158</t>
  </si>
  <si>
    <t>-606.033984760357 156.846872454719 -342.63316303366</t>
  </si>
  <si>
    <t>-621.197206776677 155.089558447543 -462.872785976176</t>
  </si>
  <si>
    <t>-625.861887463376 151.548137482834 -572.237063684197</t>
  </si>
  <si>
    <t>-621.568696513104 145.98575801315 -681.532560641366</t>
  </si>
  <si>
    <t>-606.308073361122 136.04473270647 -832.755096273337</t>
  </si>
  <si>
    <t>-573.380368641096 96.1832873265596 -920.560648899263</t>
  </si>
  <si>
    <t>-594.90743351705 166.545123939417 -765.727800182216</t>
  </si>
  <si>
    <t>-505.615437358348 280.796814504469 -741.326317761179</t>
  </si>
  <si>
    <t>-487.435786492091 328.216413836403 -428.905035144784</t>
  </si>
  <si>
    <t>-353.400565706857 151.072038264638 -293.640420744</t>
  </si>
  <si>
    <t>-631.213477286327 114.341464170635 -765.959871183536</t>
  </si>
  <si>
    <t>-722.556621515191 2.32912978805712 -738.845845806964</t>
  </si>
  <si>
    <t>-720.861738035025 3.94455358408459 -422.332436158212</t>
  </si>
  <si>
    <t>-521.193055692582 238.761655206715 -240.428248371968</t>
  </si>
  <si>
    <t>-546.356599014202 227.090722971474 214.421525492827</t>
  </si>
  <si>
    <t>-604.668368651172 212.139474937644 680.506912169518</t>
  </si>
  <si>
    <t>-482.015424396871 118.007479013103 764.40527488364</t>
  </si>
  <si>
    <t>-616.920777981281 70.2641783953259 -213.535143298281</t>
  </si>
  <si>
    <t>-498.12840044008 -73.3133602118319 202.315206166634</t>
  </si>
  <si>
    <t>-555.001160813631 26.2334864936754 657.683706764532</t>
  </si>
  <si>
    <t>-536.951556140394 -125.02990669312 745.64456607383</t>
  </si>
  <si>
    <t>9763-20170724T160427.526903600.bin</t>
  </si>
  <si>
    <t>-569.412364590588 154.437518949446 -227.390426153941</t>
  </si>
  <si>
    <t>-606.464102092224 156.809951347524 -342.669892421807</t>
  </si>
  <si>
    <t>-621.716935872204 155.129505469261 -462.899219222033</t>
  </si>
  <si>
    <t>-626.443888766039 151.667035769712 -572.263370540505</t>
  </si>
  <si>
    <t>-622.194266420004 146.190585745629 -681.564696619825</t>
  </si>
  <si>
    <t>-606.974036656069 136.375312529275 -832.799642634635</t>
  </si>
  <si>
    <t>-574.059487694509 96.552626058023 -920.627796545987</t>
  </si>
  <si>
    <t>-595.547857147215 166.814700458611 -765.74890186076</t>
  </si>
  <si>
    <t>-506.171520084457 281.004999134073 -741.353144149061</t>
  </si>
  <si>
    <t>-487.947557030374 328.587673114796 -428.959139168574</t>
  </si>
  <si>
    <t>-354.110783300671 151.352148452526 -293.617432661037</t>
  </si>
  <si>
    <t>-631.869154017952 114.621862312098 -766.016869683629</t>
  </si>
  <si>
    <t>-723.180751155556 2.56711974283689 -738.9586259717</t>
  </si>
  <si>
    <t>-721.280214900607 4.13721029581302 -422.446286228644</t>
  </si>
  <si>
    <t>-521.487790849854 238.858678680485 -240.504073336528</t>
  </si>
  <si>
    <t>-546.295193354823 226.917236642538 214.358125909718</t>
  </si>
  <si>
    <t>-604.636674570517 212.185581167824 680.46810116053</t>
  </si>
  <si>
    <t>-482.014300147157 118.008097426303 764.360088882615</t>
  </si>
  <si>
    <t>-617.229709146611 69.9981438189598 -213.62525122543</t>
  </si>
  <si>
    <t>-498.338599933424 -73.6323901173382 202.178590282351</t>
  </si>
  <si>
    <t>-555.18520932824 25.7852014755972 657.548355053414</t>
  </si>
  <si>
    <t>-536.993984500903 -125.130752055458 746.074957091832</t>
  </si>
  <si>
    <t>9763-20170724T160427.598054800.bin</t>
  </si>
  <si>
    <t>-569.966427726222 154.303180853715 -227.541161389916</t>
  </si>
  <si>
    <t>-607.214949929347 156.737813012938 -342.755767721542</t>
  </si>
  <si>
    <t>-622.629962515278 155.127872617531 -462.965387417185</t>
  </si>
  <si>
    <t>-627.4869604475 151.731434926401 -572.325995720889</t>
  </si>
  <si>
    <t>-623.34962119534 146.322923094172 -681.635075726778</t>
  </si>
  <si>
    <t>-608.266543293637 136.603360388501 -832.889924972375</t>
  </si>
  <si>
    <t>-575.386959827063 96.8240606686506 -920.750783000739</t>
  </si>
  <si>
    <t>-596.790355663206 167.007878154834 -765.831894210963</t>
  </si>
  <si>
    <t>-507.413067473126 281.219787424938 -741.523079375671</t>
  </si>
  <si>
    <t>-489.026162637373 328.962526229007 -429.163111752157</t>
  </si>
  <si>
    <t>-355.597080574164 151.605277780932 -293.578763702884</t>
  </si>
  <si>
    <t>-633.090224909616 114.800162829322 -766.096826510926</t>
  </si>
  <si>
    <t>-724.256770026084 2.61564278547939 -739.109271114168</t>
  </si>
  <si>
    <t>-722.604307358342 4.51592771979676 -422.597301287665</t>
  </si>
  <si>
    <t>-521.98362309536 239.01939514633 -240.640526363818</t>
  </si>
  <si>
    <t>-546.215685466565 226.602301081998 214.240060642382</t>
  </si>
  <si>
    <t>-604.555221108315 212.294132843682 680.385844675677</t>
  </si>
  <si>
    <t>-482.161673303752 117.824642826146 764.28366518908</t>
  </si>
  <si>
    <t>-617.784404506409 69.6085160792929 -213.813839584891</t>
  </si>
  <si>
    <t>-498.825421751596 -73.933086201477 202.001281695289</t>
  </si>
  <si>
    <t>-555.518683342039 25.000631595351 657.438530029717</t>
  </si>
  <si>
    <t>-537.005327500644 -125.218505125205 747.076681753706</t>
  </si>
  <si>
    <t>9763-20170724T160427.629159800.bin</t>
  </si>
  <si>
    <t>-570.253115003628 154.201230723811 -227.680770541145</t>
  </si>
  <si>
    <t>-607.598444712266 156.680593622853 -342.863151770679</t>
  </si>
  <si>
    <t>-623.114223462059 155.107127765353 -463.060244196859</t>
  </si>
  <si>
    <t>-628.062689887732 151.740805314285 -572.41765845718</t>
  </si>
  <si>
    <t>-624.016530777354 146.35982770133 -681.731555443487</t>
  </si>
  <si>
    <t>-609.059369228778 136.676070615711 -833.001206127623</t>
  </si>
  <si>
    <t>-576.205784114087 96.918099214045 -920.881347547021</t>
  </si>
  <si>
    <t>-597.545776096714 167.077402131251 -765.948192239669</t>
  </si>
  <si>
    <t>-508.198762438931 281.334638590403 -741.702349370715</t>
  </si>
  <si>
    <t>-489.735810913345 329.128758072748 -429.354723822712</t>
  </si>
  <si>
    <t>-356.440272794207 151.724449234632 -293.700537641801</t>
  </si>
  <si>
    <t>-633.80913873586 114.844243794439 -766.189953724946</t>
  </si>
  <si>
    <t>-724.851929066299 2.55912429864247 -739.218195424715</t>
  </si>
  <si>
    <t>-723.252593671014 4.83468928384059 -422.708521186074</t>
  </si>
  <si>
    <t>-522.280297257013 239.057090708417 -240.733590057447</t>
  </si>
  <si>
    <t>-546.201159259463 226.390485573874 214.156509147793</t>
  </si>
  <si>
    <t>-604.612055324348 212.221129947682 680.338884675875</t>
  </si>
  <si>
    <t>-482.085821592456 117.912837964894 764.224405180017</t>
  </si>
  <si>
    <t>-618.091443446927 69.3451703601279 -213.993576970923</t>
  </si>
  <si>
    <t>-499.193699196293 -74.1245222604423 201.863836798448</t>
  </si>
  <si>
    <t>-555.739636996231 24.4367048649583 657.27638674808</t>
  </si>
  <si>
    <t>-537.010698272398 -125.286714720122 747.695583784568</t>
  </si>
  <si>
    <t>9763-20170724T160427.695335500.bin</t>
  </si>
  <si>
    <t>-570.877550686321 153.971750652541 -227.834238301654</t>
  </si>
  <si>
    <t>-608.439412976247 156.546464911122 -342.944120355142</t>
  </si>
  <si>
    <t>-624.129297254446 155.004247034421 -463.119030934832</t>
  </si>
  <si>
    <t>-629.215315936875 151.640643117874 -572.470116788719</t>
  </si>
  <si>
    <t>-625.286078565723 146.237151247532 -681.787198211131</t>
  </si>
  <si>
    <t>-610.469487889849 136.496451717433 -833.067041366317</t>
  </si>
  <si>
    <t>-577.602070364426 96.7607287487283 -920.95211905485</t>
  </si>
  <si>
    <t>-598.944699553362 166.958493983706 -766.043513691836</t>
  </si>
  <si>
    <t>-509.753057474171 281.361479120136 -741.996787808026</t>
  </si>
  <si>
    <t>-491.108939844209 329.116988849686 -429.654061378873</t>
  </si>
  <si>
    <t>-357.76789521163 151.794192322224 -293.938088283633</t>
  </si>
  <si>
    <t>-635.106007933596 114.654364332521 -766.217343197764</t>
  </si>
  <si>
    <t>-725.885181190767 2.16969078320994 -739.188467653846</t>
  </si>
  <si>
    <t>-724.767166579727 4.79872104139076 -422.679278603378</t>
  </si>
  <si>
    <t>-522.974236756215 239.132696468906 -240.859149178212</t>
  </si>
  <si>
    <t>-546.11311550274 225.802645163363 214.052505238521</t>
  </si>
  <si>
    <t>-604.604940842807 212.196902426861 680.244361491894</t>
  </si>
  <si>
    <t>-482.017049397897 117.97519397691 764.137087402122</t>
  </si>
  <si>
    <t>-618.66700594808 68.830337526088 -214.164084452575</t>
  </si>
  <si>
    <t>-499.92323258658 -74.5916730531014 201.753809841169</t>
  </si>
  <si>
    <t>-556.00351437316 23.6388025790839 657.376050177137</t>
  </si>
  <si>
    <t>-536.950628157824 -125.348745819259 748.935981678713</t>
  </si>
  <si>
    <t>9763-20170724T160427.731476400.bin</t>
  </si>
  <si>
    <t>-571.12804589876 153.934756791249 -227.879013982586</t>
  </si>
  <si>
    <t>-608.800089038142 156.542378577487 -342.952066298999</t>
  </si>
  <si>
    <t>-624.572369792396 155.044718450358 -463.116877175745</t>
  </si>
  <si>
    <t>-629.720256850289 151.724461221 -572.466370658872</t>
  </si>
  <si>
    <t>-625.839864798946 146.366352661319 -681.787373914356</t>
  </si>
  <si>
    <t>-611.077369790264 136.690093277456 -833.076674451696</t>
  </si>
  <si>
    <t>-578.180498665687 96.970092316624 -920.95778915989</t>
  </si>
  <si>
    <t>-599.546820990768 167.136195980159 -766.046849884212</t>
  </si>
  <si>
    <t>-510.354901865365 281.564395859702 -742.05707474286</t>
  </si>
  <si>
    <t>-491.737063568037 329.346194393355 -429.71675980189</t>
  </si>
  <si>
    <t>-358.260062930967 152.11335581375 -294.016897005318</t>
  </si>
  <si>
    <t>-635.671801118953 114.806897211415 -766.224877609234</t>
  </si>
  <si>
    <t>-726.387599765644 2.26535704145999 -739.182777458345</t>
  </si>
  <si>
    <t>-725.251244018557 4.75922924664155 -422.672518141446</t>
  </si>
  <si>
    <t>-523.302139883734 239.193552705707 -240.891146293279</t>
  </si>
  <si>
    <t>-546.055798617044 225.605912782228 214.032273967449</t>
  </si>
  <si>
    <t>-604.611548613858 212.171057571731 680.217610371803</t>
  </si>
  <si>
    <t>-481.99853611507 117.994376941961 764.124174085475</t>
  </si>
  <si>
    <t>-618.811993503027 68.7324632282339 -214.166159030897</t>
  </si>
  <si>
    <t>-500.224250522897 -74.7542848154715 201.773918199149</t>
  </si>
  <si>
    <t>-556.069061762419 23.364405727857 657.496437869542</t>
  </si>
  <si>
    <t>-536.886201903459 -125.353083549749 749.467267844713</t>
  </si>
  <si>
    <t>9763-20170724T160427.796647100.bin</t>
  </si>
  <si>
    <t>-571.594046935706 153.996689958019 -227.801258289113</t>
  </si>
  <si>
    <t>-609.447524625445 156.602128709298 -342.814829826369</t>
  </si>
  <si>
    <t>-625.337993956324 155.126197420746 -462.96431195893</t>
  </si>
  <si>
    <t>-630.564548330866 151.832510133297 -572.310849973812</t>
  </si>
  <si>
    <t>-626.734294720483 146.505773910818 -681.63514347642</t>
  </si>
  <si>
    <t>-612.01189571599 136.876340207505 -832.931394766534</t>
  </si>
  <si>
    <t>-579.038312433738 97.1278960431334 -920.770999133728</t>
  </si>
  <si>
    <t>-600.495592116198 167.323623902467 -765.899635093183</t>
  </si>
  <si>
    <t>-511.424735154019 281.846651078565 -741.968668719283</t>
  </si>
  <si>
    <t>-492.53881240508 329.809666885961 -429.672201792075</t>
  </si>
  <si>
    <t>-358.809507084968 152.748393943607 -293.996706289981</t>
  </si>
  <si>
    <t>-636.55666522832 114.950443207898 -766.07528137952</t>
  </si>
  <si>
    <t>-727.102592890016 2.27117474017109 -739.058358204702</t>
  </si>
  <si>
    <t>-725.835024242755 4.50135321914377 -422.546735170799</t>
  </si>
  <si>
    <t>-523.940426705235 239.399247104752 -240.882600376594</t>
  </si>
  <si>
    <t>-546.000348077502 225.379337234251 214.061831093412</t>
  </si>
  <si>
    <t>-604.60159983611 212.120428724715 680.200461705111</t>
  </si>
  <si>
    <t>-481.760828198674 118.265154966194 764.134029922718</t>
  </si>
  <si>
    <t>-619.114173270974 68.6310628857746 -213.981643458181</t>
  </si>
  <si>
    <t>-500.634289979803 -75.0235067440487 201.93123355928</t>
  </si>
  <si>
    <t>-556.263499087023 22.9713217578601 657.750668937025</t>
  </si>
  <si>
    <t>-536.858111415425 -125.339050182676 750.330211226547</t>
  </si>
  <si>
    <t>9763-20170724T160427.832749500.bin</t>
  </si>
  <si>
    <t>-571.91151596757 153.830590236796 -227.781895023635</t>
  </si>
  <si>
    <t>-609.833348800871 156.448517389263 -342.772673225732</t>
  </si>
  <si>
    <t>-625.770148974593 154.991876378452 -462.916242296845</t>
  </si>
  <si>
    <t>-631.02873785089 151.718318152369 -572.261907979312</t>
  </si>
  <si>
    <t>-627.219881340887 146.414932898963 -681.58810094257</t>
  </si>
  <si>
    <t>-612.516486124481 136.820749368595 -832.888336343639</t>
  </si>
  <si>
    <t>-579.507668765455 97.0792262148798 -920.717855805007</t>
  </si>
  <si>
    <t>-601.013288366081 167.267339742804 -765.854024714514</t>
  </si>
  <si>
    <t>-512.023152649964 281.872051870613 -741.936771407992</t>
  </si>
  <si>
    <t>-492.993941281023 329.943557641875 -429.665676087733</t>
  </si>
  <si>
    <t>-359.105401562049 152.964687010476 -294.039786571095</t>
  </si>
  <si>
    <t>-637.031267300492 114.864428741873 -766.03130630398</t>
  </si>
  <si>
    <t>-727.485272348986 2.11399216229006 -739.015979943652</t>
  </si>
  <si>
    <t>-726.075632016069 4.22849115584813 -422.504053631967</t>
  </si>
  <si>
    <t>-524.241461960584 239.353675788184 -240.880254730323</t>
  </si>
  <si>
    <t>-546.086174783785 225.202512879727 214.070551847182</t>
  </si>
  <si>
    <t>-604.614133681984 212.089398327656 680.19547176803</t>
  </si>
  <si>
    <t>-481.738120191643 118.286233259522 764.135728682984</t>
  </si>
  <si>
    <t>-619.46091707953 68.2870411598519 -213.992407417462</t>
  </si>
  <si>
    <t>-500.85753628816 -75.3183808936617 201.902247649944</t>
  </si>
  <si>
    <t>-556.474858388824 22.473256165636 657.600457787115</t>
  </si>
  <si>
    <t>-536.886162086092 -125.481416755358 750.709148302614</t>
  </si>
  <si>
    <t>9763-20170724T160427.892910600.bin</t>
  </si>
  <si>
    <t>-572.645528559869 153.321878703639 -227.745049845095</t>
  </si>
  <si>
    <t>-610.640507280498 155.911431964671 -342.712419588076</t>
  </si>
  <si>
    <t>-626.606782600716 154.445090505229 -462.851911748505</t>
  </si>
  <si>
    <t>-631.872382706583 151.171837907441 -572.197217721135</t>
  </si>
  <si>
    <t>-628.050894560918 145.87779587604 -681.523469247919</t>
  </si>
  <si>
    <t>-613.308880550306 136.307033196537 -832.821349499456</t>
  </si>
  <si>
    <t>-580.20175546255 96.5840849531955 -920.622257342797</t>
  </si>
  <si>
    <t>-601.875713712702 166.779517318799 -765.786811294959</t>
  </si>
  <si>
    <t>-513.145149435994 281.579029053705 -741.898843225834</t>
  </si>
  <si>
    <t>-494.117151140413 329.733332779288 -429.640600921659</t>
  </si>
  <si>
    <t>-359.723783269118 153.086259266696 -294.081381939847</t>
  </si>
  <si>
    <t>-637.787895011447 114.303983143803 -765.966627729947</t>
  </si>
  <si>
    <t>-728.068012211406 1.40899357238186 -738.966921968623</t>
  </si>
  <si>
    <t>-726.529617167641 3.36322076208444 -422.454604628085</t>
  </si>
  <si>
    <t>-525.032492928257 239.184852853154 -240.877510832599</t>
  </si>
  <si>
    <t>-546.531580993056 224.928193896457 214.086397664852</t>
  </si>
  <si>
    <t>-604.678330198936 211.997364142484 680.213332911533</t>
  </si>
  <si>
    <t>-481.68524996934 118.334057722789 764.138301644657</t>
  </si>
  <si>
    <t>-620.144691109168 67.4713969172933 -213.973711210826</t>
  </si>
  <si>
    <t>-501.070238691999 -75.991229763157 201.835691666828</t>
  </si>
  <si>
    <t>-556.581467780697 21.7771181834821 657.684039453704</t>
  </si>
  <si>
    <t>-536.809835078273 -125.707201779437 751.497591283174</t>
  </si>
  <si>
    <t>9763-20170724T160427.926010400.bin</t>
  </si>
  <si>
    <t>-572.920287303798 153.245664560229 -227.667121987715</t>
  </si>
  <si>
    <t>-610.939031856396 155.803077148502 -342.62737851674</t>
  </si>
  <si>
    <t>-626.88213763563 154.303696747394 -462.769561710402</t>
  </si>
  <si>
    <t>-632.106993398579 151.001433402065 -572.115949718491</t>
  </si>
  <si>
    <t>-628.224740761109 145.680209013061 -681.438651498397</t>
  </si>
  <si>
    <t>-613.377767853379 136.074145118068 -832.724187029696</t>
  </si>
  <si>
    <t>-580.195587403486 96.3568983327339 -920.499144106242</t>
  </si>
  <si>
    <t>-602.019929928276 166.582177391697 -765.692893882599</t>
  </si>
  <si>
    <t>-513.44990412796 281.511761469807 -741.785997097592</t>
  </si>
  <si>
    <t>-494.433749247556 329.753613849945 -429.540474515241</t>
  </si>
  <si>
    <t>-359.761171053295 153.297428927822 -294.009844860228</t>
  </si>
  <si>
    <t>-637.874208908377 114.066940374588 -765.877063225445</t>
  </si>
  <si>
    <t>-728.026349083913 1.07599561245843 -738.874355211991</t>
  </si>
  <si>
    <t>-726.567747734531 3.15435213920455 -422.362524315274</t>
  </si>
  <si>
    <t>-525.321298451032 239.236327201514 -240.846316702108</t>
  </si>
  <si>
    <t>-546.736247300758 225.040870281085 214.123543084403</t>
  </si>
  <si>
    <t>-604.640263297606 212.041270784646 680.241735826345</t>
  </si>
  <si>
    <t>-481.761966712309 118.225214264421 764.164215497548</t>
  </si>
  <si>
    <t>-620.348151139402 67.3562333681928 -213.822793359352</t>
  </si>
  <si>
    <t>-501.090728395004 -75.9968990777104 201.971861661838</t>
  </si>
  <si>
    <t>-556.588786942439 21.7245996667546 657.900020502796</t>
  </si>
  <si>
    <t>-536.728532412721 -125.689566551869 751.804908175894</t>
  </si>
  <si>
    <t>9763-20170724T160427.992185400.bin</t>
  </si>
  <si>
    <t>-573.261235673452 153.339920640899 -227.460614467836</t>
  </si>
  <si>
    <t>-611.28241522959 155.78879348766 -342.422351467241</t>
  </si>
  <si>
    <t>-627.13893255312 154.202963024257 -462.574979969822</t>
  </si>
  <si>
    <t>-632.248394211959 150.832909764038 -571.924722681823</t>
  </si>
  <si>
    <t>-628.214039988961 145.454763890145 -681.239131573215</t>
  </si>
  <si>
    <t>-613.117746326554 135.782019212932 -832.495707722768</t>
  </si>
  <si>
    <t>-579.749990284884 96.0892786774839 -920.211525333943</t>
  </si>
  <si>
    <t>-601.921991134438 166.354681355864 -765.466682181194</t>
  </si>
  <si>
    <t>-513.691787320779 281.520235088429 -741.478041576143</t>
  </si>
  <si>
    <t>-494.99346799677 329.818087939409 -429.221924858581</t>
  </si>
  <si>
    <t>-359.734039429116 153.814605374577 -293.687053593892</t>
  </si>
  <si>
    <t>-637.672680940272 113.769257542648 -765.672062395126</t>
  </si>
  <si>
    <t>-727.638636162111 0.632304782287974 -738.645171550803</t>
  </si>
  <si>
    <t>-726.365140038565 2.91100403376595 -422.133962687442</t>
  </si>
  <si>
    <t>-525.723198234489 239.413993671451 -240.773503989409</t>
  </si>
  <si>
    <t>-547.068703075144 225.37348868713 214.204380637711</t>
  </si>
  <si>
    <t>-604.518680782976 212.086781321241 680.244616011232</t>
  </si>
  <si>
    <t>-481.827741268335 118.101796392252 764.25217082564</t>
  </si>
  <si>
    <t>-620.636964693395 67.3821042231277 -213.446667404582</t>
  </si>
  <si>
    <t>-501.09748320359 -75.8330888085352 202.314604488286</t>
  </si>
  <si>
    <t>-556.571689668441 21.8835880873878 658.390963514098</t>
  </si>
  <si>
    <t>-536.622451330804 -125.592880178851 752.179210150872</t>
  </si>
  <si>
    <t>9763-20170724T160428.029882400.bin</t>
  </si>
  <si>
    <t>-573.383653546736 153.464526011834 -227.33554817133</t>
  </si>
  <si>
    <t>-611.405010230614 155.869877745311 -342.298110343028</t>
  </si>
  <si>
    <t>-627.213585390289 154.239869713441 -462.456222838095</t>
  </si>
  <si>
    <t>-632.259496872908 150.831251258516 -571.807977776242</t>
  </si>
  <si>
    <t>-628.141585563105 145.416662952881 -681.117452393138</t>
  </si>
  <si>
    <t>-612.908851258462 135.696082007431 -832.357224074533</t>
  </si>
  <si>
    <t>-579.44116970655 96.0089909826722 -920.037573276872</t>
  </si>
  <si>
    <t>-601.790413293278 166.301403043621 -765.33020395013</t>
  </si>
  <si>
    <t>-513.687232000922 281.556116294255 -741.284197741195</t>
  </si>
  <si>
    <t>-495.347712341118 329.843919621231 -429.005157306791</t>
  </si>
  <si>
    <t>-359.854062381206 154.06288302037 -293.415479265816</t>
  </si>
  <si>
    <t>-637.507382932815 113.692790775235 -765.546459566255</t>
  </si>
  <si>
    <t>-727.426505218433 0.515586248551699 -738.510692415991</t>
  </si>
  <si>
    <t>-726.228115980846 2.70330293893289 -421.998425662764</t>
  </si>
  <si>
    <t>-525.899921759314 239.550604242541 -240.73046619555</t>
  </si>
  <si>
    <t>-547.295122583815 225.681067297106 214.250357196409</t>
  </si>
  <si>
    <t>-604.507679163658 212.026615800673 680.273878390254</t>
  </si>
  <si>
    <t>-481.794558837087 118.111692771687 764.327352525398</t>
  </si>
  <si>
    <t>-620.747664003839 67.4760818757318 -213.220219075092</t>
  </si>
  <si>
    <t>-501.085284441062 -75.6917406369032 202.521917745811</t>
  </si>
  <si>
    <t>-556.533799616516 22.1117920401261 658.649850782139</t>
  </si>
  <si>
    <t>-536.592428683525 -125.494779621353 752.23482173367</t>
  </si>
  <si>
    <t>9763-20170724T160428.099062400.bin</t>
  </si>
  <si>
    <t>-573.497766176706 153.627122040362 -227.019814006262</t>
  </si>
  <si>
    <t>-611.50306618324 155.946390102872 -341.98951060803</t>
  </si>
  <si>
    <t>-627.222726982222 154.240713665152 -462.158290707762</t>
  </si>
  <si>
    <t>-632.157609124519 150.772586889576 -571.513083462664</t>
  </si>
  <si>
    <t>-627.897779510039 145.310350371683 -680.814868829969</t>
  </si>
  <si>
    <t>-612.435648297668 135.538661909288 -832.027930923121</t>
  </si>
  <si>
    <t>-578.816960449358 95.8597918278197 -919.654255126704</t>
  </si>
  <si>
    <t>-601.455652734634 166.191573414244 -765.000045233029</t>
  </si>
  <si>
    <t>-513.611614437171 281.613551259401 -740.827985694785</t>
  </si>
  <si>
    <t>-495.949537722004 329.848726687078 -428.501751990713</t>
  </si>
  <si>
    <t>-360.216895314652 154.332395439669 -292.808371255707</t>
  </si>
  <si>
    <t>-637.09870421892 113.533049981296 -765.241612798229</t>
  </si>
  <si>
    <t>-726.965780084008 0.3333058591179 -738.174369487055</t>
  </si>
  <si>
    <t>-726.027017732813 2.7866392318283 -421.663180450868</t>
  </si>
  <si>
    <t>-526.06671347297 239.496328161049 -240.56209504155</t>
  </si>
  <si>
    <t>-547.46495443711 225.946358723784 214.428199685371</t>
  </si>
  <si>
    <t>-604.493849871757 212.009420945123 680.42707591612</t>
  </si>
  <si>
    <t>-481.907740343414 117.934618836206 764.487118543077</t>
  </si>
  <si>
    <t>-620.798667968576 67.7824187290919 -212.741039299304</t>
  </si>
  <si>
    <t>-501.058088475542 -75.3039759038265 203.006640405373</t>
  </si>
  <si>
    <t>-556.426624079742 22.8433653374457 659.167752665041</t>
  </si>
  <si>
    <t>-536.63718169902 -125.213481646319 752.071171628821</t>
  </si>
  <si>
    <t>9763-20170724T160428.127687800.bin</t>
  </si>
  <si>
    <t>-573.529009968174 153.654211732269 -226.844114717391</t>
  </si>
  <si>
    <t>-611.537387975606 155.954114622614 -341.813169929024</t>
  </si>
  <si>
    <t>-627.198195406168 154.21654132318 -461.989214715349</t>
  </si>
  <si>
    <t>-632.053878130733 150.716648966908 -571.346488150945</t>
  </si>
  <si>
    <t>-627.689264963777 145.22066025688 -680.642436087536</t>
  </si>
  <si>
    <t>-612.055057422656 135.401497199025 -831.8348161323</t>
  </si>
  <si>
    <t>-578.356862566143 95.7142309684843 -919.426814829296</t>
  </si>
  <si>
    <t>-601.162577650782 166.083180249462 -764.805796612033</t>
  </si>
  <si>
    <t>-513.421695761439 281.562896080655 -740.541005806046</t>
  </si>
  <si>
    <t>-496.034726516641 329.72496674603 -428.188224052835</t>
  </si>
  <si>
    <t>-360.307965851692 154.241976700624 -292.445723995779</t>
  </si>
  <si>
    <t>-636.782708050009 113.409328465968 -765.068072970289</t>
  </si>
  <si>
    <t>-726.657201947493 0.20713112694807 -737.992935334387</t>
  </si>
  <si>
    <t>-725.751615149676 2.61146720522606 -421.481345828627</t>
  </si>
  <si>
    <t>-526.158425952329 239.369416218508 -240.438742629435</t>
  </si>
  <si>
    <t>-547.477609206338 225.896681943708 214.55759499584</t>
  </si>
  <si>
    <t>-604.558081750647 211.956663224114 680.535523703452</t>
  </si>
  <si>
    <t>-481.926861392363 117.901689884365 764.551926206546</t>
  </si>
  <si>
    <t>-620.772349564782 67.9654945743928 -212.494551755687</t>
  </si>
  <si>
    <t>-501.04285577652 -75.0817661354129 203.269787509005</t>
  </si>
  <si>
    <t>-556.260070148962 23.3803069482174 659.499156492881</t>
  </si>
  <si>
    <t>-536.68279086275 -125.091617973751 751.78317245689</t>
  </si>
  <si>
    <t>9763-20170724T160428.198875700.bin</t>
  </si>
  <si>
    <t>-573.463368245489 153.907852545373 -226.361248803023</t>
  </si>
  <si>
    <t>-611.451323474845 156.154766805454 -341.338093477164</t>
  </si>
  <si>
    <t>-627.028903006596 154.365891537734 -461.524224558307</t>
  </si>
  <si>
    <t>-631.783552711667 150.821689266299 -570.884557541039</t>
  </si>
  <si>
    <t>-627.292357335332 145.284473679581 -680.173292373937</t>
  </si>
  <si>
    <t>-611.45624184192 135.412054689599 -831.341248741958</t>
  </si>
  <si>
    <t>-577.680569025683 95.708222475321 -918.895841422041</t>
  </si>
  <si>
    <t>-600.661436136193 166.122796380355 -764.309647814399</t>
  </si>
  <si>
    <t>-513.005051861469 281.642682371923 -739.893946261807</t>
  </si>
  <si>
    <t>-496.16034940651 329.513891747357 -427.466732058175</t>
  </si>
  <si>
    <t>-360.316347269072 154.123137696742 -291.722272074075</t>
  </si>
  <si>
    <t>-636.264929544802 113.437909266726 -764.59862724392</t>
  </si>
  <si>
    <t>-726.243924262381 0.341832032726415 -737.46989081788</t>
  </si>
  <si>
    <t>-725.361822423821 2.90647807407049 -420.959439310753</t>
  </si>
  <si>
    <t>-526.286025875973 239.174090304852 -240.09577779972</t>
  </si>
  <si>
    <t>-547.505671588719 225.928776428102 214.911873066474</t>
  </si>
  <si>
    <t>-604.617161007726 211.961129777527 680.796793277911</t>
  </si>
  <si>
    <t>-481.835165415926 118.004137037163 764.70255004462</t>
  </si>
  <si>
    <t>-620.520699910805 68.7176327211973 -211.826862118936</t>
  </si>
  <si>
    <t>-500.758256355341 -74.1046729342963 204.005303566437</t>
  </si>
  <si>
    <t>-555.693784748806 25.0853512781503 660.372942683228</t>
  </si>
  <si>
    <t>-536.733093839489 -124.73148902055 750.588988303475</t>
  </si>
  <si>
    <t>9763-20170724T160428.229469400.bin</t>
  </si>
  <si>
    <t>-573.437984924865 154.060822882111 -226.13256517956</t>
  </si>
  <si>
    <t>-611.412787494306 156.274342951741 -341.114491275951</t>
  </si>
  <si>
    <t>-626.954631862842 154.450770665706 -461.304689436276</t>
  </si>
  <si>
    <t>-631.668184092659 150.8733067349 -570.665646476174</t>
  </si>
  <si>
    <t>-627.127511712311 145.300203456377 -679.950591176457</t>
  </si>
  <si>
    <t>-611.214696884836 135.37418353933 -831.106967889591</t>
  </si>
  <si>
    <t>-577.430561971702 95.6516579505376 -918.649670518544</t>
  </si>
  <si>
    <t>-600.442729243735 166.101108426105 -764.078995989209</t>
  </si>
  <si>
    <t>-512.807744924829 281.624829401359 -739.58676578983</t>
  </si>
  <si>
    <t>-496.106037216724 329.338285651191 -427.12785601677</t>
  </si>
  <si>
    <t>-360.130674039932 153.975632128268 -291.478597441834</t>
  </si>
  <si>
    <t>-636.068429248709 113.431279559745 -764.370865961539</t>
  </si>
  <si>
    <t>-726.118999793232 0.401780806447505 -737.202033674271</t>
  </si>
  <si>
    <t>-725.078146351421 2.82218041917713 -420.690919982603</t>
  </si>
  <si>
    <t>-526.334335562157 239.13797560146 -239.933578415806</t>
  </si>
  <si>
    <t>-547.563280415285 226.032937438022 215.077754000095</t>
  </si>
  <si>
    <t>-604.618234297049 211.993124995607 680.919513768549</t>
  </si>
  <si>
    <t>-481.896446304653 117.921905446572 764.785363426315</t>
  </si>
  <si>
    <t>-620.413370966684 69.0500231436049 -211.556610545791</t>
  </si>
  <si>
    <t>-500.544080951162 -73.6131845553957 204.299460466332</t>
  </si>
  <si>
    <t>-555.471574842134 25.816222052561 660.577074710729</t>
  </si>
  <si>
    <t>-536.739494350893 -124.607533539117 749.825600575726</t>
  </si>
  <si>
    <t>9763-20170724T160428.294642700.bin</t>
  </si>
  <si>
    <t>-573.425970246778 154.023785373365 -225.884786169201</t>
  </si>
  <si>
    <t>-611.36980531595 156.147425497566 -340.878551381901</t>
  </si>
  <si>
    <t>-626.794832022224 154.225033133919 -461.082270597205</t>
  </si>
  <si>
    <t>-631.368295624803 150.553909804803 -570.446202791906</t>
  </si>
  <si>
    <t>-626.653857609246 144.882765701868 -679.718575807229</t>
  </si>
  <si>
    <t>-610.465830460196 134.815758450281 -830.836531186143</t>
  </si>
  <si>
    <t>-576.644637737015 95.0309565582152 -918.336611542727</t>
  </si>
  <si>
    <t>-599.812079253946 165.602639317631 -763.817132834892</t>
  </si>
  <si>
    <t>-512.171615678674 281.105684735384 -739.218291750062</t>
  </si>
  <si>
    <t>-495.454806271226 328.462308302068 -426.705747203667</t>
  </si>
  <si>
    <t>-359.346283019786 153.007277786545 -291.30984654607</t>
  </si>
  <si>
    <t>-635.444873777235 112.937682671187 -764.125734848738</t>
  </si>
  <si>
    <t>-725.628032897533 0.0376517587233138 -736.893728698348</t>
  </si>
  <si>
    <t>-724.49555554702 2.57502282109772 -420.383907039093</t>
  </si>
  <si>
    <t>-526.432712447501 238.822758357215 -239.770696735846</t>
  </si>
  <si>
    <t>-547.712836352426 226.075029521061 215.24830194252</t>
  </si>
  <si>
    <t>-604.683917687775 211.946884323731 681.070471495259</t>
  </si>
  <si>
    <t>-481.89195882882 117.924810196807 764.888702379892</t>
  </si>
  <si>
    <t>-620.318177192234 69.1831147356747 -211.353034318225</t>
  </si>
  <si>
    <t>-500.200285583406 -73.2582053863775 204.507260346611</t>
  </si>
  <si>
    <t>-555.199323988022 26.6796802465283 660.491348423688</t>
  </si>
  <si>
    <t>-536.793069363247 -124.498095306335 748.525347093016</t>
  </si>
  <si>
    <t>9763-20170724T160428.324255500.bin</t>
  </si>
  <si>
    <t>-573.400135848083 153.853282349414 -225.918364151579</t>
  </si>
  <si>
    <t>-611.340186606253 155.931778137093 -340.91415296303</t>
  </si>
  <si>
    <t>-626.722138943153 153.95228561594 -461.122504065631</t>
  </si>
  <si>
    <t>-631.241044225577 150.223298232227 -570.486685711721</t>
  </si>
  <si>
    <t>-626.456939234266 144.487432021054 -679.752704366031</t>
  </si>
  <si>
    <t>-610.15718638292 134.322648433228 -830.852016890609</t>
  </si>
  <si>
    <t>-576.334284016696 94.5044657945866 -918.336313806142</t>
  </si>
  <si>
    <t>-599.533898967388 165.139899225348 -763.841947767422</t>
  </si>
  <si>
    <t>-511.883280876432 280.605892029699 -739.187941992457</t>
  </si>
  <si>
    <t>-495.079483776758 327.934066006594 -426.675787595846</t>
  </si>
  <si>
    <t>-358.883985308735 152.457485641449 -291.395295379383</t>
  </si>
  <si>
    <t>-635.204729951423 112.50062114705 -764.148625751961</t>
  </si>
  <si>
    <t>-724.349809081844 2.14420164747526 -420.389723153163</t>
  </si>
  <si>
    <t>-526.395781990246 238.589753414813 -239.793362139581</t>
  </si>
  <si>
    <t>-547.750523261747 226.081273701126 215.228756675893</t>
  </si>
  <si>
    <t>-604.638084170089 212.009229822951 681.094640183746</t>
  </si>
  <si>
    <t>-481.923005958601 117.883040505929 764.908603383296</t>
  </si>
  <si>
    <t>-620.293189175144 69.0630333817282 -211.403697180795</t>
  </si>
  <si>
    <t>-500.042219707999 -73.3262888254674 204.435955200353</t>
  </si>
  <si>
    <t>-555.116712568439 26.8760494597257 660.29815115301</t>
  </si>
  <si>
    <t>-536.823555605067 -124.47790804181 748.052513369252</t>
  </si>
  <si>
    <t>9763-20170724T160428.395445700.bin</t>
  </si>
  <si>
    <t>-573.346124708345 153.159970434135 -226.090874240256</t>
  </si>
  <si>
    <t>-611.196580779535 155.122101132003 -341.118231360272</t>
  </si>
  <si>
    <t>-626.542232834388 153.069734674532 -461.330103849392</t>
  </si>
  <si>
    <t>-631.051635818662 149.290370734353 -570.692899001815</t>
  </si>
  <si>
    <t>-626.281817105467 143.518109221524 -679.957652149711</t>
  </si>
  <si>
    <t>-610.026777358151 133.315736186656 -831.059249711475</t>
  </si>
  <si>
    <t>-576.28329591224 93.4586255499962 -918.556437782502</t>
  </si>
  <si>
    <t>-599.341684581795 164.12107822243 -764.053370943793</t>
  </si>
  <si>
    <t>-511.54518568573 279.474849202135 -739.358348712004</t>
  </si>
  <si>
    <t>-494.608513293977 326.605315685152 -426.823529498107</t>
  </si>
  <si>
    <t>-358.30535266614 151.131547371351 -291.647789550024</t>
  </si>
  <si>
    <t>-635.096543108218 111.538891876536 -764.349465127106</t>
  </si>
  <si>
    <t>-724.260773366238 1.02314114733895 -420.511106663191</t>
  </si>
  <si>
    <t>-526.371394286134 237.859031398658 -239.940465066381</t>
  </si>
  <si>
    <t>-547.902299425798 225.81578308417 215.085921066291</t>
  </si>
  <si>
    <t>-604.666986331218 211.994744509691 681.086702674622</t>
  </si>
  <si>
    <t>-481.915509216139 117.889903395958 764.871336270827</t>
  </si>
  <si>
    <t>-620.227230344374 68.4237544427835 -211.635368960268</t>
  </si>
  <si>
    <t>-499.737227766723 -73.6367863942053 204.247590229084</t>
  </si>
  <si>
    <t>-555.016987728008 27.0508273288262 659.903627711592</t>
  </si>
  <si>
    <t>-536.855799260411 -124.461939328328 747.411234038674</t>
  </si>
  <si>
    <t>9763-20170724T160428.427086500.bin</t>
  </si>
  <si>
    <t>-573.356873778175 152.823740356866 -226.222187950144</t>
  </si>
  <si>
    <t>-611.1912913468 154.758315091104 -341.255175307799</t>
  </si>
  <si>
    <t>-626.543289344907 152.690459316051 -461.465837019724</t>
  </si>
  <si>
    <t>-631.06783481912 148.901347421384 -570.827742905783</t>
  </si>
  <si>
    <t>-626.32286573954 143.122741327026 -680.093305578039</t>
  </si>
  <si>
    <t>-610.112157688725 132.914825260799 -831.199327820769</t>
  </si>
  <si>
    <t>-576.407907500498 93.0402817080314 -918.703638703073</t>
  </si>
  <si>
    <t>-599.396910591174 163.715524953008 -764.196099926188</t>
  </si>
  <si>
    <t>-511.548703449935 279.025448451213 -739.480310210921</t>
  </si>
  <si>
    <t>-494.394502143575 326.077624982496 -426.945560432722</t>
  </si>
  <si>
    <t>-358.088018036751 150.522642903215 -291.878650138048</t>
  </si>
  <si>
    <t>-635.17279669058 111.147587852383 -764.482887984891</t>
  </si>
  <si>
    <t>-724.157593392694 0.588801380102041 -420.622380197135</t>
  </si>
  <si>
    <t>-526.390167260643 237.533734209809 -240.049345054412</t>
  </si>
  <si>
    <t>-547.957623863383 225.650602260363 214.979480001365</t>
  </si>
  <si>
    <t>-604.664905272022 211.998494710335 681.055450937957</t>
  </si>
  <si>
    <t>-481.913409596872 117.885504380645 764.830918785582</t>
  </si>
  <si>
    <t>-620.19690098939 68.141954494102 -211.789056887666</t>
  </si>
  <si>
    <t>-499.654745587362 -73.7515069256829 204.135835099286</t>
  </si>
  <si>
    <t>-554.957876708809 27.1040809124938 659.751338628503</t>
  </si>
  <si>
    <t>-536.881917655439 -124.451115085844 747.203059563223</t>
  </si>
  <si>
    <t>9763-20170724T160428.495245300.bin</t>
  </si>
  <si>
    <t>-573.338903071288 152.197518843346 -226.46233724948</t>
  </si>
  <si>
    <t>-611.193910688241 154.107443617844 -341.489055042976</t>
  </si>
  <si>
    <t>-626.576801907031 152.017869390364 -461.695419088363</t>
  </si>
  <si>
    <t>-631.133484139907 148.209862950425 -571.055374235409</t>
  </si>
  <si>
    <t>-626.42431733809 142.413382761626 -680.321448802122</t>
  </si>
  <si>
    <t>-610.26744857621 132.180984216464 -831.43146769675</t>
  </si>
  <si>
    <t>-576.665244419077 92.2803783337997 -918.963343700149</t>
  </si>
  <si>
    <t>-599.526071241276 162.990912386206 -764.436831195621</t>
  </si>
  <si>
    <t>-511.653187884108 278.273787632038 -739.72808556589</t>
  </si>
  <si>
    <t>-494.147682597042 325.087094471093 -427.176932006643</t>
  </si>
  <si>
    <t>-357.771440076504 149.370219708301 -292.391234288072</t>
  </si>
  <si>
    <t>-635.306734618718 110.425996476642 -764.703121824786</t>
  </si>
  <si>
    <t>-723.935243483376 0.0583314598688958 -420.776157400829</t>
  </si>
  <si>
    <t>-526.459880710529 236.905428445516 -240.23396385363</t>
  </si>
  <si>
    <t>-547.967248853565 225.242891193449 214.803443181605</t>
  </si>
  <si>
    <t>-604.684816584538 211.976986279632 680.982408521145</t>
  </si>
  <si>
    <t>-481.946147583245 117.830559857079 764.739086876087</t>
  </si>
  <si>
    <t>-620.094830581727 67.5043134496257 -212.047993976036</t>
  </si>
  <si>
    <t>-499.339211022149 -73.9464441796306 203.965723453773</t>
  </si>
  <si>
    <t>-554.868362329796 27.128074333426 659.464798567913</t>
  </si>
  <si>
    <t>-536.899809981688 -124.437098627926 746.921306478186</t>
  </si>
  <si>
    <t>9763-20170724T160428.528356800.bin</t>
  </si>
  <si>
    <t>-573.284252161578 151.910306386902 -226.539829861477</t>
  </si>
  <si>
    <t>-611.140722981398 153.803467615933 -341.566453835387</t>
  </si>
  <si>
    <t>-626.527463942297 151.712528354931 -461.772161313128</t>
  </si>
  <si>
    <t>-631.088660136221 147.90909251166 -571.132070309534</t>
  </si>
  <si>
    <t>-626.384995158663 142.122740141118 -680.398932958211</t>
  </si>
  <si>
    <t>-610.236484607515 131.91025336947 -831.51134514742</t>
  </si>
  <si>
    <t>-576.676065943398 92.0101052123621 -919.059366323099</t>
  </si>
  <si>
    <t>-599.487263103589 162.708595722343 -764.512545746245</t>
  </si>
  <si>
    <t>-511.574913758544 277.964632485811 -739.790228773792</t>
  </si>
  <si>
    <t>-494.032717231191 324.635271079469 -427.219769088557</t>
  </si>
  <si>
    <t>-357.54649252473 148.885731867704 -292.588255102514</t>
  </si>
  <si>
    <t>-635.27609394028 110.149382566625 -764.784921440047</t>
  </si>
  <si>
    <t>-526.417414199782 236.617413412432 -240.302519529313</t>
  </si>
  <si>
    <t>-547.956290382591 225.093403116512 214.736944157461</t>
  </si>
  <si>
    <t>-604.638963000317 212.036547711379 680.946050255176</t>
  </si>
  <si>
    <t>-481.98800336446 117.772300221113 764.698702355081</t>
  </si>
  <si>
    <t>-620.012946849695 67.2257703154362 -212.127321804</t>
  </si>
  <si>
    <t>-499.117942546713 -74.022633001847 203.914644693225</t>
  </si>
  <si>
    <t>-554.853749611346 27.1139194918276 659.351325761951</t>
  </si>
  <si>
    <t>-536.878786641108 -124.435998160735 746.832964023733</t>
  </si>
  <si>
    <t>9763-20170724T160428.595536400.bin</t>
  </si>
  <si>
    <t>-573.220486703482 151.35716244846 -226.633447045736</t>
  </si>
  <si>
    <t>-611.093269482561 153.171036632689 -341.655916022032</t>
  </si>
  <si>
    <t>-626.530113569198 151.049255947949 -461.854721343457</t>
  </si>
  <si>
    <t>-631.150335474689 147.235747944309 -571.211833226907</t>
  </si>
  <si>
    <t>-626.519156983682 141.455813869685 -680.48206221731</t>
  </si>
  <si>
    <t>-610.485006074962 131.268094280701 -831.608310562136</t>
  </si>
  <si>
    <t>-577.039424105737 91.3702700990214 -919.201248256002</t>
  </si>
  <si>
    <t>-599.663347035784 162.040629745057 -764.609213044046</t>
  </si>
  <si>
    <t>-511.692559114893 277.247290309879 -739.858409200196</t>
  </si>
  <si>
    <t>-494.089443249641 323.718134935264 -427.26161981241</t>
  </si>
  <si>
    <t>-357.449461964417 148.003944666507 -292.739951030798</t>
  </si>
  <si>
    <t>-635.495878226928 109.511077289956 -764.869911699138</t>
  </si>
  <si>
    <t>-526.395417239089 236.04599924239 -240.410908930281</t>
  </si>
  <si>
    <t>-547.96271358298 224.765232570451 214.633323116012</t>
  </si>
  <si>
    <t>-604.683440994775 211.986648249137 680.896002140231</t>
  </si>
  <si>
    <t>-481.971783369544 117.778057601323 764.622354400576</t>
  </si>
  <si>
    <t>-619.929975336786 66.6853899973767 -212.170544506218</t>
  </si>
  <si>
    <t>-498.724581204323 -74.2003355359441 203.904077062808</t>
  </si>
  <si>
    <t>-554.811246861284 27.1221435662774 659.249550564576</t>
  </si>
  <si>
    <t>-536.894823281267 -124.431407709254 746.736931204853</t>
  </si>
  <si>
    <t>9763-20170724T160428.631204000.bin</t>
  </si>
  <si>
    <t>-573.199669273586 151.110902293926 -226.631828139449</t>
  </si>
  <si>
    <t>-611.08317169993 152.882143878496 -341.651415614981</t>
  </si>
  <si>
    <t>-626.54583531575 150.747572408731 -461.846807225917</t>
  </si>
  <si>
    <t>-631.195356676943 146.933944593072 -571.20252584541</t>
  </si>
  <si>
    <t>-626.599271194 141.164748098413 -680.474967437277</t>
  </si>
  <si>
    <t>-610.61976640032 131.002554244857 -831.608604313196</t>
  </si>
  <si>
    <t>-577.225849829069 91.1189573633885 -919.227696951703</t>
  </si>
  <si>
    <t>-599.767969693487 161.75988433449 -764.607500697675</t>
  </si>
  <si>
    <t>-511.758592561471 276.941250840468 -739.866591359651</t>
  </si>
  <si>
    <t>-494.163673469192 323.368688153901 -427.262835554744</t>
  </si>
  <si>
    <t>-357.496504863541 147.642857561041 -292.783985099338</t>
  </si>
  <si>
    <t>-635.612322331049 109.238270224192 -764.865780813777</t>
  </si>
  <si>
    <t>-526.39810374763 235.808517495684 -240.439655962219</t>
  </si>
  <si>
    <t>-547.976800419798 224.637702616817 214.606810976844</t>
  </si>
  <si>
    <t>-604.671307744281 212.007742181436 680.881653842768</t>
  </si>
  <si>
    <t>-481.973254646063 117.769350974579 764.594418374384</t>
  </si>
  <si>
    <t>-619.881098347073 66.4382768275209 -212.142455576332</t>
  </si>
  <si>
    <t>-498.522383868912 -74.3227063633326 203.929750240801</t>
  </si>
  <si>
    <t>-554.791787754524 27.1264628203414 659.214684265612</t>
  </si>
  <si>
    <t>-536.885962144672 -124.429311290144 746.700328410291</t>
  </si>
  <si>
    <t>9763-20170724T160428.694369400.bin</t>
  </si>
  <si>
    <t>-573.140499511728 150.694219041352 -226.624578788247</t>
  </si>
  <si>
    <t>-611.066146396077 152.366331188053 -341.631720982558</t>
  </si>
  <si>
    <t>-626.598749818467 150.185972381048 -461.817197533119</t>
  </si>
  <si>
    <t>-631.322376128406 146.351206031916 -571.169077616834</t>
  </si>
  <si>
    <t>-626.810667707515 140.580220391201 -680.444758427117</t>
  </si>
  <si>
    <t>-610.958537066633 130.434672448818 -831.593166796315</t>
  </si>
  <si>
    <t>-577.664483830218 90.5672902982708 -919.257671719831</t>
  </si>
  <si>
    <t>-600.046245149871 161.181779852107 -764.59710418518</t>
  </si>
  <si>
    <t>-512.021275857966 276.356430760162 -739.883944312912</t>
  </si>
  <si>
    <t>-494.25514829901 322.742190920623 -427.283687351036</t>
  </si>
  <si>
    <t>-357.586502854753 146.954680107332 -292.88695466249</t>
  </si>
  <si>
    <t>-635.899002698041 108.665722503166 -764.832256207796</t>
  </si>
  <si>
    <t>-526.403085595678 235.420348737275 -240.493601121583</t>
  </si>
  <si>
    <t>-547.994390655933 224.429360398986 214.556674926827</t>
  </si>
  <si>
    <t>-604.639621389867 212.04315005945 680.854024215212</t>
  </si>
  <si>
    <t>-481.984222156537 117.738320986878 764.55445470226</t>
  </si>
  <si>
    <t>-619.751101853729 65.9939115500879 -212.058381731606</t>
  </si>
  <si>
    <t>-498.129023170476 -74.5958625662961 203.994821562889</t>
  </si>
  <si>
    <t>-554.734231994246 27.1450630661402 659.166889841687</t>
  </si>
  <si>
    <t>-536.93117871151 -124.422746809404 746.652547310314</t>
  </si>
  <si>
    <t>9763-20170724T160428.725224100.bin</t>
  </si>
  <si>
    <t>-573.156147483379 150.470647541889 -226.616680327838</t>
  </si>
  <si>
    <t>-611.099858251825 152.107835115258 -341.618367851717</t>
  </si>
  <si>
    <t>-626.670889604252 149.918777566565 -461.798868207228</t>
  </si>
  <si>
    <t>-631.437154851121 146.086462431958 -571.148951676878</t>
  </si>
  <si>
    <t>-626.976054323154 140.327372476072 -680.427308681258</t>
  </si>
  <si>
    <t>-611.201739436613 130.208273924319 -831.585495235517</t>
  </si>
  <si>
    <t>-577.946642564252 90.346868085715 -919.26760072055</t>
  </si>
  <si>
    <t>-600.256088614531 160.944353655357 -764.589962513933</t>
  </si>
  <si>
    <t>-512.209710996261 276.107278818313 -739.895469443027</t>
  </si>
  <si>
    <t>-494.393388676341 322.426311473798 -427.288250937688</t>
  </si>
  <si>
    <t>-357.697709050023 146.609502238744 -292.95723675255</t>
  </si>
  <si>
    <t>-636.106661917098 108.426992702769 -764.815384542948</t>
  </si>
  <si>
    <t>-526.467546523909 235.190785037263 -240.508958960809</t>
  </si>
  <si>
    <t>-548.09025867062 224.305064399771 214.542288335416</t>
  </si>
  <si>
    <t>-604.696779539236 211.966425502993 680.848417802172</t>
  </si>
  <si>
    <t>-481.794795638458 117.963865006636 764.527153406801</t>
  </si>
  <si>
    <t>-619.705449818359 65.789340349382 -212.026514682523</t>
  </si>
  <si>
    <t>-498.026961379962 -74.7327568973471 204.03302313807</t>
  </si>
  <si>
    <t>-554.727003515558 27.1506481222805 659.158032235604</t>
  </si>
  <si>
    <t>-536.920058422967 -124.420619975466 746.636876174067</t>
  </si>
  <si>
    <t>9763-20170724T160428.799432100.bin</t>
  </si>
  <si>
    <t>-573.146929866599 150.220779755867 -226.581029296956</t>
  </si>
  <si>
    <t>-611.121770584096 151.78353158453 -341.573519592827</t>
  </si>
  <si>
    <t>-626.768044340156 149.54981545682 -461.743336251761</t>
  </si>
  <si>
    <t>-631.620152924512 145.689503908585 -571.088637057775</t>
  </si>
  <si>
    <t>-627.261732667244 139.91540631862 -680.370492840229</t>
  </si>
  <si>
    <t>-611.646995870604 129.788850476297 -831.544669537868</t>
  </si>
  <si>
    <t>-578.478306240713 89.9391768416649 -919.264850655745</t>
  </si>
  <si>
    <t>-600.64087602144 160.535234231009 -764.563719413814</t>
  </si>
  <si>
    <t>-512.639157883098 275.74511503226 -739.938944105938</t>
  </si>
  <si>
    <t>-494.639465211875 321.812674168005 -427.305114136813</t>
  </si>
  <si>
    <t>-357.778082467958 146.002963316325 -293.133645033306</t>
  </si>
  <si>
    <t>-636.471233910973 108.003783694273 -764.745763006735</t>
  </si>
  <si>
    <t>-526.510985215773 234.991414478665 -240.518457580736</t>
  </si>
  <si>
    <t>-548.241944045074 224.328625219447 214.532962593507</t>
  </si>
  <si>
    <t>-604.705976730681 211.949249401655 680.850937744491</t>
  </si>
  <si>
    <t>-481.795578734162 117.942908419979 764.513092672666</t>
  </si>
  <si>
    <t>-619.672995044102 65.495834715919 -211.937766968152</t>
  </si>
  <si>
    <t>-497.851671067584 -74.9174174454474 204.11674957096</t>
  </si>
  <si>
    <t>-554.705098568944 27.1885647332965 659.170254573826</t>
  </si>
  <si>
    <t>-536.968627665342 -124.411523361452 746.613766095289</t>
  </si>
  <si>
    <t>9763-20170724T160428.830515300.bin</t>
  </si>
  <si>
    <t>-573.166975152132 150.126918837824 -226.556472538363</t>
  </si>
  <si>
    <t>-611.142020576424 151.65734234889 -341.549327196728</t>
  </si>
  <si>
    <t>-626.817185641075 149.409455727171 -461.715100403211</t>
  </si>
  <si>
    <t>-631.706747206223 145.544872659153 -571.058621688546</t>
  </si>
  <si>
    <t>-627.396687823147 139.775563705149 -680.342692139282</t>
  </si>
  <si>
    <t>-611.860374596389 129.665013796508 -831.5260042921</t>
  </si>
  <si>
    <t>-578.728528358836 89.8336373383147 -919.268314742851</t>
  </si>
  <si>
    <t>-600.824897462491 160.408031724302 -764.548197077941</t>
  </si>
  <si>
    <t>-512.838513986413 275.631854200634 -739.955848655439</t>
  </si>
  <si>
    <t>-494.803391645065 321.700275889748 -427.32388864943</t>
  </si>
  <si>
    <t>-357.838501293455 145.931161426286 -293.205166782312</t>
  </si>
  <si>
    <t>-636.644530657094 107.869190894747 -764.715773265861</t>
  </si>
  <si>
    <t>-526.544129637775 234.925074489959 -240.520322811039</t>
  </si>
  <si>
    <t>-548.363062054021 224.391454975826 214.529796248353</t>
  </si>
  <si>
    <t>-604.69953437235 211.951752844564 680.855500582704</t>
  </si>
  <si>
    <t>-481.774217300271 117.959017664103 764.510998448727</t>
  </si>
  <si>
    <t>-619.669334082105 65.3698420935148 -211.893582992227</t>
  </si>
  <si>
    <t>-497.791920283494 -75.0216689525987 204.151845098305</t>
  </si>
  <si>
    <t>-554.70770839889 27.2074136330966 659.178239761268</t>
  </si>
  <si>
    <t>-536.985227563891 -124.407189516618 746.599200601143</t>
  </si>
  <si>
    <t>9763-20170724T160428.898696300.bin</t>
  </si>
  <si>
    <t>-573.175317129524 150.021116709206 -226.518776555326</t>
  </si>
  <si>
    <t>-611.13551514955 151.4693955486 -341.517597736834</t>
  </si>
  <si>
    <t>-626.866174670261 149.188696884881 -461.675499206464</t>
  </si>
  <si>
    <t>-631.834778390903 145.314591260792 -571.015048647097</t>
  </si>
  <si>
    <t>-627.63207794731 139.555773677067 -680.303809965527</t>
  </si>
  <si>
    <t>-612.273430923405 129.480499492191 -831.507677584784</t>
  </si>
  <si>
    <t>-579.239010960955 89.6613958172916 -919.29233471684</t>
  </si>
  <si>
    <t>-601.15835424273 160.207154301902 -764.535795569885</t>
  </si>
  <si>
    <t>-513.158665191949 275.444015088903 -740.009597291102</t>
  </si>
  <si>
    <t>-495.017990985892 321.544961140849 -427.388717302903</t>
  </si>
  <si>
    <t>-357.910040261637 145.910446826859 -293.239548779009</t>
  </si>
  <si>
    <t>-636.980055551311 107.669724847802 -764.673643925942</t>
  </si>
  <si>
    <t>-526.557637100385 234.908312167206 -240.535691715676</t>
  </si>
  <si>
    <t>-548.555347326028 224.634922719959 214.511877870286</t>
  </si>
  <si>
    <t>-604.58552948256 212.080672779267 680.858701693511</t>
  </si>
  <si>
    <t>-481.877141134722 117.805791984637 764.515218865391</t>
  </si>
  <si>
    <t>-619.65370615961 65.175866847502 -211.811319946322</t>
  </si>
  <si>
    <t>-497.72614521357 -75.1469176812034 204.242590775669</t>
  </si>
  <si>
    <t>-554.718934910801 27.2381102850054 659.183816092958</t>
  </si>
  <si>
    <t>-537.005726231236 -124.392065003824 746.579620669273</t>
  </si>
  <si>
    <t>9763-20170724T160428.930801800.bin</t>
  </si>
  <si>
    <t>-573.210781986007 149.991613823349 -226.508203323099</t>
  </si>
  <si>
    <t>-611.174038384361 151.420517619648 -341.506261378004</t>
  </si>
  <si>
    <t>-626.919722808462 149.129561046957 -461.662043429332</t>
  </si>
  <si>
    <t>-631.906502002254 145.250635957092 -571.000595757773</t>
  </si>
  <si>
    <t>-627.726634679607 139.491432553366 -680.290138166712</t>
  </si>
  <si>
    <t>-612.404069063236 129.420780703037 -831.497989462216</t>
  </si>
  <si>
    <t>-579.399903718369 89.5979381260229 -919.29237227124</t>
  </si>
  <si>
    <t>-601.274740776983 160.146726182956 -764.528054291342</t>
  </si>
  <si>
    <t>-513.258527523414 275.369469850457 -740.034344605091</t>
  </si>
  <si>
    <t>-495.017978359946 321.554745482816 -427.431720007087</t>
  </si>
  <si>
    <t>-357.859424148181 145.977584688488 -293.259328690087</t>
  </si>
  <si>
    <t>-637.092835685315 107.606838321502 -764.658515598121</t>
  </si>
  <si>
    <t>-526.587862797114 234.934602630638 -240.543158047878</t>
  </si>
  <si>
    <t>-548.691703319785 224.813169163486 214.502577695627</t>
  </si>
  <si>
    <t>-604.538299211897 212.13178041462 680.864302927527</t>
  </si>
  <si>
    <t>-481.930463943045 117.724786462582 764.519240028101</t>
  </si>
  <si>
    <t>-619.716776461252 65.0970719180536 -211.778418892665</t>
  </si>
  <si>
    <t>-497.709456536609 -75.2113635515002 204.256898644126</t>
  </si>
  <si>
    <t>-554.72243048883 27.2451877362134 659.175220416117</t>
  </si>
  <si>
    <t>-537.018987949281 -124.386916534324 746.569916617074</t>
  </si>
  <si>
    <t>9763-20170724T160428.997984200.bin</t>
  </si>
  <si>
    <t>-573.383418703293 149.985270081511 -226.460474509523</t>
  </si>
  <si>
    <t>-611.352039491777 151.365539393574 -341.457402206604</t>
  </si>
  <si>
    <t>-627.139426168735 149.033985464868 -461.606826209743</t>
  </si>
  <si>
    <t>-632.178561616641 145.123051676728 -570.94191240984</t>
  </si>
  <si>
    <t>-628.065214097951 139.337382306628 -680.232516337569</t>
  </si>
  <si>
    <t>-612.849304705239 129.236289588901 -831.449215417852</t>
  </si>
  <si>
    <t>-579.92357072105 89.3935057716715 -919.2640739759</t>
  </si>
  <si>
    <t>-601.673783522954 159.976370571164 -764.493457535951</t>
  </si>
  <si>
    <t>-513.671661981869 275.237562887794 -740.090241580824</t>
  </si>
  <si>
    <t>-495.178220375565 321.546316642371 -427.520727566627</t>
  </si>
  <si>
    <t>-357.878971347671 146.067968836133 -293.362995587803</t>
  </si>
  <si>
    <t>-637.489951571612 107.435064875335 -764.587663755313</t>
  </si>
  <si>
    <t>-526.746618376115 235.046772995621 -240.548229745275</t>
  </si>
  <si>
    <t>-549.109144072312 225.227799560569 214.491525060293</t>
  </si>
  <si>
    <t>-604.537794320819 212.128403088973 680.88639088725</t>
  </si>
  <si>
    <t>-481.960519225071 117.664208123176 764.521536177226</t>
  </si>
  <si>
    <t>-619.911621188912 64.972821503367 -211.701316580201</t>
  </si>
  <si>
    <t>-497.725686198873 -75.3069287348167 204.291321444713</t>
  </si>
  <si>
    <t>-554.743534937856 27.2593288343369 659.157552739918</t>
  </si>
  <si>
    <t>-537.023198165065 -124.370114294719 746.553388185928</t>
  </si>
  <si>
    <t>9763-20170724T160429.033080600.bin</t>
  </si>
  <si>
    <t>-573.449534514236 150.027090788273 -226.44366818774</t>
  </si>
  <si>
    <t>-611.413672346773 151.382821832599 -341.442352758025</t>
  </si>
  <si>
    <t>-627.17593218559 149.016273828152 -461.594488458075</t>
  </si>
  <si>
    <t>-632.184164710671 145.069640368579 -570.929660793995</t>
  </si>
  <si>
    <t>-628.031764110445 139.244678304006 -680.216760314748</t>
  </si>
  <si>
    <t>-612.753423604395 129.085443040439 -831.423103019597</t>
  </si>
  <si>
    <t>-579.812977927999 89.2110544352379 -919.218032931448</t>
  </si>
  <si>
    <t>-601.604410389817 159.850476878318 -764.474481088552</t>
  </si>
  <si>
    <t>-513.59848294684 275.095617285532 -740.106438794641</t>
  </si>
  <si>
    <t>-495.098856968485 321.521802596223 -427.554669380159</t>
  </si>
  <si>
    <t>-357.728345460775 146.085133785945 -293.415351066645</t>
  </si>
  <si>
    <t>-637.422834904487 107.310690718281 -764.563636129103</t>
  </si>
  <si>
    <t>-526.776445583295 235.130477064264 -240.553629431426</t>
  </si>
  <si>
    <t>-549.281494473718 225.510214874055 214.483261069547</t>
  </si>
  <si>
    <t>-604.460773773477 212.215966565323 680.89296301018</t>
  </si>
  <si>
    <t>-482.036597658657 117.555343737059 764.530280874872</t>
  </si>
  <si>
    <t>-619.997746411593 64.9678767094629 -211.651085601349</t>
  </si>
  <si>
    <t>-497.732211884383 -75.354785081812 204.303714051652</t>
  </si>
  <si>
    <t>-554.743756053913 27.2812727740431 659.156558950613</t>
  </si>
  <si>
    <t>-537.031844351845 -124.354004568855 746.5438929001</t>
  </si>
  <si>
    <t>9763-20170724T160429.093247300.bin</t>
  </si>
  <si>
    <t>-573.683779493017 149.905015481789 -226.405562014484</t>
  </si>
  <si>
    <t>-611.668922022899 151.211618697286 -341.397731516435</t>
  </si>
  <si>
    <t>-627.415146809165 148.781632402763 -461.550711569737</t>
  </si>
  <si>
    <t>-632.393485882094 144.771535467865 -570.885012630052</t>
  </si>
  <si>
    <t>-628.196308457166 138.876494644003 -680.166590015934</t>
  </si>
  <si>
    <t>-612.840515556354 128.613052640367 -831.358066900463</t>
  </si>
  <si>
    <t>-579.880202131113 88.6748233595849 -919.116455650561</t>
  </si>
  <si>
    <t>-601.705831545058 159.410724433495 -764.421959151924</t>
  </si>
  <si>
    <t>-513.618359013072 274.607379837954 -740.061447315291</t>
  </si>
  <si>
    <t>-495.136169203581 321.290059766801 -427.546852976347</t>
  </si>
  <si>
    <t>-357.771717062263 145.947188314279 -293.27887889392</t>
  </si>
  <si>
    <t>-637.564048023744 106.897985574812 -764.499143380296</t>
  </si>
  <si>
    <t>-526.9496998694 234.908317866843 -240.573430477803</t>
  </si>
  <si>
    <t>-549.463905698267 225.564113480175 214.468831291128</t>
  </si>
  <si>
    <t>-604.42799517222 212.220897483519 680.898928867359</t>
  </si>
  <si>
    <t>-481.988922946912 117.57866049406 764.53523824999</t>
  </si>
  <si>
    <t>-620.289261826477 64.8812808001276 -211.529066652279</t>
  </si>
  <si>
    <t>-497.744614878382 -75.5465511737675 204.308034698837</t>
  </si>
  <si>
    <t>-554.760173175296 27.301301487111 659.110917361721</t>
  </si>
  <si>
    <t>-537.048529834235 -124.331611896955 746.502525137454</t>
  </si>
  <si>
    <t>9763-20170724T160429.127089800.bin</t>
  </si>
  <si>
    <t>-573.754928643074 149.835487142643 -226.408892687956</t>
  </si>
  <si>
    <t>-611.693633619149 151.111511131377 -341.416905518722</t>
  </si>
  <si>
    <t>-627.409468703578 148.641950170083 -461.573035887581</t>
  </si>
  <si>
    <t>-632.367689522172 144.593102629963 -570.906727398329</t>
  </si>
  <si>
    <t>-628.157738889102 138.657118959817 -680.185674526859</t>
  </si>
  <si>
    <t>-612.792138806651 128.334642190311 -831.372143132663</t>
  </si>
  <si>
    <t>-579.836444157643 88.3634047076569 -919.117346572349</t>
  </si>
  <si>
    <t>-601.650416346346 159.150436393319 -764.445642957586</t>
  </si>
  <si>
    <t>-513.502012679865 274.311586637883 -740.118404910177</t>
  </si>
  <si>
    <t>-495.09986257326 321.058971579419 -427.60882461684</t>
  </si>
  <si>
    <t>-357.81557673338 145.739112182406 -293.228648057135</t>
  </si>
  <si>
    <t>-637.531553089011 106.653499686301 -764.508116864912</t>
  </si>
  <si>
    <t>-526.950028337086 234.842472881476 -240.592093651356</t>
  </si>
  <si>
    <t>-549.459261597275 225.539868595248 214.451300255493</t>
  </si>
  <si>
    <t>-604.353280359328 212.297437031428 680.892609293679</t>
  </si>
  <si>
    <t>-482.127526058808 117.392907140341 764.543725449323</t>
  </si>
  <si>
    <t>-620.412816466973 64.8344832913922 -211.530265789626</t>
  </si>
  <si>
    <t>-497.786619316303 -75.5492600127277 204.29771699433</t>
  </si>
  <si>
    <t>-554.769901935882 27.3138066138308 659.097496830871</t>
  </si>
  <si>
    <t>-537.065040062471 -124.319632617327 746.489415495559</t>
  </si>
  <si>
    <t>9763-20170724T160429.200293500.bin</t>
  </si>
  <si>
    <t>-573.918292148782 149.520387404289 -226.460859002416</t>
  </si>
  <si>
    <t>-611.828163873232 150.8028627472 -341.478222967898</t>
  </si>
  <si>
    <t>-627.555096186272 148.281729898011 -461.631851320413</t>
  </si>
  <si>
    <t>-632.540944043475 144.161280946932 -570.96172989512</t>
  </si>
  <si>
    <t>-628.376777432648 138.127939456861 -680.23706704074</t>
  </si>
  <si>
    <t>-613.094179581283 127.642521489353 -831.42068956699</t>
  </si>
  <si>
    <t>-580.181958433368 87.576118305484 -919.13883630988</t>
  </si>
  <si>
    <t>-601.893235719685 158.515159778643 -764.53026879345</t>
  </si>
  <si>
    <t>-513.628272142211 273.615110116481 -740.31178504062</t>
  </si>
  <si>
    <t>-495.208555467902 320.454656108341 -427.816919993675</t>
  </si>
  <si>
    <t>-358.193548180537 145.019039596522 -293.313079070403</t>
  </si>
  <si>
    <t>-637.819280513366 106.048821111924 -764.523010294189</t>
  </si>
  <si>
    <t>-527.107836499299 234.481729483703 -240.633731871627</t>
  </si>
  <si>
    <t>-549.552006075024 225.246004535205 214.414247467186</t>
  </si>
  <si>
    <t>-604.374862886266 212.246492291939 680.888895144967</t>
  </si>
  <si>
    <t>-481.994413595538 117.527397931064 764.523987107612</t>
  </si>
  <si>
    <t>-620.59031617906 64.5821515660782 -211.620718980885</t>
  </si>
  <si>
    <t>-498.011285867379 -75.6175147711315 204.283286142569</t>
  </si>
  <si>
    <t>-554.819224162232 27.3371588731279 659.111761757162</t>
  </si>
  <si>
    <t>-537.094497157464 -124.296211701914 746.49980026242</t>
  </si>
  <si>
    <t>9763-20170724T160429.231990700.bin</t>
  </si>
  <si>
    <t>-574.070942620644 149.37576971105 -226.459386539744</t>
  </si>
  <si>
    <t>-611.97711961044 150.660180779442 -341.478087584751</t>
  </si>
  <si>
    <t>-627.708567011902 148.113593347711 -461.630448041734</t>
  </si>
  <si>
    <t>-632.702472948885 143.958257248909 -570.958582469125</t>
  </si>
  <si>
    <t>-628.550467439013 137.878030252364 -680.231861372449</t>
  </si>
  <si>
    <t>-613.289450903958 127.314490347008 -831.41233394053</t>
  </si>
  <si>
    <t>-580.404206915898 87.194664259016 -919.116015747746</t>
  </si>
  <si>
    <t>-602.071419996741 158.216401515977 -764.53813094768</t>
  </si>
  <si>
    <t>-513.771201286832 273.302621925593 -740.373692722862</t>
  </si>
  <si>
    <t>-495.235580640882 320.161653350233 -427.888607120204</t>
  </si>
  <si>
    <t>-358.363404306806 144.624797877457 -293.371439167388</t>
  </si>
  <si>
    <t>-638.012643046992 105.760525172805 -764.501029650448</t>
  </si>
  <si>
    <t>-527.250750892929 234.32821383287 -240.628655867537</t>
  </si>
  <si>
    <t>-549.635900679194 225.141928258392 214.423140756572</t>
  </si>
  <si>
    <t>-604.390860350049 212.221821748041 680.901029793744</t>
  </si>
  <si>
    <t>-481.970957877382 117.543491405149 764.524544347198</t>
  </si>
  <si>
    <t>-620.77139799092 64.4644223511564 -211.605408445735</t>
  </si>
  <si>
    <t>-498.12181026163 -75.7187592684852 204.283327410707</t>
  </si>
  <si>
    <t>-554.842999379205 27.3422997228038 659.107320141371</t>
  </si>
  <si>
    <t>-537.092570550389 -124.287845421973 746.49581744994</t>
  </si>
  <si>
    <t>9763-20170724T160429.266082100.bin</t>
  </si>
  <si>
    <t>-574.223888632686 149.231834768222 -226.440876145936</t>
  </si>
  <si>
    <t>-612.137026382389 150.510883131957 -341.457248150745</t>
  </si>
  <si>
    <t>-627.865676220615 147.931406830373 -461.609270015128</t>
  </si>
  <si>
    <t>-632.853321824624 143.73444153366 -570.936240390032</t>
  </si>
  <si>
    <t>-628.691791729578 137.600107843804 -680.206087619042</t>
  </si>
  <si>
    <t>-613.414499709059 126.948084759051 -831.378615403046</t>
  </si>
  <si>
    <t>-580.540514974228 86.7694677906795 -919.059575590778</t>
  </si>
  <si>
    <t>-602.196174355654 157.884085518701 -764.520283183539</t>
  </si>
  <si>
    <t>-513.846207788451 272.929524989875 -740.406437632334</t>
  </si>
  <si>
    <t>-495.255922954478 319.868152728724 -427.936690282468</t>
  </si>
  <si>
    <t>-358.492926767007 144.247831857123 -293.417335164959</t>
  </si>
  <si>
    <t>-638.152201098319 105.438560473078 -764.458481074824</t>
  </si>
  <si>
    <t>-527.408412007117 234.150243695023 -240.61464799433</t>
  </si>
  <si>
    <t>-549.730609388751 225.058096798204 214.44211982374</t>
  </si>
  <si>
    <t>-604.42639727388 212.173414847229 680.914243384785</t>
  </si>
  <si>
    <t>-481.949260884029 117.557526175488 764.524623392581</t>
  </si>
  <si>
    <t>-620.92857453808 64.3364531305601 -211.574799687994</t>
  </si>
  <si>
    <t>-498.196666548333 -75.8496855201599 204.288650548914</t>
  </si>
  <si>
    <t>-554.859568394949 27.342869790233 659.088366747105</t>
  </si>
  <si>
    <t>-537.104413492935 -124.280291864186 746.487753826534</t>
  </si>
  <si>
    <t>9763-20170724T160429.326282000.bin</t>
  </si>
  <si>
    <t>-574.424536600487 149.027308866747 -226.413232891799</t>
  </si>
  <si>
    <t>-612.358457034678 150.288582661446 -341.422824448345</t>
  </si>
  <si>
    <t>-628.089749365297 147.665681632891 -461.573693884107</t>
  </si>
  <si>
    <t>-633.072713861289 143.417144714682 -570.898713583362</t>
  </si>
  <si>
    <t>-628.899825796668 137.217968083707 -680.16456456208</t>
  </si>
  <si>
    <t>-613.60033572336 126.461138082002 -831.327489838836</t>
  </si>
  <si>
    <t>-580.734145064215 86.1810399886156 -918.964769615858</t>
  </si>
  <si>
    <t>-602.362716937678 157.423499002286 -764.484526122628</t>
  </si>
  <si>
    <t>-513.913425777943 272.401704256916 -740.394380310771</t>
  </si>
  <si>
    <t>-495.23557285956 319.493952822412 -427.952946914083</t>
  </si>
  <si>
    <t>-358.58024512538 143.876695860303 -293.320307891167</t>
  </si>
  <si>
    <t>-638.377071728568 105.017881477979 -764.400400596315</t>
  </si>
  <si>
    <t>-527.54952780821 233.923449654544 -240.623851682189</t>
  </si>
  <si>
    <t>-549.833799493682 225.007680188531 214.438403641319</t>
  </si>
  <si>
    <t>-604.359659362274 212.242678221407 680.927028070643</t>
  </si>
  <si>
    <t>-481.938444998927 117.543747485779 764.525293914028</t>
  </si>
  <si>
    <t>-621.154353480108 64.1751332945798 -211.524973898618</t>
  </si>
  <si>
    <t>-498.25589123218 -75.9975025043968 204.293839820217</t>
  </si>
  <si>
    <t>-554.867790698338 27.3492973861057 659.053370059775</t>
  </si>
  <si>
    <t>-537.116230056349 -124.262768164977 746.473035195545</t>
  </si>
  <si>
    <t>9763-20170724T160429.396468700.bin</t>
  </si>
  <si>
    <t>-574.639821063364 148.857393255461 -226.416590586678</t>
  </si>
  <si>
    <t>-612.598533588937 150.139669832767 -341.417886795027</t>
  </si>
  <si>
    <t>-628.339932883036 147.49935668222 -461.567000550852</t>
  </si>
  <si>
    <t>-633.325868789726 143.22041686328 -570.890685495136</t>
  </si>
  <si>
    <t>-629.150069948131 136.97660137348 -680.153837914368</t>
  </si>
  <si>
    <t>-613.840322951027 126.143882599473 -831.310259553595</t>
  </si>
  <si>
    <t>-580.973766059723 85.8027326190761 -918.919426223777</t>
  </si>
  <si>
    <t>-602.591142542255 157.128707097109 -764.479855424735</t>
  </si>
  <si>
    <t>-514.070365728555 272.071205231276 -740.452304207539</t>
  </si>
  <si>
    <t>-495.4668076817 319.342466397435 -428.033415653418</t>
  </si>
  <si>
    <t>-358.851098503936 143.815838618646 -293.242524849308</t>
  </si>
  <si>
    <t>-638.637715470215 104.745300993335 -764.376696991633</t>
  </si>
  <si>
    <t>-527.718830676951 233.696764957965 -240.636777087985</t>
  </si>
  <si>
    <t>-549.978443659668 224.891125688473 214.42883131375</t>
  </si>
  <si>
    <t>-604.468198786749 212.10062289571 680.948133243629</t>
  </si>
  <si>
    <t>-481.861054619194 117.612952561767 764.512964205668</t>
  </si>
  <si>
    <t>-621.44640323573 64.0443528806215 -211.522694803313</t>
  </si>
  <si>
    <t>-498.296721284672 -76.0427606651772 204.250614530981</t>
  </si>
  <si>
    <t>-554.851198187252 27.3356571548554 659.004113347069</t>
  </si>
  <si>
    <t>-537.140996284531 -124.248874490747 746.479800289133</t>
  </si>
  <si>
    <t>9763-20170724T160429.427573400.bin</t>
  </si>
  <si>
    <t>-574.72762028914 148.829414226346 -226.433060616086</t>
  </si>
  <si>
    <t>-612.689859574671 150.112629168796 -341.433217958413</t>
  </si>
  <si>
    <t>-628.438053059466 147.459911281042 -461.581058394419</t>
  </si>
  <si>
    <t>-633.431579279881 143.164436245608 -570.903830090896</t>
  </si>
  <si>
    <t>-629.264664060341 136.899111944186 -680.166147016812</t>
  </si>
  <si>
    <t>-613.968715731488 126.031339097425 -831.321352930278</t>
  </si>
  <si>
    <t>-581.103637996981 85.6644872648237 -918.919210715313</t>
  </si>
  <si>
    <t>-602.705225046727 157.026121534265 -764.497923172301</t>
  </si>
  <si>
    <t>-514.165518657894 271.955298962023 -740.492089916363</t>
  </si>
  <si>
    <t>-495.54917194734 319.333412220127 -428.090307558422</t>
  </si>
  <si>
    <t>-358.964052953684 143.817916753754 -293.253779136432</t>
  </si>
  <si>
    <t>-638.768148282414 104.653891344296 -764.381759407102</t>
  </si>
  <si>
    <t>-527.768008396395 233.689327300351 -240.648133782688</t>
  </si>
  <si>
    <t>-550.03876449026 224.936323613153 214.417800847874</t>
  </si>
  <si>
    <t>-604.401334936543 212.182872893615 680.949714737278</t>
  </si>
  <si>
    <t>-481.928323695699 117.516249586816 764.508699944414</t>
  </si>
  <si>
    <t>-621.549875859284 64.005382502093 -211.5459851647</t>
  </si>
  <si>
    <t>-498.306067956135 -75.9968392221763 204.227949655666</t>
  </si>
  <si>
    <t>-554.82751313408 27.3168722101477 658.981324071881</t>
  </si>
  <si>
    <t>-537.175314932021 -124.243555799484 746.510342013185</t>
  </si>
  <si>
    <t>9763-20170724T160429.491735000.bin</t>
  </si>
  <si>
    <t>-574.894493191927 148.850361193619 -226.442769307479</t>
  </si>
  <si>
    <t>-612.846207323831 150.134951139266 -341.446260339438</t>
  </si>
  <si>
    <t>-628.604399997812 147.453428417234 -461.592315102484</t>
  </si>
  <si>
    <t>-633.615811627081 143.120480076265 -570.912813945432</t>
  </si>
  <si>
    <t>-629.475577248924 136.807019030881 -680.173267814819</t>
  </si>
  <si>
    <t>-614.225814499768 125.861816786855 -831.327657652743</t>
  </si>
  <si>
    <t>-581.38767422398 85.4342056085013 -918.907696080504</t>
  </si>
  <si>
    <t>-602.92423945449 156.87865807818 -764.520758901095</t>
  </si>
  <si>
    <t>-514.28658490337 271.745584234178 -740.571076940416</t>
  </si>
  <si>
    <t>-495.732135344337 319.290491198972 -428.190874711519</t>
  </si>
  <si>
    <t>-359.29951696696 143.738426193019 -293.247691884218</t>
  </si>
  <si>
    <t>-639.022467219191 104.530820829503 -764.372189892333</t>
  </si>
  <si>
    <t>-527.896782597444 233.744802160009 -240.673212204344</t>
  </si>
  <si>
    <t>-550.286200601558 225.172508832604 214.390380149226</t>
  </si>
  <si>
    <t>-604.359163952075 212.237166336232 680.965578927869</t>
  </si>
  <si>
    <t>-482.098148073629 117.278479788008 764.503612832509</t>
  </si>
  <si>
    <t>-621.7348495142 63.9990972881762 -211.535030859637</t>
  </si>
  <si>
    <t>-498.196269726191 -75.8410700027164 204.206076258052</t>
  </si>
  <si>
    <t>-554.789279035328 27.28619893568 658.954651202568</t>
  </si>
  <si>
    <t>-537.208487310448 -124.223220179112 746.586424839469</t>
  </si>
  <si>
    <t>9763-20170724T160429.527762200.bin</t>
  </si>
  <si>
    <t>-574.984583571067 148.814023017032 -226.440017133443</t>
  </si>
  <si>
    <t>-612.92749616489 150.088858279067 -341.446693199164</t>
  </si>
  <si>
    <t>-628.691255658069 147.389445490295 -461.591505801957</t>
  </si>
  <si>
    <t>-633.713665680464 143.037578373448 -570.910669760096</t>
  </si>
  <si>
    <t>-629.590505741508 136.702589469013 -680.170612369518</t>
  </si>
  <si>
    <t>-614.370658478517 125.725035813704 -831.325610740065</t>
  </si>
  <si>
    <t>-581.550448402539 85.2664844390299 -918.898036084645</t>
  </si>
  <si>
    <t>-603.04694683618 156.749873991754 -764.526400681375</t>
  </si>
  <si>
    <t>-514.37209935345 271.588350075175 -740.590030645407</t>
  </si>
  <si>
    <t>-495.76748256584 319.153742112297 -428.215869085558</t>
  </si>
  <si>
    <t>-359.412948981086 143.577775436368 -293.22502252887</t>
  </si>
  <si>
    <t>-639.163101182409 104.414522535809 -764.361993071981</t>
  </si>
  <si>
    <t>-527.964790100629 233.654890396288 -240.68110338732</t>
  </si>
  <si>
    <t>-550.415521130646 225.239546017807 214.38238828032</t>
  </si>
  <si>
    <t>-604.384367203712 212.19944209215 680.967899793899</t>
  </si>
  <si>
    <t>-482.049731808138 117.326258174995 764.495298519976</t>
  </si>
  <si>
    <t>-621.857720025595 63.9708677832643 -211.526688333054</t>
  </si>
  <si>
    <t>-498.06589111532 -75.7430855057241 204.181473311023</t>
  </si>
  <si>
    <t>-554.749259194714 27.2784587706137 658.941078558628</t>
  </si>
  <si>
    <t>-537.2392920381 -124.210695972093 746.62201330162</t>
  </si>
  <si>
    <t>9763-20170724T160429.593947100.bin</t>
  </si>
  <si>
    <t>-575.204014077147 148.698764880334 -226.438821750361</t>
  </si>
  <si>
    <t>-613.149819204996 149.927642188442 -341.445007895683</t>
  </si>
  <si>
    <t>-628.924960980432 147.175471416418 -461.587157385288</t>
  </si>
  <si>
    <t>-633.962122567299 142.770007290924 -570.903520016706</t>
  </si>
  <si>
    <t>-629.858439464685 136.374071116958 -680.16056111293</t>
  </si>
  <si>
    <t>-614.671093441869 125.302538917093 -831.312129585984</t>
  </si>
  <si>
    <t>-581.886495707967 84.7772537585431 -918.866897507943</t>
  </si>
  <si>
    <t>-603.308329664988 156.351900210741 -764.530766319686</t>
  </si>
  <si>
    <t>-514.505845819226 271.103417542128 -740.648660352175</t>
  </si>
  <si>
    <t>-495.910180002367 318.60929612124 -428.264913574246</t>
  </si>
  <si>
    <t>-359.680857037361 142.969279891184 -293.230863003758</t>
  </si>
  <si>
    <t>-639.4737721927 104.050729806157 -764.333703792612</t>
  </si>
  <si>
    <t>-528.226027421075 233.49409491559 -240.713867670015</t>
  </si>
  <si>
    <t>-550.597049730909 225.196682824958 214.35575027189</t>
  </si>
  <si>
    <t>-604.3920600233 212.157568285371 680.969748283623</t>
  </si>
  <si>
    <t>-481.971569914 117.390348237762 764.491648993623</t>
  </si>
  <si>
    <t>-622.0593540406 63.8959808321902 -211.481038056267</t>
  </si>
  <si>
    <t>-497.745377290176 -75.5207766902968 204.171077954016</t>
  </si>
  <si>
    <t>-554.707770410345 27.2952838789372 658.963142697839</t>
  </si>
  <si>
    <t>-537.197595810371 -124.178090386457 746.671408624576</t>
  </si>
  <si>
    <t>9763-20170724T160429.631047400.bin</t>
  </si>
  <si>
    <t>-575.305480446205 148.713292117156 -226.439723974653</t>
  </si>
  <si>
    <t>-613.265269183864 149.933400760177 -341.441358729022</t>
  </si>
  <si>
    <t>-629.048162029143 147.165491425446 -461.582120077044</t>
  </si>
  <si>
    <t>-634.089826243031 142.741711059653 -570.897511692203</t>
  </si>
  <si>
    <t>-629.988432068177 136.322446554228 -680.153170224628</t>
  </si>
  <si>
    <t>-614.802157268368 125.212627245386 -831.302056057473</t>
  </si>
  <si>
    <t>-582.017083622055 84.6488966580687 -918.838918890167</t>
  </si>
  <si>
    <t>-603.432816162033 156.274896685917 -764.527835518294</t>
  </si>
  <si>
    <t>-514.59892021811 271.001916533813 -740.666511202119</t>
  </si>
  <si>
    <t>-495.880505792271 318.506733213565 -428.289959989344</t>
  </si>
  <si>
    <t>-359.733386486143 142.813555228281 -293.24208691198</t>
  </si>
  <si>
    <t>-639.610285727377 103.982015746612 -764.319070071909</t>
  </si>
  <si>
    <t>-528.33612978674 233.552539531661 -240.725131472272</t>
  </si>
  <si>
    <t>-550.628799902074 225.245253642494 214.348098748904</t>
  </si>
  <si>
    <t>-604.3151517319 212.234812777968 680.963250855566</t>
  </si>
  <si>
    <t>-482.034896522151 117.298427980797 764.498466336708</t>
  </si>
  <si>
    <t>-622.142974029595 63.8997620441742 -211.463607825822</t>
  </si>
  <si>
    <t>-497.631938602872 -75.3879639330128 204.172730006724</t>
  </si>
  <si>
    <t>-554.719109083181 27.3084035250452 658.983607600565</t>
  </si>
  <si>
    <t>-537.148480271745 -124.164505961625 746.680628173889</t>
  </si>
  <si>
    <t>9763-20170724T160429.700229900.bin</t>
  </si>
  <si>
    <t>-575.473376365684 148.730264197902 -226.438547941571</t>
  </si>
  <si>
    <t>-613.463842943842 149.937699168637 -341.430126481569</t>
  </si>
  <si>
    <t>-629.249210538644 147.136566788759 -461.569868126723</t>
  </si>
  <si>
    <t>-634.281274634591 142.673465067415 -570.884024366967</t>
  </si>
  <si>
    <t>-630.159138008715 136.204418328521 -680.136137868924</t>
  </si>
  <si>
    <t>-614.932804938763 125.01406074112 -831.274927189563</t>
  </si>
  <si>
    <t>-582.083433975092 84.3646790268301 -918.747922869643</t>
  </si>
  <si>
    <t>-603.581427199578 156.111942402832 -764.514388266179</t>
  </si>
  <si>
    <t>-514.732087268761 270.84048141199 -740.692860839283</t>
  </si>
  <si>
    <t>-495.930951480656 318.361438168468 -428.323626109066</t>
  </si>
  <si>
    <t>-359.892819325297 142.552385043139 -293.316766634697</t>
  </si>
  <si>
    <t>-639.758537643769 103.818960401144 -764.287061365063</t>
  </si>
  <si>
    <t>-528.525548207969 233.60278611393 -240.735745084881</t>
  </si>
  <si>
    <t>-550.688010348528 225.302639142991 214.344123917956</t>
  </si>
  <si>
    <t>-604.20214275636 212.335585098489 680.960461584026</t>
  </si>
  <si>
    <t>-482.079222316926 117.21154849802 764.512369736288</t>
  </si>
  <si>
    <t>-622.302703590352 63.8629380573143 -211.438739259881</t>
  </si>
  <si>
    <t>-497.567886782975 -75.2878074028201 204.176416244903</t>
  </si>
  <si>
    <t>-554.765054423727 27.3420428677312 659.016685841649</t>
  </si>
  <si>
    <t>-537.086142176886 -124.144675017175 746.667966045011</t>
  </si>
  <si>
    <t>9763-20170724T160429.724831600.bin</t>
  </si>
  <si>
    <t>-575.567690066828 148.717909277066 -226.419555950184</t>
  </si>
  <si>
    <t>-613.56171656095 149.914361937509 -341.410131089677</t>
  </si>
  <si>
    <t>-629.350930028131 147.105971493249 -461.549194621678</t>
  </si>
  <si>
    <t>-634.38649322595 142.638806728648 -570.86300722562</t>
  </si>
  <si>
    <t>-630.267293382509 136.169347705695 -680.115130225515</t>
  </si>
  <si>
    <t>-615.044573218699 124.982449791363 -831.254610847464</t>
  </si>
  <si>
    <t>-582.150030534781 84.3168532300429 -918.703131055848</t>
  </si>
  <si>
    <t>-603.702595219813 156.086379081361 -764.495112921394</t>
  </si>
  <si>
    <t>-514.869396891993 270.824882781148 -740.694768610935</t>
  </si>
  <si>
    <t>-496.065521471539 318.415246522065 -428.336487574794</t>
  </si>
  <si>
    <t>-360.014970768948 142.642244933995 -293.295143053236</t>
  </si>
  <si>
    <t>-639.857815364851 103.778113285402 -764.265123281478</t>
  </si>
  <si>
    <t>-528.632778731069 233.576195976908 -240.732204328826</t>
  </si>
  <si>
    <t>-550.764095624915 225.29804929561 214.349582559898</t>
  </si>
  <si>
    <t>-604.241821467327 212.272066391905 680.968767022965</t>
  </si>
  <si>
    <t>-481.988515286937 117.30969408557 764.513886946574</t>
  </si>
  <si>
    <t>-622.386625455629 63.8701796517678 -211.394136558257</t>
  </si>
  <si>
    <t>-497.624983191084 -75.3484145080265 204.190276286579</t>
  </si>
  <si>
    <t>-554.795295448021 27.3719386172552 659.03168209219</t>
  </si>
  <si>
    <t>-537.076710793134 -124.130734156418 746.647357724045</t>
  </si>
  <si>
    <t>9763-20170724T160429.795521900.bin</t>
  </si>
  <si>
    <t>-575.781493335748 148.835786015643 -226.386250192919</t>
  </si>
  <si>
    <t>-613.786952426707 150.029422747128 -341.372936033653</t>
  </si>
  <si>
    <t>-629.56664084706 147.172625306536 -461.512128122097</t>
  </si>
  <si>
    <t>-634.584532847599 142.646190816515 -570.824500390924</t>
  </si>
  <si>
    <t>-630.438888433919 136.103343430674 -680.071112973767</t>
  </si>
  <si>
    <t>-615.170176648165 124.801659043168 -831.197424712363</t>
  </si>
  <si>
    <t>-582.17735381607 84.0788379492301 -918.582370813288</t>
  </si>
  <si>
    <t>-603.861621561742 155.965280785789 -764.460208739955</t>
  </si>
  <si>
    <t>-515.132274621709 270.789644225193 -740.72162147059</t>
  </si>
  <si>
    <t>-496.519047464866 318.572119467707 -428.381161924898</t>
  </si>
  <si>
    <t>-360.327586127295 142.967642665421 -293.262473152631</t>
  </si>
  <si>
    <t>-639.990637224712 103.639274608892 -764.197224030208</t>
  </si>
  <si>
    <t>-528.776627292811 233.749503428253 -240.72768219541</t>
  </si>
  <si>
    <t>-550.890094831995 225.517191976607 214.355783125995</t>
  </si>
  <si>
    <t>-604.135640396957 212.375045986434 680.97793766012</t>
  </si>
  <si>
    <t>-482.088093398583 117.160405745289 764.536786597956</t>
  </si>
  <si>
    <t>-622.670064013553 63.9693725964253 -211.345478980553</t>
  </si>
  <si>
    <t>-497.958158954382 -75.4160397496307 204.197948821594</t>
  </si>
  <si>
    <t>-554.861428781052 27.4193832960236 659.043235396643</t>
  </si>
  <si>
    <t>-537.120431984148 -124.107363170818 746.612664742228</t>
  </si>
  <si>
    <t>9763-20170724T160429.826613600.bin</t>
  </si>
  <si>
    <t>-575.902412354735 148.911596359408 -226.378805162325</t>
  </si>
  <si>
    <t>-613.916905771785 150.10880258468 -341.362513384455</t>
  </si>
  <si>
    <t>-629.656382010025 147.230564108675 -461.506496960323</t>
  </si>
  <si>
    <t>-634.617502331695 142.676361556426 -570.820175092666</t>
  </si>
  <si>
    <t>-630.394687746807 136.098743635676 -680.061915403361</t>
  </si>
  <si>
    <t>-614.997841929043 124.742648664579 -831.171094107865</t>
  </si>
  <si>
    <t>-581.931418010386 83.9903293690504 -918.514395404424</t>
  </si>
  <si>
    <t>-603.757606106061 155.938493122636 -764.437409127301</t>
  </si>
  <si>
    <t>-515.055533705165 270.809022296912 -740.726120042656</t>
  </si>
  <si>
    <t>-496.593971944926 318.755268044857 -428.401708655991</t>
  </si>
  <si>
    <t>-360.33774615548 143.268530301988 -293.195666047071</t>
  </si>
  <si>
    <t>-639.863332826595 103.596246117221 -764.182661310646</t>
  </si>
  <si>
    <t>-528.84260317148 233.829338236202 -240.730197035703</t>
  </si>
  <si>
    <t>-550.946714522304 225.609778388837 214.353851874088</t>
  </si>
  <si>
    <t>-604.106772339573 212.397930314989 680.981639344175</t>
  </si>
  <si>
    <t>-482.079845523906 117.157745747392 764.541484942997</t>
  </si>
  <si>
    <t>-622.83762002718 64.0461541906338 -211.325187381515</t>
  </si>
  <si>
    <t>-498.101976446571 -75.4373462342887 204.178202799636</t>
  </si>
  <si>
    <t>-554.880853546624 27.4319131199159 659.03060360835</t>
  </si>
  <si>
    <t>-537.141277604657 -124.097182970555 746.596424890761</t>
  </si>
  <si>
    <t>9763-20170724T160429.899820100.bin</t>
  </si>
  <si>
    <t>-576.221846926347 149.054645705578 -226.385003038299</t>
  </si>
  <si>
    <t>-614.220147953177 150.270361002813 -341.373944159941</t>
  </si>
  <si>
    <t>-629.91108882585 147.325843490782 -461.522526367174</t>
  </si>
  <si>
    <t>-634.815719626775 142.679445436556 -570.834950238519</t>
  </si>
  <si>
    <t>-630.524107338182 135.979283259594 -680.066572805464</t>
  </si>
  <si>
    <t>-615.01963638219 124.422727848756 -831.149571379902</t>
  </si>
  <si>
    <t>-581.843293462134 83.6025544261088 -918.419426912497</t>
  </si>
  <si>
    <t>-603.827800489182 155.707687270909 -764.449481772765</t>
  </si>
  <si>
    <t>-515.204139119377 270.63995541884 -740.790964069144</t>
  </si>
  <si>
    <t>-496.870904102443 319.126570849959 -428.542459881504</t>
  </si>
  <si>
    <t>-360.527652384764 143.965556286854 -293.002125840466</t>
  </si>
  <si>
    <t>-639.93197636985 103.364596607005 -764.150660152357</t>
  </si>
  <si>
    <t>-529.094775048653 233.957559881939 -240.739666162229</t>
  </si>
  <si>
    <t>-551.215327991318 225.797290191145 214.344670575019</t>
  </si>
  <si>
    <t>-604.138645340693 212.333826488719 680.987845962621</t>
  </si>
  <si>
    <t>-482.024159072275 117.19968616656 764.540566569307</t>
  </si>
  <si>
    <t>-623.227568279339 64.202475808755 -211.345434343711</t>
  </si>
  <si>
    <t>-498.316171632164 -75.2831732328871 204.104338571314</t>
  </si>
  <si>
    <t>-554.919765151393 27.4379186899967 658.987518360615</t>
  </si>
  <si>
    <t>-537.171419297397 -124.07690260355 746.576166412762</t>
  </si>
  <si>
    <t>9763-20170724T160429.924377800.bin</t>
  </si>
  <si>
    <t>-576.379307090878 149.162289170577 -226.421654409238</t>
  </si>
  <si>
    <t>-614.360792095491 150.375593256724 -341.416194779492</t>
  </si>
  <si>
    <t>-630.040041341639 147.429029105108 -461.566235188577</t>
  </si>
  <si>
    <t>-634.936544967907 142.779967505337 -570.878878020525</t>
  </si>
  <si>
    <t>-630.639523984612 136.075632116069 -680.109976797556</t>
  </si>
  <si>
    <t>-615.130735159389 124.510906293842 -831.191949342009</t>
  </si>
  <si>
    <t>-581.903859001007 83.6699575803041 -918.432884714262</t>
  </si>
  <si>
    <t>-603.934955956562 155.795416496197 -764.492230919763</t>
  </si>
  <si>
    <t>-515.246448959937 270.696314708275 -740.880298121379</t>
  </si>
  <si>
    <t>-497.063374104364 319.39247241524 -428.655609861893</t>
  </si>
  <si>
    <t>-360.695066057046 144.378573963213 -292.950399693658</t>
  </si>
  <si>
    <t>-640.050892210782 103.460393731286 -764.193561861443</t>
  </si>
  <si>
    <t>-529.22397355875 234.077213523741 -240.765135782125</t>
  </si>
  <si>
    <t>-551.418983273043 225.982373590825 214.316723211509</t>
  </si>
  <si>
    <t>-604.120029033205 212.322128991348 680.967764039887</t>
  </si>
  <si>
    <t>-482.047186407794 117.155103249888 764.543903788318</t>
  </si>
  <si>
    <t>-623.418236092985 64.2862550201664 -211.391522354046</t>
  </si>
  <si>
    <t>-498.400192794112 -75.1503482092623 204.042758075906</t>
  </si>
  <si>
    <t>-554.941242087986 27.4353821058007 658.967758488993</t>
  </si>
  <si>
    <t>-537.177151566152 -124.06640810694 746.575656157441</t>
  </si>
  <si>
    <t>9763-20170724T160429.995084000.bin</t>
  </si>
  <si>
    <t>-576.747504867508 149.429531280788 -226.638415432002</t>
  </si>
  <si>
    <t>-614.731381489879 150.661609978691 -341.631864388988</t>
  </si>
  <si>
    <t>-630.437471163833 147.682610144589 -461.777731477253</t>
  </si>
  <si>
    <t>-635.36831128411 142.984897334773 -571.086765012035</t>
  </si>
  <si>
    <t>-631.116045982465 136.213006151472 -680.31550599676</t>
  </si>
  <si>
    <t>-615.679994705433 124.535751628372 -831.396099634234</t>
  </si>
  <si>
    <t>-582.438847947057 83.6106082983258 -918.592226150024</t>
  </si>
  <si>
    <t>-604.461658802732 155.876525120839 -764.726766757741</t>
  </si>
  <si>
    <t>-515.81946608944 270.825837572073 -741.177198637583</t>
  </si>
  <si>
    <t>-497.250128772785 319.635839025786 -428.99310057353</t>
  </si>
  <si>
    <t>-360.906077296218 144.671790152553 -293.199434056234</t>
  </si>
  <si>
    <t>-640.558319995644 103.528579249828 -764.368709149589</t>
  </si>
  <si>
    <t>-529.520118866627 234.385028182878 -241.04130284238</t>
  </si>
  <si>
    <t>-551.628313600121 226.310872836308 214.045203801905</t>
  </si>
  <si>
    <t>-603.757538414977 212.315823054598 680.578506057446</t>
  </si>
  <si>
    <t>-482.071954658288 117.038626468655 764.592709964248</t>
  </si>
  <si>
    <t>-623.842812013016 64.5062574824619 -211.583350823846</t>
  </si>
  <si>
    <t>-498.499915698887 -74.8286866834778 203.787063529964</t>
  </si>
  <si>
    <t>-554.952430063336 27.417253159304 658.826441850058</t>
  </si>
  <si>
    <t>-537.202613134435 -124.048411676129 746.499621109672</t>
  </si>
  <si>
    <t>9763-20170724T160430.029014200.bin</t>
  </si>
  <si>
    <t>-576.86847633004 149.592585262469 -226.857606258124</t>
  </si>
  <si>
    <t>-614.914676170274 150.852868349698 -341.830139214497</t>
  </si>
  <si>
    <t>-630.660680355659 147.859118490259 -461.970463894213</t>
  </si>
  <si>
    <t>-635.617795635209 143.132069310657 -571.277007876185</t>
  </si>
  <si>
    <t>-631.381704350743 136.316013072774 -680.503616809608</t>
  </si>
  <si>
    <t>-615.957431165569 124.563188592534 -831.579632619967</t>
  </si>
  <si>
    <t>-582.727582821627 83.6107000051254 -918.766999370081</t>
  </si>
  <si>
    <t>-604.7444894567 155.944447627117 -764.928204960624</t>
  </si>
  <si>
    <t>-516.12382720526 270.911142452961 -741.431579840172</t>
  </si>
  <si>
    <t>-497.482950561609 319.640471150523 -429.239215094128</t>
  </si>
  <si>
    <t>-361.025720029683 144.711596629996 -293.51401840091</t>
  </si>
  <si>
    <t>-640.820008318283 103.582313634373 -764.537917385143</t>
  </si>
  <si>
    <t>-529.583031883463 234.546770481952 -241.327368548831</t>
  </si>
  <si>
    <t>-551.579140848426 226.438277948663 213.763940472115</t>
  </si>
  <si>
    <t>-603.477998180968 212.275391985007 680.291114016405</t>
  </si>
  <si>
    <t>-482.063052524435 116.976500566593 764.67147288621</t>
  </si>
  <si>
    <t>-624.031939384779 64.6571835248246 -211.736879656379</t>
  </si>
  <si>
    <t>-498.514173854705 -74.7130336938578 203.56896647396</t>
  </si>
  <si>
    <t>-554.971016616313 27.4128086209678 658.676565714948</t>
  </si>
  <si>
    <t>-537.18755377225 -124.039850248095 746.36542206955</t>
  </si>
  <si>
    <t>9763-20170724T160430.097193500.bin</t>
  </si>
  <si>
    <t>-576.926127010129 149.977916812441 -227.277482186273</t>
  </si>
  <si>
    <t>-615.051266164625 151.304168946183 -342.223209213929</t>
  </si>
  <si>
    <t>-630.847334204947 148.314711490688 -462.357002079156</t>
  </si>
  <si>
    <t>-635.836687946844 143.569978963968 -571.661376974037</t>
  </si>
  <si>
    <t>-631.619130189594 136.717276823874 -680.886321511604</t>
  </si>
  <si>
    <t>-616.206240370408 124.895853460551 -831.958187829164</t>
  </si>
  <si>
    <t>-582.951332711605 83.9398940610367 -919.134493911254</t>
  </si>
  <si>
    <t>-604.979577867091 156.301520846758 -765.320664491787</t>
  </si>
  <si>
    <t>-516.298370176503 271.228490288593 -741.879677991672</t>
  </si>
  <si>
    <t>-497.701979940925 320.022309483977 -429.694541823969</t>
  </si>
  <si>
    <t>-361.111168787992 145.237725366775 -293.917788629094</t>
  </si>
  <si>
    <t>-641.072349729802 103.95141645207 -764.906608940194</t>
  </si>
  <si>
    <t>-529.44603478497 234.886939415042 -241.732539180168</t>
  </si>
  <si>
    <t>-551.402768398614 226.727606967649 213.359795803879</t>
  </si>
  <si>
    <t>-603.143378620022 212.344527655076 680.054959390961</t>
  </si>
  <si>
    <t>-482.161358478659 116.803663163913 764.782781768391</t>
  </si>
  <si>
    <t>-624.295178828494 65.069943389339 -212.10259073723</t>
  </si>
  <si>
    <t>-498.67093464575 -74.4330126196126 203.126473078015</t>
  </si>
  <si>
    <t>-554.987704439623 27.4307307624745 658.370616961412</t>
  </si>
  <si>
    <t>-537.228420493995 -124.012712203401 746.080203461257</t>
  </si>
  <si>
    <t>9763-20170724T160430.129074000.bin</t>
  </si>
  <si>
    <t>-576.99182313749 150.14581114879 -227.391203213483</t>
  </si>
  <si>
    <t>-615.148353232738 151.519903460773 -342.325882762691</t>
  </si>
  <si>
    <t>-630.983996830991 148.565181607845 -462.455353116594</t>
  </si>
  <si>
    <t>-636.011832813493 143.847866151789 -571.759052657786</t>
  </si>
  <si>
    <t>-631.834938906703 137.019578746302 -680.987204295406</t>
  </si>
  <si>
    <t>-616.480562504281 125.229566584741 -832.06744513744</t>
  </si>
  <si>
    <t>-583.224640086788 84.2863172613675 -919.249228567387</t>
  </si>
  <si>
    <t>-605.214806185268 156.612184777247 -765.425715725698</t>
  </si>
  <si>
    <t>-516.444093919086 271.485465918773 -742.006828159833</t>
  </si>
  <si>
    <t>-497.925840980667 320.402701226448 -429.836391917621</t>
  </si>
  <si>
    <t>-361.46858936804 145.642430384218 -293.894164051085</t>
  </si>
  <si>
    <t>-641.334039910388 104.280318920918 -765.012646947908</t>
  </si>
  <si>
    <t>-529.42934327887 235.002677872902 -241.808156918787</t>
  </si>
  <si>
    <t>-551.339097174391 226.787433483873 213.285367585216</t>
  </si>
  <si>
    <t>-603.078573988307 212.421503853112 680.035955514232</t>
  </si>
  <si>
    <t>-482.249605320908 116.701651724522 764.780170472968</t>
  </si>
  <si>
    <t>-624.463757066381 65.2758473164372 -212.214072340512</t>
  </si>
  <si>
    <t>-498.821940975504 -74.2947223115075 202.986948950486</t>
  </si>
  <si>
    <t>-554.996096498591 27.4515140430485 658.271100098096</t>
  </si>
  <si>
    <t>-537.251585697902 -123.997791439401 745.973682875643</t>
  </si>
  <si>
    <t>9763-20170724T160430.195242600.bin</t>
  </si>
  <si>
    <t>-577.251472539941 150.18886781851 -227.383303709242</t>
  </si>
  <si>
    <t>-615.4589043729 151.629685776046 -342.300361640054</t>
  </si>
  <si>
    <t>-631.378827261047 148.724276630289 -462.419782579836</t>
  </si>
  <si>
    <t>-636.495803302998 144.045915164774 -571.721073936934</t>
  </si>
  <si>
    <t>-632.420255431464 137.252002896942 -680.955198328114</t>
  </si>
  <si>
    <t>-617.218588696546 125.505959062433 -832.054268718758</t>
  </si>
  <si>
    <t>-584.024465221697 84.5664976581061 -919.261475972694</t>
  </si>
  <si>
    <t>-605.860447135516 156.851908098425 -765.410840323108</t>
  </si>
  <si>
    <t>-516.918929991005 271.606242084911 -742.053175572241</t>
  </si>
  <si>
    <t>-498.378498066771 320.826797422437 -429.931727536946</t>
  </si>
  <si>
    <t>-362.395892341524 145.910449027943 -293.714722996344</t>
  </si>
  <si>
    <t>-642.029329780399 104.554452006458 -764.98429204789</t>
  </si>
  <si>
    <t>-529.583639508516 234.864361293999 -241.756381045298</t>
  </si>
  <si>
    <t>-551.376728701447 226.466410077984 213.339420989514</t>
  </si>
  <si>
    <t>-603.322018962824 212.279559260862 680.124305762679</t>
  </si>
  <si>
    <t>-482.119167768777 116.877245710007 764.692490541296</t>
  </si>
  <si>
    <t>-624.816543475952 65.497718635057 -212.255850669138</t>
  </si>
  <si>
    <t>-499.215970255265 -74.2789880251519 202.888231988204</t>
  </si>
  <si>
    <t>-555.032028601796 27.4885948467513 658.176981485793</t>
  </si>
  <si>
    <t>-537.284290886517 -123.974075933137 745.855780640094</t>
  </si>
  <si>
    <t>9763-20170724T160430.229354500.bin</t>
  </si>
  <si>
    <t>-577.36397183142 150.234957278384 -227.326799231195</t>
  </si>
  <si>
    <t>-615.597573402881 151.716450330179 -342.234588836605</t>
  </si>
  <si>
    <t>-631.57418908167 148.840468703617 -462.347249028274</t>
  </si>
  <si>
    <t>-636.75462968702 144.18451496864 -571.646625436041</t>
  </si>
  <si>
    <t>-632.754389003983 137.409066617861 -680.884556029133</t>
  </si>
  <si>
    <t>-617.669217892729 125.684825961845 -831.996949037558</t>
  </si>
  <si>
    <t>-584.533624045302 84.7476422170168 -919.227580404992</t>
  </si>
  <si>
    <t>-606.247804973198 157.012954891489 -765.356029558845</t>
  </si>
  <si>
    <t>-517.189409301458 271.693835241321 -742.045618334588</t>
  </si>
  <si>
    <t>-498.581581857567 320.977374407923 -429.93808169505</t>
  </si>
  <si>
    <t>-362.823980782668 145.934236826654 -293.659536730698</t>
  </si>
  <si>
    <t>-642.440056909762 104.731940201442 -764.912815979406</t>
  </si>
  <si>
    <t>-529.673868755674 234.891589219406 -241.686754358647</t>
  </si>
  <si>
    <t>-551.427894744052 226.437477581616 213.409908978879</t>
  </si>
  <si>
    <t>-603.409979825626 212.255469949466 680.17490024416</t>
  </si>
  <si>
    <t>-482.075692610648 116.935290209338 764.647190963989</t>
  </si>
  <si>
    <t>-624.933236918637 65.6173651552967 -212.220177769126</t>
  </si>
  <si>
    <t>-499.383666480727 -74.3039919536016 202.890609042209</t>
  </si>
  <si>
    <t>-555.035903466409 27.5181614830669 658.175096921533</t>
  </si>
  <si>
    <t>-537.324331287524 -123.960252461106 745.834013503587</t>
  </si>
  <si>
    <t>9763-20170724T160430.301546900.bin</t>
  </si>
  <si>
    <t>-577.560227601092 150.441492086639 -227.180809770922</t>
  </si>
  <si>
    <t>-615.806870377345 151.951168449513 -342.083944454755</t>
  </si>
  <si>
    <t>-631.878651917055 149.131444586533 -462.185122561086</t>
  </si>
  <si>
    <t>-637.178603896683 144.537316959751 -571.481343532273</t>
  </si>
  <si>
    <t>-633.330719361001 137.834195709675 -680.729278196676</t>
  </si>
  <si>
    <t>-618.490414437148 126.220945099505 -831.874555912843</t>
  </si>
  <si>
    <t>-585.469909164972 85.3214072874905 -919.16635211007</t>
  </si>
  <si>
    <t>-606.941031235712 157.486320185663 -765.226190674697</t>
  </si>
  <si>
    <t>-517.691508615899 272.025820156683 -741.992559550469</t>
  </si>
  <si>
    <t>-498.713687495702 321.107677656333 -429.875556006903</t>
  </si>
  <si>
    <t>-363.275452355453 145.802083925531 -293.616709725058</t>
  </si>
  <si>
    <t>-643.172579596873 105.232539632303 -764.768706717498</t>
  </si>
  <si>
    <t>-529.795040283047 235.050020726836 -241.537937879648</t>
  </si>
  <si>
    <t>-551.502416233235 226.549670654803 213.559995798908</t>
  </si>
  <si>
    <t>-603.536756066295 212.275730169424 680.302200312491</t>
  </si>
  <si>
    <t>-482.078464979416 116.944718365143 764.583832743753</t>
  </si>
  <si>
    <t>-625.180781320012 65.88285031027 -212.100715119918</t>
  </si>
  <si>
    <t>-499.682685520708 -74.2382059469458 202.958281755097</t>
  </si>
  <si>
    <t>-555.056066092683 27.5848416470224 658.237410029837</t>
  </si>
  <si>
    <t>-537.390820428805 -123.929135405163 745.844324570349</t>
  </si>
  <si>
    <t>9763-20170724T160430.326628900.bin</t>
  </si>
  <si>
    <t>-577.703680714083 150.521002629247 -227.111088369142</t>
  </si>
  <si>
    <t>-615.968250229295 152.051568853908 -342.007936467367</t>
  </si>
  <si>
    <t>-632.094909121193 149.26578976044 -462.102649718709</t>
  </si>
  <si>
    <t>-637.459692589506 144.706668219297 -571.39709334929</t>
  </si>
  <si>
    <t>-633.691326145943 138.042646826714 -680.650290475458</t>
  </si>
  <si>
    <t>-618.976340125647 126.487527141351 -831.812279509224</t>
  </si>
  <si>
    <t>-586.008993882492 85.6169201022458 -919.137623911346</t>
  </si>
  <si>
    <t>-607.36361569571 157.721822105231 -765.160237227574</t>
  </si>
  <si>
    <t>-518.038176339671 272.208369079724 -741.953746347349</t>
  </si>
  <si>
    <t>-498.801144876042 321.132691490285 -429.827781462164</t>
  </si>
  <si>
    <t>-363.424115404336 145.730600483939 -293.632251334383</t>
  </si>
  <si>
    <t>-643.610858659004 105.478858204131 -764.695138050884</t>
  </si>
  <si>
    <t>-529.944145250255 235.080088329174 -241.468827965945</t>
  </si>
  <si>
    <t>-551.587302252012 226.524435509772 213.63120524384</t>
  </si>
  <si>
    <t>-603.637607214957 212.228139369575 680.366861774408</t>
  </si>
  <si>
    <t>-482.013399767043 117.027734535906 764.556821218629</t>
  </si>
  <si>
    <t>-625.332819793548 66.0025761896979 -212.047253567217</t>
  </si>
  <si>
    <t>-499.857189115246 -74.1902802326179 202.994304475753</t>
  </si>
  <si>
    <t>-555.06271852648 27.6235981628267 658.292372777174</t>
  </si>
  <si>
    <t>-537.431642821115 -123.916415823379 745.861052954083</t>
  </si>
  <si>
    <t>9763-20170724T160430.395812500.bin</t>
  </si>
  <si>
    <t>-578.024023046156 150.710476278829 -226.978246056077</t>
  </si>
  <si>
    <t>-616.327969538879 152.268467043305 -341.861497606357</t>
  </si>
  <si>
    <t>-632.562528381151 149.565887402274 -461.943597525027</t>
  </si>
  <si>
    <t>-638.05206377918 145.104598001344 -571.235948131185</t>
  </si>
  <si>
    <t>-634.434479249669 138.560985778214 -680.501355574922</t>
  </si>
  <si>
    <t>-619.955089305556 127.196126970103 -831.700565492671</t>
  </si>
  <si>
    <t>-587.058496279176 86.4297961043849 -919.101368988533</t>
  </si>
  <si>
    <t>-608.237878134855 158.346152093075 -765.027391328438</t>
  </si>
  <si>
    <t>-518.783331037921 272.738315430927 -741.865993266684</t>
  </si>
  <si>
    <t>-499.129669614007 321.368416266159 -429.720035287633</t>
  </si>
  <si>
    <t>-363.764353213255 145.799627667185 -293.727856571484</t>
  </si>
  <si>
    <t>-644.485591740563 106.103383060842 -764.57193277507</t>
  </si>
  <si>
    <t>-530.254772357637 235.241110223256 -241.355912629175</t>
  </si>
  <si>
    <t>-551.777578547375 226.642467915741 213.749028649669</t>
  </si>
  <si>
    <t>-603.661446520647 212.294878423691 680.450179622898</t>
  </si>
  <si>
    <t>-481.912711640577 117.158841718834 764.532832767163</t>
  </si>
  <si>
    <t>-625.657426405454 66.2156063691978 -211.92161837083</t>
  </si>
  <si>
    <t>-500.140052199013 -74.1375145270279 203.053116742055</t>
  </si>
  <si>
    <t>-555.112208151932 27.6926946957913 658.394047083818</t>
  </si>
  <si>
    <t>-537.454301558555 -123.893232963568 745.877929762846</t>
  </si>
  <si>
    <t>9763-20170724T160430.426409400.bin</t>
  </si>
  <si>
    <t>-578.163824211655 150.822780860424 -226.961563101521</t>
  </si>
  <si>
    <t>-616.484405320108 152.401187319699 -341.839111455935</t>
  </si>
  <si>
    <t>-632.758267876875 149.746803576377 -461.916982595346</t>
  </si>
  <si>
    <t>-638.291977756288 145.341218811946 -571.209271689859</t>
  </si>
  <si>
    <t>-634.726831877136 138.865633773956 -680.480494367632</t>
  </si>
  <si>
    <t>-620.328074913461 127.608702721719 -831.69552725563</t>
  </si>
  <si>
    <t>-587.443920950235 86.9092803095587 -919.132106750733</t>
  </si>
  <si>
    <t>-608.580264489538 158.714393930371 -765.007067371626</t>
  </si>
  <si>
    <t>-519.127195224136 273.106300884716 -741.852697919107</t>
  </si>
  <si>
    <t>-499.310939626422 321.644683259971 -429.702851464012</t>
  </si>
  <si>
    <t>-363.95010290241 145.977882873635 -293.832748315015</t>
  </si>
  <si>
    <t>-644.817889625674 106.464701759296 -764.568042419437</t>
  </si>
  <si>
    <t>-733.193282246971 0.113437366510425 -419.044033261785</t>
  </si>
  <si>
    <t>-530.383408235186 235.357665700484 -241.356156957072</t>
  </si>
  <si>
    <t>-551.853184694594 226.747308507655 213.751004933676</t>
  </si>
  <si>
    <t>-603.630241757337 212.302354984937 680.434550445594</t>
  </si>
  <si>
    <t>-481.964049386536 117.084356524151 764.543897079335</t>
  </si>
  <si>
    <t>-625.801918136598 66.3288883294197 -211.903390292925</t>
  </si>
  <si>
    <t>-500.30401929645 -74.1141938506926 203.046852911334</t>
  </si>
  <si>
    <t>-555.136392341241 27.7079654666543 658.399933498735</t>
  </si>
  <si>
    <t>-537.458534565464 -123.88535316986 745.866866098179</t>
  </si>
  <si>
    <t>9763-20170724T160430.491736700.bin</t>
  </si>
  <si>
    <t>-578.411938629782 150.94320838121 -227.070989012529</t>
  </si>
  <si>
    <t>-616.774799745682 152.594371199647 -341.933502406478</t>
  </si>
  <si>
    <t>-633.141979301816 150.060229232679 -462.001151511789</t>
  </si>
  <si>
    <t>-638.779272142307 145.786262524959 -571.293400791506</t>
  </si>
  <si>
    <t>-635.335533139383 139.467157292826 -680.57764115686</t>
  </si>
  <si>
    <t>-621.121951058716 128.455881179562 -831.828243996361</t>
  </si>
  <si>
    <t>-588.210964528388 87.9288167897066 -919.334969103992</t>
  </si>
  <si>
    <t>-609.304601805021 159.461672616881 -765.105564473117</t>
  </si>
  <si>
    <t>-519.806730204959 273.82553725344 -741.957085377894</t>
  </si>
  <si>
    <t>-499.831699315613 322.227059813068 -429.796128128679</t>
  </si>
  <si>
    <t>-364.400822811656 146.613099354011 -293.927563021532</t>
  </si>
  <si>
    <t>-645.517442740027 107.194382702464 -764.703508109132</t>
  </si>
  <si>
    <t>-733.784474109885 0.606994930552219 -419.269523482269</t>
  </si>
  <si>
    <t>-530.563715970875 235.446255343211 -241.504440222268</t>
  </si>
  <si>
    <t>-551.91208408013 226.792822422317 213.607655980422</t>
  </si>
  <si>
    <t>-603.447196854232 212.276490955837 680.248240229689</t>
  </si>
  <si>
    <t>-482.003536929609 116.993763399484 764.605521636874</t>
  </si>
  <si>
    <t>-626.138100004847 66.4528038481587 -211.992963058731</t>
  </si>
  <si>
    <t>-500.611659379163 -74.04341660308 202.930700192258</t>
  </si>
  <si>
    <t>-555.170938580969 27.7225654631159 658.335738017365</t>
  </si>
  <si>
    <t>-537.487869240217 -123.871048984959 745.801170831282</t>
  </si>
  <si>
    <t>9763-20170724T160430.529755200.bin</t>
  </si>
  <si>
    <t>-578.509386919815 150.961242706338 -227.199246750101</t>
  </si>
  <si>
    <t>-616.908092650713 152.670283316494 -342.048725003772</t>
  </si>
  <si>
    <t>-633.325063608542 150.181878739086 -462.110619216</t>
  </si>
  <si>
    <t>-639.012382288653 145.944990928762 -571.401903465414</t>
  </si>
  <si>
    <t>-635.623261635567 139.65907740738 -680.68968849717</t>
  </si>
  <si>
    <t>-621.490410797311 128.689695104756 -831.950955585511</t>
  </si>
  <si>
    <t>-588.484210289356 88.3110650131323 -919.490289357583</t>
  </si>
  <si>
    <t>-609.625402592802 159.668453443473 -765.224272019045</t>
  </si>
  <si>
    <t>-520.12140022286 274.032458514906 -742.087495605383</t>
  </si>
  <si>
    <t>-500.114468823823 322.377434300929 -429.919797006128</t>
  </si>
  <si>
    <t>-364.675679667217 146.851701909893 -293.945287540482</t>
  </si>
  <si>
    <t>-645.862192625843 107.418067206153 -764.820814020991</t>
  </si>
  <si>
    <t>-734.197488797969 0.858911495647817 -419.434250085531</t>
  </si>
  <si>
    <t>-530.609728105207 235.433410887218 -241.63264181701</t>
  </si>
  <si>
    <t>-551.870290203593 226.741330943371 213.482766746685</t>
  </si>
  <si>
    <t>-603.3501966125 212.257656524722 680.155614347524</t>
  </si>
  <si>
    <t>-482.017892438577 116.950586926898 764.645529033962</t>
  </si>
  <si>
    <t>-626.2876102924 66.5046980100269 -212.111064627461</t>
  </si>
  <si>
    <t>-500.778203090673 -74.024743699913 202.806490676522</t>
  </si>
  <si>
    <t>-555.185471101544 27.706548803902 658.249995107308</t>
  </si>
  <si>
    <t>-537.508198134745 -123.869719253634 745.746691554631</t>
  </si>
  <si>
    <t>9763-20170724T160430.594927400.bin</t>
  </si>
  <si>
    <t>-578.627626974469 151.10806063423 -227.458945167578</t>
  </si>
  <si>
    <t>-617.090318456717 152.956851217337 -342.284918611542</t>
  </si>
  <si>
    <t>-633.56421635249 150.508266066199 -462.33993103987</t>
  </si>
  <si>
    <t>-639.30065352265 146.264818721247 -571.628239204353</t>
  </si>
  <si>
    <t>-635.958473073472 139.929521575431 -680.914644639725</t>
  </si>
  <si>
    <t>-621.889005585604 128.846695796293 -832.173493355504</t>
  </si>
  <si>
    <t>-587.986716148533 89.1186051954505 -919.668139568456</t>
  </si>
  <si>
    <t>-609.917346341545 159.821081802448 -765.463747448749</t>
  </si>
  <si>
    <t>-519.820130862653 273.746216571098 -742.505106853872</t>
  </si>
  <si>
    <t>-499.808244645577 322.717387595897 -430.435340477773</t>
  </si>
  <si>
    <t>-364.922866515271 147.639479399869 -293.337889303884</t>
  </si>
  <si>
    <t>-646.311243581351 107.679954849032 -765.028632242132</t>
  </si>
  <si>
    <t>-734.277947733643 1.21006949270623 -419.537389575974</t>
  </si>
  <si>
    <t>-530.520341483057 235.565014484733 -241.891831849719</t>
  </si>
  <si>
    <t>-551.801153691748 226.926327200385 213.223775047946</t>
  </si>
  <si>
    <t>-603.008678145339 212.40331175289 679.918908455748</t>
  </si>
  <si>
    <t>-482.093008213921 116.829424513413 764.704198366169</t>
  </si>
  <si>
    <t>-626.621754681368 66.6719898257452 -212.36952223017</t>
  </si>
  <si>
    <t>-501.062040652172 -73.842563032591 202.537786711785</t>
  </si>
  <si>
    <t>-555.141284405279 27.6903483097922 658.045560064913</t>
  </si>
  <si>
    <t>-537.630449192023 -123.851727619701 745.634929263271</t>
  </si>
  <si>
    <t>9763-20170724T160430.626514200.bin</t>
  </si>
  <si>
    <t>-578.642024869424 151.165312937955 -227.598454249298</t>
  </si>
  <si>
    <t>-617.122932871892 153.055481961756 -342.417653704118</t>
  </si>
  <si>
    <t>-633.71127275502 150.596075669008 -462.456673686552</t>
  </si>
  <si>
    <t>-639.590945177446 146.322812121852 -571.736194448046</t>
  </si>
  <si>
    <t>-636.431245324882 139.938611075338 -681.025292924317</t>
  </si>
  <si>
    <t>-622.655352118576 128.768683460425 -832.304623810822</t>
  </si>
  <si>
    <t>-588.055198294817 89.5508313763803 -919.756326886253</t>
  </si>
  <si>
    <t>-610.505625827788 159.747346388315 -765.629183902534</t>
  </si>
  <si>
    <t>-520.12957146162 273.528184988714 -742.907564250948</t>
  </si>
  <si>
    <t>-499.826307938542 322.771285910716 -430.899458214173</t>
  </si>
  <si>
    <t>-365.358741814639 148.071436587502 -292.912167494752</t>
  </si>
  <si>
    <t>-646.996062173608 107.674505907452 -765.10732431709</t>
  </si>
  <si>
    <t>-734.644682956001 1.50174865573717 -419.435905441549</t>
  </si>
  <si>
    <t>-530.371058242426 235.581353000552 -242.07259372672</t>
  </si>
  <si>
    <t>-551.712856949973 227.014878225456 213.041426425174</t>
  </si>
  <si>
    <t>-602.795026344622 212.464942139585 679.750942529171</t>
  </si>
  <si>
    <t>-482.17062106625 116.694867523714 764.729502671306</t>
  </si>
  <si>
    <t>-626.822153983073 66.7529543631756 -212.474276076137</t>
  </si>
  <si>
    <t>-501.186417373135 -73.7667482646573 202.408265194723</t>
  </si>
  <si>
    <t>-555.136821523506 27.6855889779324 657.946164115367</t>
  </si>
  <si>
    <t>-537.658745773625 -123.840330592921 745.569795599217</t>
  </si>
  <si>
    <t>9763-20170724T160430.700213700.bin</t>
  </si>
  <si>
    <t>-578.456280362362 151.098313643364 -227.898193249276</t>
  </si>
  <si>
    <t>-616.959205374746 153.07932851512 -342.708394633675</t>
  </si>
  <si>
    <t>-633.823930758796 150.588847831882 -462.708163673713</t>
  </si>
  <si>
    <t>-640.057218604714 146.247826610291 -571.965487983865</t>
  </si>
  <si>
    <t>-637.352935443182 139.762068638137 -681.260874437646</t>
  </si>
  <si>
    <t>-624.312519879532 128.421380789034 -832.592687379429</t>
  </si>
  <si>
    <t>-588.154657528844 90.340394780414 -919.916422467375</t>
  </si>
  <si>
    <t>-611.796854325527 159.445958272944 -766.006296584379</t>
  </si>
  <si>
    <t>-521.178540001379 273.136128244357 -743.923093991288</t>
  </si>
  <si>
    <t>-499.571715765493 322.361361392363 -431.999565919416</t>
  </si>
  <si>
    <t>-365.770612545775 148.433249118681 -292.399067818391</t>
  </si>
  <si>
    <t>-648.368114339274 107.432643716681 -765.259718820247</t>
  </si>
  <si>
    <t>-735.188721978724 2.25773520708412 -419.088967083557</t>
  </si>
  <si>
    <t>-529.78799959622 235.413347879935 -242.44685666106</t>
  </si>
  <si>
    <t>-551.337338197054 226.939948553806 212.659192069226</t>
  </si>
  <si>
    <t>-602.365795570334 212.54082231801 679.351237077921</t>
  </si>
  <si>
    <t>-482.265213545968 116.513955559886 764.780748601411</t>
  </si>
  <si>
    <t>-626.978479884335 66.7795945976925 -212.730137511166</t>
  </si>
  <si>
    <t>-501.450060168421 -73.800887093689 202.16429630216</t>
  </si>
  <si>
    <t>-555.097183298474 27.6912430733214 657.728044379085</t>
  </si>
  <si>
    <t>-537.797561042916 -123.807896669596 745.433598031036</t>
  </si>
  <si>
    <t>9763-20170724T160430.731308900.bin</t>
  </si>
  <si>
    <t>-578.220957166547 150.929097281673 -228.05476716667</t>
  </si>
  <si>
    <t>-616.767596019422 152.94793726963 -342.849702736593</t>
  </si>
  <si>
    <t>-633.757657676289 150.42513127446 -462.831229700412</t>
  </si>
  <si>
    <t>-640.137285581725 146.0300840351 -572.077845291316</t>
  </si>
  <si>
    <t>-637.61145583195 139.468015546887 -681.372952826694</t>
  </si>
  <si>
    <t>-624.851617359189 127.999927952566 -832.718975817919</t>
  </si>
  <si>
    <t>-587.984509578804 90.4444677887657 -919.973780973791</t>
  </si>
  <si>
    <t>-612.206433310295 159.076223519733 -766.181258859405</t>
  </si>
  <si>
    <t>-521.55599825502 272.78901366278 -744.384168590578</t>
  </si>
  <si>
    <t>-499.166784749692 321.974617257202 -432.509737389764</t>
  </si>
  <si>
    <t>-365.692332287545 148.208144262288 -292.396063456168</t>
  </si>
  <si>
    <t>-648.78844548421 107.072204993621 -765.324935825182</t>
  </si>
  <si>
    <t>-735.371026144733 2.4323655082062 -418.940487006632</t>
  </si>
  <si>
    <t>-529.415839353673 235.151885245843 -242.618850181286</t>
  </si>
  <si>
    <t>-550.967060804839 226.663640547392 212.486832571213</t>
  </si>
  <si>
    <t>-602.226707646245 212.547947512748 679.234689842884</t>
  </si>
  <si>
    <t>-482.246918151086 116.492463609349 764.801645322069</t>
  </si>
  <si>
    <t>-626.865237882515 66.6963187863371 -212.824247205542</t>
  </si>
  <si>
    <t>-501.519227162577 -74.0077370830049 202.083486945619</t>
  </si>
  <si>
    <t>-555.094975528008 27.6961650129817 657.631530143851</t>
  </si>
  <si>
    <t>-537.858996288295 -123.795905273387 745.361944754602</t>
  </si>
  <si>
    <t>9763-20170724T160430.777432300.bin</t>
  </si>
  <si>
    <t>-577.987873112484 150.71039732463 -228.126849469933</t>
  </si>
  <si>
    <t>-616.580348805036 152.764895683808 -342.905781241707</t>
  </si>
  <si>
    <t>-633.660260623662 150.225852922994 -462.874119931343</t>
  </si>
  <si>
    <t>-640.138517417097 145.797859797842 -572.113552554867</t>
  </si>
  <si>
    <t>-637.728062666724 139.18638122694 -681.408309639028</t>
  </si>
  <si>
    <t>-625.145328316721 127.634010182613 -832.762947628206</t>
  </si>
  <si>
    <t>-587.646117037416 90.5855111768942 -919.965100921049</t>
  </si>
  <si>
    <t>-612.423374252838 158.747917516442 -766.257421781693</t>
  </si>
  <si>
    <t>-521.731211176388 272.474961649853 -744.699291194206</t>
  </si>
  <si>
    <t>-498.819872087348 321.571655777336 -432.84875347338</t>
  </si>
  <si>
    <t>-365.42896522639 147.943190485458 -292.484691402592</t>
  </si>
  <si>
    <t>-649.002311879931 106.74312647236 -765.328978255955</t>
  </si>
  <si>
    <t>-735.320399696261 2.31439570626867 -418.768933400383</t>
  </si>
  <si>
    <t>-529.124230942255 234.819922743511 -242.670785677781</t>
  </si>
  <si>
    <t>-550.634442897801 226.313892005308 212.4364641021</t>
  </si>
  <si>
    <t>-602.280436464821 212.484517689834 679.2276005069</t>
  </si>
  <si>
    <t>-482.278071960093 116.456962539385 764.794260395936</t>
  </si>
  <si>
    <t>-626.670635913419 66.5793720403578 -212.869245022022</t>
  </si>
  <si>
    <t>-501.471620484086 -74.2439649839796 202.042383265679</t>
  </si>
  <si>
    <t>-555.084279161706 27.6977745928612 657.543177203758</t>
  </si>
  <si>
    <t>-537.912859861746 -123.781841650155 745.307383314537</t>
  </si>
  <si>
    <t>9763-20170724T160430.825067000.bin</t>
  </si>
  <si>
    <t>-577.613888164331 150.313278155287 -228.119043299927</t>
  </si>
  <si>
    <t>-616.2965917244 152.383998999091 -342.867299918189</t>
  </si>
  <si>
    <t>-633.492591357369 149.781482087141 -462.81769237074</t>
  </si>
  <si>
    <t>-640.08519236614 145.268089815995 -572.046768401844</t>
  </si>
  <si>
    <t>-637.797367335741 138.54627293778 -681.337479245948</t>
  </si>
  <si>
    <t>-625.393155105234 126.816794733483 -832.693162863383</t>
  </si>
  <si>
    <t>-586.899013879593 90.6233160615825 -919.820709291821</t>
  </si>
  <si>
    <t>-612.636228487359 158.039140557876 -766.245143796149</t>
  </si>
  <si>
    <t>-522.075941366498 271.927008182802 -745.028682799476</t>
  </si>
  <si>
    <t>-498.34300438358 320.903260392779 -433.220652311355</t>
  </si>
  <si>
    <t>-364.468253624264 147.899050094158 -292.546873504509</t>
  </si>
  <si>
    <t>-649.126996918921 105.974363079385 -765.2009006257</t>
  </si>
  <si>
    <t>-735.728152962159 2.65864297916914 -418.406442523047</t>
  </si>
  <si>
    <t>-528.867326658686 234.319575035162 -242.588313477253</t>
  </si>
  <si>
    <t>-550.134074570403 225.571456672119 212.525807998297</t>
  </si>
  <si>
    <t>-602.466728855466 212.439970413282 679.326940299795</t>
  </si>
  <si>
    <t>-482.207325360523 116.560019955126 764.698035604158</t>
  </si>
  <si>
    <t>-626.243070616506 66.3436834488393 -212.864014158037</t>
  </si>
  <si>
    <t>-501.068302409132 -74.473209075891 202.057162197269</t>
  </si>
  <si>
    <t>-555.036170203793 27.6982040431706 657.460609382799</t>
  </si>
  <si>
    <t>-537.942446327337 -123.7617660934 745.274140141741</t>
  </si>
  <si>
    <t>9763-20170724T160430.898778500.bin</t>
  </si>
  <si>
    <t>-577.596401784088 150.10719977849 -227.995985584251</t>
  </si>
  <si>
    <t>-616.305122439587 152.188519155655 -342.735283515486</t>
  </si>
  <si>
    <t>-633.459271543454 149.573010036178 -462.691464044846</t>
  </si>
  <si>
    <t>-639.98567278101 145.037725501788 -571.923662814346</t>
  </si>
  <si>
    <t>-637.603936949519 138.283030048944 -681.210254713487</t>
  </si>
  <si>
    <t>-625.04123746132 126.495927155391 -832.548443457612</t>
  </si>
  <si>
    <t>-585.778342644589 91.0422071848809 -919.637094908852</t>
  </si>
  <si>
    <t>-612.403571132613 157.778006632831 -766.105657145855</t>
  </si>
  <si>
    <t>-522.035998437631 271.84010471216 -744.928257173281</t>
  </si>
  <si>
    <t>-498.349926861313 320.940005223106 -433.136147177417</t>
  </si>
  <si>
    <t>-363.98277062647 148.321249768366 -292.458316570585</t>
  </si>
  <si>
    <t>-648.796176502099 105.644628209856 -765.066346045839</t>
  </si>
  <si>
    <t>-736.128628076551 2.597031124566 -418.293199921475</t>
  </si>
  <si>
    <t>-529.101878671583 234.099089279225 -242.368187855645</t>
  </si>
  <si>
    <t>-550.136743633356 225.089681764062 212.75166275022</t>
  </si>
  <si>
    <t>-602.848892699692 212.265723135662 679.534218788822</t>
  </si>
  <si>
    <t>-482.083764824569 116.734746046194 764.582008632237</t>
  </si>
  <si>
    <t>-625.9680116169 66.1945312032008 -212.876337686152</t>
  </si>
  <si>
    <t>-500.585318321017 -74.1417935996587 202.144784891133</t>
  </si>
  <si>
    <t>-555.0002522537 27.7039987704009 657.531620467836</t>
  </si>
  <si>
    <t>-537.880669632331 -123.744295935779 745.360151638683</t>
  </si>
  <si>
    <t>9763-20170724T160430.928865600.bin</t>
  </si>
  <si>
    <t>-577.645697695772 150.159752847379 -227.959319285636</t>
  </si>
  <si>
    <t>-616.317042138517 152.205628287953 -342.711825900809</t>
  </si>
  <si>
    <t>-633.394295526439 149.572111841988 -462.678439896163</t>
  </si>
  <si>
    <t>-639.835200322967 145.027217914477 -571.915468616443</t>
  </si>
  <si>
    <t>-637.352677021103 138.268840902368 -681.199505527841</t>
  </si>
  <si>
    <t>-624.634221302086 126.482827403027 -832.524836201409</t>
  </si>
  <si>
    <t>-585.062128431937 91.3444023940961 -919.601199192564</t>
  </si>
  <si>
    <t>-612.104971583252 157.792386910958 -766.074411689866</t>
  </si>
  <si>
    <t>-521.882904894289 271.95876923154 -744.872358395412</t>
  </si>
  <si>
    <t>-498.573467839156 321.102932071937 -433.058760447713</t>
  </si>
  <si>
    <t>-364.102042811417 148.616286650119 -292.318521631186</t>
  </si>
  <si>
    <t>-648.418448150316 105.603242560398 -765.06167349576</t>
  </si>
  <si>
    <t>-736.238013266314 2.59284296022634 -418.350854793594</t>
  </si>
  <si>
    <t>-529.288947451275 234.207994911822 -242.302302897399</t>
  </si>
  <si>
    <t>-550.212972932666 225.082552210697 212.820356083676</t>
  </si>
  <si>
    <t>-602.918323762165 212.208529321359 679.538277835418</t>
  </si>
  <si>
    <t>-482.006227261055 116.827533257048 764.545586806741</t>
  </si>
  <si>
    <t>-625.887552446859 66.1882204989363 -212.895184074328</t>
  </si>
  <si>
    <t>-500.376681769292 -73.8639791960079 202.183189358159</t>
  </si>
  <si>
    <t>-555.021059823274 27.7026120644111 657.597198493261</t>
  </si>
  <si>
    <t>-537.785112809566 -123.73698906332 745.417835575714</t>
  </si>
  <si>
    <t>9763-20170724T160430.995047600.bin</t>
  </si>
  <si>
    <t>-577.679070977819 150.300546334597 -227.89060296673</t>
  </si>
  <si>
    <t>-616.235107012728 152.282001319004 -342.682953532659</t>
  </si>
  <si>
    <t>-633.112881351353 149.632820542757 -462.677537122385</t>
  </si>
  <si>
    <t>-639.33983879094 145.09315669194 -571.927178798839</t>
  </si>
  <si>
    <t>-636.61068540311 138.358984594118 -681.20686236346</t>
  </si>
  <si>
    <t>-623.516544239542 126.626090321589 -832.504220313008</t>
  </si>
  <si>
    <t>-583.430003383279 91.9802203779586 -919.542773204498</t>
  </si>
  <si>
    <t>-611.238172800459 157.97160018356 -766.023914511381</t>
  </si>
  <si>
    <t>-521.402698834972 272.416127198298 -744.643844849724</t>
  </si>
  <si>
    <t>-498.994961291524 321.695238591025 -432.785661402689</t>
  </si>
  <si>
    <t>-364.520556373333 149.214981479889 -292.040184511525</t>
  </si>
  <si>
    <t>-647.382363592041 105.663529808283 -765.095683168249</t>
  </si>
  <si>
    <t>-735.552271043791 2.44883815626076 -418.544920278443</t>
  </si>
  <si>
    <t>-529.547469468939 234.417090472643 -242.1940923621</t>
  </si>
  <si>
    <t>-550.332377504777 225.138467675964 212.931721315239</t>
  </si>
  <si>
    <t>-603.051883777486 212.124538889232 679.643648794662</t>
  </si>
  <si>
    <t>-481.821691607933 117.047406855203 764.538228777245</t>
  </si>
  <si>
    <t>-625.663075962388 66.2317405371141 -212.905556433139</t>
  </si>
  <si>
    <t>-500.089418766849 -73.5092891408431 202.258755674216</t>
  </si>
  <si>
    <t>-555.066234596345 27.7347555963245 657.733178133321</t>
  </si>
  <si>
    <t>-537.624765941574 -123.724198747367 745.479948597277</t>
  </si>
  <si>
    <t>9763-20170724T160431.029137600.bin</t>
  </si>
  <si>
    <t>-577.682941933531 150.419284230012 -227.779371338631</t>
  </si>
  <si>
    <t>-616.17218569773 152.35003602429 -342.595177167409</t>
  </si>
  <si>
    <t>-632.928544504449 149.663495436324 -462.605798121868</t>
  </si>
  <si>
    <t>-639.02348481556 145.097400272442 -571.86172899937</t>
  </si>
  <si>
    <t>-636.140327855178 138.345297284535 -681.136459424074</t>
  </si>
  <si>
    <t>-622.809980077698 126.597063262127 -832.411884338263</t>
  </si>
  <si>
    <t>-582.472565204421 92.1327006538252 -919.406697964151</t>
  </si>
  <si>
    <t>-610.687066444451 157.984733619782 -765.923021526886</t>
  </si>
  <si>
    <t>-521.117684806229 272.614859014675 -744.435674813335</t>
  </si>
  <si>
    <t>-499.231850206057 321.891402636415 -432.539887475791</t>
  </si>
  <si>
    <t>-364.732245148058 149.400501113199 -291.831807815233</t>
  </si>
  <si>
    <t>-646.729425380225 105.605849986578 -765.031319182488</t>
  </si>
  <si>
    <t>-735.018037942284 2.27363598803868 -418.555278657484</t>
  </si>
  <si>
    <t>-529.637968204968 234.627154542172 -242.053350645676</t>
  </si>
  <si>
    <t>-550.477825688419 225.366476600056 213.070401774464</t>
  </si>
  <si>
    <t>-603.156942027182 212.164999495841 679.809146088247</t>
  </si>
  <si>
    <t>-481.826713633544 117.061913656388 764.53156592396</t>
  </si>
  <si>
    <t>-625.610971878609 66.2528140662655 -212.822914534268</t>
  </si>
  <si>
    <t>-500.054122576762 -73.4665034239163 202.353734046623</t>
  </si>
  <si>
    <t>-555.119336522391 27.7747758176563 657.836093204703</t>
  </si>
  <si>
    <t>-537.530714874732 -123.713520640928 745.502800310402</t>
  </si>
  <si>
    <t>9763-20170724T160431.095314700.bin</t>
  </si>
  <si>
    <t>-577.914413151391 150.575621310521 -227.446615647775</t>
  </si>
  <si>
    <t>-616.184337955695 152.309607757928 -342.338895696676</t>
  </si>
  <si>
    <t>-632.624503796051 149.481021974908 -462.389964312278</t>
  </si>
  <si>
    <t>-638.395204454924 144.812356362163 -571.659119477679</t>
  </si>
  <si>
    <t>-635.150874814767 137.985000600713 -680.91909722259</t>
  </si>
  <si>
    <t>-621.281443609206 126.162233811086 -832.140307923005</t>
  </si>
  <si>
    <t>-580.404336581111 91.9976005589092 -919.001117285934</t>
  </si>
  <si>
    <t>-609.501778233697 157.655237089735 -765.639456771359</t>
  </si>
  <si>
    <t>-520.546271135953 272.722012063282 -743.918705267732</t>
  </si>
  <si>
    <t>-499.763798297917 321.985361864841 -431.945310217753</t>
  </si>
  <si>
    <t>-365.059305933008 149.616593570111 -291.283414810974</t>
  </si>
  <si>
    <t>-645.33465880973 105.131684493183 -764.819597337045</t>
  </si>
  <si>
    <t>-733.740010382872 1.54115644548028 -418.468670551089</t>
  </si>
  <si>
    <t>-530.059700918707 234.836705023112 -241.700889516892</t>
  </si>
  <si>
    <t>-551.058202462325 225.794254570176 213.419902195348</t>
  </si>
  <si>
    <t>-603.524698436114 211.996079447759 680.073078787246</t>
  </si>
  <si>
    <t>-481.588874090114 117.404116671227 764.497760610016</t>
  </si>
  <si>
    <t>-625.66356443918 66.3409026189979 -212.495537387477</t>
  </si>
  <si>
    <t>-500.425156740742 -73.8337584713386 202.623875430274</t>
  </si>
  <si>
    <t>-555.229959892562 27.9205321780928 658.082175462663</t>
  </si>
  <si>
    <t>-537.455060319972 -123.687338931313 745.504332300741</t>
  </si>
  <si>
    <t>9763-20170724T160431.124541400.bin</t>
  </si>
  <si>
    <t>-578.03111332547 150.721298988337 -227.326417722756</t>
  </si>
  <si>
    <t>-616.194331940327 152.34518599683 -342.25572093151</t>
  </si>
  <si>
    <t>-632.464256012773 149.429725264627 -462.327967131851</t>
  </si>
  <si>
    <t>-638.05542401333 144.694428054033 -571.60372388757</t>
  </si>
  <si>
    <t>-634.606796988455 137.813271961757 -680.853765535211</t>
  </si>
  <si>
    <t>-620.428314462594 125.930347275801 -832.041665443345</t>
  </si>
  <si>
    <t>-579.256201989608 91.9056697342819 -918.818210365917</t>
  </si>
  <si>
    <t>-608.842263364716 157.488969785086 -765.537972281145</t>
  </si>
  <si>
    <t>-520.25203926514 272.802724951096 -743.701256259439</t>
  </si>
  <si>
    <t>-499.889870581665 322.050169951034 -431.697758186677</t>
  </si>
  <si>
    <t>-365.066316300261 149.858736262912 -290.93280082923</t>
  </si>
  <si>
    <t>-644.561406789267 104.88742119101 -764.753538506837</t>
  </si>
  <si>
    <t>-733.075981490815 1.0161763219794 -418.454254668203</t>
  </si>
  <si>
    <t>-530.198948212944 235.048419927422 -241.615054582122</t>
  </si>
  <si>
    <t>-551.26675477376 226.123856908786 213.504792202217</t>
  </si>
  <si>
    <t>-603.467814024668 212.083111341617 680.112249139936</t>
  </si>
  <si>
    <t>-481.596840666399 117.394406923615 764.522119480557</t>
  </si>
  <si>
    <t>-625.759341543403 66.4337486775569 -212.357553286588</t>
  </si>
  <si>
    <t>-500.779671248726 -74.1396153790142 202.704942448399</t>
  </si>
  <si>
    <t>-555.287413703277 27.9852608792548 658.144548718403</t>
  </si>
  <si>
    <t>-537.490065876099 -123.686755158176 745.450697162729</t>
  </si>
  <si>
    <t>9763-20170724T160431.191776400.bin</t>
  </si>
  <si>
    <t>-578.182924093217 150.795987842039 -227.218532597627</t>
  </si>
  <si>
    <t>-616.144689126834 152.284158409301 -342.216379060917</t>
  </si>
  <si>
    <t>-632.077572590345 149.24719158195 -462.330791520081</t>
  </si>
  <si>
    <t>-637.30909011112 144.414587004962 -571.620038758809</t>
  </si>
  <si>
    <t>-633.447302769611 137.452050746524 -680.851252205904</t>
  </si>
  <si>
    <t>-618.640002612529 125.476530825489 -831.971504578071</t>
  </si>
  <si>
    <t>-576.873203982261 91.7137796403765 -918.565927183926</t>
  </si>
  <si>
    <t>-607.436182775697 157.147128474309 -765.455478332164</t>
  </si>
  <si>
    <t>-519.484349009336 272.911099899067 -743.333271621336</t>
  </si>
  <si>
    <t>-499.94464434585 322.113467150345 -431.269877604741</t>
  </si>
  <si>
    <t>-364.776730885299 150.728345605676 -289.852544559906</t>
  </si>
  <si>
    <t>-642.947336615116 104.403555985375 -764.755362496633</t>
  </si>
  <si>
    <t>-731.705701125617 0.685422065903595 -418.562604849665</t>
  </si>
  <si>
    <t>-530.341305553483 235.204507245715 -241.504599652911</t>
  </si>
  <si>
    <t>-551.642957137617 226.561043793604 213.609897122434</t>
  </si>
  <si>
    <t>-603.486777776567 212.146323112768 680.235466517514</t>
  </si>
  <si>
    <t>-481.613856229587 117.411509765341 764.590761886272</t>
  </si>
  <si>
    <t>-625.922282579435 66.4143838007728 -212.267937252</t>
  </si>
  <si>
    <t>-501.433716558887 -74.6788381669089 202.765762805786</t>
  </si>
  <si>
    <t>-555.355921008989 28.0577359847784 658.143485628995</t>
  </si>
  <si>
    <t>-537.551072798649 -123.688179975951 745.31959839781</t>
  </si>
  <si>
    <t>9763-20170724T160431.226873500.bin</t>
  </si>
  <si>
    <t>-578.217049207454 150.631952582237 -227.216695700848</t>
  </si>
  <si>
    <t>-616.090109205878 152.077679294138 -342.244279622288</t>
  </si>
  <si>
    <t>-631.847706517868 148.987322541463 -462.380496829285</t>
  </si>
  <si>
    <t>-636.885497873816 144.106147181748 -571.676549432017</t>
  </si>
  <si>
    <t>-632.794985230197 137.097647120241 -680.896550218734</t>
  </si>
  <si>
    <t>-617.634651718884 125.06281470675 -831.977107502744</t>
  </si>
  <si>
    <t>-575.558342834247 91.4274851342354 -918.471216423111</t>
  </si>
  <si>
    <t>-606.635227072764 156.792285641044 -765.455132046716</t>
  </si>
  <si>
    <t>-518.991351341771 272.744734349779 -743.177093745427</t>
  </si>
  <si>
    <t>-499.907692293095 321.854119821987 -431.07081388022</t>
  </si>
  <si>
    <t>-364.55904330032 151.0755883512 -289.093755155182</t>
  </si>
  <si>
    <t>-642.049994527447 103.983468982747 -764.802242827388</t>
  </si>
  <si>
    <t>-731.136308128823 0.0999616644867274 -418.677560609535</t>
  </si>
  <si>
    <t>-530.386581530367 235.031459711616 -241.482359760106</t>
  </si>
  <si>
    <t>-551.786233143084 226.607425735188 213.631670795459</t>
  </si>
  <si>
    <t>-603.500835992234 212.162423497505 680.266171080818</t>
  </si>
  <si>
    <t>-481.540446853299 117.521185948817 764.600103764419</t>
  </si>
  <si>
    <t>-625.905356470053 66.2237934825337 -212.295337610506</t>
  </si>
  <si>
    <t>-501.585813813557 -74.9618381655816 202.757581861617</t>
  </si>
  <si>
    <t>-555.359913953998 28.052583004066 658.08313382054</t>
  </si>
  <si>
    <t>-537.574520900416 -123.693953615473 745.262190449361</t>
  </si>
  <si>
    <t>9763-20170724T160431.292627800.bin</t>
  </si>
  <si>
    <t>-578.355542385943 150.084933135033 -227.322455240158</t>
  </si>
  <si>
    <t>-616.131554591453 151.571268520512 -342.381484726043</t>
  </si>
  <si>
    <t>-631.58957784506 148.498493687094 -462.557067216643</t>
  </si>
  <si>
    <t>-636.273223479301 143.628586080741 -571.869435054173</t>
  </si>
  <si>
    <t>-631.746630469625 136.629454595153 -681.072768632567</t>
  </si>
  <si>
    <t>-615.896597603379 124.609039875717 -832.083698196882</t>
  </si>
  <si>
    <t>-573.277396034372 91.2368676351782 -918.413820587949</t>
  </si>
  <si>
    <t>-605.259793738487 156.371275257598 -765.518451166558</t>
  </si>
  <si>
    <t>-518.022847074545 272.577133542431 -742.878543405559</t>
  </si>
  <si>
    <t>-500.467568691886 322.107083966054 -430.749162759946</t>
  </si>
  <si>
    <t>-364.721926014972 152.091979033998 -288.235859609401</t>
  </si>
  <si>
    <t>-640.559758187977 103.484058878843 -765.013666023581</t>
  </si>
  <si>
    <t>-530.585391121303 234.488902374503 -241.491735679134</t>
  </si>
  <si>
    <t>-551.998240213033 226.315245522308 213.626173901489</t>
  </si>
  <si>
    <t>-603.628529607885 212.068021593592 680.313326080343</t>
  </si>
  <si>
    <t>-481.501210398801 117.596099127047 764.595496957089</t>
  </si>
  <si>
    <t>-626.00773475824 65.7184384634461 -212.486520492865</t>
  </si>
  <si>
    <t>-501.580382141258 -75.1397252434531 202.645418218227</t>
  </si>
  <si>
    <t>-555.275782389122 28.0075361908639 657.918708806286</t>
  </si>
  <si>
    <t>-537.62698393455 -123.701907916097 745.18998894762</t>
  </si>
  <si>
    <t>9763-20170724T160431.325719200.bin</t>
  </si>
  <si>
    <t>-578.386387480283 149.741611564164 -227.400355727792</t>
  </si>
  <si>
    <t>-616.133658662262 151.25949185015 -342.468368265268</t>
  </si>
  <si>
    <t>-631.412144580386 148.183528709662 -462.666885220542</t>
  </si>
  <si>
    <t>-635.871900356426 143.297540311922 -571.987905568652</t>
  </si>
  <si>
    <t>-631.060771519859 136.270277552369 -681.177280367439</t>
  </si>
  <si>
    <t>-614.754191815336 124.199004501767 -832.135477246096</t>
  </si>
  <si>
    <t>-571.850913140674 90.9178378694926 -918.359965005807</t>
  </si>
  <si>
    <t>-604.340795350553 155.998416295591 -765.552579423712</t>
  </si>
  <si>
    <t>-517.267707801419 272.279421358602 -742.761307858896</t>
  </si>
  <si>
    <t>-500.408349382947 322.201114614194 -430.655904778956</t>
  </si>
  <si>
    <t>-364.496658132124 152.34337949051 -288.113147550496</t>
  </si>
  <si>
    <t>-639.597871179433 103.081954804079 -765.129707267259</t>
  </si>
  <si>
    <t>-530.656058148994 234.156499473113 -241.526358738688</t>
  </si>
  <si>
    <t>-552.028749954727 226.127206362976 213.595970268056</t>
  </si>
  <si>
    <t>-603.612590495238 212.087052637891 680.299032610074</t>
  </si>
  <si>
    <t>-481.577785943509 117.508015553878 764.595069220934</t>
  </si>
  <si>
    <t>-625.993738845774 65.3507503459878 -212.611027658126</t>
  </si>
  <si>
    <t>-501.358672036487 -75.1630139528093 202.575255258969</t>
  </si>
  <si>
    <t>-555.242301701953 27.9729513671246 657.831107670841</t>
  </si>
  <si>
    <t>-537.580727829276 -123.705576919985 745.153552765124</t>
  </si>
  <si>
    <t>9763-20170724T160431.392903700.bin</t>
  </si>
  <si>
    <t>-578.475948645914 149.031390208801 -227.598836805367</t>
  </si>
  <si>
    <t>-616.205213411657 150.629654934883 -342.671640154041</t>
  </si>
  <si>
    <t>-631.244894647431 147.570619402684 -462.900785204537</t>
  </si>
  <si>
    <t>-635.398671151165 142.672727279594 -572.233184079905</t>
  </si>
  <si>
    <t>-630.19355871377 135.605835430514 -681.402002752351</t>
  </si>
  <si>
    <t>-613.250674727069 123.450844052897 -832.283500271694</t>
  </si>
  <si>
    <t>-569.908181221002 90.2942925420032 -918.336019170668</t>
  </si>
  <si>
    <t>-603.136192757782 155.299213532784 -765.677912873581</t>
  </si>
  <si>
    <t>-516.315999561862 271.715667336309 -742.582500403359</t>
  </si>
  <si>
    <t>-500.392853825306 322.159275376561 -430.511739801142</t>
  </si>
  <si>
    <t>-364.396103921699 152.358389005104 -287.982383942059</t>
  </si>
  <si>
    <t>-638.358588854668 102.358850773117 -765.368197877619</t>
  </si>
  <si>
    <t>-530.831699626913 233.459819477353 -241.611222038937</t>
  </si>
  <si>
    <t>-552.172871874171 225.755321621441 213.518265631171</t>
  </si>
  <si>
    <t>-603.644768417312 212.04040146278 680.269650924366</t>
  </si>
  <si>
    <t>-481.547316131463 117.557862904569 764.583199289022</t>
  </si>
  <si>
    <t>-626.023304748484 64.6250754496973 -212.905062993933</t>
  </si>
  <si>
    <t>-500.936064523864 -75.0837927091161 202.416763104711</t>
  </si>
  <si>
    <t>-555.146327728034 27.900004174166 657.666438329681</t>
  </si>
  <si>
    <t>-537.541947919066 -123.711101836094 745.117426944486</t>
  </si>
  <si>
    <t>9763-20170724T160431.432696200.bin</t>
  </si>
  <si>
    <t>-578.459909701889 148.694825587758 -227.657403149065</t>
  </si>
  <si>
    <t>-616.117118870954 150.257370526797 -342.754455814485</t>
  </si>
  <si>
    <t>-631.03504409851 147.177179314536 -462.997968625702</t>
  </si>
  <si>
    <t>-635.059579345388 142.264988296015 -572.33477880566</t>
  </si>
  <si>
    <t>-629.706627823681 135.188499783467 -681.495700044735</t>
  </si>
  <si>
    <t>-612.540196314107 123.024355098104 -832.351063416316</t>
  </si>
  <si>
    <t>-569.030591323919 89.9361699953213 -918.345723659567</t>
  </si>
  <si>
    <t>-602.52435407131 154.876706039852 -765.732718548697</t>
  </si>
  <si>
    <t>-515.760757017438 271.309422494284 -742.515254853463</t>
  </si>
  <si>
    <t>-500.172335655473 321.808656808033 -430.436844097492</t>
  </si>
  <si>
    <t>-364.162913367644 151.990323062649 -287.94037184579</t>
  </si>
  <si>
    <t>-637.747336338047 101.93643641365 -765.471979988836</t>
  </si>
  <si>
    <t>-530.824751258269 233.138775490104 -241.679379758707</t>
  </si>
  <si>
    <t>-552.188874576176 225.629185956377 213.452260794505</t>
  </si>
  <si>
    <t>-603.582227208042 212.055542764121 680.202378114303</t>
  </si>
  <si>
    <t>-481.647873862097 117.429605184898 764.591095481605</t>
  </si>
  <si>
    <t>-625.960806751021 64.2412911286131 -212.97472975589</t>
  </si>
  <si>
    <t>-500.632743070946 -75.162498278135 202.377112754109</t>
  </si>
  <si>
    <t>-555.120703330981 27.867963563451 657.589961907391</t>
  </si>
  <si>
    <t>-537.50255559385 -123.715965184557 745.085368097533</t>
  </si>
  <si>
    <t>9763-20170724T160431.499873400.bin</t>
  </si>
  <si>
    <t>-578.22769671679 147.881001204252 -227.751581062528</t>
  </si>
  <si>
    <t>-615.881641442215 149.429136243464 -342.849740011004</t>
  </si>
  <si>
    <t>-630.690289304401 146.352258575317 -463.10704880902</t>
  </si>
  <si>
    <t>-634.572639340373 141.448644997238 -572.449403230393</t>
  </si>
  <si>
    <t>-629.035205842502 134.38514358379 -681.601937307009</t>
  </si>
  <si>
    <t>-611.569520326065 122.243178631715 -832.424802318968</t>
  </si>
  <si>
    <t>-567.803647120228 89.2796104998915 -918.337135529349</t>
  </si>
  <si>
    <t>-601.690109945487 154.088692967595 -765.782707388811</t>
  </si>
  <si>
    <t>-515.006899426105 270.530614990414 -742.31011106152</t>
  </si>
  <si>
    <t>-499.73911516175 320.787121272648 -430.176450402289</t>
  </si>
  <si>
    <t>-363.656439143869 150.804120278799 -287.946583389383</t>
  </si>
  <si>
    <t>-636.904927730721 101.142613658142 -765.598108969845</t>
  </si>
  <si>
    <t>-530.678881898004 232.366846568118 -241.761788879833</t>
  </si>
  <si>
    <t>-552.100703638131 225.18360419201 213.372514716888</t>
  </si>
  <si>
    <t>-603.550320429802 212.070782892647 680.17322477105</t>
  </si>
  <si>
    <t>-481.484294963141 117.636730991002 764.58653442531</t>
  </si>
  <si>
    <t>-625.651088266352 63.4055911435023 -213.070715328442</t>
  </si>
  <si>
    <t>-500.174085631631 -75.5746976841949 202.378052058687</t>
  </si>
  <si>
    <t>-555.032638642622 27.8347604499586 657.455327257085</t>
  </si>
  <si>
    <t>-537.500395764933 -123.711499400208 745.033054253016</t>
  </si>
  <si>
    <t>9763-20170724T160431.528982300.bin</t>
  </si>
  <si>
    <t>-578.095663318023 147.525202508549 -227.777504280161</t>
  </si>
  <si>
    <t>-615.753521079338 149.069186227734 -342.874508795891</t>
  </si>
  <si>
    <t>-630.510323310289 145.99036817493 -463.137980361421</t>
  </si>
  <si>
    <t>-634.322543856482 141.086770479634 -572.482785668725</t>
  </si>
  <si>
    <t>-628.692105580013 134.025400190094 -681.630801994094</t>
  </si>
  <si>
    <t>-611.073830267331 121.889164218253 -832.436290852072</t>
  </si>
  <si>
    <t>-567.202112372436 88.9896553671574 -918.319309098624</t>
  </si>
  <si>
    <t>-601.263919290431 153.733314982238 -765.783303652722</t>
  </si>
  <si>
    <t>-514.615607324914 270.183968541696 -742.213666648604</t>
  </si>
  <si>
    <t>-499.486374143787 320.146141704913 -430.02607121282</t>
  </si>
  <si>
    <t>-363.317187569226 150.064814668483 -287.996715113597</t>
  </si>
  <si>
    <t>-636.47497477684 100.784650770728 -765.635794485799</t>
  </si>
  <si>
    <t>-530.566465344692 232.001405560365 -241.792228307726</t>
  </si>
  <si>
    <t>-552.026755015517 224.996191533242 213.342861005015</t>
  </si>
  <si>
    <t>-603.590380665994 211.99585058453 680.14087621173</t>
  </si>
  <si>
    <t>-481.586796138283 117.512191214829 764.588941111136</t>
  </si>
  <si>
    <t>-625.51955955464 63.0588535977113 -213.072100429033</t>
  </si>
  <si>
    <t>-500.021487797911 -75.8330314179987 202.399919386682</t>
  </si>
  <si>
    <t>-555.013394902508 27.8120722186866 657.397417014708</t>
  </si>
  <si>
    <t>-537.491114291664 -123.714185494815 745.011799440298</t>
  </si>
  <si>
    <t>9763-20170724T160431.593153700.bin</t>
  </si>
  <si>
    <t>-577.708052352265 146.720058060514 -227.776280262174</t>
  </si>
  <si>
    <t>-615.385130769913 148.25655511514 -342.867054423539</t>
  </si>
  <si>
    <t>-630.073329280847 145.179503615748 -463.138953175343</t>
  </si>
  <si>
    <t>-633.787254993397 140.28161448922 -572.487454687688</t>
  </si>
  <si>
    <t>-628.022220410774 133.231026948157 -681.629074524505</t>
  </si>
  <si>
    <t>-610.180166414751 121.115291811642 -832.410016503206</t>
  </si>
  <si>
    <t>-566.159170920316 88.3459472335228 -918.266240302379</t>
  </si>
  <si>
    <t>-600.464986044531 152.947628078102 -765.737425031887</t>
  </si>
  <si>
    <t>-513.843630625952 269.383883635916 -741.998251156361</t>
  </si>
  <si>
    <t>-498.883784792135 318.836103689996 -429.72142275421</t>
  </si>
  <si>
    <t>-362.683647096892 148.490618868758 -288.03858122731</t>
  </si>
  <si>
    <t>-635.684606971792 100.004447352046 -765.650841010677</t>
  </si>
  <si>
    <t>-530.200797269292 231.131963933743 -241.8029020198</t>
  </si>
  <si>
    <t>-551.707727905163 224.397966119256 213.334160383835</t>
  </si>
  <si>
    <t>-603.605695183722 212.012214788084 680.162859371111</t>
  </si>
  <si>
    <t>-481.471421251453 117.663957622134 764.573387943248</t>
  </si>
  <si>
    <t>-625.109926335427 62.2879266985042 -213.042669046241</t>
  </si>
  <si>
    <t>-499.613101024013 -76.4195236056021 202.491297325049</t>
  </si>
  <si>
    <t>-554.935490747795 27.8029971127964 657.313910285426</t>
  </si>
  <si>
    <t>-537.537786177481 -123.707086974488 744.980993518847</t>
  </si>
  <si>
    <t>9763-20170724T160431.624253200.bin</t>
  </si>
  <si>
    <t>-577.527120731046 146.33752254797 -227.746628433047</t>
  </si>
  <si>
    <t>-615.212418597933 147.870517807177 -342.834830639071</t>
  </si>
  <si>
    <t>-629.87618433849 144.785951083293 -463.109598930083</t>
  </si>
  <si>
    <t>-633.554378557069 139.879508539159 -572.458651456963</t>
  </si>
  <si>
    <t>-627.740384364562 132.818271128652 -681.597079193054</t>
  </si>
  <si>
    <t>-609.816946829717 120.685431007064 -832.367007416416</t>
  </si>
  <si>
    <t>-565.731096216812 87.9756530728073 -918.212778552932</t>
  </si>
  <si>
    <t>-600.127256988802 152.518395518667 -765.690974775334</t>
  </si>
  <si>
    <t>-513.488561948009 268.936160269168 -741.904671279277</t>
  </si>
  <si>
    <t>-498.580502948557 318.137145332637 -429.585567210733</t>
  </si>
  <si>
    <t>-362.480410805447 147.712931129667 -287.901462045774</t>
  </si>
  <si>
    <t>-635.367788274099 99.589251198609 -765.620985935115</t>
  </si>
  <si>
    <t>-530.032928082538 230.741075540991 -241.764403706954</t>
  </si>
  <si>
    <t>-551.576370115304 224.129945175224 213.372889928445</t>
  </si>
  <si>
    <t>-603.66983763064 211.99933793502 680.208804603651</t>
  </si>
  <si>
    <t>-481.471687469491 117.676757078136 764.55555083176</t>
  </si>
  <si>
    <t>-624.920209438488 61.9447326724462 -213.006465014729</t>
  </si>
  <si>
    <t>-499.465132962569 -76.661660454163 202.573838334794</t>
  </si>
  <si>
    <t>-554.90763898104 27.7972614649686 657.302493152585</t>
  </si>
  <si>
    <t>-537.546548570382 -123.703939184855 744.99222297655</t>
  </si>
  <si>
    <t>9763-20170724T160431.694449800.bin</t>
  </si>
  <si>
    <t>-577.233905556727 145.597238007623 -227.662438894877</t>
  </si>
  <si>
    <t>-614.899860072926 147.10575706743 -342.757195088917</t>
  </si>
  <si>
    <t>-629.541024390069 143.997093198262 -463.034119763749</t>
  </si>
  <si>
    <t>-633.198450876217 139.066303454311 -572.382937054337</t>
  </si>
  <si>
    <t>-627.363777259724 131.976802448203 -681.518342875064</t>
  </si>
  <si>
    <t>-609.412337110616 119.799122813417 -832.281312802837</t>
  </si>
  <si>
    <t>-565.271349248809 87.1900139697261 -918.136966278237</t>
  </si>
  <si>
    <t>-599.719507676839 151.641621797002 -765.610143327287</t>
  </si>
  <si>
    <t>-513.03030071238 268.012354129168 -741.824701040271</t>
  </si>
  <si>
    <t>-497.977852473125 316.614276992785 -429.418799367293</t>
  </si>
  <si>
    <t>-362.430285483814 146.156029336734 -287.246725114706</t>
  </si>
  <si>
    <t>-634.991040095302 98.7331647242784 -765.536521723008</t>
  </si>
  <si>
    <t>-529.792110936573 230.007420976983 -241.660523383203</t>
  </si>
  <si>
    <t>-551.34471779941 223.585252724545 213.478953113437</t>
  </si>
  <si>
    <t>-603.742447568598 212.029360082914 680.287414999032</t>
  </si>
  <si>
    <t>-481.355188183184 117.834325897631 764.502415926686</t>
  </si>
  <si>
    <t>-624.556169684517 61.2077135626844 -212.951282200194</t>
  </si>
  <si>
    <t>-499.149973214654 -77.0580040178284 202.757239405129</t>
  </si>
  <si>
    <t>-554.867210643611 27.7924536966914 657.344045259674</t>
  </si>
  <si>
    <t>-537.526832135722 -123.703115467431 745.047625623937</t>
  </si>
  <si>
    <t>9763-20170724T160431.728552500.bin</t>
  </si>
  <si>
    <t>-577.129818320627 145.153160734003 -227.611555290636</t>
  </si>
  <si>
    <t>-614.768164999553 146.632853489342 -342.715674953594</t>
  </si>
  <si>
    <t>-629.386398164004 143.501247744465 -462.994795736483</t>
  </si>
  <si>
    <t>-633.025687045872 138.550225313338 -572.343264150756</t>
  </si>
  <si>
    <t>-627.176211167185 131.439391235727 -681.476589332172</t>
  </si>
  <si>
    <t>-609.207781964327 119.230087380626 -832.234982360886</t>
  </si>
  <si>
    <t>-565.055218733617 86.6653323032062 -918.101531030889</t>
  </si>
  <si>
    <t>-599.518989844034 151.084287947678 -765.568844719422</t>
  </si>
  <si>
    <t>-512.792896591159 267.431339340241 -741.768962763062</t>
  </si>
  <si>
    <t>-497.538980522837 315.894514196883 -429.351318904423</t>
  </si>
  <si>
    <t>-362.193327880137 145.436689347936 -286.986484224161</t>
  </si>
  <si>
    <t>-634.797498749183 98.1803900768771 -765.489225943953</t>
  </si>
  <si>
    <t>-529.747837796085 229.492584505586 -241.610709584441</t>
  </si>
  <si>
    <t>-551.271845788442 223.195072666209 213.531872056525</t>
  </si>
  <si>
    <t>-603.865515495825 211.916428079217 680.322375338975</t>
  </si>
  <si>
    <t>-481.283666686865 117.927062140715 764.484123237775</t>
  </si>
  <si>
    <t>-624.358128860955 60.8141594633985 -212.910962916689</t>
  </si>
  <si>
    <t>-498.977682674466 -77.3149437825532 202.850715837382</t>
  </si>
  <si>
    <t>-554.849087584168 27.7833385415142 657.361472965309</t>
  </si>
  <si>
    <t>-537.518181580112 -123.706734083663 745.076357170673</t>
  </si>
  <si>
    <t>9763-20170724T160431.791721000.bin</t>
  </si>
  <si>
    <t>-576.861435027813 144.395247222574 -227.503769641394</t>
  </si>
  <si>
    <t>-614.435006619563 145.831908647977 -342.629567560877</t>
  </si>
  <si>
    <t>-629.022347927978 142.65651822837 -462.911264705619</t>
  </si>
  <si>
    <t>-632.64955703289 137.661092361818 -572.258215963308</t>
  </si>
  <si>
    <t>-626.80499026365 130.498008519489 -681.388383540021</t>
  </si>
  <si>
    <t>-608.861513556819 118.205637277942 -832.142899359243</t>
  </si>
  <si>
    <t>-564.735337914864 85.7065668337766 -918.047883466409</t>
  </si>
  <si>
    <t>-599.147345231823 150.086928094286 -765.493582402886</t>
  </si>
  <si>
    <t>-512.3472581074 266.381415090286 -741.719805538182</t>
  </si>
  <si>
    <t>-496.932454240524 314.878525790649 -429.31533191056</t>
  </si>
  <si>
    <t>-361.550188027904 144.359813233777 -287.058176159249</t>
  </si>
  <si>
    <t>-634.45458290284 97.2022888824183 -765.38373989786</t>
  </si>
  <si>
    <t>-529.610883263278 228.743758732517 -241.496170807704</t>
  </si>
  <si>
    <t>-550.992909097511 222.585669395858 213.654968104373</t>
  </si>
  <si>
    <t>-603.927480431807 211.949797339258 680.424426114104</t>
  </si>
  <si>
    <t>-481.371810508668 117.825994247288 764.473989303515</t>
  </si>
  <si>
    <t>-623.984196296569 60.0709070588432 -212.832698102215</t>
  </si>
  <si>
    <t>-498.521178256118 -77.7313685747367 203.012501748851</t>
  </si>
  <si>
    <t>-554.790510904748 27.7659207454283 657.382386145271</t>
  </si>
  <si>
    <t>-537.495812690001 -123.711609374319 745.126197381224</t>
  </si>
  <si>
    <t>9763-20170724T160431.827819900.bin</t>
  </si>
  <si>
    <t>-576.866753654014 144.068544545579 -227.476670182681</t>
  </si>
  <si>
    <t>-614.419176002483 145.488422059145 -342.609639521731</t>
  </si>
  <si>
    <t>-628.993225147952 142.278646492586 -462.891939159568</t>
  </si>
  <si>
    <t>-632.612482669231 137.243542144305 -572.237344357911</t>
  </si>
  <si>
    <t>-626.764128884988 130.031786648369 -681.364012456695</t>
  </si>
  <si>
    <t>-608.820540687753 117.661173836392 -832.112101419442</t>
  </si>
  <si>
    <t>-564.707678284185 85.194803832977 -918.036356698596</t>
  </si>
  <si>
    <t>-599.105633578771 149.576633444288 -765.479161420797</t>
  </si>
  <si>
    <t>-512.29988834589 265.884966363444 -741.765789041837</t>
  </si>
  <si>
    <t>-496.820203772495 314.47025503271 -429.378075422722</t>
  </si>
  <si>
    <t>-361.30086827365 143.967294010116 -287.232757893471</t>
  </si>
  <si>
    <t>-634.414396061658 96.6929662678051 -765.342287328467</t>
  </si>
  <si>
    <t>-529.716905296622 228.41223698798 -241.447718610222</t>
  </si>
  <si>
    <t>-550.920228389602 222.176378079153 213.710742812642</t>
  </si>
  <si>
    <t>-604.083642601312 211.815445905679 680.485440885647</t>
  </si>
  <si>
    <t>-481.286832297089 117.932801138242 764.452735192378</t>
  </si>
  <si>
    <t>-623.90037079562 59.7487896395894 -212.830329380491</t>
  </si>
  <si>
    <t>-498.40654989525 -77.869638685524 203.066486806293</t>
  </si>
  <si>
    <t>-554.770021039955 27.7459476153279 657.391573352338</t>
  </si>
  <si>
    <t>-537.481592917852 -123.716088509095 745.163319468495</t>
  </si>
  <si>
    <t>9763-20170724T160431.899017600.bin</t>
  </si>
  <si>
    <t>-577.065580171682 143.462359807895 -227.514915333605</t>
  </si>
  <si>
    <t>-614.629582617816 144.948843567404 -342.643241345116</t>
  </si>
  <si>
    <t>-629.210730783147 141.690340117894 -462.923492464686</t>
  </si>
  <si>
    <t>-632.835697295615 136.561378851982 -572.264329842604</t>
  </si>
  <si>
    <t>-626.993854350927 129.203836565976 -681.381591126034</t>
  </si>
  <si>
    <t>-609.061185560554 116.575461524549 -832.109688246637</t>
  </si>
  <si>
    <t>-564.994184938799 84.1830308311762 -918.085339928734</t>
  </si>
  <si>
    <t>-599.335976837988 148.60103833998 -765.531112502628</t>
  </si>
  <si>
    <t>-512.54650249502 264.95654911893 -741.990232184711</t>
  </si>
  <si>
    <t>-496.775621052264 313.832156593555 -429.662544434129</t>
  </si>
  <si>
    <t>-361.28083261814 143.420525865122 -287.384199468728</t>
  </si>
  <si>
    <t>-634.655699258578 95.7252040662122 -765.303143879094</t>
  </si>
  <si>
    <t>-530.09377333059 227.823410031354 -241.386270070352</t>
  </si>
  <si>
    <t>-550.739295217192 221.271111991306 213.793353195414</t>
  </si>
  <si>
    <t>-604.258320261769 211.658793371433 680.533840582442</t>
  </si>
  <si>
    <t>-481.176955015533 118.073223591838 764.416086080828</t>
  </si>
  <si>
    <t>-623.931332222358 59.1360338242564 -212.952414590406</t>
  </si>
  <si>
    <t>-498.28854367609 -77.907807203861 203.089136469355</t>
  </si>
  <si>
    <t>-554.734936768097 27.646855223094 657.387886874789</t>
  </si>
  <si>
    <t>-537.45751844673 -123.73720511388 745.296144485826</t>
  </si>
  <si>
    <t>9763-20170724T160431.924588300.bin</t>
  </si>
  <si>
    <t>-577.171206345227 143.282389383074 -227.573541930966</t>
  </si>
  <si>
    <t>-614.749768521798 144.814922162528 -342.696496470786</t>
  </si>
  <si>
    <t>-629.328307006662 141.528629286848 -462.976282559019</t>
  </si>
  <si>
    <t>-632.9441046414 136.344527917666 -572.314750235936</t>
  </si>
  <si>
    <t>-627.086995135297 128.90165947842 -681.425452543704</t>
  </si>
  <si>
    <t>-609.127247735476 116.123659407515 -832.13764761581</t>
  </si>
  <si>
    <t>-565.110171877435 83.8144798078465 -918.170157022368</t>
  </si>
  <si>
    <t>-599.418621804616 148.218428095065 -765.590115938142</t>
  </si>
  <si>
    <t>-512.645247947881 264.604928762858 -742.164646393763</t>
  </si>
  <si>
    <t>-496.792846926689 313.666018347165 -429.87011539134</t>
  </si>
  <si>
    <t>-361.303562304422 143.386857715393 -287.428034714465</t>
  </si>
  <si>
    <t>-634.729194849678 95.3365579808205 -765.314302472822</t>
  </si>
  <si>
    <t>-530.222073092393 227.678586731199 -241.430789400755</t>
  </si>
  <si>
    <t>-550.63648665778 220.977074516859 213.757107855147</t>
  </si>
  <si>
    <t>-604.205625637884 211.648592381055 680.472952286656</t>
  </si>
  <si>
    <t>-481.229086517015 117.981047615059 764.417413600276</t>
  </si>
  <si>
    <t>-623.980833568616 58.9384687906615 -213.040552290526</t>
  </si>
  <si>
    <t>-498.200983307053 -77.8368698023987 203.047874078621</t>
  </si>
  <si>
    <t>-554.710633360973 27.5891989447061 657.368369278779</t>
  </si>
  <si>
    <t>-537.498789281381 -123.749518318678 745.367576262108</t>
  </si>
  <si>
    <t>9763-20170724T160431.993004900.bin</t>
  </si>
  <si>
    <t>-577.378785606757 143.056357454326 -227.674948952047</t>
  </si>
  <si>
    <t>-614.989749523252 144.635505504048 -342.786851881466</t>
  </si>
  <si>
    <t>-629.586831708429 141.277208298637 -463.062399504922</t>
  </si>
  <si>
    <t>-633.214153432494 135.980766034427 -572.39515620817</t>
  </si>
  <si>
    <t>-627.36348740587 128.37969772413 -681.495295755508</t>
  </si>
  <si>
    <t>-609.408271826199 115.334907396686 -832.185058166346</t>
  </si>
  <si>
    <t>-565.496620483184 83.1835495202386 -918.33063194634</t>
  </si>
  <si>
    <t>-599.691844067379 147.543541650238 -765.693605436533</t>
  </si>
  <si>
    <t>-512.896197137651 263.962981121067 -742.48854473304</t>
  </si>
  <si>
    <t>-496.975488847998 313.579853953901 -430.28523204502</t>
  </si>
  <si>
    <t>-361.546028827187 143.549563732585 -287.489389990674</t>
  </si>
  <si>
    <t>-635.013973871942 94.6700755911256 -765.325346535918</t>
  </si>
  <si>
    <t>-530.414940439767 227.495318172864 -241.532776991525</t>
  </si>
  <si>
    <t>-550.667365220987 220.840692812402 213.663099283438</t>
  </si>
  <si>
    <t>-604.099553245319 211.672943654184 680.40662917524</t>
  </si>
  <si>
    <t>-481.103294027088 118.115258709054 764.444670248805</t>
  </si>
  <si>
    <t>-624.213134842083 58.6618719572461 -213.142976681911</t>
  </si>
  <si>
    <t>-497.921718460983 -77.5642488821452 202.970675468032</t>
  </si>
  <si>
    <t>-554.6841205722 27.4988714573544 657.347052071384</t>
  </si>
  <si>
    <t>-537.463090000349 -123.764941985543 745.47298770211</t>
  </si>
  <si>
    <t>9763-20170724T160432.030119000.bin</t>
  </si>
  <si>
    <t>-577.54786722513 143.012334465193 -227.695517974266</t>
  </si>
  <si>
    <t>-615.138142996138 144.555344532024 -342.814531369836</t>
  </si>
  <si>
    <t>-629.744652786286 141.14710660523 -463.087552956951</t>
  </si>
  <si>
    <t>-633.393233079552 135.800296902464 -572.417115441217</t>
  </si>
  <si>
    <t>-627.576641860682 128.143747638475 -681.51519864247</t>
  </si>
  <si>
    <t>-609.682148364805 115.016422199941 -832.20522293077</t>
  </si>
  <si>
    <t>-565.796645972751 82.913577408844 -918.382101327414</t>
  </si>
  <si>
    <t>-599.936012120497 147.259609790797 -765.734712073063</t>
  </si>
  <si>
    <t>-513.118114084226 263.673481316855 -742.634146937668</t>
  </si>
  <si>
    <t>-497.090413442383 313.446730468093 -430.461360376428</t>
  </si>
  <si>
    <t>-361.729911188291 143.51335527733 -287.485013104742</t>
  </si>
  <si>
    <t>-635.263798668311 94.39010437464 -765.324321881176</t>
  </si>
  <si>
    <t>-530.602212162225 227.458029190236 -241.586535707663</t>
  </si>
  <si>
    <t>-550.777019522594 220.923828020043 213.61450163464</t>
  </si>
  <si>
    <t>-604.090468489222 211.624890099043 680.367623221533</t>
  </si>
  <si>
    <t>-481.058347038037 118.164238914899 764.461123643744</t>
  </si>
  <si>
    <t>-624.366982157443 58.6008002303715 -213.149061182644</t>
  </si>
  <si>
    <t>-497.864906454843 -77.4367186312463 202.962278129657</t>
  </si>
  <si>
    <t>-554.687137645915 27.4873171812401 657.363666745959</t>
  </si>
  <si>
    <t>-537.446136938099 -123.767384997425 745.501598983973</t>
  </si>
  <si>
    <t>9763-20170724T160432.093280500.bin</t>
  </si>
  <si>
    <t>-577.847158724929 142.969545591485 -227.747732891012</t>
  </si>
  <si>
    <t>-615.480877700251 144.496428462715 -342.852799728764</t>
  </si>
  <si>
    <t>-630.125582394185 141.010142002959 -463.118915919627</t>
  </si>
  <si>
    <t>-633.807298711741 135.564768311192 -572.442470761477</t>
  </si>
  <si>
    <t>-628.023050038845 127.780243852065 -681.533245148192</t>
  </si>
  <si>
    <t>-610.173342948947 114.443310711694 -832.21011190061</t>
  </si>
  <si>
    <t>-566.303972139454 82.3732256229698 -918.407508428766</t>
  </si>
  <si>
    <t>-600.380047190719 146.760684085369 -765.782768828488</t>
  </si>
  <si>
    <t>-513.483970378048 263.144258738427 -742.8187172958</t>
  </si>
  <si>
    <t>-497.168585973677 313.143109252017 -430.696800900179</t>
  </si>
  <si>
    <t>-361.882114927238 143.240365329972 -287.614027499396</t>
  </si>
  <si>
    <t>-635.762450343516 93.928390098104 -765.297947733598</t>
  </si>
  <si>
    <t>-530.868672718207 227.449556414528 -241.692662543169</t>
  </si>
  <si>
    <t>-550.923039316212 221.00086415338 213.514907860944</t>
  </si>
  <si>
    <t>-604.02790386746 211.58893743105 680.295037308921</t>
  </si>
  <si>
    <t>-481.120150894457 118.062080350038 764.496709972718</t>
  </si>
  <si>
    <t>-624.717625414779 58.491152746727 -213.155086169903</t>
  </si>
  <si>
    <t>-497.844844667914 -77.3184640219115 202.917820667531</t>
  </si>
  <si>
    <t>-554.721871154403 27.4529828338461 657.36382479004</t>
  </si>
  <si>
    <t>-537.384845979197 -123.777763789932 745.523868201192</t>
  </si>
  <si>
    <t>9763-20170724T160432.164247600.bin</t>
  </si>
  <si>
    <t>-578.233978916654 143.060369177852 -227.856965352136</t>
  </si>
  <si>
    <t>-615.971194968403 144.65028680125 -342.927271102854</t>
  </si>
  <si>
    <t>-630.572047817246 141.100100956614 -463.19690291453</t>
  </si>
  <si>
    <t>-634.152305710021 135.548715603865 -572.518482638885</t>
  </si>
  <si>
    <t>-628.20541566606 127.612457988252 -681.589609912007</t>
  </si>
  <si>
    <t>-610.067491496173 114.019757729337 -832.209213264493</t>
  </si>
  <si>
    <t>-566.148667663767 82.0353707333365 -918.413117868846</t>
  </si>
  <si>
    <t>-600.393560342842 146.444567427231 -765.816609859113</t>
  </si>
  <si>
    <t>-513.280655279538 262.701963460477 -742.951989304958</t>
  </si>
  <si>
    <t>-496.828558777759 312.624740764616 -430.824928897518</t>
  </si>
  <si>
    <t>-361.757402518783 142.529933636456 -287.767086250115</t>
  </si>
  <si>
    <t>-635.792507979725 93.623461834075 -765.312667893848</t>
  </si>
  <si>
    <t>-531.179060758164 227.565265031026 -241.818368796773</t>
  </si>
  <si>
    <t>-551.004547200008 221.171397707618 213.39996437034</t>
  </si>
  <si>
    <t>-603.896892039613 211.627164794609 680.202128506393</t>
  </si>
  <si>
    <t>-481.040202696808 118.129778570256 764.510990847852</t>
  </si>
  <si>
    <t>-625.221200010004 58.5824537572817 -213.204291626961</t>
  </si>
  <si>
    <t>-497.998628315108 -77.2695919526009 202.748015203978</t>
  </si>
  <si>
    <t>-554.674323259699 27.4020616031505 657.214528706158</t>
  </si>
  <si>
    <t>-537.440798959214 -123.787468499929 745.46559203119</t>
  </si>
  <si>
    <t>9763-20170724T160432.192321600.bin</t>
  </si>
  <si>
    <t>-578.45353790076 143.007542420037 -227.934630241012</t>
  </si>
  <si>
    <t>-616.196918712598 144.6309306587 -343.00236096116</t>
  </si>
  <si>
    <t>-630.777379956436 141.036579228488 -463.273093300586</t>
  </si>
  <si>
    <t>-634.328840987073 135.414146283613 -572.591989931673</t>
  </si>
  <si>
    <t>-628.343099563985 127.376676052439 -681.653573445079</t>
  </si>
  <si>
    <t>-610.141559320624 113.612490247569 -832.249953838701</t>
  </si>
  <si>
    <t>-566.233854336688 81.6632941559753 -918.472656184383</t>
  </si>
  <si>
    <t>-600.474188418894 146.098697005482 -765.886477343793</t>
  </si>
  <si>
    <t>-513.223658166798 262.261064748379 -743.076883802988</t>
  </si>
  <si>
    <t>-496.566699966161 311.909644715633 -430.917054733942</t>
  </si>
  <si>
    <t>-361.90835257207 141.572619459596 -287.758112696674</t>
  </si>
  <si>
    <t>-635.916048848247 93.3068671864635 -765.344974056587</t>
  </si>
  <si>
    <t>-531.26530352283 227.459888462105 -241.87033011215</t>
  </si>
  <si>
    <t>-551.034365549235 221.167469156242 213.351924285503</t>
  </si>
  <si>
    <t>-603.797296535301 211.743753982964 680.190258223226</t>
  </si>
  <si>
    <t>-480.998979927714 118.18102560423 764.511677487104</t>
  </si>
  <si>
    <t>-625.498313316118 58.5445726117021 -213.273651407376</t>
  </si>
  <si>
    <t>-498.259577763919 -77.1364338351921 202.729446509318</t>
  </si>
  <si>
    <t>-554.727024532982 27.3947783534936 657.255073266144</t>
  </si>
  <si>
    <t>-537.445871006091 -123.789519256253 745.50568092767</t>
  </si>
  <si>
    <t>9763-20170724T160432.232439900.bin</t>
  </si>
  <si>
    <t>-578.721553368641 142.938707633341 -227.99408323596</t>
  </si>
  <si>
    <t>-616.445304354324 144.60284961428 -343.067771100208</t>
  </si>
  <si>
    <t>-631.006295967202 141.005955424583 -463.340832218655</t>
  </si>
  <si>
    <t>-634.540953014793 135.362815190393 -572.659321787309</t>
  </si>
  <si>
    <t>-628.539730475919 127.285866283909 -681.717061415263</t>
  </si>
  <si>
    <t>-610.318566793789 113.447031843852 -832.304119024956</t>
  </si>
  <si>
    <t>-566.481542824107 81.6002284951103 -918.600648653552</t>
  </si>
  <si>
    <t>-600.637877190075 145.951302980066 -765.951445583708</t>
  </si>
  <si>
    <t>-513.152136096929 261.935146575304 -743.200572064761</t>
  </si>
  <si>
    <t>-496.20315610871 311.2152530475 -430.998088673811</t>
  </si>
  <si>
    <t>-362.115870706159 140.460124549675 -287.801288079572</t>
  </si>
  <si>
    <t>-636.123859632266 93.1892666574784 -765.396421048458</t>
  </si>
  <si>
    <t>-531.466383107227 227.398454612395 -241.927415439617</t>
  </si>
  <si>
    <t>-551.200851548353 221.147292539154 213.296899332917</t>
  </si>
  <si>
    <t>-603.760580854151 211.72954222242 680.132171989657</t>
  </si>
  <si>
    <t>-481.013729958242 118.153158564012 764.513330410466</t>
  </si>
  <si>
    <t>-625.851527034093 58.4536959093027 -213.349749163725</t>
  </si>
  <si>
    <t>-498.561382829408 -76.965944271217 202.722879097141</t>
  </si>
  <si>
    <t>-554.798549287515 27.4116152933784 657.327392748926</t>
  </si>
  <si>
    <t>-537.419650717462 -123.782583626376 745.541849210761</t>
  </si>
  <si>
    <t>9763-20170724T160432.300616000.bin</t>
  </si>
  <si>
    <t>-579.335159873987 142.900576354849 -228.130730213489</t>
  </si>
  <si>
    <t>-617.033116989844 144.718923626508 -343.210611135313</t>
  </si>
  <si>
    <t>-631.582714621426 141.115786104102 -463.484895423454</t>
  </si>
  <si>
    <t>-635.114699512182 135.400247564001 -572.799511700664</t>
  </si>
  <si>
    <t>-629.119633675067 127.183774190109 -681.847276677874</t>
  </si>
  <si>
    <t>-610.917671586197 113.080680903089 -832.412183912311</t>
  </si>
  <si>
    <t>-567.641089038282 81.6566620094204 -919.145412659899</t>
  </si>
  <si>
    <t>-601.163612302973 145.65760272943 -766.105878071819</t>
  </si>
  <si>
    <t>-513.173875731442 261.283707226283 -743.466880920478</t>
  </si>
  <si>
    <t>-494.570842914662 310.153150439156 -431.29408622748</t>
  </si>
  <si>
    <t>-362.309507560859 137.838389408674 -288.267383601606</t>
  </si>
  <si>
    <t>-636.779391140973 92.9840606858777 -765.477857759497</t>
  </si>
  <si>
    <t>-531.910552263953 227.358817410339 -242.031886784153</t>
  </si>
  <si>
    <t>-551.597618679954 221.23940418271 213.196230226439</t>
  </si>
  <si>
    <t>-603.646373837393 211.740543197874 680.059445488393</t>
  </si>
  <si>
    <t>-480.93741135328 118.206038388807 764.54209915039</t>
  </si>
  <si>
    <t>-626.641645226422 58.4494749099867 -213.508485880311</t>
  </si>
  <si>
    <t>-499.195459734395 -76.7815639651456 202.577666700938</t>
  </si>
  <si>
    <t>-554.890608593978 27.4393833900076 657.328083658747</t>
  </si>
  <si>
    <t>-537.453733711085 -123.772550545298 745.500661816366</t>
  </si>
  <si>
    <t>9763-20170724T160432.324184900.bin</t>
  </si>
  <si>
    <t>-579.674407104422 142.884937892271 -228.135966210746</t>
  </si>
  <si>
    <t>-617.382518533351 144.775860705333 -343.211277167992</t>
  </si>
  <si>
    <t>-631.919607785931 141.149494599677 -463.486286737049</t>
  </si>
  <si>
    <t>-635.432358691566 135.371370975952 -572.798336721185</t>
  </si>
  <si>
    <t>-629.411062624594 127.049898232219 -681.836635387208</t>
  </si>
  <si>
    <t>-611.166597428406 112.756023684124 -832.378332684027</t>
  </si>
  <si>
    <t>-568.610979968816 81.8303638784182 -919.645784580096</t>
  </si>
  <si>
    <t>-601.369877120574 145.375597461255 -766.099361528956</t>
  </si>
  <si>
    <t>-513.061487108786 260.77227394212 -743.521368320779</t>
  </si>
  <si>
    <t>-493.955793472501 309.345123850535 -431.332628396667</t>
  </si>
  <si>
    <t>-362.535593346833 136.179130699044 -288.558763241223</t>
  </si>
  <si>
    <t>-637.108581080882 92.7855908183506 -765.437195909111</t>
  </si>
  <si>
    <t>-532.078671447846 227.272039793601 -242.053889324615</t>
  </si>
  <si>
    <t>-551.773947579327 221.289643945602 213.17569036015</t>
  </si>
  <si>
    <t>-603.598438451508 211.768417663611 680.04656717768</t>
  </si>
  <si>
    <t>-481.006203491218 118.113343878003 764.565105378569</t>
  </si>
  <si>
    <t>-627.160643987897 58.4792865909646 -213.504701745303</t>
  </si>
  <si>
    <t>-499.546288646133 -76.841520952687 202.500730795095</t>
  </si>
  <si>
    <t>-554.909448761244 27.4355155281398 657.265195292768</t>
  </si>
  <si>
    <t>-537.51132210896 -123.767130763933 745.461424010764</t>
  </si>
  <si>
    <t>9763-20170724T160432.399915900.bin</t>
  </si>
  <si>
    <t>-580.26722019848 142.992424039997 -228.18134893794</t>
  </si>
  <si>
    <t>-618.006328330785 145.054677066781 -343.243570338475</t>
  </si>
  <si>
    <t>-632.510176695352 141.425798283382 -463.5224902532</t>
  </si>
  <si>
    <t>-635.968963806524 135.568641694783 -572.832052873862</t>
  </si>
  <si>
    <t>-629.871724161798 127.089214395745 -681.853998713856</t>
  </si>
  <si>
    <t>-611.501517320522 112.491711659233 -832.351380269776</t>
  </si>
  <si>
    <t>-570.787990167046 83.0050664979296 -920.985025503063</t>
  </si>
  <si>
    <t>-601.603238339443 145.137952495641 -766.100556335374</t>
  </si>
  <si>
    <t>-512.510944543489 259.955142571217 -743.654201669858</t>
  </si>
  <si>
    <t>-493.429212745901 307.753335410062 -431.344425190883</t>
  </si>
  <si>
    <t>-363.723334044192 133.176000672109 -288.722031925774</t>
  </si>
  <si>
    <t>-637.656316646282 92.7633238305398 -765.421300700453</t>
  </si>
  <si>
    <t>-532.272081191283 227.231888106674 -242.117138170874</t>
  </si>
  <si>
    <t>-551.977086476901 221.470465338901 213.114901175542</t>
  </si>
  <si>
    <t>-603.372711033764 211.968295118434 680.005362587838</t>
  </si>
  <si>
    <t>-481.170886463606 117.877696520943 764.605501643975</t>
  </si>
  <si>
    <t>-628.15912701093 58.7580933682991 -213.517793612692</t>
  </si>
  <si>
    <t>-500.265824074428 -76.8929441555233 202.294434483049</t>
  </si>
  <si>
    <t>-554.959397844034 27.4285042412971 657.1220674902</t>
  </si>
  <si>
    <t>-537.682799355714 -123.761710989998 745.363544101894</t>
  </si>
  <si>
    <t>9763-20170724T160432.426990500.bin</t>
  </si>
  <si>
    <t>-580.515426224688 142.998176961751 -228.242459706281</t>
  </si>
  <si>
    <t>-618.24731781969 145.155785953234 -343.305306221439</t>
  </si>
  <si>
    <t>-632.776369967935 141.547304267934 -463.581766311953</t>
  </si>
  <si>
    <t>-636.271735095345 135.67861195943 -572.889647012533</t>
  </si>
  <si>
    <t>-630.22506367164 127.158189476068 -681.911268713834</t>
  </si>
  <si>
    <t>-611.939347916656 112.474057155977 -832.410303086267</t>
  </si>
  <si>
    <t>-572.115237870319 83.6955006101991 -921.678693478188</t>
  </si>
  <si>
    <t>-601.936430223752 145.112146233688 -766.17136698537</t>
  </si>
  <si>
    <t>-512.416637792926 259.631501202387 -743.867323006894</t>
  </si>
  <si>
    <t>-493.302037682879 306.610483030733 -431.435208838549</t>
  </si>
  <si>
    <t>-364.668065810326 131.408872542957 -288.607516276167</t>
  </si>
  <si>
    <t>-638.123974233891 92.8305331115482 -765.466957804531</t>
  </si>
  <si>
    <t>-532.325378058281 227.06319003675 -242.156608945306</t>
  </si>
  <si>
    <t>-552.104932823439 221.412050341779 213.073632555374</t>
  </si>
  <si>
    <t>-603.425002381326 211.86710264818 679.984506062479</t>
  </si>
  <si>
    <t>-481.079101587704 117.981812328908 764.60450923068</t>
  </si>
  <si>
    <t>-628.631357171374 58.9259346389863 -213.59299398706</t>
  </si>
  <si>
    <t>-500.730117819322 -76.848500492217 202.176517807352</t>
  </si>
  <si>
    <t>-555.000298730087 27.4342905028373 657.076552392931</t>
  </si>
  <si>
    <t>-537.747259612692 -123.756239324958 745.322105344469</t>
  </si>
  <si>
    <t>9763-20170724T160432.493728700.bin</t>
  </si>
  <si>
    <t>-580.861783573628 143.090223413474 -228.366392548009</t>
  </si>
  <si>
    <t>-618.542009879895 145.397837505181 -343.44313683181</t>
  </si>
  <si>
    <t>-633.281338353813 141.851539560571 -463.696051120557</t>
  </si>
  <si>
    <t>-637.076907983949 135.999522140406 -572.994704270641</t>
  </si>
  <si>
    <t>-631.439781093366 127.454547395833 -682.036237726281</t>
  </si>
  <si>
    <t>-613.835363872861 112.691129011323 -832.608863573703</t>
  </si>
  <si>
    <t>-575.413651141785 84.9476069642974 -922.81459519916</t>
  </si>
  <si>
    <t>-603.385309070014 145.261896909443 -766.405656339492</t>
  </si>
  <si>
    <t>-512.844922393556 259.035187160484 -744.494524069377</t>
  </si>
  <si>
    <t>-491.360029290812 304.773818349644 -432.032481835507</t>
  </si>
  <si>
    <t>-365.220523250749 128.133279491248 -288.752976452431</t>
  </si>
  <si>
    <t>-639.864227026659 93.1850804398514 -765.564598441833</t>
  </si>
  <si>
    <t>-532.250420273536 226.974920199833 -242.26349308408</t>
  </si>
  <si>
    <t>-552.121440453259 221.294735562454 212.962345177208</t>
  </si>
  <si>
    <t>-603.401699561548 211.829477245404 679.928040446696</t>
  </si>
  <si>
    <t>-481.130571415131 117.890494181288 764.596513601797</t>
  </si>
  <si>
    <t>-629.334740901822 59.2202592468605 -213.771518617448</t>
  </si>
  <si>
    <t>-501.746291035339 -76.6711748703506 202.055825328041</t>
  </si>
  <si>
    <t>-555.122152503127 27.474507416229 657.091534964502</t>
  </si>
  <si>
    <t>-537.834196358296 -123.745929056646 745.278951317688</t>
  </si>
  <si>
    <t>9763-20170724T160432.524312600.bin</t>
  </si>
  <si>
    <t>-580.902440383906 143.161879022665 -228.334709706145</t>
  </si>
  <si>
    <t>-618.598356151614 145.516036209312 -343.405566379479</t>
  </si>
  <si>
    <t>-633.528567354912 141.983383198675 -463.635160674382</t>
  </si>
  <si>
    <t>-637.569838426022 136.126528720735 -572.924743780387</t>
  </si>
  <si>
    <t>-632.25101386847 127.557326825518 -681.980465931058</t>
  </si>
  <si>
    <t>-615.163633843297 112.737306740288 -832.607074321468</t>
  </si>
  <si>
    <t>-577.291660717946 85.3104122388602 -923.14135642474</t>
  </si>
  <si>
    <t>-604.398677135067 145.27150335679 -766.436336906777</t>
  </si>
  <si>
    <t>-513.259865633118 258.650026171561 -744.818105510663</t>
  </si>
  <si>
    <t>-490.03202325849 303.812987394816 -432.397048174976</t>
  </si>
  <si>
    <t>-365.201139658596 126.362386941438 -288.972500955144</t>
  </si>
  <si>
    <t>-641.049926206184 93.3178302444487 -765.482544853128</t>
  </si>
  <si>
    <t>-532.148175571525 226.949246762079 -242.256420167107</t>
  </si>
  <si>
    <t>-552.07475962609 221.294202455212 212.967263739729</t>
  </si>
  <si>
    <t>-603.395214197069 211.841489993038 679.929490745503</t>
  </si>
  <si>
    <t>-481.213099093692 117.785603771262 764.596678367329</t>
  </si>
  <si>
    <t>-629.516204522869 59.3728979407877 -213.717221445776</t>
  </si>
  <si>
    <t>-502.114556767227 -76.8052600893811 202.073616207159</t>
  </si>
  <si>
    <t>-555.163092726463 27.5094796716194 657.111668389226</t>
  </si>
  <si>
    <t>-537.872009434112 -123.733160404279 745.260346995137</t>
  </si>
  <si>
    <t>9763-20170724T160432.593663300.bin</t>
  </si>
  <si>
    <t>-580.735452703781 143.156324403222 -228.134106182205</t>
  </si>
  <si>
    <t>-618.601845403296 145.55823814027 -343.147939366299</t>
  </si>
  <si>
    <t>-634.027520255405 142.003409474263 -463.314350366606</t>
  </si>
  <si>
    <t>-638.651033641409 136.091410196753 -572.577965936189</t>
  </si>
  <si>
    <t>-634.047270707192 127.42805248599 -681.658574865058</t>
  </si>
  <si>
    <t>-618.088768410911 112.433061095134 -832.391748859467</t>
  </si>
  <si>
    <t>-581.147519110576 85.4592990958608 -923.445344938887</t>
  </si>
  <si>
    <t>-606.64227701151 144.912402673404 -766.30860938137</t>
  </si>
  <si>
    <t>-514.468414703189 257.557073635423 -745.369630353098</t>
  </si>
  <si>
    <t>-488.062796317792 300.715497420563 -432.917575163501</t>
  </si>
  <si>
    <t>-364.845713820469 122.534538417453 -289.003880853908</t>
  </si>
  <si>
    <t>-643.657611902657 93.2232799297717 -765.085497489673</t>
  </si>
  <si>
    <t>-531.692044698165 226.759858927966 -242.22228374443</t>
  </si>
  <si>
    <t>-551.699231982544 221.21313215642 212.999250927021</t>
  </si>
  <si>
    <t>-603.250493091193 211.988624310495 679.907791483027</t>
  </si>
  <si>
    <t>-481.233421080996 117.73775761494 764.596164420165</t>
  </si>
  <si>
    <t>-629.660916088517 59.5147640769842 -213.347435207883</t>
  </si>
  <si>
    <t>-502.461162576115 -77.4725315911787 202.239409755904</t>
  </si>
  <si>
    <t>-555.187738513587 27.596584075598 657.110876615442</t>
  </si>
  <si>
    <t>-538.03735282848 -123.712570811707 745.172779457634</t>
  </si>
  <si>
    <t>9763-20170724T160432.625757800.bin</t>
  </si>
  <si>
    <t>-580.588293825413 143.073204357471 -228.005507845141</t>
  </si>
  <si>
    <t>-618.560161137441 145.476122394873 -342.984523806498</t>
  </si>
  <si>
    <t>-634.22670391049 141.913133944882 -463.119593390735</t>
  </si>
  <si>
    <t>-639.123435642461 135.987165720883 -572.370510854646</t>
  </si>
  <si>
    <t>-634.847278666532 127.301756094058 -681.462837228232</t>
  </si>
  <si>
    <t>-619.399427423257 112.265793319717 -832.244978150487</t>
  </si>
  <si>
    <t>-582.850295061452 85.476951437453 -923.511145803652</t>
  </si>
  <si>
    <t>-607.636551670698 144.697166857682 -766.19371552881</t>
  </si>
  <si>
    <t>-514.93565524924 256.973209275024 -745.569972783578</t>
  </si>
  <si>
    <t>-487.141556380981 299.092872029255 -433.096602153317</t>
  </si>
  <si>
    <t>-364.493881690784 120.591338145637 -289.093850441741</t>
  </si>
  <si>
    <t>-644.83250862535 93.1405309149643 -764.863306021038</t>
  </si>
  <si>
    <t>-531.3742155472 226.569164252988 -242.19434020879</t>
  </si>
  <si>
    <t>-551.459722682837 221.061769177873 213.024144823131</t>
  </si>
  <si>
    <t>-603.24503990511 211.991556517049 679.907903533358</t>
  </si>
  <si>
    <t>-481.253803588744 117.707017257113 764.596009129643</t>
  </si>
  <si>
    <t>-629.680288715459 59.5599488500548 -213.118405123787</t>
  </si>
  <si>
    <t>-502.582988828331 -77.8188953418976 202.37051571341</t>
  </si>
  <si>
    <t>-555.176081373215 27.6670910796906 657.146586032205</t>
  </si>
  <si>
    <t>-538.109474276259 -123.696745857746 745.130798203044</t>
  </si>
  <si>
    <t>9763-20170724T160432.693946600.bin</t>
  </si>
  <si>
    <t>-580.318742750054 142.870991275504 -227.878767595691</t>
  </si>
  <si>
    <t>-618.487815348169 145.314404703149 -342.791523804851</t>
  </si>
  <si>
    <t>-634.637508590642 141.794077883689 -462.863834813621</t>
  </si>
  <si>
    <t>-640.087797891632 135.90369481428 -572.090535801667</t>
  </si>
  <si>
    <t>-636.479384833967 127.248976078739 -681.209273424759</t>
  </si>
  <si>
    <t>-622.075341057156 112.247787782601 -832.098375461137</t>
  </si>
  <si>
    <t>-586.131887463009 85.6958283607414 -923.673675178502</t>
  </si>
  <si>
    <t>-609.70205753808 144.553144491839 -766.096888390003</t>
  </si>
  <si>
    <t>-516.08692691429 256.145540785644 -746.006205695342</t>
  </si>
  <si>
    <t>-485.512594792359 296.750114854653 -433.592019199564</t>
  </si>
  <si>
    <t>-363.324311389986 117.711727879979 -289.865440165598</t>
  </si>
  <si>
    <t>-647.195279996544 93.217589077088 -764.5723523181</t>
  </si>
  <si>
    <t>-530.798551816298 226.204069528512 -242.193507714577</t>
  </si>
  <si>
    <t>-550.941899026396 220.67703478628 213.022224050678</t>
  </si>
  <si>
    <t>-603.163968426901 212.076640097559 679.892753308673</t>
  </si>
  <si>
    <t>-481.455401204491 117.430986522765 764.584768695133</t>
  </si>
  <si>
    <t>-629.723318548499 59.5805616440605 -212.864123216061</t>
  </si>
  <si>
    <t>-502.699288045387 -78.2587804341206 202.494548017954</t>
  </si>
  <si>
    <t>-555.115377132219 27.7304830614648 657.148843123644</t>
  </si>
  <si>
    <t>-538.281217174303 -123.675607109572 745.105184359</t>
  </si>
  <si>
    <t>9763-20170724T160432.725035800.bin</t>
  </si>
  <si>
    <t>-580.232914938553 142.817002643858 -227.818258440655</t>
  </si>
  <si>
    <t>-618.484090046538 145.274458826299 -342.703441461662</t>
  </si>
  <si>
    <t>-634.880602649202 141.793026046618 -462.743519066583</t>
  </si>
  <si>
    <t>-640.621337509124 135.946060832146 -571.957465657749</t>
  </si>
  <si>
    <t>-637.369575735187 127.341606305756 -681.091603553865</t>
  </si>
  <si>
    <t>-623.528027355981 112.416211966 -832.040730302765</t>
  </si>
  <si>
    <t>-587.854348172183 85.9403506822098 -923.74359351878</t>
  </si>
  <si>
    <t>-610.841635968892 144.6394304648 -766.058686401362</t>
  </si>
  <si>
    <t>-516.850287759303 255.987303729153 -746.232982580414</t>
  </si>
  <si>
    <t>-485.144666567024 296.060354540238 -433.862822379191</t>
  </si>
  <si>
    <t>-362.890814348561 116.780021843934 -290.494039921492</t>
  </si>
  <si>
    <t>-648.463414009828 93.4009449138971 -764.442224816471</t>
  </si>
  <si>
    <t>-530.5979015794 226.092675257344 -242.17727311658</t>
  </si>
  <si>
    <t>-550.785207772801 220.554656265945 213.036353037178</t>
  </si>
  <si>
    <t>-603.177535463404 212.100945826149 679.920827320525</t>
  </si>
  <si>
    <t>-481.515233529638 117.354383153509 764.566468607682</t>
  </si>
  <si>
    <t>-629.780553553145 59.5939475491502 -212.743323432643</t>
  </si>
  <si>
    <t>-502.718837841431 -78.3460019822332 202.570485830322</t>
  </si>
  <si>
    <t>-555.093109228724 27.7444643730723 657.177612279246</t>
  </si>
  <si>
    <t>-538.355401042779 -123.66786666171 745.141599745949</t>
  </si>
  <si>
    <t>9763-20170724T160432.793837100.bin</t>
  </si>
  <si>
    <t>-580.291645403944 142.812707859244 -227.750612306264</t>
  </si>
  <si>
    <t>-618.687519394547 145.341213088637 -342.585922632082</t>
  </si>
  <si>
    <t>-635.515962024662 141.936110643791 -462.568296981264</t>
  </si>
  <si>
    <t>-641.765188692917 136.156799467012 -571.758185417267</t>
  </si>
  <si>
    <t>-639.137875677324 127.616847349428 -680.913986309606</t>
  </si>
  <si>
    <t>-626.282239912098 112.775264294563 -831.958632519835</t>
  </si>
  <si>
    <t>-591.046827738905 86.3649899500097 -923.849503815488</t>
  </si>
  <si>
    <t>-613.050973080027 144.878424095572 -766.024952845305</t>
  </si>
  <si>
    <t>-518.412347535284 255.77411431252 -746.718490428437</t>
  </si>
  <si>
    <t>-485.370060893594 295.316443395703 -434.41922361521</t>
  </si>
  <si>
    <t>-362.744364098731 115.928797975345 -291.502988202535</t>
  </si>
  <si>
    <t>-650.88993708024 93.8059987210302 -764.227060372514</t>
  </si>
  <si>
    <t>-530.44810308094 226.063519411189 -242.194807982312</t>
  </si>
  <si>
    <t>-550.640299918419 220.442434417593 213.01765690517</t>
  </si>
  <si>
    <t>-603.13637125413 212.150477416839 679.885633759408</t>
  </si>
  <si>
    <t>-481.618538545908 117.200328575533 764.51067913027</t>
  </si>
  <si>
    <t>-629.985235215607 59.645289268462 -212.635831079004</t>
  </si>
  <si>
    <t>-502.856528868235 -78.2905301018172 202.658797719987</t>
  </si>
  <si>
    <t>-555.034415037034 27.7302338068425 657.253867973949</t>
  </si>
  <si>
    <t>-538.46321004064 -123.652529760108 745.300460340377</t>
  </si>
  <si>
    <t>9763-20170724T160432.826427400.bin</t>
  </si>
  <si>
    <t>-580.356062270064 142.813107561871 -227.713732820361</t>
  </si>
  <si>
    <t>-618.842705138452 145.362110492599 -342.518331274739</t>
  </si>
  <si>
    <t>-635.898686166884 141.970844576612 -462.469022960185</t>
  </si>
  <si>
    <t>-642.409146470234 136.200949267193 -571.643904049625</t>
  </si>
  <si>
    <t>-640.097603954696 127.666846195699 -680.807385462292</t>
  </si>
  <si>
    <t>-627.73622927816 112.828945453725 -831.893619995823</t>
  </si>
  <si>
    <t>-592.707160314261 86.44382517239 -923.870630714106</t>
  </si>
  <si>
    <t>-614.251611549533 144.902777265652 -765.997034003335</t>
  </si>
  <si>
    <t>-519.378061517386 255.636434555564 -747.001499558069</t>
  </si>
  <si>
    <t>-485.745492734613 295.087144978803 -434.753733146402</t>
  </si>
  <si>
    <t>-363.334110618927 115.857145118937 -291.456439923586</t>
  </si>
  <si>
    <t>-652.159792389375 93.8858588546561 -764.088237108154</t>
  </si>
  <si>
    <t>-530.463931588658 226.009221503154 -242.204047848759</t>
  </si>
  <si>
    <t>-550.577836725796 220.349782400014 213.011443796863</t>
  </si>
  <si>
    <t>-603.150559463021 212.116878037418 679.878213812706</t>
  </si>
  <si>
    <t>-481.717396375126 117.057512499577 764.502192642943</t>
  </si>
  <si>
    <t>-630.116491904805 59.6414645350303 -212.519783148393</t>
  </si>
  <si>
    <t>-502.840030665454 -78.3126256125668 202.723577736869</t>
  </si>
  <si>
    <t>-555.03130312161 27.719165373938 657.300832460973</t>
  </si>
  <si>
    <t>-538.472148034997 -123.647289136802 745.377687577911</t>
  </si>
  <si>
    <t>9763-20170724T160432.894967800.bin</t>
  </si>
  <si>
    <t>-580.567498469096 142.730610563463 -227.642079481285</t>
  </si>
  <si>
    <t>-619.228445629526 145.326567979064 -342.387057505602</t>
  </si>
  <si>
    <t>-636.626658399863 141.885033975334 -462.287053995006</t>
  </si>
  <si>
    <t>-643.515542680429 136.028449585415 -571.434133262795</t>
  </si>
  <si>
    <t>-641.650531346869 127.365880774811 -680.596103180485</t>
  </si>
  <si>
    <t>-629.979719811489 112.304824624897 -831.715072401455</t>
  </si>
  <si>
    <t>-595.19028133768 85.8860005465488 -923.773423291194</t>
  </si>
  <si>
    <t>-616.119293166683 144.420277387095 -765.916939162875</t>
  </si>
  <si>
    <t>-520.884208008582 254.906312237737 -747.443352769396</t>
  </si>
  <si>
    <t>-485.91077031622 294.790455006711 -435.397927535216</t>
  </si>
  <si>
    <t>-364.474445200101 115.985832891409 -290.746028448893</t>
  </si>
  <si>
    <t>-654.168141780572 93.5174114614042 -763.782297557769</t>
  </si>
  <si>
    <t>-743.091365551002 0.117718831627599 -414.839548855864</t>
  </si>
  <si>
    <t>-530.610187744943 225.872662278297 -242.237694993452</t>
  </si>
  <si>
    <t>-550.550770798354 220.07585998816 212.983524187367</t>
  </si>
  <si>
    <t>-603.195586100414 211.982119904877 679.831546994548</t>
  </si>
  <si>
    <t>-481.812960422151 116.894402792322 764.496161645634</t>
  </si>
  <si>
    <t>-630.339390614099 59.6006811317898 -212.371406928072</t>
  </si>
  <si>
    <t>-502.77375665507 -78.3541537392291 202.782999787859</t>
  </si>
  <si>
    <t>-554.989463399105 27.6975578688182 657.359881276949</t>
  </si>
  <si>
    <t>-538.528171515497 -123.624575582536 745.530988596902</t>
  </si>
  <si>
    <t>9763-20170724T160432.928075700.bin</t>
  </si>
  <si>
    <t>-580.688023681614 142.769353981952 -227.604175485381</t>
  </si>
  <si>
    <t>-619.413501725808 145.343000013104 -342.327843524977</t>
  </si>
  <si>
    <t>-636.942758503788 141.852533877028 -462.20740473157</t>
  </si>
  <si>
    <t>-643.977476181188 135.939988119972 -571.342279564107</t>
  </si>
  <si>
    <t>-642.285570420351 127.2090297451 -680.501540631397</t>
  </si>
  <si>
    <t>-630.883319803264 112.039432360736 -831.630224183521</t>
  </si>
  <si>
    <t>-596.160294586579 85.5991469022872 -923.707478756098</t>
  </si>
  <si>
    <t>-616.870183863059 144.175773106137 -765.874591255665</t>
  </si>
  <si>
    <t>-521.385237682708 254.509409738225 -747.605292719121</t>
  </si>
  <si>
    <t>-486.103393265414 295.08353379945 -435.683644517955</t>
  </si>
  <si>
    <t>-364.858702816662 116.619148086612 -290.45213938948</t>
  </si>
  <si>
    <t>-654.986694824172 93.3272980549702 -763.646422024362</t>
  </si>
  <si>
    <t>-743.548568474994 0.20486765697683 -414.561178338449</t>
  </si>
  <si>
    <t>-530.687052624417 225.87738852951 -242.263653822874</t>
  </si>
  <si>
    <t>-550.504716039574 220.073207983174 212.96291940044</t>
  </si>
  <si>
    <t>-603.135371315515 212.007753229054 679.813834710105</t>
  </si>
  <si>
    <t>-481.78963128234 116.893843639906 764.501896809812</t>
  </si>
  <si>
    <t>-630.517784585551 59.6722725844527 -212.242662867196</t>
  </si>
  <si>
    <t>-502.679472464638 -78.3301267512206 202.81198544452</t>
  </si>
  <si>
    <t>-554.969694649254 27.6881224432088 657.376197847772</t>
  </si>
  <si>
    <t>-538.573001581684 -123.61418115069 745.593338444732</t>
  </si>
  <si>
    <t>9763-20170724T160432.996261300.bin</t>
  </si>
  <si>
    <t>-581.086047175929 142.882725537263 -227.577334928792</t>
  </si>
  <si>
    <t>-619.837703822432 145.412279278386 -342.293086046854</t>
  </si>
  <si>
    <t>-637.568026105379 141.812002013737 -462.13997073655</t>
  </si>
  <si>
    <t>-644.857062229662 135.774752532169 -571.251185367905</t>
  </si>
  <si>
    <t>-643.492109842452 126.89374141462 -680.402933987295</t>
  </si>
  <si>
    <t>-632.618470386303 111.48998251247 -831.546894670322</t>
  </si>
  <si>
    <t>-598.016869093193 84.913115380099 -923.630500782185</t>
  </si>
  <si>
    <t>-618.306435342717 143.676668970522 -765.88039792268</t>
  </si>
  <si>
    <t>-522.629990236492 253.910867481648 -747.927291828125</t>
  </si>
  <si>
    <t>-487.297912704406 296.224030106416 -436.242532352033</t>
  </si>
  <si>
    <t>-366.11685607659 118.494128792698 -290.060158936315</t>
  </si>
  <si>
    <t>-656.55297054374 92.9347054782586 -763.460538164451</t>
  </si>
  <si>
    <t>-744.517753191211 0.418194422735951 -413.996633836088</t>
  </si>
  <si>
    <t>-530.975009667656 225.899126372186 -242.33140214177</t>
  </si>
  <si>
    <t>-550.77452656841 220.157724867433 212.896792038376</t>
  </si>
  <si>
    <t>-603.134836318459 211.933254253656 679.777880722214</t>
  </si>
  <si>
    <t>-481.831717226283 116.810407281419 764.516933200386</t>
  </si>
  <si>
    <t>-631.035554858736 59.8823697794478 -212.159323278974</t>
  </si>
  <si>
    <t>-502.565192095386 -77.9516116555294 202.75611059215</t>
  </si>
  <si>
    <t>-554.93950299477 27.6315863120208 657.392139327595</t>
  </si>
  <si>
    <t>-538.598082624784 -123.595579386615 745.748350439793</t>
  </si>
  <si>
    <t>9763-20170724T160433.030358400.bin</t>
  </si>
  <si>
    <t>-581.336335932098 142.989790206403 -227.643228697245</t>
  </si>
  <si>
    <t>-620.08999424711 145.473386827707 -342.359437403012</t>
  </si>
  <si>
    <t>-637.866189070091 141.786494854207 -462.196740040702</t>
  </si>
  <si>
    <t>-645.215403374184 135.654508978447 -571.298651926555</t>
  </si>
  <si>
    <t>-643.929596250237 126.66238222343 -680.44235663209</t>
  </si>
  <si>
    <t>-633.185927642118 111.086984750532 -831.577952278845</t>
  </si>
  <si>
    <t>-598.63726381435 84.4279850945125 -923.65770358836</t>
  </si>
  <si>
    <t>-618.801614939562 143.336244189443 -765.957905498416</t>
  </si>
  <si>
    <t>-523.200492496494 253.653497530751 -748.167184660973</t>
  </si>
  <si>
    <t>-488.521642489721 296.77133951263 -436.519319214507</t>
  </si>
  <si>
    <t>-366.917775030664 119.601465521312 -290.008622375556</t>
  </si>
  <si>
    <t>-657.077774259796 92.6209219041284 -763.452378521731</t>
  </si>
  <si>
    <t>-744.86721493092 0.54230478866566 -413.847066432932</t>
  </si>
  <si>
    <t>-531.171499552064 225.998065976541 -242.452737135328</t>
  </si>
  <si>
    <t>-550.91445164274 220.271153173775 212.778075165908</t>
  </si>
  <si>
    <t>-602.967359304593 211.962532511284 679.632050301152</t>
  </si>
  <si>
    <t>-481.843447198168 116.757491144029 764.534985195202</t>
  </si>
  <si>
    <t>-631.368332582102 60.0040742489043 -212.171742525</t>
  </si>
  <si>
    <t>-502.521757272752 -77.6698881580755 202.680149198803</t>
  </si>
  <si>
    <t>-554.939324503417 27.5913684466902 657.387196747598</t>
  </si>
  <si>
    <t>-538.554830805722 -123.585270051532 745.821877761452</t>
  </si>
  <si>
    <t>9763-20170724T160433.091524100.bin</t>
  </si>
  <si>
    <t>-581.664491903155 143.473241962194 -228.037781747475</t>
  </si>
  <si>
    <t>-620.461224363397 145.912524172099 -342.740346128412</t>
  </si>
  <si>
    <t>-638.204504735548 142.065988889635 -462.577467437569</t>
  </si>
  <si>
    <t>-645.492371220713 135.746167089153 -571.672783319556</t>
  </si>
  <si>
    <t>-644.113565102049 126.52551680206 -680.7963204277</t>
  </si>
  <si>
    <t>-633.208744869672 110.592144995549 -831.883112414976</t>
  </si>
  <si>
    <t>-598.690707750806 83.7580191017319 -923.92330760905</t>
  </si>
  <si>
    <t>-618.917180703397 143.013998033398 -766.327694545122</t>
  </si>
  <si>
    <t>-523.649914510595 253.612529126955 -748.648613197727</t>
  </si>
  <si>
    <t>-490.574594064472 298.410258310159 -437.063311242423</t>
  </si>
  <si>
    <t>-367.545009295009 122.591508829234 -290.11590214237</t>
  </si>
  <si>
    <t>-657.15034709604 92.2703945111543 -763.73598645534</t>
  </si>
  <si>
    <t>-744.704716231926 0.923099085861622 -413.860207851742</t>
  </si>
  <si>
    <t>-531.317227901189 226.639767453032 -243.056927535029</t>
  </si>
  <si>
    <t>-550.822771065263 220.774946490193 212.182395679778</t>
  </si>
  <si>
    <t>-602.077670715506 212.167252906848 678.93814897674</t>
  </si>
  <si>
    <t>-481.885640043253 116.533152507176 764.679080651584</t>
  </si>
  <si>
    <t>-631.83549295255 60.3589084421553 -212.427870191358</t>
  </si>
  <si>
    <t>-502.25195039745 -77.1037257325806 202.26451541206</t>
  </si>
  <si>
    <t>-554.925677981481 27.5053533856228 657.16855763742</t>
  </si>
  <si>
    <t>-538.509100706895 -123.570589170667 745.769082629158</t>
  </si>
  <si>
    <t>9763-20170724T160433.125114800.bin</t>
  </si>
  <si>
    <t>-581.738665340593 143.747699622043 -228.285702563352</t>
  </si>
  <si>
    <t>-620.56227795317 146.144609004682 -342.980000941262</t>
  </si>
  <si>
    <t>-638.267225919259 142.243223466453 -462.821032461035</t>
  </si>
  <si>
    <t>-645.491920405678 135.873723920224 -571.917709529345</t>
  </si>
  <si>
    <t>-644.02019828428 126.606908228413 -681.036157665175</t>
  </si>
  <si>
    <t>-632.954934277976 110.61572595206 -832.105152065877</t>
  </si>
  <si>
    <t>-598.421945909496 83.7111129826276 -924.119346173387</t>
  </si>
  <si>
    <t>-618.766816038768 143.087905911683 -766.552235376473</t>
  </si>
  <si>
    <t>-523.70720047631 253.880794295487 -748.88542681183</t>
  </si>
  <si>
    <t>-491.484533372425 299.412409450266 -437.317203745622</t>
  </si>
  <si>
    <t>-367.46776820917 124.314453587175 -290.33892433084</t>
  </si>
  <si>
    <t>-656.935032338504 92.294859792049 -763.971364293761</t>
  </si>
  <si>
    <t>-744.343296266785 1.06440765712182 -413.989548349456</t>
  </si>
  <si>
    <t>-531.323071019744 226.956083782972 -243.39531191984</t>
  </si>
  <si>
    <t>-550.80517559689 221.128116842307 211.84546931479</t>
  </si>
  <si>
    <t>-601.697613305501 212.227732203327 678.631051064032</t>
  </si>
  <si>
    <t>-481.919213753127 116.440289332238 764.778662094633</t>
  </si>
  <si>
    <t>-632.018707573769 60.5707731665323 -212.567209727055</t>
  </si>
  <si>
    <t>-502.044890632934 -76.8580576735408 202.014312573603</t>
  </si>
  <si>
    <t>-554.907854736585 27.4818561172081 656.990261430979</t>
  </si>
  <si>
    <t>-538.495911410215 -123.557000931622 745.654951745988</t>
  </si>
  <si>
    <t>9763-20170724T160433.197813600.bin</t>
  </si>
  <si>
    <t>-581.759551428134 144.243363394998 -228.981959484316</t>
  </si>
  <si>
    <t>-620.769291137523 146.645715622074 -343.613011662478</t>
  </si>
  <si>
    <t>-638.485400896308 142.673472242226 -463.449968466769</t>
  </si>
  <si>
    <t>-645.641617468954 136.223037163669 -572.546451602424</t>
  </si>
  <si>
    <t>-644.020214922281 126.866694313066 -681.655115366172</t>
  </si>
  <si>
    <t>-632.660202284796 110.750662809269 -832.688964307392</t>
  </si>
  <si>
    <t>-597.893378515227 83.6486141699218 -924.556959624594</t>
  </si>
  <si>
    <t>-618.706650223141 143.355920147297 -767.151748622596</t>
  </si>
  <si>
    <t>-524.268721767118 254.68336757594 -749.504123839354</t>
  </si>
  <si>
    <t>-493.233664755683 300.932120399656 -437.920951051232</t>
  </si>
  <si>
    <t>-367.490728279156 127.155887810549 -290.840742116658</t>
  </si>
  <si>
    <t>-656.666674339187 92.4070742538065 -764.570439077532</t>
  </si>
  <si>
    <t>-743.771551337094 1.3735550325664 -414.5166722628</t>
  </si>
  <si>
    <t>-531.233917185624 227.540238319976 -244.230140720637</t>
  </si>
  <si>
    <t>-550.586570840291 221.61196540263 211.014858197766</t>
  </si>
  <si>
    <t>-600.645824373195 212.48380816551 677.813426661217</t>
  </si>
  <si>
    <t>-481.810206191682 116.426955080304 764.960937889195</t>
  </si>
  <si>
    <t>-632.153475291105 60.9788078021168 -213.038032940743</t>
  </si>
  <si>
    <t>-501.601873422832 -76.3506061103078 201.39478217988</t>
  </si>
  <si>
    <t>-554.885347216486 27.4752523138923 656.534854993308</t>
  </si>
  <si>
    <t>-538.497351558013 -123.52432181636 745.270937276076</t>
  </si>
  <si>
    <t>9763-20170724T160433.225412200.bin</t>
  </si>
  <si>
    <t>-581.753044295878 144.532168140403 -229.341057867788</t>
  </si>
  <si>
    <t>-620.851479009063 146.948016590929 -343.941666262764</t>
  </si>
  <si>
    <t>-638.593288146257 142.986600113069 -463.775301390141</t>
  </si>
  <si>
    <t>-645.743930053169 136.54991436091 -572.87292587562</t>
  </si>
  <si>
    <t>-644.086639539749 127.214469026406 -681.982742902555</t>
  </si>
  <si>
    <t>-632.644365516187 111.137594162814 -833.014557464842</t>
  </si>
  <si>
    <t>-597.685802678226 83.9377674806881 -924.780934577808</t>
  </si>
  <si>
    <t>-618.778313353399 143.763853660846 -767.469421054766</t>
  </si>
  <si>
    <t>-524.661184835224 255.345164746403 -749.792836591322</t>
  </si>
  <si>
    <t>-493.286698509913 301.472144550611 -438.225515882752</t>
  </si>
  <si>
    <t>-367.222970193088 128.106522649001 -290.935495551391</t>
  </si>
  <si>
    <t>-656.636137652988 92.738355266202 -764.906061462084</t>
  </si>
  <si>
    <t>-743.270108325001 1.35114179303559 -414.751129230822</t>
  </si>
  <si>
    <t>-531.139018194104 227.900931614442 -244.650286025952</t>
  </si>
  <si>
    <t>-550.330214480374 221.786865884054 210.599104936408</t>
  </si>
  <si>
    <t>-600.095953603493 212.672632078474 677.456957363778</t>
  </si>
  <si>
    <t>-481.645406838355 116.539833910859 765.043859185775</t>
  </si>
  <si>
    <t>-632.243895713078 61.1947174569846 -213.291898536075</t>
  </si>
  <si>
    <t>-501.317828561107 -76.1390985079545 201.021336242014</t>
  </si>
  <si>
    <t>-554.883423840155 27.4885183649819 656.236143360003</t>
  </si>
  <si>
    <t>-538.473251520484 -123.502441813311 744.982610933794</t>
  </si>
  <si>
    <t>9763-20170724T160433.298800000.bin</t>
  </si>
  <si>
    <t>-581.695662056149 144.986372405811 -229.911419339549</t>
  </si>
  <si>
    <t>-620.912863588196 147.403023349449 -344.471365151599</t>
  </si>
  <si>
    <t>-638.710303525618 143.403110660926 -464.295396659756</t>
  </si>
  <si>
    <t>-645.88267918811 136.920164416066 -573.3889331324</t>
  </si>
  <si>
    <t>-644.217324075071 127.529997425338 -682.493908464157</t>
  </si>
  <si>
    <t>-632.731940684503 111.371250003853 -833.51374565588</t>
  </si>
  <si>
    <t>-597.158020859158 83.8975136432261 -924.961383563788</t>
  </si>
  <si>
    <t>-618.92260520157 144.060895830776 -767.988090353464</t>
  </si>
  <si>
    <t>-524.812160136683 255.654272682621 -750.276745275271</t>
  </si>
  <si>
    <t>-492.101070134367 301.376617964501 -438.787425841316</t>
  </si>
  <si>
    <t>-366.046264673857 128.401850733684 -291.03098409628</t>
  </si>
  <si>
    <t>-656.70516512799 92.9810439193541 -765.396099411337</t>
  </si>
  <si>
    <t>-741.791553184728 0.769928481892975 -415.048972962752</t>
  </si>
  <si>
    <t>-530.955055601447 228.364971370815 -245.214314330718</t>
  </si>
  <si>
    <t>-550.120651056328 222.105598872865 210.034247170871</t>
  </si>
  <si>
    <t>-599.554672557095 212.835695784092 677.059272212542</t>
  </si>
  <si>
    <t>-481.675087171748 116.44381314094 765.130379874975</t>
  </si>
  <si>
    <t>-632.346189478652 61.5821606069658 -213.857433278921</t>
  </si>
  <si>
    <t>-500.944409407297 -75.6974357123192 200.32312718124</t>
  </si>
  <si>
    <t>-554.878975977072 27.4795513085551 655.627408676569</t>
  </si>
  <si>
    <t>-538.421504642414 -123.471491562606 744.43316052014</t>
  </si>
  <si>
    <t>9763-20170724T160433.329386000.bin</t>
  </si>
  <si>
    <t>-581.709869585635 145.235784288168 -230.036321489241</t>
  </si>
  <si>
    <t>-620.934189726974 147.624735530382 -344.594303808767</t>
  </si>
  <si>
    <t>-638.785694119113 143.597876437366 -464.409434929424</t>
  </si>
  <si>
    <t>-646.025334609314 137.093594435768 -573.497167801558</t>
  </si>
  <si>
    <t>-644.445364669737 127.685942788475 -682.602031615967</t>
  </si>
  <si>
    <t>-633.096397272103 111.508283019836 -833.630080330138</t>
  </si>
  <si>
    <t>-597.240689624164 83.926765324843 -924.935139322004</t>
  </si>
  <si>
    <t>-619.223549482723 144.202905796825 -768.120450093265</t>
  </si>
  <si>
    <t>-525.015998543382 255.742475938554 -750.448572029152</t>
  </si>
  <si>
    <t>-491.721673628736 301.063261759723 -438.962254084472</t>
  </si>
  <si>
    <t>-365.871210180289 128.009183339833 -291.124526897017</t>
  </si>
  <si>
    <t>-657.012517473182 93.1297185823303 -765.489177785433</t>
  </si>
  <si>
    <t>-741.412023086156 0.771482814650653 -415.023052477783</t>
  </si>
  <si>
    <t>-530.885756790658 228.58532427559 -245.325052729873</t>
  </si>
  <si>
    <t>-550.154192186722 222.328224264629 209.919105002411</t>
  </si>
  <si>
    <t>-599.482111257479 212.910489580131 677.00761147816</t>
  </si>
  <si>
    <t>-481.818550763426 116.283329117421 765.109768549649</t>
  </si>
  <si>
    <t>-632.444661811773 61.8783095558069 -213.987435197894</t>
  </si>
  <si>
    <t>-500.842515219231 -75.4470016120003 200.114419988959</t>
  </si>
  <si>
    <t>-554.87212370331 27.4779872348822 655.414001301279</t>
  </si>
  <si>
    <t>-538.404623580021 -123.452965710664 744.251878278659</t>
  </si>
  <si>
    <t>9763-20170724T160433.392929800.bin</t>
  </si>
  <si>
    <t>-581.695408714021 145.632892521151 -230.036135677469</t>
  </si>
  <si>
    <t>-620.917883142262 147.986472776187 -344.595518267816</t>
  </si>
  <si>
    <t>-638.923583599335 143.988704799197 -464.388621849522</t>
  </si>
  <si>
    <t>-646.365960260085 137.540553882302 -573.465998016919</t>
  </si>
  <si>
    <t>-645.049896853988 128.221330846037 -682.581881831926</t>
  </si>
  <si>
    <t>-634.129076382416 112.201426984729 -833.658323425415</t>
  </si>
  <si>
    <t>-597.747983447842 84.4927828671052 -924.71680302139</t>
  </si>
  <si>
    <t>-620.045817492947 144.809602932994 -768.150514043657</t>
  </si>
  <si>
    <t>-525.519956874816 256.069864619694 -750.468644777518</t>
  </si>
  <si>
    <t>-491.513575166374 300.894387018357 -438.987395564158</t>
  </si>
  <si>
    <t>-365.946794730595 127.432591670856 -291.386382953187</t>
  </si>
  <si>
    <t>-657.876603163528 93.7698577244237 -765.473023343289</t>
  </si>
  <si>
    <t>-741.24122214358 0.957419192319321 -414.817299151925</t>
  </si>
  <si>
    <t>-530.668696621037 228.875555246382 -245.375155064588</t>
  </si>
  <si>
    <t>-550.272447899224 222.784806178697 209.856865094475</t>
  </si>
  <si>
    <t>-599.402063053005 213.019137198371 676.931968991623</t>
  </si>
  <si>
    <t>-482.057851867123 115.997868929203 765.026921702399</t>
  </si>
  <si>
    <t>-632.611576857363 62.3564472516755 -213.990281730079</t>
  </si>
  <si>
    <t>-500.526261193534 -75.0947750105152 199.915836353758</t>
  </si>
  <si>
    <t>-554.823302741278 27.5168178423958 655.144121967817</t>
  </si>
  <si>
    <t>-538.401570303337 -123.399056028238 744.016142617769</t>
  </si>
  <si>
    <t>9763-20170724T160433.431022700.bin</t>
  </si>
  <si>
    <t>-581.62134244167 145.714287000669 -230.036251143119</t>
  </si>
  <si>
    <t>-620.836078011496 148.075901932868 -344.598360643996</t>
  </si>
  <si>
    <t>-638.91876750235 144.101817282713 -464.380555156847</t>
  </si>
  <si>
    <t>-646.465076412202 137.683962668558 -573.452595650261</t>
  </si>
  <si>
    <t>-645.286342147429 128.405354156822 -682.573469378269</t>
  </si>
  <si>
    <t>-634.589814032331 112.453811061164 -833.673188137293</t>
  </si>
  <si>
    <t>-597.931437881268 84.6195636607781 -924.581898559463</t>
  </si>
  <si>
    <t>-620.390829552568 145.018757606117 -768.168733712873</t>
  </si>
  <si>
    <t>-525.713609331307 256.147911666786 -750.504836250701</t>
  </si>
  <si>
    <t>-491.63386292097 300.789829795595 -439.005320533495</t>
  </si>
  <si>
    <t>-366.242132284655 127.167249608333 -291.444726954638</t>
  </si>
  <si>
    <t>-658.254637599704 94.0048985315373 -765.463719030332</t>
  </si>
  <si>
    <t>-741.34381741459 1.16059499935091 -414.803523724835</t>
  </si>
  <si>
    <t>-530.539120565235 228.858598286198 -245.370471772898</t>
  </si>
  <si>
    <t>-550.391812350201 222.865992744532 209.852211896171</t>
  </si>
  <si>
    <t>-599.599709929831 212.827349439735 676.929193303192</t>
  </si>
  <si>
    <t>-482.028322611797 116.035280836745 764.973352166555</t>
  </si>
  <si>
    <t>-632.626827974014 62.5342154090929 -213.997753965932</t>
  </si>
  <si>
    <t>-500.421733509543 -75.002198098756 199.841807894632</t>
  </si>
  <si>
    <t>-554.805653611962 27.5215167506694 655.052487770525</t>
  </si>
  <si>
    <t>-538.374196317091 -123.377824725784 743.950873962296</t>
  </si>
  <si>
    <t>9763-20170724T160433.494200500.bin</t>
  </si>
  <si>
    <t>-581.354397074876 145.988416676919 -230.039747417266</t>
  </si>
  <si>
    <t>-620.468613598847 148.337109278809 -344.636271126272</t>
  </si>
  <si>
    <t>-638.532207804685 144.347577787772 -464.42083286395</t>
  </si>
  <si>
    <t>-646.094324741866 137.921518636941 -573.491387607912</t>
  </si>
  <si>
    <t>-644.963207348909 128.644769862277 -682.6129643267</t>
  </si>
  <si>
    <t>-634.364366090561 112.70990813331 -833.721406285039</t>
  </si>
  <si>
    <t>-597.200232975198 84.6829727694853 -924.365123034256</t>
  </si>
  <si>
    <t>-620.117137108963 145.263264676621 -768.221653596876</t>
  </si>
  <si>
    <t>-525.456310609226 256.39801096518 -750.512968055365</t>
  </si>
  <si>
    <t>-491.299254978407 300.891614048861 -439.00092580639</t>
  </si>
  <si>
    <t>-366.388771562475 126.803932944424 -291.580039029739</t>
  </si>
  <si>
    <t>-657.990939888857 94.2578796564039 -765.499513362868</t>
  </si>
  <si>
    <t>-741.080765043819 1.34199686419083 -414.794662513151</t>
  </si>
  <si>
    <t>-530.053158350701 228.929908532475 -245.392858772393</t>
  </si>
  <si>
    <t>-550.275413954904 222.943859592197 209.813560286179</t>
  </si>
  <si>
    <t>-599.660716824971 212.77192716796 676.898627653513</t>
  </si>
  <si>
    <t>-482.109983453176 115.921266806292 764.905941781453</t>
  </si>
  <si>
    <t>-632.52928846816 63.0317593688851 -213.977203851271</t>
  </si>
  <si>
    <t>-500.523294804545 -74.7490414537353 199.844735828542</t>
  </si>
  <si>
    <t>-554.801482291017 27.6250654055923 655.071088957424</t>
  </si>
  <si>
    <t>-538.382323201342 -123.308730574909 743.913198663562</t>
  </si>
  <si>
    <t>9763-20170724T160433.526784800.bin</t>
  </si>
  <si>
    <t>-581.157778035646 146.06668285549 -229.987682206775</t>
  </si>
  <si>
    <t>-620.287627608489 148.446905101307 -344.578320308525</t>
  </si>
  <si>
    <t>-638.326553657404 144.460434717297 -464.366751088939</t>
  </si>
  <si>
    <t>-645.849193705075 138.027063118931 -573.439484189564</t>
  </si>
  <si>
    <t>-644.661277961046 128.734003168236 -682.559104138119</t>
  </si>
  <si>
    <t>-633.965425764698 112.768296665295 -833.657353888418</t>
  </si>
  <si>
    <t>-596.535176578024 84.6419330003375 -924.160836013224</t>
  </si>
  <si>
    <t>-619.761464504376 145.335952543376 -768.155460947865</t>
  </si>
  <si>
    <t>-525.141312489329 256.494106170618 -750.397664006038</t>
  </si>
  <si>
    <t>-491.431797943975 300.797369790009 -438.809622347535</t>
  </si>
  <si>
    <t>-366.58412334686 126.604560149894 -291.459848955293</t>
  </si>
  <si>
    <t>-657.634657801856 94.32917914014 -765.446748044674</t>
  </si>
  <si>
    <t>-740.936196207017 1.41270329017811 -414.738639090793</t>
  </si>
  <si>
    <t>-529.801140808453 228.951692620945 -245.337807216875</t>
  </si>
  <si>
    <t>-550.030494727026 222.838045291737 209.866598861575</t>
  </si>
  <si>
    <t>-599.737077297243 212.725435427732 676.923026005233</t>
  </si>
  <si>
    <t>-482.120260872329 115.910209000087 764.881015892372</t>
  </si>
  <si>
    <t>-632.378887758083 63.1700064919464 -213.909837461274</t>
  </si>
  <si>
    <t>-500.598544192063 -74.7650400399612 199.932549513746</t>
  </si>
  <si>
    <t>-554.844479512342 27.713679455843 655.153938944585</t>
  </si>
  <si>
    <t>-538.362372263388 -123.267124231389 743.904391682163</t>
  </si>
  <si>
    <t>9763-20170724T160433.598492400.bin</t>
  </si>
  <si>
    <t>-580.748798991434 146.004647079802 -229.696960519338</t>
  </si>
  <si>
    <t>-619.838568678654 148.324152522761 -344.302422981919</t>
  </si>
  <si>
    <t>-637.770842371013 144.29697464368 -464.105438272679</t>
  </si>
  <si>
    <t>-645.168749454758 137.838753278688 -573.185344287055</t>
  </si>
  <si>
    <t>-643.827319261542 128.535215647 -682.30225303349</t>
  </si>
  <si>
    <t>-632.888553404126 112.571393062084 -833.383378736417</t>
  </si>
  <si>
    <t>-594.97719276199 84.2452902220255 -923.623766225285</t>
  </si>
  <si>
    <t>-618.8097452869 145.152859060719 -767.861077495048</t>
  </si>
  <si>
    <t>-524.3768492994 256.457334765498 -749.98387076373</t>
  </si>
  <si>
    <t>-492.089617243217 299.70682145472 -438.097181032726</t>
  </si>
  <si>
    <t>-367.080569072455 125.433075944668 -290.980160283003</t>
  </si>
  <si>
    <t>-656.647460616066 94.1169524871841 -765.208118958888</t>
  </si>
  <si>
    <t>-740.384432577474 1.48531125778936 -414.560536311227</t>
  </si>
  <si>
    <t>-529.358107959577 228.632124638712 -245.090983169202</t>
  </si>
  <si>
    <t>-549.709010811854 222.454290690519 210.107202223084</t>
  </si>
  <si>
    <t>-600.131964528043 212.438007558701 677.095719909127</t>
  </si>
  <si>
    <t>-482.091850281598 115.948674734545 764.844515445357</t>
  </si>
  <si>
    <t>-632.043145807037 63.3575118428334 -213.521299266355</t>
  </si>
  <si>
    <t>-501.148072079446 -75.3609055844238 200.340233209638</t>
  </si>
  <si>
    <t>-555.008780831552 28.0433538493876 655.502261341534</t>
  </si>
  <si>
    <t>-538.355185950201 -123.178393923658 743.809406971464</t>
  </si>
  <si>
    <t>9763-20170724T160433.624565600.bin</t>
  </si>
  <si>
    <t>-580.583980388406 145.947063547289 -229.490917993093</t>
  </si>
  <si>
    <t>-619.637238305564 148.178618789073 -344.110537491528</t>
  </si>
  <si>
    <t>-637.460824324839 144.088512615915 -463.927788134072</t>
  </si>
  <si>
    <t>-644.730997982733 137.583426336152 -573.013457018169</t>
  </si>
  <si>
    <t>-643.233206930273 128.242495384787 -682.125019873285</t>
  </si>
  <si>
    <t>-632.047878739973 112.236716643121 -833.183680267813</t>
  </si>
  <si>
    <t>-593.886430208062 83.8169700002329 -923.289156794715</t>
  </si>
  <si>
    <t>-618.090107416475 144.846549721299 -767.649778247369</t>
  </si>
  <si>
    <t>-523.819488194235 256.221057751822 -749.599878626726</t>
  </si>
  <si>
    <t>-491.54791659199 299.192181213021 -437.673223850706</t>
  </si>
  <si>
    <t>-366.536388353817 124.763426932997 -290.742008632155</t>
  </si>
  <si>
    <t>-655.904081320061 93.7908743141907 -765.040052281413</t>
  </si>
  <si>
    <t>-739.910049899012 1.19545050782517 -414.429161401197</t>
  </si>
  <si>
    <t>-529.198415267781 228.531666584926 -244.903324945272</t>
  </si>
  <si>
    <t>-549.650731017374 222.397928401788 210.29097416984</t>
  </si>
  <si>
    <t>-600.300540584706 212.395970175805 677.232919896682</t>
  </si>
  <si>
    <t>-482.098338962583 115.963105958355 764.82546134371</t>
  </si>
  <si>
    <t>-631.867305688084 63.3247839062049 -213.336164168032</t>
  </si>
  <si>
    <t>-501.539234902279 -75.7794830688317 200.574760126059</t>
  </si>
  <si>
    <t>-555.0768113389 28.2041294423491 655.655929498953</t>
  </si>
  <si>
    <t>-538.340982494401 -123.137524640496 743.741812951163</t>
  </si>
  <si>
    <t>9763-20170724T160433.695096100.bin</t>
  </si>
  <si>
    <t>-580.500634096447 145.793825189472 -229.149448361618</t>
  </si>
  <si>
    <t>-619.38695978596 147.948679435317 -343.827276879895</t>
  </si>
  <si>
    <t>-636.944900604111 143.82083745681 -463.682456450406</t>
  </si>
  <si>
    <t>-643.936172335492 137.297030870029 -572.785233449289</t>
  </si>
  <si>
    <t>-642.12226987975 127.952372466842 -681.891745293214</t>
  </si>
  <si>
    <t>-630.460263587581 111.957092810309 -832.915391315411</t>
  </si>
  <si>
    <t>-591.810366844891 83.454605504375 -922.786421624804</t>
  </si>
  <si>
    <t>-616.745940629102 144.58926088779 -767.341272026322</t>
  </si>
  <si>
    <t>-522.65991967704 256.09414436063 -748.896392041183</t>
  </si>
  <si>
    <t>-490.953899451723 298.523423313207 -436.837658958525</t>
  </si>
  <si>
    <t>-365.844152233554 123.816329918301 -290.321306989785</t>
  </si>
  <si>
    <t>-654.494703364624 93.4797996179732 -764.843085617485</t>
  </si>
  <si>
    <t>-739.138201698994 0.920404390446038 -414.415695208049</t>
  </si>
  <si>
    <t>-529.208767752702 228.313702492038 -244.497437833319</t>
  </si>
  <si>
    <t>-549.629298350118 222.117125050042 210.697284674733</t>
  </si>
  <si>
    <t>-600.808105391312 212.200135188818 677.595351853651</t>
  </si>
  <si>
    <t>-481.920335274595 116.227604129248 764.764634593212</t>
  </si>
  <si>
    <t>-631.69671349333 63.3611019170003 -213.031877363679</t>
  </si>
  <si>
    <t>-502.833025396366 -77.0396828606922 200.899798922333</t>
  </si>
  <si>
    <t>-555.142600806059 28.3989645723959 655.814598393998</t>
  </si>
  <si>
    <t>-538.556654628464 -123.10209349373 743.654442806868</t>
  </si>
  <si>
    <t>9763-20170724T160433.727697400.bin</t>
  </si>
  <si>
    <t>-580.63394037839 145.616492528173 -229.029032011276</t>
  </si>
  <si>
    <t>-619.411082101308 147.728709919402 -343.744700820904</t>
  </si>
  <si>
    <t>-636.817562058911 143.594291176741 -463.62175107475</t>
  </si>
  <si>
    <t>-643.65579341244 137.078346511576 -572.734588313498</t>
  </si>
  <si>
    <t>-641.673550397109 127.754834851886 -681.840045581795</t>
  </si>
  <si>
    <t>-629.762542712867 111.802247857048 -832.848753957764</t>
  </si>
  <si>
    <t>-590.895417379901 83.3309863922539 -922.635890289202</t>
  </si>
  <si>
    <t>-616.180249081943 144.433367947732 -767.246536870533</t>
  </si>
  <si>
    <t>-522.205040788538 255.99321832766 -748.642368252984</t>
  </si>
  <si>
    <t>-490.929334360443 298.163764767503 -436.505101925845</t>
  </si>
  <si>
    <t>-365.784023925745 123.330129711983 -290.170297382503</t>
  </si>
  <si>
    <t>-653.885270800097 93.288262132749 -764.817552349441</t>
  </si>
  <si>
    <t>-738.925583121352 0.559892769655335 -414.499972736571</t>
  </si>
  <si>
    <t>-529.432705608313 228.067786948928 -244.312983560197</t>
  </si>
  <si>
    <t>-549.909160027554 221.871796776617 210.879280206534</t>
  </si>
  <si>
    <t>-601.21209383426 211.876247065916 677.739036923819</t>
  </si>
  <si>
    <t>-481.725077571923 116.480567931638 764.721960697104</t>
  </si>
  <si>
    <t>-631.753509757008 63.2132839164965 -213.006674121941</t>
  </si>
  <si>
    <t>-503.486734079431 -77.4224304318941 201.030585031889</t>
  </si>
  <si>
    <t>-555.18202505634 28.4511767419608 655.877013751834</t>
  </si>
  <si>
    <t>-538.634432166797 -123.088347186927 743.657775691307</t>
  </si>
  <si>
    <t>9763-20170724T160433.793888600.bin</t>
  </si>
  <si>
    <t>-580.848484495369 145.305668504285 -228.982302487746</t>
  </si>
  <si>
    <t>-619.418604023404 147.452459780465 -343.76713977027</t>
  </si>
  <si>
    <t>-636.564140747608 143.390957791427 -463.68416720212</t>
  </si>
  <si>
    <t>-643.145825306997 136.957887968113 -572.817766472177</t>
  </si>
  <si>
    <t>-640.887368848889 127.734882442451 -681.926287493495</t>
  </si>
  <si>
    <t>-628.572851300985 111.941102348756 -832.91937251235</t>
  </si>
  <si>
    <t>-589.283867400405 83.6302733782068 -922.573539320647</t>
  </si>
  <si>
    <t>-615.232968584402 144.551911207897 -767.257361782835</t>
  </si>
  <si>
    <t>-521.515285844147 256.278052333675 -748.306269044244</t>
  </si>
  <si>
    <t>-490.77118397989 297.443486032846 -435.982082892511</t>
  </si>
  <si>
    <t>-365.719961653864 122.259019334641 -289.986819116172</t>
  </si>
  <si>
    <t>-652.810321824675 93.3068091769783 -764.961986294745</t>
  </si>
  <si>
    <t>-738.504681770155 0.0907875907926154 -414.910580164619</t>
  </si>
  <si>
    <t>-529.747918803296 227.826195341703 -244.110417174744</t>
  </si>
  <si>
    <t>-550.278217607573 221.732620199707 211.080800237373</t>
  </si>
  <si>
    <t>-601.347236366813 211.971873502491 677.930041850705</t>
  </si>
  <si>
    <t>-481.839560783824 116.40058103291 764.691523740931</t>
  </si>
  <si>
    <t>-631.794350913067 62.8733195332777 -213.183701651555</t>
  </si>
  <si>
    <t>-504.478502787702 -77.744269742838 201.153186446067</t>
  </si>
  <si>
    <t>-555.202663644711 28.5089885527218 656.007042168845</t>
  </si>
  <si>
    <t>-538.791015721785 -123.071573610877 743.742480653657</t>
  </si>
  <si>
    <t>9763-20170724T160433.825483100.bin</t>
  </si>
  <si>
    <t>-581.030737778175 145.216252789962 -229.027327709652</t>
  </si>
  <si>
    <t>-619.55907281259 147.398426278612 -343.825424017541</t>
  </si>
  <si>
    <t>-636.597093228653 143.393588294186 -463.759687563786</t>
  </si>
  <si>
    <t>-643.053738469455 137.022768088665 -572.904429457896</t>
  </si>
  <si>
    <t>-640.642402796526 127.874205038401 -682.01607778472</t>
  </si>
  <si>
    <t>-628.086833483812 112.197514282064 -833.001506079119</t>
  </si>
  <si>
    <t>-588.559772142313 83.9990584846248 -922.586339977791</t>
  </si>
  <si>
    <t>-614.895315103909 144.788910800336 -767.299748690529</t>
  </si>
  <si>
    <t>-521.29089646011 256.586016598169 -748.181608244462</t>
  </si>
  <si>
    <t>-490.870991534468 296.559307595267 -435.670862348656</t>
  </si>
  <si>
    <t>-365.685237752053 121.260672135069 -289.92798369933</t>
  </si>
  <si>
    <t>-652.389236357176 93.4790316442707 -765.090378713475</t>
  </si>
  <si>
    <t>-529.965440678517 227.746256749856 -244.12450699814</t>
  </si>
  <si>
    <t>-550.408041836233 221.703673496527 211.071320440941</t>
  </si>
  <si>
    <t>-601.287991983403 212.008791269484 677.911683271262</t>
  </si>
  <si>
    <t>-481.880218183668 116.334895935045 764.697621549185</t>
  </si>
  <si>
    <t>-631.966416071515 62.7712711004317 -213.28180110223</t>
  </si>
  <si>
    <t>-504.703416710761 -77.721479225082 201.113632654747</t>
  </si>
  <si>
    <t>-555.188013985053 28.501462085826 655.999963502056</t>
  </si>
  <si>
    <t>-538.845629797485 -123.068594778299 743.766438711045</t>
  </si>
  <si>
    <t>9763-20170724T160433.893158500.bin</t>
  </si>
  <si>
    <t>-581.349756181165 144.871236439424 -229.078867240157</t>
  </si>
  <si>
    <t>-619.910597110086 147.105892165729 -343.865012983991</t>
  </si>
  <si>
    <t>-636.788249433667 143.210662587098 -463.8256387834</t>
  </si>
  <si>
    <t>-643.018895900987 136.963081968215 -572.990571953094</t>
  </si>
  <si>
    <t>-640.30057197597 127.962599646364 -682.107276419543</t>
  </si>
  <si>
    <t>-627.234480083279 112.518998964642 -833.073470475603</t>
  </si>
  <si>
    <t>-587.264625137087 84.5588949314754 -922.536399054468</t>
  </si>
  <si>
    <t>-614.326416463829 145.053104133602 -767.28722335267</t>
  </si>
  <si>
    <t>-521.039112824817 257.026258466904 -747.692879842818</t>
  </si>
  <si>
    <t>-489.441896310601 294.969988764102 -435.046046766778</t>
  </si>
  <si>
    <t>-363.783490427292 119.195831692098 -290.286013217928</t>
  </si>
  <si>
    <t>-651.705290306809 93.651442783784 -765.263881999138</t>
  </si>
  <si>
    <t>-530.39539285008 227.393162949655 -244.131408894674</t>
  </si>
  <si>
    <t>-550.702061169984 221.534862733687 211.073008407837</t>
  </si>
  <si>
    <t>-601.402894039355 211.928755599939 677.980720468139</t>
  </si>
  <si>
    <t>-481.778065522425 116.484491801447 764.720587453996</t>
  </si>
  <si>
    <t>-632.174339038719 62.3465889670388 -213.387632391719</t>
  </si>
  <si>
    <t>-504.459641268375 -77.6756651708433 201.028121614724</t>
  </si>
  <si>
    <t>-555.084445412358 28.4546177740463 655.908967882762</t>
  </si>
  <si>
    <t>-538.883142619157 -123.06469680755 743.788997865152</t>
  </si>
  <si>
    <t>9763-20170724T160433.924757200.bin</t>
  </si>
  <si>
    <t>-581.479696341272 144.645645884812 -229.108223069527</t>
  </si>
  <si>
    <t>-620.070279000502 146.871764357343 -343.88462955984</t>
  </si>
  <si>
    <t>-636.870314787882 143.024217305422 -463.857562009044</t>
  </si>
  <si>
    <t>-642.986550877982 136.839699913233 -573.032675357428</t>
  </si>
  <si>
    <t>-640.109860236146 127.920882513204 -682.152019924043</t>
  </si>
  <si>
    <t>-626.779119768974 112.608520423663 -833.108428309898</t>
  </si>
  <si>
    <t>-586.582270489728 84.7761799173875 -922.509465471064</t>
  </si>
  <si>
    <t>-613.990196041225 145.088201486 -767.272093408324</t>
  </si>
  <si>
    <t>-520.75738723402 257.055741421603 -747.402389401595</t>
  </si>
  <si>
    <t>-488.974516639408 293.73500112947 -434.623411240432</t>
  </si>
  <si>
    <t>-362.86190473195 117.710232307021 -290.564676149757</t>
  </si>
  <si>
    <t>-651.364941912182 93.6793127194976 -765.357827634113</t>
  </si>
  <si>
    <t>-530.617598933227 227.153394940484 -244.155728447149</t>
  </si>
  <si>
    <t>-550.808582765639 221.429010192707 211.055428213894</t>
  </si>
  <si>
    <t>-601.395318281715 211.936042532102 677.976352792569</t>
  </si>
  <si>
    <t>-481.777212518573 116.492523940768 764.726305488161</t>
  </si>
  <si>
    <t>-632.189730992418 62.1140402260942 -213.421431860458</t>
  </si>
  <si>
    <t>-504.126536397987 -77.6896876680385 200.96049891073</t>
  </si>
  <si>
    <t>-555.012253815454 28.4114556732047 655.828203439381</t>
  </si>
  <si>
    <t>-538.874720661278 -123.068268291972 743.788317316892</t>
  </si>
  <si>
    <t>9763-20170724T160433.995450000.bin</t>
  </si>
  <si>
    <t>-581.673937874019 144.164656992645 -229.222504708704</t>
  </si>
  <si>
    <t>-620.333107430744 146.399982455838 -343.975602025274</t>
  </si>
  <si>
    <t>-637.040844848717 142.679466951261 -463.965490489426</t>
  </si>
  <si>
    <t>-643.007380163498 136.649958818731 -573.157560647282</t>
  </si>
  <si>
    <t>-639.915882687651 127.921466696858 -682.286369371529</t>
  </si>
  <si>
    <t>-626.220342088605 112.906565970695 -833.239938589594</t>
  </si>
  <si>
    <t>-585.716067440577 85.3188800891444 -922.578150579799</t>
  </si>
  <si>
    <t>-613.58736491929 145.25402478914 -767.308422431533</t>
  </si>
  <si>
    <t>-520.376925608539 257.147299183926 -746.927483628798</t>
  </si>
  <si>
    <t>-488.266049331909 291.722357178002 -433.94231003587</t>
  </si>
  <si>
    <t>-360.868314088837 115.592198854687 -291.148574407169</t>
  </si>
  <si>
    <t>-650.973053012513 93.8463308850746 -765.586971890465</t>
  </si>
  <si>
    <t>-531.009699877439 226.728532579568 -244.201543263667</t>
  </si>
  <si>
    <t>-550.964746158038 221.128609149064 211.02160628996</t>
  </si>
  <si>
    <t>-601.472476009189 211.929018554717 678.029574255724</t>
  </si>
  <si>
    <t>-481.779531102081 116.521950457032 764.71636709831</t>
  </si>
  <si>
    <t>-632.2086262705 61.5716106769596 -213.576078619398</t>
  </si>
  <si>
    <t>-503.139249012067 -77.4279163828462 200.764256884183</t>
  </si>
  <si>
    <t>-554.846306382342 28.2753389744132 655.623441552387</t>
  </si>
  <si>
    <t>-538.800380666209 -123.075052719922 743.822654208574</t>
  </si>
  <si>
    <t>9763-20170724T160434.028539600.bin</t>
  </si>
  <si>
    <t>-581.805686656375 143.855414853438 -229.284210307423</t>
  </si>
  <si>
    <t>-620.489373337114 146.119346966997 -344.028413333493</t>
  </si>
  <si>
    <t>-637.169057667562 142.465500033566 -464.024330641407</t>
  </si>
  <si>
    <t>-643.08883177333 136.507862163696 -573.222843792451</t>
  </si>
  <si>
    <t>-639.929785744091 127.860405510265 -682.3561132663</t>
  </si>
  <si>
    <t>-626.119436018455 112.965701897301 -833.311130324369</t>
  </si>
  <si>
    <t>-585.531223316206 85.5066502013133 -922.650894859613</t>
  </si>
  <si>
    <t>-613.535221581877 145.259646777539 -767.344103693993</t>
  </si>
  <si>
    <t>-520.354885108286 257.165323824267 -746.79417234375</t>
  </si>
  <si>
    <t>-488.340076474263 290.853559749538 -433.702619974273</t>
  </si>
  <si>
    <t>-360.404370735596 114.79489202651 -291.302202327312</t>
  </si>
  <si>
    <t>-650.924931225538 93.852681193961 -765.692540213967</t>
  </si>
  <si>
    <t>-531.296675884671 226.436157999533 -244.215045573045</t>
  </si>
  <si>
    <t>-551.097378099388 220.855545759961 211.015129499853</t>
  </si>
  <si>
    <t>-601.617646759974 211.805480270708 678.05377536397</t>
  </si>
  <si>
    <t>-481.78694742206 116.530872851107 764.69592112904</t>
  </si>
  <si>
    <t>-632.206683965988 61.2396951598491 -213.67855655657</t>
  </si>
  <si>
    <t>-502.590981677501 -77.1696705560514 200.68876152962</t>
  </si>
  <si>
    <t>-554.772279941534 28.2059820065215 655.557837845355</t>
  </si>
  <si>
    <t>-538.731192448721 -123.082410012185 743.864008155112</t>
  </si>
  <si>
    <t>9763-20170724T160434.060629200.bin</t>
  </si>
  <si>
    <t>-581.978516306856 143.619585267854 -229.359345985185</t>
  </si>
  <si>
    <t>-620.708533195851 145.922314427582 -344.087176961507</t>
  </si>
  <si>
    <t>-637.388338992077 142.327540995814 -464.084898683083</t>
  </si>
  <si>
    <t>-643.289329433913 136.428178082237 -573.287567881849</t>
  </si>
  <si>
    <t>-640.092568721371 127.842460822945 -682.424639844302</t>
  </si>
  <si>
    <t>-626.211056675295 113.035129827762 -833.381832825409</t>
  </si>
  <si>
    <t>-585.583124408937 85.7097924166505 -922.744454514039</t>
  </si>
  <si>
    <t>-613.660929176656 145.292947445129 -767.390496195816</t>
  </si>
  <si>
    <t>-520.550770458742 257.220566603946 -746.714390077568</t>
  </si>
  <si>
    <t>-488.742480474005 290.59742185376 -433.568311068712</t>
  </si>
  <si>
    <t>-360.400680956796 114.688206706776 -291.348843659206</t>
  </si>
  <si>
    <t>-651.045523375206 93.8808074058804 -765.78541398264</t>
  </si>
  <si>
    <t>-531.598954630415 226.270638818001 -244.24803207746</t>
  </si>
  <si>
    <t>-551.222150896558 220.656238931259 210.989349988001</t>
  </si>
  <si>
    <t>-601.632105340953 211.811597269086 678.055360701114</t>
  </si>
  <si>
    <t>-481.689395285985 116.653544222452 764.670616884242</t>
  </si>
  <si>
    <t>-632.259469462734 60.9704761020857 -213.800201713035</t>
  </si>
  <si>
    <t>-502.112199375996 -76.8504319805038 200.596611099897</t>
  </si>
  <si>
    <t>-554.712982583956 28.1347013209311 655.505930245778</t>
  </si>
  <si>
    <t>-538.632326506389 -123.089716853063 743.91451071088</t>
  </si>
  <si>
    <t>9763-20170724T160434.137147200.bin</t>
  </si>
  <si>
    <t>-582.117628214052 143.537139630299 -229.415640049613</t>
  </si>
  <si>
    <t>-620.89774314874 145.887464337569 -344.125654844952</t>
  </si>
  <si>
    <t>-637.59173781947 142.359004499767 -464.123277821619</t>
  </si>
  <si>
    <t>-643.49040703058 136.524696275214 -573.329571156962</t>
  </si>
  <si>
    <t>-640.276444087847 128.007448386553 -682.471603681862</t>
  </si>
  <si>
    <t>-626.355539544752 113.297920164287 -833.434637795609</t>
  </si>
  <si>
    <t>-585.717559695718 86.1085266746854 -922.834162537948</t>
  </si>
  <si>
    <t>-613.819930409337 145.511067035096 -767.418855470225</t>
  </si>
  <si>
    <t>-520.766541829806 257.47159320674 -746.672292278292</t>
  </si>
  <si>
    <t>-489.330826774109 290.885517251171 -433.492473443863</t>
  </si>
  <si>
    <t>-360.926601087647 115.15727165963 -291.105863617521</t>
  </si>
  <si>
    <t>-651.210323524768 94.1017468417613 -765.857502503239</t>
  </si>
  <si>
    <t>-531.809766151183 226.29031483278 -244.271385972167</t>
  </si>
  <si>
    <t>-551.256053403846 220.62494084986 210.972971507011</t>
  </si>
  <si>
    <t>-601.587071669556 211.885132483323 678.056016298128</t>
  </si>
  <si>
    <t>-481.816629546781 116.506355156941 764.666882674377</t>
  </si>
  <si>
    <t>-632.311280604313 60.8339953568325 -213.877837242423</t>
  </si>
  <si>
    <t>-501.695841211979 -76.5247245187263 200.525238812377</t>
  </si>
  <si>
    <t>-554.662527744077 28.0695820349499 655.469728764804</t>
  </si>
  <si>
    <t>-538.550225492742 -123.098396600495 743.969130026162</t>
  </si>
  <si>
    <t>9763-20170724T160434.158203400.bin</t>
  </si>
  <si>
    <t>-582.347102862369 143.588971617968 -229.525081251937</t>
  </si>
  <si>
    <t>-621.213951616712 145.996537809625 -344.204505808884</t>
  </si>
  <si>
    <t>-637.959760917152 142.565899706437 -464.197819051952</t>
  </si>
  <si>
    <t>-643.88961579123 136.83451731116 -573.407734590355</t>
  </si>
  <si>
    <t>-640.691016947307 128.433088715861 -682.559266348401</t>
  </si>
  <si>
    <t>-626.774697272283 113.896991701359 -833.539447477893</t>
  </si>
  <si>
    <t>-586.160150072219 86.9564546406509 -923.024990305896</t>
  </si>
  <si>
    <t>-614.246069366784 146.040791320563 -767.48861719756</t>
  </si>
  <si>
    <t>-521.257248272479 258.056736401136 -746.744449646773</t>
  </si>
  <si>
    <t>-490.920471283213 292.630356472161 -433.582277053976</t>
  </si>
  <si>
    <t>-362.847796807173 117.357617256736 -290.337978910982</t>
  </si>
  <si>
    <t>-651.618392507384 94.6167589510242 -765.982395823968</t>
  </si>
  <si>
    <t>-532.11044573557 226.430197641848 -244.382871144936</t>
  </si>
  <si>
    <t>-551.342227929756 220.757849248024 210.870472441296</t>
  </si>
  <si>
    <t>-601.369655616358 212.011073036875 677.925698855691</t>
  </si>
  <si>
    <t>-481.738761681744 116.580065517749 764.671786522068</t>
  </si>
  <si>
    <t>-632.44772481782 60.7657845290125 -213.986376837181</t>
  </si>
  <si>
    <t>-501.166151339368 -76.0390918941262 200.389371340843</t>
  </si>
  <si>
    <t>-554.608226158858 27.9837321912421 655.41566340969</t>
  </si>
  <si>
    <t>-538.412204239301 -123.104782229655 744.035351089911</t>
  </si>
  <si>
    <t>9763-20170724T160434.412401000.bin</t>
  </si>
  <si>
    <t>-582.45220603505 143.659361607743 -229.562286122952</t>
  </si>
  <si>
    <t>-621.369214446392 146.084778457524 -344.224326928701</t>
  </si>
  <si>
    <t>-638.158422385811 142.681141434236 -464.212262168802</t>
  </si>
  <si>
    <t>-644.124103177343 136.977803349862 -573.421854846666</t>
  </si>
  <si>
    <t>-640.95722872275 128.608444169526 -682.576604214694</t>
  </si>
  <si>
    <t>-627.080592165535 114.120975083961 -833.565260695</t>
  </si>
  <si>
    <t>-586.48422051868 87.2681303107947 -923.085298099237</t>
  </si>
  <si>
    <t>-614.546269003706 146.251858475222 -767.509182498745</t>
  </si>
  <si>
    <t>-521.592727105003 258.306506808808 -746.821663457276</t>
  </si>
  <si>
    <t>-491.77184626982 293.524340487235 -433.681749262465</t>
  </si>
  <si>
    <t>-363.914157579954 118.543919816791 -289.889092625966</t>
  </si>
  <si>
    <t>-651.89497702985 94.8104872503818 -766.005806639254</t>
  </si>
  <si>
    <t>-532.268026693834 226.519065593622 -244.427123899833</t>
  </si>
  <si>
    <t>-551.404275448177 220.783298128215 210.829439138183</t>
  </si>
  <si>
    <t>-601.440161526882 211.904023468542 677.921512963979</t>
  </si>
  <si>
    <t>-481.727052097485 116.597419066987 764.690948477501</t>
  </si>
  <si>
    <t>-632.515917687774 60.7881449215267 -214.017467698126</t>
  </si>
  <si>
    <t>-501.060302491708 -75.9425071199823 200.327539173275</t>
  </si>
  <si>
    <t>-554.58424560732 27.9544295323315 655.385423156651</t>
  </si>
  <si>
    <t>-538.395410244479 -123.107255448783 744.052010186478</t>
  </si>
  <si>
    <t>9763-20170724T160434.427445100.bin</t>
  </si>
  <si>
    <t>-583.559654858385 146.246118390811 -229.718204482933</t>
  </si>
  <si>
    <t>-622.844390981368 148.887888398838 -344.250007745299</t>
  </si>
  <si>
    <t>-640.075570987078 145.648284210603 -464.179830586586</t>
  </si>
  <si>
    <t>-646.46335742231 140.083313900888 -573.37267573866</t>
  </si>
  <si>
    <t>-643.736317650596 131.848965638738 -682.549685012708</t>
  </si>
  <si>
    <t>-630.48475546424 117.551714307742 -833.612534987091</t>
  </si>
  <si>
    <t>-590.808638340977 91.5285919562557 -923.787780899902</t>
  </si>
  <si>
    <t>-617.755618314967 149.656065301179 -767.580699171586</t>
  </si>
  <si>
    <t>-525.148252674867 262.119448834846 -747.566479448174</t>
  </si>
  <si>
    <t>-496.366701614341 300.971659556085 -434.759377416222</t>
  </si>
  <si>
    <t>-369.663075501185 127.208601179069 -288.490131141178</t>
  </si>
  <si>
    <t>-654.94062986835 98.0996314603394 -765.963062608874</t>
  </si>
  <si>
    <t>-743.35100491924 1.60277831517328 -417.587582219436</t>
  </si>
  <si>
    <t>-533.229950585838 229.279366201368 -244.666833265612</t>
  </si>
  <si>
    <t>-551.729054431446 222.640166389355 210.603877412896</t>
  </si>
  <si>
    <t>-600.87567859592 212.258555753922 677.682279480957</t>
  </si>
  <si>
    <t>-481.785862670853 116.490862142351 764.801031821833</t>
  </si>
  <si>
    <t>-633.799001466035 63.2133822614212 -214.04656179414</t>
  </si>
  <si>
    <t>-501.877873325368 -74.3718349577625 199.867464890796</t>
  </si>
  <si>
    <t>-554.687135033121 28.064738819912 655.343302434555</t>
  </si>
  <si>
    <t>-538.470861427254 -123.027722256161 743.952604324505</t>
  </si>
  <si>
    <t>9763-20170724T160434.460062500.bin</t>
  </si>
  <si>
    <t>-583.819551209603 146.800280655569 -229.790889560941</t>
  </si>
  <si>
    <t>-623.064175305808 149.466575150274 -344.335872709813</t>
  </si>
  <si>
    <t>-640.311262927202 146.229237500405 -464.263484494555</t>
  </si>
  <si>
    <t>-646.737044609509 140.658103380941 -573.453751895895</t>
  </si>
  <si>
    <t>-644.071634887222 132.40979485431 -682.631199210219</t>
  </si>
  <si>
    <t>-630.929758585809 118.085688889348 -833.701045935991</t>
  </si>
  <si>
    <t>-591.715597058275 92.3565153151308 -924.162393412253</t>
  </si>
  <si>
    <t>-618.147638069473 150.19801868601 -767.683474386741</t>
  </si>
  <si>
    <t>-525.465313439094 262.625169757336 -747.821150046241</t>
  </si>
  <si>
    <t>-497.0671744345 302.027152508484 -435.047671613548</t>
  </si>
  <si>
    <t>-370.664269885338 128.41672281259 -288.338022451431</t>
  </si>
  <si>
    <t>-655.341604547476 98.6493296218209 -766.03125889703</t>
  </si>
  <si>
    <t>-744.010555261082 2.41343191727287 -417.668019832422</t>
  </si>
  <si>
    <t>-533.402806290587 229.855253413935 -244.706008131715</t>
  </si>
  <si>
    <t>-551.904446490797 223.057867481594 210.562177244063</t>
  </si>
  <si>
    <t>-600.815114431926 212.30226952387 677.650887494318</t>
  </si>
  <si>
    <t>-481.852382834723 116.417742208249 764.8147391229</t>
  </si>
  <si>
    <t>-634.130284599052 63.7369458198505 -214.166344096607</t>
  </si>
  <si>
    <t>-502.245914223964 -73.8695302845074 199.752296138709</t>
  </si>
  <si>
    <t>-554.759669588346 28.105334752682 655.370855249631</t>
  </si>
  <si>
    <t>-538.463193999439 -123.009183337343 743.927901959062</t>
  </si>
  <si>
    <t>9763-20170724T160434.543814400.bin</t>
  </si>
  <si>
    <t>-584.321067399671 147.835418143645 -229.971155128344</t>
  </si>
  <si>
    <t>-623.477343562262 150.594352181515 -344.544212604185</t>
  </si>
  <si>
    <t>-640.812252780895 147.402359209271 -464.460332517863</t>
  </si>
  <si>
    <t>-647.391415528708 141.853469448832 -573.642606728345</t>
  </si>
  <si>
    <t>-644.952916494689 133.609149788503 -682.825662525303</t>
  </si>
  <si>
    <t>-632.202259523953 119.271103229471 -833.927805416556</t>
  </si>
  <si>
    <t>-593.957888718345 94.0500712572832 -924.945709921717</t>
  </si>
  <si>
    <t>-619.229957024585 151.37557511448 -767.943445142032</t>
  </si>
  <si>
    <t>-526.262615092882 263.633507440457 -748.407552370655</t>
  </si>
  <si>
    <t>-497.78501467181 304.107071363047 -435.778227010134</t>
  </si>
  <si>
    <t>-372.32243553829 130.817844592358 -287.886261881827</t>
  </si>
  <si>
    <t>-656.458225252843 99.8547632955529 -766.196021211025</t>
  </si>
  <si>
    <t>-745.260701014152 3.86462646291238 -417.827518232773</t>
  </si>
  <si>
    <t>-533.755133508741 230.915733235081 -244.81146582894</t>
  </si>
  <si>
    <t>-552.284551903793 223.837804729197 210.451282193206</t>
  </si>
  <si>
    <t>-600.703264203339 212.376595089574 677.576262181746</t>
  </si>
  <si>
    <t>-481.874130152834 116.392501761302 764.812744721278</t>
  </si>
  <si>
    <t>-634.769876413863 64.739189252881 -214.457359496882</t>
  </si>
  <si>
    <t>-503.184139058621 -73.1912792258061 199.448468889447</t>
  </si>
  <si>
    <t>-554.961079137059 28.191827992956 655.308933141088</t>
  </si>
  <si>
    <t>-538.411546574046 -122.975793027743 743.728303201706</t>
  </si>
  <si>
    <t>9763-20170724T160434.739926800.bin</t>
  </si>
  <si>
    <t>-584.528286972893 148.378083401331 -229.986631058785</t>
  </si>
  <si>
    <t>-623.690176221513 151.192674280913 -344.556391493478</t>
  </si>
  <si>
    <t>-641.126134739133 148.036974521533 -464.458870187275</t>
  </si>
  <si>
    <t>-647.836302379844 142.512423533607 -573.634350758563</t>
  </si>
  <si>
    <t>-645.56829227213 134.283419556026 -682.822208537971</t>
  </si>
  <si>
    <t>-633.094688261277 119.957142458592 -833.948679830485</t>
  </si>
  <si>
    <t>-595.292697975884 94.909276324624 -925.198860873676</t>
  </si>
  <si>
    <t>-619.978191848905 152.039992047314 -767.982147947054</t>
  </si>
  <si>
    <t>-526.836753105206 264.182500167037 -748.636946688107</t>
  </si>
  <si>
    <t>-498.231780896596 305.037042191215 -436.068901000325</t>
  </si>
  <si>
    <t>-373.20389310953 131.841625088911 -287.699626194769</t>
  </si>
  <si>
    <t>-657.249451423417 100.552278045656 -766.177582087158</t>
  </si>
  <si>
    <t>-745.901431879584 4.74627716704435 -417.784133503617</t>
  </si>
  <si>
    <t>-533.876383851115 231.467588210317 -244.824183201884</t>
  </si>
  <si>
    <t>-552.41818449839 224.265026943706 210.436236442443</t>
  </si>
  <si>
    <t>-600.622708116121 212.452121602222 677.550030972719</t>
  </si>
  <si>
    <t>-481.913298125918 116.356736181431 764.826968808488</t>
  </si>
  <si>
    <t>-635.096837818171 65.285467334025 -214.457315609579</t>
  </si>
  <si>
    <t>-503.669326212 -73.0276943114709 199.3710760955</t>
  </si>
  <si>
    <t>-555.047295399638 28.2487848004209 655.327431582254</t>
  </si>
  <si>
    <t>-538.39229330568 -122.956209234714 743.66312561575</t>
  </si>
  <si>
    <t>9763-20170724T160434.801091500.bin</t>
  </si>
  <si>
    <t>-584.612288062766 151.43692715923 -229.739659423751</t>
  </si>
  <si>
    <t>-623.937200905789 154.842177656995 -344.237564240014</t>
  </si>
  <si>
    <t>-642.319251866996 152.211714964622 -464.011309445231</t>
  </si>
  <si>
    <t>-650.204671518317 147.141457849923 -573.130300802443</t>
  </si>
  <si>
    <t>-649.425305465428 139.350668874357 -682.371041137282</t>
  </si>
  <si>
    <t>-639.337700861129 125.619290809412 -833.730572138072</t>
  </si>
  <si>
    <t>-603.547689873625 101.011801251914 -925.907202154046</t>
  </si>
  <si>
    <t>-624.841869831933 157.195768110196 -767.808550822623</t>
  </si>
  <si>
    <t>-529.621035011827 267.7868101925 -749.680236820659</t>
  </si>
  <si>
    <t>-496.952888585852 308.7046410051 -437.518769565276</t>
  </si>
  <si>
    <t>-373.840668499621 134.403254662567 -288.842962216401</t>
  </si>
  <si>
    <t>-662.760498986971 106.194156481415 -765.708793358313</t>
  </si>
  <si>
    <t>-749.247771849922 10.5731081926297 -416.919971053742</t>
  </si>
  <si>
    <t>-532.570985529375 233.795033908493 -244.649996995152</t>
  </si>
  <si>
    <t>-551.880473712383 225.813128747382 210.565492457194</t>
  </si>
  <si>
    <t>-600.4685726313 212.748901305121 677.6153669016</t>
  </si>
  <si>
    <t>-482.353490279437 115.893412658472 764.858444164217</t>
  </si>
  <si>
    <t>-636.513485914385 69.0578598414863 -214.165008280607</t>
  </si>
  <si>
    <t>-507.390389569684 -73.0802093762054 199.092341311537</t>
  </si>
  <si>
    <t>-555.292663987776 28.66586367629 655.246589071838</t>
  </si>
  <si>
    <t>-538.936371737793 -122.803124773121 743.184684962837</t>
  </si>
  <si>
    <t>9763-20170724T160434.826158000.bin</t>
  </si>
  <si>
    <t>-584.669343168477 151.728019885643 -229.746054894749</t>
  </si>
  <si>
    <t>-624.012737679407 155.23742369239 -344.234554770573</t>
  </si>
  <si>
    <t>-642.521378045608 152.689338995352 -463.990492830787</t>
  </si>
  <si>
    <t>-650.566650465302 147.681958303196 -573.100790604206</t>
  </si>
  <si>
    <t>-649.992299084588 139.941226625608 -682.346341169307</t>
  </si>
  <si>
    <t>-640.236451177474 126.26434105627 -833.732508760831</t>
  </si>
  <si>
    <t>-604.710931834114 101.576133176954 -925.989806502393</t>
  </si>
  <si>
    <t>-625.534469461134 157.771530575975 -767.822963719827</t>
  </si>
  <si>
    <t>-529.950461675956 268.062861257552 -749.814384829705</t>
  </si>
  <si>
    <t>-496.608729441756 308.736049426418 -437.692230311674</t>
  </si>
  <si>
    <t>-373.944265604952 134.220180187698 -288.898162865274</t>
  </si>
  <si>
    <t>-663.571744466151 106.860359510619 -765.674717307561</t>
  </si>
  <si>
    <t>-749.850570946291 11.3664559015274 -416.842522808462</t>
  </si>
  <si>
    <t>-532.507790245841 234.003749784055 -244.624494768798</t>
  </si>
  <si>
    <t>-551.810636342596 225.80450125495 210.587332470828</t>
  </si>
  <si>
    <t>-600.488871313964 212.776937327507 677.622944089614</t>
  </si>
  <si>
    <t>-482.409599093341 115.846834868814 764.831615064233</t>
  </si>
  <si>
    <t>-636.680323667168 69.4654304020048 -214.191059770563</t>
  </si>
  <si>
    <t>-507.757406459916 -72.8796653069387 199.057567753173</t>
  </si>
  <si>
    <t>-555.298573997402 28.6885093292437 655.27098443656</t>
  </si>
  <si>
    <t>-539.003765486926 -122.783711807093 743.215015073374</t>
  </si>
  <si>
    <t>9763-20170724T160434.894881000.bin</t>
  </si>
  <si>
    <t>-584.81158882102 152.405225268247 -229.755478386188</t>
  </si>
  <si>
    <t>-624.214968358074 156.085405672255 -344.217888512878</t>
  </si>
  <si>
    <t>-642.929700334974 153.687998059106 -463.945012081521</t>
  </si>
  <si>
    <t>-651.223533076224 148.79972069264 -573.041956884299</t>
  </si>
  <si>
    <t>-650.961007479091 141.15545077643 -682.295705146799</t>
  </si>
  <si>
    <t>-641.704615903678 127.584227645074 -833.72271455782</t>
  </si>
  <si>
    <t>-606.813036322972 102.657588254035 -926.157548942896</t>
  </si>
  <si>
    <t>-626.662617176943 158.953957884695 -767.824382855151</t>
  </si>
  <si>
    <t>-530.392515393422 268.666766699455 -749.948324678413</t>
  </si>
  <si>
    <t>-496.204291149633 309.741282452317 -437.970255234255</t>
  </si>
  <si>
    <t>-374.49380654575 134.865320397517 -288.815780809806</t>
  </si>
  <si>
    <t>-664.938038930901 108.224078087877 -765.617503565813</t>
  </si>
  <si>
    <t>-758.99609633996 0.00263185548078582 -732.983699561039</t>
  </si>
  <si>
    <t>-751.502481206871 13.090628548121 -416.821271494232</t>
  </si>
  <si>
    <t>-532.498876936134 234.5935031488 -244.589109127475</t>
  </si>
  <si>
    <t>-551.768824781575 226.052373077315 210.617879804238</t>
  </si>
  <si>
    <t>-600.487105098604 212.813006334334 677.610509184379</t>
  </si>
  <si>
    <t>-482.470499660046 115.795958806357 764.807321545351</t>
  </si>
  <si>
    <t>-636.971104388618 70.2450978355369 -214.23921381612</t>
  </si>
  <si>
    <t>-508.20782989088 -72.3769492267038 198.963778053191</t>
  </si>
  <si>
    <t>-555.319300331172 28.7596588849156 655.351451308783</t>
  </si>
  <si>
    <t>-539.04682631271 -122.745439025584 743.242869982383</t>
  </si>
  <si>
    <t>9763-20170724T160434.929475600.bin</t>
  </si>
  <si>
    <t>-584.906581295271 152.792595008803 -229.751230265133</t>
  </si>
  <si>
    <t>-624.324738061887 156.525286120288 -344.206952890314</t>
  </si>
  <si>
    <t>-643.118975144558 154.191257351666 -463.922826715882</t>
  </si>
  <si>
    <t>-651.512876954881 149.359487479914 -573.014721982148</t>
  </si>
  <si>
    <t>-651.378896061671 141.768306132304 -682.272116728059</t>
  </si>
  <si>
    <t>-642.33136717837 128.264261347956 -833.717781981207</t>
  </si>
  <si>
    <t>-607.726623996029 103.183672708199 -926.219108372194</t>
  </si>
  <si>
    <t>-627.136892437115 159.558522944836 -767.818659471792</t>
  </si>
  <si>
    <t>-530.536269516586 268.99801427903 -750.019565123918</t>
  </si>
  <si>
    <t>-496.531423696068 310.426210434061 -438.068402696113</t>
  </si>
  <si>
    <t>-375.366418310862 135.358835117299 -288.694705201413</t>
  </si>
  <si>
    <t>-665.532377721727 108.920206494045 -765.597113287847</t>
  </si>
  <si>
    <t>-759.775236286921 0.851202953620032 -732.967659842262</t>
  </si>
  <si>
    <t>-752.283327763581 13.8780372752806 -416.802579403442</t>
  </si>
  <si>
    <t>-532.534043555344 234.931899399613 -244.589604625661</t>
  </si>
  <si>
    <t>-551.820876289457 226.314009694043 210.615205293884</t>
  </si>
  <si>
    <t>-600.482733474393 212.787849571665 677.580631452041</t>
  </si>
  <si>
    <t>-482.511829205807 115.755001942467 764.821692530625</t>
  </si>
  <si>
    <t>-637.161596651477 70.6656646154936 -214.219304634125</t>
  </si>
  <si>
    <t>-508.396691763054 -72.1756654635806 198.907305342752</t>
  </si>
  <si>
    <t>-555.351153036719 28.8152792422666 655.387570673066</t>
  </si>
  <si>
    <t>-539.045621699433 -122.729212628633 743.204967970202</t>
  </si>
  <si>
    <t>9763-20170724T160434.992144500.bin</t>
  </si>
  <si>
    <t>-585.158047902051 153.638801688887 -229.700605507708</t>
  </si>
  <si>
    <t>-624.603810765864 157.437867421657 -344.144460289573</t>
  </si>
  <si>
    <t>-643.578345261741 155.19463542553 -463.833647111756</t>
  </si>
  <si>
    <t>-652.199588979877 150.449777942425 -572.911656254924</t>
  </si>
  <si>
    <t>-652.357490610973 142.947260188317 -682.175189390325</t>
  </si>
  <si>
    <t>-643.782315916217 129.565368561558 -833.659258437948</t>
  </si>
  <si>
    <t>-609.519985056529 104.070103807217 -926.174418195608</t>
  </si>
  <si>
    <t>-628.279642657004 160.728934782793 -767.769913847069</t>
  </si>
  <si>
    <t>-531.262955961811 269.814953472856 -750.117481446797</t>
  </si>
  <si>
    <t>-497.399683206922 312.470463660289 -438.316324873914</t>
  </si>
  <si>
    <t>-377.205942551053 136.742964629279 -288.93313805075</t>
  </si>
  <si>
    <t>-666.873482123942 110.243956079131 -765.494841351555</t>
  </si>
  <si>
    <t>-761.404891246005 2.4446226348648 -732.819980338763</t>
  </si>
  <si>
    <t>-753.734161347604 15.5194392591966 -416.661097904294</t>
  </si>
  <si>
    <t>-532.524455994731 235.702723025776 -244.605274981017</t>
  </si>
  <si>
    <t>-551.888292051206 226.900602963438 210.5927944428</t>
  </si>
  <si>
    <t>-600.423401151448 212.80316997599 677.543897141018</t>
  </si>
  <si>
    <t>-482.655232252596 115.603927265818 764.873592039759</t>
  </si>
  <si>
    <t>-637.71579492845 71.5791909072764 -214.103541768909</t>
  </si>
  <si>
    <t>-509.237273825395 -71.929210397006 198.880994210504</t>
  </si>
  <si>
    <t>-555.478841032801 29.0067748856127 655.505109668949</t>
  </si>
  <si>
    <t>-539.064324805077 -122.682992075368 743.050953440385</t>
  </si>
  <si>
    <t>9763-20170724T160435.025235200.bin</t>
  </si>
  <si>
    <t>-585.244961764143 154.069986199378 -229.641139411992</t>
  </si>
  <si>
    <t>-624.708492842499 157.907063709795 -344.077603866739</t>
  </si>
  <si>
    <t>-643.778095600948 155.690881424234 -463.752155357723</t>
  </si>
  <si>
    <t>-652.516676747857 150.967781030962 -572.821830513656</t>
  </si>
  <si>
    <t>-652.822695866977 143.485330647434 -682.086420460155</t>
  </si>
  <si>
    <t>-644.484418715383 130.130528937492 -833.585965284111</t>
  </si>
  <si>
    <t>-610.268387082914 104.372824908434 -926.045694220674</t>
  </si>
  <si>
    <t>-628.850922621818 161.261169302038 -767.711995384625</t>
  </si>
  <si>
    <t>-531.724524656803 270.261520210717 -750.17016864113</t>
  </si>
  <si>
    <t>-497.638588525184 313.413184707112 -438.461358127046</t>
  </si>
  <si>
    <t>-377.559541289764 137.478699928296 -289.229656695592</t>
  </si>
  <si>
    <t>-667.496774729312 110.818061736012 -765.392386750473</t>
  </si>
  <si>
    <t>-762.081642478262 3.08183276765521 -732.638024889235</t>
  </si>
  <si>
    <t>-754.020299870299 16.1462549580185 -416.488505701711</t>
  </si>
  <si>
    <t>-532.455485265721 236.03164043282 -244.573012273734</t>
  </si>
  <si>
    <t>-551.924999338872 227.187781211835 210.619688801255</t>
  </si>
  <si>
    <t>-600.45585125748 212.797680696411 677.574213604117</t>
  </si>
  <si>
    <t>-482.723678097843 115.544809682581 764.892761587859</t>
  </si>
  <si>
    <t>-637.949279701736 72.0917353223863 -214.018153510882</t>
  </si>
  <si>
    <t>-509.890749260957 -72.0130288434555 198.889257817522</t>
  </si>
  <si>
    <t>-555.538494284984 29.1065268140462 655.550943414879</t>
  </si>
  <si>
    <t>-539.142352696118 -122.661771287368 742.964099453504</t>
  </si>
  <si>
    <t>9763-20170724T160435.091413700.bin</t>
  </si>
  <si>
    <t>-585.508644752378 154.838092366611 -229.515239026214</t>
  </si>
  <si>
    <t>-624.996472404019 158.724029970572 -343.941722973212</t>
  </si>
  <si>
    <t>-644.160954109273 156.501023060429 -463.600940982066</t>
  </si>
  <si>
    <t>-653.012520583831 151.75681068462 -572.660532427222</t>
  </si>
  <si>
    <t>-653.456621387548 144.243716091194 -681.922726074771</t>
  </si>
  <si>
    <t>-645.334622923155 130.840610124545 -833.429784465989</t>
  </si>
  <si>
    <t>-610.971024348926 104.414614910939 -925.645722368487</t>
  </si>
  <si>
    <t>-629.583475925385 161.974215847285 -767.585167290385</t>
  </si>
  <si>
    <t>-532.39915116266 270.945756239827 -750.155968360317</t>
  </si>
  <si>
    <t>-497.693567746135 314.730294738407 -438.6039972446</t>
  </si>
  <si>
    <t>-377.604546628586 138.573486942446 -289.642613262237</t>
  </si>
  <si>
    <t>-668.273286175784 111.567857771061 -765.199919409329</t>
  </si>
  <si>
    <t>-762.865624414883 3.88827219569566 -732.32510904769</t>
  </si>
  <si>
    <t>-754.308194045577 16.8632401351806 -416.184875924925</t>
  </si>
  <si>
    <t>-532.373480530307 236.583688879647 -244.529302403309</t>
  </si>
  <si>
    <t>-551.991294598744 227.652839305742 210.655309441496</t>
  </si>
  <si>
    <t>-600.433781934486 212.853677205601 677.575801974293</t>
  </si>
  <si>
    <t>-482.757935453895 115.544960429253 764.908046823243</t>
  </si>
  <si>
    <t>-638.540145971811 73.084328372365 -213.809876435409</t>
  </si>
  <si>
    <t>-511.490290266857 -72.4193394309109 198.918475425649</t>
  </si>
  <si>
    <t>-555.584559482995 29.2756800376121 655.573654053035</t>
  </si>
  <si>
    <t>-539.440286094439 -122.619781804636 742.812709796481</t>
  </si>
  <si>
    <t>9763-20170724T160435.129516500.bin</t>
  </si>
  <si>
    <t>-585.642339232616 155.087712674741 -229.535660362327</t>
  </si>
  <si>
    <t>-625.124498116424 158.960029332623 -343.96451458654</t>
  </si>
  <si>
    <t>-644.330661063753 156.731454410909 -463.617008613361</t>
  </si>
  <si>
    <t>-653.238789829376 151.98826573415 -572.671960637126</t>
  </si>
  <si>
    <t>-653.757689814226 144.483846369028 -681.934440382846</t>
  </si>
  <si>
    <t>-645.757880752818 131.101995855678 -833.449844000703</t>
  </si>
  <si>
    <t>-611.210226936432 104.287350215993 -925.484707486677</t>
  </si>
  <si>
    <t>-629.939207695174 162.215278935718 -767.61185529766</t>
  </si>
  <si>
    <t>-532.686482516718 271.127934925186 -750.149520406126</t>
  </si>
  <si>
    <t>-497.852166875208 315.148789873976 -438.645326135119</t>
  </si>
  <si>
    <t>-377.621996144407 139.163121831705 -289.59567378537</t>
  </si>
  <si>
    <t>-668.656095219693 111.830574564594 -765.206152174177</t>
  </si>
  <si>
    <t>-763.284358542874 4.19215090249872 -732.286861774631</t>
  </si>
  <si>
    <t>-754.403921256023 17.127991183381 -416.153905592738</t>
  </si>
  <si>
    <t>-532.346447571993 236.700405325313 -244.582885130076</t>
  </si>
  <si>
    <t>-551.99211597008 227.772551835254 210.600610883909</t>
  </si>
  <si>
    <t>-600.348174411154 212.9646037189 677.558044921207</t>
  </si>
  <si>
    <t>-482.768587995392 115.567981234252 764.921944166619</t>
  </si>
  <si>
    <t>-638.819603827511 73.4634389563812 -213.796842842192</t>
  </si>
  <si>
    <t>-512.327973496045 -72.5844493806696 198.910723982707</t>
  </si>
  <si>
    <t>-555.594459826023 29.3403029666258 655.582334353815</t>
  </si>
  <si>
    <t>-539.594796765153 -122.5990787352 742.771376896839</t>
  </si>
  <si>
    <t>9763-20170724T160435.193688600.bin</t>
  </si>
  <si>
    <t>-586.034910884465 155.201827241659 -229.6148984194</t>
  </si>
  <si>
    <t>-625.334506453377 158.890821897671 -344.112734020101</t>
  </si>
  <si>
    <t>-644.529718231443 156.592732040586 -463.765624231213</t>
  </si>
  <si>
    <t>-653.501755042 151.830189760279 -572.814571794034</t>
  </si>
  <si>
    <t>-654.15945496218 144.347471582859 -682.077618546204</t>
  </si>
  <si>
    <t>-646.430476351989 131.036089556358 -833.613380634592</t>
  </si>
  <si>
    <t>-611.157404814245 103.256638684837 -925.085195491817</t>
  </si>
  <si>
    <t>-630.477592462377 162.106316301212 -767.787338809353</t>
  </si>
  <si>
    <t>-533.170059357762 270.954821754407 -750.224797892686</t>
  </si>
  <si>
    <t>-498.336626595274 315.429905987825 -438.785054677082</t>
  </si>
  <si>
    <t>-377.775035913304 140.023492790656 -289.3206607726</t>
  </si>
  <si>
    <t>-669.223009653915 111.745631793826 -765.339683572416</t>
  </si>
  <si>
    <t>-763.922381495816 4.19501170768467 -732.348331603673</t>
  </si>
  <si>
    <t>-754.333680752407 16.8167160184134 -416.223413744655</t>
  </si>
  <si>
    <t>-532.718267649095 236.720654858862 -244.598672089059</t>
  </si>
  <si>
    <t>-552.367345357386 227.869595689492 210.586122864861</t>
  </si>
  <si>
    <t>-600.455087831999 213.081146579889 677.667478359857</t>
  </si>
  <si>
    <t>-482.514345500224 115.978716731958 764.871897193846</t>
  </si>
  <si>
    <t>-639.173907825316 73.697396083171 -213.936791382653</t>
  </si>
  <si>
    <t>-513.827571773555 -72.7486517499951 198.979105959134</t>
  </si>
  <si>
    <t>-555.646396781321 29.4249416971056 655.718971657576</t>
  </si>
  <si>
    <t>-539.81501202651 -122.571951140484 742.838442468281</t>
  </si>
  <si>
    <t>9763-20170724T160435.225275800.bin</t>
  </si>
  <si>
    <t>-586.345045758351 155.210644882453 -229.642702770748</t>
  </si>
  <si>
    <t>-625.569241956822 158.849176552521 -344.167904595799</t>
  </si>
  <si>
    <t>-644.723871192006 156.533875121717 -463.827046478898</t>
  </si>
  <si>
    <t>-653.675025389164 151.766858994848 -572.877469783638</t>
  </si>
  <si>
    <t>-654.328695383277 144.288707368438 -682.141013193317</t>
  </si>
  <si>
    <t>-646.611780688516 130.99192235908 -833.678664982531</t>
  </si>
  <si>
    <t>-610.877236012373 102.786936553016 -924.840622674954</t>
  </si>
  <si>
    <t>-630.669480188037 162.067808031222 -767.852635856662</t>
  </si>
  <si>
    <t>-533.497423971375 271.029093659901 -750.241685414228</t>
  </si>
  <si>
    <t>-498.890545959258 315.783469122702 -438.816483117508</t>
  </si>
  <si>
    <t>-378.023639773612 140.611752457012 -289.323768849422</t>
  </si>
  <si>
    <t>-669.383073034861 111.68286196952 -765.403056739967</t>
  </si>
  <si>
    <t>-764.065758941633 4.13247799999886 -732.346193576296</t>
  </si>
  <si>
    <t>-754.255197165325 16.7510466964286 -416.227974095145</t>
  </si>
  <si>
    <t>-533.149207084664 236.844022865165 -244.583632243848</t>
  </si>
  <si>
    <t>-552.772351535458 228.110153532856 210.604604363695</t>
  </si>
  <si>
    <t>-600.476692446356 213.134761970522 677.644779073607</t>
  </si>
  <si>
    <t>-482.481470103287 116.089095889216 764.838689323873</t>
  </si>
  <si>
    <t>-639.368892137743 73.6344005874394 -214.026001943869</t>
  </si>
  <si>
    <t>-514.251397281847 -72.6940718378719 199.000952466221</t>
  </si>
  <si>
    <t>-555.690369496823 29.4310747527682 655.78647373146</t>
  </si>
  <si>
    <t>-539.816649821931 -122.567178599629 742.895995423263</t>
  </si>
  <si>
    <t>9763-20170724T160435.293471300.bin</t>
  </si>
  <si>
    <t>-587.173551157638 155.261482467834 -229.72025286458</t>
  </si>
  <si>
    <t>-626.414488811114 158.721035799572 -344.245448782545</t>
  </si>
  <si>
    <t>-645.451086878558 156.310976431527 -463.921429999453</t>
  </si>
  <si>
    <t>-654.240082375345 151.489233467056 -572.982659129699</t>
  </si>
  <si>
    <t>-654.676874580036 143.984965922336 -682.245445826705</t>
  </si>
  <si>
    <t>-646.60281203674 130.679588373732 -833.76372256398</t>
  </si>
  <si>
    <t>-609.944924915595 101.986149753064 -924.405123928634</t>
  </si>
  <si>
    <t>-630.891139297136 161.816671086693 -767.911213158373</t>
  </si>
  <si>
    <t>-534.392039529748 271.313921595171 -750.023232745913</t>
  </si>
  <si>
    <t>-500.107528359254 317.212069468461 -438.72904972534</t>
  </si>
  <si>
    <t>-378.366758799369 142.399254885247 -289.525370290023</t>
  </si>
  <si>
    <t>-669.459512357614 111.316958668741 -765.531839405382</t>
  </si>
  <si>
    <t>-764.023515873783 3.69904139811842 -732.312407916015</t>
  </si>
  <si>
    <t>-754.044551741696 16.4293581359145 -416.203900477233</t>
  </si>
  <si>
    <t>-534.262394999688 237.102522432637 -244.764740090629</t>
  </si>
  <si>
    <t>-553.334196163623 228.325960661704 210.446020849015</t>
  </si>
  <si>
    <t>-600.313678176595 213.221775946691 677.493617339444</t>
  </si>
  <si>
    <t>-482.395898876509 116.230068076962 764.852177158072</t>
  </si>
  <si>
    <t>-639.895611433526 73.4309261984647 -214.063048390502</t>
  </si>
  <si>
    <t>-514.236667202375 -72.4689552899399 198.951140223682</t>
  </si>
  <si>
    <t>-555.677113064799 29.4045551138463 655.765719125646</t>
  </si>
  <si>
    <t>-539.681620861246 -122.560270890358 742.911100436399</t>
  </si>
  <si>
    <t>9763-20170724T160435.325054800.bin</t>
  </si>
  <si>
    <t>-587.541182824146 155.304523522001 -229.812861430329</t>
  </si>
  <si>
    <t>-626.878896389326 158.721683414151 -344.305966808183</t>
  </si>
  <si>
    <t>-645.88250342257 156.304153631432 -463.987194784859</t>
  </si>
  <si>
    <t>-654.586231481212 151.49070345377 -573.055515613046</t>
  </si>
  <si>
    <t>-654.881653523393 144.010367486693 -682.320405284091</t>
  </si>
  <si>
    <t>-646.552668166011 130.755182143751 -833.829143792231</t>
  </si>
  <si>
    <t>-609.381502836355 101.936891475362 -924.2217655148</t>
  </si>
  <si>
    <t>-631.011562256481 161.915678658365 -767.947420615368</t>
  </si>
  <si>
    <t>-534.951010851789 271.776185899575 -749.846131432271</t>
  </si>
  <si>
    <t>-501.408628704537 317.925542829455 -438.508201644285</t>
  </si>
  <si>
    <t>-379.092785706944 143.32495134091 -289.526631381259</t>
  </si>
  <si>
    <t>-669.46430890486 111.324824207333 -765.635106896586</t>
  </si>
  <si>
    <t>-763.937094891158 3.62936044141179 -732.419535497116</t>
  </si>
  <si>
    <t>-753.836403415731 16.5863460525904 -416.324236073138</t>
  </si>
  <si>
    <t>-534.809189462858 237.298723285322 -244.867350801549</t>
  </si>
  <si>
    <t>-553.54747334087 228.451431901098 210.355964216603</t>
  </si>
  <si>
    <t>-600.178983403537 213.3458685465 677.429319155822</t>
  </si>
  <si>
    <t>-482.51701566242 116.119632611997 764.872053591337</t>
  </si>
  <si>
    <t>-640.089134989945 73.3503836375801 -214.112294936085</t>
  </si>
  <si>
    <t>-513.920060737626 -72.274718248515 198.8432719511</t>
  </si>
  <si>
    <t>-555.598193426124 29.37404946211 655.666556894115</t>
  </si>
  <si>
    <t>-539.635592839051 -122.55288992823 742.88418459868</t>
  </si>
  <si>
    <t>9763-20170724T160435.393071600.bin</t>
  </si>
  <si>
    <t>-588.638988798557 155.207359836773 -230.142827024839</t>
  </si>
  <si>
    <t>-628.111009903474 158.37552122261 -344.596814732619</t>
  </si>
  <si>
    <t>-646.906133485071 155.808925139477 -464.307835368608</t>
  </si>
  <si>
    <t>-655.27618545797 150.904913192844 -573.398433875408</t>
  </si>
  <si>
    <t>-655.091956828346 143.380080920737 -682.660425940672</t>
  </si>
  <si>
    <t>-645.945153928691 130.11293374301 -834.12108578169</t>
  </si>
  <si>
    <t>-607.595228782461 101.100499248931 -923.957333831694</t>
  </si>
  <si>
    <t>-630.926074381632 161.403023468052 -768.179689242967</t>
  </si>
  <si>
    <t>-535.941695858025 272.131156884293 -749.662322010114</t>
  </si>
  <si>
    <t>-504.008415870907 317.917562555137 -438.101692068303</t>
  </si>
  <si>
    <t>-380.075281837709 143.983565609612 -289.678088388263</t>
  </si>
  <si>
    <t>-669.058593483989 110.56343973155 -766.029251464699</t>
  </si>
  <si>
    <t>-763.15403528557 2.50598416806179 -732.938743372991</t>
  </si>
  <si>
    <t>-753.396156614727 15.7110964241301 -416.84289850971</t>
  </si>
  <si>
    <t>-536.386921249532 237.426378937191 -245.182002956376</t>
  </si>
  <si>
    <t>-554.188769140618 228.794369627803 210.082997272557</t>
  </si>
  <si>
    <t>-600.077735941838 213.526475817124 677.398906236036</t>
  </si>
  <si>
    <t>-482.060578176457 116.760789246105 764.873843260705</t>
  </si>
  <si>
    <t>-640.778613567403 73.0026870928978 -214.375271029381</t>
  </si>
  <si>
    <t>-513.348830706041 -71.5540386577247 198.56874802144</t>
  </si>
  <si>
    <t>-555.511599810803 29.3018561819449 655.5598053377</t>
  </si>
  <si>
    <t>-539.469633885181 -122.541576636366 742.908219418424</t>
  </si>
  <si>
    <t>9763-20170724T160435.430672600.bin</t>
  </si>
  <si>
    <t>-589.672095988258 154.838556792063 -230.36750040193</t>
  </si>
  <si>
    <t>-629.271183181119 157.976525124276 -344.778557048486</t>
  </si>
  <si>
    <t>-647.967754361063 155.398734477284 -464.50459963808</t>
  </si>
  <si>
    <t>-656.153619122736 150.490845269082 -573.608992500758</t>
  </si>
  <si>
    <t>-655.690650985634 142.966854595519 -682.870237380914</t>
  </si>
  <si>
    <t>-646.059153054893 129.705286784413 -834.301296669631</t>
  </si>
  <si>
    <t>-607.095161723438 100.639360512465 -923.855541855824</t>
  </si>
  <si>
    <t>-631.366389962244 161.078509012141 -768.32584667886</t>
  </si>
  <si>
    <t>-537.012966759019 272.296639085769 -749.553054435464</t>
  </si>
  <si>
    <t>-505.830271181145 317.438652674804 -437.822420327073</t>
  </si>
  <si>
    <t>-381.057439615598 143.864093225583 -289.681783464878</t>
  </si>
  <si>
    <t>-669.275090459147 110.067854067334 -766.269711871762</t>
  </si>
  <si>
    <t>-763.08878415684 1.74925743784502 -733.278463756227</t>
  </si>
  <si>
    <t>-753.927264527415 14.9148133142601 -417.163136413413</t>
  </si>
  <si>
    <t>-537.682353194777 237.442384138653 -245.287594172825</t>
  </si>
  <si>
    <t>-554.839074354477 229.028940646876 210.006281203617</t>
  </si>
  <si>
    <t>-600.017543284317 213.675318315779 677.380416723164</t>
  </si>
  <si>
    <t>-481.966251439793 116.873127203886 764.768857185408</t>
  </si>
  <si>
    <t>-641.68269232985 72.3556729863169 -214.680683331242</t>
  </si>
  <si>
    <t>-513.59074754938 -71.1280063149511 198.432523712523</t>
  </si>
  <si>
    <t>-555.731207840695 29.1227332262151 655.548958078453</t>
  </si>
  <si>
    <t>-539.020702397375 -122.582890869931 743.011365848082</t>
  </si>
  <si>
    <t>9763-20170724T160435.493862700.bin</t>
  </si>
  <si>
    <t>-595.259494863417 151.456933835606 -232.01528502435</t>
  </si>
  <si>
    <t>-635.550891350601 156.023105329594 -346.136206244862</t>
  </si>
  <si>
    <t>-654.311621226559 154.367901236115 -465.868600691592</t>
  </si>
  <si>
    <t>-662.28737366671 150.081934307076 -575.014700336406</t>
  </si>
  <si>
    <t>-661.345812666829 142.965690528972 -684.300056634365</t>
  </si>
  <si>
    <t>-650.773460166892 130.048185323275 -835.698227077528</t>
  </si>
  <si>
    <t>-610.290184960748 100.870357643025 -924.539317985587</t>
  </si>
  <si>
    <t>-636.820252264384 161.511243324863 -769.604926611219</t>
  </si>
  <si>
    <t>-543.783038274845 273.726144336319 -750.10035923735</t>
  </si>
  <si>
    <t>-513.531878301905 316.43115792081 -437.934719906393</t>
  </si>
  <si>
    <t>-387.378547629691 143.314790847637 -290.428491125429</t>
  </si>
  <si>
    <t>-674.082562129123 110.016297688998 -767.813570320227</t>
  </si>
  <si>
    <t>-766.826080525333 0.709917352249931 -735.028038128146</t>
  </si>
  <si>
    <t>-758.734532522409 14.2453872729038 -418.899015481612</t>
  </si>
  <si>
    <t>-542.943665235579 235.29827316453 -245.6789919331</t>
  </si>
  <si>
    <t>-558.330291338714 229.104591552513 209.713698218077</t>
  </si>
  <si>
    <t>-600.339040622918 213.463754096459 677.373952237014</t>
  </si>
  <si>
    <t>-480.168661873825 118.669698839881 764.072731308327</t>
  </si>
  <si>
    <t>-647.93589472093 67.8227624438775 -217.520840766089</t>
  </si>
  <si>
    <t>-518.542714738111 -69.4044917688773 197.308926787825</t>
  </si>
  <si>
    <t>-558.573109897062 27.2871063081259 655.40054064324</t>
  </si>
  <si>
    <t>-534.127649936503 -122.797366795563 743.83436968994</t>
  </si>
  <si>
    <t>9763-20170724T160435.526445200.bin</t>
  </si>
  <si>
    <t>-597.130968976677 148.959669750727 -233.198159563147</t>
  </si>
  <si>
    <t>-637.48255098072 154.302081352145 -347.264023873998</t>
  </si>
  <si>
    <t>-656.083627802166 153.151854413062 -467.027275803407</t>
  </si>
  <si>
    <t>-663.826646147131 149.196041852163 -576.202640934865</t>
  </si>
  <si>
    <t>-662.568818830598 142.273387743139 -685.497420892477</t>
  </si>
  <si>
    <t>-651.475265520758 129.475715570784 -836.868345033573</t>
  </si>
  <si>
    <t>-609.953779732142 100.039104453078 -925.143152062479</t>
  </si>
  <si>
    <t>-637.961007733336 161.037123854548 -770.730829132921</t>
  </si>
  <si>
    <t>-545.8989186367 274.005984530216 -750.990057305175</t>
  </si>
  <si>
    <t>-515.202836132553 314.566757224878 -438.58211031032</t>
  </si>
  <si>
    <t>-387.955394303657 141.880366437161 -291.512289972092</t>
  </si>
  <si>
    <t>-674.80651314707 109.239593297325 -769.051970416083</t>
  </si>
  <si>
    <t>-758.90011276691 12.6756698014128 -420.170556150429</t>
  </si>
  <si>
    <t>-545.800210716916 233.723668571047 -246.036548724728</t>
  </si>
  <si>
    <t>-560.539722495843 229.097477270245 209.39624647928</t>
  </si>
  <si>
    <t>-600.441271517567 213.541788617295 677.313253597741</t>
  </si>
  <si>
    <t>-479.410060495977 119.484855500161 763.616494152939</t>
  </si>
  <si>
    <t>-648.057411428802 63.9741314462651 -219.689773592573</t>
  </si>
  <si>
    <t>-518.85279097267 -69.19958307467 196.517649465824</t>
  </si>
  <si>
    <t>-563.218699621008 25.457251120811 654.294626948886</t>
  </si>
  <si>
    <t>-533.735182701907 -122.504692567463 744.746390964025</t>
  </si>
  <si>
    <t>9763-20170724T160435.592949200.bin</t>
  </si>
  <si>
    <t>-598.402868929103 147.409717298149 -234.943036608829</t>
  </si>
  <si>
    <t>-639.144281343872 153.495867395587 -348.832912914025</t>
  </si>
  <si>
    <t>-657.566264860095 153.011025074082 -468.628440806582</t>
  </si>
  <si>
    <t>-664.917989502473 149.574458679933 -577.848359647018</t>
  </si>
  <si>
    <t>-663.050374319664 143.056224274813 -687.159291598741</t>
  </si>
  <si>
    <t>-650.894771013693 130.675157819283 -838.483294990223</t>
  </si>
  <si>
    <t>-607.135567643316 100.920740774369 -925.562493905174</t>
  </si>
  <si>
    <t>-638.368979233323 162.417173547185 -772.237697083997</t>
  </si>
  <si>
    <t>-548.313764906883 276.952025024759 -752.221888861453</t>
  </si>
  <si>
    <t>-516.150272690362 313.765326061082 -439.497603329309</t>
  </si>
  <si>
    <t>-385.662580363396 141.898867616018 -294.318597703564</t>
  </si>
  <si>
    <t>-674.177444753986 109.889702393469 -770.816364179197</t>
  </si>
  <si>
    <t>-756.514549534413 10.1002031919022 -421.974397016813</t>
  </si>
  <si>
    <t>-551.27448776751 233.40891895918 -246.596813905124</t>
  </si>
  <si>
    <t>-563.266847343673 230.840130600126 208.932842662747</t>
  </si>
  <si>
    <t>-600.388310224139 213.929728643248 677.21687916773</t>
  </si>
  <si>
    <t>-477.649155105488 121.380951323333 762.734923592207</t>
  </si>
  <si>
    <t>-644.609441602224 61.9596541958113 -222.611684989871</t>
  </si>
  <si>
    <t>-514.309083657538 -64.2183884330816 195.429661659105</t>
  </si>
  <si>
    <t>-584.606513262733 28.048519399561 650.978088089527</t>
  </si>
  <si>
    <t>-535.984654264019 -110.875281810062 747.308878569488</t>
  </si>
  <si>
    <t>9763-20170724T160435.624535300.bin</t>
  </si>
  <si>
    <t>-599.696390761114 146.902339249507 -235.373076537673</t>
  </si>
  <si>
    <t>-640.887004053298 153.007509277992 -349.10012612929</t>
  </si>
  <si>
    <t>-659.295535209217 152.639461430781 -468.898120023328</t>
  </si>
  <si>
    <t>-666.44329179217 149.318754628059 -578.135203089927</t>
  </si>
  <si>
    <t>-664.185490409467 142.906475526904 -687.445005992754</t>
  </si>
  <si>
    <t>-651.300578765465 130.647236405448 -838.718660451727</t>
  </si>
  <si>
    <t>-606.329028770816 100.963600390416 -925.202209135573</t>
  </si>
  <si>
    <t>-639.43982267762 162.566919487549 -772.436078990579</t>
  </si>
  <si>
    <t>-551.084514527604 278.351109535951 -752.188916763153</t>
  </si>
  <si>
    <t>-515.980825227923 313.682669234661 -439.609881096138</t>
  </si>
  <si>
    <t>-382.936561536951 142.638954160729 -295.786052487956</t>
  </si>
  <si>
    <t>-674.563655719112 109.576251445345 -771.133414429588</t>
  </si>
  <si>
    <t>-755.787422132667 7.55449575271246 -422.306401053428</t>
  </si>
  <si>
    <t>-554.722841256976 233.478825932899 -246.613525375731</t>
  </si>
  <si>
    <t>-565.180681103605 231.851838243202 208.958341014277</t>
  </si>
  <si>
    <t>-600.420236967983 214.156221912836 677.34456630869</t>
  </si>
  <si>
    <t>-476.727523356879 122.42987144441 762.373397406321</t>
  </si>
  <si>
    <t>-644.080033969707 60.8466872228778 -223.320705953202</t>
  </si>
  <si>
    <t>-515.183424447331 -62.9170846087602 195.87593409088</t>
  </si>
  <si>
    <t>-601.706665378797 28.8767554598612 648.753028385883</t>
  </si>
  <si>
    <t>-541.854288715905 -104.203887365912 746.991142268152</t>
  </si>
  <si>
    <t>9763-20170724T160435.695765700.bin</t>
  </si>
  <si>
    <t>-604.446374598208 144.47138033914 -236.085006929161</t>
  </si>
  <si>
    <t>-646.494661614072 150.02818400196 -349.52604866061</t>
  </si>
  <si>
    <t>-664.690514409606 149.604714320921 -469.356267862492</t>
  </si>
  <si>
    <t>-671.193959242833 146.394131581824 -578.636880323818</t>
  </si>
  <si>
    <t>-667.844658191829 140.223860763987 -687.93257265492</t>
  </si>
  <si>
    <t>-652.988332764708 128.415496736855 -839.061184540014</t>
  </si>
  <si>
    <t>-605.534071057975 99.4909622635676 -924.46876922349</t>
  </si>
  <si>
    <t>-642.896461307251 160.712215186016 -772.668450804712</t>
  </si>
  <si>
    <t>-559.004183523464 279.621395044375 -751.695899704507</t>
  </si>
  <si>
    <t>-515.57742931915 313.225801847331 -439.973013664777</t>
  </si>
  <si>
    <t>-375.940724656555 144.276332627722 -299.974164417397</t>
  </si>
  <si>
    <t>-676.227088898222 106.568499317255 -771.714546786421</t>
  </si>
  <si>
    <t>-563.58892074199 232.509909609553 -246.640992341302</t>
  </si>
  <si>
    <t>-570.351625748947 232.775113535318 209.003469878269</t>
  </si>
  <si>
    <t>-600.496877595613 214.505399929048 677.617415340014</t>
  </si>
  <si>
    <t>-474.835357376446 124.57832723614 761.675802015556</t>
  </si>
  <si>
    <t>-645.29398956708 56.5814631753522 -224.744863695775</t>
  </si>
  <si>
    <t>-520.710362148571 -59.3399011503448 197.982937255688</t>
  </si>
  <si>
    <t>-641.165207364748 32.8079564686336 642.774276082622</t>
  </si>
  <si>
    <t>-571.415280975297 -92.5664892030843 744.557013946959</t>
  </si>
  <si>
    <t>9763-20170724T160435.727861000.bin</t>
  </si>
  <si>
    <t>-607.882387311309 142.682254862354 -236.409014814915</t>
  </si>
  <si>
    <t>-650.402039776886 147.786883805609 -349.69560106261</t>
  </si>
  <si>
    <t>-668.429447156611 147.263654567894 -469.551019060264</t>
  </si>
  <si>
    <t>-674.506553122935 144.092672599311 -578.857270093224</t>
  </si>
  <si>
    <t>-670.45799075478 138.080330371928 -688.138121784155</t>
  </si>
  <si>
    <t>-654.350021007266 126.606678014786 -839.164203289549</t>
  </si>
  <si>
    <t>-605.638371003838 98.2728030553317 -924.060290613223</t>
  </si>
  <si>
    <t>-645.338304719874 159.074148851173 -772.69940763271</t>
  </si>
  <si>
    <t>-563.966156122073 279.658511501041 -751.383524750631</t>
  </si>
  <si>
    <t>-516.737920566024 313.014473745117 -440.187305745214</t>
  </si>
  <si>
    <t>-373.28198194323 145.468087246515 -302.380826328253</t>
  </si>
  <si>
    <t>-677.616231872196 104.292751297644 -771.980293026088</t>
  </si>
  <si>
    <t>-568.955214676894 231.580982215436 -246.689827620091</t>
  </si>
  <si>
    <t>-573.577295284122 232.665904386846 208.980112097333</t>
  </si>
  <si>
    <t>-600.621332719217 214.583796463431 677.784290845441</t>
  </si>
  <si>
    <t>-473.917895430591 125.648914102564 761.33268749845</t>
  </si>
  <si>
    <t>-646.843019934 54.0127452185525 -225.243027526546</t>
  </si>
  <si>
    <t>-526.75287292775 -57.4877086926574 199.967161462709</t>
  </si>
  <si>
    <t>-664.669111001382 32.3310762727485 640.248320190378</t>
  </si>
  <si>
    <t>-594.699198906944 -91.8508498900094 743.333589950334</t>
  </si>
  <si>
    <t>9763-20170724T160435.793184100.bin</t>
  </si>
  <si>
    <t>-616.373475139811 136.95397499516 -236.853890091616</t>
  </si>
  <si>
    <t>-659.359982272621 141.106906175835 -350.003063129813</t>
  </si>
  <si>
    <t>-676.705858282437 140.32345876825 -469.957560037363</t>
  </si>
  <si>
    <t>-681.675986846926 137.188596302324 -579.320723085842</t>
  </si>
  <si>
    <t>-676.032413335593 131.470656916438 -688.546590624033</t>
  </si>
  <si>
    <t>-657.209074044844 120.666425295028 -839.307944482594</t>
  </si>
  <si>
    <t>-606.089136541874 93.8427681999128 -923.273560036733</t>
  </si>
  <si>
    <t>-650.558267285983 153.490519059518 -772.740279631616</t>
  </si>
  <si>
    <t>-574.74424360166 277.540139615619 -750.670637608917</t>
  </si>
  <si>
    <t>-522.028509026053 310.915685408065 -440.358921944883</t>
  </si>
  <si>
    <t>-370.225268574054 147.62984140708 -306.435299642668</t>
  </si>
  <si>
    <t>-680.517416414774 97.4033490772702 -772.461291799438</t>
  </si>
  <si>
    <t>-580.902682788884 227.457943366029 -246.590049284845</t>
  </si>
  <si>
    <t>-581.488621363198 231.493356557377 209.086450264074</t>
  </si>
  <si>
    <t>-600.871003548446 215.46176125658 678.378066269554</t>
  </si>
  <si>
    <t>-472.190017247662 127.863869622893 760.300715970018</t>
  </si>
  <si>
    <t>-651.968308879914 46.2665746575913 -226.426170289663</t>
  </si>
  <si>
    <t>-543.374234352594 -51.2557036653316 205.261680692476</t>
  </si>
  <si>
    <t>-712.359136337139 26.0401937338133 637.432306125912</t>
  </si>
  <si>
    <t>-639.111623343971 -94.1498185154321 742.943862362485</t>
  </si>
  <si>
    <t>9763-20170724T160435.833798200.bin</t>
  </si>
  <si>
    <t>-621.240650897971 133.48106299883 -236.860199690402</t>
  </si>
  <si>
    <t>-664.102955377789 137.062677521 -350.076067710869</t>
  </si>
  <si>
    <t>-680.954970482346 136.111057543459 -470.099552668739</t>
  </si>
  <si>
    <t>-685.323903982811 132.982699324601 -579.488768992272</t>
  </si>
  <si>
    <t>-678.927661673454 127.422035273889 -688.681364060264</t>
  </si>
  <si>
    <t>-658.904730207589 116.988177930042 -839.314069992337</t>
  </si>
  <si>
    <t>-606.721638311379 91.0104264359943 -922.89079090096</t>
  </si>
  <si>
    <t>-653.344933093241 149.940835243911 -772.709832724974</t>
  </si>
  <si>
    <t>-580.127218180305 275.471825101237 -750.240837500732</t>
  </si>
  <si>
    <t>-526.240494142092 309.215302043697 -440.170112454628</t>
  </si>
  <si>
    <t>-370.053044272545 148.857831364306 -307.757740953077</t>
  </si>
  <si>
    <t>-682.183557124278 93.2688669531096 -772.617734816976</t>
  </si>
  <si>
    <t>-587.575857454815 224.889172394489 -246.213400909172</t>
  </si>
  <si>
    <t>-585.891931594082 230.578308297467 209.44268512215</t>
  </si>
  <si>
    <t>-601.177286447267 216.700537048403 679.203662015922</t>
  </si>
  <si>
    <t>-471.448311820839 129.102536204734 759.456358249267</t>
  </si>
  <si>
    <t>-655.158708578396 42.0346086621598 -226.800474647979</t>
  </si>
  <si>
    <t>-553.194967415841 -46.7016669055156 208.385634305047</t>
  </si>
  <si>
    <t>-732.087122591146 21.97869667494 638.13330398494</t>
  </si>
  <si>
    <t>-653.372013404317 -93.6219508540885 744.828827771762</t>
  </si>
  <si>
    <t>9763-20170724T160435.892459200.bin</t>
  </si>
  <si>
    <t>-631.752055197767 125.72728158487 -235.747266352884</t>
  </si>
  <si>
    <t>-673.646174893214 128.148116356395 -349.35551459472</t>
  </si>
  <si>
    <t>-689.15543294841 126.824692256397 -469.556495317879</t>
  </si>
  <si>
    <t>-692.162373902669 123.683163088772 -578.99114878755</t>
  </si>
  <si>
    <t>-684.263829071796 118.424252744049 -688.100286003531</t>
  </si>
  <si>
    <t>-662.014512129152 108.731443937361 -838.469909747225</t>
  </si>
  <si>
    <t>-607.908367253246 84.5157930091552 -921.349959282099</t>
  </si>
  <si>
    <t>-658.581892804274 141.908801393567 -771.833605570448</t>
  </si>
  <si>
    <t>-590.363333890878 270.091904819567 -748.701312918823</t>
  </si>
  <si>
    <t>-537.097624319342 304.848759181057 -438.635215221499</t>
  </si>
  <si>
    <t>-372.736449952503 151.508603288123 -307.813725384691</t>
  </si>
  <si>
    <t>-685.136441583469 84.1315679439861 -772.038454907796</t>
  </si>
  <si>
    <t>-601.532535383327 218.667943218521 -244.111093225067</t>
  </si>
  <si>
    <t>-595.014021219628 228.834800395652 211.423568770549</t>
  </si>
  <si>
    <t>-602.297522025064 219.861463663362 681.72098320755</t>
  </si>
  <si>
    <t>-470.040389475602 131.838671555536 757.242844715496</t>
  </si>
  <si>
    <t>-661.844422707101 33.1342148692684 -226.799757457095</t>
  </si>
  <si>
    <t>-578.750335722906 -37.7686133085349 215.609375698712</t>
  </si>
  <si>
    <t>-753.39516318727 13.6200164524143 649.202576046372</t>
  </si>
  <si>
    <t>-659.054068403911 -92.6875357501879 752.846060686027</t>
  </si>
  <si>
    <t>9763-20170724T160435.929559500.bin</t>
  </si>
  <si>
    <t>-637.316011706638 121.378375299763 -235.043850243776</t>
  </si>
  <si>
    <t>-678.192761062931 123.475137919802 -349.028563819553</t>
  </si>
  <si>
    <t>-692.703603110893 121.986048276362 -469.352267642833</t>
  </si>
  <si>
    <t>-694.828411698204 118.77444209326 -578.805526689668</t>
  </si>
  <si>
    <t>-686.075262826269 113.529759195804 -687.850060633127</t>
  </si>
  <si>
    <t>-662.670732761445 103.950067762231 -838.051560607478</t>
  </si>
  <si>
    <t>-607.679731824004 80.5176573453739 -920.57356476433</t>
  </si>
  <si>
    <t>-660.316533554273 137.331310510823 -771.47027712069</t>
  </si>
  <si>
    <t>-594.729577619731 266.837349784819 -748.144537151801</t>
  </si>
  <si>
    <t>-541.638688039549 302.511841790233 -438.15276842048</t>
  </si>
  <si>
    <t>-373.855237662111 152.792123825655 -307.482307846967</t>
  </si>
  <si>
    <t>-685.736601982066 79.0461232134453 -771.713852768373</t>
  </si>
  <si>
    <t>-608.493679016519 214.793654298389 -242.81121922721</t>
  </si>
  <si>
    <t>-599.924067153857 227.45609288063 212.626893125099</t>
  </si>
  <si>
    <t>-602.865191516293 221.159162072414 682.71643132514</t>
  </si>
  <si>
    <t>-469.349053903442 133.208159495901 756.075667320238</t>
  </si>
  <si>
    <t>-665.965663381778 28.3423728916337 -226.508837274843</t>
  </si>
  <si>
    <t>-592.228270126675 -35.192120483041 218.669677767287</t>
  </si>
  <si>
    <t>-755.776641804229 13.3637958847905 656.759269431086</t>
  </si>
  <si>
    <t>-656.335508134387 -93.0131602679251 755.44518471668</t>
  </si>
  <si>
    <t>9763-20170724T160435.997263800.bin</t>
  </si>
  <si>
    <t>-650.214150119352 112.545178256689 -235.711004659575</t>
  </si>
  <si>
    <t>-688.38128561433 114.152011440986 -350.639327047302</t>
  </si>
  <si>
    <t>-700.447876849224 112.179523854143 -471.22577467618</t>
  </si>
  <si>
    <t>-700.511576667784 108.566787401885 -580.687013062732</t>
  </si>
  <si>
    <t>-689.864596146002 102.970210848503 -689.545624627911</t>
  </si>
  <si>
    <t>-664.013207330587 92.9662663745742 -839.317414410451</t>
  </si>
  <si>
    <t>-607.37465857912 70.6087128319857 -921.019331385331</t>
  </si>
  <si>
    <t>-663.694857149734 126.932946249922 -772.991946710111</t>
  </si>
  <si>
    <t>-602.336815857709 258.503992699417 -749.638126079658</t>
  </si>
  <si>
    <t>-551.507995274846 296.661055481447 -439.562919703724</t>
  </si>
  <si>
    <t>-378.285546416194 153.876214409365 -308.229272743446</t>
  </si>
  <si>
    <t>-687.208345556795 67.8525626910991 -773.104223821162</t>
  </si>
  <si>
    <t>-623.479772456076 206.278519792896 -242.486313655625</t>
  </si>
  <si>
    <t>-610.454645059959 223.527444460093 212.695447453847</t>
  </si>
  <si>
    <t>-603.763517126021 222.859353628315 682.219668065776</t>
  </si>
  <si>
    <t>-468.164553543358 135.82311489358 752.796770235435</t>
  </si>
  <si>
    <t>-676.847675520389 18.5084424471709 -228.600824408437</t>
  </si>
  <si>
    <t>-618.816439277336 -31.5381977534944 220.60446044057</t>
  </si>
  <si>
    <t>-757.965380909229 15.676532533626 666.465339225388</t>
  </si>
  <si>
    <t>-652.953177045852 -94.1557948428901 755.081389391398</t>
  </si>
  <si>
    <t>9763-20170724T160436.029368600.bin</t>
  </si>
  <si>
    <t>-656.69321184159 107.439937742188 -236.395465322024</t>
  </si>
  <si>
    <t>-693.721466529504 109.233582606043 -351.692778852542</t>
  </si>
  <si>
    <t>-704.705906335773 107.139329097886 -472.38053351028</t>
  </si>
  <si>
    <t>-703.835589896457 103.295183275507 -581.830639005128</t>
  </si>
  <si>
    <t>-692.310893862875 97.346704990458 -690.58096213162</t>
  </si>
  <si>
    <t>-665.307599613908 86.73055796934 -840.107303682168</t>
  </si>
  <si>
    <t>-607.933635729294 64.5450504020805 -921.341718408393</t>
  </si>
  <si>
    <t>-665.841030886392 121.101931186794 -773.992019206169</t>
  </si>
  <si>
    <t>-606.037635014804 253.432151103351 -750.900530538317</t>
  </si>
  <si>
    <t>-557.274547045789 292.675071353011 -440.62912333319</t>
  </si>
  <si>
    <t>-381.888888030941 153.493734864607 -308.301856037949</t>
  </si>
  <si>
    <t>-688.670376132481 61.7538567572155 -773.901130058399</t>
  </si>
  <si>
    <t>-631.342870737654 201.553862150895 -242.513711215798</t>
  </si>
  <si>
    <t>-615.271052246349 220.321284382264 212.510592427525</t>
  </si>
  <si>
    <t>-604.025998316901 222.761959838709 682.09093816334</t>
  </si>
  <si>
    <t>-467.575180586827 136.802715558735 752.345423428912</t>
  </si>
  <si>
    <t>-681.473547361728 13.1138294257862 -229.834755062136</t>
  </si>
  <si>
    <t>-628.521149739726 -35.4442574894128 220.160562262325</t>
  </si>
  <si>
    <t>-758.153747897909 12.6298035805808 668.984919997686</t>
  </si>
  <si>
    <t>-651.066222805266 -96.5511830076232 755.906072752902</t>
  </si>
  <si>
    <t>9763-20170724T160436.092543500.bin</t>
  </si>
  <si>
    <t>-671.999189412203 96.081386269864 -237.391813651998</t>
  </si>
  <si>
    <t>-706.861418659959 98.3215429434465 -353.3547914213</t>
  </si>
  <si>
    <t>-715.993586549763 95.9588631064487 -474.19186331659</t>
  </si>
  <si>
    <t>-713.625459706909 91.5525832393132 -583.59859952963</t>
  </si>
  <si>
    <t>-700.806646881506 84.702234509399 -692.150855578419</t>
  </si>
  <si>
    <t>-672.238627366139 72.4632672395878 -841.261933843937</t>
  </si>
  <si>
    <t>-613.936938920041 50.1149432313714 -921.787916287744</t>
  </si>
  <si>
    <t>-674.017787975753 107.757381783128 -775.656401603089</t>
  </si>
  <si>
    <t>-616.277991789573 241.325050595681 -754.078380658156</t>
  </si>
  <si>
    <t>-572.462538557516 282.700149633954 -443.346234035901</t>
  </si>
  <si>
    <t>-393.957887447825 149.845630837144 -308.706580440175</t>
  </si>
  <si>
    <t>-695.74044027694 47.9998226661776 -774.913393207689</t>
  </si>
  <si>
    <t>-648.91627104137 190.97031046509 -241.980460103098</t>
  </si>
  <si>
    <t>-625.132380477799 212.695637690735 212.574354147966</t>
  </si>
  <si>
    <t>-604.46823034485 221.25639917702 681.992312263034</t>
  </si>
  <si>
    <t>-466.586844213748 138.255466029841 753.006943260813</t>
  </si>
  <si>
    <t>-695.013407781988 1.33004671981689 -232.409027560727</t>
  </si>
  <si>
    <t>-647.317621134179 -41.1021940131118 218.791957403106</t>
  </si>
  <si>
    <t>-759.157323947762 11.2432903078068 671.569491888481</t>
  </si>
  <si>
    <t>-650.122395375992 -97.2515941623719 756.914398138388</t>
  </si>
  <si>
    <t>9763-20170724T160436.126637400.bin</t>
  </si>
  <si>
    <t>-679.398785024563 89.8489318819652 -237.610766081815</t>
  </si>
  <si>
    <t>-712.99221141276 92.2404755033365 -353.944516188634</t>
  </si>
  <si>
    <t>-721.162522217697 89.6633327491354 -474.8460056835</t>
  </si>
  <si>
    <t>-718.077199661096 84.9014969514035 -584.220005761877</t>
  </si>
  <si>
    <t>-704.707971848678 77.5232122160905 -692.671331534449</t>
  </si>
  <si>
    <t>-675.557848067905 64.3641840756814 -841.591030634995</t>
  </si>
  <si>
    <t>-616.926422491479 41.7903021556133 -921.814276756554</t>
  </si>
  <si>
    <t>-677.849143416289 100.153612972254 -776.270486011346</t>
  </si>
  <si>
    <t>-621.350435423138 234.289731167704 -755.457275186526</t>
  </si>
  <si>
    <t>-578.218912727479 277.837297920871 -444.92629613758</t>
  </si>
  <si>
    <t>-398.547722818277 147.480216983116 -309.400048872085</t>
  </si>
  <si>
    <t>-699.062589918508 40.2196942529863 -775.126893254083</t>
  </si>
  <si>
    <t>-657.829242323053 184.474663875144 -241.400604869164</t>
  </si>
  <si>
    <t>-629.802882560309 209.118997218033 212.763287447546</t>
  </si>
  <si>
    <t>-604.654174570802 220.800870870514 681.938797722623</t>
  </si>
  <si>
    <t>-466.167434752836 139.061000410772 753.237658935121</t>
  </si>
  <si>
    <t>-656.37464334949 -42.0162345838921 218.290811578003</t>
  </si>
  <si>
    <t>-759.98923669481 11.0268756507228 673.034906237804</t>
  </si>
  <si>
    <t>-650.134420788317 -97.254009006215 757.596609973035</t>
  </si>
  <si>
    <t>9763-20170724T160436.191162100.bin</t>
  </si>
  <si>
    <t>-695.145543728542 77.8474470008689 -238.537591029065</t>
  </si>
  <si>
    <t>-726.123666674677 80.5443823199516 -355.588418269823</t>
  </si>
  <si>
    <t>-732.530395687054 77.6293277701973 -476.588489540185</t>
  </si>
  <si>
    <t>-728.253104869354 72.2708744934678 -585.894762615835</t>
  </si>
  <si>
    <t>-714.120029089266 63.9821604790286 -694.183287535873</t>
  </si>
  <si>
    <t>-684.371584970547 49.2122689732892 -842.833486421895</t>
  </si>
  <si>
    <t>-625.260090625075 26.2833929318892 -922.602385459906</t>
  </si>
  <si>
    <t>-687.420690308182 85.8742525478194 -778.02972093454</t>
  </si>
  <si>
    <t>-633.342068106825 221.290865395107 -758.91308457138</t>
  </si>
  <si>
    <t>-589.486038682673 269.958604730783 -449.244976810765</t>
  </si>
  <si>
    <t>-408.030876132981 144.494406027096 -311.495864631736</t>
  </si>
  <si>
    <t>-707.648049235664 25.6206711508262 -776.090990375078</t>
  </si>
  <si>
    <t>-676.446444926942 172.307162237646 -240.201833644179</t>
  </si>
  <si>
    <t>-637.867484229711 201.61718841329 212.909999493481</t>
  </si>
  <si>
    <t>-605.015654458527 219.005876492529 681.742012774091</t>
  </si>
  <si>
    <t>-465.651458832022 139.819173925583 754.202994818224</t>
  </si>
  <si>
    <t>-676.19883354626 -39.2021784089927 216.949109025277</t>
  </si>
  <si>
    <t>-761.170328999856 10.3881711778781 675.836736450341</t>
  </si>
  <si>
    <t>-649.672423222029 -96.9409418631737 759.456036539499</t>
  </si>
  <si>
    <t>9763-20170724T160436.229269900.bin</t>
  </si>
  <si>
    <t>-702.791525976214 71.9957591943544 -238.832676317061</t>
  </si>
  <si>
    <t>-732.486571178516 74.5087331997925 -356.219647158744</t>
  </si>
  <si>
    <t>-737.990058208877 71.214852408393 -477.254372255512</t>
  </si>
  <si>
    <t>-733.075090988426 65.4270895415359 -586.511845076195</t>
  </si>
  <si>
    <t>-718.494127014887 56.6149116849278 -694.699509608703</t>
  </si>
  <si>
    <t>-688.327990662135 41.0135467547409 -843.180649386552</t>
  </si>
  <si>
    <t>-629.092824691654 18.0198834902933 -922.839148465456</t>
  </si>
  <si>
    <t>-691.858365595446 78.13385222191 -778.662902221542</t>
  </si>
  <si>
    <t>-639.073377879923 214.179064434741 -760.602110338628</t>
  </si>
  <si>
    <t>-594.775910859396 265.302151467609 -451.392894613812</t>
  </si>
  <si>
    <t>-412.47865503293 142.080579259033 -312.734255355735</t>
  </si>
  <si>
    <t>-711.492805991001 17.6994459558016 -776.30184501064</t>
  </si>
  <si>
    <t>-685.651960064721 165.988257252586 -239.753646840262</t>
  </si>
  <si>
    <t>-640.135983122034 197.561334442912 212.561616925108</t>
  </si>
  <si>
    <t>-605.270174872046 218.305487244983 681.534516200153</t>
  </si>
  <si>
    <t>-465.491904192802 140.276193355193 754.452098387692</t>
  </si>
  <si>
    <t>-686.512454669343 -37.9579480341179 216.496792141877</t>
  </si>
  <si>
    <t>-761.518838592396 9.07355635720182 676.88800872665</t>
  </si>
  <si>
    <t>-649.176600679065 -96.9291211208954 761.067357184113</t>
  </si>
  <si>
    <t>9763-20170724T160436.293442000.bin</t>
  </si>
  <si>
    <t>-716.523520631518 58.8669012728358 -239.169482047668</t>
  </si>
  <si>
    <t>-744.855539177814 60.5100365868857 -356.908214163967</t>
  </si>
  <si>
    <t>-749.223685651714 55.9293192170253 -477.947530919284</t>
  </si>
  <si>
    <t>-743.398062413336 48.8338398300828 -587.083085457696</t>
  </si>
  <si>
    <t>-728.0346594813 38.5788096961867 -695.035121459315</t>
  </si>
  <si>
    <t>-696.923155053703 20.8423582233522 -843.080656997301</t>
  </si>
  <si>
    <t>-701.651320027598 59.1223965218571 -779.321797003148</t>
  </si>
  <si>
    <t>-652.221632291673 196.721773427886 -763.71073102014</t>
  </si>
  <si>
    <t>-605.232587074814 252.404698855952 -455.688607035838</t>
  </si>
  <si>
    <t>-421.247722706152 133.466600505836 -315.52683286089</t>
  </si>
  <si>
    <t>-702.309625826911 152.695303551872 -238.968035731858</t>
  </si>
  <si>
    <t>-637.849874046274 188.678558891773 210.707152045824</t>
  </si>
  <si>
    <t>-606.133113051992 218.319035006036 680.447442512853</t>
  </si>
  <si>
    <t>-465.09452758319 141.857352148837 752.594804954932</t>
  </si>
  <si>
    <t>-706.58103364206 -41.929296725127 216.074031095327</t>
  </si>
  <si>
    <t>-762.211287898628 1.87565112120456 677.725317565299</t>
  </si>
  <si>
    <t>-647.938110199531 -97.6761312740568 767.025904864972</t>
  </si>
  <si>
    <t>9763-20170724T160436.328036600.bin</t>
  </si>
  <si>
    <t>-722.198005285387 53.3232756427924 -238.403470235832</t>
  </si>
  <si>
    <t>-749.7549418227 54.2000083081848 -356.334092159952</t>
  </si>
  <si>
    <t>-753.58453698787 48.7393947632111 -477.355230018877</t>
  </si>
  <si>
    <t>-747.373562759615 40.8350046062353 -586.413881669689</t>
  </si>
  <si>
    <t>-731.725924786297 29.7741471071085 -694.245481394417</t>
  </si>
  <si>
    <t>-700.322112390989 10.9356819374018 -842.093133653082</t>
  </si>
  <si>
    <t>-705.593099840469 49.8036288550863 -778.733589154028</t>
  </si>
  <si>
    <t>-657.965909841608 188.166944619787 -764.459691229381</t>
  </si>
  <si>
    <t>-609.37929171254 245.76158476166 -457.037459074124</t>
  </si>
  <si>
    <t>-424.659830394981 128.485949634885 -316.441606086404</t>
  </si>
  <si>
    <t>-708.475532034324 148.010502009222 -238.419146527051</t>
  </si>
  <si>
    <t>-633.034353032047 183.260451524102 209.602801705846</t>
  </si>
  <si>
    <t>-606.821433898284 218.509186323487 679.47825383389</t>
  </si>
  <si>
    <t>-465.303031968875 142.304104848777 750.954401681968</t>
  </si>
  <si>
    <t>-715.644816196633 -44.2610779318784 217.321933329799</t>
  </si>
  <si>
    <t>-762.690897700529 -0.909858948778492 680.432229527526</t>
  </si>
  <si>
    <t>-647.495016314207 -97.7140829721982 771.549523337508</t>
  </si>
  <si>
    <t>9763-20170724T160436.396432400.bin</t>
  </si>
  <si>
    <t>-731.193862536821 50.5434841240547 -240.59269651355</t>
  </si>
  <si>
    <t>-757.492425162252 50.1727433558674 -358.813087162948</t>
  </si>
  <si>
    <t>-760.702707448474 43.2163617702715 -479.775365133957</t>
  </si>
  <si>
    <t>-754.194701821912 33.9262681440364 -588.707446821181</t>
  </si>
  <si>
    <t>-738.506375340841 21.4809208400884 -696.382167251759</t>
  </si>
  <si>
    <t>-707.301499488847 0.750544340174201 -844.018580025465</t>
  </si>
  <si>
    <t>-713.20421059081 40.6054869294371 -781.331586478229</t>
  </si>
  <si>
    <t>-668.255664467396 180.134625732784 -769.660864739617</t>
  </si>
  <si>
    <t>-617.699537021733 240.012069608654 -462.993390814687</t>
  </si>
  <si>
    <t>-431.207653605177 125.667343976542 -322.323068282508</t>
  </si>
  <si>
    <t>-719.489370747992 148.096028883358 -242.606569852981</t>
  </si>
  <si>
    <t>-618.662094655675 172.429713107484 201.126936952013</t>
  </si>
  <si>
    <t>-611.546268005419 216.243054378106 668.919239781471</t>
  </si>
  <si>
    <t>-465.590843767007 149.355873011347 740.79859497111</t>
  </si>
  <si>
    <t>-731.898877673678 -44.775787310185 217.059650082667</t>
  </si>
  <si>
    <t>-763.907870928538 -4.14127403158591 683.006380507409</t>
  </si>
  <si>
    <t>-647.171280366342 -97.6801719835485 775.562058416147</t>
  </si>
  <si>
    <t>9763-20170724T160436.424512000.bin</t>
  </si>
  <si>
    <t>-733.684187192986 50.0351877340804 -242.659663890375</t>
  </si>
  <si>
    <t>-759.918389066984 49.1747449566444 -360.891730460375</t>
  </si>
  <si>
    <t>-763.230598200852 41.5452908092111 -481.810679067209</t>
  </si>
  <si>
    <t>-756.877921701446 31.6032955361502 -590.694416776221</t>
  </si>
  <si>
    <t>-741.403696341837 18.4794453889253 -698.319434188289</t>
  </si>
  <si>
    <t>-716.566399323081 37.1139669599265 -783.514576874539</t>
  </si>
  <si>
    <t>-672.640581310804 177.104280477425 -772.928537333796</t>
  </si>
  <si>
    <t>-621.234208122656 236.78505622631 -466.364167941417</t>
  </si>
  <si>
    <t>-433.91507745997 123.648951282816 -325.815790778492</t>
  </si>
  <si>
    <t>-722.417429851107 147.274753725614 -245.585897972734</t>
  </si>
  <si>
    <t>-611.57552409238 167.950545993225 195.938913663499</t>
  </si>
  <si>
    <t>-613.550629611327 212.048638447774 663.053120308421</t>
  </si>
  <si>
    <t>-464.942011513042 154.072759401895 737.200118233439</t>
  </si>
  <si>
    <t>-738.547584426646 -43.873554934092 216.26964974531</t>
  </si>
  <si>
    <t>-764.435394317216 -4.70122292373412 683.485566839448</t>
  </si>
  <si>
    <t>-647.064960327316 -97.5194102951425 775.965166066746</t>
  </si>
  <si>
    <t>9763-20170724T160436.495705400.bin</t>
  </si>
  <si>
    <t>-732.642509393418 49.2536492863396 -245.256594425619</t>
  </si>
  <si>
    <t>-758.948079709109 47.0048665605123 -363.454474025229</t>
  </si>
  <si>
    <t>-762.866731131824 38.0400561881133 -484.263674073127</t>
  </si>
  <si>
    <t>-757.262386383296 26.9677263261408 -593.079251878188</t>
  </si>
  <si>
    <t>-742.71979436014 12.8203719600624 -700.704643585675</t>
  </si>
  <si>
    <t>-718.971053513739 30.7634543172233 -786.357419826271</t>
  </si>
  <si>
    <t>-675.94881582124 171.087605524119 -777.323604889682</t>
  </si>
  <si>
    <t>-622.273647968953 229.296223520543 -470.864886578913</t>
  </si>
  <si>
    <t>-433.856744363061 117.961410773125 -330.345448673535</t>
  </si>
  <si>
    <t>-720.77248837341 146.08137553281 -249.57108014297</t>
  </si>
  <si>
    <t>-607.468317470673 161.862793723434 191.530646414573</t>
  </si>
  <si>
    <t>-615.42540120259 191.309978150586 660.129356421787</t>
  </si>
  <si>
    <t>-463.451102728365 146.748939961328 736.690691843586</t>
  </si>
  <si>
    <t>-745.88379062431 -40.7309645401228 215.901172730096</t>
  </si>
  <si>
    <t>-764.69966156743 -3.5839780336014 684.733483749013</t>
  </si>
  <si>
    <t>-647.027997012152 -97.4072960708402 775.805305953058</t>
  </si>
  <si>
    <t>9763-20170724T160436.527289700.bin</t>
  </si>
  <si>
    <t>-729.355551935711 49.6429580328497 -245.399768650183</t>
  </si>
  <si>
    <t>-756.161286446722 46.7241760366132 -363.470713069678</t>
  </si>
  <si>
    <t>-760.751107497005 37.2848711422325 -484.220074553864</t>
  </si>
  <si>
    <t>-755.809751592123 25.8793757597241 -593.033431695889</t>
  </si>
  <si>
    <t>-741.97632311606 11.5039927641164 -700.721945375968</t>
  </si>
  <si>
    <t>-718.742426962408 29.3141782631262 -786.543601244704</t>
  </si>
  <si>
    <t>-675.425398010876 169.543468687773 -777.841184812125</t>
  </si>
  <si>
    <t>-620.426516072198 227.11316639493 -471.496572630281</t>
  </si>
  <si>
    <t>-432.009035470018 116.037670150222 -330.772967237649</t>
  </si>
  <si>
    <t>-716.844478919696 146.341054705006 -250.399132723216</t>
  </si>
  <si>
    <t>-609.551377619317 160.539313525723 192.256789601586</t>
  </si>
  <si>
    <t>-617.144842540898 184.211128997831 661.723903370312</t>
  </si>
  <si>
    <t>-464.984736048622 139.069081372785 737.572488717838</t>
  </si>
  <si>
    <t>-746.087949198717 -39.1753653605265 216.6403776831</t>
  </si>
  <si>
    <t>-764.65522269413 -2.28950241634857 685.816279190523</t>
  </si>
  <si>
    <t>-647.089733333784 -97.5634602799826 775.508735845682</t>
  </si>
  <si>
    <t>9763-20170724T160436.592494000.bin</t>
  </si>
  <si>
    <t>-719.510478219442 51.1091706006857 -243.131052429227</t>
  </si>
  <si>
    <t>-747.581910365627 47.4146128002885 -360.885794657147</t>
  </si>
  <si>
    <t>-753.79810050496 37.6459509612605 -481.53607572007</t>
  </si>
  <si>
    <t>-750.450258157684 26.1299630972796 -590.398573603297</t>
  </si>
  <si>
    <t>-738.316022513122 11.8355695689265 -698.302520933656</t>
  </si>
  <si>
    <t>-716.062433861896 29.7279994904327 -784.36647126037</t>
  </si>
  <si>
    <t>-670.490468122227 169.237160107992 -775.58671451679</t>
  </si>
  <si>
    <t>-611.974679380881 225.368644393736 -469.627148572928</t>
  </si>
  <si>
    <t>-425.002100161294 113.474664867652 -327.630444614596</t>
  </si>
  <si>
    <t>-705.650166841033 147.436736023192 -249.1839643616</t>
  </si>
  <si>
    <t>-617.266640646031 157.694749131837 197.73964889869</t>
  </si>
  <si>
    <t>-620.253495092946 172.846550481989 667.275536866647</t>
  </si>
  <si>
    <t>-471.032415309065 117.887874262644 742.482780324114</t>
  </si>
  <si>
    <t>-741.492615099926 -36.7276146283962 219.736413521212</t>
  </si>
  <si>
    <t>-764.57710406433 0.724731642324741 688.503527608584</t>
  </si>
  <si>
    <t>-647.338463350372 -97.7615132971325 775.100699774639</t>
  </si>
  <si>
    <t>9763-20170724T160436.626088900.bin</t>
  </si>
  <si>
    <t>-713.465594247264 51.7471370088183 -241.285168645454</t>
  </si>
  <si>
    <t>-742.507672240469 48.2962369806162 -358.811443043551</t>
  </si>
  <si>
    <t>-749.775574669647 38.8262126721509 -479.426766921066</t>
  </si>
  <si>
    <t>-747.401215824969 27.5927956344126 -588.344374975031</t>
  </si>
  <si>
    <t>-736.256379860099 13.5902527399569 -696.393272561325</t>
  </si>
  <si>
    <t>-714.482951547406 31.6439889654569 -782.546281824971</t>
  </si>
  <si>
    <t>-667.344900323044 170.617461949876 -773.389211479044</t>
  </si>
  <si>
    <t>-606.755493405686 225.416326996132 -467.591629696191</t>
  </si>
  <si>
    <t>-421.054644679365 112.338123556086 -324.866076886272</t>
  </si>
  <si>
    <t>-698.974054331548 148.05616154392 -247.562138823899</t>
  </si>
  <si>
    <t>-621.868021081636 155.298363596718 201.503470105284</t>
  </si>
  <si>
    <t>-622.928526619222 167.737904491577 670.980665785172</t>
  </si>
  <si>
    <t>-475.035330201459 108.318356416997 745.414792056877</t>
  </si>
  <si>
    <t>-737.6015001379 -36.2229541420463 221.438745367863</t>
  </si>
  <si>
    <t>-764.510232947912 1.81026427393294 689.53703298767</t>
  </si>
  <si>
    <t>-647.425414600506 -97.8169842405644 775.030116912209</t>
  </si>
  <si>
    <t>9763-20170724T160436.696279500.bin</t>
  </si>
  <si>
    <t>-700.912619083792 51.2917255306991 -237.911505077193</t>
  </si>
  <si>
    <t>-731.542753290466 49.3875932313713 -355.069388941472</t>
  </si>
  <si>
    <t>-740.761908240752 41.2029770086485 -475.645345062285</t>
  </si>
  <si>
    <t>-740.290405513312 30.9901262725996 -584.688154163922</t>
  </si>
  <si>
    <t>-731.181245608018 17.8503144562358 -693.035808560697</t>
  </si>
  <si>
    <t>-710.342995667603 36.2930458654221 -779.337545495291</t>
  </si>
  <si>
    <t>-659.737210989998 174.027261165661 -768.987024994638</t>
  </si>
  <si>
    <t>-595.505389283143 224.589606893993 -463.203032212496</t>
  </si>
  <si>
    <t>-412.404652971932 107.917706390652 -320.011402689609</t>
  </si>
  <si>
    <t>-684.7082669015 147.876355046376 -243.823998158517</t>
  </si>
  <si>
    <t>-628.828165573512 153.282915921055 208.399279245576</t>
  </si>
  <si>
    <t>-622.225820972711 163.772571780336 677.925871489281</t>
  </si>
  <si>
    <t>-475.954645691532 103.437385108104 754.788852279324</t>
  </si>
  <si>
    <t>-727.448758645425 -36.6820331535603 223.996687618609</t>
  </si>
  <si>
    <t>-764.05321950146 3.12258578288788 690.716306338149</t>
  </si>
  <si>
    <t>-647.495309075623 -97.9857839494273 775.184421810905</t>
  </si>
  <si>
    <t>9763-20170724T160436.728872600.bin</t>
  </si>
  <si>
    <t>-694.178041871775 51.2208013276572 -236.863171761642</t>
  </si>
  <si>
    <t>-725.412252880064 49.948493102115 -353.869976325581</t>
  </si>
  <si>
    <t>-735.480243967336 42.3850190128835 -474.41872861709</t>
  </si>
  <si>
    <t>-735.873345104954 32.7090883212009 -583.510778088754</t>
  </si>
  <si>
    <t>-727.723814155794 20.0712480254356 -691.994524236185</t>
  </si>
  <si>
    <t>-707.261255179008 38.7645351437595 -778.332257982878</t>
  </si>
  <si>
    <t>-654.772674943361 175.695123883001 -767.208317514348</t>
  </si>
  <si>
    <t>-589.358875415257 223.598766581976 -461.246772900303</t>
  </si>
  <si>
    <t>-407.725050289508 104.822780065766 -317.916965765949</t>
  </si>
  <si>
    <t>-676.331943178631 147.566023852218 -242.511226605502</t>
  </si>
  <si>
    <t>-628.61608394586 154.576544726729 210.624121858175</t>
  </si>
  <si>
    <t>-621.397533111025 166.043476768841 680.555363887399</t>
  </si>
  <si>
    <t>-475.668226053355 106.609878988473 759.131074410014</t>
  </si>
  <si>
    <t>-721.058845990066 -37.132937285028 224.888933473624</t>
  </si>
  <si>
    <t>-763.691905611657 3.69174058064914 690.983930314855</t>
  </si>
  <si>
    <t>-647.536821320015 -98.0399561986358 775.258300432074</t>
  </si>
  <si>
    <t>9763-20170724T160436.793547200.bin</t>
  </si>
  <si>
    <t>-678.629107606024 53.3339534096419 -235.289239016806</t>
  </si>
  <si>
    <t>-711.324678633424 53.0292536592638 -351.902791107197</t>
  </si>
  <si>
    <t>-723.031818000036 46.7716151756918 -472.378372989822</t>
  </si>
  <si>
    <t>-724.961356011606 38.3903340259512 -581.561114010043</t>
  </si>
  <si>
    <t>-718.39033294499 27.1527818762759 -690.305759236063</t>
  </si>
  <si>
    <t>-700.488276532081 8.42164500858712 -840.401311407987</t>
  </si>
  <si>
    <t>-698.308680746608 46.7487428064878 -776.532604060358</t>
  </si>
  <si>
    <t>-641.900249527844 181.851279990412 -763.485139188306</t>
  </si>
  <si>
    <t>-575.948632633435 224.796506969385 -456.903415446696</t>
  </si>
  <si>
    <t>-397.465115418942 101.765885022044 -313.205348904573</t>
  </si>
  <si>
    <t>-658.106385296874 149.03593021612 -241.129846785344</t>
  </si>
  <si>
    <t>-624.82180842834 153.183010566265 213.328823130292</t>
  </si>
  <si>
    <t>-621.381584403923 165.322548921749 682.443228672284</t>
  </si>
  <si>
    <t>-477.461012015385 104.504944064065 763.261575683658</t>
  </si>
  <si>
    <t>-703.979280624468 -37.5393679213005 226.841466201716</t>
  </si>
  <si>
    <t>-762.715806366306 5.05355772615258 691.282060054963</t>
  </si>
  <si>
    <t>-647.633020781483 -98.1407933184717 775.24866952873</t>
  </si>
  <si>
    <t>9763-20170724T160436.828152800.bin</t>
  </si>
  <si>
    <t>-670.157279928402 54.6382432428188 -234.159423949917</t>
  </si>
  <si>
    <t>-703.780018665574 54.8709066895351 -350.509151133943</t>
  </si>
  <si>
    <t>-716.220914449062 49.3276795840604 -470.946233179062</t>
  </si>
  <si>
    <t>-718.720095955623 41.6622205503436 -580.170040733266</t>
  </si>
  <si>
    <t>-712.616651346427 31.2128635347251 -689.020343545785</t>
  </si>
  <si>
    <t>-695.252023715605 13.6536706172233 -839.320605309772</t>
  </si>
  <si>
    <t>-692.434039903302 51.3456470142976 -775.099976224926</t>
  </si>
  <si>
    <t>-634.141887184926 185.592450877471 -761.007098250521</t>
  </si>
  <si>
    <t>-568.602493031178 226.367883950951 -454.04118522339</t>
  </si>
  <si>
    <t>-391.981216494528 100.998398584819 -310.063825589889</t>
  </si>
  <si>
    <t>-648.663185324677 149.332225163343 -240.340905069943</t>
  </si>
  <si>
    <t>-620.76097758 152.198207540976 214.48977794965</t>
  </si>
  <si>
    <t>-621.354793429986 164.563698311904 683.118587652232</t>
  </si>
  <si>
    <t>-477.905064685837 103.634585328577 764.686546416687</t>
  </si>
  <si>
    <t>-692.458518825136 -37.3784937555458 228.264576699997</t>
  </si>
  <si>
    <t>-761.964060956364 6.04388701220091 691.283894347752</t>
  </si>
  <si>
    <t>-647.632397933995 -98.1382360378623 775.056615826373</t>
  </si>
  <si>
    <t>9763-20170724T160436.894358400.bin</t>
  </si>
  <si>
    <t>-655.681244227941 58.7969088636542 -232.320035922044</t>
  </si>
  <si>
    <t>-691.377278445165 60.4937630080997 -348.038344357062</t>
  </si>
  <si>
    <t>-705.152202204562 56.3226483091146 -468.385334318916</t>
  </si>
  <si>
    <t>-708.526253075504 49.860446444786 -577.66353835842</t>
  </si>
  <si>
    <t>-702.953175609975 40.5866061067363 -686.648752747079</t>
  </si>
  <si>
    <t>-685.960258921802 24.6398111903211 -837.171000237229</t>
  </si>
  <si>
    <t>-637.92581202592 2.0654667141082 -924.154076257912</t>
  </si>
  <si>
    <t>-682.164464981888 61.3495729319072 -772.433837259046</t>
  </si>
  <si>
    <t>-620.442274081008 193.915501382863 -756.531469632077</t>
  </si>
  <si>
    <t>-556.844382083055 230.199449048994 -448.594990737078</t>
  </si>
  <si>
    <t>-384.091086900241 100.483229576394 -303.777673199972</t>
  </si>
  <si>
    <t>-704.793762194725 2.04192909845892 -768.705283865023</t>
  </si>
  <si>
    <t>-630.978958858035 153.349090074694 -239.369941048067</t>
  </si>
  <si>
    <t>-615.052953276892 153.390021332329 216.046419541741</t>
  </si>
  <si>
    <t>-621.654482694546 164.046920860229 684.221252663371</t>
  </si>
  <si>
    <t>-478.736631920441 102.250580470188 766.069969832652</t>
  </si>
  <si>
    <t>-662.663058056394 -41.1020453696171 231.081927775456</t>
  </si>
  <si>
    <t>-759.898239757982 8.609415567312 688.834089895363</t>
  </si>
  <si>
    <t>-647.686223354044 -98.0852769883563 772.309927959613</t>
  </si>
  <si>
    <t>9763-20170724T160436.925444100.bin</t>
  </si>
  <si>
    <t>-649.578959963585 61.7247401627367 -230.965679433563</t>
  </si>
  <si>
    <t>-685.775367080185 63.9318001627837 -346.519756799659</t>
  </si>
  <si>
    <t>-699.815578711125 60.1810122939594 -466.850021782906</t>
  </si>
  <si>
    <t>-703.325906292921 54.0630447485516 -576.143596886763</t>
  </si>
  <si>
    <t>-697.782315449133 45.1022872766982 -685.156561323734</t>
  </si>
  <si>
    <t>-680.718155806478 29.5615633716109 -835.7133260983</t>
  </si>
  <si>
    <t>-632.972384146208 6.97648856173464 -922.852341696931</t>
  </si>
  <si>
    <t>-676.460759272155 65.9087126399236 -770.800290931213</t>
  </si>
  <si>
    <t>-612.607330762719 197.419158604843 -754.248972955272</t>
  </si>
  <si>
    <t>-551.892215578819 231.756556686395 -445.508252481006</t>
  </si>
  <si>
    <t>-381.299391805658 99.2427241274345 -300.662852368011</t>
  </si>
  <si>
    <t>-700.076140807349 6.96715202561336 -767.392968334907</t>
  </si>
  <si>
    <t>-623.099814913787 156.120457450043 -238.748720442818</t>
  </si>
  <si>
    <t>-613.8102105066 157.419566168668 216.849390761379</t>
  </si>
  <si>
    <t>-621.644806741344 164.475392640435 684.85660204289</t>
  </si>
  <si>
    <t>-479.005173785539 101.759099422141 766.490650969586</t>
  </si>
  <si>
    <t>-646.128040414628 -45.442320938258 232.298469321542</t>
  </si>
  <si>
    <t>-758.735204786431 9.43671911942238 686.114767882777</t>
  </si>
  <si>
    <t>-647.651823294227 -98.1013032308822 770.016927994513</t>
  </si>
  <si>
    <t>9763-20170724T160436.994128400.bin</t>
  </si>
  <si>
    <t>-638.764671200544 68.610305847295 -228.741802463231</t>
  </si>
  <si>
    <t>-675.965711137546 71.6063392061981 -343.958577419571</t>
  </si>
  <si>
    <t>-690.255519343274 68.4376807981653 -464.276249132708</t>
  </si>
  <si>
    <t>-693.674388921012 62.7397761989123 -573.595492785042</t>
  </si>
  <si>
    <t>-687.722282941526 54.0892841159252 -682.611978842199</t>
  </si>
  <si>
    <t>-669.766870343664 38.860856305856 -833.096813910753</t>
  </si>
  <si>
    <t>-622.100369640631 15.8332233071962 -920.163608807633</t>
  </si>
  <si>
    <t>-664.824966106939 74.630501173046 -767.912215773908</t>
  </si>
  <si>
    <t>-596.813926610615 203.707261392565 -749.826396863092</t>
  </si>
  <si>
    <t>-542.324936930683 235.361629256854 -439.640800804388</t>
  </si>
  <si>
    <t>-376.369152263402 96.8656179054001 -295.004770077837</t>
  </si>
  <si>
    <t>-690.598151941825 16.5674759112783 -765.11169684064</t>
  </si>
  <si>
    <t>-609.84412820333 161.85791959877 -237.42273060141</t>
  </si>
  <si>
    <t>-611.533811916504 167.847033204847 218.229491937479</t>
  </si>
  <si>
    <t>-621.237194852778 166.00560876666 685.864435950844</t>
  </si>
  <si>
    <t>-479.390697387687 101.065124583115 767.140582188497</t>
  </si>
  <si>
    <t>-611.888147029972 -61.5194916040259 232.026620730215</t>
  </si>
  <si>
    <t>-753.643659473024 10.053244410675 675.269945582153</t>
  </si>
  <si>
    <t>-647.01731402156 -98.2985685760191 763.781078266327</t>
  </si>
  <si>
    <t>9763-20170724T160437.029224700.bin</t>
  </si>
  <si>
    <t>-633.440701562508 72.4037061427744 -228.562016720146</t>
  </si>
  <si>
    <t>-670.815101322796 76.0547701506389 -343.703808892328</t>
  </si>
  <si>
    <t>-684.910345112116 73.244212245711 -464.053149104705</t>
  </si>
  <si>
    <t>-688.005976058793 67.7337012056892 -573.391683278643</t>
  </si>
  <si>
    <t>-681.587873791726 59.1304703500434 -682.385530731812</t>
  </si>
  <si>
    <t>-662.844152408472 43.8179434859876 -832.76573528554</t>
  </si>
  <si>
    <t>-614.911682414662 20.3298313605865 -919.563005759241</t>
  </si>
  <si>
    <t>-657.731496132342 79.3947561975551 -767.488927603263</t>
  </si>
  <si>
    <t>-587.848916121276 207.363938580151 -748.802336896011</t>
  </si>
  <si>
    <t>-536.268659082897 237.678489189572 -437.986094746527</t>
  </si>
  <si>
    <t>-372.897160385022 96.5411688676397 -292.96167210778</t>
  </si>
  <si>
    <t>-684.543966948243 21.7916134902762 -764.965352049371</t>
  </si>
  <si>
    <t>-603.746161703029 165.355170076979 -237.417380813395</t>
  </si>
  <si>
    <t>-609.996809756484 172.52583436525 218.178004058437</t>
  </si>
  <si>
    <t>-620.76065727679 166.935470037744 685.758709667161</t>
  </si>
  <si>
    <t>-479.404250371571 100.911332288801 767.015630324087</t>
  </si>
  <si>
    <t>-591.876216306083 -75.6125881042226 228.491205549948</t>
  </si>
  <si>
    <t>-747.715559408027 8.48526780215184 664.398996403028</t>
  </si>
  <si>
    <t>-646.799181491725 -98.6816383330895 760.704016274007</t>
  </si>
  <si>
    <t>9763-20170724T160437.094406800.bin</t>
  </si>
  <si>
    <t>-628.379698452595 81.7607746238477 -230.169427820515</t>
  </si>
  <si>
    <t>-664.019160902049 85.7902373879822 -345.847323853554</t>
  </si>
  <si>
    <t>-676.458764744058 83.1288284352484 -466.382537704172</t>
  </si>
  <si>
    <t>-678.113046306287 77.6712724180441 -575.755134860217</t>
  </si>
  <si>
    <t>-670.318501169254 69.051243532788 -684.657626403119</t>
  </si>
  <si>
    <t>-649.736422905488 53.6523211639769 -834.78839664269</t>
  </si>
  <si>
    <t>-600.911382397394 29.340778464245 -920.858535423283</t>
  </si>
  <si>
    <t>-644.618539956048 88.8836965734731 -769.325076395817</t>
  </si>
  <si>
    <t>-571.348024381658 214.915426627741 -749.991634579043</t>
  </si>
  <si>
    <t>-525.558143070416 243.336083305323 -438.091475636738</t>
  </si>
  <si>
    <t>-367.141982827126 97.7686488429131 -291.952965551025</t>
  </si>
  <si>
    <t>-673.068162904762 32.0480533383138 -767.39568508482</t>
  </si>
  <si>
    <t>-594.999716540024 173.67228087796 -238.611173158634</t>
  </si>
  <si>
    <t>-607.975284846606 181.771762395479 216.826680249652</t>
  </si>
  <si>
    <t>-620.284397901351 167.70999741153 684.993440726767</t>
  </si>
  <si>
    <t>-479.565768779305 100.488988958392 766.375962320251</t>
  </si>
  <si>
    <t>-563.271564046979 -108.576257487593 211.423369213838</t>
  </si>
  <si>
    <t>-735.537079507323 15.9110026717076 629.841066746188</t>
  </si>
  <si>
    <t>-657.966800651609 -86.167267687578 750.283574399294</t>
  </si>
  <si>
    <t>9763-20170724T160437.126493500.bin</t>
  </si>
  <si>
    <t>-627.589347361422 85.9754241848989 -231.756455136204</t>
  </si>
  <si>
    <t>-662.284132721077 90.0747942412324 -347.718805408362</t>
  </si>
  <si>
    <t>-673.790130621446 87.3783621755608 -468.345899903389</t>
  </si>
  <si>
    <t>-674.616339165279 81.8561398904808 -577.724471634107</t>
  </si>
  <si>
    <t>-666.014244939834 73.1466900985113 -686.559285033259</t>
  </si>
  <si>
    <t>-644.334871844921 57.6042925675431 -836.520730212196</t>
  </si>
  <si>
    <t>-594.968659146951 33.0687822422619 -922.217730159742</t>
  </si>
  <si>
    <t>-639.408148552465 92.7541576458518 -770.99876843208</t>
  </si>
  <si>
    <t>-565.034765974987 218.031738587871 -751.134538232752</t>
  </si>
  <si>
    <t>-520.924137959552 247.04082677164 -439.046504067517</t>
  </si>
  <si>
    <t>-364.66494633617 99.4439291173157 -292.621556986003</t>
  </si>
  <si>
    <t>-668.446426793702 36.2085665624995 -769.336050256471</t>
  </si>
  <si>
    <t>-591.886665360657 176.997780501921 -239.678150024119</t>
  </si>
  <si>
    <t>-607.890274202829 185.826261474775 215.649902844571</t>
  </si>
  <si>
    <t>-620.035279540609 168.064413137619 684.23174858743</t>
  </si>
  <si>
    <t>-479.75384995529 100.135174930719 765.780856789453</t>
  </si>
  <si>
    <t>-554.924990541814 -120.643777278624 202.021419318824</t>
  </si>
  <si>
    <t>-714.89846571172 21.6516937747504 619.405536967175</t>
  </si>
  <si>
    <t>-649.841546723758 -83.9190533290166 744.168961361105</t>
  </si>
  <si>
    <t>9763-20170724T160437.197693300.bin</t>
  </si>
  <si>
    <t>-623.194944844936 91.6287452910212 -235.758169564745</t>
  </si>
  <si>
    <t>-656.422247935768 96.672087673363 -352.112512764968</t>
  </si>
  <si>
    <t>-666.27453528621 94.3780608321397 -472.894208589996</t>
  </si>
  <si>
    <t>-665.552340518934 89.003187395004 -582.280876930241</t>
  </si>
  <si>
    <t>-655.361871599368 80.2323278822664 -690.973469990178</t>
  </si>
  <si>
    <t>-631.447047913014 64.3939892416402 -840.563629164058</t>
  </si>
  <si>
    <t>-580.906658850265 39.5996031880791 -925.498228135577</t>
  </si>
  <si>
    <t>-627.051619803606 99.4414259869156 -774.949126133805</t>
  </si>
  <si>
    <t>-551.116173334929 223.613906733357 -753.975482519752</t>
  </si>
  <si>
    <t>-508.718832679294 253.583463532904 -441.74094378119</t>
  </si>
  <si>
    <t>-356.334808246801 103.674236389232 -293.591010506418</t>
  </si>
  <si>
    <t>-657.005606232922 43.3625073189644 -773.800223736805</t>
  </si>
  <si>
    <t>-585.284265642859 181.77760941801 -241.828384494661</t>
  </si>
  <si>
    <t>-605.699935425137 189.205742722716 213.348053220321</t>
  </si>
  <si>
    <t>-619.85873623953 168.279104130416 682.89541379492</t>
  </si>
  <si>
    <t>-480.086397698578 99.5879054219749 764.680019598765</t>
  </si>
  <si>
    <t>-661.004419678062 2.003518162104 -229.479949492852</t>
  </si>
  <si>
    <t>-543.036207332096 -130.869042639899 190.146141322113</t>
  </si>
  <si>
    <t>-655.385692405175 18.5131706289544 621.349525772212</t>
  </si>
  <si>
    <t>-610.363628075599 -104.803100892491 738.437696574332</t>
  </si>
  <si>
    <t>9763-20170724T160437.229781900.bin</t>
  </si>
  <si>
    <t>-620.844067202814 93.5255650755853 -237.245519461812</t>
  </si>
  <si>
    <t>-653.464247863084 99.1437718660075 -353.745073776064</t>
  </si>
  <si>
    <t>-662.694749782261 97.1840924743847 -474.581949983995</t>
  </si>
  <si>
    <t>-661.414206344693 92.012366097096 -583.973294330872</t>
  </si>
  <si>
    <t>-650.674599799795 83.3468847155818 -692.621303763903</t>
  </si>
  <si>
    <t>-626.01164877685 67.5541923159981 -842.094911462628</t>
  </si>
  <si>
    <t>-575.051689686102 42.7286771966506 -926.769358982212</t>
  </si>
  <si>
    <t>-621.768002923345 102.487087659774 -776.409263097824</t>
  </si>
  <si>
    <t>-545.092331969324 226.158908446547 -755.039100397334</t>
  </si>
  <si>
    <t>-504.515451208621 255.962323494267 -442.546780507798</t>
  </si>
  <si>
    <t>-353.73784875545 105.5504137594 -293.267055548604</t>
  </si>
  <si>
    <t>-652.080489958132 46.5968344361074 -775.505721083276</t>
  </si>
  <si>
    <t>-582.551637933688 183.443966534447 -242.584801386761</t>
  </si>
  <si>
    <t>-603.481342829896 189.249862830515 212.591958500492</t>
  </si>
  <si>
    <t>-619.8848561302 168.206566157434 682.433052900701</t>
  </si>
  <si>
    <t>-480.313882235429 99.2401909991088 764.329926835246</t>
  </si>
  <si>
    <t>-658.782121571464 4.07001841467991 -230.90231494373</t>
  </si>
  <si>
    <t>-540.855496082342 -131.311297238988 187.932915683319</t>
  </si>
  <si>
    <t>-624.064237137198 8.9012851731859 628.590777564337</t>
  </si>
  <si>
    <t>-587.517284211651 -122.471395428451 739.717086584417</t>
  </si>
  <si>
    <t>9763-20170724T160437.294714600.bin</t>
  </si>
  <si>
    <t>-617.388930514364 96.0590683265086 -237.739172135966</t>
  </si>
  <si>
    <t>-648.964098040724 102.451344201925 -354.486573858709</t>
  </si>
  <si>
    <t>-657.247269537086 100.979100224417 -475.398996803235</t>
  </si>
  <si>
    <t>-655.158923366406 96.1492403488435 -584.793435857809</t>
  </si>
  <si>
    <t>-643.662158640167 87.7409337033275 -693.384377325257</t>
  </si>
  <si>
    <t>-618.000860088945 72.2293951595839 -842.719271775283</t>
  </si>
  <si>
    <t>-566.533148046195 47.4867535738731 -927.11023093084</t>
  </si>
  <si>
    <t>-613.919506628433 106.88721555053 -776.877674463802</t>
  </si>
  <si>
    <t>-536.074495263106 229.665838262016 -754.776129801908</t>
  </si>
  <si>
    <t>-498.761279604567 260.448791266869 -441.972167605657</t>
  </si>
  <si>
    <t>-350.497732322025 108.766571138558 -291.464790230842</t>
  </si>
  <si>
    <t>-644.79093117767 51.2982470197333 -776.408528947051</t>
  </si>
  <si>
    <t>-577.75863241545 185.345529581008 -242.752639931795</t>
  </si>
  <si>
    <t>-600.200440541631 189.560856304339 212.369596145863</t>
  </si>
  <si>
    <t>-620.030097669081 167.958692697627 682.004960780646</t>
  </si>
  <si>
    <t>-480.798617389298 98.4698816762498 764.037974037459</t>
  </si>
  <si>
    <t>-657.167847745167 7.07419546720098 -231.367936267796</t>
  </si>
  <si>
    <t>-540.578396115006 -126.443309041321 188.438698278931</t>
  </si>
  <si>
    <t>-564.357998464675 -15.1384977982791 644.176163004314</t>
  </si>
  <si>
    <t>-539.532581107068 -156.944270847943 745.261935729332</t>
  </si>
  <si>
    <t>9763-20170724T160437.332314900.bin</t>
  </si>
  <si>
    <t>-616.148077184326 97.4574538484296 -237.083947892389</t>
  </si>
  <si>
    <t>-647.927822120483 104.097642127613 -353.761953994218</t>
  </si>
  <si>
    <t>-656.209665259097 102.775931797024 -474.676021133573</t>
  </si>
  <si>
    <t>-654.030759838396 98.0509431093622 -584.073496704366</t>
  </si>
  <si>
    <t>-642.352229619435 89.7235941979459 -692.65113980042</t>
  </si>
  <si>
    <t>-616.343382840372 74.306290768636 -841.935600738611</t>
  </si>
  <si>
    <t>-564.767475834255 49.6784504040247 -926.294167255736</t>
  </si>
  <si>
    <t>-612.292094712307 108.854071029916 -776.03442975793</t>
  </si>
  <si>
    <t>-533.989865656242 231.312816139231 -753.619227324816</t>
  </si>
  <si>
    <t>-498.056543016955 263.263668324273 -440.770756466495</t>
  </si>
  <si>
    <t>-350.667546205396 110.659685137149 -290.336164454448</t>
  </si>
  <si>
    <t>-643.410802730738 53.4019685875535 -775.729327833294</t>
  </si>
  <si>
    <t>-575.759100312322 186.54589517079 -242.429431845336</t>
  </si>
  <si>
    <t>-598.926089229215 190.120655960407 212.661938952763</t>
  </si>
  <si>
    <t>-620.190099276556 167.898924126957 682.087625580801</t>
  </si>
  <si>
    <t>-481.200530803684 97.8919390937417 764.090251793458</t>
  </si>
  <si>
    <t>-656.792719733902 8.26152756909278 -230.710786793723</t>
  </si>
  <si>
    <t>-539.099914308298 -120.815218691953 190.175522876032</t>
  </si>
  <si>
    <t>-539.284035509786 -22.2399783233611 649.574373386525</t>
  </si>
  <si>
    <t>-519.237291435962 -166.936491297945 747.577203510198</t>
  </si>
  <si>
    <t>9763-20170724T160437.390973500.bin</t>
  </si>
  <si>
    <t>-613.186520950323 99.8752458201891 -235.14035791659</t>
  </si>
  <si>
    <t>-645.82594989492 105.97315862881 -351.610447276089</t>
  </si>
  <si>
    <t>-654.483048067655 104.291282791198 -472.49381259639</t>
  </si>
  <si>
    <t>-652.426365698303 99.3394339986605 -581.883434133723</t>
  </si>
  <si>
    <t>-640.644442318039 90.9017334907073 -690.441591863642</t>
  </si>
  <si>
    <t>-614.252327119968 75.4679810130344 -839.656937854007</t>
  </si>
  <si>
    <t>-562.548084369604 50.9437359973804 -923.967291847305</t>
  </si>
  <si>
    <t>-610.138892121023 109.891934696402 -773.695046791208</t>
  </si>
  <si>
    <t>-531.016268014404 231.736260083681 -750.832033416395</t>
  </si>
  <si>
    <t>-497.545688535768 266.250786215281 -437.982818840219</t>
  </si>
  <si>
    <t>-351.407229938151 111.353406311468 -288.676341516145</t>
  </si>
  <si>
    <t>-641.721136840709 54.7019599184555 -773.572582185201</t>
  </si>
  <si>
    <t>-571.26723274442 188.041281845662 -241.800309867027</t>
  </si>
  <si>
    <t>-595.561096049069 190.770862439736 213.238112946997</t>
  </si>
  <si>
    <t>-620.272223421711 167.837663597463 682.180297139286</t>
  </si>
  <si>
    <t>-481.724118946039 97.0368463759391 764.248432136671</t>
  </si>
  <si>
    <t>-654.792154663489 11.4205028362071 -228.026321783496</t>
  </si>
  <si>
    <t>-534.717266974572 -105.434094135843 195.748011303642</t>
  </si>
  <si>
    <t>-506.243604346958 -25.5840531502984 657.537379771118</t>
  </si>
  <si>
    <t>-495.784999185068 -171.54154498026 755.161939433454</t>
  </si>
  <si>
    <t>9763-20170724T160437.425573000.bin</t>
  </si>
  <si>
    <t>-611.349517350814 100.49485147618 -234.251937447224</t>
  </si>
  <si>
    <t>-644.378293318903 105.948536144569 -350.644128015841</t>
  </si>
  <si>
    <t>-653.274141872848 103.889296261653 -471.504440365036</t>
  </si>
  <si>
    <t>-651.36455812426 98.7108360896491 -580.886199994904</t>
  </si>
  <si>
    <t>-639.657323135265 90.164577912944 -689.44386286032</t>
  </si>
  <si>
    <t>-613.291162797144 74.7052723001273 -838.661343549911</t>
  </si>
  <si>
    <t>-561.566347092383 50.1594470416462 -922.95258496878</t>
  </si>
  <si>
    <t>-609.078114708083 109.089907860336 -772.684990192165</t>
  </si>
  <si>
    <t>-529.718650317067 230.688248656196 -749.524781556817</t>
  </si>
  <si>
    <t>-496.905728309477 265.685376724056 -436.659480930105</t>
  </si>
  <si>
    <t>-351.108133363178 109.899171656345 -287.945695422784</t>
  </si>
  <si>
    <t>-640.836683799806 54.0010977719337 -772.589379318546</t>
  </si>
  <si>
    <t>-568.922928445464 188.223811438249 -241.587887595746</t>
  </si>
  <si>
    <t>-593.784009924321 190.873293415779 213.420444709176</t>
  </si>
  <si>
    <t>-620.276460658298 167.950620817476 682.213631833591</t>
  </si>
  <si>
    <t>-481.963010415883 96.7297104734007 764.314100647433</t>
  </si>
  <si>
    <t>-653.308509096219 12.1262045177375 -226.510824321659</t>
  </si>
  <si>
    <t>-532.07581175204 -97.6862443939178 198.814395051505</t>
  </si>
  <si>
    <t>-504.784035047689 -24.5431351412942 662.388152020962</t>
  </si>
  <si>
    <t>-498.529802282481 -171.373694962285 759.058666174293</t>
  </si>
  <si>
    <t>9763-20170724T160437.498073600.bin</t>
  </si>
  <si>
    <t>-610.640379847081 103.026575039233 -233.182198938586</t>
  </si>
  <si>
    <t>-644.160320852454 108.551955999045 -349.430564849985</t>
  </si>
  <si>
    <t>-653.428163234819 106.499058871531 -470.262883189724</t>
  </si>
  <si>
    <t>-651.80105637739 101.295980262532 -579.64822221978</t>
  </si>
  <si>
    <t>-640.320600026851 92.6942486477344 -688.225685764289</t>
  </si>
  <si>
    <t>-614.211927350867 77.1247751997964 -837.476931147974</t>
  </si>
  <si>
    <t>-562.616292254178 52.3126788441675 -921.769376527189</t>
  </si>
  <si>
    <t>-609.77637937229 111.495207093168 -771.507761382702</t>
  </si>
  <si>
    <t>-530.076118853637 232.84300657122 -748.163230859156</t>
  </si>
  <si>
    <t>-499.354239506369 266.354351212553 -434.923093109322</t>
  </si>
  <si>
    <t>-353.822298562904 110.452401203445 -286.070497541496</t>
  </si>
  <si>
    <t>-641.752175114013 56.5321846152706 -771.36779976677</t>
  </si>
  <si>
    <t>-567.524066679129 190.810257850965 -240.848610931191</t>
  </si>
  <si>
    <t>-591.300862068786 189.809879289559 214.224374805549</t>
  </si>
  <si>
    <t>-620.816050686449 167.628535403937 682.884801421272</t>
  </si>
  <si>
    <t>-482.767263341402 95.5766425775505 764.705117090263</t>
  </si>
  <si>
    <t>-654.273326429284 16.0614734331689 -224.27201986111</t>
  </si>
  <si>
    <t>-523.984808459008 -96.3485910075387 197.683583216893</t>
  </si>
  <si>
    <t>-507.595406728248 -25.6597632045855 662.81034934212</t>
  </si>
  <si>
    <t>-497.321822697176 -172.572772257638 759.010853410999</t>
  </si>
  <si>
    <t>9763-20170724T160437.525650100.bin</t>
  </si>
  <si>
    <t>-610.104847787896 105.020085523616 -231.94492732984</t>
  </si>
  <si>
    <t>-643.413046907745 110.543259351395 -348.254275675361</t>
  </si>
  <si>
    <t>-652.639704966773 108.438306373376 -469.088961560146</t>
  </si>
  <si>
    <t>-651.046257213645 103.173853494976 -578.471748357511</t>
  </si>
  <si>
    <t>-639.669680013607 94.4991209440516 -687.054307572793</t>
  </si>
  <si>
    <t>-613.775993264322 78.818938599733 -836.331381608817</t>
  </si>
  <si>
    <t>-562.422728326165 53.9189517245991 -920.745901111075</t>
  </si>
  <si>
    <t>-609.232119539846 113.230551685589 -770.391316387994</t>
  </si>
  <si>
    <t>-528.989547064406 234.331835437527 -747.230893399361</t>
  </si>
  <si>
    <t>-500.200439678182 266.925870096355 -433.710468000576</t>
  </si>
  <si>
    <t>-354.848196671408 110.982461470566 -284.725834281865</t>
  </si>
  <si>
    <t>-641.234264325128 58.2832059843356 -770.17066593561</t>
  </si>
  <si>
    <t>-566.813924233962 192.421084125956 -239.93542180112</t>
  </si>
  <si>
    <t>-589.77401881474 190.296059321311 215.175457270678</t>
  </si>
  <si>
    <t>-621.020945649999 167.609779044218 683.332652831579</t>
  </si>
  <si>
    <t>-482.93255308356 95.3587689840247 764.910185542921</t>
  </si>
  <si>
    <t>-652.962968708509 18.2652591086694 -223.152421583473</t>
  </si>
  <si>
    <t>-520.895424914341 -98.0441922236337 197.19024707664</t>
  </si>
  <si>
    <t>-507.139036840607 -26.0988025648173 661.921590424536</t>
  </si>
  <si>
    <t>-496.57733174625 -172.724488251531 758.528452438263</t>
  </si>
  <si>
    <t>9763-20170724T160437.596020500.bin</t>
  </si>
  <si>
    <t>-606.378694517357 106.371786715212 -230.755458758366</t>
  </si>
  <si>
    <t>-640.573726451996 111.605788564347 -346.820640026128</t>
  </si>
  <si>
    <t>-650.497228200996 109.330645211845 -467.596887358726</t>
  </si>
  <si>
    <t>-649.450266198141 103.939949173212 -576.980100229795</t>
  </si>
  <si>
    <t>-638.536060801169 95.1543673195995 -685.601222096903</t>
  </si>
  <si>
    <t>-613.199141320286 79.3250533691589 -834.958077208867</t>
  </si>
  <si>
    <t>-562.329183239107 54.2901553392774 -919.625001458279</t>
  </si>
  <si>
    <t>-608.370559312396 113.780021342462 -769.060785890927</t>
  </si>
  <si>
    <t>-527.796572220764 234.600723749727 -746.078102261872</t>
  </si>
  <si>
    <t>-499.023654296444 267.260542870698 -432.562993447574</t>
  </si>
  <si>
    <t>-354.140736173705 110.446589755217 -284.035664317464</t>
  </si>
  <si>
    <t>-640.449264522815 58.8781219465357 -768.68388832488</t>
  </si>
  <si>
    <t>-563.6971890532 194.205213193814 -239.005907527151</t>
  </si>
  <si>
    <t>-588.590323931928 191.886117926008 216.002535394814</t>
  </si>
  <si>
    <t>-621.066045419387 167.734034981801 683.667415008179</t>
  </si>
  <si>
    <t>-483.268255980584 94.7526639558257 765.086074843755</t>
  </si>
  <si>
    <t>-649.054026102482 18.3096156435734 -221.665449697404</t>
  </si>
  <si>
    <t>-515.992625236517 -98.7665486484082 198.150613224828</t>
  </si>
  <si>
    <t>-505.887825538963 -25.8831509581812 662.000162598827</t>
  </si>
  <si>
    <t>-496.519114480031 -172.832869330663 758.236913580258</t>
  </si>
  <si>
    <t>9763-20170724T160437.628114300.bin</t>
  </si>
  <si>
    <t>-604.460692973143 106.458460017426 -230.443572428703</t>
  </si>
  <si>
    <t>-638.513157739582 111.222112883027 -346.570857811096</t>
  </si>
  <si>
    <t>-648.551140587766 108.717790245353 -467.333111596659</t>
  </si>
  <si>
    <t>-647.712646971914 103.221898424903 -576.712947605885</t>
  </si>
  <si>
    <t>-637.108300984507 94.4339376133134 -685.364481373305</t>
  </si>
  <si>
    <t>-612.302293887381 78.7077648114412 -834.821375094618</t>
  </si>
  <si>
    <t>-561.685888927447 53.6372345226994 -919.62958561991</t>
  </si>
  <si>
    <t>-607.219310807255 113.105482801049 -768.913248408463</t>
  </si>
  <si>
    <t>-526.511574029415 233.901662034232 -746.108869992827</t>
  </si>
  <si>
    <t>-496.555305108096 266.558282719201 -432.70443121285</t>
  </si>
  <si>
    <t>-351.931898591331 109.244247304455 -284.453214932679</t>
  </si>
  <si>
    <t>-639.336982062029 58.22682834072 -768.469578906577</t>
  </si>
  <si>
    <t>-561.830853222043 193.884770871128 -238.988585444318</t>
  </si>
  <si>
    <t>-587.536896996744 192.154800867165 215.977188624244</t>
  </si>
  <si>
    <t>-621.040317135488 167.751419881482 683.709664450221</t>
  </si>
  <si>
    <t>-483.227198890336 94.8390909756686 765.164241846694</t>
  </si>
  <si>
    <t>-646.657306413491 18.6046391716131 -221.183797197727</t>
  </si>
  <si>
    <t>-514.217650661268 -100.127231574536 198.36372718044</t>
  </si>
  <si>
    <t>-505.018434221365 -25.6081062287738 662.307566876613</t>
  </si>
  <si>
    <t>-496.81495387152 -172.944383912998 758.058377928982</t>
  </si>
  <si>
    <t>9763-20170724T160437.693299500.bin</t>
  </si>
  <si>
    <t>-601.301302036567 106.408266765641 -229.772922804045</t>
  </si>
  <si>
    <t>-635.025665557383 110.457145193396 -346.022941487229</t>
  </si>
  <si>
    <t>-645.298183656043 107.650922567348 -466.75887804308</t>
  </si>
  <si>
    <t>-644.900623878986 102.060620067822 -576.136396784134</t>
  </si>
  <si>
    <t>-634.958930132588 93.3598273333382 -684.857562224785</t>
  </si>
  <si>
    <t>-611.29317295533 77.9451509217652 -834.531711028285</t>
  </si>
  <si>
    <t>-561.103107672104 52.9035355841645 -919.601370760849</t>
  </si>
  <si>
    <t>-605.697219274207 112.199546472703 -768.590481518649</t>
  </si>
  <si>
    <t>-524.747283209259 232.907696462743 -746.334657141769</t>
  </si>
  <si>
    <t>-492.458073155103 265.384217832257 -433.143205934594</t>
  </si>
  <si>
    <t>-348.252862652194 107.493941289325 -285.097408632471</t>
  </si>
  <si>
    <t>-637.831697879892 57.3319885954882 -768.020649024629</t>
  </si>
  <si>
    <t>-558.805326390262 193.637787636501 -238.916610917033</t>
  </si>
  <si>
    <t>-584.958652264147 191.235762403508 216.020596792671</t>
  </si>
  <si>
    <t>-621.023004636334 167.660014541015 683.720843953967</t>
  </si>
  <si>
    <t>-483.121829162279 95.0153509582435 765.265483210126</t>
  </si>
  <si>
    <t>-643.659930509428 19.2886354259474 -219.972723079361</t>
  </si>
  <si>
    <t>-511.490668001284 -103.170663678266 198.587465400346</t>
  </si>
  <si>
    <t>-503.772644430024 -25.2917465877692 662.35369124036</t>
  </si>
  <si>
    <t>-497.630521512022 -173.204571794779 757.3672978336</t>
  </si>
  <si>
    <t>9763-20170724T160437.726897600.bin</t>
  </si>
  <si>
    <t>-600.152253085824 106.810623968755 -229.449449137133</t>
  </si>
  <si>
    <t>-634.023008389559 110.911926754425 -345.655129268615</t>
  </si>
  <si>
    <t>-644.531836107817 108.125599953208 -466.371198346875</t>
  </si>
  <si>
    <t>-644.381507867524 102.543771853369 -575.749815214429</t>
  </si>
  <si>
    <t>-634.718149231733 93.8439956150405 -684.496101381637</t>
  </si>
  <si>
    <t>-611.469070350874 78.4245581687951 -834.23511411978</t>
  </si>
  <si>
    <t>-561.502679603692 53.4499798770216 -919.455963964544</t>
  </si>
  <si>
    <t>-605.6992097915 112.68642149918 -768.312728311862</t>
  </si>
  <si>
    <t>-524.670381944482 233.433793702336 -746.379388753815</t>
  </si>
  <si>
    <t>-491.510474613534 266.052261310879 -433.29366960993</t>
  </si>
  <si>
    <t>-347.5438142593 107.954635807365 -285.237040733105</t>
  </si>
  <si>
    <t>-637.813029914145 57.8078197207867 -767.647680223003</t>
  </si>
  <si>
    <t>-557.651381537617 193.984077686015 -238.698420482174</t>
  </si>
  <si>
    <t>-583.893876953623 191.010972680611 216.230308487254</t>
  </si>
  <si>
    <t>-621.029014353519 167.612429538052 683.752279804704</t>
  </si>
  <si>
    <t>-483.083621057719 95.093285274085 765.333867598311</t>
  </si>
  <si>
    <t>-642.676538125743 20.0409484403485 -219.484249423575</t>
  </si>
  <si>
    <t>-510.454337927514 -103.787622273498 198.656301202853</t>
  </si>
  <si>
    <t>-503.503562496048 -25.0982785136889 662.245043469044</t>
  </si>
  <si>
    <t>-497.606496070081 -173.268018432343 756.873127685865</t>
  </si>
  <si>
    <t>9763-20170724T160437.791391700.bin</t>
  </si>
  <si>
    <t>-598.783789576057 108.072415649116 -229.142160572166</t>
  </si>
  <si>
    <t>-632.662944555083 111.861393178131 -345.355989472027</t>
  </si>
  <si>
    <t>-643.468378818017 108.877347437965 -466.041106257442</t>
  </si>
  <si>
    <t>-643.703858100285 103.162621739958 -575.41265004188</t>
  </si>
  <si>
    <t>-634.541297112758 94.3740383686122 -684.195228090723</t>
  </si>
  <si>
    <t>-612.103560527863 78.8749064787698 -834.049707123458</t>
  </si>
  <si>
    <t>-562.645482544082 53.9759172152819 -919.58868384383</t>
  </si>
  <si>
    <t>-605.965836648568 113.165590612965 -768.175578400277</t>
  </si>
  <si>
    <t>-524.626661500533 233.791415542132 -746.766575667891</t>
  </si>
  <si>
    <t>-491.114252308482 266.95755595516 -433.776064793587</t>
  </si>
  <si>
    <t>-346.94737038946 108.725743657414 -286.057810553164</t>
  </si>
  <si>
    <t>-638.097230634026 58.3000616970783 -767.311935353549</t>
  </si>
  <si>
    <t>-556.225731147206 194.717868962386 -238.49545734674</t>
  </si>
  <si>
    <t>-583.012486880247 191.362646900285 216.398938813004</t>
  </si>
  <si>
    <t>-621.013930241961 167.628781846869 683.802394711671</t>
  </si>
  <si>
    <t>-483.207421596144 94.9230423147249 765.452561680261</t>
  </si>
  <si>
    <t>-641.456596462527 21.5705006055257 -219.033706359703</t>
  </si>
  <si>
    <t>-509.289964618036 -103.307710127881 198.812096093979</t>
  </si>
  <si>
    <t>-503.045243650094 -24.2872236637841 662.439792517624</t>
  </si>
  <si>
    <t>-497.252377457286 -173.176195020557 755.938593164371</t>
  </si>
  <si>
    <t>9763-20170724T160437.833019600.bin</t>
  </si>
  <si>
    <t>-598.699595076672 108.575974114882 -229.000637082808</t>
  </si>
  <si>
    <t>-632.436722932762 112.085489987268 -345.2644112982</t>
  </si>
  <si>
    <t>-643.288829707442 108.969693606318 -465.941992921074</t>
  </si>
  <si>
    <t>-643.645780550406 103.192985717998 -575.310100508111</t>
  </si>
  <si>
    <t>-634.683101884498 94.39702733889 -684.108728553191</t>
  </si>
  <si>
    <t>-612.602972836416 78.9412898056535 -834.020681417834</t>
  </si>
  <si>
    <t>-563.339174037681 54.0532629789584 -919.674951774663</t>
  </si>
  <si>
    <t>-606.300864662887 113.208738283244 -768.150018919478</t>
  </si>
  <si>
    <t>-524.813022406149 233.748279890591 -746.873616646597</t>
  </si>
  <si>
    <t>-491.211041228941 267.152794785672 -433.917835110999</t>
  </si>
  <si>
    <t>-346.834894140315 108.849816555084 -286.480674310279</t>
  </si>
  <si>
    <t>-638.444541811169 58.3513171811928 -767.228597272357</t>
  </si>
  <si>
    <t>-555.978973879665 194.821601324757 -238.460916239657</t>
  </si>
  <si>
    <t>-582.958359668949 191.593510693265 216.422995409162</t>
  </si>
  <si>
    <t>-621.126236448385 167.475022032709 683.822657244538</t>
  </si>
  <si>
    <t>-483.058689872754 95.2569882083023 765.464656495553</t>
  </si>
  <si>
    <t>-641.404295704864 22.3672753537201 -218.793456136495</t>
  </si>
  <si>
    <t>-509.014166583042 -103.043601269884 198.822036134006</t>
  </si>
  <si>
    <t>-502.848926990706 -23.9315604271185 662.49688690169</t>
  </si>
  <si>
    <t>-497.077050423956 -173.150423958539 755.469569078092</t>
  </si>
  <si>
    <t>9763-20170724T160437.893405300.bin</t>
  </si>
  <si>
    <t>-598.68418405993 109.5863020304 -228.743540347538</t>
  </si>
  <si>
    <t>-632.422990640594 112.811486972456 -345.015159769662</t>
  </si>
  <si>
    <t>-643.399199185057 109.550236918078 -465.677645435661</t>
  </si>
  <si>
    <t>-643.917746198696 103.697856630679 -575.041069288409</t>
  </si>
  <si>
    <t>-635.165184813245 94.8798689614421 -683.855031951534</t>
  </si>
  <si>
    <t>-613.425216922898 79.4478214499975 -833.819089089377</t>
  </si>
  <si>
    <t>-564.374596252684 54.6059969841583 -919.609012882251</t>
  </si>
  <si>
    <t>-607.017934804598 113.730538605792 -767.966525204736</t>
  </si>
  <si>
    <t>-525.585806717488 234.365756085398 -746.964808501608</t>
  </si>
  <si>
    <t>-491.033316891827 267.669792175152 -434.102099575897</t>
  </si>
  <si>
    <t>-346.391648895389 109.244946241578 -287.056478868471</t>
  </si>
  <si>
    <t>-639.070989435238 58.8215497726044 -766.962706251251</t>
  </si>
  <si>
    <t>-555.927712194493 195.544586978014 -238.386705266467</t>
  </si>
  <si>
    <t>-582.645520277528 191.998467703973 216.510308457054</t>
  </si>
  <si>
    <t>-621.23808557398 167.513894579312 683.900200526808</t>
  </si>
  <si>
    <t>-483.125351032238 95.3272973309686 765.493544793789</t>
  </si>
  <si>
    <t>-641.347603474576 23.6628857163489 -218.43101558408</t>
  </si>
  <si>
    <t>-508.590108662747 -102.147932710549 198.947365470445</t>
  </si>
  <si>
    <t>-502.524335747862 -23.1054092139955 662.750875892241</t>
  </si>
  <si>
    <t>-496.408205292486 -173.033556750003 754.553266696607</t>
  </si>
  <si>
    <t>9763-20170724T160437.929501000.bin</t>
  </si>
  <si>
    <t>-598.557221714074 110.005392788664 -228.703165044472</t>
  </si>
  <si>
    <t>-632.428256058982 113.231050074683 -344.936270360123</t>
  </si>
  <si>
    <t>-643.502910593412 109.959410958935 -465.58968648832</t>
  </si>
  <si>
    <t>-644.094496571004 104.095046129545 -574.951976145746</t>
  </si>
  <si>
    <t>-635.39787739165 95.2639145609696 -683.76940569242</t>
  </si>
  <si>
    <t>-613.7177164671 79.8130206222424 -833.740198711851</t>
  </si>
  <si>
    <t>-564.693797005314 55.0083548540981 -919.556121210962</t>
  </si>
  <si>
    <t>-607.315561663623 114.122243000573 -767.900809557607</t>
  </si>
  <si>
    <t>-525.952695877819 234.814244170336 -747.020484394403</t>
  </si>
  <si>
    <t>-490.812901459842 267.914299351957 -434.201419389435</t>
  </si>
  <si>
    <t>-345.936581700728 109.531638112445 -287.341335230009</t>
  </si>
  <si>
    <t>-639.30539374273 59.1769667872095 -766.864591901906</t>
  </si>
  <si>
    <t>-555.826537256108 195.898833938992 -238.330344889258</t>
  </si>
  <si>
    <t>-582.376146503726 192.136330169139 216.574748835252</t>
  </si>
  <si>
    <t>-621.245690113462 167.667658350014 683.94133156738</t>
  </si>
  <si>
    <t>-483.201494265926 95.2961501969457 765.486810443065</t>
  </si>
  <si>
    <t>-641.212744181441 24.1851682219153 -218.329534612006</t>
  </si>
  <si>
    <t>-508.261630121121 -101.614635473453 198.990618106574</t>
  </si>
  <si>
    <t>-502.351301668379 -22.7754304514895 662.800491617434</t>
  </si>
  <si>
    <t>-496.10579019432 -173.00190572163 754.104892522871</t>
  </si>
  <si>
    <t>9763-20170724T160437.992393800.bin</t>
  </si>
  <si>
    <t>-598.555646113954 110.641287643793 -228.655026221741</t>
  </si>
  <si>
    <t>-632.463177894126 113.723944566598 -344.881349283074</t>
  </si>
  <si>
    <t>-643.707730924588 110.421624220012 -465.518183066299</t>
  </si>
  <si>
    <t>-644.504586263446 104.580409503723 -574.880340850212</t>
  </si>
  <si>
    <t>-636.061929298102 95.825556621124 -683.723991733888</t>
  </si>
  <si>
    <t>-614.781789529538 80.5376310581655 -833.768846077558</t>
  </si>
  <si>
    <t>-565.865756818584 55.810349684733 -919.668536862395</t>
  </si>
  <si>
    <t>-608.246937856597 114.800098534778 -767.918168370309</t>
  </si>
  <si>
    <t>-526.898654380241 235.53868788138 -747.221742723653</t>
  </si>
  <si>
    <t>-490.726961521096 267.519253224704 -434.403830359363</t>
  </si>
  <si>
    <t>-345.363281392065 109.253654977897 -287.899631732238</t>
  </si>
  <si>
    <t>-640.148102907647 59.8042017301023 -766.839094895859</t>
  </si>
  <si>
    <t>-555.751906153465 196.277491562638 -238.306641835678</t>
  </si>
  <si>
    <t>-581.967783508604 192.384362068499 216.616737005227</t>
  </si>
  <si>
    <t>-621.308814504866 167.97876846356 684.026616098434</t>
  </si>
  <si>
    <t>-483.480243518074 95.0470553299847 765.437700892976</t>
  </si>
  <si>
    <t>-641.209560184464 24.9908348694521 -218.255417748382</t>
  </si>
  <si>
    <t>-507.815129717071 -100.854187157394 198.90953448967</t>
  </si>
  <si>
    <t>-502.013249285615 -22.498843249818 662.659318332497</t>
  </si>
  <si>
    <t>-495.86191844986 -173.080550663854 753.383256248791</t>
  </si>
  <si>
    <t>9763-20170724T160438.024476000.bin</t>
  </si>
  <si>
    <t>-598.671115457573 110.824388254992 -228.646175558454</t>
  </si>
  <si>
    <t>-632.66880585844 113.910237339628 -344.846211761624</t>
  </si>
  <si>
    <t>-644.008075247992 110.639420411647 -465.474884655133</t>
  </si>
  <si>
    <t>-644.890409540511 104.840725424642 -574.8387590277</t>
  </si>
  <si>
    <t>-636.531232234788 96.1445348016505 -683.693387478539</t>
  </si>
  <si>
    <t>-615.363539663912 80.9564980818691 -833.764364087357</t>
  </si>
  <si>
    <t>-566.493809646066 56.2941524769287 -919.709107014343</t>
  </si>
  <si>
    <t>-608.793698037174 115.183368252806 -767.89864518103</t>
  </si>
  <si>
    <t>-527.450691014252 235.918090435446 -747.222955915347</t>
  </si>
  <si>
    <t>-490.723863080182 267.536126300416 -434.432818745603</t>
  </si>
  <si>
    <t>-345.18276130588 109.256067300574 -288.120548556707</t>
  </si>
  <si>
    <t>-640.665359535754 60.1702387387172 -766.826657546801</t>
  </si>
  <si>
    <t>-555.8590312868 196.447642300705 -238.320186847473</t>
  </si>
  <si>
    <t>-581.82453143393 192.456976813571 216.616556519127</t>
  </si>
  <si>
    <t>-621.345227640617 168.097244833341 684.044476452619</t>
  </si>
  <si>
    <t>-483.533766858587 95.0630966213512 765.392663824282</t>
  </si>
  <si>
    <t>-641.401787450562 25.1671615538355 -218.259664247773</t>
  </si>
  <si>
    <t>-507.603881562353 -100.578682081169 198.805990660484</t>
  </si>
  <si>
    <t>-501.834061510009 -22.4742524340477 662.56107288085</t>
  </si>
  <si>
    <t>-495.829502681568 -173.147964457443 753.141873495194</t>
  </si>
  <si>
    <t>9763-20170724T160438.094400400.bin</t>
  </si>
  <si>
    <t>-598.944157532605 110.886654657513 -228.586716583922</t>
  </si>
  <si>
    <t>-633.18540961384 113.984854789769 -344.714765089635</t>
  </si>
  <si>
    <t>-644.746604599399 110.80304842959 -465.324782913072</t>
  </si>
  <si>
    <t>-645.814948302918 105.121812324395 -574.693211223854</t>
  </si>
  <si>
    <t>-637.623909072977 96.5833874764514 -683.573306684956</t>
  </si>
  <si>
    <t>-616.66841360354 81.6594612789663 -833.700374722828</t>
  </si>
  <si>
    <t>-567.91851834968 57.1286853747488 -919.750806384544</t>
  </si>
  <si>
    <t>-609.998958107132 115.766557335138 -767.782552542132</t>
  </si>
  <si>
    <t>-528.455638612733 236.389139647773 -747.127619565537</t>
  </si>
  <si>
    <t>-490.590808408583 267.344487656824 -434.407009459016</t>
  </si>
  <si>
    <t>-345.188138332736 108.681372101349 -288.372319475404</t>
  </si>
  <si>
    <t>-641.882202402317 60.759085219094 -766.764791082735</t>
  </si>
  <si>
    <t>-555.932119128366 196.465721595116 -238.37378894107</t>
  </si>
  <si>
    <t>-581.709618115025 192.465328510142 216.573728033374</t>
  </si>
  <si>
    <t>-621.441836670656 168.18927891366 684.005858398379</t>
  </si>
  <si>
    <t>-483.712053773771 94.9713350636787 765.327098612531</t>
  </si>
  <si>
    <t>-641.898484073786 25.2571540900312 -218.128066708506</t>
  </si>
  <si>
    <t>-506.974460954895 -100.352851653503 198.615677731121</t>
  </si>
  <si>
    <t>-501.687311693053 -22.4686086686618 662.349221870945</t>
  </si>
  <si>
    <t>-495.500284665165 -173.227085057588 752.776471593648</t>
  </si>
  <si>
    <t>9763-20170724T160438.127995300.bin</t>
  </si>
  <si>
    <t>-599.090877730651 110.79492908675 -228.587231277748</t>
  </si>
  <si>
    <t>-633.432022413132 113.862547412555 -344.686667577806</t>
  </si>
  <si>
    <t>-645.098554756317 110.71114989625 -465.287393579575</t>
  </si>
  <si>
    <t>-646.263128364106 105.080319313176 -574.657233142589</t>
  </si>
  <si>
    <t>-638.168459358302 96.6140960919101 -683.550141166942</t>
  </si>
  <si>
    <t>-617.346057042956 81.8123260450229 -833.707796527211</t>
  </si>
  <si>
    <t>-568.666113584452 57.3271502605778 -919.810901171587</t>
  </si>
  <si>
    <t>-610.592854716517 115.851184200349 -767.763377526393</t>
  </si>
  <si>
    <t>-528.848956790036 236.328706289919 -747.076846024692</t>
  </si>
  <si>
    <t>-490.527050582263 266.825275537676 -434.366749999439</t>
  </si>
  <si>
    <t>-345.3310810728 107.992262783285 -288.311159689865</t>
  </si>
  <si>
    <t>-642.525754502206 60.8721654836977 -766.772066352092</t>
  </si>
  <si>
    <t>-556.013629117641 196.355019533086 -238.427557251119</t>
  </si>
  <si>
    <t>-581.66949454468 192.474876229428 216.527863355947</t>
  </si>
  <si>
    <t>-621.432451894765 168.339547677728 683.985268350356</t>
  </si>
  <si>
    <t>-483.725178866522 95.0685727877699 765.296941464459</t>
  </si>
  <si>
    <t>-642.077970374525 25.181317953929 -218.066733790173</t>
  </si>
  <si>
    <t>-506.650547584303 -100.435337497281 198.511682658335</t>
  </si>
  <si>
    <t>-501.673507377253 -22.5064180820225 662.218485778362</t>
  </si>
  <si>
    <t>-495.27007092524 -173.266094212321 752.628779685838</t>
  </si>
  <si>
    <t>9763-20170724T160438.196350200.bin</t>
  </si>
  <si>
    <t>-599.439364243275 110.517809010622 -228.642392055703</t>
  </si>
  <si>
    <t>-633.9506687855 113.551639501087 -344.692233216689</t>
  </si>
  <si>
    <t>-645.816750233826 110.48624539808 -465.275623532958</t>
  </si>
  <si>
    <t>-647.172085008231 104.976072746433 -574.64956254845</t>
  </si>
  <si>
    <t>-639.277408454854 96.669641018841 -683.56931758763</t>
  </si>
  <si>
    <t>-618.741400351411 82.1271140519107 -833.791960131101</t>
  </si>
  <si>
    <t>-570.234537555891 57.7262566047812 -920.016310992653</t>
  </si>
  <si>
    <t>-611.812878516005 116.02338648253 -767.792272527038</t>
  </si>
  <si>
    <t>-529.698497506243 236.235920916815 -747.051860196776</t>
  </si>
  <si>
    <t>-490.270191153679 265.737854231397 -434.383878400589</t>
  </si>
  <si>
    <t>-345.508674471897 106.63641831269 -288.18913833701</t>
  </si>
  <si>
    <t>-643.843046447069 61.1000429186929 -766.853903237476</t>
  </si>
  <si>
    <t>-556.334193963242 196.099436339847 -238.53968969031</t>
  </si>
  <si>
    <t>-581.563429955629 192.266258832349 216.439935580027</t>
  </si>
  <si>
    <t>-621.494632603605 168.539133342945 683.938362101476</t>
  </si>
  <si>
    <t>-483.845661202688 95.0898459726288 765.187834062793</t>
  </si>
  <si>
    <t>-642.44427555186 24.8978637357945 -218.042615914819</t>
  </si>
  <si>
    <t>-506.297539129216 -100.593255502392 198.339174588955</t>
  </si>
  <si>
    <t>-501.632892944916 -22.5628556332686 662.042350779241</t>
  </si>
  <si>
    <t>-494.918000826382 -173.346357000263 752.390381924336</t>
  </si>
  <si>
    <t>9763-20170724T160438.228448600.bin</t>
  </si>
  <si>
    <t>-599.561267356385 110.371046006892 -228.694662780277</t>
  </si>
  <si>
    <t>-634.157403197444 113.416472713468 -344.718974937913</t>
  </si>
  <si>
    <t>-646.12008683305 110.405008890355 -465.294319414639</t>
  </si>
  <si>
    <t>-647.56661527893 104.958679117432 -574.670173696339</t>
  </si>
  <si>
    <t>-639.766374857284 96.7298406886312 -683.602696141046</t>
  </si>
  <si>
    <t>-619.364220024933 82.3083958240875 -833.855140139701</t>
  </si>
  <si>
    <t>-570.954482866766 57.9606015023221 -920.149235100157</t>
  </si>
  <si>
    <t>-612.359394223376 116.141418365075 -767.831038853783</t>
  </si>
  <si>
    <t>-530.108609989411 236.255164986519 -747.080396502447</t>
  </si>
  <si>
    <t>-490.100537416985 265.287270902831 -434.442096629891</t>
  </si>
  <si>
    <t>-345.399060580521 106.099963127505 -288.281405006584</t>
  </si>
  <si>
    <t>-644.423624057721 61.2375305540656 -766.91516873494</t>
  </si>
  <si>
    <t>-556.483297548823 195.991623397238 -238.592327363353</t>
  </si>
  <si>
    <t>-581.446461848601 192.159634482475 216.401980284111</t>
  </si>
  <si>
    <t>-621.548619267198 168.606130156952 683.921866534184</t>
  </si>
  <si>
    <t>-483.947220330317 95.0256240537576 765.133190638876</t>
  </si>
  <si>
    <t>-642.503367073566 24.7009661217237 -218.101477868952</t>
  </si>
  <si>
    <t>-506.16355624603 -100.612569705419 198.270574926467</t>
  </si>
  <si>
    <t>-501.593942223961 -22.6352568277448 661.946409737245</t>
  </si>
  <si>
    <t>-494.828699592277 -173.411507102898 752.302779167296</t>
  </si>
  <si>
    <t>9763-20170724T160438.298338400.bin</t>
  </si>
  <si>
    <t>-599.705023659974 110.113086398893 -228.815542229559</t>
  </si>
  <si>
    <t>-634.455116325739 113.253147476907 -344.791333596795</t>
  </si>
  <si>
    <t>-646.603366531397 110.347144063203 -465.350550322972</t>
  </si>
  <si>
    <t>-648.228426116378 105.00003181174 -574.728941823011</t>
  </si>
  <si>
    <t>-640.615910700127 96.8742378163934 -683.682467370262</t>
  </si>
  <si>
    <t>-620.482811811434 82.5997825545974 -833.98517937979</t>
  </si>
  <si>
    <t>-572.282709719773 58.3117160219747 -920.4133046855</t>
  </si>
  <si>
    <t>-613.317249532252 116.343319314291 -767.932620796984</t>
  </si>
  <si>
    <t>-530.777704690326 236.270540358519 -747.181894622869</t>
  </si>
  <si>
    <t>-489.975225430559 264.438680642892 -434.567245163002</t>
  </si>
  <si>
    <t>-345.057521349747 105.18946974621 -288.688482920685</t>
  </si>
  <si>
    <t>-645.465062635823 61.4880779513151 -767.029068471938</t>
  </si>
  <si>
    <t>-556.622126352996 195.86365556837 -238.703356812621</t>
  </si>
  <si>
    <t>-581.210941746227 191.906321144008 216.310253594741</t>
  </si>
  <si>
    <t>-621.620531772751 168.733270466977 683.859833709615</t>
  </si>
  <si>
    <t>-484.087127828888 94.9656033414535 765.01652439179</t>
  </si>
  <si>
    <t>-642.705362764345 24.3474736869703 -218.218478847268</t>
  </si>
  <si>
    <t>-506.051195027795 -100.65529907722 198.143922351228</t>
  </si>
  <si>
    <t>-501.479864288071 -22.8313047102686 661.790191470846</t>
  </si>
  <si>
    <t>-494.821724640995 -173.562488973056 752.229480023449</t>
  </si>
  <si>
    <t>9763-20170724T160438.329425900.bin</t>
  </si>
  <si>
    <t>-599.778140384649 110.029028550733 -228.838426073214</t>
  </si>
  <si>
    <t>-634.619758933414 113.211922666099 -344.785551636687</t>
  </si>
  <si>
    <t>-646.875456246514 110.346711808139 -465.335045404829</t>
  </si>
  <si>
    <t>-648.602802064312 105.036194687359 -574.713444123734</t>
  </si>
  <si>
    <t>-641.096677259138 96.9473351855042 -683.677104974647</t>
  </si>
  <si>
    <t>-621.114725228577 82.7250789640807 -834.004888947876</t>
  </si>
  <si>
    <t>-573.035349032592 58.4594402740195 -920.506561797122</t>
  </si>
  <si>
    <t>-613.857617054923 116.431133037172 -767.943251322678</t>
  </si>
  <si>
    <t>-531.188825634957 236.258899575594 -747.190459281054</t>
  </si>
  <si>
    <t>-490.057234778822 263.962792621006 -434.577320489563</t>
  </si>
  <si>
    <t>-344.765550042877 104.898049993531 -288.869466690177</t>
  </si>
  <si>
    <t>-646.0545727615 61.6049024138661 -767.035879882778</t>
  </si>
  <si>
    <t>-556.618313880471 195.811190348581 -238.74943225603</t>
  </si>
  <si>
    <t>-581.081893108708 191.912314232954 216.271509467616</t>
  </si>
  <si>
    <t>-621.558882581147 168.872254077096 683.819732278503</t>
  </si>
  <si>
    <t>-484.183927734572 94.8150018464089 764.981019428461</t>
  </si>
  <si>
    <t>-642.873189299023 24.2234671725271 -218.217590165485</t>
  </si>
  <si>
    <t>-506.003441338858 -100.650063184477 198.112802421134</t>
  </si>
  <si>
    <t>-501.441666397799 -22.9139775123022 661.746324662289</t>
  </si>
  <si>
    <t>-494.816733407596 -173.623274536052 752.224768286837</t>
  </si>
  <si>
    <t>9763-20170724T160438.394601900.bin</t>
  </si>
  <si>
    <t>-600.089751151916 110.076446208135 -228.792896110696</t>
  </si>
  <si>
    <t>-635.091468231491 113.291951979933 -344.690871796462</t>
  </si>
  <si>
    <t>-647.508203483852 110.467734019511 -465.224742922613</t>
  </si>
  <si>
    <t>-649.379440136843 105.197386694477 -574.602881988345</t>
  </si>
  <si>
    <t>-642.013966667693 97.1522968252461 -683.579313283865</t>
  </si>
  <si>
    <t>-622.223544446657 82.9941517418185 -833.938501991657</t>
  </si>
  <si>
    <t>-574.349980644445 58.7601649849198 -920.563145786566</t>
  </si>
  <si>
    <t>-614.815187260127 116.632715023387 -767.85924226109</t>
  </si>
  <si>
    <t>-531.852687801323 236.256567538789 -747.07740220951</t>
  </si>
  <si>
    <t>-490.044364686172 263.361262310954 -434.501750578789</t>
  </si>
  <si>
    <t>-344.04250986282 104.702116703888 -289.06173505183</t>
  </si>
  <si>
    <t>-647.145217494861 61.8846510928647 -766.959270124942</t>
  </si>
  <si>
    <t>-556.760460709991 195.888586291016 -238.871040571875</t>
  </si>
  <si>
    <t>-580.909780078395 191.977483045339 216.166526113577</t>
  </si>
  <si>
    <t>-621.492048897154 168.951900582562 683.668338845334</t>
  </si>
  <si>
    <t>-484.327633487517 94.7171634977408 765.023353079708</t>
  </si>
  <si>
    <t>-643.372010610526 24.260637781503 -218.026348471754</t>
  </si>
  <si>
    <t>-505.967333216559 -100.855457935431 198.054792276998</t>
  </si>
  <si>
    <t>-501.383282925428 -23.0058270469021 661.682580284765</t>
  </si>
  <si>
    <t>-494.696090467809 -173.713784020773 752.158605696763</t>
  </si>
  <si>
    <t>9763-20170724T160438.428193000.bin</t>
  </si>
  <si>
    <t>-600.155676307181 110.165035033021 -228.797642417379</t>
  </si>
  <si>
    <t>-635.246931992274 113.390435098757 -344.668294712091</t>
  </si>
  <si>
    <t>-647.733050035786 110.561863202524 -465.194747896008</t>
  </si>
  <si>
    <t>-649.657849989795 105.281897654104 -574.571513612141</t>
  </si>
  <si>
    <t>-642.336217839088 97.2220679617001 -683.549962948813</t>
  </si>
  <si>
    <t>-622.596163290062 83.0387562268902 -833.913375094403</t>
  </si>
  <si>
    <t>-574.801634510424 58.7850271579252 -920.576072488055</t>
  </si>
  <si>
    <t>-615.129740250032 116.667257945984 -767.835409979108</t>
  </si>
  <si>
    <t>-532.024110650423 236.183982461121 -747.037628844748</t>
  </si>
  <si>
    <t>-489.70392758955 263.102828370518 -434.514790402832</t>
  </si>
  <si>
    <t>-343.394848692688 104.75846717272 -289.04041236772</t>
  </si>
  <si>
    <t>-647.531286299548 61.9616296531945 -766.92896542315</t>
  </si>
  <si>
    <t>-556.674863134257 196.038674532525 -238.972202674865</t>
  </si>
  <si>
    <t>-580.650752745546 192.155420244223 216.074752003497</t>
  </si>
  <si>
    <t>-621.143645560792 169.199511573089 683.501425568229</t>
  </si>
  <si>
    <t>-484.50879226047 94.298909071601 765.136820615637</t>
  </si>
  <si>
    <t>-643.546631606984 24.2779853011227 -217.953714997443</t>
  </si>
  <si>
    <t>-505.945597157113 -101.015697531735 198.009194284844</t>
  </si>
  <si>
    <t>-501.324597141547 -23.0543763699486 661.611552323577</t>
  </si>
  <si>
    <t>-494.693720532198 -173.76618878928 752.085233512785</t>
  </si>
  <si>
    <t>9763-20170724T160438.502903800.bin</t>
  </si>
  <si>
    <t>-600.271565093353 110.261448007817 -229.001638610434</t>
  </si>
  <si>
    <t>-635.547077393849 113.533396583231 -344.815000790984</t>
  </si>
  <si>
    <t>-648.141816882407 110.687780040644 -465.330033686582</t>
  </si>
  <si>
    <t>-650.131027785341 105.36946507423 -574.703612530612</t>
  </si>
  <si>
    <t>-642.839234913692 97.250478911885 -683.679575068974</t>
  </si>
  <si>
    <t>-623.104410265208 82.9654996313575 -834.034091300688</t>
  </si>
  <si>
    <t>-575.42879697291 58.6408733756521 -920.742585365959</t>
  </si>
  <si>
    <t>-615.577340128364 116.60444627524 -767.968274821649</t>
  </si>
  <si>
    <t>-532.207662783551 235.947457184092 -747.197838589704</t>
  </si>
  <si>
    <t>-488.583952257957 262.527948950293 -434.825184048135</t>
  </si>
  <si>
    <t>-341.678504688444 104.599077681125 -289.500303362577</t>
  </si>
  <si>
    <t>-648.095403844783 61.9680820862516 -767.045521087065</t>
  </si>
  <si>
    <t>-556.614139340361 196.082364631563 -239.378711092097</t>
  </si>
  <si>
    <t>-580.161602118746 191.979442444943 215.688753524505</t>
  </si>
  <si>
    <t>-620.868955586445 169.253559748297 683.077275832299</t>
  </si>
  <si>
    <t>-484.726955887737 94.1757985456538 765.370638852448</t>
  </si>
  <si>
    <t>-643.860000078198 24.3977686507519 -217.960778675286</t>
  </si>
  <si>
    <t>-505.891879420468 -101.417605989192 197.722977585943</t>
  </si>
  <si>
    <t>-501.226908247426 -23.1496987610633 661.314627093939</t>
  </si>
  <si>
    <t>-494.681345585125 -173.864148595029 751.790280845726</t>
  </si>
  <si>
    <t>9763-20170724T160438.525957500.bin</t>
  </si>
  <si>
    <t>-600.24994890988 110.335214884728 -229.097357879359</t>
  </si>
  <si>
    <t>-635.600298035629 113.639608301052 -344.886965607857</t>
  </si>
  <si>
    <t>-648.202923565124 110.771363246247 -465.400559627938</t>
  </si>
  <si>
    <t>-650.170758610842 105.412337543119 -574.772669746916</t>
  </si>
  <si>
    <t>-642.828889983457 97.2342490686983 -683.740875281988</t>
  </si>
  <si>
    <t>-622.994982091161 82.8496894741807 -834.072841789004</t>
  </si>
  <si>
    <t>-575.354520423434 58.4737737531257 -920.78618634992</t>
  </si>
  <si>
    <t>-615.483849511752 116.515947586475 -768.019231080136</t>
  </si>
  <si>
    <t>-532.004378885033 235.776647574301 -747.262840022321</t>
  </si>
  <si>
    <t>-487.586777323577 262.264200702914 -434.994097468166</t>
  </si>
  <si>
    <t>-340.386845565507 104.514878057422 -289.772226945998</t>
  </si>
  <si>
    <t>-648.057794226047 61.912984370789 -767.092041225133</t>
  </si>
  <si>
    <t>-556.441248365991 196.156064845892 -239.502501435932</t>
  </si>
  <si>
    <t>-579.819923405264 191.909941356421 215.572274580563</t>
  </si>
  <si>
    <t>-620.784366322561 169.374601865662 683.015536015321</t>
  </si>
  <si>
    <t>-484.841431227695 94.0382779430715 765.401624776556</t>
  </si>
  <si>
    <t>-643.969144911107 24.489708460786 -217.997574221796</t>
  </si>
  <si>
    <t>-505.844225394643 -101.537925871311 197.56975163445</t>
  </si>
  <si>
    <t>-501.17291488003 -23.1911349091145 661.154649201734</t>
  </si>
  <si>
    <t>-494.680549928829 -173.911085261424 751.625087404815</t>
  </si>
  <si>
    <t>9763-20170724T160438.595148500.bin</t>
  </si>
  <si>
    <t>-600.009446360459 110.310099549521 -229.161107484606</t>
  </si>
  <si>
    <t>-635.431196285715 113.663141397369 -344.927537480281</t>
  </si>
  <si>
    <t>-648.026805775112 110.736052555172 -465.440428876163</t>
  </si>
  <si>
    <t>-649.956268527647 105.279749821089 -574.80832836111</t>
  </si>
  <si>
    <t>-642.544959280301 96.9607076941263 -683.761224138344</t>
  </si>
  <si>
    <t>-622.583646430525 82.3353890708192 -834.053033603941</t>
  </si>
  <si>
    <t>-575.082929201636 57.843508212045 -920.810346813175</t>
  </si>
  <si>
    <t>-615.04852632954 116.059636710048 -768.031733295918</t>
  </si>
  <si>
    <t>-531.242540114987 235.094135875655 -747.275364745324</t>
  </si>
  <si>
    <t>-485.44383809946 261.642561442239 -435.211415185467</t>
  </si>
  <si>
    <t>-337.892801141026 103.983709440716 -290.247895330511</t>
  </si>
  <si>
    <t>-647.783377524567 61.5535298991242 -767.075383042474</t>
  </si>
  <si>
    <t>-555.989149657363 196.021832527382 -239.541840742754</t>
  </si>
  <si>
    <t>-579.410677539882 191.796286046959 215.53093688972</t>
  </si>
  <si>
    <t>-620.808905894323 169.550744338729 682.990360488776</t>
  </si>
  <si>
    <t>-485.012595538243 93.9314440608769 765.358975918124</t>
  </si>
  <si>
    <t>-643.934981034124 24.5332341400374 -218.016325006648</t>
  </si>
  <si>
    <t>-505.690025258451 -101.812507939022 197.414491498343</t>
  </si>
  <si>
    <t>-501.093243724096 -23.2428773885326 660.941327403123</t>
  </si>
  <si>
    <t>-494.647378778385 -173.987461491506 751.37382473985</t>
  </si>
  <si>
    <t>9763-20170724T160438.630266000.bin</t>
  </si>
  <si>
    <t>-599.911009448779 110.314725638273 -229.179810511029</t>
  </si>
  <si>
    <t>-635.298244734903 113.665260683416 -344.956915467558</t>
  </si>
  <si>
    <t>-647.869422255139 110.689182673587 -465.471175179566</t>
  </si>
  <si>
    <t>-649.782587963126 105.167669692113 -574.836219480259</t>
  </si>
  <si>
    <t>-642.361537645976 96.7617610223347 -683.781592516197</t>
  </si>
  <si>
    <t>-622.394349794412 81.9923763657689 -834.058605270278</t>
  </si>
  <si>
    <t>-575.048117460922 57.4259109664674 -920.879075968727</t>
  </si>
  <si>
    <t>-614.814491230704 115.75156604274 -768.060247681962</t>
  </si>
  <si>
    <t>-530.812423629333 234.665451210689 -747.331855935573</t>
  </si>
  <si>
    <t>-484.45302705906 261.056849816235 -435.337546949764</t>
  </si>
  <si>
    <t>-336.803760969927 103.398632599134 -290.473387170364</t>
  </si>
  <si>
    <t>-647.644013164836 61.3030837013448 -767.071084305456</t>
  </si>
  <si>
    <t>-555.813838618017 196.013651681983 -239.56340602086</t>
  </si>
  <si>
    <t>-579.302614769392 191.795717204313 215.5059763643</t>
  </si>
  <si>
    <t>-620.817613073207 169.619997985865 682.976313082283</t>
  </si>
  <si>
    <t>-485.041052169487 93.9492245864733 765.330232768698</t>
  </si>
  <si>
    <t>-643.908799606438 24.5803541634475 -218.056816128837</t>
  </si>
  <si>
    <t>-505.706274751702 -101.878449828484 197.353745786059</t>
  </si>
  <si>
    <t>-501.076261599476 -23.2793886405198 660.854639976964</t>
  </si>
  <si>
    <t>-494.638515443207 -174.030826728402 751.276267477202</t>
  </si>
  <si>
    <t>9763-20170724T160438.694424700.bin</t>
  </si>
  <si>
    <t>-599.663582474998 110.434327032242 -229.269449717218</t>
  </si>
  <si>
    <t>-634.999794160794 113.834774210004 -345.060552334385</t>
  </si>
  <si>
    <t>-647.488852641427 110.788119290102 -465.581578884414</t>
  </si>
  <si>
    <t>-649.318920446615 105.146945072528 -574.941962752999</t>
  </si>
  <si>
    <t>-641.808581158936 96.5622507961405 -683.867397498481</t>
  </si>
  <si>
    <t>-621.713655712312 81.4801324261475 -834.09627653438</t>
  </si>
  <si>
    <t>-574.972111996844 56.9176744325746 -921.245031676739</t>
  </si>
  <si>
    <t>-614.106941155936 115.326717231904 -768.145831354244</t>
  </si>
  <si>
    <t>-529.851865048847 234.059312235969 -747.461196992487</t>
  </si>
  <si>
    <t>-482.271229029339 259.974316079491 -435.610826683761</t>
  </si>
  <si>
    <t>-334.573390459495 102.007720451243 -291.132548745449</t>
  </si>
  <si>
    <t>-647.103230681167 60.9801693179486 -767.103357054999</t>
  </si>
  <si>
    <t>-555.517945936745 196.166968461738 -239.617013650299</t>
  </si>
  <si>
    <t>-579.091674559571 191.840462672925 215.447052436281</t>
  </si>
  <si>
    <t>-620.820588389377 169.723760683262 682.899391645506</t>
  </si>
  <si>
    <t>-485.128124983738 93.9386140746792 765.286740859857</t>
  </si>
  <si>
    <t>-643.686692674889 24.7076273180535 -218.193103073682</t>
  </si>
  <si>
    <t>-505.793165696903 -101.892098425816 197.27720868548</t>
  </si>
  <si>
    <t>-501.07689559455 -23.3245847311491 660.744175886881</t>
  </si>
  <si>
    <t>-494.621141759036 -174.100680126785 751.123173050593</t>
  </si>
  <si>
    <t>9763-20170724T160438.729523900.bin</t>
  </si>
  <si>
    <t>-599.446303247021 110.435274528175 -229.289222147779</t>
  </si>
  <si>
    <t>-634.748501680103 113.866338609712 -345.089774839743</t>
  </si>
  <si>
    <t>-647.178668725636 110.796134553018 -465.616194113188</t>
  </si>
  <si>
    <t>-648.947154025072 105.108187051863 -574.975266546104</t>
  </si>
  <si>
    <t>-641.368635942332 96.4491008103546 -683.890026889066</t>
  </si>
  <si>
    <t>-621.173886012156 81.2330968557619 -834.092123561233</t>
  </si>
  <si>
    <t>-575.008030464322 56.8032491074891 -921.584190097294</t>
  </si>
  <si>
    <t>-613.570063899501 115.113820758816 -768.158782997922</t>
  </si>
  <si>
    <t>-529.214349585595 233.7607204741 -747.462377608337</t>
  </si>
  <si>
    <t>-481.172083390966 259.369209520669 -435.657431628574</t>
  </si>
  <si>
    <t>-333.460326778554 101.173443953177 -291.444432382103</t>
  </si>
  <si>
    <t>-646.648789935579 60.8176144928934 -767.105860069904</t>
  </si>
  <si>
    <t>-555.285964791756 196.099336702103 -239.605813428576</t>
  </si>
  <si>
    <t>-578.902664453475 191.743639521991 215.455640643096</t>
  </si>
  <si>
    <t>-620.871758534986 169.74857361379 682.918038188257</t>
  </si>
  <si>
    <t>-484.992970980517 94.2487200020475 765.260236678117</t>
  </si>
  <si>
    <t>-643.495680658614 24.7505319525185 -218.234669084785</t>
  </si>
  <si>
    <t>-505.834800016412 -101.973017835999 197.27495748923</t>
  </si>
  <si>
    <t>-501.084408810227 -23.3115524527598 660.736514493448</t>
  </si>
  <si>
    <t>-494.611126043539 -174.124079632483 751.053678504566</t>
  </si>
  <si>
    <t>9763-20170724T160438.787558700.bin</t>
  </si>
  <si>
    <t>-598.987221029258 110.610216063015 -229.214171932619</t>
  </si>
  <si>
    <t>-634.226773862181 114.083020967636 -345.032655432358</t>
  </si>
  <si>
    <t>-646.517152407572 110.969647630375 -465.572313354344</t>
  </si>
  <si>
    <t>-648.130551466456 105.204100578037 -574.929656718832</t>
  </si>
  <si>
    <t>-640.370568851674 96.4272041309521 -683.822223831927</t>
  </si>
  <si>
    <t>-619.898981431696 81.0041845923838 -833.965650344726</t>
  </si>
  <si>
    <t>-574.844594444119 56.8780961748848 -922.119062020956</t>
  </si>
  <si>
    <t>-612.359802494359 114.941265196832 -768.054030294458</t>
  </si>
  <si>
    <t>-527.842196321363 233.478035680586 -747.319051716158</t>
  </si>
  <si>
    <t>-479.358895646364 258.724183001885 -435.552804658213</t>
  </si>
  <si>
    <t>-331.681743437772 100.100118243821 -291.77544574285</t>
  </si>
  <si>
    <t>-645.554253490656 60.7155121590404 -767.009657691364</t>
  </si>
  <si>
    <t>-554.740879856608 196.282686063809 -239.476731742171</t>
  </si>
  <si>
    <t>-578.608862425096 191.864463111063 215.571142752578</t>
  </si>
  <si>
    <t>-620.998613726791 169.84232745514 683.039950166035</t>
  </si>
  <si>
    <t>-485.250430668314 93.9542819412743 765.240664715133</t>
  </si>
  <si>
    <t>-643.133115899233 24.9301181216044 -218.205354340902</t>
  </si>
  <si>
    <t>-505.822180269397 -102.098592137475 197.327004348513</t>
  </si>
  <si>
    <t>-501.104359522345 -23.2733360166776 660.767159961187</t>
  </si>
  <si>
    <t>-494.550103370321 -174.155284946389 750.962455223751</t>
  </si>
  <si>
    <t>9763-20170724T160438.828684500.bin</t>
  </si>
  <si>
    <t>-598.545418530612 110.855853201818 -229.087644767977</t>
  </si>
  <si>
    <t>-633.666821478613 114.358923096094 -344.941174298968</t>
  </si>
  <si>
    <t>-645.803861411658 111.188463547938 -465.494937687984</t>
  </si>
  <si>
    <t>-647.267851813244 105.332289727467 -574.849424666313</t>
  </si>
  <si>
    <t>-639.349885427504 96.4245544706491 -683.720004009325</t>
  </si>
  <si>
    <t>-618.652666446079 80.7762485544833 -833.809245034061</t>
  </si>
  <si>
    <t>-574.721021426552 56.9589539679116 -922.610779630058</t>
  </si>
  <si>
    <t>-611.158586838568 114.779248055107 -767.926370899456</t>
  </si>
  <si>
    <t>-526.475755803653 233.185783916587 -747.134361967356</t>
  </si>
  <si>
    <t>-477.987075457711 258.227347187418 -435.352434417291</t>
  </si>
  <si>
    <t>-330.586413566776 99.1821512020188 -291.75685459599</t>
  </si>
  <si>
    <t>-644.462536890196 60.6209875573654 -766.872488900226</t>
  </si>
  <si>
    <t>-554.219938364765 196.479105281316 -239.28120875278</t>
  </si>
  <si>
    <t>-578.441685409238 192.099336204758 215.748215112298</t>
  </si>
  <si>
    <t>-621.175670934908 169.962237426364 683.152348037033</t>
  </si>
  <si>
    <t>-485.194685552717 94.259684910973 765.138976325761</t>
  </si>
  <si>
    <t>-642.797732026241 25.2085220298652 -218.131500982155</t>
  </si>
  <si>
    <t>-506.004712980928 -102.178929883636 197.461801215007</t>
  </si>
  <si>
    <t>-501.075270926411 -23.255384709335 660.830774405987</t>
  </si>
  <si>
    <t>-494.546245346959 -174.20922537475 750.907391886823</t>
  </si>
  <si>
    <t>9763-20170724T160438.892395100.bin</t>
  </si>
  <si>
    <t>-597.771558000633 111.039804893524 -229.010495898748</t>
  </si>
  <si>
    <t>-632.676590259611 114.59859408529 -344.927622257517</t>
  </si>
  <si>
    <t>-644.667591368363 111.36797740399 -465.494305804774</t>
  </si>
  <si>
    <t>-646.03422239158 105.404415524611 -574.844319391836</t>
  </si>
  <si>
    <t>-638.056706039419 96.3330780580445 -683.697102116747</t>
  </si>
  <si>
    <t>-617.31862113648 80.3960665616503 -833.750177868201</t>
  </si>
  <si>
    <t>-574.670569966589 56.8569419097416 -923.249059650979</t>
  </si>
  <si>
    <t>-609.760879826666 114.47581572566 -767.914287446659</t>
  </si>
  <si>
    <t>-524.746789228429 232.662574493197 -747.166120098004</t>
  </si>
  <si>
    <t>-476.595791972526 257.779106677121 -435.338057597296</t>
  </si>
  <si>
    <t>-330.168003798799 98.2729743086902 -291.258966865812</t>
  </si>
  <si>
    <t>-643.228288813609 60.4195783419693 -766.798415258915</t>
  </si>
  <si>
    <t>-553.301481966185 196.539220477168 -239.096798252864</t>
  </si>
  <si>
    <t>-578.071035644132 192.025363298439 215.901891916048</t>
  </si>
  <si>
    <t>-621.473567898197 169.977837584466 683.26955988271</t>
  </si>
  <si>
    <t>-485.194460845527 94.5137046798523 764.980482794462</t>
  </si>
  <si>
    <t>-642.12109946763 25.5259523238478 -218.220501791083</t>
  </si>
  <si>
    <t>-506.17020758383 -102.223796447355 197.537833834393</t>
  </si>
  <si>
    <t>-501.037473556628 -23.3255385929374 660.88350563723</t>
  </si>
  <si>
    <t>-494.589803702962 -174.30071061672 750.93050153954</t>
  </si>
  <si>
    <t>9763-20170724T160438.924476200.bin</t>
  </si>
  <si>
    <t>-597.339560288232 111.180795890796 -228.975212070356</t>
  </si>
  <si>
    <t>-632.154292133123 114.773060502704 -344.918486838619</t>
  </si>
  <si>
    <t>-644.083051191773 111.497170355008 -465.490149849274</t>
  </si>
  <si>
    <t>-645.408019843632 105.457119112237 -574.836453057459</t>
  </si>
  <si>
    <t>-637.405271305142 96.271850220071 -683.677806009658</t>
  </si>
  <si>
    <t>-616.650944330278 80.1357656019181 -833.707407043325</t>
  </si>
  <si>
    <t>-574.517726781112 56.683803538014 -923.47254339037</t>
  </si>
  <si>
    <t>-609.059519426564 114.277772683831 -767.907691100718</t>
  </si>
  <si>
    <t>-523.858425555438 232.325626105793 -747.206896703536</t>
  </si>
  <si>
    <t>-475.997355835017 257.568784036528 -435.344303869187</t>
  </si>
  <si>
    <t>-330.065272224507 97.9104667711827 -290.93127087448</t>
  </si>
  <si>
    <t>-642.608674635585 60.2731795951513 -766.740373335685</t>
  </si>
  <si>
    <t>-552.905049494821 196.682486084694 -239.015120186245</t>
  </si>
  <si>
    <t>-577.875455427986 192.067865708709 215.971544226272</t>
  </si>
  <si>
    <t>-621.641899155145 169.938493794522 683.303419571539</t>
  </si>
  <si>
    <t>-485.22729765699 94.6176955527042 764.920503772629</t>
  </si>
  <si>
    <t>-641.663381084631 25.6884447300972 -218.259339393072</t>
  </si>
  <si>
    <t>-506.093737698733 -102.177549329854 197.587792502835</t>
  </si>
  <si>
    <t>-501.003768617823 -23.3788947562925 660.918490256694</t>
  </si>
  <si>
    <t>-494.591548084548 -174.347447799787 750.978899741105</t>
  </si>
  <si>
    <t>9763-20170724T160438.992923500.bin</t>
  </si>
  <si>
    <t>-596.273572868208 111.467729081005 -228.912800833431</t>
  </si>
  <si>
    <t>-630.958283362401 115.088771613255 -344.89418813424</t>
  </si>
  <si>
    <t>-642.793149484947 111.710672710827 -465.47225718893</t>
  </si>
  <si>
    <t>-644.053592561206 105.517287406685 -574.810840618842</t>
  </si>
  <si>
    <t>-636.010538027621 96.1130639256849 -683.630418348652</t>
  </si>
  <si>
    <t>-615.228573323043 79.6007563410428 -833.615268513966</t>
  </si>
  <si>
    <t>-573.894484581804 56.2028677006335 -923.765307514586</t>
  </si>
  <si>
    <t>-607.579571459674 113.864601188602 -767.885539158247</t>
  </si>
  <si>
    <t>-522.03357647088 231.692270370813 -747.323499110763</t>
  </si>
  <si>
    <t>-474.472608352512 257.060585651266 -435.425251501903</t>
  </si>
  <si>
    <t>-329.265630782986 97.0433980303253 -290.678776848359</t>
  </si>
  <si>
    <t>-641.268336625309 59.9492585158316 -766.617776947687</t>
  </si>
  <si>
    <t>-551.861757817516 196.91489041975 -238.87135025259</t>
  </si>
  <si>
    <t>-577.264651380832 192.079769800336 216.089074953801</t>
  </si>
  <si>
    <t>-621.672613203868 170.091489302224 683.338267454453</t>
  </si>
  <si>
    <t>-485.125516282362 94.9030046016871 764.855686094222</t>
  </si>
  <si>
    <t>-640.597850343808 25.990819326104 -218.260517907175</t>
  </si>
  <si>
    <t>-505.452009909739 -102.096671052481 197.656374388057</t>
  </si>
  <si>
    <t>-500.910506402415 -23.4484658784079 661.041806609057</t>
  </si>
  <si>
    <t>-494.527211138525 -174.421652611393 751.096520696725</t>
  </si>
  <si>
    <t>9763-20170724T160439.028538200.bin</t>
  </si>
  <si>
    <t>-595.739445739213 111.603364895039 -228.858534685494</t>
  </si>
  <si>
    <t>-630.341056348617 115.187805390543 -344.865879672937</t>
  </si>
  <si>
    <t>-642.120170014784 111.740477487765 -465.447505715307</t>
  </si>
  <si>
    <t>-643.344579416192 105.466737483832 -574.781843362028</t>
  </si>
  <si>
    <t>-635.281421165869 95.9620356461769 -683.591240167209</t>
  </si>
  <si>
    <t>-614.489926099844 79.2864558751908 -833.556676143203</t>
  </si>
  <si>
    <t>-573.440897936456 55.8710296573313 -923.832313919617</t>
  </si>
  <si>
    <t>-606.817363505039 113.60457192353 -767.858051872247</t>
  </si>
  <si>
    <t>-521.121567137067 231.326015502246 -747.352290583699</t>
  </si>
  <si>
    <t>-473.41632224552 256.805827492928 -435.485142844933</t>
  </si>
  <si>
    <t>-328.507698740464 96.6067864815791 -290.640964692654</t>
  </si>
  <si>
    <t>-640.56169520422 59.7251750916137 -766.545362510494</t>
  </si>
  <si>
    <t>-551.366822037758 197.035645619457 -238.802705643195</t>
  </si>
  <si>
    <t>-576.969691660124 192.092158933599 216.145237887349</t>
  </si>
  <si>
    <t>-621.727780218813 170.121510890133 683.359102854801</t>
  </si>
  <si>
    <t>-485.178433963784 94.9132516395337 764.854560758346</t>
  </si>
  <si>
    <t>-640.010589493129 26.121875685951 -218.229683744304</t>
  </si>
  <si>
    <t>-505.033088644149 -102.104199075624 197.699222979882</t>
  </si>
  <si>
    <t>-500.880098026492 -23.4604713923518 661.11068804303</t>
  </si>
  <si>
    <t>-494.409978948921 -174.447254099795 751.136599249097</t>
  </si>
  <si>
    <t>9763-20170724T160439.097230900.bin</t>
  </si>
  <si>
    <t>-594.625485049386 111.888582239546 -228.816879217318</t>
  </si>
  <si>
    <t>-629.082267232233 115.433215107606 -344.868449587666</t>
  </si>
  <si>
    <t>-640.777849796935 111.855196564628 -465.454324669796</t>
  </si>
  <si>
    <t>-641.957370462536 105.419278123201 -574.779796105339</t>
  </si>
  <si>
    <t>-633.883460763098 95.7037873489503 -683.569883211916</t>
  </si>
  <si>
    <t>-613.115094802974 78.6811899848556 -833.499526223116</t>
  </si>
  <si>
    <t>-572.473438823625 55.1552347376446 -923.930506582351</t>
  </si>
  <si>
    <t>-605.403448670854 113.133322705998 -767.875549074542</t>
  </si>
  <si>
    <t>-519.492794226944 230.737277854706 -747.575415314403</t>
  </si>
  <si>
    <t>-471.426659359284 256.380875394221 -435.777047687362</t>
  </si>
  <si>
    <t>-326.903877050826 95.8790063910888 -290.882671109814</t>
  </si>
  <si>
    <t>-639.205459840854 59.2930003370598 -766.444992955012</t>
  </si>
  <si>
    <t>-550.420291680273 197.34785903972 -238.675524665973</t>
  </si>
  <si>
    <t>-576.488890119384 192.102081456777 216.242679005032</t>
  </si>
  <si>
    <t>-621.969324331456 170.053077624172 683.396040012499</t>
  </si>
  <si>
    <t>-484.996829914775 95.562216648427 764.840249261765</t>
  </si>
  <si>
    <t>-638.736430682462 26.4069089025197 -218.248480840937</t>
  </si>
  <si>
    <t>-504.256556817456 -102.021682338261 197.779121301875</t>
  </si>
  <si>
    <t>-500.810635707057 -23.4761430443991 661.238812189223</t>
  </si>
  <si>
    <t>-494.186868340984 -174.504421258574 751.183939407039</t>
  </si>
  <si>
    <t>9763-20170724T160439.125297800.bin</t>
  </si>
  <si>
    <t>-594.052907400591 112.07688338641 -228.778682230292</t>
  </si>
  <si>
    <t>-628.417161956169 115.589319997393 -344.858724350468</t>
  </si>
  <si>
    <t>-640.081325892203 111.969348064887 -465.446383638791</t>
  </si>
  <si>
    <t>-641.259428038858 105.490343847652 -574.769386648154</t>
  </si>
  <si>
    <t>-633.211524367116 95.7260321462193 -683.55688448849</t>
  </si>
  <si>
    <t>-612.508191758859 78.6286333329429 -833.486949707667</t>
  </si>
  <si>
    <t>-572.020255352644 55.0642931961793 -923.976988584199</t>
  </si>
  <si>
    <t>-604.772654455653 113.11632314737 -767.884590931826</t>
  </si>
  <si>
    <t>-518.804488614792 230.694198854722 -747.685285569124</t>
  </si>
  <si>
    <t>-470.363936237982 256.358148205769 -435.946437966274</t>
  </si>
  <si>
    <t>-325.874995835287 95.8429068574803 -291.033080514482</t>
  </si>
  <si>
    <t>-638.564883307871 59.2711081115681 -766.410638516192</t>
  </si>
  <si>
    <t>-549.909824585203 197.564040776294 -238.616166842365</t>
  </si>
  <si>
    <t>-576.168416486727 192.149311484555 216.289158100827</t>
  </si>
  <si>
    <t>-621.954679739231 170.141977101261 683.402643829868</t>
  </si>
  <si>
    <t>-484.964786209243 95.6785458448312 764.842696597469</t>
  </si>
  <si>
    <t>-638.088139875973 26.567474649326 -218.248356909468</t>
  </si>
  <si>
    <t>-503.8720848853 -102.030080021852 197.812259655402</t>
  </si>
  <si>
    <t>-500.726842850583 -23.5677427584801 661.296622276393</t>
  </si>
  <si>
    <t>-494.035091985777 -174.622364797634 751.192305350577</t>
  </si>
  <si>
    <t>9763-20170724T160439.192487300.bin</t>
  </si>
  <si>
    <t>-592.818100117044 112.463163596983 -228.725083982415</t>
  </si>
  <si>
    <t>-627.026286117227 115.953810990068 -344.851833558231</t>
  </si>
  <si>
    <t>-638.586596684221 112.246488036825 -465.447098367505</t>
  </si>
  <si>
    <t>-639.695512911501 105.660471746828 -574.764163989128</t>
  </si>
  <si>
    <t>-631.60541579966 95.7595124086206 -683.536238193924</t>
  </si>
  <si>
    <t>-610.872780023795 78.4406568835755 -833.436996135088</t>
  </si>
  <si>
    <t>-570.473685630961 54.7028082201027 -923.921283280613</t>
  </si>
  <si>
    <t>-603.171048223141 113.038255009909 -767.888432751588</t>
  </si>
  <si>
    <t>-517.153536267721 230.607209031741 -747.876349228002</t>
  </si>
  <si>
    <t>-467.894158945014 256.233455802357 -436.262815741151</t>
  </si>
  <si>
    <t>-323.389082482717 95.6853551984748 -291.402002217018</t>
  </si>
  <si>
    <t>-636.921634097398 59.1691505073522 -766.332757786792</t>
  </si>
  <si>
    <t>-548.806066829753 198.007728733189 -238.471237142715</t>
  </si>
  <si>
    <t>-575.536039149337 192.27910574513 216.402751592121</t>
  </si>
  <si>
    <t>-622.060276154524 170.18482860984 683.414283118319</t>
  </si>
  <si>
    <t>-484.883085031326 96.0693928681471 764.856500539976</t>
  </si>
  <si>
    <t>-636.731341918705 26.9268515871931 -218.268129991616</t>
  </si>
  <si>
    <t>-503.181691272359 -101.991946099542 197.907430918561</t>
  </si>
  <si>
    <t>-500.673726621669 -23.5186573327373 661.421583289446</t>
  </si>
  <si>
    <t>-493.903727001973 -174.664041127127 751.158771432516</t>
  </si>
  <si>
    <t>9763-20170724T160439.225579400.bin</t>
  </si>
  <si>
    <t>-592.191459566172 112.66307002935 -228.702804778191</t>
  </si>
  <si>
    <t>-626.319231286396 116.120390947624 -344.854093079318</t>
  </si>
  <si>
    <t>-637.863115262953 112.386403138013 -465.450136194519</t>
  </si>
  <si>
    <t>-638.984494648996 105.778718059346 -574.765748614912</t>
  </si>
  <si>
    <t>-630.934273695445 95.8581515452161 -683.539127503612</t>
  </si>
  <si>
    <t>-610.285932404369 78.5129547636438 -833.448392873094</t>
  </si>
  <si>
    <t>-569.784632114884 54.6270517122277 -923.847965468596</t>
  </si>
  <si>
    <t>-602.561507333288 113.130834886463 -767.913213511725</t>
  </si>
  <si>
    <t>-516.483379003203 230.67816378625 -747.917992802445</t>
  </si>
  <si>
    <t>-466.619214216857 256.240430593469 -436.395383993383</t>
  </si>
  <si>
    <t>-322.144286522087 95.7189641266984 -291.475031513703</t>
  </si>
  <si>
    <t>-636.282901169945 59.2444383205627 -766.323070459048</t>
  </si>
  <si>
    <t>-548.237317706295 198.1953470687 -238.419327599951</t>
  </si>
  <si>
    <t>-575.245834606226 192.305872742347 216.436187264158</t>
  </si>
  <si>
    <t>-622.123880118006 170.198275238343 683.416154427619</t>
  </si>
  <si>
    <t>-484.848323830868 96.2766379889301 764.868716032556</t>
  </si>
  <si>
    <t>-636.07280858559 27.1150031868879 -218.276856985115</t>
  </si>
  <si>
    <t>-502.928935421414 -101.982619487184 197.973268369887</t>
  </si>
  <si>
    <t>-500.637999992794 -23.4823418920589 661.506525357168</t>
  </si>
  <si>
    <t>-493.846166956183 -174.693914527691 751.130483563171</t>
  </si>
  <si>
    <t>9763-20170724T160439.296407500.bin</t>
  </si>
  <si>
    <t>-591.264806303537 113.055156913512 -228.702298093124</t>
  </si>
  <si>
    <t>-625.189322889756 116.398001587452 -344.916602061623</t>
  </si>
  <si>
    <t>-636.686375419299 112.597058129519 -465.514846309433</t>
  </si>
  <si>
    <t>-637.832880392904 105.945400570877 -574.827652046162</t>
  </si>
  <si>
    <t>-629.876095856419 95.9949066725624 -683.605099397873</t>
  </si>
  <si>
    <t>-609.4281129492 78.6206502198493 -833.538421439451</t>
  </si>
  <si>
    <t>-568.167285468996 54.1655475764226 -923.441020765876</t>
  </si>
  <si>
    <t>-601.635332298847 113.263224272456 -768.024438417436</t>
  </si>
  <si>
    <t>-515.377331244277 230.667436258635 -747.990100969875</t>
  </si>
  <si>
    <t>-463.738272850022 256.137603742954 -436.749388342071</t>
  </si>
  <si>
    <t>-319.700937363223 95.392085414413 -291.641742786148</t>
  </si>
  <si>
    <t>-635.316059908205 59.3532575108461 -766.370751472301</t>
  </si>
  <si>
    <t>-547.417804333092 198.661981076014 -238.347864686523</t>
  </si>
  <si>
    <t>-574.85799462663 192.406194229054 216.476817072314</t>
  </si>
  <si>
    <t>-622.377114112057 170.119746802461 683.406286760193</t>
  </si>
  <si>
    <t>-484.801099533518 96.7712576238237 764.870120605892</t>
  </si>
  <si>
    <t>-635.064326312461 27.4281497487873 -218.375332881127</t>
  </si>
  <si>
    <t>-502.833462891331 -102.197317262766 198.001809062048</t>
  </si>
  <si>
    <t>-500.895544317998 -23.6758394022538 661.39353879721</t>
  </si>
  <si>
    <t>-493.748195278653 -174.798888780575 751.139038428584</t>
  </si>
  <si>
    <t>9763-20170724T160439.327490700.bin</t>
  </si>
  <si>
    <t>-590.867507630536 113.048586642126 -228.782609030317</t>
  </si>
  <si>
    <t>-624.731205101875 116.355685273144 -345.015637435398</t>
  </si>
  <si>
    <t>-636.26134108159 112.558031057572 -465.610851064577</t>
  </si>
  <si>
    <t>-637.47685467291 105.92406515074 -574.923876622267</t>
  </si>
  <si>
    <t>-629.628101622001 96.0045246401107 -683.711989016385</t>
  </si>
  <si>
    <t>-609.370440412049 78.6853596205101 -833.677637446498</t>
  </si>
  <si>
    <t>-567.615586682355 53.8463193740313 -923.246263627969</t>
  </si>
  <si>
    <t>-601.511039173283 113.313942696986 -768.164296769628</t>
  </si>
  <si>
    <t>-515.207978954058 230.688846329196 -748.158431261307</t>
  </si>
  <si>
    <t>-462.477309894985 255.862116011814 -437.076415777744</t>
  </si>
  <si>
    <t>-318.397541092321 95.2450761938912 -291.868802318887</t>
  </si>
  <si>
    <t>-635.156673338302 59.3830893049474 -766.480903079119</t>
  </si>
  <si>
    <t>-546.984145709313 198.75687640268 -238.356537354548</t>
  </si>
  <si>
    <t>-574.704945604954 192.400879736593 216.44978956176</t>
  </si>
  <si>
    <t>-622.357551469322 170.222436082193 683.363662352055</t>
  </si>
  <si>
    <t>-484.712696503347 97.0220781797268 764.844408318088</t>
  </si>
  <si>
    <t>-634.728725651197 27.270473212684 -218.574118428801</t>
  </si>
  <si>
    <t>-502.861844914321 -102.479153243318 197.879680285221</t>
  </si>
  <si>
    <t>-501.235684319936 -24.0041103660358 661.114269746409</t>
  </si>
  <si>
    <t>-493.757611791752 -174.858748243642 751.283402724441</t>
  </si>
  <si>
    <t>9763-20170724T160439.392670600.bin</t>
  </si>
  <si>
    <t>-590.56030988233 112.611967744415 -229.308246705712</t>
  </si>
  <si>
    <t>-624.3050806107 115.857861258065 -345.577597463314</t>
  </si>
  <si>
    <t>-635.790841931937 112.036634988651 -466.17622983039</t>
  </si>
  <si>
    <t>-636.999593836937 105.391951428004 -575.48874129195</t>
  </si>
  <si>
    <t>-629.178804634772 95.4687777971401 -684.278598034057</t>
  </si>
  <si>
    <t>-608.996546163489 78.1491930197083 -834.2543082989</t>
  </si>
  <si>
    <t>-566.423065379901 52.679257471912 -923.258587454256</t>
  </si>
  <si>
    <t>-601.12532299433 112.791174436834 -768.749283024488</t>
  </si>
  <si>
    <t>-514.915880743924 230.226702506885 -748.727331052969</t>
  </si>
  <si>
    <t>-460.601557265933 254.631440620686 -437.856732067459</t>
  </si>
  <si>
    <t>-315.004354119282 94.8113849219574 -293.28473062789</t>
  </si>
  <si>
    <t>-634.727676059611 58.8341389264767 -767.040004845804</t>
  </si>
  <si>
    <t>-546.566622488059 198.843587139922 -238.641675457365</t>
  </si>
  <si>
    <t>-574.569214980658 192.21562731779 216.143444323834</t>
  </si>
  <si>
    <t>-622.413224109591 170.341979353597 683.181410718861</t>
  </si>
  <si>
    <t>-484.719141517753 97.3048040215372 764.725387894773</t>
  </si>
  <si>
    <t>-634.529317035168 26.309674758623 -219.44130628222</t>
  </si>
  <si>
    <t>-503.353810719128 -103.692839874483 197.151993191547</t>
  </si>
  <si>
    <t>-502.488464497977 -25.4835381891801 660.062251922604</t>
  </si>
  <si>
    <t>-494.18045610133 -175.162389691392 752.098855502878</t>
  </si>
  <si>
    <t>9763-20170724T160439.424756000.bin</t>
  </si>
  <si>
    <t>-590.456131562628 112.32821786334 -229.564839318899</t>
  </si>
  <si>
    <t>-624.130679821719 115.541830929705 -345.855526953288</t>
  </si>
  <si>
    <t>-635.536701535698 111.708511166365 -466.461415456219</t>
  </si>
  <si>
    <t>-636.670672093891 105.059898248461 -575.774489140569</t>
  </si>
  <si>
    <t>-628.773138024689 95.1389598851454 -684.558895968715</t>
  </si>
  <si>
    <t>-608.482553971662 77.8284547876683 -834.521018966015</t>
  </si>
  <si>
    <t>-565.601379254845 52.1941651748489 -923.330316371335</t>
  </si>
  <si>
    <t>-600.690294061958 112.485852984657 -769.014832688795</t>
  </si>
  <si>
    <t>-514.545224259899 229.971909993562 -748.961686160988</t>
  </si>
  <si>
    <t>-459.975854547458 254.155057202123 -438.118292745052</t>
  </si>
  <si>
    <t>-312.976544308792 95.0726113419075 -294.152843083879</t>
  </si>
  <si>
    <t>-634.230623785872 58.4899015110343 -767.320089481198</t>
  </si>
  <si>
    <t>-546.396279104568 198.825177702371 -238.774063395976</t>
  </si>
  <si>
    <t>-574.662881828764 192.10291610912 215.993382374387</t>
  </si>
  <si>
    <t>-622.433799866961 170.399956957259 683.071988366801</t>
  </si>
  <si>
    <t>-484.708536982486 97.4628983067751 764.652982738139</t>
  </si>
  <si>
    <t>-634.434483316239 25.8109490010283 -219.755125452177</t>
  </si>
  <si>
    <t>-503.460589941275 -104.209290111184 196.896112389755</t>
  </si>
  <si>
    <t>-502.922946688776 -26.0683268942291 659.930591022654</t>
  </si>
  <si>
    <t>-494.24644853947 -175.289282304717 752.673951733392</t>
  </si>
  <si>
    <t>9763-20170724T160439.492955400.bin</t>
  </si>
  <si>
    <t>-590.125536877115 112.166286288262 -229.736893849574</t>
  </si>
  <si>
    <t>-623.624101483284 115.330518019074 -346.079565027843</t>
  </si>
  <si>
    <t>-634.855833872506 111.446134565011 -466.70019372831</t>
  </si>
  <si>
    <t>-635.836333138236 104.747058141181 -576.011655640038</t>
  </si>
  <si>
    <t>-627.792011190517 94.7683175799921 -684.780109354733</t>
  </si>
  <si>
    <t>-607.3068841466 77.3669622242041 -834.705270717062</t>
  </si>
  <si>
    <t>-563.860125552274 51.4776491673897 -923.164982935684</t>
  </si>
  <si>
    <t>-599.665749800393 112.104433261635 -769.223615796994</t>
  </si>
  <si>
    <t>-513.771294325495 229.731367781517 -749.091842618891</t>
  </si>
  <si>
    <t>-459.022497861471 253.767472211978 -438.268723266665</t>
  </si>
  <si>
    <t>-311.387717708759 94.7086014287763 -294.928895857228</t>
  </si>
  <si>
    <t>-633.076168774746 58.0285096765947 -767.512399436524</t>
  </si>
  <si>
    <t>-546.293162457242 199.010457661024 -238.827763212048</t>
  </si>
  <si>
    <t>-574.904378441104 192.196969511181 215.916869259542</t>
  </si>
  <si>
    <t>-622.622656216844 170.38613819783 682.982875158603</t>
  </si>
  <si>
    <t>-484.612611626584 98.0129109738305 764.58466057849</t>
  </si>
  <si>
    <t>-633.774457176442 25.4206521584142 -219.853820662267</t>
  </si>
  <si>
    <t>-503.063270073492 -104.441456661393 196.929193978168</t>
  </si>
  <si>
    <t>-503.049379087986 -26.4163196590866 660.410923451337</t>
  </si>
  <si>
    <t>-493.993179056459 -175.344647700081 753.587298492812</t>
  </si>
  <si>
    <t>9763-20170724T160439.526046100.bin</t>
  </si>
  <si>
    <t>-589.794421693016 112.369391959203 -229.66404657456</t>
  </si>
  <si>
    <t>-623.142926273828 115.491189329227 -346.051061816407</t>
  </si>
  <si>
    <t>-634.247716388298 111.579911946305 -466.682556161679</t>
  </si>
  <si>
    <t>-635.126235362359 104.85837567253 -575.993489969474</t>
  </si>
  <si>
    <t>-626.994701389479 94.8559407081978 -684.753294170378</t>
  </si>
  <si>
    <t>-606.405340766516 77.4176803273012 -834.65981507642</t>
  </si>
  <si>
    <t>-562.760592562622 51.4654601031648 -923.00358394918</t>
  </si>
  <si>
    <t>-598.831026163274 112.184453288088 -769.186070763901</t>
  </si>
  <si>
    <t>-512.940543066401 229.836492838129 -749.042920077818</t>
  </si>
  <si>
    <t>-458.234079915057 253.595543217768 -438.191031559419</t>
  </si>
  <si>
    <t>-310.542178715865 94.5171001818753 -294.931773508894</t>
  </si>
  <si>
    <t>-632.199938637531 58.0827172617862 -767.475674604787</t>
  </si>
  <si>
    <t>-546.176016537174 199.322505392877 -238.745333771448</t>
  </si>
  <si>
    <t>-574.939850006528 192.461173876693 215.988877404976</t>
  </si>
  <si>
    <t>-622.627191291206 170.475609758951 682.998176242751</t>
  </si>
  <si>
    <t>-484.692662089552 97.9712104673968 764.611214800567</t>
  </si>
  <si>
    <t>-633.183249037755 25.5324490651374 -219.758386972081</t>
  </si>
  <si>
    <t>-502.752538260043 -104.176216283957 197.160255431772</t>
  </si>
  <si>
    <t>-503.000683965279 -26.3741742596176 660.75032321487</t>
  </si>
  <si>
    <t>-493.756055904142 -175.346074538264 753.83848407276</t>
  </si>
  <si>
    <t>9763-20170724T160439.596237000.bin</t>
  </si>
  <si>
    <t>-589.067208623578 112.692513254562 -229.363363107405</t>
  </si>
  <si>
    <t>-622.242508004279 115.80638326744 -345.800038989458</t>
  </si>
  <si>
    <t>-633.183051598783 111.871085234674 -466.44584970511</t>
  </si>
  <si>
    <t>-633.921788000058 105.113841393967 -575.755664553307</t>
  </si>
  <si>
    <t>-625.662516844437 95.0568854712189 -684.500640600749</t>
  </si>
  <si>
    <t>-604.910686953264 77.519696369347 -834.373402626236</t>
  </si>
  <si>
    <t>-560.993143874163 51.4448833475105 -922.545570737712</t>
  </si>
  <si>
    <t>-597.429909343236 112.343366769604 -768.919160594166</t>
  </si>
  <si>
    <t>-511.54582373967 229.964803408114 -748.680348881047</t>
  </si>
  <si>
    <t>-456.785505874015 252.862489401337 -437.773270933008</t>
  </si>
  <si>
    <t>-309.174274954811 93.571301743076 -294.667279627173</t>
  </si>
  <si>
    <t>-630.755546250787 58.2153520659567 -767.199616215095</t>
  </si>
  <si>
    <t>-545.852243993796 199.616772289988 -238.452635478957</t>
  </si>
  <si>
    <t>-574.877268361023 192.655418819126 216.263515180365</t>
  </si>
  <si>
    <t>-622.826028925382 170.465486840689 683.107522330496</t>
  </si>
  <si>
    <t>-484.665193906229 98.3738462832839 764.70342448261</t>
  </si>
  <si>
    <t>-632.11891808971 25.774925796994 -219.493783476659</t>
  </si>
  <si>
    <t>-502.129687606444 -103.752952475939 197.619021488828</t>
  </si>
  <si>
    <t>-502.821703147994 -26.2399983338878 661.213955461766</t>
  </si>
  <si>
    <t>-493.380096934353 -175.349241004864 754.062211520953</t>
  </si>
  <si>
    <t>9763-20170724T160439.627318100.bin</t>
  </si>
  <si>
    <t>-588.707323982834 112.84427575735 -229.241456335514</t>
  </si>
  <si>
    <t>-621.830664970335 115.945914479503 -345.693333469622</t>
  </si>
  <si>
    <t>-632.688660841016 111.990953132841 -466.34582492304</t>
  </si>
  <si>
    <t>-633.341708654607 105.21086390659 -575.654899526487</t>
  </si>
  <si>
    <t>-624.986821468083 95.124852880364 -684.389922676499</t>
  </si>
  <si>
    <t>-604.093332808472 77.5394321273732 -834.23725587248</t>
  </si>
  <si>
    <t>-560.070709475944 51.4083811133305 -922.340246877028</t>
  </si>
  <si>
    <t>-596.678826578884 112.38684902555 -768.787997822259</t>
  </si>
  <si>
    <t>-510.745641155139 229.97954990802 -748.486177348073</t>
  </si>
  <si>
    <t>-456.156892011851 252.382035633582 -437.512998237145</t>
  </si>
  <si>
    <t>-308.334085829579 93.1236848915207 -294.589065306156</t>
  </si>
  <si>
    <t>-629.997260928912 58.254057330432 -767.080928798553</t>
  </si>
  <si>
    <t>-545.592119994824 199.824340739686 -238.330987701852</t>
  </si>
  <si>
    <t>-574.724719081179 192.80789645321 216.377376660874</t>
  </si>
  <si>
    <t>-622.815944677154 170.568411234633 683.159127238266</t>
  </si>
  <si>
    <t>-484.649494493461 98.4938727800777 764.760631649014</t>
  </si>
  <si>
    <t>-631.703386963732 25.8132530857192 -219.420596387011</t>
  </si>
  <si>
    <t>-501.850679104366 -103.653778434005 197.753468573779</t>
  </si>
  <si>
    <t>-502.760377821661 -26.2389857524888 661.330448697813</t>
  </si>
  <si>
    <t>-493.299977530118 -175.370230843193 754.141426827978</t>
  </si>
  <si>
    <t>9763-20170724T160439.696160000.bin</t>
  </si>
  <si>
    <t>-588.20935628159 112.959700514597 -229.097279584887</t>
  </si>
  <si>
    <t>-621.256248293749 116.037012408281 -345.571577327094</t>
  </si>
  <si>
    <t>-631.978294345116 112.044926477591 -466.234877237229</t>
  </si>
  <si>
    <t>-632.485000854135 105.227015688896 -575.542399546335</t>
  </si>
  <si>
    <t>-623.961208755633 95.0996436043961 -684.260444510494</t>
  </si>
  <si>
    <t>-602.810693378742 77.4536416301939 -834.064696935989</t>
  </si>
  <si>
    <t>-558.597365263122 51.2591592096815 -922.053309964332</t>
  </si>
  <si>
    <t>-595.51675735399 112.332536975381 -768.618714286041</t>
  </si>
  <si>
    <t>-509.615731048038 229.936398902009 -748.24468876146</t>
  </si>
  <si>
    <t>-455.383220882679 251.369540398332 -437.140829729501</t>
  </si>
  <si>
    <t>-307.007046429903 92.7532994548349 -294.076333848845</t>
  </si>
  <si>
    <t>-628.821639685893 58.1902270333326 -766.94328699988</t>
  </si>
  <si>
    <t>-545.10121796023 199.985908407036 -238.169790969767</t>
  </si>
  <si>
    <t>-574.559756117211 192.981197218123 216.517786798689</t>
  </si>
  <si>
    <t>-622.979355362869 170.596545558829 683.239444530934</t>
  </si>
  <si>
    <t>-484.709787050093 98.7250466251667 764.845315480823</t>
  </si>
  <si>
    <t>-631.297199948579 25.8796334095189 -219.329135000706</t>
  </si>
  <si>
    <t>-501.505253063289 -103.761893790204 197.809649148433</t>
  </si>
  <si>
    <t>-502.751975277394 -26.4571045226128 661.307095641981</t>
  </si>
  <si>
    <t>-493.288081478307 -175.460389696903 754.323074247405</t>
  </si>
  <si>
    <t>9763-20170724T160439.729751700.bin</t>
  </si>
  <si>
    <t>-587.982322618195 112.936856642968 -229.058348375277</t>
  </si>
  <si>
    <t>-620.965017174472 116.008576614881 -345.551002918706</t>
  </si>
  <si>
    <t>-631.634585943646 111.980410655003 -466.217821526381</t>
  </si>
  <si>
    <t>-632.099855976594 105.117987726736 -575.522650560166</t>
  </si>
  <si>
    <t>-623.54111776266 94.9347670202944 -684.232855827132</t>
  </si>
  <si>
    <t>-602.349259580001 77.1996946530962 -834.020617098437</t>
  </si>
  <si>
    <t>-558.063481824262 50.9500495475195 -921.956410981692</t>
  </si>
  <si>
    <t>-595.071981477099 112.116677897121 -768.593065000572</t>
  </si>
  <si>
    <t>-509.17183141233 229.740169321778 -748.240747578959</t>
  </si>
  <si>
    <t>-454.997017469455 251.100696204208 -437.121736967276</t>
  </si>
  <si>
    <t>-306.810611123973 92.6527133103957 -293.674734264478</t>
  </si>
  <si>
    <t>-628.380045934428 57.9771136393417 -766.895234399185</t>
  </si>
  <si>
    <t>-544.859903810196 200.010725255539 -238.124030668534</t>
  </si>
  <si>
    <t>-574.471101807348 193.027670477535 216.553996446181</t>
  </si>
  <si>
    <t>-623.044491272457 170.618099619574 683.258780809454</t>
  </si>
  <si>
    <t>-484.813399013042 98.685593562125 764.876185206829</t>
  </si>
  <si>
    <t>-631.044139701208 25.8387592313575 -219.327755046629</t>
  </si>
  <si>
    <t>-501.409671556397 -103.858946447314 197.842583834748</t>
  </si>
  <si>
    <t>-502.697564004982 -26.5065343339907 661.39654021801</t>
  </si>
  <si>
    <t>-493.25641583402 -175.494292222128 754.439673139749</t>
  </si>
  <si>
    <t>9763-20170724T160439.793068000.bin</t>
  </si>
  <si>
    <t>-587.462539472675 112.971988652158 -228.922503917625</t>
  </si>
  <si>
    <t>-620.319118418654 116.049625193234 -345.450560432211</t>
  </si>
  <si>
    <t>-630.845870759454 111.956641804303 -466.127873570661</t>
  </si>
  <si>
    <t>-631.178689883883 105.004364978691 -575.427317641451</t>
  </si>
  <si>
    <t>-622.486634669988 94.6986609831945 -684.115488102704</t>
  </si>
  <si>
    <t>-601.111176065918 76.7581036455556 -833.852721493805</t>
  </si>
  <si>
    <t>-556.735284816503 50.4331444687459 -921.720426684978</t>
  </si>
  <si>
    <t>-593.89656505687 111.754226951979 -768.460344171961</t>
  </si>
  <si>
    <t>-507.87871478433 229.27271347542 -748.17860844085</t>
  </si>
  <si>
    <t>-453.7044839535 250.932577341391 -437.080324857416</t>
  </si>
  <si>
    <t>-306.317942833721 92.4525941427498 -292.846579772967</t>
  </si>
  <si>
    <t>-627.241803973033 57.6381927947757 -766.736741886925</t>
  </si>
  <si>
    <t>-544.399445795073 200.086873200697 -237.984487638349</t>
  </si>
  <si>
    <t>-574.26367436199 193.114245351331 216.67707930973</t>
  </si>
  <si>
    <t>-623.072721633022 170.76194323986 683.316063385416</t>
  </si>
  <si>
    <t>-484.821674693027 98.86066696788 764.92717433673</t>
  </si>
  <si>
    <t>-630.408085269562 25.9028600246306 -219.170533819824</t>
  </si>
  <si>
    <t>-501.009080009172 -103.882370939185 198.045663030334</t>
  </si>
  <si>
    <t>-502.393166707647 -26.3462897158022 661.741326685742</t>
  </si>
  <si>
    <t>-493.005973473682 -175.512598102497 754.50344056098</t>
  </si>
  <si>
    <t>9763-20170724T160439.827160500.bin</t>
  </si>
  <si>
    <t>-587.131972418592 112.99529845802 -228.835229420836</t>
  </si>
  <si>
    <t>-619.954287651234 116.092377483955 -345.372349788557</t>
  </si>
  <si>
    <t>-630.434966991277 111.994124903105 -466.053465641272</t>
  </si>
  <si>
    <t>-630.723215372186 105.023594742852 -575.352066621604</t>
  </si>
  <si>
    <t>-621.985314143942 94.6839315735349 -684.033312624869</t>
  </si>
  <si>
    <t>-600.545747625625 76.6787762050976 -833.753492856904</t>
  </si>
  <si>
    <t>-556.204962691529 50.3178086589239 -921.628378070748</t>
  </si>
  <si>
    <t>-593.330460470833 111.685474998832 -768.367139846715</t>
  </si>
  <si>
    <t>-507.224540966493 229.160934309629 -748.058718511319</t>
  </si>
  <si>
    <t>-453.242494059811 250.851095024722 -436.928923295929</t>
  </si>
  <si>
    <t>-306.177580612215 92.2608900325868 -292.488324936311</t>
  </si>
  <si>
    <t>-626.73373228389 57.6055081695238 -766.646666572025</t>
  </si>
  <si>
    <t>-544.155645555534 200.061128541518 -237.886813617758</t>
  </si>
  <si>
    <t>-574.145020332549 193.127393798803 216.767180478251</t>
  </si>
  <si>
    <t>-623.150556203317 170.763283143508 683.360314911228</t>
  </si>
  <si>
    <t>-484.800395075277 99.0431804411464 764.962871542404</t>
  </si>
  <si>
    <t>-630.002831346868 25.9638681811898 -219.048302302187</t>
  </si>
  <si>
    <t>-500.722396030221 -103.822865273916 198.204269090204</t>
  </si>
  <si>
    <t>-502.165582577603 -26.1781668160857 661.908899293866</t>
  </si>
  <si>
    <t>-492.864104856361 -175.494033521397 754.43869589216</t>
  </si>
  <si>
    <t>9763-20170724T160439.897358500.bin</t>
  </si>
  <si>
    <t>-586.647435595962 112.946469864908 -228.783524324991</t>
  </si>
  <si>
    <t>-619.327207386697 116.063377747417 -345.360198123362</t>
  </si>
  <si>
    <t>-629.545739109933 111.915628359608 -466.062094759009</t>
  </si>
  <si>
    <t>-629.552559188262 104.86747877446 -575.356050021018</t>
  </si>
  <si>
    <t>-620.492420500764 94.4152913359676 -684.00011308072</t>
  </si>
  <si>
    <t>-598.567068808232 76.2152556576864 -833.626334965409</t>
  </si>
  <si>
    <t>-554.533684579513 49.9701549633635 -921.690263430356</t>
  </si>
  <si>
    <t>-591.529288834088 111.286058565316 -768.254893322626</t>
  </si>
  <si>
    <t>-505.291025689955 228.625194251443 -747.808726282736</t>
  </si>
  <si>
    <t>-451.427851995193 250.473304353637 -436.669591829915</t>
  </si>
  <si>
    <t>-304.96896162367 91.6032698673105 -291.92094705033</t>
  </si>
  <si>
    <t>-625.007356965508 57.2504443474525 -766.587870745796</t>
  </si>
  <si>
    <t>-543.721156791118 199.980297520172 -237.786638353072</t>
  </si>
  <si>
    <t>-574.046216280748 193.205005668932 216.847482335227</t>
  </si>
  <si>
    <t>-623.206960224089 170.860935799519 683.405758006964</t>
  </si>
  <si>
    <t>-484.879596580997 99.1170484590684 765.026015468002</t>
  </si>
  <si>
    <t>-629.521778516029 25.8746122204268 -219.089262585287</t>
  </si>
  <si>
    <t>-500.401175100805 -103.839821562325 198.235244731507</t>
  </si>
  <si>
    <t>-502.096357269253 -26.2195802325462 661.775909911013</t>
  </si>
  <si>
    <t>-492.807124192667 -175.554150647616 754.276778763578</t>
  </si>
  <si>
    <t>9763-20170724T160439.923427900.bin</t>
  </si>
  <si>
    <t>-586.528801072905 112.782536999935 -228.872554539514</t>
  </si>
  <si>
    <t>-619.171931724259 115.933919114733 -345.458620041137</t>
  </si>
  <si>
    <t>-629.280733742715 111.768848174476 -466.169059656015</t>
  </si>
  <si>
    <t>-629.160520163763 104.681548642153 -575.46051117551</t>
  </si>
  <si>
    <t>-619.947391498889 94.165746504412 -684.085519232353</t>
  </si>
  <si>
    <t>-597.784490462004 75.8513360865607 -833.663001105643</t>
  </si>
  <si>
    <t>-554.046499699156 49.7558927099965 -921.918194733494</t>
  </si>
  <si>
    <t>-590.829787507478 110.959290403811 -768.302514696595</t>
  </si>
  <si>
    <t>-504.509313271446 228.231179073097 -747.749081798852</t>
  </si>
  <si>
    <t>-450.849254479683 250.176661723853 -436.581646122925</t>
  </si>
  <si>
    <t>-304.710607462992 91.1323329929269 -291.700873332944</t>
  </si>
  <si>
    <t>-624.35190896226 56.9506003285428 -766.656602673783</t>
  </si>
  <si>
    <t>-543.585940055794 199.841461149184 -237.808378112392</t>
  </si>
  <si>
    <t>-574.075749711805 193.167824053314 216.816188716544</t>
  </si>
  <si>
    <t>-623.230380847579 170.908297806472 683.398478753431</t>
  </si>
  <si>
    <t>-484.885084414051 99.2184884141075 765.035884060551</t>
  </si>
  <si>
    <t>-629.455854269033 25.6774635323718 -219.25334731768</t>
  </si>
  <si>
    <t>-500.417615995846 -103.920418534763 198.132772060928</t>
  </si>
  <si>
    <t>-502.149068459494 -26.3588905911499 661.631465451497</t>
  </si>
  <si>
    <t>-492.829346862332 -175.600225605578 754.279676610187</t>
  </si>
  <si>
    <t>9763-20170724T160439.993172800.bin</t>
  </si>
  <si>
    <t>-586.520602786726 112.164851121247 -229.200846627259</t>
  </si>
  <si>
    <t>-618.912624174539 115.308658469164 -345.857080896291</t>
  </si>
  <si>
    <t>-628.773831724495 111.059447823365 -466.585236525221</t>
  </si>
  <si>
    <t>-628.437094067877 103.860891759468 -575.86883107476</t>
  </si>
  <si>
    <t>-619.018915915901 93.195845411849 -684.461683790099</t>
  </si>
  <si>
    <t>-596.586063872546 74.632913642128 -833.968123140399</t>
  </si>
  <si>
    <t>-553.450703418463 48.8414391637916 -922.608601406902</t>
  </si>
  <si>
    <t>-589.714067300732 109.827840718297 -768.645723570802</t>
  </si>
  <si>
    <t>-503.196865088709 226.940000489281 -748.058733334841</t>
  </si>
  <si>
    <t>-450.303259829268 248.832805890587 -436.756443571957</t>
  </si>
  <si>
    <t>-304.869987653942 89.4266066996863 -291.563860500331</t>
  </si>
  <si>
    <t>-623.309717206917 55.8650670881018 -766.986511630953</t>
  </si>
  <si>
    <t>-543.501138181364 199.309051456994 -237.974345964376</t>
  </si>
  <si>
    <t>-574.352278327807 192.938831266484 216.630209162141</t>
  </si>
  <si>
    <t>-623.343504628957 170.962268579587 683.310127251309</t>
  </si>
  <si>
    <t>-484.948597575684 99.4136853852485 764.987320745623</t>
  </si>
  <si>
    <t>-629.500051069067 24.948892362994 -219.820547595858</t>
  </si>
  <si>
    <t>-500.853196040738 -104.397732191361 197.764327446965</t>
  </si>
  <si>
    <t>-502.587892259334 -26.9783709553526 661.105776198567</t>
  </si>
  <si>
    <t>-493.04865601193 -175.725005301569 754.523900884981</t>
  </si>
  <si>
    <t>9763-20170724T160440.025257800.bin</t>
  </si>
  <si>
    <t>-586.512026982458 111.785655360952 -229.434418882546</t>
  </si>
  <si>
    <t>-618.772177862023 114.946132086409 -346.126824165804</t>
  </si>
  <si>
    <t>-628.53357176464 110.692226301248 -466.862751433984</t>
  </si>
  <si>
    <t>-628.123208533565 103.476952497661 -576.145089454228</t>
  </si>
  <si>
    <t>-618.649451160049 92.7810149158777 -684.729966535231</t>
  </si>
  <si>
    <t>-596.159837739156 74.1582858839568 -834.220557210363</t>
  </si>
  <si>
    <t>-553.27519036311 48.4832923654192 -923.016275446338</t>
  </si>
  <si>
    <t>-589.287602580673 109.363849500016 -768.903923791132</t>
  </si>
  <si>
    <t>-502.692640922 226.401286631597 -748.264066808566</t>
  </si>
  <si>
    <t>-450.147529334025 248.262516769074 -436.900567433384</t>
  </si>
  <si>
    <t>-304.973232404924 88.6547450306282 -291.670188968176</t>
  </si>
  <si>
    <t>-622.933985143353 55.4326664570724 -767.247253576056</t>
  </si>
  <si>
    <t>-543.474412872708 199.087547814508 -238.09003759014</t>
  </si>
  <si>
    <t>-574.550338344322 192.825295425127 216.500676099787</t>
  </si>
  <si>
    <t>-623.366807249153 171.021739864296 683.242488584322</t>
  </si>
  <si>
    <t>-484.971577720734 99.4940600826758 764.937450458904</t>
  </si>
  <si>
    <t>-629.483066470493 24.4367816197203 -220.189783452113</t>
  </si>
  <si>
    <t>-501.147145214598 -104.695623179633 197.557057603453</t>
  </si>
  <si>
    <t>-502.827557898703 -27.3583965065814 660.913459650504</t>
  </si>
  <si>
    <t>-493.16922736692 -175.837073813659 754.744552269901</t>
  </si>
  <si>
    <t>9763-20170724T160440.061918000.bin</t>
  </si>
  <si>
    <t>-586.496464939395 111.396123474705 -229.579645948781</t>
  </si>
  <si>
    <t>-618.665048739395 114.571103991456 -346.2967422228</t>
  </si>
  <si>
    <t>-628.352825412425 110.316492268698 -467.038767879567</t>
  </si>
  <si>
    <t>-627.885357643472 103.092237723733 -576.320194048699</t>
  </si>
  <si>
    <t>-618.364907413177 92.3779711050991 -684.899290915566</t>
  </si>
  <si>
    <t>-595.822853156471 73.7181414170882 -834.377368367136</t>
  </si>
  <si>
    <t>-553.143758770342 48.1416988280664 -923.300387750572</t>
  </si>
  <si>
    <t>-588.959070799013 108.930929585761 -769.063670482327</t>
  </si>
  <si>
    <t>-502.263256286571 225.901776034861 -748.399809517286</t>
  </si>
  <si>
    <t>-449.889005854161 247.714867029585 -437.003995328409</t>
  </si>
  <si>
    <t>-305.086888194438 87.8657384513297 -291.667604777787</t>
  </si>
  <si>
    <t>-622.634987992995 55.0181001462265 -767.412158820447</t>
  </si>
  <si>
    <t>-543.480716928055 198.7536976041 -238.167071920765</t>
  </si>
  <si>
    <t>-574.685792949252 192.64310521135 216.416815931946</t>
  </si>
  <si>
    <t>-623.477272307771 170.914716847401 683.201005070338</t>
  </si>
  <si>
    <t>-484.902189875953 99.7340350161564 764.89415501972</t>
  </si>
  <si>
    <t>-629.428799459573 24.017607873096 -220.367772987457</t>
  </si>
  <si>
    <t>-501.334000151332 -104.943770712894 197.505743860695</t>
  </si>
  <si>
    <t>-502.872668729759 -27.4933104954746 661.002153394216</t>
  </si>
  <si>
    <t>-493.16868274498 -175.864337203122 754.998831612257</t>
  </si>
  <si>
    <t>9763-20170724T160440.131107200.bin</t>
  </si>
  <si>
    <t>-586.186490592808 110.78746326021 -229.564744358996</t>
  </si>
  <si>
    <t>-618.294327788962 113.980215379772 -346.298325766071</t>
  </si>
  <si>
    <t>-627.91239217784 109.743766183536 -467.046407440311</t>
  </si>
  <si>
    <t>-627.379713755978 102.533916292677 -576.328631163289</t>
  </si>
  <si>
    <t>-617.79321848293 91.8303182063682 -684.902843199367</t>
  </si>
  <si>
    <t>-595.158892369172 73.1809983669252 -834.368151332781</t>
  </si>
  <si>
    <t>-552.775204063913 47.7495802684616 -923.474014021981</t>
  </si>
  <si>
    <t>-588.324697821414 108.382533909136 -769.045447462114</t>
  </si>
  <si>
    <t>-501.522906738347 225.246292965132 -748.302524501348</t>
  </si>
  <si>
    <t>-449.370092297091 246.772066299908 -436.84968405115</t>
  </si>
  <si>
    <t>-304.952745009849 86.6304562876696 -291.452388770504</t>
  </si>
  <si>
    <t>-622.023160164228 54.4828312926297 -767.423280674343</t>
  </si>
  <si>
    <t>-543.210274578224 198.141832791209 -238.151016206608</t>
  </si>
  <si>
    <t>-574.569172853996 192.296487844901 216.425845515399</t>
  </si>
  <si>
    <t>-623.562466228234 170.968544628199 683.188953067112</t>
  </si>
  <si>
    <t>-484.964959666497 99.8317051650117 764.882278525573</t>
  </si>
  <si>
    <t>-629.069330114492 23.4530465605862 -220.231846822499</t>
  </si>
  <si>
    <t>-501.131554703009 -105.4422246184 197.710176835241</t>
  </si>
  <si>
    <t>-502.720577428622 -27.5416079044285 661.230544011585</t>
  </si>
  <si>
    <t>-493.000397010807 -175.885079170145 755.268999071137</t>
  </si>
  <si>
    <t>9763-20170724T160440.194279600.bin</t>
  </si>
  <si>
    <t>-585.783070620746 110.306026995794 -229.405747711042</t>
  </si>
  <si>
    <t>-617.90427910668 113.505703906436 -346.135426597348</t>
  </si>
  <si>
    <t>-627.538152929738 109.317313597905 -466.883884711928</t>
  </si>
  <si>
    <t>-627.01964878384 102.168288903831 -576.170152556787</t>
  </si>
  <si>
    <t>-617.446211142202 91.5434273468393 -684.753283509936</t>
  </si>
  <si>
    <t>-594.828184379003 73.0221635679429 -834.23715396641</t>
  </si>
  <si>
    <t>-552.59593160467 47.6965446162592 -923.444894985439</t>
  </si>
  <si>
    <t>-587.979422918647 108.163202741175 -768.883303503687</t>
  </si>
  <si>
    <t>-501.097189572018 224.96149307086 -748.063152854916</t>
  </si>
  <si>
    <t>-448.759204839824 246.425201605106 -436.63689364008</t>
  </si>
  <si>
    <t>-304.653592170773 85.8659881251165 -291.391152934844</t>
  </si>
  <si>
    <t>-621.692471813009 54.2713197258183 -767.307002397445</t>
  </si>
  <si>
    <t>-542.855685424158 197.624971454079 -238.05078342645</t>
  </si>
  <si>
    <t>-574.368820230439 192.01094895302 216.518306469737</t>
  </si>
  <si>
    <t>-623.604114463519 171.09563918735 683.223601141634</t>
  </si>
  <si>
    <t>-485.022904096046 99.9282072104763 764.917886816732</t>
  </si>
  <si>
    <t>-628.632483606141 23.0186656858159 -219.986768837954</t>
  </si>
  <si>
    <t>-500.691407096242 -105.858255405203 197.95994529493</t>
  </si>
  <si>
    <t>-502.429186040148 -27.445597637392 661.439593783527</t>
  </si>
  <si>
    <t>-492.840021715731 -175.896011512819 755.322652634219</t>
  </si>
  <si>
    <t>9763-20170724T160440.229394000.bin</t>
  </si>
  <si>
    <t>-585.628270217345 110.057828523371 -229.314928053262</t>
  </si>
  <si>
    <t>-617.756166951503 113.246946333406 -346.042893653067</t>
  </si>
  <si>
    <t>-627.412289698324 109.09214479633 -466.790783405321</t>
  </si>
  <si>
    <t>-626.919572579893 101.991245004436 -576.080257370371</t>
  </si>
  <si>
    <t>-617.376906810778 91.4320448924157 -684.672590881037</t>
  </si>
  <si>
    <t>-594.806006290756 73.0200687570932 -834.177031567678</t>
  </si>
  <si>
    <t>-552.605834627983 47.73856088054 -923.41246356489</t>
  </si>
  <si>
    <t>-587.93935098559 108.114900929914 -768.800319193341</t>
  </si>
  <si>
    <t>-500.999496381407 224.871268973214 -747.979814565885</t>
  </si>
  <si>
    <t>-448.834822792048 246.176559337945 -436.513819890353</t>
  </si>
  <si>
    <t>-304.62261006369 85.7017902973587 -291.280341131897</t>
  </si>
  <si>
    <t>-621.646591824881 54.2185961331722 -767.251603850261</t>
  </si>
  <si>
    <t>-542.738133577079 197.36670878801 -237.991771979007</t>
  </si>
  <si>
    <t>-574.270427658331 191.884141873454 216.577588435516</t>
  </si>
  <si>
    <t>-623.63958472578 171.130841300791 683.250127967278</t>
  </si>
  <si>
    <t>-485.060051407131 99.956854912376 764.941535721518</t>
  </si>
  <si>
    <t>-628.443006053444 22.7731027310881 -219.879447865898</t>
  </si>
  <si>
    <t>-500.523065273209 -106.086800435154 198.079013295041</t>
  </si>
  <si>
    <t>-502.311153369008 -27.3978849216255 661.523252540494</t>
  </si>
  <si>
    <t>-492.772280544881 -175.916721080692 755.303250523414</t>
  </si>
  <si>
    <t>9763-20170724T160440.257480700.bin</t>
  </si>
  <si>
    <t>-585.449210925983 109.80795834353 -229.227603236586</t>
  </si>
  <si>
    <t>-617.561468964459 112.993485731921 -345.959937438154</t>
  </si>
  <si>
    <t>-627.244706719544 108.886996508609 -466.707448229179</t>
  </si>
  <si>
    <t>-626.793610499175 101.850096524926 -576.001306573961</t>
  </si>
  <si>
    <t>-617.309063067379 91.3744252512797 -684.606721793095</t>
  </si>
  <si>
    <t>-594.835121361083 73.098167571176 -834.142243880894</t>
  </si>
  <si>
    <t>-552.685426617081 47.8671347098662 -923.415997904469</t>
  </si>
  <si>
    <t>-587.925797736323 108.133653429308 -768.738205089332</t>
  </si>
  <si>
    <t>-500.953948697364 224.864706449924 -747.891198395052</t>
  </si>
  <si>
    <t>-448.850074925981 246.040004363626 -436.40609934971</t>
  </si>
  <si>
    <t>-304.654021110757 85.493501971438 -291.23603825292</t>
  </si>
  <si>
    <t>-621.632388127179 54.2361473486408 -767.216607365826</t>
  </si>
  <si>
    <t>-542.616069749928 197.109010454494 -237.926150913613</t>
  </si>
  <si>
    <t>-574.182955092698 191.755927513426 216.642356846306</t>
  </si>
  <si>
    <t>-623.676353162913 171.154924628181 683.283638097952</t>
  </si>
  <si>
    <t>-485.108461561549 99.9560117593437 764.973084896359</t>
  </si>
  <si>
    <t>-628.140614226144 22.5415905954476 -219.784357185291</t>
  </si>
  <si>
    <t>-500.350602576857 -106.249458618478 198.235060285728</t>
  </si>
  <si>
    <t>-502.122143851243 -27.2594436204108 661.685230766761</t>
  </si>
  <si>
    <t>-492.64350290401 -175.920590543502 755.245597099244</t>
  </si>
  <si>
    <t>9763-20170724T160440.339701900.bin</t>
  </si>
  <si>
    <t>-585.233857887659 109.67468903747 -229.099186069147</t>
  </si>
  <si>
    <t>-617.369302327774 112.864016752167 -345.82506034025</t>
  </si>
  <si>
    <t>-627.109518593292 108.809437363775 -466.569648133622</t>
  </si>
  <si>
    <t>-626.722839823076 101.838545134292 -575.867998576605</t>
  </si>
  <si>
    <t>-617.314489577767 91.4477187692501 -684.488339535762</t>
  </si>
  <si>
    <t>-594.957738353462 73.3083162320768 -834.058051445065</t>
  </si>
  <si>
    <t>-552.866454801448 48.1179516423076 -923.370832659173</t>
  </si>
  <si>
    <t>-588.002170509693 108.28693847959 -768.628582331576</t>
  </si>
  <si>
    <t>-501.023852825612 225.01333931897 -747.776434307948</t>
  </si>
  <si>
    <t>-449.100901761134 246.024884432417 -436.249981793302</t>
  </si>
  <si>
    <t>-304.786136319013 85.4410165737954 -291.239181941494</t>
  </si>
  <si>
    <t>-621.697669084108 54.3819246423834 -767.127593156272</t>
  </si>
  <si>
    <t>-542.553972094915 196.977548505895 -237.839340309833</t>
  </si>
  <si>
    <t>-574.124910306607 191.694272515549 216.729682005403</t>
  </si>
  <si>
    <t>-623.68809431135 171.225017624435 683.335959494237</t>
  </si>
  <si>
    <t>-485.11577231557 100.030317448915 765.021581525427</t>
  </si>
  <si>
    <t>-627.801704592057 22.4331124996954 -219.592990965904</t>
  </si>
  <si>
    <t>-500.025003039418 -106.289258198323 198.451667219705</t>
  </si>
  <si>
    <t>-501.765356208571 -26.9522708953662 661.984875597439</t>
  </si>
  <si>
    <t>-492.406953850009 -175.901694261425 755.097740212466</t>
  </si>
  <si>
    <t>9763-20170724T160440.394374500.bin</t>
  </si>
  <si>
    <t>-584.50089577124 109.234843066845 -228.614033578775</t>
  </si>
  <si>
    <t>-616.676906897953 112.374846631959 -345.330138640194</t>
  </si>
  <si>
    <t>-626.638646049151 108.486154878917 -466.062116333413</t>
  </si>
  <si>
    <t>-626.521205447629 101.755968209065 -575.376117523134</t>
  </si>
  <si>
    <t>-617.44609027073 91.6974148642341 -684.055971418509</t>
  </si>
  <si>
    <t>-595.613377128078 74.1150948243751 -833.76966622153</t>
  </si>
  <si>
    <t>-553.680331157145 49.0529531838333 -923.192821637111</t>
  </si>
  <si>
    <t>-588.454275953392 108.86592127086 -768.240704250613</t>
  </si>
  <si>
    <t>-501.738025877704 225.791136318897 -747.396714906835</t>
  </si>
  <si>
    <t>-450.91728643733 246.953255947785 -435.698703525326</t>
  </si>
  <si>
    <t>-305.228506935482 86.9253867944094 -291.449219782682</t>
  </si>
  <si>
    <t>-622.093148428302 54.9234442822633 -766.811277702115</t>
  </si>
  <si>
    <t>-542.213499121755 196.179846227252 -237.534191394366</t>
  </si>
  <si>
    <t>-573.873175424501 191.469072566603 217.03495190914</t>
  </si>
  <si>
    <t>-623.782843967959 171.257740082247 683.532647861547</t>
  </si>
  <si>
    <t>-485.141836822638 100.206211973905 765.226383550855</t>
  </si>
  <si>
    <t>-626.728838903969 22.2572324036028 -218.921017372304</t>
  </si>
  <si>
    <t>-498.928710780167 -106.245678361302 199.18405346134</t>
  </si>
  <si>
    <t>-500.616905890753 -25.8222977533444 662.560429288655</t>
  </si>
  <si>
    <t>-491.856409654858 -175.8037255042 754.060862132637</t>
  </si>
  <si>
    <t>9763-20170724T160440.426459100.bin</t>
  </si>
  <si>
    <t>-584.313880214187 108.946297602418 -228.530135693548</t>
  </si>
  <si>
    <t>-616.504637459517 112.054539143332 -345.242934118828</t>
  </si>
  <si>
    <t>-626.558625769723 108.189331984249 -465.967985367966</t>
  </si>
  <si>
    <t>-626.554456631805 101.505242176759 -575.284896412567</t>
  </si>
  <si>
    <t>-617.620650584253 91.5187321854987 -683.983075237881</t>
  </si>
  <si>
    <t>-596.011208419836 74.0644030322708 -833.744142113132</t>
  </si>
  <si>
    <t>-554.130401662876 49.0293882672679 -923.199367663204</t>
  </si>
  <si>
    <t>-588.760403940392 108.762941239329 -768.197681207431</t>
  </si>
  <si>
    <t>-502.235060983638 225.84302188894 -747.443659387513</t>
  </si>
  <si>
    <t>-452.236066476914 247.347895509379 -435.636231517449</t>
  </si>
  <si>
    <t>-305.508371612285 87.8827371103716 -291.817259192532</t>
  </si>
  <si>
    <t>-622.385072279761 54.8118251874293 -766.761453580823</t>
  </si>
  <si>
    <t>-542.098292122069 195.809174087836 -237.493979914041</t>
  </si>
  <si>
    <t>-573.764732693971 191.292649354372 217.076766762891</t>
  </si>
  <si>
    <t>-623.768962208814 171.350797454969 683.572249743249</t>
  </si>
  <si>
    <t>-485.172454872597 100.226784697642 765.278398054615</t>
  </si>
  <si>
    <t>-626.467647361855 22.0331176268426 -218.816359318655</t>
  </si>
  <si>
    <t>-498.68906673636 -106.470229015221 199.295156502602</t>
  </si>
  <si>
    <t>-500.358657510127 -25.5684389525966 662.60158716529</t>
  </si>
  <si>
    <t>-491.831949538379 -175.814826164641 753.688622432463</t>
  </si>
  <si>
    <t>9763-20170724T160440.496765800.bin</t>
  </si>
  <si>
    <t>-583.913892495325 108.26921618181 -228.444866560056</t>
  </si>
  <si>
    <t>-616.134646272336 111.320410818475 -345.15094785082</t>
  </si>
  <si>
    <t>-626.35745227473 107.504918706278 -465.863494251157</t>
  </si>
  <si>
    <t>-626.557267704612 100.919654351438 -575.186075515188</t>
  </si>
  <si>
    <t>-617.873953828765 91.0914015799153 -683.919073807671</t>
  </si>
  <si>
    <t>-596.655506702973 73.9235273676334 -833.769139191656</t>
  </si>
  <si>
    <t>-554.877536606421 48.9720527651027 -923.295752925473</t>
  </si>
  <si>
    <t>-589.298904852803 108.537035660366 -768.189355529069</t>
  </si>
  <si>
    <t>-503.085460690174 225.895463268934 -747.690009950174</t>
  </si>
  <si>
    <t>-454.471483387634 248.153138331247 -435.716453878971</t>
  </si>
  <si>
    <t>-304.861106308493 90.9620262826354 -292.364797334648</t>
  </si>
  <si>
    <t>-622.789012805127 54.5026310664252 -766.740890417462</t>
  </si>
  <si>
    <t>-541.772347250844 194.891250671397 -237.471964395777</t>
  </si>
  <si>
    <t>-573.408730197414 190.73297330225 217.104259029588</t>
  </si>
  <si>
    <t>-623.784506062041 171.451686736395 683.620019504149</t>
  </si>
  <si>
    <t>-485.15310442933 100.41800608155 765.345478557365</t>
  </si>
  <si>
    <t>-625.949134273747 21.6528940659259 -218.720425011418</t>
  </si>
  <si>
    <t>-498.307420772911 -106.950914295667 199.401991213391</t>
  </si>
  <si>
    <t>-499.682378266181 -25.1472682403382 662.550363043059</t>
  </si>
  <si>
    <t>-491.929606646756 -175.845672527754 752.957180901623</t>
  </si>
  <si>
    <t>9763-20170724T160440.525842200.bin</t>
  </si>
  <si>
    <t>-583.770328559585 107.874456888175 -228.509950445738</t>
  </si>
  <si>
    <t>-616.015779424576 110.905867832287 -345.209737458515</t>
  </si>
  <si>
    <t>-626.351649183511 107.09302789508 -465.912655361928</t>
  </si>
  <si>
    <t>-626.687482829492 100.524103832139 -575.2360143236</t>
  </si>
  <si>
    <t>-618.172005052918 90.7284005114286 -683.985202132329</t>
  </si>
  <si>
    <t>-597.217677489967 73.6244175005436 -833.879647423021</t>
  </si>
  <si>
    <t>-555.51279138062 48.6878615179844 -923.444513581212</t>
  </si>
  <si>
    <t>-589.778188944636 108.22984358849 -768.305006345737</t>
  </si>
  <si>
    <t>-503.815101285509 225.815922543253 -748.028871849173</t>
  </si>
  <si>
    <t>-455.501144053522 248.266040235382 -436.022528246089</t>
  </si>
  <si>
    <t>-304.478604981806 92.3003009691338 -292.813175672977</t>
  </si>
  <si>
    <t>-623.200462911175 54.1549383151528 -766.807095448676</t>
  </si>
  <si>
    <t>-541.732913331492 194.422235023826 -237.530863872214</t>
  </si>
  <si>
    <t>-573.315478351695 190.420351152966 217.050535234236</t>
  </si>
  <si>
    <t>-623.81824072872 171.475916523469 683.596636358343</t>
  </si>
  <si>
    <t>-485.131721151798 100.568188880102 765.338057322713</t>
  </si>
  <si>
    <t>-625.712684868831 21.3221666905549 -218.807239796523</t>
  </si>
  <si>
    <t>-498.048560570198 -107.196152924866 199.334665522655</t>
  </si>
  <si>
    <t>-499.450298929591 -25.0764365379177 662.372029003181</t>
  </si>
  <si>
    <t>-492.000954215657 -175.882530371336 752.624667192586</t>
  </si>
  <si>
    <t>9763-20170724T160440.596043100.bin</t>
  </si>
  <si>
    <t>-583.636490737574 107.126263525374 -228.744023229543</t>
  </si>
  <si>
    <t>-615.924843746204 110.070165333012 -345.434310148376</t>
  </si>
  <si>
    <t>-626.446520429652 106.225315106713 -466.120179562809</t>
  </si>
  <si>
    <t>-627.007712305592 99.6503843542566 -575.442115095387</t>
  </si>
  <si>
    <t>-618.77296108394 89.8716556659197 -684.214408198972</t>
  </si>
  <si>
    <t>-598.264208201241 72.8144846153305 -834.175921622159</t>
  </si>
  <si>
    <t>-556.6616293359 47.8718005761582 -923.78666886281</t>
  </si>
  <si>
    <t>-590.657888880473 107.416647145307 -768.618759746289</t>
  </si>
  <si>
    <t>-504.963395274567 225.27429003606 -748.785341888036</t>
  </si>
  <si>
    <t>-456.976025933063 248.387816551139 -436.777061803763</t>
  </si>
  <si>
    <t>-303.241602432754 94.6720994698048 -294.021139560844</t>
  </si>
  <si>
    <t>-624.019477808636 53.3069118757192 -767.026573391546</t>
  </si>
  <si>
    <t>-541.897899425476 193.681949626307 -237.746257558632</t>
  </si>
  <si>
    <t>-573.312998663465 189.954824956835 216.848973530372</t>
  </si>
  <si>
    <t>-623.811536546979 171.566681009578 683.499411938547</t>
  </si>
  <si>
    <t>-485.086929047647 100.79224990948 765.291663791171</t>
  </si>
  <si>
    <t>-625.272815954414 20.5820275641006 -219.086474501994</t>
  </si>
  <si>
    <t>-497.40562802725 -107.563110711975 199.107890902226</t>
  </si>
  <si>
    <t>-499.147293019427 -25.1098299667851 661.981769031328</t>
  </si>
  <si>
    <t>-491.962490408932 -175.986123655097 752.138295834014</t>
  </si>
  <si>
    <t>9763-20170724T160440.627125200.bin</t>
  </si>
  <si>
    <t>-583.729861770161 106.769326490878 -228.904139156135</t>
  </si>
  <si>
    <t>-616.062925118874 109.665215843091 -345.58320010436</t>
  </si>
  <si>
    <t>-626.732661722563 105.7850011893 -466.254846476852</t>
  </si>
  <si>
    <t>-627.469746546307 99.1820541667394 -575.574228275462</t>
  </si>
  <si>
    <t>-619.452652276252 89.3776439581982 -684.360403752871</t>
  </si>
  <si>
    <t>-599.288427167861 72.2865327344807 -834.364764575641</t>
  </si>
  <si>
    <t>-557.806384763673 47.299746408584 -924.018973621877</t>
  </si>
  <si>
    <t>-591.535631233936 106.905947393858 -768.833912915254</t>
  </si>
  <si>
    <t>-506.02047848125 224.932072177341 -749.250156826339</t>
  </si>
  <si>
    <t>-458.178259524921 248.277179859638 -437.236837901714</t>
  </si>
  <si>
    <t>-303.076345651687 95.6707622751599 -294.770207543844</t>
  </si>
  <si>
    <t>-624.885366250433 52.7916348357694 -767.151248422764</t>
  </si>
  <si>
    <t>-542.15581159067 193.375471788709 -237.881634848727</t>
  </si>
  <si>
    <t>-573.359157976502 189.726478537128 216.728787032854</t>
  </si>
  <si>
    <t>-623.88688225502 171.535270366922 683.443767462366</t>
  </si>
  <si>
    <t>-485.152602640813 100.798191273746 765.251953136987</t>
  </si>
  <si>
    <t>-625.250814264276 20.1427748064737 -219.286610669514</t>
  </si>
  <si>
    <t>-497.053122341499 -107.585510002816 198.933985898029</t>
  </si>
  <si>
    <t>-499.036977580585 -25.1810673301848 661.790402418789</t>
  </si>
  <si>
    <t>-491.917655435061 -176.038027474026 751.984811647605</t>
  </si>
  <si>
    <t>9763-20170724T160440.692817900.bin</t>
  </si>
  <si>
    <t>-584.043516946061 106.175518000347 -229.150108536164</t>
  </si>
  <si>
    <t>-616.501652257218 108.937032977537 -345.797754549658</t>
  </si>
  <si>
    <t>-627.483829109113 104.961498024269 -466.43831805745</t>
  </si>
  <si>
    <t>-628.576879769011 98.2925841060583 -575.750615456043</t>
  </si>
  <si>
    <t>-620.986462465728 88.4438234097699 -684.563440313879</t>
  </si>
  <si>
    <t>-601.485285163839 71.3146535527492 -834.651100746347</t>
  </si>
  <si>
    <t>-560.258393872878 46.2692828730437 -924.406637586211</t>
  </si>
  <si>
    <t>-593.511416287019 105.992253240473 -769.177411542912</t>
  </si>
  <si>
    <t>-508.380548482203 224.367879579407 -750.112672498965</t>
  </si>
  <si>
    <t>-459.856342528915 247.951975822017 -438.22273107731</t>
  </si>
  <si>
    <t>-302.232764219727 97.3637365764002 -296.377441681281</t>
  </si>
  <si>
    <t>-626.716560940213 51.7952321585419 -767.30644460367</t>
  </si>
  <si>
    <t>-542.737201242899 192.922176717426 -238.132553288238</t>
  </si>
  <si>
    <t>-573.662552213412 189.411338016117 216.498015362356</t>
  </si>
  <si>
    <t>-623.946381656173 171.588065937143 683.340764768057</t>
  </si>
  <si>
    <t>-485.06584171854 101.142424937987 765.15226978648</t>
  </si>
  <si>
    <t>-625.34152045213 19.4266620588551 -219.482158839217</t>
  </si>
  <si>
    <t>-496.280457009316 -107.599453172462 198.686790447818</t>
  </si>
  <si>
    <t>-498.926282446165 -25.3325234462752 661.537125927282</t>
  </si>
  <si>
    <t>-491.697976371504 -176.137349637674 751.810075831499</t>
  </si>
  <si>
    <t>9763-20170724T160440.731924900.bin</t>
  </si>
  <si>
    <t>-584.280105078873 106.021988639906 -229.233333783388</t>
  </si>
  <si>
    <t>-616.836515145258 108.730270245886 -345.854681314764</t>
  </si>
  <si>
    <t>-627.974156580235 104.698750988502 -466.479160036232</t>
  </si>
  <si>
    <t>-629.229724028595 97.9796200012177 -575.786629865678</t>
  </si>
  <si>
    <t>-621.822643091985 88.0817342383002 -684.60773279585</t>
  </si>
  <si>
    <t>-602.596792956148 70.8858022241509 -834.72324077402</t>
  </si>
  <si>
    <t>-561.46347305929 45.7926869534103 -924.508430989992</t>
  </si>
  <si>
    <t>-594.542783209209 105.616662657146 -769.287740646863</t>
  </si>
  <si>
    <t>-509.537214109015 224.125235718894 -750.474295152778</t>
  </si>
  <si>
    <t>-460.291400957302 247.738442345842 -438.69959355112</t>
  </si>
  <si>
    <t>-301.753324295199 97.8917299628658 -297.088488307389</t>
  </si>
  <si>
    <t>-627.664602106757 51.37213058667 -767.316015475661</t>
  </si>
  <si>
    <t>-543.099967453094 192.900055089315 -238.236264669051</t>
  </si>
  <si>
    <t>-573.75785834141 189.384968141894 216.41236946142</t>
  </si>
  <si>
    <t>-623.955233041136 171.643212517992 683.292978241748</t>
  </si>
  <si>
    <t>-485.104760806523 101.137808835588 765.103981264525</t>
  </si>
  <si>
    <t>-625.378869659624 19.1732110586356 -219.544248637286</t>
  </si>
  <si>
    <t>-495.908115285988 -107.596519813869 198.575902277623</t>
  </si>
  <si>
    <t>-498.842818677029 -25.4151247881671 661.428004015767</t>
  </si>
  <si>
    <t>-491.598750203375 -176.185016007915 751.757823079457</t>
  </si>
  <si>
    <t>9763-20170724T160440.795135400.bin</t>
  </si>
  <si>
    <t>-584.618453541092 105.709633238899 -229.288782815471</t>
  </si>
  <si>
    <t>-617.390556769235 108.26781102737 -345.853233374375</t>
  </si>
  <si>
    <t>-628.860503117012 104.108133526439 -466.44220111605</t>
  </si>
  <si>
    <t>-630.4610903527 97.284170047717 -575.73859916017</t>
  </si>
  <si>
    <t>-623.441475857974 87.2928059887006 -684.576747772798</t>
  </si>
  <si>
    <t>-604.795815557285 69.9790597527203 -834.751945200746</t>
  </si>
  <si>
    <t>-563.845492696698 44.7827841102978 -924.591756877078</t>
  </si>
  <si>
    <t>-596.564719721209 104.806697005252 -769.389873631538</t>
  </si>
  <si>
    <t>-511.754636979859 223.529200790658 -751.132821233336</t>
  </si>
  <si>
    <t>-460.72618824344 247.259318982131 -439.65369707247</t>
  </si>
  <si>
    <t>-300.994110907817 98.3484186179815 -298.397827384778</t>
  </si>
  <si>
    <t>-629.527183077123 50.4729883117527 -767.218352472524</t>
  </si>
  <si>
    <t>-543.726199584803 192.722481077449 -238.364240215372</t>
  </si>
  <si>
    <t>-573.854936575366 189.202243798788 216.319789407217</t>
  </si>
  <si>
    <t>-623.943830243549 171.797283311324 683.235181062997</t>
  </si>
  <si>
    <t>-485.012111926634 101.419766175586 765.018424316613</t>
  </si>
  <si>
    <t>-625.409885159338 18.6503191804925 -219.493684496274</t>
  </si>
  <si>
    <t>-495.017447096899 -107.703142806434 198.46601037408</t>
  </si>
  <si>
    <t>-498.772384895182 -25.5683571635661 661.29509816738</t>
  </si>
  <si>
    <t>-491.35277990933 -176.273571423179 751.71855009614</t>
  </si>
  <si>
    <t>9763-20170724T160440.830728300.bin</t>
  </si>
  <si>
    <t>-584.800546274998 105.663094534297 -229.262101489605</t>
  </si>
  <si>
    <t>-617.70199277298 108.143035652112 -345.791654334302</t>
  </si>
  <si>
    <t>-629.339457836465 103.9055873656 -466.361873696081</t>
  </si>
  <si>
    <t>-631.104988935967 97.014109996793 -575.651593116716</t>
  </si>
  <si>
    <t>-624.262571511721 86.959089356908 -684.495191592088</t>
  </si>
  <si>
    <t>-605.87452370702 69.5620109938432 -834.692586355068</t>
  </si>
  <si>
    <t>-564.99886062285 44.3198426353874 -924.553471666579</t>
  </si>
  <si>
    <t>-597.573926833334 104.451453089578 -769.372206095066</t>
  </si>
  <si>
    <t>-512.817277508402 223.263679008128 -751.373279161423</t>
  </si>
  <si>
    <t>-460.651489412022 247.06121348286 -440.087902142237</t>
  </si>
  <si>
    <t>-300.649968055362 98.5305172945691 -298.736489735597</t>
  </si>
  <si>
    <t>-630.447352842807 50.0679720622645 -767.097627453626</t>
  </si>
  <si>
    <t>-544.040901847866 192.753886521488 -238.404226870768</t>
  </si>
  <si>
    <t>-573.869683937153 189.158361998633 216.298955725476</t>
  </si>
  <si>
    <t>-624.000076435712 171.824820654833 683.231464769542</t>
  </si>
  <si>
    <t>-485.00993679681 101.527748008349 764.984659132249</t>
  </si>
  <si>
    <t>-625.464762863023 18.551374534753 -219.3971047012</t>
  </si>
  <si>
    <t>-494.580326208234 -107.705638279225 198.437968185078</t>
  </si>
  <si>
    <t>-498.708194202111 -25.6358586892018 661.256313798126</t>
  </si>
  <si>
    <t>-491.250041670671 -176.313683626401 751.722365360133</t>
  </si>
  <si>
    <t>9763-20170724T160440.897914600.bin</t>
  </si>
  <si>
    <t>-585.27386204745 105.731642847879 -229.160120912579</t>
  </si>
  <si>
    <t>-618.440213464042 108.085286944222 -345.617221003699</t>
  </si>
  <si>
    <t>-630.429672415575 103.668919465015 -466.146458963726</t>
  </si>
  <si>
    <t>-632.545348864119 96.5998614517234 -575.418630853415</t>
  </si>
  <si>
    <t>-626.082541336805 86.3543495081815 -684.267651106462</t>
  </si>
  <si>
    <t>-608.2503936541 68.6814985669716 -834.499857522596</t>
  </si>
  <si>
    <t>-567.558219203284 43.3350236585359 -924.414708230313</t>
  </si>
  <si>
    <t>-599.786425948915 103.737085179884 -769.289430348914</t>
  </si>
  <si>
    <t>-515.07918281041 222.652078556489 -751.785997333572</t>
  </si>
  <si>
    <t>-460.297458632953 246.394244845496 -440.946100936783</t>
  </si>
  <si>
    <t>-301.165485559106 97.6876674899422 -298.800288264261</t>
  </si>
  <si>
    <t>-632.494754597298 49.2652280830016 -766.764081990746</t>
  </si>
  <si>
    <t>-544.701591052682 193.100432876586 -238.413242767659</t>
  </si>
  <si>
    <t>-573.880252121558 189.296251661509 216.330413899981</t>
  </si>
  <si>
    <t>-624.157124469214 171.882418276656 683.268565790283</t>
  </si>
  <si>
    <t>-484.998099850525 101.780751709299 764.902088687832</t>
  </si>
  <si>
    <t>-625.780986126801 18.3915778562969 -219.190268576996</t>
  </si>
  <si>
    <t>-493.923413339337 -107.475183183542 198.456550031246</t>
  </si>
  <si>
    <t>-498.702989173123 -25.7618171317959 661.27471621584</t>
  </si>
  <si>
    <t>-490.902294231085 -176.388518944289 751.796987548615</t>
  </si>
  <si>
    <t>9763-20170724T160440.927989300.bin</t>
  </si>
  <si>
    <t>-585.477102939448 106.141458712477 -229.055382080392</t>
  </si>
  <si>
    <t>-618.776647613076 108.429095390556 -345.475793573698</t>
  </si>
  <si>
    <t>-630.909714018633 103.926373075693 -465.987520022773</t>
  </si>
  <si>
    <t>-633.157944552148 96.7723679084365 -575.25152022284</t>
  </si>
  <si>
    <t>-626.829805131364 86.435473553528 -684.099835231296</t>
  </si>
  <si>
    <t>-609.186147501382 68.6298512472038 -834.338586371155</t>
  </si>
  <si>
    <t>-568.549226688333 43.2171273855879 -924.259663589429</t>
  </si>
  <si>
    <t>-600.673810038144 103.762808434177 -769.176212084966</t>
  </si>
  <si>
    <t>-515.886118348775 222.666824836561 -751.980775066584</t>
  </si>
  <si>
    <t>-459.521838142458 246.510416807698 -441.431652594769</t>
  </si>
  <si>
    <t>-301.433461427308 97.2770063559392 -298.674846133</t>
  </si>
  <si>
    <t>-633.312026308211 49.2537495679192 -766.548918008195</t>
  </si>
  <si>
    <t>-545.007437010401 193.815889262082 -238.379335294652</t>
  </si>
  <si>
    <t>-573.89707523754 189.857404850869 216.381508953044</t>
  </si>
  <si>
    <t>-624.048309633524 172.132592032469 683.317303193207</t>
  </si>
  <si>
    <t>-485.100170794981 101.519085561224 764.868834926161</t>
  </si>
  <si>
    <t>-625.860238005482 18.585554339812 -219.031749761552</t>
  </si>
  <si>
    <t>-493.684700115126 -107.259310075414 198.521134802417</t>
  </si>
  <si>
    <t>-498.678031577829 -25.7997994403747 661.338359024451</t>
  </si>
  <si>
    <t>-490.747902874147 -176.414998735382 751.868289297161</t>
  </si>
  <si>
    <t>9763-20170724T160440.993703800.bin</t>
  </si>
  <si>
    <t>-585.833354382009 106.981924094812 -228.823670861717</t>
  </si>
  <si>
    <t>-619.338856511387 109.115107093931 -345.187847016591</t>
  </si>
  <si>
    <t>-631.728398726612 104.442825083694 -465.66716761582</t>
  </si>
  <si>
    <t>-634.227252431286 97.1302102507802 -574.915117336783</t>
  </si>
  <si>
    <t>-628.167422403328 86.6295353650873 -683.763132089942</t>
  </si>
  <si>
    <t>-610.914120778272 68.5908082271362 -834.019329149082</t>
  </si>
  <si>
    <t>-570.205291228669 42.9035709676468 -923.829797769755</t>
  </si>
  <si>
    <t>-602.255171524757 103.838113354464 -768.938055841937</t>
  </si>
  <si>
    <t>-517.237416707346 222.627206641074 -752.189048437627</t>
  </si>
  <si>
    <t>-458.055515530132 246.224714756838 -442.145712037258</t>
  </si>
  <si>
    <t>-302.215536253267 95.4347486453835 -298.554894273141</t>
  </si>
  <si>
    <t>-634.841212938137 49.3066056251121 -766.133041459862</t>
  </si>
  <si>
    <t>-545.456953410444 194.75370053427 -238.284500851827</t>
  </si>
  <si>
    <t>-573.921426011527 190.636170058962 216.501718615153</t>
  </si>
  <si>
    <t>-623.983488096035 172.431584107324 683.421634860954</t>
  </si>
  <si>
    <t>-485.238812849856 101.248193865445 764.824035699749</t>
  </si>
  <si>
    <t>-626.134591095843 19.1402090376153 -218.655353581594</t>
  </si>
  <si>
    <t>-493.129009189254 -106.994059028112 198.546497217047</t>
  </si>
  <si>
    <t>-498.656374511577 -25.9183120780251 661.404617627292</t>
  </si>
  <si>
    <t>-490.545687308342 -176.471451860117 752.021998305712</t>
  </si>
  <si>
    <t>9763-20170724T160441.028808300.bin</t>
  </si>
  <si>
    <t>-586.009679586329 107.340204785477 -228.669680888927</t>
  </si>
  <si>
    <t>-619.597927466843 109.391678585419 -345.011560185198</t>
  </si>
  <si>
    <t>-632.084730377045 104.657887706795 -465.478405455644</t>
  </si>
  <si>
    <t>-634.676716628829 97.297289632879 -574.720952068527</t>
  </si>
  <si>
    <t>-628.714643810822 86.7559560287543 -683.570300887922</t>
  </si>
  <si>
    <t>-611.60178076937 68.6676622013288 -833.836630736754</t>
  </si>
  <si>
    <t>-570.750032816887 42.7831272586375 -923.52558437465</t>
  </si>
  <si>
    <t>-602.866956978818 103.927552420303 -768.772366737127</t>
  </si>
  <si>
    <t>-517.574969963135 222.554466952494 -752.1074228484</t>
  </si>
  <si>
    <t>-457.811830315861 245.612473256782 -442.135004496385</t>
  </si>
  <si>
    <t>-302.313637255422 94.6403947876122 -298.365052806582</t>
  </si>
  <si>
    <t>-635.48046378358 49.4147614339427 -765.924574882196</t>
  </si>
  <si>
    <t>-545.647292117095 195.139139334926 -238.237348353664</t>
  </si>
  <si>
    <t>-574.028571016627 190.878259255854 216.552701399965</t>
  </si>
  <si>
    <t>-623.999507316573 172.493034786557 683.448017227245</t>
  </si>
  <si>
    <t>-485.287916386334 101.209853968734 764.819503590155</t>
  </si>
  <si>
    <t>-626.337916190333 19.4456086534137 -218.393992334751</t>
  </si>
  <si>
    <t>-492.852477717021 -106.839202638717 198.608867545011</t>
  </si>
  <si>
    <t>-498.658829234841 -25.9570795603818 661.462899310463</t>
  </si>
  <si>
    <t>-490.461441337663 -176.492001434015 752.102471392101</t>
  </si>
  <si>
    <t>9763-20170724T160441.095568300.bin</t>
  </si>
  <si>
    <t>-586.295864778123 107.767685436378 -228.459170843838</t>
  </si>
  <si>
    <t>-620.005886389511 109.734542196632 -344.767177524165</t>
  </si>
  <si>
    <t>-632.691443719397 104.879869273165 -465.208487636807</t>
  </si>
  <si>
    <t>-635.494232989809 97.394761012072 -574.437451991231</t>
  </si>
  <si>
    <t>-629.774017062756 86.7129431155051 -683.286038685339</t>
  </si>
  <si>
    <t>-613.028809132237 68.4126312546355 -833.568067925246</t>
  </si>
  <si>
    <t>-571.812950867677 41.9832181955423 -922.93107437679</t>
  </si>
  <si>
    <t>-604.076908999052 103.730189382718 -768.564601723357</t>
  </si>
  <si>
    <t>-518.405010546819 222.103581232735 -752.028436268209</t>
  </si>
  <si>
    <t>-457.938407312419 243.862159377187 -442.098604501148</t>
  </si>
  <si>
    <t>-303.05483190155 92.4563185770933 -298.121379669907</t>
  </si>
  <si>
    <t>-636.799153345973 49.2897330337075 -765.581354331699</t>
  </si>
  <si>
    <t>-545.822227747506 195.631539851271 -238.179355505917</t>
  </si>
  <si>
    <t>-574.082094112802 191.219224939898 216.616929705492</t>
  </si>
  <si>
    <t>-623.980774842173 172.648439717668 683.487775561515</t>
  </si>
  <si>
    <t>-485.269236642874 101.328220350127 764.826864048471</t>
  </si>
  <si>
    <t>-626.662911144247 19.8438098799702 -218.075358159077</t>
  </si>
  <si>
    <t>-492.548007984513 -106.362791822094 198.749221501379</t>
  </si>
  <si>
    <t>-498.686857896088 -25.9836420028309 661.65313667697</t>
  </si>
  <si>
    <t>-490.237665204153 -176.518445275885 752.269970891205</t>
  </si>
  <si>
    <t>9763-20170724T160441.125647600.bin</t>
  </si>
  <si>
    <t>-586.321463964019 108.012840045992 -228.377756849167</t>
  </si>
  <si>
    <t>-620.079990696551 109.924445699409 -344.672700983893</t>
  </si>
  <si>
    <t>-632.77918232453 104.978595731702 -465.108743043229</t>
  </si>
  <si>
    <t>-635.580146197737 97.3966265358422 -574.331130251887</t>
  </si>
  <si>
    <t>-629.844148445792 86.6040114704338 -683.168033468353</t>
  </si>
  <si>
    <t>-613.063286105677 68.1352750230883 -833.425448699691</t>
  </si>
  <si>
    <t>-571.594183310688 41.443111992166 -922.592834177713</t>
  </si>
  <si>
    <t>-604.114342635972 103.518222952869 -768.457075312677</t>
  </si>
  <si>
    <t>-518.303280303008 221.780612546042 -751.967781082654</t>
  </si>
  <si>
    <t>-457.400054404781 243.245516959425 -442.1029731901</t>
  </si>
  <si>
    <t>-302.785614803045 91.7745286350864 -297.905213004228</t>
  </si>
  <si>
    <t>-636.862291474117 49.095960528334 -765.425234519596</t>
  </si>
  <si>
    <t>-545.772374095584 195.892198639697 -238.162108181678</t>
  </si>
  <si>
    <t>-573.946742277 191.380485619249 216.638442194175</t>
  </si>
  <si>
    <t>-623.888396799043 172.806882687762 683.502618855623</t>
  </si>
  <si>
    <t>-485.346139517161 101.150585688303 764.834834583475</t>
  </si>
  <si>
    <t>-626.767913619409 20.0689908296747 -217.926231454225</t>
  </si>
  <si>
    <t>-492.48252558933 -106.169379053089 198.833786530424</t>
  </si>
  <si>
    <t>-498.67359101686 -25.9708192574637 661.784308083155</t>
  </si>
  <si>
    <t>-490.174496689377 -176.527728077549 752.359767381565</t>
  </si>
  <si>
    <t>9763-20170724T160441.193843400.bin</t>
  </si>
  <si>
    <t>-586.455982618869 108.378775634121 -228.296524008276</t>
  </si>
  <si>
    <t>-620.28475134992 110.318030891957 -344.570689531097</t>
  </si>
  <si>
    <t>-632.985693528286 105.264041621056 -465.001953423201</t>
  </si>
  <si>
    <t>-635.761296519643 97.5289589333559 -574.21415809627</t>
  </si>
  <si>
    <t>-629.974332539731 86.5284730044064 -683.027607721473</t>
  </si>
  <si>
    <t>-613.097951679871 67.7143546350521 -833.231423151872</t>
  </si>
  <si>
    <t>-571.193288819536 40.531273725416 -922.046374436048</t>
  </si>
  <si>
    <t>-604.159140054201 103.228264930851 -768.333214631965</t>
  </si>
  <si>
    <t>-518.075294179257 221.315019682434 -751.889728645839</t>
  </si>
  <si>
    <t>-456.23746780717 242.043605680609 -442.159829113833</t>
  </si>
  <si>
    <t>-302.34608325347 90.2906939969394 -297.485914889651</t>
  </si>
  <si>
    <t>-636.971210754389 48.8499063972668 -765.208691364881</t>
  </si>
  <si>
    <t>-545.8805811781 196.275241772775 -238.129740836081</t>
  </si>
  <si>
    <t>-573.873765014779 191.53840562407 216.679687664025</t>
  </si>
  <si>
    <t>-623.988799409208 172.769963366826 683.503072838735</t>
  </si>
  <si>
    <t>-485.298599664314 101.439926897289 764.869915729587</t>
  </si>
  <si>
    <t>-626.946114661014 20.461614798337 -217.766722000527</t>
  </si>
  <si>
    <t>-492.692722457133 -105.977377357588 198.942802843873</t>
  </si>
  <si>
    <t>-498.657890995521 -25.9725280610448 661.955572637984</t>
  </si>
  <si>
    <t>-490.195565442132 -176.553540651226 752.494288272154</t>
  </si>
  <si>
    <t>9763-20170724T160441.226938700.bin</t>
  </si>
  <si>
    <t>-586.490512612709 108.568500119025 -228.301293030686</t>
  </si>
  <si>
    <t>-620.316374417843 110.537310507034 -344.575792909999</t>
  </si>
  <si>
    <t>-632.93668823984 105.428831130214 -465.013186817064</t>
  </si>
  <si>
    <t>-635.610012750099 97.6067199198089 -574.22183136802</t>
  </si>
  <si>
    <t>-629.693485865108 86.4799291111603 -683.015343158692</t>
  </si>
  <si>
    <t>-612.611093682817 67.4482853225845 -833.168631142764</t>
  </si>
  <si>
    <t>-570.448103233828 40.0165455305767 -921.784451084407</t>
  </si>
  <si>
    <t>-603.722484808573 103.033008061452 -768.302286384729</t>
  </si>
  <si>
    <t>-517.46464511145 220.976924703896 -751.837812216976</t>
  </si>
  <si>
    <t>-455.510255322589 241.393035096511 -442.110344357563</t>
  </si>
  <si>
    <t>-301.78315423655 89.2907161521625 -297.628890380677</t>
  </si>
  <si>
    <t>-636.616615755497 48.7053064749809 -765.158538290174</t>
  </si>
  <si>
    <t>-545.862925415319 196.474943445473 -238.123931173392</t>
  </si>
  <si>
    <t>-573.814904807043 191.625888782599 216.686797042777</t>
  </si>
  <si>
    <t>-623.91765434362 172.868312892635 683.500461548989</t>
  </si>
  <si>
    <t>-485.318339212503 101.389103511767 764.891251993676</t>
  </si>
  <si>
    <t>-627.038691484687 20.6288474114508 -217.768302740821</t>
  </si>
  <si>
    <t>-492.816401380408 -105.731221496994 198.97526491832</t>
  </si>
  <si>
    <t>-498.675591818573 -25.9786584499211 662.022669901591</t>
  </si>
  <si>
    <t>-490.210943011026 -176.568457060944 752.546566922329</t>
  </si>
  <si>
    <t>9763-20170724T160441.290105500.bin</t>
  </si>
  <si>
    <t>-586.537341032961 109.054861844559 -228.331078877742</t>
  </si>
  <si>
    <t>-620.319721685157 111.191093645791 -344.615217200607</t>
  </si>
  <si>
    <t>-632.748212624534 106.079191689643 -465.072548068261</t>
  </si>
  <si>
    <t>-635.191908427685 98.1788922606331 -574.280832067074</t>
  </si>
  <si>
    <t>-628.993277280738 86.8970263465478 -683.042783757497</t>
  </si>
  <si>
    <t>-611.46895329823 67.568209551468 -833.107003082846</t>
  </si>
  <si>
    <t>-568.878890738046 39.7226591041153 -921.388957779009</t>
  </si>
  <si>
    <t>-602.669379334778 103.220576983221 -768.265711892019</t>
  </si>
  <si>
    <t>-516.004035445342 220.849221332218 -751.621209808882</t>
  </si>
  <si>
    <t>-455.248893757166 240.118329582025 -441.583017331327</t>
  </si>
  <si>
    <t>-301.233927927813 87.9677194460528 -297.459270376328</t>
  </si>
  <si>
    <t>-635.776429241919 49.0206949526712 -765.150755332667</t>
  </si>
  <si>
    <t>-545.678202152253 196.887417644818 -238.084740658767</t>
  </si>
  <si>
    <t>-573.739094052882 191.902216035001 216.717844232883</t>
  </si>
  <si>
    <t>-623.850807582697 173.025253177848 683.53181938732</t>
  </si>
  <si>
    <t>-485.332634799121 101.386371562944 764.920387601109</t>
  </si>
  <si>
    <t>-627.321865867672 21.2167281199863 -217.8273132785</t>
  </si>
  <si>
    <t>-493.28898659604 -105.228364921414 198.951461802762</t>
  </si>
  <si>
    <t>-498.708486275597 -25.97666351424 662.126265334377</t>
  </si>
  <si>
    <t>-490.301280758152 -176.594904682809 752.608187607231</t>
  </si>
  <si>
    <t>9763-20170724T160441.326209300.bin</t>
  </si>
  <si>
    <t>-586.550358639245 109.313639015861 -228.289473951713</t>
  </si>
  <si>
    <t>-620.273101998421 111.482890695049 -344.590247617863</t>
  </si>
  <si>
    <t>-632.596992196063 106.354055941754 -465.057540091507</t>
  </si>
  <si>
    <t>-634.928594642653 98.4191545797485 -574.265841671542</t>
  </si>
  <si>
    <t>-628.60139348398 87.0840400755831 -683.014858088314</t>
  </si>
  <si>
    <t>-610.882063034574 67.6629135694759 -833.044295606093</t>
  </si>
  <si>
    <t>-568.124946971282 39.6610291156808 -921.195948912597</t>
  </si>
  <si>
    <t>-602.13330987077 103.33492821686 -768.206962032273</t>
  </si>
  <si>
    <t>-515.285060092158 220.821794858703 -751.465934564271</t>
  </si>
  <si>
    <t>-455.454881600214 239.452349801352 -441.208901643681</t>
  </si>
  <si>
    <t>-300.809215388022 88.162688931528 -296.854402617104</t>
  </si>
  <si>
    <t>-635.311411928761 49.1772730594705 -765.114867636419</t>
  </si>
  <si>
    <t>-545.509515967934 197.049862172535 -238.050187750179</t>
  </si>
  <si>
    <t>-573.603445483926 191.995154504355 216.749566929974</t>
  </si>
  <si>
    <t>-623.853711967467 173.070755557271 683.54829723863</t>
  </si>
  <si>
    <t>-485.367191145667 101.362567806089 764.929664556415</t>
  </si>
  <si>
    <t>-627.503011211923 21.5298596609171 -217.815493368318</t>
  </si>
  <si>
    <t>-493.679987192234 -104.979147740102 199.011211746404</t>
  </si>
  <si>
    <t>-498.736455924141 -25.9364723022727 662.23209329968</t>
  </si>
  <si>
    <t>-490.325874635292 -176.600138193731 752.63802858412</t>
  </si>
  <si>
    <t>9763-20170724T160441.397005000.bin</t>
  </si>
  <si>
    <t>-586.482609113545 109.677896956522 -228.243675026775</t>
  </si>
  <si>
    <t>-620.106539601082 111.995324191645 -344.570334650272</t>
  </si>
  <si>
    <t>-632.259156213056 106.866843768763 -465.054983345291</t>
  </si>
  <si>
    <t>-634.407723533866 98.876441829188 -574.263071944923</t>
  </si>
  <si>
    <t>-627.870023816509 87.4340464568468 -682.988356530383</t>
  </si>
  <si>
    <t>-609.831395397336 67.8128993045909 -832.953813999011</t>
  </si>
  <si>
    <t>-566.761173744815 39.5723148708985 -920.876481697235</t>
  </si>
  <si>
    <t>-601.189976110562 103.552996106917 -768.13943908667</t>
  </si>
  <si>
    <t>-514.178056595677 220.89892865362 -751.241488082651</t>
  </si>
  <si>
    <t>-455.047972629981 238.850608894014 -440.810241831626</t>
  </si>
  <si>
    <t>-299.587785888999 88.8895803383143 -295.945197736788</t>
  </si>
  <si>
    <t>-634.435877429882 49.4363027960756 -765.057949339194</t>
  </si>
  <si>
    <t>-545.186830684152 197.326358381064 -237.960388183485</t>
  </si>
  <si>
    <t>-573.405931985466 192.085794455574 216.829583753048</t>
  </si>
  <si>
    <t>-623.895854059869 173.118800833875 683.56784042913</t>
  </si>
  <si>
    <t>-485.319332273582 101.558838984439 764.926490182225</t>
  </si>
  <si>
    <t>-627.65824153737 22.0277237562595 -217.844399077258</t>
  </si>
  <si>
    <t>-494.680682597295 -104.842289620663 199.143148247075</t>
  </si>
  <si>
    <t>-498.798039175704 -25.8486988283505 662.407516389618</t>
  </si>
  <si>
    <t>-490.459048633582 -176.609247698432 752.658283950197</t>
  </si>
  <si>
    <t>9763-20170724T160441.425080400.bin</t>
  </si>
  <si>
    <t>-586.443641661956 109.819468434536 -228.23267025814</t>
  </si>
  <si>
    <t>-620.010530774221 112.160664498325 -344.575159953964</t>
  </si>
  <si>
    <t>-632.08654499669 107.008722009632 -465.066677630753</t>
  </si>
  <si>
    <t>-634.158899624613 98.9784429733261 -574.27315691158</t>
  </si>
  <si>
    <t>-627.538933716538 87.4779298310607 -682.987312639301</t>
  </si>
  <si>
    <t>-609.380702558065 67.7573606625051 -832.92519873519</t>
  </si>
  <si>
    <t>-566.203112437115 39.4122562748303 -920.761584881365</t>
  </si>
  <si>
    <t>-600.77662390691 103.531575109339 -768.124769312212</t>
  </si>
  <si>
    <t>-513.774814536751 220.878333121869 -751.238336758536</t>
  </si>
  <si>
    <t>-454.322043159142 239.046440239206 -440.881441151217</t>
  </si>
  <si>
    <t>-298.652466318321 89.4800506797683 -295.833337116808</t>
  </si>
  <si>
    <t>-634.053791889064 49.4345060017913 -765.039855933479</t>
  </si>
  <si>
    <t>-545.039668373922 197.421385985189 -237.932967511948</t>
  </si>
  <si>
    <t>-573.312963196032 192.113320594043 216.852848527208</t>
  </si>
  <si>
    <t>-623.922458598251 173.121972515694 683.565722100467</t>
  </si>
  <si>
    <t>-485.320710286644 101.615501406492 764.928432015554</t>
  </si>
  <si>
    <t>-627.751603619299 22.1899901156567 -217.829092322698</t>
  </si>
  <si>
    <t>-495.242196886689 -105.011627671882 199.206428468461</t>
  </si>
  <si>
    <t>-498.91024711464 -25.851444814873 662.415918043082</t>
  </si>
  <si>
    <t>-490.578990211663 -176.620231592401 752.653823922707</t>
  </si>
  <si>
    <t>9763-20170724T160441.496301000.bin</t>
  </si>
  <si>
    <t>-586.404319758822 110.057998750296 -228.13601332904</t>
  </si>
  <si>
    <t>-619.866006408289 112.401840326442 -344.508879135113</t>
  </si>
  <si>
    <t>-631.803373326285 107.210140136537 -465.012334875668</t>
  </si>
  <si>
    <t>-633.738319035618 99.1275154792925 -574.217572627409</t>
  </si>
  <si>
    <t>-626.970098321636 87.5589163262364 -682.915453268038</t>
  </si>
  <si>
    <t>-608.595246459795 67.7286170748121 -832.81253412138</t>
  </si>
  <si>
    <t>-565.227618400345 39.232359131523 -920.506230730947</t>
  </si>
  <si>
    <t>-600.067192028707 103.539853873948 -768.022447955748</t>
  </si>
  <si>
    <t>-513.167780471826 220.957122477783 -751.146621165971</t>
  </si>
  <si>
    <t>-453.409865388361 239.289458443312 -440.857912572183</t>
  </si>
  <si>
    <t>-297.321684110026 90.4377775592188 -295.524700941288</t>
  </si>
  <si>
    <t>-633.383923672995 49.4659496620832 -764.952845543785</t>
  </si>
  <si>
    <t>-544.809648438812 197.684138429325 -237.848147153805</t>
  </si>
  <si>
    <t>-573.353337323251 192.422670944884 216.921360062865</t>
  </si>
  <si>
    <t>-623.879961113015 173.227820135383 683.583118861448</t>
  </si>
  <si>
    <t>-485.268932155675 101.758769583043 764.96287900711</t>
  </si>
  <si>
    <t>-627.934677513978 22.4234624158992 -217.708718395785</t>
  </si>
  <si>
    <t>-496.185212479846 -105.492704038017 199.349052104977</t>
  </si>
  <si>
    <t>-499.128276735537 -25.7801685048646 662.538700986616</t>
  </si>
  <si>
    <t>-490.875753530738 -176.645912970887 752.62156074116</t>
  </si>
  <si>
    <t>9763-20170724T160441.529389900.bin</t>
  </si>
  <si>
    <t>-586.314412563654 110.16708493871 -228.094350563555</t>
  </si>
  <si>
    <t>-619.719236069527 112.509662466289 -344.483528736769</t>
  </si>
  <si>
    <t>-631.594984515487 107.315817668821 -464.99311720311</t>
  </si>
  <si>
    <t>-633.472200646157 99.232985833818 -574.199267481323</t>
  </si>
  <si>
    <t>-626.644051377358 87.6671934805961 -682.893690361063</t>
  </si>
  <si>
    <t>-608.183594999194 67.8448407157857 -832.781249599127</t>
  </si>
  <si>
    <t>-564.730828195608 39.3243748828875 -920.425036663424</t>
  </si>
  <si>
    <t>-599.695093563121 103.65411600382 -767.9849684038</t>
  </si>
  <si>
    <t>-512.926493159327 221.147008746568 -751.048503030832</t>
  </si>
  <si>
    <t>-452.656798834796 239.477529599827 -440.858761250878</t>
  </si>
  <si>
    <t>-296.604822403515 91.0171422699846 -295.087142554712</t>
  </si>
  <si>
    <t>-633.00847917754 49.5770895023761 -764.936299666615</t>
  </si>
  <si>
    <t>-544.61765778515 197.755414560571 -237.811510943077</t>
  </si>
  <si>
    <t>-573.360812640055 192.509664510974 216.945583241528</t>
  </si>
  <si>
    <t>-623.874750670506 173.267093423669 683.595043795747</t>
  </si>
  <si>
    <t>-485.300424726721 101.743021606295 764.989015836352</t>
  </si>
  <si>
    <t>-627.928333410882 22.5918508374652 -217.649577695261</t>
  </si>
  <si>
    <t>-496.49156700407 -105.717291071665 199.38619362511</t>
  </si>
  <si>
    <t>-499.149856908742 -25.7369695751709 662.571549745865</t>
  </si>
  <si>
    <t>-490.949672363555 -176.661082177785 752.561457029705</t>
  </si>
  <si>
    <t>9763-20170724T160441.592079700.bin</t>
  </si>
  <si>
    <t>-586.068767337468 110.357840499202 -228.087308708301</t>
  </si>
  <si>
    <t>-619.360456270905 112.736485607743 -344.508200428083</t>
  </si>
  <si>
    <t>-631.105417043802 107.58239539233 -465.032248661548</t>
  </si>
  <si>
    <t>-632.857204318017 99.5403158165866 -574.243532225133</t>
  </si>
  <si>
    <t>-625.896003722378 88.022416251735 -682.934609829719</t>
  </si>
  <si>
    <t>-607.242382274517 68.2759909238857 -832.808168775942</t>
  </si>
  <si>
    <t>-563.621540375833 39.7592815775542 -920.369583526868</t>
  </si>
  <si>
    <t>-598.869160994009 104.071670137876 -767.989444684557</t>
  </si>
  <si>
    <t>-512.079938868013 221.552327688558 -750.885524285263</t>
  </si>
  <si>
    <t>-450.981927916752 239.40859745769 -440.830197976376</t>
  </si>
  <si>
    <t>-295.334780239244 91.4947076421154 -294.073483353689</t>
  </si>
  <si>
    <t>-632.122935194689 49.9546473216528 -764.998208033913</t>
  </si>
  <si>
    <t>-544.366689419285 197.931933394554 -237.767286650457</t>
  </si>
  <si>
    <t>-573.323627997258 192.594803944789 216.975011117709</t>
  </si>
  <si>
    <t>-623.943640854868 173.272265692232 683.609642111141</t>
  </si>
  <si>
    <t>-485.313236441654 101.877598071455 765.021707145683</t>
  </si>
  <si>
    <t>-627.642584516515 22.8359886962667 -217.696678609159</t>
  </si>
  <si>
    <t>-496.723322963627 -105.887276815938 199.374249610333</t>
  </si>
  <si>
    <t>-499.041916134152 -25.7025197435473 662.494040697313</t>
  </si>
  <si>
    <t>-491.110793065694 -176.695513591306 752.392475388924</t>
  </si>
  <si>
    <t>9763-20170724T160441.624165000.bin</t>
  </si>
  <si>
    <t>-585.880720957132 110.367544917127 -228.146959772419</t>
  </si>
  <si>
    <t>-619.117924629795 112.753334032039 -344.583186398962</t>
  </si>
  <si>
    <t>-630.798942084799 107.623120239182 -465.114450368317</t>
  </si>
  <si>
    <t>-632.489932127358 99.6076184869082 -574.328629342334</t>
  </si>
  <si>
    <t>-625.466127558345 88.1194536215751 -683.01871057745</t>
  </si>
  <si>
    <t>-606.724021419926 68.4168556877298 -832.887267734537</t>
  </si>
  <si>
    <t>-563.026364567569 39.9276479108389 -920.419293413727</t>
  </si>
  <si>
    <t>-598.390392595455 104.194534152092 -768.05328081911</t>
  </si>
  <si>
    <t>-511.590789266142 221.630074797753 -750.830228218594</t>
  </si>
  <si>
    <t>-450.18865249923 239.53532818839 -440.837674161063</t>
  </si>
  <si>
    <t>-295.112465397943 90.9447697815913 -294.160317526185</t>
  </si>
  <si>
    <t>-631.6431188194 50.0749228518407 -765.096961408221</t>
  </si>
  <si>
    <t>-544.274894391298 197.95152424446 -237.773721528203</t>
  </si>
  <si>
    <t>-573.449079412042 192.615284591349 216.954825035013</t>
  </si>
  <si>
    <t>-623.965257384049 173.24895865253 683.583384025877</t>
  </si>
  <si>
    <t>-485.321172925049 101.916332091096 765.026537989905</t>
  </si>
  <si>
    <t>-627.3831203098 22.8125375616351 -217.805055535157</t>
  </si>
  <si>
    <t>-496.602932000357 -105.810255120145 199.340488549658</t>
  </si>
  <si>
    <t>-499.030515445517 -25.6932069374348 662.456409364338</t>
  </si>
  <si>
    <t>-491.09072969367 -176.710486257289 752.313069540145</t>
  </si>
  <si>
    <t>9763-20170724T160441.697880000.bin</t>
  </si>
  <si>
    <t>-585.6560446383 110.260055194579 -228.330815312993</t>
  </si>
  <si>
    <t>-618.749392882511 112.610164758596 -344.808829385172</t>
  </si>
  <si>
    <t>-630.273845814708 107.558291135746 -465.358595048862</t>
  </si>
  <si>
    <t>-631.821817060456 99.6502622056028 -574.582716544837</t>
  </si>
  <si>
    <t>-624.655483064887 88.3004786144058 -683.27810177461</t>
  </si>
  <si>
    <t>-605.718291212864 68.8162914827958 -833.150499280794</t>
  </si>
  <si>
    <t>-561.848463540425 40.4349623580708 -920.631428004358</t>
  </si>
  <si>
    <t>-597.46256984261 104.495335725885 -768.252368707104</t>
  </si>
  <si>
    <t>-510.544318490226 221.802552297479 -750.652911688887</t>
  </si>
  <si>
    <t>-449.404008032697 239.302032829076 -440.585466170823</t>
  </si>
  <si>
    <t>-294.197164327765 89.7153053133632 -295.063372521413</t>
  </si>
  <si>
    <t>-630.732169654512 50.379634360695 -765.420790829282</t>
  </si>
  <si>
    <t>-544.249126483464 197.909569537314 -237.866577577765</t>
  </si>
  <si>
    <t>-573.644222032602 192.61262969813 216.848263407587</t>
  </si>
  <si>
    <t>-623.977143611643 173.252234231649 683.533457121759</t>
  </si>
  <si>
    <t>-485.255362490224 102.125017654198 765.023931909375</t>
  </si>
  <si>
    <t>-626.994633044044 22.6223989197406 -218.111682933173</t>
  </si>
  <si>
    <t>-496.268619538573 -105.71222738981 199.13953768785</t>
  </si>
  <si>
    <t>-499.15854794613 -25.7838717527932 662.262100822638</t>
  </si>
  <si>
    <t>-490.961506542561 -176.74794762629 752.185191348164</t>
  </si>
  <si>
    <t>9763-20170724T160441.726957200.bin</t>
  </si>
  <si>
    <t>-585.630970044515 110.144566962726 -228.383548227554</t>
  </si>
  <si>
    <t>-618.670089595422 112.45741509468 -344.877636924059</t>
  </si>
  <si>
    <t>-630.118206311065 107.436185725225 -465.43594966687</t>
  </si>
  <si>
    <t>-631.589653503422 99.578437280541 -574.664705647475</t>
  </si>
  <si>
    <t>-624.340559864826 88.2980773573145 -683.361867322542</t>
  </si>
  <si>
    <t>-605.2826048386 68.9277874091731 -833.233689843026</t>
  </si>
  <si>
    <t>-561.313100011556 40.6183944119409 -920.687968370524</t>
  </si>
  <si>
    <t>-597.075201273163 104.55511932933 -768.301085774581</t>
  </si>
  <si>
    <t>-510.224758927917 221.882432226568 -750.531384300207</t>
  </si>
  <si>
    <t>-450.229309868836 239.073338830634 -440.223110923427</t>
  </si>
  <si>
    <t>-293.669944080369 89.3222130406316 -296.327976605625</t>
  </si>
  <si>
    <t>-630.355066133293 50.4420358630111 -765.539100742131</t>
  </si>
  <si>
    <t>-544.289501088088 197.782207256658 -237.89284724681</t>
  </si>
  <si>
    <t>-573.773044995115 192.547283276305 216.816911526306</t>
  </si>
  <si>
    <t>-623.990365217883 173.253513163341 683.508626941298</t>
  </si>
  <si>
    <t>-485.15872066633 102.359515570716 765.015212209155</t>
  </si>
  <si>
    <t>-626.933358831232 22.4851205648088 -218.19074575997</t>
  </si>
  <si>
    <t>-496.128084401563 -105.817997328615 199.045328887855</t>
  </si>
  <si>
    <t>-499.231057385696 -25.8458434257639 662.179543814715</t>
  </si>
  <si>
    <t>-490.861493696528 -176.780138256533 752.136886014478</t>
  </si>
  <si>
    <t>9763-20170724T160441.794144600.bin</t>
  </si>
  <si>
    <t>-585.340627333655 109.834716901923 -228.53574022709</t>
  </si>
  <si>
    <t>-618.295352845306 112.088907995809 -345.054987967058</t>
  </si>
  <si>
    <t>-629.609844834149 107.168630262582 -465.62996447158</t>
  </si>
  <si>
    <t>-630.939348547433 99.4660564002618 -574.871744803623</t>
  </si>
  <si>
    <t>-623.526181634134 88.4041541980641 -683.580094821661</t>
  </si>
  <si>
    <t>-604.216755960853 69.4019811626404 -833.467002910313</t>
  </si>
  <si>
    <t>-559.997975896578 41.2916721274614 -920.859710398433</t>
  </si>
  <si>
    <t>-596.143943250426 104.88501818702 -768.438447274935</t>
  </si>
  <si>
    <t>-509.638837602981 222.376136391815 -750.153992463192</t>
  </si>
  <si>
    <t>-451.804164629281 239.095544225651 -439.409878680286</t>
  </si>
  <si>
    <t>-295.593799614807 87.4471026218812 -297.131579797026</t>
  </si>
  <si>
    <t>-629.377266084589 50.7346183054392 -765.854951146467</t>
  </si>
  <si>
    <t>-544.058949755849 197.40730134549 -238.004707482864</t>
  </si>
  <si>
    <t>-573.912323790015 192.373572990626 216.683128058542</t>
  </si>
  <si>
    <t>-623.960018743538 173.297593917123 683.416969843928</t>
  </si>
  <si>
    <t>-485.199790767025 102.369489661104 765.015475997544</t>
  </si>
  <si>
    <t>-626.521203988736 22.2292254559268 -218.383882782233</t>
  </si>
  <si>
    <t>-495.834623698218 -106.001121593686 198.911865799715</t>
  </si>
  <si>
    <t>-499.011525060703 -25.9204988313088 662.061701009477</t>
  </si>
  <si>
    <t>-490.938632425793 -176.842874701028 752.065910464565</t>
  </si>
  <si>
    <t>9763-20170724T160441.843800200.bin</t>
  </si>
  <si>
    <t>-585.221027952989 109.65050695852 -228.631578926867</t>
  </si>
  <si>
    <t>-618.145525148475 111.86509029051 -345.1600795932</t>
  </si>
  <si>
    <t>-629.370790070902 107.017081492966 -465.746291577003</t>
  </si>
  <si>
    <t>-630.593954972004 99.4260930643625 -574.997077501665</t>
  </si>
  <si>
    <t>-623.047951159689 88.5222016050861 -683.712460387128</t>
  </si>
  <si>
    <t>-603.525072435421 69.7887333164763 -833.60532277363</t>
  </si>
  <si>
    <t>-559.098889099814 41.8069044275303 -920.934127785305</t>
  </si>
  <si>
    <t>-595.570544578605 105.1706987741 -768.507365476666</t>
  </si>
  <si>
    <t>-509.231656258905 222.737024656836 -749.872555019246</t>
  </si>
  <si>
    <t>-452.703426101698 238.470265163641 -438.836835381442</t>
  </si>
  <si>
    <t>-296.883195564053 86.1171507901631 -296.88385969396</t>
  </si>
  <si>
    <t>-628.756142003965 50.9847180546064 -766.057479305293</t>
  </si>
  <si>
    <t>-544.008485739296 197.113865723321 -238.11208061949</t>
  </si>
  <si>
    <t>-573.912923074996 192.102265846836 216.572722654701</t>
  </si>
  <si>
    <t>-624.00539597032 173.173046453836 683.350379572036</t>
  </si>
  <si>
    <t>-485.120358281609 102.553255664733 765.003901682965</t>
  </si>
  <si>
    <t>-626.301173939111 22.1881504760631 -218.446710689197</t>
  </si>
  <si>
    <t>-495.5726413754 -106.049589414743 198.833457256309</t>
  </si>
  <si>
    <t>-498.816361641681 -25.9608523504273 661.992989155387</t>
  </si>
  <si>
    <t>-491.062478192065 -176.877843888662 752.034311270621</t>
  </si>
  <si>
    <t>9763-20170724T160441.894442000.bin</t>
  </si>
  <si>
    <t>-585.304634765273 109.329323751479 -228.810075322156</t>
  </si>
  <si>
    <t>-618.351039549994 111.47529941669 -345.305150609892</t>
  </si>
  <si>
    <t>-629.471134902849 106.90353693816 -465.912044478566</t>
  </si>
  <si>
    <t>-630.499192804095 99.7028484551752 -575.191271942862</t>
  </si>
  <si>
    <t>-622.654883018946 89.3291497281527 -683.937230241053</t>
  </si>
  <si>
    <t>-602.607506042889 71.4777572367109 -833.868731501105</t>
  </si>
  <si>
    <t>-557.669016209084 44.0047871613442 -921.096881935511</t>
  </si>
  <si>
    <t>-594.98325508686 106.537377825656 -768.557096318501</t>
  </si>
  <si>
    <t>-509.280284536247 224.417219651581 -748.994170408467</t>
  </si>
  <si>
    <t>-453.47506352479 236.790668033674 -437.676203681527</t>
  </si>
  <si>
    <t>-299.000125552935 83.6701926960659 -295.080059006135</t>
  </si>
  <si>
    <t>-627.972501657899 52.2154369670163 -766.500387761572</t>
  </si>
  <si>
    <t>-544.283335370018 196.722439638169 -238.325981678542</t>
  </si>
  <si>
    <t>-573.758756635774 191.578730070712 216.385359593128</t>
  </si>
  <si>
    <t>-623.969727582168 173.204165350887 683.21572299222</t>
  </si>
  <si>
    <t>-485.081482208171 102.719656173035 764.980655967449</t>
  </si>
  <si>
    <t>-626.24607339896 21.9811128735873 -218.566007315271</t>
  </si>
  <si>
    <t>-494.767116433698 -105.734082225551 198.638772485089</t>
  </si>
  <si>
    <t>-498.594904108962 -26.0997145764527 661.833073652949</t>
  </si>
  <si>
    <t>-490.991245457542 -176.948006641039 752.002195582623</t>
  </si>
  <si>
    <t>9763-20170724T160441.927527000.bin</t>
  </si>
  <si>
    <t>-585.597879426414 109.152102926744 -228.884877793311</t>
  </si>
  <si>
    <t>-618.750926626452 111.246906332408 -345.350602361772</t>
  </si>
  <si>
    <t>-629.748003383963 106.801549161167 -465.973555499787</t>
  </si>
  <si>
    <t>-630.566622548896 99.7882720411619 -575.266631296018</t>
  </si>
  <si>
    <t>-622.413326586168 89.6756293904721 -684.014486646997</t>
  </si>
  <si>
    <t>-601.832388623338 72.2645508771711 -833.925408792017</t>
  </si>
  <si>
    <t>-556.458634316606 45.1284605726198 -921.033673924938</t>
  </si>
  <si>
    <t>-594.521073371851 107.180143761611 -768.501089174446</t>
  </si>
  <si>
    <t>-509.224513392022 225.258770342541 -748.396227374328</t>
  </si>
  <si>
    <t>-453.256408414342 234.931367543813 -437.01190942319</t>
  </si>
  <si>
    <t>-299.432479144341 82.2021845744819 -293.29670753054</t>
  </si>
  <si>
    <t>-627.356669875348 52.7565449718422 -766.688086901619</t>
  </si>
  <si>
    <t>-544.629790470988 196.465927301073 -238.434315508352</t>
  </si>
  <si>
    <t>-573.734761253995 191.242995354505 216.299981660477</t>
  </si>
  <si>
    <t>-623.990460185849 173.162510449199 683.155014483965</t>
  </si>
  <si>
    <t>-485.073729553216 102.787033517255 764.965434903553</t>
  </si>
  <si>
    <t>-626.445287954329 21.8464364398153 -218.620819983201</t>
  </si>
  <si>
    <t>-494.353640838377 -105.515867833079 198.498282543174</t>
  </si>
  <si>
    <t>-498.550470031347 -26.2049366403387 661.741995670305</t>
  </si>
  <si>
    <t>-490.865512218848 -176.989213992941 752.011388955196</t>
  </si>
  <si>
    <t>9763-20170724T160441.992254900.bin</t>
  </si>
  <si>
    <t>-586.676127540857 109.017847338891 -228.963355739394</t>
  </si>
  <si>
    <t>-620.195810109916 110.973301395253 -345.326668526636</t>
  </si>
  <si>
    <t>-630.968456052942 106.906367766305 -465.983074262409</t>
  </si>
  <si>
    <t>-631.328678691891 100.451879035612 -575.313139696333</t>
  </si>
  <si>
    <t>-622.456185101633 91.1184005437785 -684.074357059046</t>
  </si>
  <si>
    <t>-600.602252844915 75.0227298334592 -833.952154105683</t>
  </si>
  <si>
    <t>-554.129759210253 48.959454093567 -920.808308120413</t>
  </si>
  <si>
    <t>-594.090017591853 109.506272868322 -768.214824298221</t>
  </si>
  <si>
    <t>-510.001065615607 228.175084539242 -746.622963820109</t>
  </si>
  <si>
    <t>-452.247682940834 231.897705594151 -435.436670336977</t>
  </si>
  <si>
    <t>-296.653021234989 82.4887437062846 -290.146284689069</t>
  </si>
  <si>
    <t>-626.453819105041 54.7829010773096 -767.056961378771</t>
  </si>
  <si>
    <t>-545.929209332763 196.454198225828 -238.641233806049</t>
  </si>
  <si>
    <t>-573.762228035569 190.864673218932 216.168324770335</t>
  </si>
  <si>
    <t>-623.912852614717 173.372749836448 683.065324171966</t>
  </si>
  <si>
    <t>-485.076285285709 102.904388888547 764.931799015631</t>
  </si>
  <si>
    <t>-627.382206079952 21.6397537214139 -218.503679497763</t>
  </si>
  <si>
    <t>-493.517893370026 -104.914595828607 198.296054297022</t>
  </si>
  <si>
    <t>-498.612522166922 -26.386862915271 661.66084089372</t>
  </si>
  <si>
    <t>-490.387945314965 -177.058742750911 752.070234535846</t>
  </si>
  <si>
    <t>9763-20170724T160442.024341300.bin</t>
  </si>
  <si>
    <t>-587.351906278872 108.960302302869 -228.949272767727</t>
  </si>
  <si>
    <t>-621.001796618675 110.874974615501 -345.275578551962</t>
  </si>
  <si>
    <t>-631.662964826185 107.043358794693 -465.949565998295</t>
  </si>
  <si>
    <t>-631.816718640188 100.919203253633 -575.299186467204</t>
  </si>
  <si>
    <t>-622.629204307891 92.036414106462 -684.072028358137</t>
  </si>
  <si>
    <t>-600.222620381684 76.6951414059808 -833.947355342355</t>
  </si>
  <si>
    <t>-553.168108965289 51.2816210631825 -920.682583493279</t>
  </si>
  <si>
    <t>-594.099302017015 110.932702998152 -768.044302199057</t>
  </si>
  <si>
    <t>-510.663635278436 229.955723361379 -745.674506906572</t>
  </si>
  <si>
    <t>-451.41018611597 230.50236406287 -434.748511964847</t>
  </si>
  <si>
    <t>-295.596577098864 82.2566333146901 -288.504262167321</t>
  </si>
  <si>
    <t>-626.174318598222 56.0337130575115 -767.220054963885</t>
  </si>
  <si>
    <t>-546.730581427368 196.555509674833 -238.675940426094</t>
  </si>
  <si>
    <t>-574.038486529622 190.911602823604 216.164797427521</t>
  </si>
  <si>
    <t>-623.919930338818 173.428884821443 683.060650216432</t>
  </si>
  <si>
    <t>-485.07509075985 102.971854623071 764.922917827327</t>
  </si>
  <si>
    <t>-627.898026028002 21.4651290384566 -218.459338797307</t>
  </si>
  <si>
    <t>-493.35967375969 -104.722604216864 198.234522686113</t>
  </si>
  <si>
    <t>-498.641704997889 -26.4282759658001 661.674875896959</t>
  </si>
  <si>
    <t>-490.160815147478 -177.082188347129 752.090536799728</t>
  </si>
  <si>
    <t>9763-20170724T160442.095561200.bin</t>
  </si>
  <si>
    <t>-588.74965589885 108.9025777835 -228.930423306484</t>
  </si>
  <si>
    <t>-622.647494819377 110.732880254923 -345.18625891206</t>
  </si>
  <si>
    <t>-633.15453749631 107.366467297778 -465.887618275481</t>
  </si>
  <si>
    <t>-632.993569944317 101.888351818809 -575.271460202856</t>
  </si>
  <si>
    <t>-623.312271991121 93.8766359663964 -684.069014467278</t>
  </si>
  <si>
    <t>-600.030747669455 79.9806082173509 -833.951915242419</t>
  </si>
  <si>
    <t>-552.035692010353 55.8649013637469 -920.542272324441</t>
  </si>
  <si>
    <t>-594.544754070137 113.726207134431 -767.73979707144</t>
  </si>
  <si>
    <t>-512.14268409618 233.159048440472 -743.843016623022</t>
  </si>
  <si>
    <t>-452.806658271778 228.586945761665 -432.966000918515</t>
  </si>
  <si>
    <t>-296.498660981032 82.6800492151417 -284.908423469707</t>
  </si>
  <si>
    <t>-626.119489745176 58.532089435394 -767.527079654606</t>
  </si>
  <si>
    <t>-548.665007461024 196.907866318983 -238.719764034031</t>
  </si>
  <si>
    <t>-575.006161261058 191.172540552963 216.17684548948</t>
  </si>
  <si>
    <t>-624.047808573539 173.361738081636 683.114385541988</t>
  </si>
  <si>
    <t>-484.986450804634 103.268513911242 764.921404099544</t>
  </si>
  <si>
    <t>-628.764482240457 20.9398527074839 -218.443791366893</t>
  </si>
  <si>
    <t>-493.603045974201 -104.694104636969 198.21569548425</t>
  </si>
  <si>
    <t>-498.731442975605 -26.4919183479328 661.681657567626</t>
  </si>
  <si>
    <t>-489.962769308356 -177.128817584796 752.098183382788</t>
  </si>
  <si>
    <t>9763-20170724T160442.128650100.bin</t>
  </si>
  <si>
    <t>-589.507208171027 108.891192888578 -228.911188763277</t>
  </si>
  <si>
    <t>-623.496203491957 110.754549638901 -345.139782200306</t>
  </si>
  <si>
    <t>-633.890393825698 107.668972241712 -465.85841632132</t>
  </si>
  <si>
    <t>-633.53927972508 102.546765720605 -575.258934955998</t>
  </si>
  <si>
    <t>-623.578192468406 94.9934149748667 -684.06425989048</t>
  </si>
  <si>
    <t>-599.814072059124 81.8414027957338 -833.938445975658</t>
  </si>
  <si>
    <t>-551.42844473595 58.3528723734132 -920.483963940028</t>
  </si>
  <si>
    <t>-594.647655971441 115.31837735436 -767.564429493549</t>
  </si>
  <si>
    <t>-512.689778540504 234.937344527517 -743.012288167479</t>
  </si>
  <si>
    <t>-454.697688587874 229.797801099737 -431.890699068919</t>
  </si>
  <si>
    <t>-298.361485121991 83.3550521939048 -284.393078061684</t>
  </si>
  <si>
    <t>-626.010280991491 60.0031197002093 -767.683123236511</t>
  </si>
  <si>
    <t>-549.602530803925 197.07111900027 -238.708584089652</t>
  </si>
  <si>
    <t>-575.441127339043 191.368300147172 216.217260833317</t>
  </si>
  <si>
    <t>-624.02237965968 173.507902527102 683.163375416851</t>
  </si>
  <si>
    <t>-484.962455054823 103.375852207776 764.939561783678</t>
  </si>
  <si>
    <t>-629.319324278647 20.7558618163964 -218.416185661924</t>
  </si>
  <si>
    <t>-493.880964935334 -104.882091639065 198.15222753139</t>
  </si>
  <si>
    <t>-498.775919414842 -26.5396257522352 661.598276792202</t>
  </si>
  <si>
    <t>-489.922860167381 -177.152513097949 752.04661631934</t>
  </si>
  <si>
    <t>9763-20170724T160442.194889700.bin</t>
  </si>
  <si>
    <t>-590.802241054829 108.475947280104 -228.911392470339</t>
  </si>
  <si>
    <t>-625.199776038818 110.493998484541 -345.0170802856</t>
  </si>
  <si>
    <t>-635.53919353266 108.01172168712 -465.754433283705</t>
  </si>
  <si>
    <t>-634.936067041276 103.626821488412 -575.185911289291</t>
  </si>
  <si>
    <t>-624.515903721235 97.0081465266514 -684.009079817875</t>
  </si>
  <si>
    <t>-599.896213731709 85.3659643332312 -833.870113427716</t>
  </si>
  <si>
    <t>-550.857454715345 62.9973513525149 -920.344467196927</t>
  </si>
  <si>
    <t>-595.314883702046 118.288307149605 -767.17645325451</t>
  </si>
  <si>
    <t>-514.570878173267 238.397279031 -741.176190344214</t>
  </si>
  <si>
    <t>-458.441304701307 232.361828845825 -429.729273801805</t>
  </si>
  <si>
    <t>-299.853726321242 85.4774382303044 -285.102009208526</t>
  </si>
  <si>
    <t>-626.264565712635 62.7460847452874 -767.946097529713</t>
  </si>
  <si>
    <t>-551.125307425657 196.863592916289 -238.707794565832</t>
  </si>
  <si>
    <t>-575.910726730676 191.25511383343 216.277852340526</t>
  </si>
  <si>
    <t>-624.090796070107 173.573357513548 683.276307550127</t>
  </si>
  <si>
    <t>-485.029624362703 103.343294959952 764.966216831342</t>
  </si>
  <si>
    <t>-630.425792744059 20.0162207501007 -218.403879492318</t>
  </si>
  <si>
    <t>-494.687565591392 -105.305798660115 198.162104298943</t>
  </si>
  <si>
    <t>-498.87561139431 -26.6118437326295 661.453286269727</t>
  </si>
  <si>
    <t>-489.970696491013 -177.189747971775 751.95474697045</t>
  </si>
  <si>
    <t>9763-20170724T160442.225972200.bin</t>
  </si>
  <si>
    <t>-591.380639365171 108.313526866454 -228.887216759123</t>
  </si>
  <si>
    <t>-626.031040486147 110.454683072879 -344.915598091501</t>
  </si>
  <si>
    <t>-636.381628202166 108.291618842093 -465.658032015314</t>
  </si>
  <si>
    <t>-635.682596911769 104.282296107303 -575.103496020666</t>
  </si>
  <si>
    <t>-625.058167971582 98.1305051425816 -683.934081279228</t>
  </si>
  <si>
    <t>-600.040798299068 87.2364701342956 -833.785610950996</t>
  </si>
  <si>
    <t>-550.668871542658 65.3921589157731 -920.204499311591</t>
  </si>
  <si>
    <t>-595.715405893433 119.869496506724 -766.932870693047</t>
  </si>
  <si>
    <t>-515.496859202583 240.169687485327 -740.198657096608</t>
  </si>
  <si>
    <t>-459.984693503562 233.531874021827 -428.653149388711</t>
  </si>
  <si>
    <t>-300.612764472932 86.1531936393567 -285.397558292981</t>
  </si>
  <si>
    <t>-626.505015620016 64.2439861108576 -768.02912203123</t>
  </si>
  <si>
    <t>-551.676679318806 196.894123683745 -238.708150577684</t>
  </si>
  <si>
    <t>-575.957112859913 191.209291321843 216.303806235652</t>
  </si>
  <si>
    <t>-624.082193391456 173.674657282721 683.322032284143</t>
  </si>
  <si>
    <t>-485.126376580305 103.192426938004 764.974000338277</t>
  </si>
  <si>
    <t>-631.035167370691 19.7046184211999 -218.348710582993</t>
  </si>
  <si>
    <t>-495.134817407003 -105.519455058605 198.193761242559</t>
  </si>
  <si>
    <t>-498.884520643266 -26.5762094380921 661.468290494345</t>
  </si>
  <si>
    <t>-490.076396642415 -177.192191915325 751.915790106413</t>
  </si>
  <si>
    <t>9763-20170724T160442.299691100.bin</t>
  </si>
  <si>
    <t>-592.444727587202 107.962505353239 -228.695886818752</t>
  </si>
  <si>
    <t>-627.587270146474 110.38974010723 -344.570431365581</t>
  </si>
  <si>
    <t>-637.936219374802 108.908414334247 -465.323334042869</t>
  </si>
  <si>
    <t>-637.020174582922 105.690670968401 -574.793261613405</t>
  </si>
  <si>
    <t>-625.958958666492 100.514869883749 -683.631290437521</t>
  </si>
  <si>
    <t>-600.10457056063 91.177860046764 -833.44573531771</t>
  </si>
  <si>
    <t>-550.096717033195 70.4479014904064 -919.773417828866</t>
  </si>
  <si>
    <t>-596.246696557701 123.166232060476 -766.253635758145</t>
  </si>
  <si>
    <t>-516.384097891752 243.319642225507 -737.847724327191</t>
  </si>
  <si>
    <t>-461.808431033431 235.283250772093 -426.169861553193</t>
  </si>
  <si>
    <t>-303.92242251958 84.1965085241882 -285.149105550428</t>
  </si>
  <si>
    <t>-626.841999255503 67.4521372994791 -768.06133213021</t>
  </si>
  <si>
    <t>-552.448356619263 196.615445826515 -238.632352800134</t>
  </si>
  <si>
    <t>-575.974777714232 191.116519375872 216.421416365559</t>
  </si>
  <si>
    <t>-624.053823921653 173.866481870645 683.422151734165</t>
  </si>
  <si>
    <t>-485.215203051826 103.070238612348 765.001771334044</t>
  </si>
  <si>
    <t>-632.371002842218 19.2647184788866 -218.051941362147</t>
  </si>
  <si>
    <t>-496.039769342549 -106.196901823708 198.278208280506</t>
  </si>
  <si>
    <t>-498.853508159275 -26.5110114388453 661.400775200504</t>
  </si>
  <si>
    <t>-490.336946799179 -177.194707505407 751.763443748168</t>
  </si>
  <si>
    <t>9763-20170724T160442.324755800.bin</t>
  </si>
  <si>
    <t>-592.90508289074 107.724177717961 -228.618879057355</t>
  </si>
  <si>
    <t>-628.245980658428 110.275010787986 -344.430374208196</t>
  </si>
  <si>
    <t>-638.547636369522 109.105624480434 -465.190834032505</t>
  </si>
  <si>
    <t>-637.482881367393 106.253207909673 -574.669500368419</t>
  </si>
  <si>
    <t>-626.165456737328 101.530727893751 -683.501768102873</t>
  </si>
  <si>
    <t>-599.843425164603 92.9193140369814 -833.278302300932</t>
  </si>
  <si>
    <t>-549.519483825195 72.7394395063639 -919.552629070085</t>
  </si>
  <si>
    <t>-596.235965989587 124.604277248334 -765.928682147475</t>
  </si>
  <si>
    <t>-516.281783140533 244.500844725134 -736.677872613144</t>
  </si>
  <si>
    <t>-461.828362837044 235.131874218484 -425.015744945324</t>
  </si>
  <si>
    <t>-306.668271065521 80.6985399618898 -284.595846218894</t>
  </si>
  <si>
    <t>-626.744225968557 68.8549552854295 -768.08506580092</t>
  </si>
  <si>
    <t>-552.710559254279 196.364751802827 -238.610778466296</t>
  </si>
  <si>
    <t>-575.850826770926 190.880476926141 216.463045130602</t>
  </si>
  <si>
    <t>-623.993868752656 174.012739653735 683.455691156179</t>
  </si>
  <si>
    <t>-485.380307478868 102.767255738167 765.026920271316</t>
  </si>
  <si>
    <t>-633.001833308664 19.0227376480268 -217.917571506696</t>
  </si>
  <si>
    <t>-496.488032582336 -106.572123629888 198.312622922237</t>
  </si>
  <si>
    <t>-498.846835276947 -26.4820178173018 661.350663955039</t>
  </si>
  <si>
    <t>-490.485632042069 -177.197493633427 751.674723156268</t>
  </si>
  <si>
    <t>9763-20170724T160442.396455600.bin</t>
  </si>
  <si>
    <t>-593.940836431974 106.844193730206 -228.693649287163</t>
  </si>
  <si>
    <t>-629.548451416401 109.652693321586 -344.417565523605</t>
  </si>
  <si>
    <t>-639.715973902076 109.117569957626 -465.193797531277</t>
  </si>
  <si>
    <t>-638.359004780504 106.992420621147 -574.685767011379</t>
  </si>
  <si>
    <t>-626.577672559853 103.151997201481 -683.503606419485</t>
  </si>
  <si>
    <t>-599.434231854124 95.9282288474169 -833.206730546771</t>
  </si>
  <si>
    <t>-548.537790849042 76.7533392114533 -919.374457678057</t>
  </si>
  <si>
    <t>-596.20799997965 126.993733657981 -765.549971796801</t>
  </si>
  <si>
    <t>-516.129069791435 246.382224343316 -734.598664554713</t>
  </si>
  <si>
    <t>-460.969643229195 232.402148144134 -423.233632064651</t>
  </si>
  <si>
    <t>-312.96239601765 68.9998672011695 -285.263995694121</t>
  </si>
  <si>
    <t>-626.680694154127 71.2553424848657 -768.385481759779</t>
  </si>
  <si>
    <t>-553.557043364023 195.417891048269 -238.660778517551</t>
  </si>
  <si>
    <t>-575.935417045418 190.103284862205 216.453023524267</t>
  </si>
  <si>
    <t>-624.008900684566 173.994181562545 683.481067503262</t>
  </si>
  <si>
    <t>-485.358452407048 102.792511606249 765.027912082134</t>
  </si>
  <si>
    <t>-634.195032330524 18.2570870819998 -218.010890853877</t>
  </si>
  <si>
    <t>-497.665795948441 -107.13981322933 198.273861409521</t>
  </si>
  <si>
    <t>-498.91590084353 -26.4924523055972 661.157544335125</t>
  </si>
  <si>
    <t>-490.78374626565 -177.194772286578 751.524565710841</t>
  </si>
  <si>
    <t>9763-20170724T160442.424530000.bin</t>
  </si>
  <si>
    <t>-594.413663413542 106.386124024714 -228.76399542844</t>
  </si>
  <si>
    <t>-630.078407820364 109.312405780006 -344.467347950331</t>
  </si>
  <si>
    <t>-640.171437699096 109.110933076915 -465.250784809429</t>
  </si>
  <si>
    <t>-638.691521922542 107.369159506721 -574.74810107982</t>
  </si>
  <si>
    <t>-626.731775362409 103.990151073091 -683.561568457472</t>
  </si>
  <si>
    <t>-599.283554070718 97.4855394203607 -833.242315575704</t>
  </si>
  <si>
    <t>-548.171288267944 78.7618514860685 -919.381314880811</t>
  </si>
  <si>
    <t>-596.157367068029 128.204427466424 -765.422583417587</t>
  </si>
  <si>
    <t>-515.987052222112 247.30669029545 -733.601461873957</t>
  </si>
  <si>
    <t>-460.524094626735 230.547763843182 -422.427591941466</t>
  </si>
  <si>
    <t>-315.048817272522 63.6236963277051 -285.989645391971</t>
  </si>
  <si>
    <t>-626.699757609514 72.5227798715459 -768.603793381749</t>
  </si>
  <si>
    <t>-553.931403534574 194.939561123156 -238.705724707735</t>
  </si>
  <si>
    <t>-576.082157280331 189.765488989041 216.420945943151</t>
  </si>
  <si>
    <t>-624.001423501453 174.003184431097 683.483411891368</t>
  </si>
  <si>
    <t>-485.438065557065 102.631954730377 765.030054625984</t>
  </si>
  <si>
    <t>-634.808671642791 17.8096753133168 -218.126121306997</t>
  </si>
  <si>
    <t>-498.280143473194 -107.387723223665 198.218969072955</t>
  </si>
  <si>
    <t>-499.01644096737 -26.525998911208 661.058396597606</t>
  </si>
  <si>
    <t>-490.952330424999 -177.207833153934 751.465622200808</t>
  </si>
  <si>
    <t>9763-20170724T160442.493028400.bin</t>
  </si>
  <si>
    <t>-595.300101081359 105.358798319793 -228.90630292384</t>
  </si>
  <si>
    <t>-631.032872205009 108.515007348932 -344.5826516188</t>
  </si>
  <si>
    <t>-640.905131567991 108.963984360265 -465.383694782646</t>
  </si>
  <si>
    <t>-639.10516165869 107.968719418246 -574.885493503818</t>
  </si>
  <si>
    <t>-626.705739074181 105.48764907664 -683.673932510293</t>
  </si>
  <si>
    <t>-598.52483007243 100.381754947124 -833.272697189304</t>
  </si>
  <si>
    <t>-547.005874416519 82.5550758507161 -919.35983477613</t>
  </si>
  <si>
    <t>-595.659738777481 130.424921759427 -765.139487043492</t>
  </si>
  <si>
    <t>-515.026578328277 248.71932918163 -731.535737084433</t>
  </si>
  <si>
    <t>-459.525740908889 226.078274234602 -420.741308582239</t>
  </si>
  <si>
    <t>-315.906459914892 56.4668342307255 -285.657894034195</t>
  </si>
  <si>
    <t>-626.3282552834 74.8570191174456 -769.020264290225</t>
  </si>
  <si>
    <t>-554.62445945863 193.825612871665 -238.791889666549</t>
  </si>
  <si>
    <t>-576.463370681812 189.153097755605 216.355258994086</t>
  </si>
  <si>
    <t>-623.958083074544 174.003599704005 683.453953664237</t>
  </si>
  <si>
    <t>-485.451052849469 102.576383968504 765.047298046703</t>
  </si>
  <si>
    <t>-635.873582952882 16.8725580984524 -218.343079345578</t>
  </si>
  <si>
    <t>-499.498456897847 -107.910737122219 198.17656295971</t>
  </si>
  <si>
    <t>-499.137566097384 -26.4512245005737 661.0017290112</t>
  </si>
  <si>
    <t>-491.120652465108 -177.188638998859 751.320446940034</t>
  </si>
  <si>
    <t>9763-20170724T160442.525104600.bin</t>
  </si>
  <si>
    <t>-595.732330810974 104.70697445731 -228.979202362935</t>
  </si>
  <si>
    <t>-631.486964256952 108.007178314802 -344.644679166374</t>
  </si>
  <si>
    <t>-641.264202640005 108.776205776239 -465.451968489984</t>
  </si>
  <si>
    <t>-639.329540161203 108.135513940029 -574.95393404997</t>
  </si>
  <si>
    <t>-626.747196174572 106.070477329599 -683.730208512482</t>
  </si>
  <si>
    <t>-598.263147262118 101.603261454334 -833.291989537368</t>
  </si>
  <si>
    <t>-546.560406109304 84.173848127919 -919.35016233121</t>
  </si>
  <si>
    <t>-595.478938823879 131.322493590528 -765.013523727986</t>
  </si>
  <si>
    <t>-514.62403079071 249.242879476744 -730.605905636394</t>
  </si>
  <si>
    <t>-459.517905786962 223.907476977524 -419.949148036807</t>
  </si>
  <si>
    <t>-315.756518098607 54.3030710198561 -285.008202388128</t>
  </si>
  <si>
    <t>-626.253958299805 75.837255524561 -769.217355042095</t>
  </si>
  <si>
    <t>-554.939934146342 193.064695257058 -238.848183876092</t>
  </si>
  <si>
    <t>-576.625886171516 188.642064323842 216.30871821793</t>
  </si>
  <si>
    <t>-624.024990100081 173.797427233593 683.43288702165</t>
  </si>
  <si>
    <t>-485.570377707907 102.331127016096 765.080882098983</t>
  </si>
  <si>
    <t>-636.434568801404 16.3115923503815 -218.446014690296</t>
  </si>
  <si>
    <t>-500.110638940343 -108.270677947995 198.150537734169</t>
  </si>
  <si>
    <t>-499.196392486508 -26.4264936989878 660.91435511507</t>
  </si>
  <si>
    <t>-491.210844777661 -177.188123184365 751.195314764738</t>
  </si>
  <si>
    <t>9763-20170724T160442.594818800.bin</t>
  </si>
  <si>
    <t>-596.303040410287 103.449062539648 -229.16656084754</t>
  </si>
  <si>
    <t>-632.085789429049 107.01836033769 -344.815509610156</t>
  </si>
  <si>
    <t>-641.607385846815 108.352453916979 -465.638195338686</t>
  </si>
  <si>
    <t>-639.323918100378 108.338098079987 -575.135383436843</t>
  </si>
  <si>
    <t>-626.276546278204 107.012594625445 -683.868375724478</t>
  </si>
  <si>
    <t>-597.028636487076 103.688627514881 -833.312359551035</t>
  </si>
  <si>
    <t>-544.914057856254 87.0575022243177 -919.280152700593</t>
  </si>
  <si>
    <t>-594.525965455377 132.84578039033 -764.781367040212</t>
  </si>
  <si>
    <t>-513.125586419972 249.977370103298 -728.990950808125</t>
  </si>
  <si>
    <t>-459.015816913159 221.313246986669 -418.448428148609</t>
  </si>
  <si>
    <t>-314.408685918192 52.5878384300574 -283.309365750014</t>
  </si>
  <si>
    <t>-625.413967016107 77.4728980522423 -769.594899126123</t>
  </si>
  <si>
    <t>-555.216976643433 191.691263977252 -238.944200267658</t>
  </si>
  <si>
    <t>-576.768077212914 187.853932589498 216.224368799997</t>
  </si>
  <si>
    <t>-623.959728446028 173.820744151164 683.420934903959</t>
  </si>
  <si>
    <t>-485.761368818895 101.909367717776 765.11232843498</t>
  </si>
  <si>
    <t>-637.286720146624 15.2245259200229 -218.699002324204</t>
  </si>
  <si>
    <t>-501.277714790785 -109.070935375642 198.086168433716</t>
  </si>
  <si>
    <t>-499.277469389906 -26.3974809405415 660.69070436852</t>
  </si>
  <si>
    <t>-491.408822986262 -177.184114117157 750.940182157282</t>
  </si>
  <si>
    <t>9763-20170724T160442.628924300.bin</t>
  </si>
  <si>
    <t>-596.521933225056 102.887605681461 -229.256451734695</t>
  </si>
  <si>
    <t>-632.325117835053 106.585037084825 -344.894924338819</t>
  </si>
  <si>
    <t>-641.789857635895 108.181692880247 -465.719042175354</t>
  </si>
  <si>
    <t>-639.42260407882 108.456153547573 -575.213990489553</t>
  </si>
  <si>
    <t>-626.258848346204 107.469570356648 -683.936475434108</t>
  </si>
  <si>
    <t>-596.816052565067 104.6669367376 -833.352956214672</t>
  </si>
  <si>
    <t>-544.540434984992 88.3957163194434 -919.291910405943</t>
  </si>
  <si>
    <t>-594.372905678044 133.567705360676 -764.711237066288</t>
  </si>
  <si>
    <t>-512.896621697217 250.478454373952 -728.382317550502</t>
  </si>
  <si>
    <t>-458.903822695557 220.904583895584 -417.904768037213</t>
  </si>
  <si>
    <t>-314.110894365657 52.2825629138924 -282.835445812807</t>
  </si>
  <si>
    <t>-625.314194021922 78.2463922349796 -769.77060549574</t>
  </si>
  <si>
    <t>-555.322387334467 191.154671621429 -238.98722523094</t>
  </si>
  <si>
    <t>-576.824623354952 187.6168467878 216.186131243478</t>
  </si>
  <si>
    <t>-623.854787773479 173.901451886571 683.405171999331</t>
  </si>
  <si>
    <t>-485.768146638936 101.782183370649 765.102245464472</t>
  </si>
  <si>
    <t>-637.609860918464 14.6541442442215 -218.842946524197</t>
  </si>
  <si>
    <t>-501.749932661671 -109.439101710945 198.051054794213</t>
  </si>
  <si>
    <t>-499.308553618947 -26.3960576768927 660.568329904027</t>
  </si>
  <si>
    <t>-491.496601028146 -177.185615560394 750.818023578135</t>
  </si>
  <si>
    <t>9763-20170724T160442.691092200.bin</t>
  </si>
  <si>
    <t>-596.849847761411 101.832970543779 -229.49116178686</t>
  </si>
  <si>
    <t>-632.681181163916 105.750136703214 -345.113671849599</t>
  </si>
  <si>
    <t>-641.978279822211 107.74894052346 -465.944667760209</t>
  </si>
  <si>
    <t>-639.378264608264 108.457854171396 -575.43257507481</t>
  </si>
  <si>
    <t>-625.90200461742 107.974636506131 -684.120231905206</t>
  </si>
  <si>
    <t>-595.944122148028 105.942106193552 -833.446686969049</t>
  </si>
  <si>
    <t>-543.297799776245 90.3066062920454 -919.277270946865</t>
  </si>
  <si>
    <t>-593.725599902415 134.481355753463 -764.646318894355</t>
  </si>
  <si>
    <t>-512.186687413661 251.062635028276 -727.434283969515</t>
  </si>
  <si>
    <t>-457.519328795599 220.129587733354 -417.207126242813</t>
  </si>
  <si>
    <t>-312.597419630809 51.6830336306045 -282.057524397224</t>
  </si>
  <si>
    <t>-624.673540321354 79.2014881553187 -770.1024557967</t>
  </si>
  <si>
    <t>-555.598770245038 190.041867431407 -239.084984268293</t>
  </si>
  <si>
    <t>-576.928835599922 186.937771302441 216.099686256595</t>
  </si>
  <si>
    <t>-623.887547946699 173.848369668313 683.389308310164</t>
  </si>
  <si>
    <t>-485.910327046189 101.481323747142 765.052117948001</t>
  </si>
  <si>
    <t>-637.992553136872 13.6385232958646 -219.194844111503</t>
  </si>
  <si>
    <t>-502.544898478208 -110.098945265843 197.938976857759</t>
  </si>
  <si>
    <t>-499.367956901573 -26.4059979622396 660.327148852813</t>
  </si>
  <si>
    <t>-491.626376458924 -177.183252650588 750.603349570147</t>
  </si>
  <si>
    <t>9763-20170724T160442.731200300.bin</t>
  </si>
  <si>
    <t>-596.981058315553 101.367906290766 -229.594044897535</t>
  </si>
  <si>
    <t>-632.828088774563 105.364829422677 -345.208973194683</t>
  </si>
  <si>
    <t>-642.071311242883 107.500173587144 -466.041886032647</t>
  </si>
  <si>
    <t>-639.393903347992 108.350440981888 -575.526784809232</t>
  </si>
  <si>
    <t>-625.812579772769 108.023056859607 -684.202001533347</t>
  </si>
  <si>
    <t>-595.681406798915 106.219040414011 -833.496471650822</t>
  </si>
  <si>
    <t>-542.89378528128 90.8419278048987 -919.286984688112</t>
  </si>
  <si>
    <t>-593.531441222105 134.646392577241 -764.647479881297</t>
  </si>
  <si>
    <t>-512.000394692727 251.135091623819 -727.105097963291</t>
  </si>
  <si>
    <t>-456.804521557029 219.772806601942 -417.014708145477</t>
  </si>
  <si>
    <t>-312.233906835843 50.9731346649364 -281.929371083723</t>
  </si>
  <si>
    <t>-624.495505360594 79.3882328759928 -770.22918554996</t>
  </si>
  <si>
    <t>-555.773195524035 189.61745901878 -239.126870174449</t>
  </si>
  <si>
    <t>-576.927110367577 186.580138548763 216.066509530267</t>
  </si>
  <si>
    <t>-623.844190062741 173.855438813666 683.359503765596</t>
  </si>
  <si>
    <t>-485.846499389637 101.522808973562 765.018146344104</t>
  </si>
  <si>
    <t>-638.050063090496 13.134961612589 -219.360025642047</t>
  </si>
  <si>
    <t>-502.716166605184 -110.378838896384 197.877019342359</t>
  </si>
  <si>
    <t>-499.41383612583 -26.4140791625168 660.197803065076</t>
  </si>
  <si>
    <t>-491.637825071563 -177.176243204554 750.496249985202</t>
  </si>
  <si>
    <t>9763-20170724T160442.798426400.bin</t>
  </si>
  <si>
    <t>-597.115224717042 100.567923412417 -229.72982367162</t>
  </si>
  <si>
    <t>-632.885840132877 104.566592507245 -345.368418791346</t>
  </si>
  <si>
    <t>-642.010119834493 106.871786612856 -466.20706839183</t>
  </si>
  <si>
    <t>-639.20844540904 107.935310628345 -575.687098036834</t>
  </si>
  <si>
    <t>-625.487017492514 107.875166318902 -684.345021694948</t>
  </si>
  <si>
    <t>-595.145514950385 106.493676740801 -833.601685815695</t>
  </si>
  <si>
    <t>-542.200216755181 91.5648460389423 -919.373952568108</t>
  </si>
  <si>
    <t>-593.085100143714 134.721618146325 -764.667967095962</t>
  </si>
  <si>
    <t>-511.496414747355 251.006622783317 -726.635123768752</t>
  </si>
  <si>
    <t>-456.01602628676 218.917449107553 -416.669985948028</t>
  </si>
  <si>
    <t>-312.134160670242 49.2830694562119 -281.895141495338</t>
  </si>
  <si>
    <t>-624.056341907654 79.4881909783319 -770.452602097822</t>
  </si>
  <si>
    <t>-556.063884450479 188.842613441971 -239.18729479183</t>
  </si>
  <si>
    <t>-577.196838804826 186.189492747316 216.009352174232</t>
  </si>
  <si>
    <t>-623.860451963811 173.80048918128 683.343231354765</t>
  </si>
  <si>
    <t>-485.717208492386 101.715926230506 764.975138727281</t>
  </si>
  <si>
    <t>-638.109127482667 12.2694252126455 -219.568731972441</t>
  </si>
  <si>
    <t>-502.631873300538 -110.662160700857 197.793630907014</t>
  </si>
  <si>
    <t>-499.44348465794 -26.3841900366826 660.034814279853</t>
  </si>
  <si>
    <t>-491.503801432096 -177.15944370404 750.297091074006</t>
  </si>
  <si>
    <t>9763-20170724T160442.825484500.bin</t>
  </si>
  <si>
    <t>-597.068732004758 100.299775937232 -229.789719275604</t>
  </si>
  <si>
    <t>-632.842353776765 104.286658804065 -345.427738346228</t>
  </si>
  <si>
    <t>-641.931758960274 106.650666308041 -466.268064864349</t>
  </si>
  <si>
    <t>-639.082987546497 107.790696389936 -575.745987543413</t>
  </si>
  <si>
    <t>-625.299327527361 107.827030490218 -684.396222880374</t>
  </si>
  <si>
    <t>-594.85672127718 106.596784554537 -833.633354332447</t>
  </si>
  <si>
    <t>-541.85338069464 91.8276557622371 -919.397619253555</t>
  </si>
  <si>
    <t>-592.842094874738 134.754271709096 -764.669435853713</t>
  </si>
  <si>
    <t>-511.262292761662 250.963236994598 -726.444189769776</t>
  </si>
  <si>
    <t>-455.837675303336 218.759118528546 -416.481017079824</t>
  </si>
  <si>
    <t>-312.165131899532 48.5715763802325 -282.181165616264</t>
  </si>
  <si>
    <t>-623.811193890309 79.5279564730238 -770.53153783891</t>
  </si>
  <si>
    <t>-556.108382604137 188.715060111682 -239.219036043219</t>
  </si>
  <si>
    <t>-577.19693967399 186.13562843212 215.980125355882</t>
  </si>
  <si>
    <t>-623.791647139382 173.855836330175 683.333573120409</t>
  </si>
  <si>
    <t>-485.789264867772 101.496409869576 764.960495919434</t>
  </si>
  <si>
    <t>-637.922878769261 11.8967372694742 -219.676410325179</t>
  </si>
  <si>
    <t>-502.397266193214 -110.78088489 197.745079342295</t>
  </si>
  <si>
    <t>-499.437883275521 -26.3673672012424 659.966687508182</t>
  </si>
  <si>
    <t>-491.417516930051 -177.150643783297 750.208399351642</t>
  </si>
  <si>
    <t>9763-20170724T160442.894214600.bin</t>
  </si>
  <si>
    <t>-596.926844194529 99.7786547579478 -229.882877107015</t>
  </si>
  <si>
    <t>-632.694253361081 103.742686989525 -345.523609956028</t>
  </si>
  <si>
    <t>-641.748705245265 106.221244845652 -466.364166639946</t>
  </si>
  <si>
    <t>-638.856582479257 107.508927579289 -575.839389055507</t>
  </si>
  <si>
    <t>-625.018386452355 107.729349228791 -684.48233970915</t>
  </si>
  <si>
    <t>-594.488824999718 106.78629992349 -833.70398483265</t>
  </si>
  <si>
    <t>-541.420290200707 92.2338532793549 -919.464943367395</t>
  </si>
  <si>
    <t>-592.519691089437 134.814184425978 -764.685951658613</t>
  </si>
  <si>
    <t>-511.024779915926 250.993897517948 -726.191281143563</t>
  </si>
  <si>
    <t>-456.018864453298 218.161283674571 -416.219272349866</t>
  </si>
  <si>
    <t>-312.380465344496 47.6422072858713 -282.304046374211</t>
  </si>
  <si>
    <t>-623.47463676783 79.5930615709619 -770.670123025953</t>
  </si>
  <si>
    <t>-556.216338985034 188.220834188263 -239.212362221488</t>
  </si>
  <si>
    <t>-577.203017881222 185.846191738119 215.992596230999</t>
  </si>
  <si>
    <t>-623.915425056312 173.754580407328 683.367372144212</t>
  </si>
  <si>
    <t>-485.676387292854 101.720755882356 764.88184115327</t>
  </si>
  <si>
    <t>-637.527105115491 11.3172503480182 -219.817273412594</t>
  </si>
  <si>
    <t>-501.948910207461 -111.099248331694 197.663753750286</t>
  </si>
  <si>
    <t>-499.455979388739 -26.3617299556481 659.816502299368</t>
  </si>
  <si>
    <t>-491.233905295071 -177.139707444387 750.049146621787</t>
  </si>
  <si>
    <t>9763-20170724T160442.927304200.bin</t>
  </si>
  <si>
    <t>-596.814204089882 99.4826219538074 -229.910009326204</t>
  </si>
  <si>
    <t>-632.591166343771 103.448911776755 -345.547653312797</t>
  </si>
  <si>
    <t>-641.621145186024 105.999182617983 -466.388616556773</t>
  </si>
  <si>
    <t>-638.692493747232 107.376338593011 -575.861801461762</t>
  </si>
  <si>
    <t>-624.803682452221 107.708309090601 -684.498003225181</t>
  </si>
  <si>
    <t>-594.189513709696 106.941109271159 -833.703194466162</t>
  </si>
  <si>
    <t>-541.060150490956 92.496967084126 -919.444852759084</t>
  </si>
  <si>
    <t>-592.27379908683 134.896043923039 -764.654145243423</t>
  </si>
  <si>
    <t>-510.8266012887 251.068609291705 -726.026776991855</t>
  </si>
  <si>
    <t>-456.02734316054 218.157683255214 -416.02657504447</t>
  </si>
  <si>
    <t>-312.214362817612 47.6860510054789 -282.238222940559</t>
  </si>
  <si>
    <t>-623.196822252975 79.6651534832702 -770.714945932716</t>
  </si>
  <si>
    <t>-556.263016155593 187.928324267908 -239.195098802436</t>
  </si>
  <si>
    <t>-577.176546050979 185.57489938204 216.013383457685</t>
  </si>
  <si>
    <t>-624.056305205263 173.636522007204 683.385447765479</t>
  </si>
  <si>
    <t>-485.650619747044 101.851389562806 764.836485028585</t>
  </si>
  <si>
    <t>-637.271601120485 10.9793647026549 -219.900974918954</t>
  </si>
  <si>
    <t>-501.681808431374 -111.221215293852 197.63949849502</t>
  </si>
  <si>
    <t>-499.451694255651 -26.3483038896691 659.768442881222</t>
  </si>
  <si>
    <t>-491.160066315818 -177.131391117695 749.986120537271</t>
  </si>
  <si>
    <t>9763-20170724T160442.994963700.bin</t>
  </si>
  <si>
    <t>-596.397334667177 98.8624584121751 -230.008586227362</t>
  </si>
  <si>
    <t>-632.160402329028 102.8376175234 -345.650292226205</t>
  </si>
  <si>
    <t>-641.175036213548 105.478922251393 -466.49034856428</t>
  </si>
  <si>
    <t>-638.231487609461 106.969037619004 -575.961557811291</t>
  </si>
  <si>
    <t>-624.32654644895 107.442577141705 -684.595303602989</t>
  </si>
  <si>
    <t>-593.688716132649 106.899727749681 -833.796657490695</t>
  </si>
  <si>
    <t>-540.478467113548 92.6104401444661 -919.514132823886</t>
  </si>
  <si>
    <t>-591.828580885211 134.776621115763 -764.714559729875</t>
  </si>
  <si>
    <t>-510.571407387716 251.043188643923 -725.932563532843</t>
  </si>
  <si>
    <t>-455.936275884832 217.823717753278 -415.936321877191</t>
  </si>
  <si>
    <t>-311.680091208291 47.6552456797108 -282.239278688953</t>
  </si>
  <si>
    <t>-622.661413428907 79.5032540477921 -770.844918954596</t>
  </si>
  <si>
    <t>-556.051004429725 187.345997993611 -239.185419891356</t>
  </si>
  <si>
    <t>-576.921052253733 185.076892589103 216.025471449643</t>
  </si>
  <si>
    <t>-624.141271844683 173.594351905656 683.418678017949</t>
  </si>
  <si>
    <t>-485.56538013433 102.009770045186 764.756715158095</t>
  </si>
  <si>
    <t>-636.636840935881 10.3278154261664 -220.105060554218</t>
  </si>
  <si>
    <t>-501.352159672428 -111.444985469778 197.659405970241</t>
  </si>
  <si>
    <t>-499.462921186599 -26.3307720902485 659.718519093656</t>
  </si>
  <si>
    <t>-491.065121062466 -177.11693081168 749.921210419057</t>
  </si>
  <si>
    <t>9763-20170724T160443.032064000.bin</t>
  </si>
  <si>
    <t>-596.255006424723 98.5309444391298 -230.041754345691</t>
  </si>
  <si>
    <t>-632.011729516224 102.502918258824 -345.685559178097</t>
  </si>
  <si>
    <t>-641.017296237107 105.187924278624 -466.525410835221</t>
  </si>
  <si>
    <t>-638.064286524103 106.734985890384 -575.995652874783</t>
  </si>
  <si>
    <t>-624.148468707177 107.281850376167 -684.627536769684</t>
  </si>
  <si>
    <t>-593.494045585561 106.856808794904 -833.825870798271</t>
  </si>
  <si>
    <t>-540.243871033813 92.6585470762629 -919.533645624916</t>
  </si>
  <si>
    <t>-591.668504487391 134.694718343886 -764.727195174396</t>
  </si>
  <si>
    <t>-510.490240143171 250.980891391545 -725.876942484118</t>
  </si>
  <si>
    <t>-455.796694533078 217.7482789656 -415.892440003324</t>
  </si>
  <si>
    <t>-311.484689638142 47.5255867616333 -282.324802620396</t>
  </si>
  <si>
    <t>-622.446906003352 79.3949617152521 -770.893389394726</t>
  </si>
  <si>
    <t>-556.049790305086 187.014271923125 -239.18286230282</t>
  </si>
  <si>
    <t>-576.876767934991 184.709908654547 216.029828404266</t>
  </si>
  <si>
    <t>-624.301518354683 173.448118653174 683.429015661835</t>
  </si>
  <si>
    <t>-485.499642260115 102.237988130698 764.710451377687</t>
  </si>
  <si>
    <t>-636.376908042905 9.98457388998486 -220.195872575359</t>
  </si>
  <si>
    <t>-501.222370744383 -111.568547849809 197.674626072463</t>
  </si>
  <si>
    <t>-499.47209849829 -26.3310227194352 659.713347737933</t>
  </si>
  <si>
    <t>-490.99602747199 -177.112862866765 749.915829371165</t>
  </si>
  <si>
    <t>9763-20170724T160443.093235700.bin</t>
  </si>
  <si>
    <t>-595.904081649722 98.1136755303648 -230.118849304117</t>
  </si>
  <si>
    <t>-631.608181245529 102.065919793539 -345.77965047824</t>
  </si>
  <si>
    <t>-640.573708150483 104.816582045004 -466.620915684172</t>
  </si>
  <si>
    <t>-637.589428851087 106.456568198506 -576.088898520344</t>
  </si>
  <si>
    <t>-623.647555505906 107.128032822926 -684.716792848922</t>
  </si>
  <si>
    <t>-592.96178975131 106.908142201238 -833.909134319571</t>
  </si>
  <si>
    <t>-539.67801209683 92.895588055701 -919.626526650556</t>
  </si>
  <si>
    <t>-591.219284323432 134.690815894947 -764.785926722093</t>
  </si>
  <si>
    <t>-510.169662777595 251.066467667895 -725.864941857662</t>
  </si>
  <si>
    <t>-454.80855302513 217.708371600829 -416.012375969402</t>
  </si>
  <si>
    <t>-310.765725130094 47.3829041798542 -282.285229065127</t>
  </si>
  <si>
    <t>-621.859270250503 79.3200878869854 -771.006418863832</t>
  </si>
  <si>
    <t>-555.906725323839 186.777769824301 -239.187463780876</t>
  </si>
  <si>
    <t>-576.649980327537 184.483901495398 216.0291928433</t>
  </si>
  <si>
    <t>-624.149471219289 173.565718390941 683.389347331622</t>
  </si>
  <si>
    <t>-485.348087479484 102.350718687561 764.66731859299</t>
  </si>
  <si>
    <t>-635.781841919269 9.49550150954701 -220.325258038195</t>
  </si>
  <si>
    <t>-500.831913796328 -111.768249688699 197.695486632399</t>
  </si>
  <si>
    <t>-499.497726911003 -26.3300998947234 659.702315703335</t>
  </si>
  <si>
    <t>-490.874425879226 -177.103620610253 749.904768358138</t>
  </si>
  <si>
    <t>9763-20170724T160443.125335200.bin</t>
  </si>
  <si>
    <t>-595.719962126953 98.0053647173334 -230.145364486275</t>
  </si>
  <si>
    <t>-631.423227844857 101.948769452548 -345.806589911575</t>
  </si>
  <si>
    <t>-640.402869542688 104.730416529194 -466.646285602214</t>
  </si>
  <si>
    <t>-637.437364160224 106.411890814667 -576.114136523388</t>
  </si>
  <si>
    <t>-623.519731696085 107.136898110384 -684.744812352247</t>
  </si>
  <si>
    <t>-592.873231086119 107.002088351999 -833.945189682528</t>
  </si>
  <si>
    <t>-539.60000537121 93.0588470023572 -919.680522018467</t>
  </si>
  <si>
    <t>-591.131011135858 134.756001230699 -764.810518052823</t>
  </si>
  <si>
    <t>-510.157948082712 251.161865317157 -725.88674032601</t>
  </si>
  <si>
    <t>-454.511831766487 217.864770461642 -416.078733541737</t>
  </si>
  <si>
    <t>-310.547964217148 47.50018216028 -282.316349801267</t>
  </si>
  <si>
    <t>-621.735607559288 79.3675886805072 -771.046843355397</t>
  </si>
  <si>
    <t>-555.818327719267 186.732499412793 -239.188592193554</t>
  </si>
  <si>
    <t>-576.617402825852 184.507440382899 216.025708241665</t>
  </si>
  <si>
    <t>-624.113199927461 173.579874383426 683.378303485571</t>
  </si>
  <si>
    <t>-485.358123479725 102.289639886575 764.669400888151</t>
  </si>
  <si>
    <t>-635.529766960589 9.31117200920585 -220.363043909842</t>
  </si>
  <si>
    <t>-500.542708616987 -111.79246351048 197.691959076198</t>
  </si>
  <si>
    <t>-499.50217922813 -26.3188695334698 659.696874603701</t>
  </si>
  <si>
    <t>-490.812485100524 -177.098445193787 749.882798847557</t>
  </si>
  <si>
    <t>9763-20170724T160443.196057500.bin</t>
  </si>
  <si>
    <t>-595.319398957522 97.8479837694413 -230.151670433614</t>
  </si>
  <si>
    <t>-630.98121149669 101.736694714766 -345.827609788147</t>
  </si>
  <si>
    <t>-639.976320016686 104.56387292833 -466.664944197367</t>
  </si>
  <si>
    <t>-637.047714533102 106.324594854456 -576.132585086241</t>
  </si>
  <si>
    <t>-623.188976280219 107.16484768276 -684.770003279867</t>
  </si>
  <si>
    <t>-592.646135282553 107.225369563031 -833.991809034971</t>
  </si>
  <si>
    <t>-539.404966475443 93.4047090098832 -919.766767668879</t>
  </si>
  <si>
    <t>-590.888550004513 134.907466810736 -764.828674731473</t>
  </si>
  <si>
    <t>-509.99558411223 251.383042828512 -725.924326468068</t>
  </si>
  <si>
    <t>-454.272839699187 217.885002134345 -416.151723525149</t>
  </si>
  <si>
    <t>-310.106509842715 47.8202840446133 -282.225839045523</t>
  </si>
  <si>
    <t>-621.432249650369 79.4897026069311 -771.102821365142</t>
  </si>
  <si>
    <t>-555.607342591429 186.638895964168 -239.178345734745</t>
  </si>
  <si>
    <t>-576.554378866631 184.532213866771 216.029804488402</t>
  </si>
  <si>
    <t>-624.086332399934 173.603378877129 683.400998013134</t>
  </si>
  <si>
    <t>-485.256850795615 102.437725465744 764.674238009168</t>
  </si>
  <si>
    <t>-634.952255974727 9.03393212640708 -220.420135302276</t>
  </si>
  <si>
    <t>-499.986667231187 -111.934167177357 197.681181610338</t>
  </si>
  <si>
    <t>-499.457219127718 -26.301822038668 659.664342129662</t>
  </si>
  <si>
    <t>-490.750343832042 -177.090970175832 749.832603435885</t>
  </si>
  <si>
    <t>9763-20170724T160443.228135100.bin</t>
  </si>
  <si>
    <t>-595.104199554745 97.7477348991099 -230.146235158391</t>
  </si>
  <si>
    <t>-630.763356734884 101.634338066326 -345.823071110348</t>
  </si>
  <si>
    <t>-639.783226991435 104.506407581341 -466.657459468691</t>
  </si>
  <si>
    <t>-636.887524722069 106.326948389354 -576.125044405103</t>
  </si>
  <si>
    <t>-623.071632428027 107.245893734781 -684.767285034399</t>
  </si>
  <si>
    <t>-592.597903926088 107.435069175694 -834.003012110006</t>
  </si>
  <si>
    <t>-539.374226226808 93.6823067503155 -919.799787901363</t>
  </si>
  <si>
    <t>-590.830255072706 135.070104914938 -764.821364309483</t>
  </si>
  <si>
    <t>-509.988400788547 251.573028669938 -725.897692705719</t>
  </si>
  <si>
    <t>-454.263004951041 218.05607002071 -416.127775110097</t>
  </si>
  <si>
    <t>-309.920870786221 48.1733812043497 -282.160306050035</t>
  </si>
  <si>
    <t>-621.332907310724 79.6326329203459 -771.120289456664</t>
  </si>
  <si>
    <t>-555.472367406648 186.56655555489 -239.145497033702</t>
  </si>
  <si>
    <t>-576.458350834198 184.470034907465 216.060894778837</t>
  </si>
  <si>
    <t>-624.157947339729 173.54566113967 683.420640258155</t>
  </si>
  <si>
    <t>-485.279316343048 102.441610467962 764.663815411383</t>
  </si>
  <si>
    <t>-634.667711933955 8.90342545248177 -220.435750154537</t>
  </si>
  <si>
    <t>-499.780529392193 -112.011949967278 197.706056239064</t>
  </si>
  <si>
    <t>-499.450998854276 -26.2905298272747 659.660099675783</t>
  </si>
  <si>
    <t>-490.721990453534 -177.085430262243 749.816590446465</t>
  </si>
  <si>
    <t>9763-20170724T160443.293924400.bin</t>
  </si>
  <si>
    <t>-594.527985426887 97.4664647166662 -230.159136539089</t>
  </si>
  <si>
    <t>-630.16230060485 101.364234317457 -345.843344368561</t>
  </si>
  <si>
    <t>-639.217610656067 104.31743438218 -466.673098977345</t>
  </si>
  <si>
    <t>-636.378205011178 106.239806892562 -576.140347438557</t>
  </si>
  <si>
    <t>-622.641710422015 107.288942815566 -684.791544635589</t>
  </si>
  <si>
    <t>-592.30081935622 107.688318379841 -834.053908258676</t>
  </si>
  <si>
    <t>-539.111229617024 94.0430266308465 -919.889015238521</t>
  </si>
  <si>
    <t>-590.510557538005 135.248231877148 -764.842992863823</t>
  </si>
  <si>
    <t>-509.693359545648 251.754528019405 -725.872479738603</t>
  </si>
  <si>
    <t>-453.943305919086 218.293477738616 -416.100878796777</t>
  </si>
  <si>
    <t>-309.374233363808 48.7244860270321 -281.980876290258</t>
  </si>
  <si>
    <t>-620.940786245172 79.7751041727197 -771.177055871694</t>
  </si>
  <si>
    <t>-554.984327327866 186.296491695684 -239.100181810069</t>
  </si>
  <si>
    <t>-576.14990284833 184.239750977946 216.098074352012</t>
  </si>
  <si>
    <t>-624.127391739705 173.597379326114 683.433124480247</t>
  </si>
  <si>
    <t>-485.156841349987 102.615711965692 764.626130150853</t>
  </si>
  <si>
    <t>-633.949769658837 8.59634410469789 -220.538500571761</t>
  </si>
  <si>
    <t>-499.398552129592 -112.206674332456 197.744013679627</t>
  </si>
  <si>
    <t>-499.448411755461 -26.2888564204509 659.651453925072</t>
  </si>
  <si>
    <t>-490.71952914485 -177.081362133667 749.812044790136</t>
  </si>
  <si>
    <t>9763-20170724T160443.325005500.bin</t>
  </si>
  <si>
    <t>-594.233606476921 97.3441672504441 -230.177189260289</t>
  </si>
  <si>
    <t>-629.854428514053 101.246693000794 -345.86528357294</t>
  </si>
  <si>
    <t>-638.943851195239 104.236068922021 -466.691552624215</t>
  </si>
  <si>
    <t>-636.154461549622 106.203231474027 -576.159368637759</t>
  </si>
  <si>
    <t>-622.486566056248 107.308465856418 -684.818579705268</t>
  </si>
  <si>
    <t>-592.259093975847 107.797258138387 -834.103721460173</t>
  </si>
  <si>
    <t>-539.10421523387 94.1923677313032 -919.966825685341</t>
  </si>
  <si>
    <t>-590.432162916613 135.324782944769 -764.880834221879</t>
  </si>
  <si>
    <t>-509.630797762378 251.860605978867 -725.947876109257</t>
  </si>
  <si>
    <t>-453.759030101582 218.430915923197 -416.194733657234</t>
  </si>
  <si>
    <t>-309.120263423732 48.9300507519338 -282.0638012727</t>
  </si>
  <si>
    <t>-620.835439544401 79.8372168211054 -771.218541057515</t>
  </si>
  <si>
    <t>-554.753442468407 186.214256368281 -239.087426055096</t>
  </si>
  <si>
    <t>-575.939586179085 184.122424389431 216.109778570715</t>
  </si>
  <si>
    <t>-624.078232502239 173.639176820098 683.422834042717</t>
  </si>
  <si>
    <t>-485.099230901807 102.665654583659 764.608457603791</t>
  </si>
  <si>
    <t>-633.594189540851 8.47167940623422 -220.579282639966</t>
  </si>
  <si>
    <t>-499.194107502982 -112.288066220713 197.764270514244</t>
  </si>
  <si>
    <t>-499.445842135381 -26.2915976094985 659.649285248045</t>
  </si>
  <si>
    <t>-490.733082158735 -177.081274899046 749.816246579953</t>
  </si>
  <si>
    <t>9763-20170724T160443.391703400.bin</t>
  </si>
  <si>
    <t>-593.680562512282 97.2164508273763 -230.205430991713</t>
  </si>
  <si>
    <t>-629.280851166672 101.136054689739 -345.899363680662</t>
  </si>
  <si>
    <t>-638.425705338263 104.195953045874 -466.719674912016</t>
  </si>
  <si>
    <t>-635.71719648609 106.246276535369 -576.18803888486</t>
  </si>
  <si>
    <t>-622.159763963642 107.452533340063 -684.859907115843</t>
  </si>
  <si>
    <t>-592.115097280244 108.098666520448 -834.181355844058</t>
  </si>
  <si>
    <t>-539.017208791289 94.5756035051534 -920.092483471147</t>
  </si>
  <si>
    <t>-590.232657325636 135.569935972088 -764.937653204025</t>
  </si>
  <si>
    <t>-509.38733578778 252.105683636359 -726.093100000459</t>
  </si>
  <si>
    <t>-453.376594101695 218.67025067814 -416.365688607762</t>
  </si>
  <si>
    <t>-308.308811820309 49.6518553024021 -282.089249809783</t>
  </si>
  <si>
    <t>-620.585156385849 80.055659301235 -771.285034951472</t>
  </si>
  <si>
    <t>-554.332142554861 186.122192100854 -239.04895028317</t>
  </si>
  <si>
    <t>-575.676290274602 184.023637502656 216.140805033734</t>
  </si>
  <si>
    <t>-624.113771152454 173.599812225066 683.432436424289</t>
  </si>
  <si>
    <t>-485.099905385935 102.664027358741 764.591350625097</t>
  </si>
  <si>
    <t>-632.94925150398 8.28504802189354 -220.666111372772</t>
  </si>
  <si>
    <t>-498.7302683433 -112.338681442897 197.774834315775</t>
  </si>
  <si>
    <t>-499.461401572436 -26.2909421061042 659.656571076412</t>
  </si>
  <si>
    <t>-490.674910407704 -177.077371231972 749.821690031354</t>
  </si>
  <si>
    <t>9763-20170724T160443.424792000.bin</t>
  </si>
  <si>
    <t>-593.407482617961 97.1875363135375 -230.215366843442</t>
  </si>
  <si>
    <t>-628.993240562712 101.112764474761 -345.913487826555</t>
  </si>
  <si>
    <t>-638.126769057018 104.183867248303 -466.734346148533</t>
  </si>
  <si>
    <t>-635.40954291654 106.245078544356 -576.202303071144</t>
  </si>
  <si>
    <t>-621.84510229704 107.461923305808 -684.873330665044</t>
  </si>
  <si>
    <t>-591.792539688492 108.121611337669 -834.193064758263</t>
  </si>
  <si>
    <t>-538.697546239219 94.6103204866697 -920.107921863601</t>
  </si>
  <si>
    <t>-589.91907366147 135.589639706157 -764.947747613377</t>
  </si>
  <si>
    <t>-509.08463002349 252.137255226835 -726.16126226124</t>
  </si>
  <si>
    <t>-452.980904653527 218.851437781984 -416.434643335736</t>
  </si>
  <si>
    <t>-307.852240541531 49.7820423427877 -282.288232360758</t>
  </si>
  <si>
    <t>-620.260580650698 80.0699087260102 -771.299778821029</t>
  </si>
  <si>
    <t>-554.110541747305 186.100434421909 -239.029893462537</t>
  </si>
  <si>
    <t>-575.551168543899 183.957262494427 216.155097602388</t>
  </si>
  <si>
    <t>-624.122643137106 173.597320647854 683.440710852038</t>
  </si>
  <si>
    <t>-485.060636110469 102.73495950452 764.581303522941</t>
  </si>
  <si>
    <t>-632.625291564061 8.24040325480678 -220.707986378958</t>
  </si>
  <si>
    <t>-498.507104089857 -112.3196236215 197.783676522405</t>
  </si>
  <si>
    <t>-499.459744058398 -26.2849502274871 659.669440267794</t>
  </si>
  <si>
    <t>-490.641838714059 -177.074679199824 749.826100493757</t>
  </si>
  <si>
    <t>9763-20170724T160443.495499900.bin</t>
  </si>
  <si>
    <t>-592.885762169748 97.2305491832976 -230.226033316392</t>
  </si>
  <si>
    <t>-628.437238780606 101.136555354734 -345.935451593352</t>
  </si>
  <si>
    <t>-637.582160674786 104.196026793103 -466.755872217466</t>
  </si>
  <si>
    <t>-634.894048442379 106.247132830297 -576.224642216005</t>
  </si>
  <si>
    <t>-621.377735484571 107.451812035124 -684.90163289737</t>
  </si>
  <si>
    <t>-591.411084510702 108.090963088277 -834.23887883151</t>
  </si>
  <si>
    <t>-538.357222405205 94.5683647670771 -920.177191984195</t>
  </si>
  <si>
    <t>-589.505397009171 135.572809436118 -764.999789977368</t>
  </si>
  <si>
    <t>-508.644712333099 252.137071638344 -726.286714818139</t>
  </si>
  <si>
    <t>-452.368830808625 219.238119465763 -416.550019827938</t>
  </si>
  <si>
    <t>-307.034278346436 50.4872172375619 -282.225409811874</t>
  </si>
  <si>
    <t>-619.835387980662 80.0435263255813 -771.323766546933</t>
  </si>
  <si>
    <t>-553.702285985914 186.169421482004 -238.988234640646</t>
  </si>
  <si>
    <t>-575.295564235134 183.929860283643 216.189048693123</t>
  </si>
  <si>
    <t>-624.140995087193 173.584338851442 683.450046074662</t>
  </si>
  <si>
    <t>-484.918684842453 102.999743255157 764.557814048845</t>
  </si>
  <si>
    <t>-631.968651175066 8.2747531357893 -220.758099617844</t>
  </si>
  <si>
    <t>-498.045390536153 -112.31339805581 197.787856470752</t>
  </si>
  <si>
    <t>-499.444918602823 -26.2915902545292 659.672726853139</t>
  </si>
  <si>
    <t>-490.632560176631 -177.075846297769 749.839072880325</t>
  </si>
  <si>
    <t>9763-20170724T160443.526582400.bin</t>
  </si>
  <si>
    <t>-592.603747390312 97.2488133884142 -230.247207604481</t>
  </si>
  <si>
    <t>-628.135632204938 101.161862956183 -345.962369658563</t>
  </si>
  <si>
    <t>-637.318683529379 104.234429054303 -466.779456173388</t>
  </si>
  <si>
    <t>-634.688895838161 106.297908285561 -576.249422572672</t>
  </si>
  <si>
    <t>-621.253879766947 107.514730036996 -684.936575806195</t>
  </si>
  <si>
    <t>-591.423582999573 108.168930383888 -834.300947311856</t>
  </si>
  <si>
    <t>-538.411338654065 94.6314562696948 -920.262612404668</t>
  </si>
  <si>
    <t>-589.454987358628 135.643951131697 -765.060957648261</t>
  </si>
  <si>
    <t>-508.615705375978 252.267961067823 -726.475783786326</t>
  </si>
  <si>
    <t>-452.429054141197 219.633173024954 -416.695013408154</t>
  </si>
  <si>
    <t>-306.713938124221 51.3362714551502 -282.213345362602</t>
  </si>
  <si>
    <t>-619.790170222982 80.1149474521296 -771.362644831979</t>
  </si>
  <si>
    <t>-553.473667846659 186.221434633407 -238.977577351957</t>
  </si>
  <si>
    <t>-575.213204209841 183.916942460487 216.19241196847</t>
  </si>
  <si>
    <t>-624.134110243679 173.581351514304 683.442242106221</t>
  </si>
  <si>
    <t>-484.902153991562 103.025114397074 764.558151955204</t>
  </si>
  <si>
    <t>-631.635638204295 8.26141208995159 -220.823353213768</t>
  </si>
  <si>
    <t>-497.819287186455 -112.187082577301 197.796971020434</t>
  </si>
  <si>
    <t>-499.448947968239 -26.2913638560083 659.697298354054</t>
  </si>
  <si>
    <t>-490.619299050122 -177.074272039442 749.864282570211</t>
  </si>
  <si>
    <t>9763-20170724T160443.592617000.bin</t>
  </si>
  <si>
    <t>-592.131620143277 97.5138759182678 -230.310251081969</t>
  </si>
  <si>
    <t>-627.631878256618 101.438056271392 -346.034609572584</t>
  </si>
  <si>
    <t>-636.90584089798 104.505911015077 -466.844983333654</t>
  </si>
  <si>
    <t>-634.408293886231 106.560941470161 -576.318308800206</t>
  </si>
  <si>
    <t>-621.154214214389 107.766166076079 -685.027691309063</t>
  </si>
  <si>
    <t>-591.623784280317 108.402017203331 -834.451757489245</t>
  </si>
  <si>
    <t>-538.708373771055 94.8168859796167 -920.46556761037</t>
  </si>
  <si>
    <t>-589.543888005165 135.901323206343 -765.224558121146</t>
  </si>
  <si>
    <t>-508.954716232699 252.802119129635 -726.963869801795</t>
  </si>
  <si>
    <t>-453.307630552045 221.265761115506 -416.971867766927</t>
  </si>
  <si>
    <t>-306.191416339173 54.2228609758299 -282.452110050486</t>
  </si>
  <si>
    <t>-619.836302448621 80.3399912351761 -771.447777143585</t>
  </si>
  <si>
    <t>-553.118913323906 186.52224799325 -239.015338592978</t>
  </si>
  <si>
    <t>-575.262273724087 184.05020138329 216.134303558042</t>
  </si>
  <si>
    <t>-624.084660482868 173.562678994731 683.386584158034</t>
  </si>
  <si>
    <t>-484.818962581313 103.172164709603 764.588523383298</t>
  </si>
  <si>
    <t>-631.061800601029 8.49733899699368 -220.922533804187</t>
  </si>
  <si>
    <t>-497.436791374112 -111.92741162896 197.765720408448</t>
  </si>
  <si>
    <t>-499.420411223234 -26.3042248020099 659.718080875878</t>
  </si>
  <si>
    <t>-490.639807847637 -177.081882447146 749.898612986725</t>
  </si>
  <si>
    <t>9763-20170724T160443.624701700.bin</t>
  </si>
  <si>
    <t>-591.919423664851 97.6544442863787 -230.364899282339</t>
  </si>
  <si>
    <t>-627.378243815376 101.533675701387 -346.10359815804</t>
  </si>
  <si>
    <t>-636.64642049455 104.552979168933 -466.915676836706</t>
  </si>
  <si>
    <t>-634.158631149565 106.562938549697 -576.389882503858</t>
  </si>
  <si>
    <t>-620.929521860217 107.721494592185 -685.10275135522</t>
  </si>
  <si>
    <t>-591.448774050532 108.291322070613 -834.53703184455</t>
  </si>
  <si>
    <t>-538.52804916063 94.6678582480165 -920.541539198876</t>
  </si>
  <si>
    <t>-589.367281023813 135.833434480245 -765.326939001552</t>
  </si>
  <si>
    <t>-508.82658846764 252.771550770068 -727.110919161828</t>
  </si>
  <si>
    <t>-453.326857466209 221.822413093514 -417.03329095382</t>
  </si>
  <si>
    <t>-305.59001863877 55.285130170603 -282.566867254542</t>
  </si>
  <si>
    <t>-619.618748875761 80.2451317071416 -771.507067346555</t>
  </si>
  <si>
    <t>-552.937137995807 186.640373757458 -239.054019643306</t>
  </si>
  <si>
    <t>-575.121725951861 184.098363538565 216.093211824016</t>
  </si>
  <si>
    <t>-623.985237504497 173.635970598393 683.351401751706</t>
  </si>
  <si>
    <t>-484.709330166862 103.341548642147 764.619040766427</t>
  </si>
  <si>
    <t>-630.754981610583 8.62799637005173 -221.002788824231</t>
  </si>
  <si>
    <t>-497.231792201934 -111.78667004223 197.720910692126</t>
  </si>
  <si>
    <t>-499.393294338238 -26.3300867414571 659.693992819964</t>
  </si>
  <si>
    <t>-490.673731990349 -177.085293240606 749.917995002162</t>
  </si>
  <si>
    <t>9763-20170724T160443.691931400.bin</t>
  </si>
  <si>
    <t>-591.706484650871 97.9804123600093 -230.549151860745</t>
  </si>
  <si>
    <t>-627.094193923998 101.83610832154 -346.310409590278</t>
  </si>
  <si>
    <t>-636.293794490166 104.840636552492 -467.128067045795</t>
  </si>
  <si>
    <t>-633.746270897576 106.833373393624 -576.601251549933</t>
  </si>
  <si>
    <t>-620.460735402672 107.965829589612 -685.307513142613</t>
  </si>
  <si>
    <t>-590.9062248291 108.485464380255 -834.727262220841</t>
  </si>
  <si>
    <t>-537.874361399036 94.8319633001381 -920.658556531172</t>
  </si>
  <si>
    <t>-588.910794845724 136.079871820099 -765.535720831231</t>
  </si>
  <si>
    <t>-508.443361343951 253.106515259421 -727.380515042215</t>
  </si>
  <si>
    <t>-452.568042570294 222.249262211819 -417.361139495201</t>
  </si>
  <si>
    <t>-303.236896644532 57.4936003951657 -282.461819192151</t>
  </si>
  <si>
    <t>-619.055631986786 80.4311367512696 -771.691830882738</t>
  </si>
  <si>
    <t>-552.981296097067 187.135823853013 -239.107273994706</t>
  </si>
  <si>
    <t>-575.16084185892 184.301660533202 216.038482887607</t>
  </si>
  <si>
    <t>-623.979067554093 173.618287301018 683.295918510815</t>
  </si>
  <si>
    <t>-484.603372486785 103.61811998701 764.646403603546</t>
  </si>
  <si>
    <t>-630.309132361718 8.87024227383722 -221.298150726781</t>
  </si>
  <si>
    <t>-496.753541355112 -111.104835041547 197.541486750034</t>
  </si>
  <si>
    <t>-499.532593555346 -26.4489103897427 659.615524038032</t>
  </si>
  <si>
    <t>-490.532551635216 -177.094553236208 749.994691064685</t>
  </si>
  <si>
    <t>9763-20170724T160443.726022400.bin</t>
  </si>
  <si>
    <t>-591.779182416749 98.3044483976639 -230.648173913487</t>
  </si>
  <si>
    <t>-627.108453436716 102.121749078403 -346.428558027867</t>
  </si>
  <si>
    <t>-636.251796860252 105.088229286719 -467.251284389461</t>
  </si>
  <si>
    <t>-633.655490721133 107.041971432353 -576.724121899713</t>
  </si>
  <si>
    <t>-620.323983936183 108.127849929586 -685.425232445519</t>
  </si>
  <si>
    <t>-590.709251685316 108.572155162339 -834.833273104148</t>
  </si>
  <si>
    <t>-537.62294658904 94.9039000539844 -920.728722128223</t>
  </si>
  <si>
    <t>-588.764835680302 136.214610669331 -765.65944929285</t>
  </si>
  <si>
    <t>-508.378921696046 253.309757432833 -727.56244737035</t>
  </si>
  <si>
    <t>-452.373840718947 222.35214600991 -417.576556624859</t>
  </si>
  <si>
    <t>-302.19918214311 58.4458863708767 -282.578874236336</t>
  </si>
  <si>
    <t>-618.860817827864 80.5365887312257 -771.79040473382</t>
  </si>
  <si>
    <t>-553.203832824457 187.595870619269 -239.135531541619</t>
  </si>
  <si>
    <t>-575.349266900501 184.623064417631 216.010951798545</t>
  </si>
  <si>
    <t>-623.978794511013 173.612470839186 683.268896200104</t>
  </si>
  <si>
    <t>-484.577839250435 103.702910100169 764.65401398367</t>
  </si>
  <si>
    <t>-630.256080957694 9.03801592500167 -221.466845502995</t>
  </si>
  <si>
    <t>-496.617889493789 -110.564747038133 197.452880197654</t>
  </si>
  <si>
    <t>-499.662535319337 -26.5064893481774 659.622523967242</t>
  </si>
  <si>
    <t>-490.428212048638 -177.10257781773 750.060697249345</t>
  </si>
  <si>
    <t>9763-20170724T160443.794208100.bin</t>
  </si>
  <si>
    <t>-592.047542585045 99.1492654878239 -230.747207755689</t>
  </si>
  <si>
    <t>-627.265921363427 102.844015262008 -346.565312601278</t>
  </si>
  <si>
    <t>-636.307788763924 105.715283030269 -467.398179665528</t>
  </si>
  <si>
    <t>-633.62471783443 107.594656589057 -576.87015637164</t>
  </si>
  <si>
    <t>-620.212420964533 108.617187018205 -685.561913696339</t>
  </si>
  <si>
    <t>-590.491914646815 108.984877957764 -834.949298705875</t>
  </si>
  <si>
    <t>-537.285061912813 95.34732809002 -920.774812495438</t>
  </si>
  <si>
    <t>-588.680430553296 136.709788217549 -765.804609927846</t>
  </si>
  <si>
    <t>-508.527717601321 253.995960917032 -727.820927935732</t>
  </si>
  <si>
    <t>-451.933088822013 223.376360012825 -417.908607338349</t>
  </si>
  <si>
    <t>-301.295992440784 60.0554155704942 -282.716803538063</t>
  </si>
  <si>
    <t>-618.604199142272 80.9345939971499 -771.895347711562</t>
  </si>
  <si>
    <t>-553.628676220025 188.577947237867 -239.184675446753</t>
  </si>
  <si>
    <t>-575.839704550834 185.34842738496 215.956926938345</t>
  </si>
  <si>
    <t>-623.953003407968 173.646094362672 683.258644398492</t>
  </si>
  <si>
    <t>-484.443800745297 104.023642855836 764.70439903073</t>
  </si>
  <si>
    <t>-630.43835535827 9.66157385897236 -221.586272757309</t>
  </si>
  <si>
    <t>-496.612033888239 -109.532391056202 197.389841704295</t>
  </si>
  <si>
    <t>-499.877846931922 -26.4635314447044 659.823717377205</t>
  </si>
  <si>
    <t>-490.13026331674 -177.08007269163 750.173953021239</t>
  </si>
  <si>
    <t>9763-20170724T160443.830306200.bin</t>
  </si>
  <si>
    <t>-592.135743400272 99.6354963192139 -230.723434489014</t>
  </si>
  <si>
    <t>-627.28043856274 103.249190403809 -346.566388234625</t>
  </si>
  <si>
    <t>-636.254833207289 106.050829123377 -467.405777861147</t>
  </si>
  <si>
    <t>-633.514334404893 107.87411844894 -576.877292469188</t>
  </si>
  <si>
    <t>-620.048337034362 108.84891896382 -685.562918885076</t>
  </si>
  <si>
    <t>-590.257378681982 109.159918184311 -834.936353410846</t>
  </si>
  <si>
    <t>-536.974796342596 95.5339456546849 -920.716778813428</t>
  </si>
  <si>
    <t>-588.516891452678 136.93239167193 -765.809160848206</t>
  </si>
  <si>
    <t>-508.474346973039 254.317105192318 -727.882804032884</t>
  </si>
  <si>
    <t>-451.621143281413 223.85931832912 -418.001796095414</t>
  </si>
  <si>
    <t>-300.637599854077 60.9362776688117 -282.716472708741</t>
  </si>
  <si>
    <t>-618.361021761395 81.1122280844945 -771.877513901059</t>
  </si>
  <si>
    <t>-553.724206024283 189.121972728567 -239.191991366113</t>
  </si>
  <si>
    <t>-576.14027310559 185.860405030652 215.939414037638</t>
  </si>
  <si>
    <t>-623.867587377825 173.705962540564 683.218040249661</t>
  </si>
  <si>
    <t>-484.446742751432 104.020214616961 764.760904355079</t>
  </si>
  <si>
    <t>-630.471159233232 10.1078000540306 -221.5343183892</t>
  </si>
  <si>
    <t>-496.750421467195 -109.209283187244 197.440488152769</t>
  </si>
  <si>
    <t>-499.914812087825 -26.3845528874585 659.951531570213</t>
  </si>
  <si>
    <t>-490.025087389269 -177.058319237701 750.190720023403</t>
  </si>
  <si>
    <t>9763-20170724T160443.893224800.bin</t>
  </si>
  <si>
    <t>-592.260172483609 100.476513435677 -230.829726316355</t>
  </si>
  <si>
    <t>-627.261662418292 104.003255949407 -346.71875236759</t>
  </si>
  <si>
    <t>-636.150926631352 106.696508005705 -467.566901204797</t>
  </si>
  <si>
    <t>-633.35886297229 108.418253128758 -577.038838329167</t>
  </si>
  <si>
    <t>-619.867270994102 109.29027358687 -685.7221169092</t>
  </si>
  <si>
    <t>-590.067281591998 109.459750279906 -835.094000480185</t>
  </si>
  <si>
    <t>-536.692651776564 95.8137483436722 -920.814107809717</t>
  </si>
  <si>
    <t>-588.395695656901 137.333720265722 -766.005853878682</t>
  </si>
  <si>
    <t>-508.568295408119 254.91885310926 -728.255867466347</t>
  </si>
  <si>
    <t>-450.999849900492 224.636742601838 -418.489667309414</t>
  </si>
  <si>
    <t>-299.473216527481 62.4194419726891 -282.963686996523</t>
  </si>
  <si>
    <t>-618.1100209666 81.4357981418887 -771.997304448051</t>
  </si>
  <si>
    <t>-553.771593289342 190.117540877938 -239.345617754881</t>
  </si>
  <si>
    <t>-576.408582202532 186.796370392979 215.774313624922</t>
  </si>
  <si>
    <t>-623.515186463601 173.935747756427 683.033370187529</t>
  </si>
  <si>
    <t>-484.32729168067 104.191997330791 764.923873010016</t>
  </si>
  <si>
    <t>-630.651446186919 10.784185398245 -221.664940306757</t>
  </si>
  <si>
    <t>-497.015435780563 -108.7188696571 197.283889163878</t>
  </si>
  <si>
    <t>-500.161656481791 -26.5122842434978 659.756055883806</t>
  </si>
  <si>
    <t>-490.059216373085 -177.067038836688 750.170251193727</t>
  </si>
  <si>
    <t>9763-20170724T160443.925312300.bin</t>
  </si>
  <si>
    <t>-592.324887898995 100.7211815484 -230.94834926772</t>
  </si>
  <si>
    <t>-627.299227840441 104.235294341745 -346.845774191269</t>
  </si>
  <si>
    <t>-636.167033612207 106.892804475232 -467.696488285911</t>
  </si>
  <si>
    <t>-633.358537749931 108.573748065478 -577.168492261397</t>
  </si>
  <si>
    <t>-619.853671996686 109.397160102063 -685.850681477749</t>
  </si>
  <si>
    <t>-590.038744150638 109.491432429517 -835.219418413134</t>
  </si>
  <si>
    <t>-536.62672393062 95.808902262836 -920.910372680924</t>
  </si>
  <si>
    <t>-588.388500939351 137.408129841468 -766.148063571151</t>
  </si>
  <si>
    <t>-508.581639071666 255.032108400252 -728.459887110586</t>
  </si>
  <si>
    <t>-450.862549650197 224.774629210883 -418.719345477955</t>
  </si>
  <si>
    <t>-298.726679006141 63.2142093085547 -283.091402811905</t>
  </si>
  <si>
    <t>-618.073317638523 81.4913415661588 -772.108684122286</t>
  </si>
  <si>
    <t>-553.817949929223 190.405702876513 -239.418110065349</t>
  </si>
  <si>
    <t>-576.433987182096 186.949848170227 215.701933527306</t>
  </si>
  <si>
    <t>-623.519593421952 173.91725092925 683.002766076149</t>
  </si>
  <si>
    <t>-484.313607450972 104.249190018309 764.926957486316</t>
  </si>
  <si>
    <t>-630.777554323795 10.9790245612016 -221.80787564217</t>
  </si>
  <si>
    <t>-497.207337713005 -108.571342838313 197.148439803704</t>
  </si>
  <si>
    <t>-500.329356001922 -26.6301188283144 659.669132111751</t>
  </si>
  <si>
    <t>-490.104710980518 -177.092060823636 750.223893816053</t>
  </si>
  <si>
    <t>9763-20170724T160443.996501800.bin</t>
  </si>
  <si>
    <t>-592.487274496209 101.0821946156 -231.149788223889</t>
  </si>
  <si>
    <t>-627.438669120571 104.643225102561 -347.052825712866</t>
  </si>
  <si>
    <t>-636.273569793516 107.274990034489 -467.906504719231</t>
  </si>
  <si>
    <t>-633.432263414087 108.904480256413 -577.378399085278</t>
  </si>
  <si>
    <t>-619.892181204294 109.649321094312 -686.05660186432</t>
  </si>
  <si>
    <t>-590.026466281721 109.607274484963 -835.41535508009</t>
  </si>
  <si>
    <t>-536.583144119252 95.8278611956168 -921.071315984706</t>
  </si>
  <si>
    <t>-588.405861963464 137.590320500921 -766.370242340895</t>
  </si>
  <si>
    <t>-508.556155910953 255.217152564539 -728.786631339677</t>
  </si>
  <si>
    <t>-450.019920071283 225.118044360587 -419.184195715924</t>
  </si>
  <si>
    <t>-297.17121526344 64.2021030464568 -283.591396234398</t>
  </si>
  <si>
    <t>-618.076415610848 81.6614001796052 -772.287324253505</t>
  </si>
  <si>
    <t>-553.886131890132 190.833727492202 -239.585928509098</t>
  </si>
  <si>
    <t>-576.458074402958 187.091208486326 215.533952078707</t>
  </si>
  <si>
    <t>-623.443254922905 173.837054272567 682.797738954055</t>
  </si>
  <si>
    <t>-484.239222993727 104.386725516653 764.909859369641</t>
  </si>
  <si>
    <t>-631.070141548978 11.2819846359705 -222.0448894581</t>
  </si>
  <si>
    <t>-497.552121109175 -108.044200344432 196.991898791866</t>
  </si>
  <si>
    <t>-500.610223189991 -26.6589914709825 659.733051955151</t>
  </si>
  <si>
    <t>-489.924156386585 -177.074048248636 750.312320368972</t>
  </si>
  <si>
    <t>9763-20170724T160444.027598500.bin</t>
  </si>
  <si>
    <t>-592.401478919811 101.287425667061 -231.175573635343</t>
  </si>
  <si>
    <t>-627.367523775306 104.898426472092 -347.072782402633</t>
  </si>
  <si>
    <t>-636.226900873801 107.539777522403 -467.924251805254</t>
  </si>
  <si>
    <t>-633.411892530198 109.161577441195 -577.397116595182</t>
  </si>
  <si>
    <t>-619.9021754892 109.882700266659 -686.079299664265</t>
  </si>
  <si>
    <t>-590.082866314362 109.791207911446 -835.44732020318</t>
  </si>
  <si>
    <t>-536.654018608807 95.936658921401 -921.099963656911</t>
  </si>
  <si>
    <t>-588.421619488691 137.786467335971 -766.408079929585</t>
  </si>
  <si>
    <t>-508.458435631259 255.357114968545 -728.89365126985</t>
  </si>
  <si>
    <t>-449.705861560726 225.070868022741 -419.350409903675</t>
  </si>
  <si>
    <t>-296.837499165557 64.2716306327238 -283.641286590307</t>
  </si>
  <si>
    <t>-618.132346949794 81.876911555187 -772.305048358769</t>
  </si>
  <si>
    <t>-553.720570917779 191.038443487156 -239.598604996867</t>
  </si>
  <si>
    <t>-576.345356107176 187.181950032837 215.517718275114</t>
  </si>
  <si>
    <t>-623.420593980542 173.874834553038 682.792473934635</t>
  </si>
  <si>
    <t>-484.261437178856 104.356816217701 764.923383402732</t>
  </si>
  <si>
    <t>-631.050854496819 11.5363340515171 -222.033750904926</t>
  </si>
  <si>
    <t>-497.580211740104 -107.864098915924 196.997097446644</t>
  </si>
  <si>
    <t>-500.610722979027 -26.5750326262889 659.83018508152</t>
  </si>
  <si>
    <t>-489.80094470337 -177.049380608667 750.296313461195</t>
  </si>
  <si>
    <t>9763-20170724T160444.092748700.bin</t>
  </si>
  <si>
    <t>-591.90434050808 101.577355923716 -231.017484069404</t>
  </si>
  <si>
    <t>-626.822318967296 105.230446130054 -346.927663108211</t>
  </si>
  <si>
    <t>-635.681599489947 107.847481948081 -467.779764108558</t>
  </si>
  <si>
    <t>-632.88764441493 109.417069604494 -577.253917519879</t>
  </si>
  <si>
    <t>-619.420565097575 110.054096598631 -685.941965705683</t>
  </si>
  <si>
    <t>-589.682921382868 109.811225184019 -835.326040668605</t>
  </si>
  <si>
    <t>-536.332327917228 95.774885415788 -920.998025122769</t>
  </si>
  <si>
    <t>-587.910363919957 137.835764672422 -766.301301329401</t>
  </si>
  <si>
    <t>-507.54090808102 255.124752485426 -728.780142048844</t>
  </si>
  <si>
    <t>-448.516338127281 224.432759648365 -419.328502153352</t>
  </si>
  <si>
    <t>-296.052628900997 63.6754696967419 -283.115583750491</t>
  </si>
  <si>
    <t>-617.771441962786 82.001625330048 -772.155026160422</t>
  </si>
  <si>
    <t>-553.084697278044 191.244728896073 -239.426276956732</t>
  </si>
  <si>
    <t>-576.085682124151 187.320878961616 215.670625259489</t>
  </si>
  <si>
    <t>-623.535989160198 173.882820555548 682.930588265968</t>
  </si>
  <si>
    <t>-484.231069427243 104.481497613808 764.91294897352</t>
  </si>
  <si>
    <t>-630.586321191648 11.8765777941205 -221.855223864237</t>
  </si>
  <si>
    <t>-497.413803368472 -107.778894371475 197.197704842502</t>
  </si>
  <si>
    <t>-500.495939058248 -26.4116474619095 659.956806382693</t>
  </si>
  <si>
    <t>-489.727567194992 -177.006452661293 750.227250583698</t>
  </si>
  <si>
    <t>9763-20170724T160444.125836200.bin</t>
  </si>
  <si>
    <t>-591.646998022514 101.645544466695 -230.943408252749</t>
  </si>
  <si>
    <t>-626.528794123941 105.307787872575 -346.864299720114</t>
  </si>
  <si>
    <t>-635.388760722629 107.937355757988 -467.716071776881</t>
  </si>
  <si>
    <t>-632.611025962689 109.517463096674 -577.190403943476</t>
  </si>
  <si>
    <t>-619.17558536091 110.163048426309 -685.882320587187</t>
  </si>
  <si>
    <t>-589.497694083799 109.928703576018 -835.2784444562</t>
  </si>
  <si>
    <t>-536.207568941467 95.8291923269398 -920.97756349411</t>
  </si>
  <si>
    <t>-587.659833397894 137.928256883749 -766.245358150644</t>
  </si>
  <si>
    <t>-507.081003550478 255.065770120918 -728.704847030454</t>
  </si>
  <si>
    <t>-447.89340190385 224.294356441713 -419.29227538337</t>
  </si>
  <si>
    <t>-296.089015586591 63.0917747185076 -282.869262818144</t>
  </si>
  <si>
    <t>-617.59868312085 82.1364876208606 -772.105219387681</t>
  </si>
  <si>
    <t>-552.744756875238 191.336970988755 -239.353414164808</t>
  </si>
  <si>
    <t>-575.950375436235 187.499384222652 215.733931937882</t>
  </si>
  <si>
    <t>-623.467297350962 174.086713473039 682.931014849489</t>
  </si>
  <si>
    <t>-484.354966902848 104.28637630484 764.901669800857</t>
  </si>
  <si>
    <t>-630.450338107134 11.9375727987103 -221.796403005752</t>
  </si>
  <si>
    <t>-497.330283933754 -107.855342741069 197.233917993273</t>
  </si>
  <si>
    <t>-500.540270309005 -26.445492671319 659.905582315541</t>
  </si>
  <si>
    <t>-489.741033973366 -177.017086179923 750.211012825514</t>
  </si>
  <si>
    <t>9763-20170724T160444.198564600.bin</t>
  </si>
  <si>
    <t>-591.239562617491 101.55020944252 -230.870218540219</t>
  </si>
  <si>
    <t>-626.104657206889 105.283363591838 -346.793974502712</t>
  </si>
  <si>
    <t>-634.886027290401 107.917169951954 -467.651284372545</t>
  </si>
  <si>
    <t>-632.01365194689 109.467009703688 -577.123786095416</t>
  </si>
  <si>
    <t>-618.461774331625 110.044556809008 -685.80149373621</t>
  </si>
  <si>
    <t>-588.601861673029 109.672805901661 -835.16103680297</t>
  </si>
  <si>
    <t>-535.329612284365 95.4225878590441 -920.846444183191</t>
  </si>
  <si>
    <t>-586.761662376017 137.687592980134 -766.134024437545</t>
  </si>
  <si>
    <t>-505.844418005436 254.584224478583 -728.586873245568</t>
  </si>
  <si>
    <t>-447.104007957943 223.624855439033 -419.10778055135</t>
  </si>
  <si>
    <t>-295.887077999666 62.0383913338494 -282.486870295475</t>
  </si>
  <si>
    <t>-616.866203745471 81.9870302708005 -772.014025695785</t>
  </si>
  <si>
    <t>-552.215005939055 191.139266051363 -239.277234319489</t>
  </si>
  <si>
    <t>-575.59465940643 187.265425562449 215.800827933413</t>
  </si>
  <si>
    <t>-623.548766835634 174.015596890396 682.974779678298</t>
  </si>
  <si>
    <t>-484.332387758087 104.357626014726 764.889829926301</t>
  </si>
  <si>
    <t>-630.175960506921 11.9335904709712 -221.763557450206</t>
  </si>
  <si>
    <t>-497.201233661759 -108.101988588302 197.243371601497</t>
  </si>
  <si>
    <t>-500.514769023526 -26.4423715692826 659.918788058869</t>
  </si>
  <si>
    <t>-489.779157195727 -177.014582100294 750.230725533966</t>
  </si>
  <si>
    <t>9763-20170724T160444.224629800.bin</t>
  </si>
  <si>
    <t>-591.01761209144 101.510330442521 -230.821408080046</t>
  </si>
  <si>
    <t>-625.877640544089 105.285577039861 -346.745269005002</t>
  </si>
  <si>
    <t>-634.61224156503 107.920872489578 -467.606082171151</t>
  </si>
  <si>
    <t>-631.681587520334 109.453454718998 -577.077144473127</t>
  </si>
  <si>
    <t>-618.056134129748 109.994676841915 -685.745906500091</t>
  </si>
  <si>
    <t>-588.079342486742 109.551841616461 -835.081773696385</t>
  </si>
  <si>
    <t>-534.786667858201 95.2411951229394 -920.744426984706</t>
  </si>
  <si>
    <t>-586.256434547293 137.57876275502 -766.059340593602</t>
  </si>
  <si>
    <t>-505.211942195759 254.386288944494 -728.478905787059</t>
  </si>
  <si>
    <t>-447.069047842865 223.173039431946 -418.912623500814</t>
  </si>
  <si>
    <t>-295.48139078076 61.7905522287974 -282.461273713263</t>
  </si>
  <si>
    <t>-616.429850791106 81.9168094595771 -771.951195480312</t>
  </si>
  <si>
    <t>-551.921834838764 191.09021976082 -239.212911330298</t>
  </si>
  <si>
    <t>-575.354280768777 187.204300545774 215.862342153517</t>
  </si>
  <si>
    <t>-623.550081978128 174.077945179393 683.003573955481</t>
  </si>
  <si>
    <t>-484.330548507078 104.388050670375 764.886102986556</t>
  </si>
  <si>
    <t>-630.022603830519 11.9242635817091 -221.715111984455</t>
  </si>
  <si>
    <t>-497.126265447201 -108.126060354826 197.312510196271</t>
  </si>
  <si>
    <t>-500.44430271818 -26.3787610540248 659.988188522367</t>
  </si>
  <si>
    <t>-489.754362983187 -176.996340268883 750.229852927916</t>
  </si>
  <si>
    <t>9763-20170724T160444.292829800.bin</t>
  </si>
  <si>
    <t>-590.625148053547 101.40200596907 -230.745728684081</t>
  </si>
  <si>
    <t>-625.391519199766 105.240406672904 -346.695663480186</t>
  </si>
  <si>
    <t>-634.000110301557 107.90497273692 -467.564771015644</t>
  </si>
  <si>
    <t>-630.944227162499 109.450602852361 -577.032219341449</t>
  </si>
  <si>
    <t>-617.18367137181 109.991921461151 -685.684078471442</t>
  </si>
  <si>
    <t>-587.010092108885 109.536435079995 -834.980206413081</t>
  </si>
  <si>
    <t>-533.6468502102 95.1600549524899 -920.587884004073</t>
  </si>
  <si>
    <t>-585.228417761537 137.541034076887 -765.947723617174</t>
  </si>
  <si>
    <t>-504.037340240284 254.184934438668 -728.181234856861</t>
  </si>
  <si>
    <t>-447.237162604473 221.974489934942 -418.467816491045</t>
  </si>
  <si>
    <t>-294.646162113303 61.4058400136394 -282.175003196085</t>
  </si>
  <si>
    <t>-615.493598133959 81.934811265053 -771.894791143059</t>
  </si>
  <si>
    <t>-551.394295947253 190.857242255913 -239.119359743589</t>
  </si>
  <si>
    <t>-575.045263601139 187.074397294141 215.945435063209</t>
  </si>
  <si>
    <t>-623.589082828244 174.091311582239 683.057789787899</t>
  </si>
  <si>
    <t>-484.393419603831 104.29797310849 764.892814565298</t>
  </si>
  <si>
    <t>-629.789240774476 11.9411800111668 -221.661489025517</t>
  </si>
  <si>
    <t>-497.126996235782 -108.133786568803 197.433194968477</t>
  </si>
  <si>
    <t>-500.306636055167 -26.2504502252236 660.10235055325</t>
  </si>
  <si>
    <t>-489.759591056912 -176.970914464602 750.189034036765</t>
  </si>
  <si>
    <t>9763-20170724T160444.324913100.bin</t>
  </si>
  <si>
    <t>-590.449768949258 101.3035138342 -230.719395889286</t>
  </si>
  <si>
    <t>-625.167860940718 105.158624405252 -346.683154994706</t>
  </si>
  <si>
    <t>-633.711176395531 107.828904063272 -467.5567599842</t>
  </si>
  <si>
    <t>-630.590285294666 109.375392525727 -577.02246882522</t>
  </si>
  <si>
    <t>-616.75921981892 109.913678255163 -685.66535485132</t>
  </si>
  <si>
    <t>-586.482786600913 109.449946968004 -834.940561438112</t>
  </si>
  <si>
    <t>-533.068196160669 95.0590888219651 -920.513880754478</t>
  </si>
  <si>
    <t>-584.742630599642 137.454894514171 -765.907247302935</t>
  </si>
  <si>
    <t>-503.577012042003 254.08428780447 -728.044946576693</t>
  </si>
  <si>
    <t>-446.828757722403 221.835375887127 -418.325964640424</t>
  </si>
  <si>
    <t>-294.093062302821 61.3967394475335 -282.041992166618</t>
  </si>
  <si>
    <t>-615.015827530394 81.8552384707134 -771.874599273249</t>
  </si>
  <si>
    <t>-551.191895959615 190.754414552695 -239.073461031102</t>
  </si>
  <si>
    <t>-574.951709116158 187.020213558609 215.986130006608</t>
  </si>
  <si>
    <t>-623.60671301568 174.129418013949 683.095825179543</t>
  </si>
  <si>
    <t>-484.422411506019 104.26819656562 764.892264583133</t>
  </si>
  <si>
    <t>-629.621534611868 11.8520748862768 -221.665784747638</t>
  </si>
  <si>
    <t>-497.177956894698 -108.208991012898 197.502056305477</t>
  </si>
  <si>
    <t>-500.275641628677 -26.2225146688561 660.123532711518</t>
  </si>
  <si>
    <t>-489.795327147601 -176.966969376585 750.177800321061</t>
  </si>
  <si>
    <t>9763-20170724T160444.394604400.bin</t>
  </si>
  <si>
    <t>-590.257987531198 101.02102011694 -230.656216525098</t>
  </si>
  <si>
    <t>-624.89736996413 104.918079194292 -346.642016076428</t>
  </si>
  <si>
    <t>-633.334009344698 107.580315493118 -467.523428576788</t>
  </si>
  <si>
    <t>-630.107182446674 109.097814254303 -576.986388860103</t>
  </si>
  <si>
    <t>-616.162201394703 109.584666525099 -685.614894412344</t>
  </si>
  <si>
    <t>-585.720586842917 109.025634429831 -834.856281087913</t>
  </si>
  <si>
    <t>-532.202012195746 94.5828903106985 -920.355726175958</t>
  </si>
  <si>
    <t>-584.04811250059 137.069824685263 -765.837076996108</t>
  </si>
  <si>
    <t>-502.857566982144 253.687386189656 -727.976213707777</t>
  </si>
  <si>
    <t>-445.888113456498 221.803407843796 -418.26006338265</t>
  </si>
  <si>
    <t>-293.492471724688 61.100828649604 -281.906449078439</t>
  </si>
  <si>
    <t>-614.332013678986 81.47615508645 -771.806155974341</t>
  </si>
  <si>
    <t>-551.038824162633 190.464955768422 -238.977358466308</t>
  </si>
  <si>
    <t>-575.009766025319 186.919088639477 216.072671989514</t>
  </si>
  <si>
    <t>-623.698118293364 174.043174001102 683.159901286896</t>
  </si>
  <si>
    <t>-484.339367217116 104.444619005985 764.883164049979</t>
  </si>
  <si>
    <t>-629.413175323665 11.5621134843391 -221.658716961141</t>
  </si>
  <si>
    <t>-497.132568506613 -108.420901426731 197.582984197009</t>
  </si>
  <si>
    <t>-500.213734273667 -26.1707643939717 660.162006677904</t>
  </si>
  <si>
    <t>-489.756344430997 -176.957154117706 750.148841431078</t>
  </si>
  <si>
    <t>9763-20170724T160444.428694400.bin</t>
  </si>
  <si>
    <t>-590.104199239194 100.940095048362 -230.641715169965</t>
  </si>
  <si>
    <t>-624.704394548558 104.830829486824 -346.639542650701</t>
  </si>
  <si>
    <t>-633.085203168039 107.471499503157 -467.525189702358</t>
  </si>
  <si>
    <t>-629.801813280191 108.963456754152 -576.986814926628</t>
  </si>
  <si>
    <t>-615.795045229143 109.418525213943 -685.607417788738</t>
  </si>
  <si>
    <t>-585.262554223731 108.809233945369 -834.830104359686</t>
  </si>
  <si>
    <t>-531.693038735886 94.3540822662044 -920.295594014963</t>
  </si>
  <si>
    <t>-583.632848820523 136.877072655016 -765.819635437636</t>
  </si>
  <si>
    <t>-502.47111352327 253.497901680805 -727.957845216172</t>
  </si>
  <si>
    <t>-445.389457837393 221.792290990551 -418.244105164978</t>
  </si>
  <si>
    <t>-293.217608872791 60.8886081922287 -281.877639422984</t>
  </si>
  <si>
    <t>-613.911621579529 81.2805904027473 -771.787969684365</t>
  </si>
  <si>
    <t>-550.903780142474 190.383458943432 -238.936041414008</t>
  </si>
  <si>
    <t>-574.998756001613 186.936468606894 216.108150792854</t>
  </si>
  <si>
    <t>-623.713735613812 174.086047384203 683.193496540583</t>
  </si>
  <si>
    <t>-484.44470195205 104.277831053663 764.890841914432</t>
  </si>
  <si>
    <t>-629.207833290372 11.5019139294518 -221.639008835749</t>
  </si>
  <si>
    <t>-496.997267770392 -108.511167161435 197.616198028637</t>
  </si>
  <si>
    <t>-500.152565936833 -26.129811562294 660.18653595181</t>
  </si>
  <si>
    <t>-489.738038230039 -176.948813118543 750.123504640645</t>
  </si>
  <si>
    <t>9763-20170724T160444.502740900.bin</t>
  </si>
  <si>
    <t>-589.758090512165 100.704834816805 -230.638963349154</t>
  </si>
  <si>
    <t>-624.24288150849 104.563783998477 -346.672242129771</t>
  </si>
  <si>
    <t>-632.49690880487 107.156420503722 -467.567622232551</t>
  </si>
  <si>
    <t>-629.096500503113 108.594999611244 -577.026535139854</t>
  </si>
  <si>
    <t>-614.971889725328 108.984563572481 -685.632062522717</t>
  </si>
  <si>
    <t>-584.276086252435 108.26992061128 -834.820740696515</t>
  </si>
  <si>
    <t>-530.621910360829 93.7807721433721 -920.227390261216</t>
  </si>
  <si>
    <t>-582.719801533715 136.385269705772 -765.827926367869</t>
  </si>
  <si>
    <t>-501.628189460315 253.041069346178 -727.90198282363</t>
  </si>
  <si>
    <t>-444.811417576655 221.268003083808 -418.146428503295</t>
  </si>
  <si>
    <t>-292.736991905812 60.1448564341301 -281.930647365579</t>
  </si>
  <si>
    <t>-612.99625300843 80.7869747179354 -771.790921502157</t>
  </si>
  <si>
    <t>-550.626380457735 190.146901468343 -238.905871013375</t>
  </si>
  <si>
    <t>-574.96236980179 186.859767841714 216.126651343519</t>
  </si>
  <si>
    <t>-623.777354237013 174.041018868059 683.206211454976</t>
  </si>
  <si>
    <t>-484.39949746845 104.413226160031 764.871977821729</t>
  </si>
  <si>
    <t>-628.7817018557 11.2097859903611 -221.702115501831</t>
  </si>
  <si>
    <t>-496.664327592489 -108.604900759873 197.639108343473</t>
  </si>
  <si>
    <t>-500.148372609977 -26.1015718235851 660.163898331705</t>
  </si>
  <si>
    <t>-489.675961472871 -176.936324958857 750.067809312154</t>
  </si>
  <si>
    <t>9763-20170724T160444.525802700.bin</t>
  </si>
  <si>
    <t>-589.587425375425 100.614238649349 -230.672466271934</t>
  </si>
  <si>
    <t>-624.032851166479 104.463852118439 -346.717705697621</t>
  </si>
  <si>
    <t>-632.245634921349 107.051958990311 -467.616004728692</t>
  </si>
  <si>
    <t>-628.807900402431 108.486797750889 -577.073686973241</t>
  </si>
  <si>
    <t>-614.646183797002 108.872187296554 -685.674666504529</t>
  </si>
  <si>
    <t>-583.899915376569 108.149850584011 -834.8528242925</t>
  </si>
  <si>
    <t>-530.218099857289 93.6650930437761 -920.242708397326</t>
  </si>
  <si>
    <t>-582.372169524135 136.271753471689 -765.861860723175</t>
  </si>
  <si>
    <t>-501.311509896803 252.94054019355 -727.911816065703</t>
  </si>
  <si>
    <t>-444.712717806051 221.207419945582 -418.112232726815</t>
  </si>
  <si>
    <t>-292.763101842848 59.8896232007066 -281.987404959481</t>
  </si>
  <si>
    <t>-612.636158805849 80.6672123065523 -771.830270443083</t>
  </si>
  <si>
    <t>-550.515719144309 190.096686388043 -238.901669788163</t>
  </si>
  <si>
    <t>-574.92713147587 186.847386069115 216.127188469361</t>
  </si>
  <si>
    <t>-623.753272468219 174.080517550025 683.210598785812</t>
  </si>
  <si>
    <t>-484.42831489438 104.33476870248 764.865962732777</t>
  </si>
  <si>
    <t>-628.59756815379 11.1018431603109 -221.751243677123</t>
  </si>
  <si>
    <t>-496.47493207073 -108.591438730321 197.62305926032</t>
  </si>
  <si>
    <t>-500.14541902122 -26.0972464215772 660.151036147115</t>
  </si>
  <si>
    <t>-489.608092754929 -176.931522712623 750.048123579382</t>
  </si>
  <si>
    <t>9763-20170724T160444.593994000.bin</t>
  </si>
  <si>
    <t>-589.178510884396 100.454071036782 -230.695612644133</t>
  </si>
  <si>
    <t>-623.500692001315 104.251026271407 -346.779122304892</t>
  </si>
  <si>
    <t>-631.618518755566 106.797920747066 -467.684742710932</t>
  </si>
  <si>
    <t>-628.108024695205 108.199931036609 -577.140378322874</t>
  </si>
  <si>
    <t>-613.887573890521 108.556070565614 -685.733776890626</t>
  </si>
  <si>
    <t>-583.074046641692 107.796911895965 -834.897868956378</t>
  </si>
  <si>
    <t>-529.371928594912 93.3162061530988 -920.27585455462</t>
  </si>
  <si>
    <t>-581.599544446666 135.948383997824 -765.917984887338</t>
  </si>
  <si>
    <t>-500.624168858341 252.676271987767 -727.95430705176</t>
  </si>
  <si>
    <t>-444.365058966501 221.024420615326 -418.08460301608</t>
  </si>
  <si>
    <t>-292.725805340569 59.4236110450013 -281.949352321512</t>
  </si>
  <si>
    <t>-611.81660754274 80.3172465332402 -771.876755289313</t>
  </si>
  <si>
    <t>-550.250570385182 190.003834876359 -238.873602040153</t>
  </si>
  <si>
    <t>-574.925666494562 186.851556939954 216.141697198197</t>
  </si>
  <si>
    <t>-623.852105403171 174.043729904707 683.243914892101</t>
  </si>
  <si>
    <t>-484.384554794121 104.498799825915 764.827132055379</t>
  </si>
  <si>
    <t>-628.01926069004 10.8868763561804 -221.813365286732</t>
  </si>
  <si>
    <t>-496.113853042178 -108.643722624353 197.675741556565</t>
  </si>
  <si>
    <t>-500.103629436329 -26.0635302686217 660.183994457794</t>
  </si>
  <si>
    <t>-489.508392235593 -176.920247118767 750.0365373035</t>
  </si>
  <si>
    <t>9763-20170724T160444.630089300.bin</t>
  </si>
  <si>
    <t>-588.922371535632 100.395705820554 -230.666605797641</t>
  </si>
  <si>
    <t>-623.21635581918 104.147398899657 -346.75989245045</t>
  </si>
  <si>
    <t>-631.307599963902 106.653788480625 -467.668140890414</t>
  </si>
  <si>
    <t>-627.774410161037 108.020126446577 -577.123576526577</t>
  </si>
  <si>
    <t>-613.532655855137 108.341259498654 -685.714176920638</t>
  </si>
  <si>
    <t>-582.691217719455 107.533615463867 -834.872440293919</t>
  </si>
  <si>
    <t>-528.98189669103 93.0520889760144 -920.245525937322</t>
  </si>
  <si>
    <t>-581.238356886673 135.712478101049 -765.903098446262</t>
  </si>
  <si>
    <t>-500.276826203931 252.447210741142 -727.941425370397</t>
  </si>
  <si>
    <t>-444.153641575012 220.788271123919 -418.047738468636</t>
  </si>
  <si>
    <t>-292.449067044286 59.2341559878159 -281.929960995819</t>
  </si>
  <si>
    <t>-611.43680874045 80.069506017526 -771.845980167878</t>
  </si>
  <si>
    <t>-550.032061548149 189.967695970592 -238.844311608217</t>
  </si>
  <si>
    <t>-574.866513658193 186.860724783419 216.16262086439</t>
  </si>
  <si>
    <t>-623.890845671834 174.042744298237 683.266132157861</t>
  </si>
  <si>
    <t>-484.406645892463 104.48647230129 764.811177825237</t>
  </si>
  <si>
    <t>-627.709892149272 10.7937178787399 -221.769974193853</t>
  </si>
  <si>
    <t>-495.861715528958 -108.77044057095 197.727572037391</t>
  </si>
  <si>
    <t>-500.053480806495 -26.0324382619963 660.212173495754</t>
  </si>
  <si>
    <t>-489.474357280016 -176.911164743038 750.029639619295</t>
  </si>
  <si>
    <t>9763-20170724T160444.697289800.bin</t>
  </si>
  <si>
    <t>-588.372617186621 100.297993636925 -230.53986734551</t>
  </si>
  <si>
    <t>-622.599920042774 103.959158983468 -346.655755364248</t>
  </si>
  <si>
    <t>-630.648678421891 106.375503501508 -467.568666134524</t>
  </si>
  <si>
    <t>-627.087953546348 107.660555238475 -577.024179168629</t>
  </si>
  <si>
    <t>-612.829752244207 107.900379979248 -685.612880621613</t>
  </si>
  <si>
    <t>-581.977354220935 106.979134114057 -834.768142783435</t>
  </si>
  <si>
    <t>-528.253215088189 92.4788844422876 -920.128826655695</t>
  </si>
  <si>
    <t>-580.550757323326 135.222343677681 -765.82462337796</t>
  </si>
  <si>
    <t>-499.667643344525 252.026785993466 -727.909684828211</t>
  </si>
  <si>
    <t>-443.666333192028 220.317428319556 -417.999145666387</t>
  </si>
  <si>
    <t>-291.772705699258 58.8404722169023 -282.000553924885</t>
  </si>
  <si>
    <t>-610.706493470802 79.5510826104824 -771.718457182881</t>
  </si>
  <si>
    <t>-549.618173334999 189.934018361017 -238.744017812802</t>
  </si>
  <si>
    <t>-574.678897002504 186.952299417776 216.251330099391</t>
  </si>
  <si>
    <t>-623.851756343653 174.150996157631 683.310889168202</t>
  </si>
  <si>
    <t>-484.338422076235 104.570414212193 764.78533150612</t>
  </si>
  <si>
    <t>-627.055993659795 10.6657403397985 -221.609053970294</t>
  </si>
  <si>
    <t>-495.257571030167 -109.147679164301 197.832964870037</t>
  </si>
  <si>
    <t>-499.921367087951 -25.961581211644 660.246147120498</t>
  </si>
  <si>
    <t>-489.436265383044 -176.896263847343 749.98068363072</t>
  </si>
  <si>
    <t>9763-20170724T160444.730372700.bin</t>
  </si>
  <si>
    <t>-588.099336948996 100.243241924209 -230.491082313631</t>
  </si>
  <si>
    <t>-622.284979875787 103.844955519943 -346.621086609022</t>
  </si>
  <si>
    <t>-630.312834936986 106.209148082558 -467.536509177725</t>
  </si>
  <si>
    <t>-626.742080306038 107.449822866369 -576.992266786287</t>
  </si>
  <si>
    <t>-612.482880423941 107.647583816936 -685.580831530325</t>
  </si>
  <si>
    <t>-581.638516004822 106.669774700253 -834.737364492166</t>
  </si>
  <si>
    <t>-527.903916162109 92.1466963726893 -920.087593372358</t>
  </si>
  <si>
    <t>-580.221167015173 134.946414553388 -765.807411432989</t>
  </si>
  <si>
    <t>-499.404753364138 251.814228705877 -727.925289073512</t>
  </si>
  <si>
    <t>-443.289355490541 220.27045259013 -418.018380108852</t>
  </si>
  <si>
    <t>-291.313648313327 58.8391129377794 -282.057492033024</t>
  </si>
  <si>
    <t>-610.351240424771 79.2584061358382 -771.673020545461</t>
  </si>
  <si>
    <t>-549.449407118326 189.906820566733 -238.70557120024</t>
  </si>
  <si>
    <t>-574.647831190574 186.993930108315 216.282583742313</t>
  </si>
  <si>
    <t>-623.8890687382 174.136045823579 683.332465818972</t>
  </si>
  <si>
    <t>-484.326548928237 104.621115350978 764.778681883756</t>
  </si>
  <si>
    <t>-626.670520559818 10.5656323878486 -221.563326351566</t>
  </si>
  <si>
    <t>-494.954392676858 -109.28616555526 197.893623459019</t>
  </si>
  <si>
    <t>-499.833672099331 -25.912681713012 660.271082756256</t>
  </si>
  <si>
    <t>-489.429760889206 -176.887024826578 749.948513337475</t>
  </si>
  <si>
    <t>9763-20170724T160444.794549700.bin</t>
  </si>
  <si>
    <t>-587.49935203279 100.017699102721 -230.436348200082</t>
  </si>
  <si>
    <t>-621.634741865953 103.556140777085 -346.583119402973</t>
  </si>
  <si>
    <t>-629.654682525866 105.855360085694 -467.500164727819</t>
  </si>
  <si>
    <t>-626.094512467672 107.036205606332 -576.956902087524</t>
  </si>
  <si>
    <t>-611.86377538097 107.17219900893 -685.549439990252</t>
  </si>
  <si>
    <t>-581.077039665786 106.106134552118 -834.717199580808</t>
  </si>
  <si>
    <t>-527.350894306812 91.5520662088668 -920.067476136162</t>
  </si>
  <si>
    <t>-579.658264901632 134.437686049896 -765.80989637777</t>
  </si>
  <si>
    <t>-498.962463437559 251.417153407828 -728.039913708407</t>
  </si>
  <si>
    <t>-442.746065016072 220.286021372426 -418.109708795583</t>
  </si>
  <si>
    <t>-290.528424486763 59.0726772344469 -282.160763504789</t>
  </si>
  <si>
    <t>-609.740261760747 78.717874394031 -771.620327864917</t>
  </si>
  <si>
    <t>-549.062118286453 189.693034479134 -238.652305737827</t>
  </si>
  <si>
    <t>-574.426153300679 186.807077552504 216.32680554016</t>
  </si>
  <si>
    <t>-623.953527801042 174.106452574457 683.364588457625</t>
  </si>
  <si>
    <t>-484.319875968274 104.676546640392 764.761388553226</t>
  </si>
  <si>
    <t>-625.863616816313 10.32088574514 -221.522256922556</t>
  </si>
  <si>
    <t>-494.336326039226 -109.558718570959 197.985894266113</t>
  </si>
  <si>
    <t>-499.675786952459 -25.8310725907829 660.30147266741</t>
  </si>
  <si>
    <t>-489.427569187796 -176.872249598727 749.884079857932</t>
  </si>
  <si>
    <t>9763-20170724T160444.826631600.bin</t>
  </si>
  <si>
    <t>-587.195473383412 99.8726573019483 -230.418745088849</t>
  </si>
  <si>
    <t>-621.299111081221 103.381314431855 -346.575673176328</t>
  </si>
  <si>
    <t>-629.302931430732 105.646751872911 -467.494411993404</t>
  </si>
  <si>
    <t>-625.734985913812 106.795931524215 -576.951381100133</t>
  </si>
  <si>
    <t>-611.503390113518 106.899220144393 -685.543639337189</t>
  </si>
  <si>
    <t>-580.722454143782 105.787000228366 -834.712390955699</t>
  </si>
  <si>
    <t>-527.00089536784 91.2184300715664 -920.063130672483</t>
  </si>
  <si>
    <t>-579.315342692894 134.148197555155 -765.817011137774</t>
  </si>
  <si>
    <t>-498.676225309205 251.18500228985 -728.086767300455</t>
  </si>
  <si>
    <t>-442.383412628209 220.278343015258 -418.147851366635</t>
  </si>
  <si>
    <t>-290.046048499366 59.2077201843854 -282.163932432658</t>
  </si>
  <si>
    <t>-609.368736659775 78.4101026848407 -771.602826428531</t>
  </si>
  <si>
    <t>-548.840793249385 189.535980575815 -238.624988064834</t>
  </si>
  <si>
    <t>-574.279384267644 186.710694242934 216.350421125912</t>
  </si>
  <si>
    <t>-623.961454285325 174.113756606513 683.374308887363</t>
  </si>
  <si>
    <t>-484.260268203388 104.795887524646 764.750727139203</t>
  </si>
  <si>
    <t>-625.463831752473 10.1919443569388 -221.518050377308</t>
  </si>
  <si>
    <t>-494.034949826603 -109.724704388303 198.010388438024</t>
  </si>
  <si>
    <t>-499.610145895017 -25.8260512439485 660.271939843047</t>
  </si>
  <si>
    <t>-489.423136896325 -176.872724408749 749.852245835742</t>
  </si>
  <si>
    <t>9763-20170724T160444.893023100.bin</t>
  </si>
  <si>
    <t>-586.537483767172 99.5601018199714 -230.426592566824</t>
  </si>
  <si>
    <t>-620.610488151584 103.011061286195 -346.594239925826</t>
  </si>
  <si>
    <t>-628.609415356401 105.225209154034 -467.514341253051</t>
  </si>
  <si>
    <t>-625.047741202057 106.330721071341 -576.971857914488</t>
  </si>
  <si>
    <t>-610.833223207748 106.392584633412 -685.56654011186</t>
  </si>
  <si>
    <t>-580.086868026726 105.225001517646 -834.741895440976</t>
  </si>
  <si>
    <t>-526.383476512127 90.645947675197 -920.102129817234</t>
  </si>
  <si>
    <t>-578.698266071061 133.630949819649 -765.864555412328</t>
  </si>
  <si>
    <t>-498.150830901999 250.740432785992 -728.183953931593</t>
  </si>
  <si>
    <t>-441.719933643127 219.896008805839 -418.263966975392</t>
  </si>
  <si>
    <t>-289.256366738255 59.0504630166567 -282.155186688047</t>
  </si>
  <si>
    <t>-608.684147451902 77.8522240474379 -771.608363558804</t>
  </si>
  <si>
    <t>-548.371137743229 189.26298766617 -238.612008937575</t>
  </si>
  <si>
    <t>-573.907528079231 186.469304915705 216.358043224662</t>
  </si>
  <si>
    <t>-623.881275803822 174.213085752329 683.376344551538</t>
  </si>
  <si>
    <t>-484.23797303916 104.75594934439 764.733418709894</t>
  </si>
  <si>
    <t>-624.607135793014 9.84218639224446 -221.54891613385</t>
  </si>
  <si>
    <t>-493.399107460596 -110.082154942332 198.046441146296</t>
  </si>
  <si>
    <t>-499.462683424743 -25.8301709842717 660.227637013472</t>
  </si>
  <si>
    <t>-489.500596546194 -176.878060059825 749.83128030589</t>
  </si>
  <si>
    <t>9763-20170724T160444.927091600.bin</t>
  </si>
  <si>
    <t>-586.241008484438 99.3955993750797 -230.418152360229</t>
  </si>
  <si>
    <t>-620.311699770743 102.813175485004 -346.587387025256</t>
  </si>
  <si>
    <t>-628.321674659557 105.005677271228 -467.507306977366</t>
  </si>
  <si>
    <t>-624.77539863808 106.096163783841 -576.965384960506</t>
  </si>
  <si>
    <t>-610.58144455128 106.147370489932 -685.562631700224</t>
  </si>
  <si>
    <t>-579.868603233981 104.969524000031 -834.744995920234</t>
  </si>
  <si>
    <t>-526.179886775929 90.3943972691704 -920.11519878161</t>
  </si>
  <si>
    <t>-578.478163377555 133.387831525468 -765.872786893504</t>
  </si>
  <si>
    <t>-498.011055298408 250.583487130046 -728.255627357796</t>
  </si>
  <si>
    <t>-441.517849976219 219.785017467678 -418.342604880813</t>
  </si>
  <si>
    <t>-288.833946154044 59.2196620632367 -282.149885762815</t>
  </si>
  <si>
    <t>-608.438037748002 77.5935095266038 -771.600139869992</t>
  </si>
  <si>
    <t>-548.152731948487 189.01767257822 -238.607481746369</t>
  </si>
  <si>
    <t>-573.768067690499 186.268880634237 216.35842947536</t>
  </si>
  <si>
    <t>-623.916573420492 174.177478987576 683.370703946488</t>
  </si>
  <si>
    <t>-484.25542081041 104.759049638797 764.730145031968</t>
  </si>
  <si>
    <t>-624.243447208091 9.72295761191936 -221.543074488549</t>
  </si>
  <si>
    <t>-493.002066286225 -110.234941610753 198.032326515524</t>
  </si>
  <si>
    <t>-499.367548361856 -25.8608801920611 660.181420855372</t>
  </si>
  <si>
    <t>-489.536009348068 -176.891432513956 749.828743462923</t>
  </si>
  <si>
    <t>9763-20170724T160445.009904500.bin</t>
  </si>
  <si>
    <t>-585.832798732311 99.3473116401051 -230.53930664571</t>
  </si>
  <si>
    <t>-619.974798317961 102.717406347445 -346.689190217301</t>
  </si>
  <si>
    <t>-628.011592831059 104.853560239816 -467.608141441611</t>
  </si>
  <si>
    <t>-624.470506946038 105.890703118212 -577.067057274744</t>
  </si>
  <si>
    <t>-610.262582562016 105.887020739914 -685.662596939518</t>
  </si>
  <si>
    <t>-579.511286233959 104.631336070021 -834.836218533577</t>
  </si>
  <si>
    <t>-525.795643649847 90.05911033915 -920.189961174618</t>
  </si>
  <si>
    <t>-578.18138479233 133.109325789561 -765.987420806917</t>
  </si>
  <si>
    <t>-498.173311309406 250.712668644285 -728.660218957939</t>
  </si>
  <si>
    <t>-441.776543971685 220.577821067435 -418.664237149282</t>
  </si>
  <si>
    <t>-287.078815089721 62.7852388165886 -281.506768439599</t>
  </si>
  <si>
    <t>-608.054241769836 77.2644536849191 -771.675527477792</t>
  </si>
  <si>
    <t>-547.968491531654 188.939788686074 -238.729800882784</t>
  </si>
  <si>
    <t>-573.710468881047 186.014408526617 216.227802146848</t>
  </si>
  <si>
    <t>-623.854277562581 174.184714851563 683.297668730954</t>
  </si>
  <si>
    <t>-484.197382144761 104.884873277764 764.765460621004</t>
  </si>
  <si>
    <t>-623.61891107645 9.77188017219692 -221.655467154372</t>
  </si>
  <si>
    <t>-492.279879161309 -110.313408071027 197.852859525624</t>
  </si>
  <si>
    <t>-499.064050491033 -26.0078381530998 660.017767209785</t>
  </si>
  <si>
    <t>-489.734702728799 -176.940786796985 749.882709083666</t>
  </si>
  <si>
    <t>9763-20170724T160445.031964600.bin</t>
  </si>
  <si>
    <t>-585.77951911215 99.4438423144379 -230.595940611604</t>
  </si>
  <si>
    <t>-619.97604376539 102.756154202408 -346.731267669466</t>
  </si>
  <si>
    <t>-628.06819923104 104.818484393491 -467.647948419368</t>
  </si>
  <si>
    <t>-624.576995985969 105.78033158778 -577.109025610129</t>
  </si>
  <si>
    <t>-610.418810601817 105.691291920893 -685.711006728591</t>
  </si>
  <si>
    <t>-579.736109098323 104.305789927087 -834.897633858346</t>
  </si>
  <si>
    <t>-526.018307699854 89.6906633317406 -920.242829397111</t>
  </si>
  <si>
    <t>-578.383585775011 132.848744871533 -766.076259678348</t>
  </si>
  <si>
    <t>-498.793827401368 250.885404121536 -729.129034454312</t>
  </si>
  <si>
    <t>-442.925553567679 221.40895944285 -418.974144775352</t>
  </si>
  <si>
    <t>-283.032910787096 69.9567101088014 -280.631703137714</t>
  </si>
  <si>
    <t>-608.240946180708 76.9888980772905 -771.698197903339</t>
  </si>
  <si>
    <t>-548.002114477986 188.956516450074 -238.802281980108</t>
  </si>
  <si>
    <t>-573.671332473982 185.867012868589 216.158434717829</t>
  </si>
  <si>
    <t>-623.817786155949 174.203946159102 683.251083666784</t>
  </si>
  <si>
    <t>-484.160018715688 104.992168396808 764.792198437811</t>
  </si>
  <si>
    <t>-623.496397813755 9.92950693739385 -221.664268084894</t>
  </si>
  <si>
    <t>-491.905732857482 -110.329973077801 197.715260079744</t>
  </si>
  <si>
    <t>-498.98995894219 -26.1004035911026 659.897440823253</t>
  </si>
  <si>
    <t>-489.800025410858 -176.962224480136 749.89609508596</t>
  </si>
  <si>
    <t>9763-20170724T160445.092152100.bin</t>
  </si>
  <si>
    <t>-585.650896787386 99.6229078903459 -230.626371354741</t>
  </si>
  <si>
    <t>-619.806985326505 102.739692528518 -346.77904780557</t>
  </si>
  <si>
    <t>-628.019123757029 104.582824836051 -467.691194376886</t>
  </si>
  <si>
    <t>-624.701982871878 105.339477899686 -577.159262967464</t>
  </si>
  <si>
    <t>-610.781664948138 105.039353103141 -685.791642389636</t>
  </si>
  <si>
    <t>-580.493562115951 103.354831414528 -835.055903909747</t>
  </si>
  <si>
    <t>-526.827804928899 88.6460267293153 -920.417520440629</t>
  </si>
  <si>
    <t>-579.017539591351 132.06800549482 -766.30787871798</t>
  </si>
  <si>
    <t>-500.088204536649 250.667639748533 -729.92874828522</t>
  </si>
  <si>
    <t>-446.298125905357 223.838917348416 -419.166701653425</t>
  </si>
  <si>
    <t>-274.403247007746 85.2548947726393 -281.730676038887</t>
  </si>
  <si>
    <t>-608.772663343855 76.1323691931466 -771.714301055368</t>
  </si>
  <si>
    <t>-547.973195070402 188.963199718873 -238.883178855433</t>
  </si>
  <si>
    <t>-573.646795403047 185.724284568613 216.076267920129</t>
  </si>
  <si>
    <t>-623.74456835461 174.199103796177 683.158634135561</t>
  </si>
  <si>
    <t>-483.901814727499 105.520051303734 764.832948253323</t>
  </si>
  <si>
    <t>-623.261360220504 10.2125543107099 -221.683972485256</t>
  </si>
  <si>
    <t>-491.467945466515 -110.32158872532 197.553079541343</t>
  </si>
  <si>
    <t>-498.937021621325 -26.2548944808075 659.797990345188</t>
  </si>
  <si>
    <t>-489.783822127825 -176.99829043617 749.998610073933</t>
  </si>
  <si>
    <t>9763-20170724T160445.125231500.bin</t>
  </si>
  <si>
    <t>-585.592076243951 99.8574317808218 -230.636106834424</t>
  </si>
  <si>
    <t>-619.744731453198 102.88280155188 -346.792169767881</t>
  </si>
  <si>
    <t>-627.963883630687 104.61598645321 -467.705419180995</t>
  </si>
  <si>
    <t>-624.657153941095 105.266805855601 -577.174572323685</t>
  </si>
  <si>
    <t>-610.751702415735 104.854199119942 -685.808451409964</t>
  </si>
  <si>
    <t>-580.488964362647 103.006496906744 -835.075784800551</t>
  </si>
  <si>
    <t>-526.801153884161 88.2721183467152 -920.419220439553</t>
  </si>
  <si>
    <t>-579.048734250211 131.820904267814 -766.369422224513</t>
  </si>
  <si>
    <t>-500.458876931357 250.707049863244 -730.172116783017</t>
  </si>
  <si>
    <t>-446.999890198063 225.486128589871 -419.218313590724</t>
  </si>
  <si>
    <t>-270.499926110152 91.0527276577584 -283.507401914154</t>
  </si>
  <si>
    <t>-608.709902897975 75.827127336501 -771.689859991829</t>
  </si>
  <si>
    <t>-548.023834237194 189.282914662194 -238.920920355274</t>
  </si>
  <si>
    <t>-573.522046391889 185.79485258815 216.046483014599</t>
  </si>
  <si>
    <t>-623.705563020534 174.245964678135 683.114219077483</t>
  </si>
  <si>
    <t>-483.795047989048 105.758690453325 764.833586341184</t>
  </si>
  <si>
    <t>-623.032029950425 10.4257126740745 -221.688575747517</t>
  </si>
  <si>
    <t>-491.385321287302 -110.303371495224 197.538445967749</t>
  </si>
  <si>
    <t>-498.945310586548 -26.2800460697651 659.829240733304</t>
  </si>
  <si>
    <t>-489.758821359944 -177.009253527185 750.050164018757</t>
  </si>
  <si>
    <t>9763-20170724T160445.195426000.bin</t>
  </si>
  <si>
    <t>-585.546810192624 100.627818003593 -230.626499895208</t>
  </si>
  <si>
    <t>-619.774533176977 103.471340144722 -346.76517616478</t>
  </si>
  <si>
    <t>-628.083937112337 105.023014515869 -467.674628501222</t>
  </si>
  <si>
    <t>-624.86414892339 105.507474072101 -577.147312242355</t>
  </si>
  <si>
    <t>-611.050517900291 104.924384914601 -685.792148214514</t>
  </si>
  <si>
    <t>-580.92012177404 102.833821215773 -835.083139190005</t>
  </si>
  <si>
    <t>-527.246678147837 87.9733091306605 -920.413585668725</t>
  </si>
  <si>
    <t>-579.492921100097 131.800432217333 -766.440394452253</t>
  </si>
  <si>
    <t>-501.257644740692 251.028922985299 -730.548419168513</t>
  </si>
  <si>
    <t>-448.275540939423 226.661596320942 -419.445086734163</t>
  </si>
  <si>
    <t>-262.900279358579 100.391025034228 -287.787070602046</t>
  </si>
  <si>
    <t>-609.010944000218 75.717126116557 -771.612388207489</t>
  </si>
  <si>
    <t>-548.293132944292 190.207056956375 -238.974512706747</t>
  </si>
  <si>
    <t>-573.469010939204 186.299325083735 216.007450672032</t>
  </si>
  <si>
    <t>-623.607861760957 174.406751203159 683.035984382041</t>
  </si>
  <si>
    <t>-483.70444799615 106.004385789315 764.838582238553</t>
  </si>
  <si>
    <t>-622.693436862368 11.0433585153883 -221.577420417254</t>
  </si>
  <si>
    <t>-491.115292792483 -110.221801365887 197.5163894352</t>
  </si>
  <si>
    <t>-498.959172382376 -26.3221465154261 659.840588446861</t>
  </si>
  <si>
    <t>-489.720924741012 -177.03742892081 750.079672023284</t>
  </si>
  <si>
    <t>9763-20170724T160445.226508900.bin</t>
  </si>
  <si>
    <t>-585.623030411262 101.141351697876 -230.574915939301</t>
  </si>
  <si>
    <t>-619.882473002219 103.906536713605 -346.706172943423</t>
  </si>
  <si>
    <t>-628.252804793024 105.380489986992 -467.612454234232</t>
  </si>
  <si>
    <t>-625.099606018989 105.792789091418 -577.087280819439</t>
  </si>
  <si>
    <t>-611.363746290877 105.1340775556 -685.741481812816</t>
  </si>
  <si>
    <t>-581.35237127037 102.933673427513 -835.054955926808</t>
  </si>
  <si>
    <t>-527.695612147684 87.9963433076957 -920.382577566445</t>
  </si>
  <si>
    <t>-579.878430106563 131.955296617321 -766.436446908158</t>
  </si>
  <si>
    <t>-501.734012177314 251.267197220755 -730.660260392866</t>
  </si>
  <si>
    <t>-449.086619863568 226.551613790223 -419.527444825475</t>
  </si>
  <si>
    <t>-260.148256267742 103.45684600174 -289.94352039627</t>
  </si>
  <si>
    <t>-609.38442969372 75.8593830255691 -771.540375924395</t>
  </si>
  <si>
    <t>-548.473584276866 190.797784907007 -238.971082142895</t>
  </si>
  <si>
    <t>-573.56008957981 186.737705958696 216.014470899115</t>
  </si>
  <si>
    <t>-623.545261686329 174.543561555337 683.026593158601</t>
  </si>
  <si>
    <t>-483.732570219832 105.986231704911 764.85455336516</t>
  </si>
  <si>
    <t>-622.702911685533 11.4922743535938 -221.465073032955</t>
  </si>
  <si>
    <t>-490.901728001309 -110.029418078717 197.484376013258</t>
  </si>
  <si>
    <t>-498.958919559899 -26.3244704530703 659.839788713271</t>
  </si>
  <si>
    <t>-489.673721251058 -177.043619467277 750.067395072126</t>
  </si>
  <si>
    <t>9763-20170724T160445.300712600.bin</t>
  </si>
  <si>
    <t>-585.938711551553 102.10636846909 -230.568261004191</t>
  </si>
  <si>
    <t>-620.295807065089 104.721911079767 -346.674003316914</t>
  </si>
  <si>
    <t>-628.785015745137 106.045748116037 -467.573687897626</t>
  </si>
  <si>
    <t>-625.746718254908 106.316312812562 -577.05228016422</t>
  </si>
  <si>
    <t>-612.132883893367 105.505806624893 -685.720870798588</t>
  </si>
  <si>
    <t>-582.298142042366 103.080492615836 -835.066056676877</t>
  </si>
  <si>
    <t>-528.692718596346 87.9926235128207 -920.399450198664</t>
  </si>
  <si>
    <t>-580.720354907729 132.192898283832 -766.48845848703</t>
  </si>
  <si>
    <t>-502.631784348972 251.618642260212 -730.893683446988</t>
  </si>
  <si>
    <t>-450.938755239835 226.425409614056 -419.639129824791</t>
  </si>
  <si>
    <t>-257.676209356607 107.839083177185 -292.246337628966</t>
  </si>
  <si>
    <t>-610.277814351969 76.1143589654305 -771.482394462356</t>
  </si>
  <si>
    <t>-548.825962134037 191.7584604022 -239.05907334434</t>
  </si>
  <si>
    <t>-573.888777266585 187.468061878746 215.92571527061</t>
  </si>
  <si>
    <t>-623.465201611132 174.675145409255 682.960218280131</t>
  </si>
  <si>
    <t>-483.673871578258 106.165221914973 764.864309337762</t>
  </si>
  <si>
    <t>-622.982066436521 12.3736868813753 -221.349706402474</t>
  </si>
  <si>
    <t>-490.594108131839 -109.371691581031 197.349562313201</t>
  </si>
  <si>
    <t>-498.984725711217 -26.3484804972898 659.818268342818</t>
  </si>
  <si>
    <t>-489.540102762211 -177.070130467383 750.025184054444</t>
  </si>
  <si>
    <t>9763-20170724T160445.329788000.bin</t>
  </si>
  <si>
    <t>-586.168792426452 102.525763742055 -230.578462637902</t>
  </si>
  <si>
    <t>-620.549812711411 105.129025278412 -346.677387727803</t>
  </si>
  <si>
    <t>-629.090633842791 106.414646621643 -467.573847187525</t>
  </si>
  <si>
    <t>-626.110254638248 106.640540157691 -577.05409018928</t>
  </si>
  <si>
    <t>-612.565226241231 105.775645257135 -685.73080039665</t>
  </si>
  <si>
    <t>-582.836763244345 103.265169718356 -835.09585169091</t>
  </si>
  <si>
    <t>-529.263814850666 88.0944301162815 -920.435006626771</t>
  </si>
  <si>
    <t>-581.199804386024 132.411040280282 -766.533844900172</t>
  </si>
  <si>
    <t>-503.117896738285 251.872131814981 -731.105255423746</t>
  </si>
  <si>
    <t>-452.384711535671 226.678714495972 -419.693021910605</t>
  </si>
  <si>
    <t>-256.956818561374 110.318866031797 -293.556633652712</t>
  </si>
  <si>
    <t>-610.781635849416 76.3408284645382 -771.479115353987</t>
  </si>
  <si>
    <t>-548.963543089165 192.199712413886 -239.114521229192</t>
  </si>
  <si>
    <t>-574.032015454164 187.69753676424 215.867815416169</t>
  </si>
  <si>
    <t>-623.381470642239 174.83826832415 682.918664327435</t>
  </si>
  <si>
    <t>-483.662347449108 106.233240430134 764.86637742455</t>
  </si>
  <si>
    <t>-623.283141984872 12.7955259190908 -221.357731326333</t>
  </si>
  <si>
    <t>-490.645392963512 -109.052657792872 197.232625521419</t>
  </si>
  <si>
    <t>-498.996715188437 -26.3795149802647 659.780110208209</t>
  </si>
  <si>
    <t>-489.532634216334 -177.087491253169 750.00783681268</t>
  </si>
  <si>
    <t>9763-20170724T160445.390958000.bin</t>
  </si>
  <si>
    <t>-586.649978861373 103.241783450864 -230.615049672638</t>
  </si>
  <si>
    <t>-621.058610354548 105.855665561597 -346.705693998283</t>
  </si>
  <si>
    <t>-629.642953590191 107.073500899157 -467.599710968817</t>
  </si>
  <si>
    <t>-626.708933448062 107.206224548161 -577.08143555853</t>
  </si>
  <si>
    <t>-613.217297277923 106.216725631117 -685.763623648728</t>
  </si>
  <si>
    <t>-583.570938429974 103.500167261768 -835.141423699839</t>
  </si>
  <si>
    <t>-530.057919491123 88.1359090210251 -920.483534827823</t>
  </si>
  <si>
    <t>-581.861989073794 132.721940408361 -766.61335322554</t>
  </si>
  <si>
    <t>-503.696539483216 252.173246523731 -731.312435353587</t>
  </si>
  <si>
    <t>-455.516563851435 227.531961990248 -419.45083516492</t>
  </si>
  <si>
    <t>-253.810911653952 117.262878160851 -297.805255222373</t>
  </si>
  <si>
    <t>-611.514986289103 76.6824860397514 -771.479424973962</t>
  </si>
  <si>
    <t>-549.31623648511 192.881398187076 -239.169666063473</t>
  </si>
  <si>
    <t>-574.216666151634 188.099987586512 215.819052556241</t>
  </si>
  <si>
    <t>-623.363482280573 174.946334246366 682.883485450472</t>
  </si>
  <si>
    <t>-483.755301160824 106.160082321508 764.868275743563</t>
  </si>
  <si>
    <t>-623.883638783896 13.5732891782377 -221.380660353195</t>
  </si>
  <si>
    <t>-491.152007032374 -108.439024588718 197.13210465312</t>
  </si>
  <si>
    <t>-499.027748204166 -26.4250658932951 659.765338668529</t>
  </si>
  <si>
    <t>-489.572655122954 -177.119833896074 750.016187309823</t>
  </si>
  <si>
    <t>9763-20170724T160445.426052200.bin</t>
  </si>
  <si>
    <t>-586.887184416157 103.617902169787 -230.628833122574</t>
  </si>
  <si>
    <t>-621.353629087205 106.281403615987 -346.701013452466</t>
  </si>
  <si>
    <t>-629.950260135426 107.476735140642 -467.594540413288</t>
  </si>
  <si>
    <t>-627.008561509681 107.562933932699 -577.076008439647</t>
  </si>
  <si>
    <t>-613.491153994245 106.502585254908 -685.754435097749</t>
  </si>
  <si>
    <t>-583.790572340876 103.664673708184 -835.119193575722</t>
  </si>
  <si>
    <t>-530.273706489637 88.1894969363761 -920.438938010567</t>
  </si>
  <si>
    <t>-582.098904455626 132.937937858987 -766.612791412341</t>
  </si>
  <si>
    <t>-503.823511330333 252.310991885872 -731.322113252694</t>
  </si>
  <si>
    <t>-456.680429026348 228.421389691758 -419.243598557383</t>
  </si>
  <si>
    <t>-249.907081091241 122.311188388528 -302.507045523832</t>
  </si>
  <si>
    <t>-611.765377058825 76.9028428822896 -771.447220342995</t>
  </si>
  <si>
    <t>-549.413381869047 193.271332674316 -239.192712814565</t>
  </si>
  <si>
    <t>-574.223755595244 188.291104883547 215.79875113346</t>
  </si>
  <si>
    <t>-623.312224448522 175.08301533739 682.867139930147</t>
  </si>
  <si>
    <t>-483.796024204916 106.12679085548 764.865802678472</t>
  </si>
  <si>
    <t>-624.249781010306 13.9409090428012 -221.388814601762</t>
  </si>
  <si>
    <t>-491.523171340764 -108.248527437784 197.073957047854</t>
  </si>
  <si>
    <t>-499.060197087975 -26.4341538967533 659.779034668225</t>
  </si>
  <si>
    <t>-489.609067772637 -177.130688860157 750.027205145979</t>
  </si>
  <si>
    <t>9763-20170724T160445.492245200.bin</t>
  </si>
  <si>
    <t>-587.531001566361 104.468627649444 -230.580797982097</t>
  </si>
  <si>
    <t>-622.155040978712 107.227599819247 -346.60398427749</t>
  </si>
  <si>
    <t>-630.773984468437 108.364575715512 -467.496406627103</t>
  </si>
  <si>
    <t>-627.796296051746 108.345448654452 -576.976805351844</t>
  </si>
  <si>
    <t>-614.1874199357 107.134203403854 -685.642404134275</t>
  </si>
  <si>
    <t>-584.30388785721 104.045338180752 -834.965520883174</t>
  </si>
  <si>
    <t>-530.693582005325 88.3652400053202 -920.189203904998</t>
  </si>
  <si>
    <t>-582.716297301824 133.444680045191 -766.510731189919</t>
  </si>
  <si>
    <t>-504.328992058256 252.730770859423 -731.169058292538</t>
  </si>
  <si>
    <t>-457.39046036569 230.324896180819 -418.949663161729</t>
  </si>
  <si>
    <t>-240.208738349191 130.885890668889 -316.061319245337</t>
  </si>
  <si>
    <t>-612.336551865018 77.3794611449816 -771.278717883443</t>
  </si>
  <si>
    <t>-549.837608647995 194.131987585912 -239.198472130463</t>
  </si>
  <si>
    <t>-574.183488655799 188.657505957401 215.812530227137</t>
  </si>
  <si>
    <t>-623.311310549371 175.214942061662 682.874280408691</t>
  </si>
  <si>
    <t>-483.829933753703 106.161463178105 764.850348264935</t>
  </si>
  <si>
    <t>-625.09452469468 14.845380887406 -221.272452813542</t>
  </si>
  <si>
    <t>-492.468836006567 -107.787509094302 197.092508639684</t>
  </si>
  <si>
    <t>-499.166322413677 -26.4242638781052 659.838781209312</t>
  </si>
  <si>
    <t>-489.675598062607 -177.142683516614 750.046446969178</t>
  </si>
  <si>
    <t>9763-20170724T160445.530346600.bin</t>
  </si>
  <si>
    <t>-587.923264662204 104.887673940874 -230.53577958766</t>
  </si>
  <si>
    <t>-622.655829636172 107.695671691781 -346.525336539157</t>
  </si>
  <si>
    <t>-631.335535578671 108.814705544318 -467.413609338127</t>
  </si>
  <si>
    <t>-628.39231156089 108.754908099834 -576.894987647694</t>
  </si>
  <si>
    <t>-614.797317391419 107.48070177787 -685.561496689665</t>
  </si>
  <si>
    <t>-584.912241966511 104.282891510867 -834.882129959203</t>
  </si>
  <si>
    <t>-531.269115646225 88.4998004574741 -920.066080642269</t>
  </si>
  <si>
    <t>-583.325850179776 133.732402813284 -766.448683015887</t>
  </si>
  <si>
    <t>-504.927951915384 253.01511868518 -731.096912476612</t>
  </si>
  <si>
    <t>-457.227984454862 230.554062716004 -418.996856194195</t>
  </si>
  <si>
    <t>-236.948656695394 132.364716810402 -321.642166321139</t>
  </si>
  <si>
    <t>-612.945073438329 77.6632459494217 -771.176045466603</t>
  </si>
  <si>
    <t>-550.160913086095 194.605290758185 -239.178080830788</t>
  </si>
  <si>
    <t>-574.281569023491 188.950292536953 215.842715103562</t>
  </si>
  <si>
    <t>-623.325803535974 175.264987002273 682.889891579523</t>
  </si>
  <si>
    <t>-483.803663489085 106.262311452966 764.839328247306</t>
  </si>
  <si>
    <t>-625.588001737589 15.1964867467511 -221.206477807587</t>
  </si>
  <si>
    <t>-492.856401043712 -107.463123414057 197.117070232255</t>
  </si>
  <si>
    <t>-499.26724859412 -26.3833621798228 659.922483426996</t>
  </si>
  <si>
    <t>-489.64187151538 -177.136335453445 750.057984531258</t>
  </si>
  <si>
    <t>9763-20170724T160445.597108000.bin</t>
  </si>
  <si>
    <t>-588.959238740847 106.019450733045 -230.336301193062</t>
  </si>
  <si>
    <t>-623.846838367559 108.793069994812 -346.280198170997</t>
  </si>
  <si>
    <t>-632.666840954033 109.844689229997 -467.158868388975</t>
  </si>
  <si>
    <t>-629.84256917477 109.709782590829 -576.643420218267</t>
  </si>
  <si>
    <t>-616.358061901613 108.345886485917 -685.322450584914</t>
  </si>
  <si>
    <t>-586.617245829463 105.008201684567 -834.66883915364</t>
  </si>
  <si>
    <t>-532.975231413793 89.0215358267119 -919.815525447952</t>
  </si>
  <si>
    <t>-584.918588499316 134.49643367082 -766.254922043063</t>
  </si>
  <si>
    <t>-506.198963786719 253.598977298042 -730.989412774662</t>
  </si>
  <si>
    <t>-457.55392824165 229.810953749415 -419.133614538436</t>
  </si>
  <si>
    <t>-233.251948647242 132.753299712474 -330.192753059655</t>
  </si>
  <si>
    <t>-614.634751555771 78.4735357558823 -770.920646416715</t>
  </si>
  <si>
    <t>-551.00142078592 195.837294535568 -239.108044447594</t>
  </si>
  <si>
    <t>-574.778355489716 189.916395902021 215.927453212377</t>
  </si>
  <si>
    <t>-623.300730640345 175.489070632731 682.961237039066</t>
  </si>
  <si>
    <t>-483.921284868638 106.136311301742 764.857977246025</t>
  </si>
  <si>
    <t>-626.892292028492 16.2061356348092 -220.83867811852</t>
  </si>
  <si>
    <t>-493.729159837937 -106.906749032707 197.214501645426</t>
  </si>
  <si>
    <t>-499.445639628049 -26.2151294118182 660.134387332452</t>
  </si>
  <si>
    <t>-489.547672592486 -177.107635606449 750.00649443529</t>
  </si>
  <si>
    <t>9763-20170724T160445.625191100.bin</t>
  </si>
  <si>
    <t>-589.529983003061 106.618372987141 -230.205132393694</t>
  </si>
  <si>
    <t>-624.457942602277 109.402507455213 -346.136512945756</t>
  </si>
  <si>
    <t>-633.302775792388 110.441848226064 -467.013527051858</t>
  </si>
  <si>
    <t>-630.494235079489 110.288226025318 -576.498416303301</t>
  </si>
  <si>
    <t>-617.01857998808 108.899351000116 -685.178482460769</t>
  </si>
  <si>
    <t>-587.283003935756 105.521461723118 -834.524928261856</t>
  </si>
  <si>
    <t>-533.656973261937 89.4589078044889 -919.667248551085</t>
  </si>
  <si>
    <t>-585.547805149038 135.009373747443 -766.111669283574</t>
  </si>
  <si>
    <t>-506.550514400485 253.836633314013 -730.634347586051</t>
  </si>
  <si>
    <t>-457.553324260848 229.443174687827 -418.880539389199</t>
  </si>
  <si>
    <t>-232.579907084901 132.332258986325 -331.711107021558</t>
  </si>
  <si>
    <t>-615.332458221268 79.0226273559183 -770.775638622436</t>
  </si>
  <si>
    <t>-551.331512034378 196.458335473502 -239.04520467013</t>
  </si>
  <si>
    <t>-575.155107605594 190.53314506358 215.98775186737</t>
  </si>
  <si>
    <t>-623.292252066543 175.60280559597 683.005333818987</t>
  </si>
  <si>
    <t>-483.957497912383 106.118974403263 764.867022493596</t>
  </si>
  <si>
    <t>-627.693481734208 16.7911423804212 -220.647801189152</t>
  </si>
  <si>
    <t>-494.341825611103 -106.704288569941 197.232433373468</t>
  </si>
  <si>
    <t>-499.519430766934 -26.1635764391533 660.174484501268</t>
  </si>
  <si>
    <t>-489.563826302831 -177.108685643837 749.951915908275</t>
  </si>
  <si>
    <t>9763-20170724T160445.691902500.bin</t>
  </si>
  <si>
    <t>-590.635621766359 107.629030037496 -229.991893532851</t>
  </si>
  <si>
    <t>-625.687028207208 110.490083638758 -345.884061783181</t>
  </si>
  <si>
    <t>-634.578488760681 111.543101080216 -466.757581230476</t>
  </si>
  <si>
    <t>-631.778986452976 111.385716579754 -576.242673717398</t>
  </si>
  <si>
    <t>-618.278633277673 109.983707259225 -684.919372452923</t>
  </si>
  <si>
    <t>-588.473775277995 106.583714261467 -834.251571623407</t>
  </si>
  <si>
    <t>-534.886189230029 90.4017801232649 -919.395621104378</t>
  </si>
  <si>
    <t>-586.7196775666 136.053985277127 -765.83121149492</t>
  </si>
  <si>
    <t>-507.085045017891 254.407342712689 -730.04325465511</t>
  </si>
  <si>
    <t>-456.29157066384 228.863436809852 -418.669412080129</t>
  </si>
  <si>
    <t>-230.940352078086 131.873925678936 -332.345143946982</t>
  </si>
  <si>
    <t>-616.603324291604 80.122239446715 -770.522265732208</t>
  </si>
  <si>
    <t>-551.855318359921 197.475900767575 -238.959251455191</t>
  </si>
  <si>
    <t>-575.799571943347 191.610477148833 216.06809272371</t>
  </si>
  <si>
    <t>-623.295091712069 175.836461932862 683.111204011467</t>
  </si>
  <si>
    <t>-484.105374734712 105.95896348313 764.884450032609</t>
  </si>
  <si>
    <t>-629.370795808191 17.7809500910182 -220.308024351643</t>
  </si>
  <si>
    <t>-495.613704022154 -106.426919750995 197.231373345497</t>
  </si>
  <si>
    <t>-499.633316477653 -26.0932335256821 660.186605216839</t>
  </si>
  <si>
    <t>-489.638107394278 -177.099140262897 749.857144428562</t>
  </si>
  <si>
    <t>9763-20170724T160445.729998900.bin</t>
  </si>
  <si>
    <t>-591.078006462315 107.944413733844 -229.911681299622</t>
  </si>
  <si>
    <t>-626.182542203816 110.836743892201 -345.787239603073</t>
  </si>
  <si>
    <t>-635.118259246572 111.881069378347 -466.657412074067</t>
  </si>
  <si>
    <t>-632.354683317274 111.701913246007 -576.14340569621</t>
  </si>
  <si>
    <t>-618.885715610735 110.266239930951 -684.823561904283</t>
  </si>
  <si>
    <t>-589.119713153092 106.808575965755 -834.162159077196</t>
  </si>
  <si>
    <t>-535.592042566863 90.5304663911213 -919.32559243484</t>
  </si>
  <si>
    <t>-587.305002612447 136.281542845513 -765.744593628984</t>
  </si>
  <si>
    <t>-507.416141031481 254.439557442808 -729.922753091636</t>
  </si>
  <si>
    <t>-455.569632559339 227.495993532471 -418.84037365876</t>
  </si>
  <si>
    <t>-229.735996689249 130.975451419491 -333.254161301873</t>
  </si>
  <si>
    <t>-617.275494756205 80.3954251627731 -770.424441387751</t>
  </si>
  <si>
    <t>-552.051182195319 197.740933624889 -238.945498687149</t>
  </si>
  <si>
    <t>-575.873756714464 191.899654173172 216.088611521365</t>
  </si>
  <si>
    <t>-623.281869809761 175.929834702733 683.131554809162</t>
  </si>
  <si>
    <t>-484.225977546302 105.772996656514 764.893334826302</t>
  </si>
  <si>
    <t>-629.971660285789 18.1324660464318 -220.200614086363</t>
  </si>
  <si>
    <t>-496.228055091896 -106.487314581257 197.220226122324</t>
  </si>
  <si>
    <t>-499.676616667189 -26.1129444018138 660.121086692122</t>
  </si>
  <si>
    <t>-489.79375940074 -177.102597260616 749.831446584142</t>
  </si>
  <si>
    <t>9763-20170724T160445.797684500.bin</t>
  </si>
  <si>
    <t>-591.757814673765 108.098351311068 -229.891257437532</t>
  </si>
  <si>
    <t>-627.036038024299 111.10203618714 -345.710988271975</t>
  </si>
  <si>
    <t>-636.078263020045 112.15458242632 -466.573363437253</t>
  </si>
  <si>
    <t>-633.382073560774 111.942490666021 -576.060963442967</t>
  </si>
  <si>
    <t>-619.951592990879 110.435287949087 -684.744870769488</t>
  </si>
  <si>
    <t>-590.209391266387 106.84012516609 -834.085022150778</t>
  </si>
  <si>
    <t>-536.762434644926 90.3827702731435 -919.264595990131</t>
  </si>
  <si>
    <t>-588.294435470297 136.326308602206 -765.6759250496</t>
  </si>
  <si>
    <t>-507.865877814143 254.087244981356 -729.766115254156</t>
  </si>
  <si>
    <t>-452.126515919781 224.732170555047 -419.5764507129</t>
  </si>
  <si>
    <t>-225.98220872216 127.959927606462 -335.101910709542</t>
  </si>
  <si>
    <t>-618.44437791974 80.5354060960242 -770.337409405658</t>
  </si>
  <si>
    <t>-552.469906678048 197.808513371431 -238.978823845801</t>
  </si>
  <si>
    <t>-575.905665608296 191.840972012102 216.073626061911</t>
  </si>
  <si>
    <t>-623.319967193159 175.967757502905 683.13521332031</t>
  </si>
  <si>
    <t>-484.354052692019 105.612432291989 764.879440349065</t>
  </si>
  <si>
    <t>-630.952582700943 18.3399816454983 -220.120454596138</t>
  </si>
  <si>
    <t>-497.217295042173 -106.513034875857 197.23336680809</t>
  </si>
  <si>
    <t>-499.674343739038 -26.1136078910797 660.114440957677</t>
  </si>
  <si>
    <t>-490.043000474567 -177.105658794799 749.848160744688</t>
  </si>
  <si>
    <t>9763-20170724T160445.832775200.bin</t>
  </si>
  <si>
    <t>-592.05112524165 108.081601023449 -229.90802919799</t>
  </si>
  <si>
    <t>-627.391812705905 111.157543082659 -345.70699817576</t>
  </si>
  <si>
    <t>-636.483147575427 112.202925803671 -466.565649725656</t>
  </si>
  <si>
    <t>-633.826225867302 111.949570076967 -576.054046984494</t>
  </si>
  <si>
    <t>-620.430085681372 110.365653169397 -684.741112849353</t>
  </si>
  <si>
    <t>-590.731079909309 106.626240618775 -834.086374438129</t>
  </si>
  <si>
    <t>-537.322556746275 90.0485879169994 -919.266800190951</t>
  </si>
  <si>
    <t>-588.73003715471 136.141422808264 -765.692234018826</t>
  </si>
  <si>
    <t>-507.999206403783 253.682391895421 -729.755971587497</t>
  </si>
  <si>
    <t>-450.067038599279 223.612537909092 -420.036863736081</t>
  </si>
  <si>
    <t>-224.016270355813 126.360674518304 -335.863307133733</t>
  </si>
  <si>
    <t>-619.013995130596 80.420097305745 -770.319211329364</t>
  </si>
  <si>
    <t>-552.642660183579 197.802657599758 -238.99805813888</t>
  </si>
  <si>
    <t>-575.929696161548 191.798313201371 216.061578492566</t>
  </si>
  <si>
    <t>-623.310275171672 176.037507542442 683.141022044175</t>
  </si>
  <si>
    <t>-484.398669250705 105.554668698124 764.867641805927</t>
  </si>
  <si>
    <t>-631.36442658357 18.3592627720843 -220.124800528169</t>
  </si>
  <si>
    <t>-497.530287590733 -106.371174903202 197.234120464893</t>
  </si>
  <si>
    <t>-499.650508887976 -26.0834647730601 660.148358239242</t>
  </si>
  <si>
    <t>-490.078103401325 -177.09065792906 749.862949775849</t>
  </si>
  <si>
    <t>9763-20170724T160445.894503000.bin</t>
  </si>
  <si>
    <t>-592.487625632049 107.658009510937 -229.894593014422</t>
  </si>
  <si>
    <t>-627.822355282675 110.760766435285 -345.694485873562</t>
  </si>
  <si>
    <t>-636.945112870223 111.753372614196 -466.551361949775</t>
  </si>
  <si>
    <t>-634.3336097494 111.412459892646 -576.04067759523</t>
  </si>
  <si>
    <t>-621.000683454793 109.697161561347 -684.733567966267</t>
  </si>
  <si>
    <t>-591.408718458709 105.725884319476 -834.093987369325</t>
  </si>
  <si>
    <t>-538.14698551909 88.9463141175102 -919.326789228483</t>
  </si>
  <si>
    <t>-589.241103516274 135.280907292562 -765.722157003742</t>
  </si>
  <si>
    <t>-507.583793255501 252.142056751543 -729.733006354665</t>
  </si>
  <si>
    <t>-447.071890752955 222.493437703042 -420.466938926635</t>
  </si>
  <si>
    <t>-221.240050375171 123.689762758893 -337.521954423916</t>
  </si>
  <si>
    <t>-619.763511855365 79.6850519380887 -770.291083010016</t>
  </si>
  <si>
    <t>-552.932467545632 197.145752737598 -239.021683876688</t>
  </si>
  <si>
    <t>-576.019617709129 191.373918996189 216.051194556567</t>
  </si>
  <si>
    <t>-623.397050575486 175.980236881524 683.152462439042</t>
  </si>
  <si>
    <t>-484.502703511148 105.438548024076 764.857671735021</t>
  </si>
  <si>
    <t>-631.92226597797 18.0880983410755 -220.089036203511</t>
  </si>
  <si>
    <t>-497.939557062306 -106.356243505664 197.307559070705</t>
  </si>
  <si>
    <t>-499.571818671174 -26.0237318374363 660.214221289938</t>
  </si>
  <si>
    <t>-490.133472087123 -177.068662499153 749.879421638484</t>
  </si>
  <si>
    <t>9763-20170724T160445.926585900.bin</t>
  </si>
  <si>
    <t>-592.645163224862 107.360245068897 -229.918473521195</t>
  </si>
  <si>
    <t>-627.98317571817 110.49274427129 -345.716656302278</t>
  </si>
  <si>
    <t>-637.106669419759 111.455550054769 -466.573634431559</t>
  </si>
  <si>
    <t>-634.49527552349 111.063310611624 -576.062792892359</t>
  </si>
  <si>
    <t>-621.16253696936 109.272137882447 -684.754313166473</t>
  </si>
  <si>
    <t>-591.571444668132 105.16993293114 -834.111505841178</t>
  </si>
  <si>
    <t>-538.353948807278 88.2737623429036 -919.348834699096</t>
  </si>
  <si>
    <t>-589.378977746125 134.771064260986 -765.760363189388</t>
  </si>
  <si>
    <t>-507.413294670562 251.434118794917 -729.749538974737</t>
  </si>
  <si>
    <t>-445.615141008122 222.071873399327 -420.710492963778</t>
  </si>
  <si>
    <t>-219.886722746503 122.587886711892 -338.299256100093</t>
  </si>
  <si>
    <t>-619.950292798093 79.1988708192848 -770.290892659908</t>
  </si>
  <si>
    <t>-553.103709571526 196.831389984338 -239.055004623137</t>
  </si>
  <si>
    <t>-575.979087055408 191.098770748824 216.029126711195</t>
  </si>
  <si>
    <t>-623.409443013696 175.957550862792 683.127134510208</t>
  </si>
  <si>
    <t>-484.522115584607 105.425523227065 764.852650582935</t>
  </si>
  <si>
    <t>-632.048518891233 17.8495569443767 -220.130239559953</t>
  </si>
  <si>
    <t>-498.098093044287 -106.391415780849 197.337293945057</t>
  </si>
  <si>
    <t>-499.541492119457 -25.9962541353282 660.243181193585</t>
  </si>
  <si>
    <t>-490.134612696225 -177.058106489677 749.883323594667</t>
  </si>
  <si>
    <t>9763-20170724T160445.995330100.bin</t>
  </si>
  <si>
    <t>-592.898286872237 106.829995186801 -229.971703415722</t>
  </si>
  <si>
    <t>-628.334653733034 110.053430836617 -345.737391034031</t>
  </si>
  <si>
    <t>-637.552481227304 111.020303850426 -466.587140218597</t>
  </si>
  <si>
    <t>-635.024335724813 110.596272223971 -576.078111808997</t>
  </si>
  <si>
    <t>-621.772423849634 108.738578144231 -684.77862379317</t>
  </si>
  <si>
    <t>-592.291099368864 104.508375186824 -834.153781150869</t>
  </si>
  <si>
    <t>-539.163227627884 87.4060860547568 -919.405916569394</t>
  </si>
  <si>
    <t>-590.022119293558 134.153162569022 -765.824094066898</t>
  </si>
  <si>
    <t>-507.801681632976 250.614171372605 -729.833855864488</t>
  </si>
  <si>
    <t>-443.830156259427 221.131900653038 -421.248905799877</t>
  </si>
  <si>
    <t>-218.201776884516 121.187412374524 -339.120931316418</t>
  </si>
  <si>
    <t>-620.649311691583 78.6069361440636 -770.295757630753</t>
  </si>
  <si>
    <t>-553.330032672535 196.273226118497 -239.086435854068</t>
  </si>
  <si>
    <t>-575.811768130728 190.581004411911 216.017776089688</t>
  </si>
  <si>
    <t>-623.4537020789 175.956653083093 683.151092645807</t>
  </si>
  <si>
    <t>-484.576990935235 105.375174342697 764.85192080287</t>
  </si>
  <si>
    <t>-632.391452817021 17.4072156329387 -220.15743016531</t>
  </si>
  <si>
    <t>-498.276211303933 -106.360011129938 197.397854884408</t>
  </si>
  <si>
    <t>-499.507859286099 -25.9537381033697 660.295323411972</t>
  </si>
  <si>
    <t>-490.014494791622 -177.037655665626 749.888928526583</t>
  </si>
  <si>
    <t>9763-20170724T160446.024407600.bin</t>
  </si>
  <si>
    <t>-593.008627724365 106.715984461723 -229.915886663059</t>
  </si>
  <si>
    <t>-628.496747405032 109.9662029399 -345.664963820888</t>
  </si>
  <si>
    <t>-637.741281859472 110.954399239952 -466.512467629144</t>
  </si>
  <si>
    <t>-635.226328509767 110.546622838145 -576.003863803558</t>
  </si>
  <si>
    <t>-621.976723088404 108.701657300406 -684.704850288626</t>
  </si>
  <si>
    <t>-592.487495521897 104.485129503248 -834.078907104335</t>
  </si>
  <si>
    <t>-539.374572275755 87.3179988382562 -919.327226724306</t>
  </si>
  <si>
    <t>-590.198242682466 134.110066057763 -765.741135479687</t>
  </si>
  <si>
    <t>-507.814629158542 250.470339947487 -729.713087015509</t>
  </si>
  <si>
    <t>-443.282975629319 220.797759084063 -421.263167405782</t>
  </si>
  <si>
    <t>-217.451675643722 121.122531702252 -339.366217005693</t>
  </si>
  <si>
    <t>-620.872933440134 78.5914825865386 -770.229652607815</t>
  </si>
  <si>
    <t>-553.37729216392 196.184689261697 -239.060080686478</t>
  </si>
  <si>
    <t>-575.703142596421 190.475164176712 216.051508049372</t>
  </si>
  <si>
    <t>-623.454463580975 176.018964578869 683.175951042216</t>
  </si>
  <si>
    <t>-484.684282983876 105.199076364246 764.851439020977</t>
  </si>
  <si>
    <t>-632.559135654966 17.2851685764415 -220.073205698362</t>
  </si>
  <si>
    <t>-498.276155895949 -106.416133912681 197.447728949356</t>
  </si>
  <si>
    <t>-499.460742106773 -25.9343689330506 660.315960417614</t>
  </si>
  <si>
    <t>-489.988654357579 -177.028182139381 749.895239742466</t>
  </si>
  <si>
    <t>9763-20170724T160446.094107400.bin</t>
  </si>
  <si>
    <t>-593.268023597351 106.507608324466 -229.824456224066</t>
  </si>
  <si>
    <t>-628.868157976624 109.714703043957 -345.540159445143</t>
  </si>
  <si>
    <t>-638.191939733618 110.681230887648 -466.381799377062</t>
  </si>
  <si>
    <t>-635.733147282515 110.265865023589 -575.87446894741</t>
  </si>
  <si>
    <t>-622.523123531299 108.427602138197 -684.580345035294</t>
  </si>
  <si>
    <t>-593.071246577027 104.236914882774 -833.962524596108</t>
  </si>
  <si>
    <t>-539.975075427685 86.9827441472505 -919.203735494429</t>
  </si>
  <si>
    <t>-590.74542367101 133.839081569841 -765.616067008293</t>
  </si>
  <si>
    <t>-508.246403493496 250.107278917859 -729.560113325503</t>
  </si>
  <si>
    <t>-442.690082917542 219.970761137947 -421.371337303386</t>
  </si>
  <si>
    <t>-216.638395430905 121.646366494891 -338.455631766949</t>
  </si>
  <si>
    <t>-621.460018634214 78.3434144675336 -770.114989890316</t>
  </si>
  <si>
    <t>-553.50560456362 195.971515630956 -239.028461576548</t>
  </si>
  <si>
    <t>-575.816791142766 190.540690072927 216.087357217138</t>
  </si>
  <si>
    <t>-623.518476019472 176.006657822753 683.213768040191</t>
  </si>
  <si>
    <t>-484.69082207434 105.238445775552 764.836446541217</t>
  </si>
  <si>
    <t>-632.962337735793 17.0311256880534 -219.870681872354</t>
  </si>
  <si>
    <t>-498.15009470515 -106.491938994295 197.532411975651</t>
  </si>
  <si>
    <t>-499.430966080124 -25.914469586761 660.361290656949</t>
  </si>
  <si>
    <t>-489.888787673517 -177.006255246399 749.936429534291</t>
  </si>
  <si>
    <t>9763-20170724T160446.126188900.bin</t>
  </si>
  <si>
    <t>-593.460659028407 106.319068231361 -229.801392993758</t>
  </si>
  <si>
    <t>-629.078363713426 109.519940141911 -345.512054011745</t>
  </si>
  <si>
    <t>-638.447535266027 110.497048984172 -466.350044775199</t>
  </si>
  <si>
    <t>-636.040758718475 110.096902081505 -575.843956294868</t>
  </si>
  <si>
    <t>-622.893211329156 108.278742994493 -684.557670212278</t>
  </si>
  <si>
    <t>-593.53822843078 104.120505505366 -833.959859739403</t>
  </si>
  <si>
    <t>-540.459912930345 86.8445973451126 -919.207735652772</t>
  </si>
  <si>
    <t>-591.158563113084 133.702251255441 -765.606476699976</t>
  </si>
  <si>
    <t>-508.630568770708 249.9740360327 -729.622976820206</t>
  </si>
  <si>
    <t>-442.774780393559 219.445173653986 -421.536619491189</t>
  </si>
  <si>
    <t>-216.545841980315 122.126949252073 -337.920416140548</t>
  </si>
  <si>
    <t>-621.895303076657 78.2184525270579 -770.101494441538</t>
  </si>
  <si>
    <t>-553.737497043076 195.768576459165 -239.033548387749</t>
  </si>
  <si>
    <t>-575.947802021192 190.395450280471 216.087844363276</t>
  </si>
  <si>
    <t>-623.608771080897 175.867288627568 683.230794881023</t>
  </si>
  <si>
    <t>-484.64338708821 105.339698923844 764.827285850557</t>
  </si>
  <si>
    <t>-633.100011491678 16.8573628117183 -219.831939253304</t>
  </si>
  <si>
    <t>-498.094472629957 -106.582954824069 197.53324011489</t>
  </si>
  <si>
    <t>-499.409670468295 -25.9135060810777 660.366700799037</t>
  </si>
  <si>
    <t>-489.831420453067 -176.999610668888 749.947790517812</t>
  </si>
  <si>
    <t>9763-20170724T160446.194467600.bin</t>
  </si>
  <si>
    <t>-593.642620908605 106.092930179676 -229.817310479574</t>
  </si>
  <si>
    <t>-629.22829678013 109.221349664658 -345.539723327776</t>
  </si>
  <si>
    <t>-638.644323588579 110.191151716863 -466.374187941365</t>
  </si>
  <si>
    <t>-636.311921819322 109.807852556433 -575.869699528416</t>
  </si>
  <si>
    <t>-623.270014754284 108.027420391281 -684.596771021426</t>
  </si>
  <si>
    <t>-594.092816797628 103.941265831209 -834.035683055909</t>
  </si>
  <si>
    <t>-541.069257089111 86.682343402168 -919.321280477381</t>
  </si>
  <si>
    <t>-591.648395910136 133.499563807075 -765.674582375461</t>
  </si>
  <si>
    <t>-509.057368725247 249.775124569906 -729.834985162791</t>
  </si>
  <si>
    <t>-442.670210758876 218.638088419884 -421.923646325652</t>
  </si>
  <si>
    <t>-216.840920346479 121.887839726701 -336.585566931593</t>
  </si>
  <si>
    <t>-622.357265562078 77.9989479904939 -770.152813707998</t>
  </si>
  <si>
    <t>-554.112496269165 195.694736248229 -239.042345527689</t>
  </si>
  <si>
    <t>-576.234654483196 190.446798502345 216.084762603505</t>
  </si>
  <si>
    <t>-623.577792799947 176.029133975583 683.269731365679</t>
  </si>
  <si>
    <t>-484.77916673489 105.129996129759 764.828042366753</t>
  </si>
  <si>
    <t>-633.048467068248 16.4911256356047 -219.893526587685</t>
  </si>
  <si>
    <t>-498.153531415451 -106.492577908752 197.642144159707</t>
  </si>
  <si>
    <t>-499.405114094885 -25.8709231413309 660.453923022013</t>
  </si>
  <si>
    <t>-489.709095707389 -176.966911629224 750.005400685001</t>
  </si>
  <si>
    <t>9763-20170724T160446.225534900.bin</t>
  </si>
  <si>
    <t>-593.783155915407 105.949414448132 -229.844023385676</t>
  </si>
  <si>
    <t>-629.378976432975 109.050458795956 -345.564008383981</t>
  </si>
  <si>
    <t>-638.850366320262 110.020420884922 -466.394220939201</t>
  </si>
  <si>
    <t>-636.586372599478 109.646129741569 -575.89110533866</t>
  </si>
  <si>
    <t>-623.630319908521 107.882414417232 -684.628902708326</t>
  </si>
  <si>
    <t>-594.589847346051 103.825936774985 -834.095162255528</t>
  </si>
  <si>
    <t>-541.605833554461 86.5902202144694 -919.409878735029</t>
  </si>
  <si>
    <t>-592.101285438699 133.381089229036 -765.734305371006</t>
  </si>
  <si>
    <t>-509.607210022187 249.747401603683 -730.019015920527</t>
  </si>
  <si>
    <t>-442.57958590245 218.481934850947 -422.259610022525</t>
  </si>
  <si>
    <t>-217.355814358404 121.268260167915 -335.854673355979</t>
  </si>
  <si>
    <t>-622.777428436447 77.8605097056666 -770.187657033614</t>
  </si>
  <si>
    <t>-554.41953695814 195.62643924158 -239.055607527749</t>
  </si>
  <si>
    <t>-576.431326172124 190.403126002556 216.077245025253</t>
  </si>
  <si>
    <t>-623.590127440803 176.030915721514 683.277014471412</t>
  </si>
  <si>
    <t>-484.738730918459 105.214570198006 764.817416247176</t>
  </si>
  <si>
    <t>-633.048774297369 16.2679021584972 -219.937000028956</t>
  </si>
  <si>
    <t>-498.110090213904 -106.40365472105 197.676331564533</t>
  </si>
  <si>
    <t>-499.430660261874 -25.8613872095832 660.49494847566</t>
  </si>
  <si>
    <t>-489.622849763369 -176.952264004128 750.04300214512</t>
  </si>
  <si>
    <t>9763-20170724T160446.292775900.bin</t>
  </si>
  <si>
    <t>-594.083170457655 105.767190703046 -229.86226383497</t>
  </si>
  <si>
    <t>-629.626486418028 108.715967859149 -345.60241999376</t>
  </si>
  <si>
    <t>-639.129797590935 109.653346139064 -466.43023297284</t>
  </si>
  <si>
    <t>-636.928646379839 109.293279397113 -575.928567639558</t>
  </si>
  <si>
    <t>-624.068854782798 107.582924699488 -684.678477073063</t>
  </si>
  <si>
    <t>-595.19534136518 103.637632521594 -834.180226182613</t>
  </si>
  <si>
    <t>-542.232879954959 86.5322799908015 -919.534515114372</t>
  </si>
  <si>
    <t>-592.685392142483 133.17326088725 -765.811576041341</t>
  </si>
  <si>
    <t>-510.343426507468 249.689371393857 -730.198726748364</t>
  </si>
  <si>
    <t>-442.645702499442 218.0133643474 -422.62792138903</t>
  </si>
  <si>
    <t>-218.532640271098 119.838663093816 -334.439913564719</t>
  </si>
  <si>
    <t>-623.256473082044 77.5934408347471 -770.249069829139</t>
  </si>
  <si>
    <t>-555.105208514949 195.543167346612 -239.078671348678</t>
  </si>
  <si>
    <t>-576.917569619732 190.419666168648 216.064874859917</t>
  </si>
  <si>
    <t>-623.7052322328 175.864627699855 683.296161006815</t>
  </si>
  <si>
    <t>-484.707286403405 105.307387966393 764.811501079693</t>
  </si>
  <si>
    <t>-632.928783730464 15.9883911033726 -219.957156101424</t>
  </si>
  <si>
    <t>-497.828537543931 -106.329166540495 197.707743854088</t>
  </si>
  <si>
    <t>-499.440396500843 -25.8538501168077 660.53426374836</t>
  </si>
  <si>
    <t>-489.458715613531 -176.926869057092 750.093369547453</t>
  </si>
  <si>
    <t>9763-20170724T160446.325840800.bin</t>
  </si>
  <si>
    <t>-594.241464584665 105.743786383711 -229.849807874487</t>
  </si>
  <si>
    <t>-629.78264884339 108.62107214347 -345.592447416916</t>
  </si>
  <si>
    <t>-639.308546450935 109.544294893569 -466.418636877639</t>
  </si>
  <si>
    <t>-637.137422102487 109.1927345198 -575.917473983312</t>
  </si>
  <si>
    <t>-624.316887046895 107.510455083677 -684.672439589498</t>
  </si>
  <si>
    <t>-595.506729185318 103.623259476465 -834.187932722258</t>
  </si>
  <si>
    <t>-542.555543500309 86.5840305957552 -919.562624318359</t>
  </si>
  <si>
    <t>-592.99949767998 133.150220225966 -765.815432767963</t>
  </si>
  <si>
    <t>-510.772713412898 249.757907369205 -730.230362180693</t>
  </si>
  <si>
    <t>-442.94469102705 217.618633261875 -422.736250130212</t>
  </si>
  <si>
    <t>-219.204423605142 118.985838282968 -334.114115064652</t>
  </si>
  <si>
    <t>-623.509186241656 77.5362060691746 -770.248616670781</t>
  </si>
  <si>
    <t>-555.41900407377 195.617912475252 -239.086086794595</t>
  </si>
  <si>
    <t>-577.156314060409 190.537633050828 216.061540307145</t>
  </si>
  <si>
    <t>-623.672161497867 175.925289829312 683.288973288787</t>
  </si>
  <si>
    <t>-484.753819518325 105.229216984581 764.819795680685</t>
  </si>
  <si>
    <t>-632.94388446717 15.8696418122393 -219.933691802015</t>
  </si>
  <si>
    <t>-497.618461985849 -106.178981049679 197.737056716679</t>
  </si>
  <si>
    <t>-499.471125097177 -25.8342409869936 660.572521121805</t>
  </si>
  <si>
    <t>-489.301694677301 -176.906475130142 750.111828854106</t>
  </si>
  <si>
    <t>9763-20170724T160446.395053300.bin</t>
  </si>
  <si>
    <t>-594.683668550821 105.746627167101 -229.835158608593</t>
  </si>
  <si>
    <t>-630.275257790969 108.519455763845 -345.564811983956</t>
  </si>
  <si>
    <t>-639.865819621997 109.472964202191 -466.38557145981</t>
  </si>
  <si>
    <t>-637.756368445519 109.205811265546 -575.886024659969</t>
  </si>
  <si>
    <t>-624.998974243375 107.665579043298 -684.650559972906</t>
  </si>
  <si>
    <t>-596.276480552669 104.036029973059 -834.189439513844</t>
  </si>
  <si>
    <t>-543.297194499638 87.1741048785163 -919.581659498924</t>
  </si>
  <si>
    <t>-593.812093820658 133.491775641052 -765.784747005055</t>
  </si>
  <si>
    <t>-511.900763223894 250.316415746239 -730.196760151735</t>
  </si>
  <si>
    <t>-444.050261116026 216.907688158849 -422.842886155149</t>
  </si>
  <si>
    <t>-220.333589017066 118.155332023347 -334.29434853253</t>
  </si>
  <si>
    <t>-624.158599563645 77.7920823983816 -770.261494543495</t>
  </si>
  <si>
    <t>-556.070737001514 195.72532180765 -239.109859856097</t>
  </si>
  <si>
    <t>-577.602130387065 190.71490431657 216.048293329563</t>
  </si>
  <si>
    <t>-623.713544584725 175.84733775633 683.301440067476</t>
  </si>
  <si>
    <t>-484.821539931376 105.115753980679 764.846311675744</t>
  </si>
  <si>
    <t>-633.234419650273 15.7396168305067 -219.861046633267</t>
  </si>
  <si>
    <t>-497.220175306026 -106.022009391918 197.669702017886</t>
  </si>
  <si>
    <t>-499.472282922951 -25.8086751566261 660.571028738417</t>
  </si>
  <si>
    <t>-489.056123562389 -176.875572474895 750.090966559968</t>
  </si>
  <si>
    <t>9763-20170724T160446.426135400.bin</t>
  </si>
  <si>
    <t>-594.863806129247 105.70144303081 -229.821041146918</t>
  </si>
  <si>
    <t>-630.516545253256 108.446249296366 -345.532723243137</t>
  </si>
  <si>
    <t>-640.169680321678 109.409492427108 -466.348357190166</t>
  </si>
  <si>
    <t>-638.115816836887 109.167714353614 -575.849931098165</t>
  </si>
  <si>
    <t>-625.41213272795 107.669927051625 -684.621323234474</t>
  </si>
  <si>
    <t>-596.761571006408 104.117488495247 -834.175699644856</t>
  </si>
  <si>
    <t>-543.763509116106 87.2997219958932 -919.565255191235</t>
  </si>
  <si>
    <t>-594.293218734639 133.554110745729 -765.762981444032</t>
  </si>
  <si>
    <t>-512.495089799361 250.48244528519 -730.222076374078</t>
  </si>
  <si>
    <t>-444.622754447668 216.378908835653 -422.949504032815</t>
  </si>
  <si>
    <t>-220.860593680769 117.840680233805 -334.277293744747</t>
  </si>
  <si>
    <t>-624.583994584568 77.8244342630267 -770.242166177621</t>
  </si>
  <si>
    <t>-556.294800851331 195.702331263946 -239.116986267107</t>
  </si>
  <si>
    <t>-577.712660370978 190.690312324092 216.046585717427</t>
  </si>
  <si>
    <t>-623.731347336964 175.84195708366 683.324506828007</t>
  </si>
  <si>
    <t>-484.829611806728 105.111433263563 764.853727485573</t>
  </si>
  <si>
    <t>-633.352235714256 15.659806679161 -219.824314035209</t>
  </si>
  <si>
    <t>-497.129279057222 -106.013562859742 197.664120418309</t>
  </si>
  <si>
    <t>-499.473339594608 -25.7956136773614 660.566546824281</t>
  </si>
  <si>
    <t>-488.976732237403 -176.86293286691 750.076333931895</t>
  </si>
  <si>
    <t>9763-20170724T160446.494821800.bin</t>
  </si>
  <si>
    <t>-595.068500985744 105.600413543429 -229.752408748831</t>
  </si>
  <si>
    <t>-630.821552579433 108.324180141568 -345.433314380216</t>
  </si>
  <si>
    <t>-640.59639359723 109.347476132713 -466.23883077298</t>
  </si>
  <si>
    <t>-638.658017989516 109.199858876353 -575.742577718666</t>
  </si>
  <si>
    <t>-626.072984118044 107.839863435567 -684.529682181364</t>
  </si>
  <si>
    <t>-597.588328258211 104.527557424773 -834.121266667239</t>
  </si>
  <si>
    <t>-544.583025662192 87.8453759748552 -919.532834506998</t>
  </si>
  <si>
    <t>-595.105069008045 133.888478394644 -765.676553847028</t>
  </si>
  <si>
    <t>-513.453030083765 250.933698544132 -730.220634813075</t>
  </si>
  <si>
    <t>-445.416530059544 215.883517053098 -423.090868597856</t>
  </si>
  <si>
    <t>-221.911506361819 117.631419344033 -333.457780654224</t>
  </si>
  <si>
    <t>-625.278745167883 78.0978194745542 -770.186687647078</t>
  </si>
  <si>
    <t>-556.518065632311 195.659142803907 -239.087481900819</t>
  </si>
  <si>
    <t>-577.780616673012 190.688110510129 216.083713479333</t>
  </si>
  <si>
    <t>-623.709102300173 175.942905711827 683.356560234853</t>
  </si>
  <si>
    <t>-484.953717075259 104.906610161135 764.869099773407</t>
  </si>
  <si>
    <t>-633.502786650414 15.5370827114773 -219.708415848518</t>
  </si>
  <si>
    <t>-497.102534675755 -106.23236962503 197.694063321407</t>
  </si>
  <si>
    <t>-499.422935994422 -25.7572065631477 660.553989502907</t>
  </si>
  <si>
    <t>-488.947356627649 -176.835172920251 750.048219572602</t>
  </si>
  <si>
    <t>9763-20170724T160446.526908600.bin</t>
  </si>
  <si>
    <t>-595.184130566072 105.537481457989 -229.74096735802</t>
  </si>
  <si>
    <t>-630.998728095602 108.271988844142 -345.402757084778</t>
  </si>
  <si>
    <t>-640.828247721052 109.313038395552 -466.203741746063</t>
  </si>
  <si>
    <t>-638.935431977278 109.186575423331 -575.708245857305</t>
  </si>
  <si>
    <t>-626.391308655066 107.854448619314 -684.500343653386</t>
  </si>
  <si>
    <t>-597.957959376674 104.589370691574 -834.102773330774</t>
  </si>
  <si>
    <t>-544.964847161652 87.9285305449423 -919.5260434068</t>
  </si>
  <si>
    <t>-595.459260546848 133.933139386914 -765.651216956824</t>
  </si>
  <si>
    <t>-513.832134917249 251.013315751131 -730.243420125546</t>
  </si>
  <si>
    <t>-445.671887699302 215.76276326853 -423.164158170486</t>
  </si>
  <si>
    <t>-222.219552225406 117.715424956627 -333.17611482148</t>
  </si>
  <si>
    <t>-625.618452896225 78.1349398851273 -770.165338209646</t>
  </si>
  <si>
    <t>-556.664287019074 195.615001718947 -239.086548771706</t>
  </si>
  <si>
    <t>-577.906803105421 190.71903197115 216.086451526279</t>
  </si>
  <si>
    <t>-623.743684937729 175.903547312992 683.3782097218</t>
  </si>
  <si>
    <t>-484.970102508633 104.888641834257 764.878440286257</t>
  </si>
  <si>
    <t>-633.660298957058 15.443065577989 -219.661518841606</t>
  </si>
  <si>
    <t>-497.161910094527 -106.352242884361 197.701385858445</t>
  </si>
  <si>
    <t>-499.404994549696 -25.7456375967622 660.532691179468</t>
  </si>
  <si>
    <t>-488.955058361164 -176.822964106784 750.031169283485</t>
  </si>
  <si>
    <t>9763-20170724T160446.589614500.bin</t>
  </si>
  <si>
    <t>-595.462359103248 105.239399073106 -229.733498645079</t>
  </si>
  <si>
    <t>-631.321093375228 107.984313443631 -345.381293341575</t>
  </si>
  <si>
    <t>-641.157637323248 109.044170158147 -466.181514230689</t>
  </si>
  <si>
    <t>-639.255703654354 108.935402115694 -575.686035830155</t>
  </si>
  <si>
    <t>-626.687107874893 107.620388565718 -684.47537454859</t>
  </si>
  <si>
    <t>-598.204569946488 104.376928744412 -834.069054440696</t>
  </si>
  <si>
    <t>-545.217836297232 87.7110706869973 -919.495278026843</t>
  </si>
  <si>
    <t>-595.698559749876 133.694168848466 -765.606353980599</t>
  </si>
  <si>
    <t>-513.860190627684 250.6322461474 -730.20980043841</t>
  </si>
  <si>
    <t>-445.663580142511 215.071295263142 -423.174203690279</t>
  </si>
  <si>
    <t>-223.075861674747 117.184854903526 -330.897570015075</t>
  </si>
  <si>
    <t>-625.915907858171 77.9298921339594 -770.15067181498</t>
  </si>
  <si>
    <t>-556.905485154934 195.269522064096 -239.112755648976</t>
  </si>
  <si>
    <t>-577.994308309951 190.469096641691 216.068425339937</t>
  </si>
  <si>
    <t>-623.788839316213 175.834837762502 683.367681317423</t>
  </si>
  <si>
    <t>-484.940210676194 104.971090644335 764.871709008563</t>
  </si>
  <si>
    <t>-633.884463999719 15.1699259867592 -219.652821624439</t>
  </si>
  <si>
    <t>-497.42043140026 -106.624237674754 197.721579929417</t>
  </si>
  <si>
    <t>-499.384593468098 -25.7400459196435 660.479815545195</t>
  </si>
  <si>
    <t>-489.006504474059 -176.797789749168 750.01958826363</t>
  </si>
  <si>
    <t>9763-20170724T160446.628725800.bin</t>
  </si>
  <si>
    <t>-595.591053428601 105.085766225723 -229.758423414279</t>
  </si>
  <si>
    <t>-631.460577109841 107.861250750884 -345.402127774687</t>
  </si>
  <si>
    <t>-641.291821608098 108.935927814075 -466.202651274801</t>
  </si>
  <si>
    <t>-639.378498780385 108.832785103687 -575.706852898358</t>
  </si>
  <si>
    <t>-626.792518107967 107.514491812465 -684.494275399146</t>
  </si>
  <si>
    <t>-598.27978934875 104.256799603696 -834.081820644835</t>
  </si>
  <si>
    <t>-545.298429145463 87.5619640601617 -919.50568289119</t>
  </si>
  <si>
    <t>-595.763813068196 133.567272324621 -765.616737413324</t>
  </si>
  <si>
    <t>-513.82352879355 250.429935581999 -730.228379617467</t>
  </si>
  <si>
    <t>-445.74585037312 214.618582782885 -423.19558760905</t>
  </si>
  <si>
    <t>-223.2047158804 116.921238140503 -330.6065928467</t>
  </si>
  <si>
    <t>-626.027867164558 77.8290570096972 -770.171300107596</t>
  </si>
  <si>
    <t>-556.993829138126 195.120387582436 -239.149463391527</t>
  </si>
  <si>
    <t>-578.035454928998 190.36711393158 216.034293296725</t>
  </si>
  <si>
    <t>-623.730727315734 175.891760769026 683.330630759921</t>
  </si>
  <si>
    <t>-484.962064838633 104.922724636134 764.879193520054</t>
  </si>
  <si>
    <t>-634.0824138392 15.024633270064 -219.681028187458</t>
  </si>
  <si>
    <t>-497.550190337533 -106.652651286498 197.705242692703</t>
  </si>
  <si>
    <t>-499.390652655351 -25.7385004910811 660.455774762458</t>
  </si>
  <si>
    <t>-489.016209831569 -176.786208686676 750.013054527332</t>
  </si>
  <si>
    <t>9763-20170724T160446.693103100.bin</t>
  </si>
  <si>
    <t>-595.862885472883 104.79861347506 -229.860186258593</t>
  </si>
  <si>
    <t>-631.742460690782 107.596230212072 -345.500169892429</t>
  </si>
  <si>
    <t>-641.58854771829 108.691821168881 -466.299341319315</t>
  </si>
  <si>
    <t>-639.690627019406 108.606947697565 -575.803817290222</t>
  </si>
  <si>
    <t>-627.12147606124 107.306899989015 -684.593418576024</t>
  </si>
  <si>
    <t>-598.633665414863 104.074366580667 -834.186205455062</t>
  </si>
  <si>
    <t>-545.674880764128 87.3210402201992 -919.612616030973</t>
  </si>
  <si>
    <t>-596.084891275053 133.361249409311 -765.712284431495</t>
  </si>
  <si>
    <t>-514.003981138655 250.131397464655 -730.341732415333</t>
  </si>
  <si>
    <t>-446.02532557018 213.954923298315 -423.329677979021</t>
  </si>
  <si>
    <t>-224.442760395033 115.926501826721 -328.811773750843</t>
  </si>
  <si>
    <t>-626.392516969406 77.6479199802118 -770.279860797629</t>
  </si>
  <si>
    <t>-557.223612148294 194.805822637918 -239.237792236173</t>
  </si>
  <si>
    <t>-578.247035829786 190.232205141896 215.948701125768</t>
  </si>
  <si>
    <t>-623.694318646782 175.91421790102 683.29837957775</t>
  </si>
  <si>
    <t>-484.974117734708 104.904115626892 764.893628210109</t>
  </si>
  <si>
    <t>-634.406971528464 14.7645111749139 -219.776721298626</t>
  </si>
  <si>
    <t>-497.824149627999 -106.661936905732 197.666047547072</t>
  </si>
  <si>
    <t>-499.386667753594 -25.7155364413161 660.429485600522</t>
  </si>
  <si>
    <t>-489.048697647431 -176.755762677459 750.003293987215</t>
  </si>
  <si>
    <t>9763-20170724T160446.735215500.bin</t>
  </si>
  <si>
    <t>-595.991149272136 104.648999703149 -229.904406627894</t>
  </si>
  <si>
    <t>-631.889614688608 107.470226781444 -345.538014242203</t>
  </si>
  <si>
    <t>-641.757267878139 108.579959415442 -466.335311149564</t>
  </si>
  <si>
    <t>-639.879674535149 108.503614975969 -575.840140312869</t>
  </si>
  <si>
    <t>-627.332013030903 107.207060754256 -684.63225269774</t>
  </si>
  <si>
    <t>-598.874776920105 103.974452043759 -834.230811533331</t>
  </si>
  <si>
    <t>-545.914064703138 87.1816180008327 -919.648383218164</t>
  </si>
  <si>
    <t>-596.301395129331 133.255512029552 -765.755164590463</t>
  </si>
  <si>
    <t>-514.192776472624 250.023925276484 -730.436487971457</t>
  </si>
  <si>
    <t>-446.258074747315 213.438844742343 -423.463261333524</t>
  </si>
  <si>
    <t>-226.012061086071 114.35533880959 -326.942801975521</t>
  </si>
  <si>
    <t>-626.631076546343 77.5540175559572 -770.321037380764</t>
  </si>
  <si>
    <t>-557.359451197975 194.633674396039 -239.279914889153</t>
  </si>
  <si>
    <t>-578.327202132518 190.04821478859 215.909015289907</t>
  </si>
  <si>
    <t>-623.737923843091 175.815942488686 683.289137351139</t>
  </si>
  <si>
    <t>-484.882924627422 105.070905910673 764.885333347347</t>
  </si>
  <si>
    <t>-634.528769220412 14.643373307644 -219.830476541103</t>
  </si>
  <si>
    <t>-498.042843499376 -106.746813183559 197.654440657954</t>
  </si>
  <si>
    <t>-499.384276900669 -25.7201243708419 660.404932737762</t>
  </si>
  <si>
    <t>-489.070083028173 -176.747603984895 750.003299894847</t>
  </si>
  <si>
    <t>9763-20170724T160446.793394600.bin</t>
  </si>
  <si>
    <t>-596.135151281779 104.553690128632 -229.872978435459</t>
  </si>
  <si>
    <t>-632.061226446933 107.354795909952 -345.498532308882</t>
  </si>
  <si>
    <t>-641.971171271398 108.453563661702 -466.292373228503</t>
  </si>
  <si>
    <t>-640.137518281799 108.36947148643 -575.798043671963</t>
  </si>
  <si>
    <t>-627.638899050735 107.066790098611 -684.595745871305</t>
  </si>
  <si>
    <t>-599.255069861199 103.826158708912 -834.208160473436</t>
  </si>
  <si>
    <t>-546.293691078174 86.9423672761648 -919.60728488505</t>
  </si>
  <si>
    <t>-596.623513260933 133.097255710403 -765.730271105933</t>
  </si>
  <si>
    <t>-514.551572187939 249.948761098363 -730.618338777688</t>
  </si>
  <si>
    <t>-446.934789450356 213.077847958456 -423.609064827466</t>
  </si>
  <si>
    <t>-235.094798169255 107.766203821755 -315.556483799774</t>
  </si>
  <si>
    <t>-627.004454028401 77.4229421785153 -770.288174169327</t>
  </si>
  <si>
    <t>-557.48666553383 194.442225126131 -239.274400350089</t>
  </si>
  <si>
    <t>-578.402805635421 189.955681177613 215.917947991522</t>
  </si>
  <si>
    <t>-623.813645146551 175.725516307992 683.317724433853</t>
  </si>
  <si>
    <t>-484.85423235368 105.144295701153 764.878026094934</t>
  </si>
  <si>
    <t>-634.684996119706 14.6269446752394 -219.768535374899</t>
  </si>
  <si>
    <t>-498.27948053601 -107.062477303884 197.655570389312</t>
  </si>
  <si>
    <t>-499.305456471314 -25.7407240825653 660.343477033174</t>
  </si>
  <si>
    <t>-489.212096040051 -176.734692152437 750.023318892223</t>
  </si>
  <si>
    <t>9763-20170724T160446.826483500.bin</t>
  </si>
  <si>
    <t>-596.100003514549 104.602582419593 -229.850536288405</t>
  </si>
  <si>
    <t>-632.059198773473 107.401659998289 -345.465903035577</t>
  </si>
  <si>
    <t>-642.02160713711 108.489086084548 -466.255556794325</t>
  </si>
  <si>
    <t>-640.243055774693 108.389694242542 -575.762105061868</t>
  </si>
  <si>
    <t>-627.806695879105 107.066229381866 -684.566654525684</t>
  </si>
  <si>
    <t>-599.516548917911 103.790253571215 -834.195947962601</t>
  </si>
  <si>
    <t>-546.56053396668 86.8510055100146 -919.587544253205</t>
  </si>
  <si>
    <t>-596.828405305433 133.069628723033 -765.724025589403</t>
  </si>
  <si>
    <t>-514.769204677697 249.980687215176 -730.742247386076</t>
  </si>
  <si>
    <t>-447.696101056637 212.744029945762 -423.657763210352</t>
  </si>
  <si>
    <t>-243.372045107076 101.443000021806 -307.443215030875</t>
  </si>
  <si>
    <t>-627.23981846403 77.409793739296 -770.255192738369</t>
  </si>
  <si>
    <t>-557.465335635455 194.573008503818 -239.267342076078</t>
  </si>
  <si>
    <t>-578.315427650462 190.094965326638 215.928111192409</t>
  </si>
  <si>
    <t>-623.71067227574 175.966846543566 683.330212239023</t>
  </si>
  <si>
    <t>-484.98130530963 104.9186034328 764.876615046458</t>
  </si>
  <si>
    <t>-634.622276026033 14.6186428219655 -219.747615336578</t>
  </si>
  <si>
    <t>-498.286831706366 -107.165969598683 197.671610388404</t>
  </si>
  <si>
    <t>-499.243809665222 -25.757364371975 660.313894771874</t>
  </si>
  <si>
    <t>-489.321389697971 -176.729528773546 750.049458803853</t>
  </si>
  <si>
    <t>9763-20170724T160446.896672300.bin</t>
  </si>
  <si>
    <t>-596.12212265164 104.603226093202 -229.803166992288</t>
  </si>
  <si>
    <t>-632.101937688157 107.364263129462 -345.413035873252</t>
  </si>
  <si>
    <t>-642.162033609645 108.412893932314 -466.194908035691</t>
  </si>
  <si>
    <t>-640.503029280736 108.276063276198 -575.703207214424</t>
  </si>
  <si>
    <t>-628.21636205708 106.911690820446 -684.524375277329</t>
  </si>
  <si>
    <t>-600.164401915719 103.573859694843 -834.197106836982</t>
  </si>
  <si>
    <t>-547.267793639104 86.5414151988621 -919.606955694955</t>
  </si>
  <si>
    <t>-597.342218368849 132.867503028648 -765.736692070551</t>
  </si>
  <si>
    <t>-515.326401124201 249.887966848941 -731.059444587356</t>
  </si>
  <si>
    <t>-448.979801639278 211.836858713524 -423.916985173426</t>
  </si>
  <si>
    <t>-261.879195892509 85.918547374527 -294.379522306316</t>
  </si>
  <si>
    <t>-627.810789012505 77.2340415952601 -770.206514882825</t>
  </si>
  <si>
    <t>-557.530635990994 194.487953341743 -239.249360736429</t>
  </si>
  <si>
    <t>-578.287905957723 190.000391643129 215.950229065524</t>
  </si>
  <si>
    <t>-623.801345549761 175.841534065934 683.345168058539</t>
  </si>
  <si>
    <t>-484.8606153189 105.152245373208 764.843663929906</t>
  </si>
  <si>
    <t>-634.616890779522 14.6775937253537 -219.683692440273</t>
  </si>
  <si>
    <t>-498.328506314211 -107.265506060264 197.704575622943</t>
  </si>
  <si>
    <t>-499.156889691365 -25.7517239385145 660.327634331312</t>
  </si>
  <si>
    <t>-489.476622913599 -176.706774104256 750.118285564039</t>
  </si>
  <si>
    <t>9763-20170724T160446.929759800.bin</t>
  </si>
  <si>
    <t>-596.105864554088 104.607168909804 -229.776157310866</t>
  </si>
  <si>
    <t>-632.086066057467 107.36312623323 -345.385827590144</t>
  </si>
  <si>
    <t>-642.174476176907 108.392705983472 -466.165512219149</t>
  </si>
  <si>
    <t>-640.55268694092 108.232485026519 -575.674505805785</t>
  </si>
  <si>
    <t>-628.314678050062 106.838290266933 -684.500698648402</t>
  </si>
  <si>
    <t>-600.341919199494 103.452066169553 -834.187197607489</t>
  </si>
  <si>
    <t>-547.484518270538 86.3652177677329 -919.610354076011</t>
  </si>
  <si>
    <t>-597.472399431856 132.761409181904 -765.735540113471</t>
  </si>
  <si>
    <t>-515.338623729559 249.726338192639 -731.134611721624</t>
  </si>
  <si>
    <t>-449.454140020826 211.70325822825 -423.889329537908</t>
  </si>
  <si>
    <t>-270.944368466824 77.4495702949362 -290.651571037675</t>
  </si>
  <si>
    <t>-627.965764142044 77.1391189786864 -770.175567976992</t>
  </si>
  <si>
    <t>-557.505644019819 194.513716872855 -239.234551777761</t>
  </si>
  <si>
    <t>-578.298658190587 190.046874434268 215.963643042149</t>
  </si>
  <si>
    <t>-623.77147898575 175.919003498705 683.35207646662</t>
  </si>
  <si>
    <t>-484.898919169954 105.086761724796 764.842687346479</t>
  </si>
  <si>
    <t>-634.606003049721 14.6846667846992 -219.661214405062</t>
  </si>
  <si>
    <t>-498.305393193562 -107.265464591256 197.721116705438</t>
  </si>
  <si>
    <t>-499.134555066403 -25.7396575320822 660.351423202399</t>
  </si>
  <si>
    <t>-489.485465623916 -176.691931121133 750.150404026705</t>
  </si>
  <si>
    <t>9763-20170724T160446.992945000.bin</t>
  </si>
  <si>
    <t>-596.076182290499 104.567770663416 -229.748436470956</t>
  </si>
  <si>
    <t>-632.029410317747 107.310908269788 -345.366861359842</t>
  </si>
  <si>
    <t>-642.106927961196 108.284816519712 -466.148011157993</t>
  </si>
  <si>
    <t>-640.482909244009 108.053808869499 -575.65669858163</t>
  </si>
  <si>
    <t>-628.251318333147 106.566134325889 -684.482340014905</t>
  </si>
  <si>
    <t>-600.296602003019 103.025277643297 -834.168587760465</t>
  </si>
  <si>
    <t>-547.52569350565 85.8064191015108 -919.618732585528</t>
  </si>
  <si>
    <t>-597.377629866451 132.382202394629 -765.739490996601</t>
  </si>
  <si>
    <t>-515.058890944408 249.247080483871 -731.235440895181</t>
  </si>
  <si>
    <t>-448.979403639686 211.639497055646 -423.980846858368</t>
  </si>
  <si>
    <t>-281.485465675842 65.8422581319905 -288.588808671969</t>
  </si>
  <si>
    <t>-627.95373321664 76.8018307049658 -770.134887684727</t>
  </si>
  <si>
    <t>-557.430267071413 194.437482200947 -239.220296296096</t>
  </si>
  <si>
    <t>-578.238612853264 190.011296147879 215.977563917403</t>
  </si>
  <si>
    <t>-623.798163063023 175.879900629592 683.359056888784</t>
  </si>
  <si>
    <t>-484.855385076394 105.178104022619 764.843261312461</t>
  </si>
  <si>
    <t>-634.619847380623 14.6786441719125 -219.594361436415</t>
  </si>
  <si>
    <t>-498.260974448556 -107.264407940292 197.770915986543</t>
  </si>
  <si>
    <t>-499.110212625536 -25.7057727048191 660.400679684424</t>
  </si>
  <si>
    <t>-489.490090151003 -176.664685658373 750.191541363522</t>
  </si>
  <si>
    <t>9763-20170724T160447.026034600.bin</t>
  </si>
  <si>
    <t>-596.029818434357 104.450918496001 -229.732358909</t>
  </si>
  <si>
    <t>-631.948607761875 107.205475848184 -345.361246267785</t>
  </si>
  <si>
    <t>-642.005706278965 108.16445274825 -466.14421122754</t>
  </si>
  <si>
    <t>-640.369963953353 107.9072615472 -575.652669104873</t>
  </si>
  <si>
    <t>-628.133896346096 106.379602138175 -684.477246483921</t>
  </si>
  <si>
    <t>-600.180746604558 102.767999522927 -834.162201149338</t>
  </si>
  <si>
    <t>-547.439106625685 85.4649566527803 -919.613422294046</t>
  </si>
  <si>
    <t>-597.2319980585 132.140854774515 -765.741009347105</t>
  </si>
  <si>
    <t>-514.758974977969 248.9117585918 -731.294793356504</t>
  </si>
  <si>
    <t>-449.205333955226 211.250612077157 -423.934257455902</t>
  </si>
  <si>
    <t>-287.876129953707 58.2713114385006 -288.981332645242</t>
  </si>
  <si>
    <t>-627.866251595122 76.5912498817547 -770.121440919172</t>
  </si>
  <si>
    <t>-557.345818143576 194.235330834912 -239.191921059803</t>
  </si>
  <si>
    <t>-578.259628299232 189.91426497812 216.002109787486</t>
  </si>
  <si>
    <t>-623.824760924494 175.848756653551 683.376255948016</t>
  </si>
  <si>
    <t>-484.778440006569 105.331642168497 764.843830781969</t>
  </si>
  <si>
    <t>-634.629648935351 14.6191575959649 -219.576744287162</t>
  </si>
  <si>
    <t>-498.232865753085 -107.267948826308 197.792562663716</t>
  </si>
  <si>
    <t>-499.092467236444 -25.6865008288135 660.424972283305</t>
  </si>
  <si>
    <t>-489.468031685768 -176.65291696237 750.202502857749</t>
  </si>
  <si>
    <t>9763-20170724T160447.093926800.bin</t>
  </si>
  <si>
    <t>-595.838565587795 104.219540784001 -229.748543780812</t>
  </si>
  <si>
    <t>-631.685294870884 107.021160839542 -345.398814268621</t>
  </si>
  <si>
    <t>-641.650868449313 107.948302181208 -466.18945395021</t>
  </si>
  <si>
    <t>-639.926935596447 107.626726149769 -575.696489299591</t>
  </si>
  <si>
    <t>-627.598800846152 105.997610761082 -684.509222309157</t>
  </si>
  <si>
    <t>-599.51580925447 102.204541166516 -834.165327026674</t>
  </si>
  <si>
    <t>-546.760428435485 84.7176595311764 -919.570632263046</t>
  </si>
  <si>
    <t>-596.561444909979 131.623375585541 -765.764147624589</t>
  </si>
  <si>
    <t>-513.80049672767 248.133479841783 -731.169021490544</t>
  </si>
  <si>
    <t>-449.440693851735 210.245514213196 -423.584192271744</t>
  </si>
  <si>
    <t>-295.684636747296 47.4962768797645 -291.244367687727</t>
  </si>
  <si>
    <t>-627.321844170581 76.1423837659599 -770.130116957619</t>
  </si>
  <si>
    <t>-557.065485684657 193.935836541765 -239.182248229023</t>
  </si>
  <si>
    <t>-578.098748879054 189.657483008087 216.006788854413</t>
  </si>
  <si>
    <t>-623.842686926729 175.843058642331 683.3825730344</t>
  </si>
  <si>
    <t>-484.762748649189 105.379079144853 764.838779736578</t>
  </si>
  <si>
    <t>-634.503647257204 14.4828265949855 -219.630051403056</t>
  </si>
  <si>
    <t>-498.375712216032 -107.448665880073 197.814000619318</t>
  </si>
  <si>
    <t>-499.085078324361 -25.6799383116409 660.433877840572</t>
  </si>
  <si>
    <t>-489.497802688958 -176.635441631303 750.233703808516</t>
  </si>
  <si>
    <t>9763-20170724T160447.125009400.bin</t>
  </si>
  <si>
    <t>-595.781153750004 104.042542478754 -229.755575832273</t>
  </si>
  <si>
    <t>-631.591937569934 106.883313570154 -345.416060972729</t>
  </si>
  <si>
    <t>-641.490320366903 107.829328118383 -466.212075007709</t>
  </si>
  <si>
    <t>-639.693931758013 107.514776948031 -575.717903836067</t>
  </si>
  <si>
    <t>-627.282536525352 105.881874428479 -684.521113423987</t>
  </si>
  <si>
    <t>-599.073788756204 102.07146529256 -834.153087411034</t>
  </si>
  <si>
    <t>-546.291772759807 84.5202880181046 -919.528796813459</t>
  </si>
  <si>
    <t>-596.140527480215 131.477391232105 -765.745479519973</t>
  </si>
  <si>
    <t>-513.258051909145 247.898171923046 -731.076666950282</t>
  </si>
  <si>
    <t>-449.696572664885 209.687722065428 -423.365533534796</t>
  </si>
  <si>
    <t>-298.978942252544 42.6066843569531 -292.94255231954</t>
  </si>
  <si>
    <t>-626.970050141445 76.037511164792 -770.145836218195</t>
  </si>
  <si>
    <t>-556.916446734989 193.70647508302 -239.177336097246</t>
  </si>
  <si>
    <t>-578.021157296045 189.537529593259 216.009266291112</t>
  </si>
  <si>
    <t>-623.833576114583 175.832049781409 683.366754424797</t>
  </si>
  <si>
    <t>-484.768306524655 105.362463964292 764.843152853558</t>
  </si>
  <si>
    <t>-634.556285669139 14.3682847809725 -219.635068179653</t>
  </si>
  <si>
    <t>-498.45466380032 -107.503038907911 197.8351310206</t>
  </si>
  <si>
    <t>-499.069795693477 -25.6770888134815 660.437168789474</t>
  </si>
  <si>
    <t>-489.521132193865 -176.628201564758 750.248637448842</t>
  </si>
  <si>
    <t>9763-20170724T160447.194739100.bin</t>
  </si>
  <si>
    <t>-595.542934633827 103.816051102658 -229.81573469861</t>
  </si>
  <si>
    <t>-631.32463202178 106.794625103815 -345.481638803984</t>
  </si>
  <si>
    <t>-641.081916920103 107.805072946434 -466.288798992176</t>
  </si>
  <si>
    <t>-639.113838137238 107.520274074608 -575.791701108457</t>
  </si>
  <si>
    <t>-626.488311735129 105.890620418699 -684.570338637317</t>
  </si>
  <si>
    <t>-597.940262114766 102.058880926934 -834.137406907827</t>
  </si>
  <si>
    <t>-545.042822905482 84.3797231977235 -919.415180640578</t>
  </si>
  <si>
    <t>-595.102965050195 131.440532233991 -765.715345612359</t>
  </si>
  <si>
    <t>-512.030364206738 247.674634870221 -730.893937920566</t>
  </si>
  <si>
    <t>-450.084350723682 210.288868871666 -422.752454242027</t>
  </si>
  <si>
    <t>-303.512476736372 36.5531770020154 -296.361541273247</t>
  </si>
  <si>
    <t>-626.040809688809 76.0680802378588 -770.201900318086</t>
  </si>
  <si>
    <t>-556.410695042385 193.421006972666 -239.199707709281</t>
  </si>
  <si>
    <t>-577.758571352771 189.426079664461 215.977153582659</t>
  </si>
  <si>
    <t>-623.707449595243 176.070610360727 683.355859101502</t>
  </si>
  <si>
    <t>-484.892698428328 105.143272208548 764.862233500508</t>
  </si>
  <si>
    <t>-634.582580136013 14.2185845751433 -219.718954032596</t>
  </si>
  <si>
    <t>-498.590806668833 -107.64697526276 197.788848106372</t>
  </si>
  <si>
    <t>-498.954015963879 -25.7013986152526 660.383668157408</t>
  </si>
  <si>
    <t>-489.721884537019 -176.621821327842 750.279592893083</t>
  </si>
  <si>
    <t>9763-20170724T160447.228818500.bin</t>
  </si>
  <si>
    <t>-595.470200261261 103.673505762891 -229.835200625194</t>
  </si>
  <si>
    <t>-631.226533930048 106.687190201366 -345.50810191485</t>
  </si>
  <si>
    <t>-640.888565175415 107.694378409781 -466.322787267476</t>
  </si>
  <si>
    <t>-638.806668297936 107.392276176398 -575.823623723556</t>
  </si>
  <si>
    <t>-626.04096058483 105.731884061104 -684.585393981935</t>
  </si>
  <si>
    <t>-597.272021685973 101.844792607025 -834.108857313817</t>
  </si>
  <si>
    <t>-544.279552383842 84.1056641732951 -919.315056739834</t>
  </si>
  <si>
    <t>-594.514509020828 131.239654683988 -765.689095722915</t>
  </si>
  <si>
    <t>-511.417759193223 247.43210254843 -730.77526819661</t>
  </si>
  <si>
    <t>-450.033747761977 210.41964896468 -422.476276218805</t>
  </si>
  <si>
    <t>-305.698604375561 33.1849400135718 -298.390457928915</t>
  </si>
  <si>
    <t>-625.48824043087 75.8897959650787 -770.209647456778</t>
  </si>
  <si>
    <t>-556.243594007109 193.210364185024 -239.211522863946</t>
  </si>
  <si>
    <t>-577.620196301815 189.232852970171 215.964206483601</t>
  </si>
  <si>
    <t>-623.770491771693 175.947241678201 683.350711163571</t>
  </si>
  <si>
    <t>-484.856540891492 105.208513725219 764.851967280815</t>
  </si>
  <si>
    <t>-634.582797818895 14.1327579910976 -219.737377644657</t>
  </si>
  <si>
    <t>-498.708349969487 -107.762298302393 197.799985900442</t>
  </si>
  <si>
    <t>-498.889007819592 -25.7188792262086 660.364076538658</t>
  </si>
  <si>
    <t>-489.843147284756 -176.620216449738 750.311167151364</t>
  </si>
  <si>
    <t>9763-20170724T160447.294020600.bin</t>
  </si>
  <si>
    <t>-595.400003798055 103.280884113332 -229.905165014259</t>
  </si>
  <si>
    <t>-631.079107731232 106.396237877732 -345.599130425505</t>
  </si>
  <si>
    <t>-640.526090049498 107.446209902244 -466.430438524498</t>
  </si>
  <si>
    <t>-638.195759501947 107.15872085038 -575.926261775506</t>
  </si>
  <si>
    <t>-625.130115343041 105.489698195858 -684.652361750469</t>
  </si>
  <si>
    <t>-595.894680709084 101.566528853526 -834.084336344688</t>
  </si>
  <si>
    <t>-542.649043109817 83.7567737696882 -919.117807280218</t>
  </si>
  <si>
    <t>-593.337457430802 130.970077501217 -765.660598371177</t>
  </si>
  <si>
    <t>-510.216023307077 247.101502307767 -730.558839951239</t>
  </si>
  <si>
    <t>-449.582468264119 210.041105382229 -422.116993569186</t>
  </si>
  <si>
    <t>-309.390014577994 26.6079055377352 -302.365644338211</t>
  </si>
  <si>
    <t>-624.323518362804 75.6346668673539 -770.270142055479</t>
  </si>
  <si>
    <t>-556.129895224886 192.776826314691 -239.235946179727</t>
  </si>
  <si>
    <t>-577.488975294071 188.974104252578 215.942112597379</t>
  </si>
  <si>
    <t>-623.73714281623 175.903512171185 683.280550143817</t>
  </si>
  <si>
    <t>-484.87445548916 105.144153799572 764.851201535928</t>
  </si>
  <si>
    <t>-634.559986474562 13.7743486181812 -219.88105198432</t>
  </si>
  <si>
    <t>-498.935479230186 -108.034957601032 197.762529401074</t>
  </si>
  <si>
    <t>-498.883504819659 -25.7698938871597 660.285284243253</t>
  </si>
  <si>
    <t>-489.959133999763 -176.60935396795 750.348195749083</t>
  </si>
  <si>
    <t>9763-20170724T160447.327108100.bin</t>
  </si>
  <si>
    <t>-595.405008218135 103.135951258025 -229.96920146931</t>
  </si>
  <si>
    <t>-631.019003504546 106.277537549034 -345.682515697778</t>
  </si>
  <si>
    <t>-640.331808423422 107.31719535202 -466.524369552727</t>
  </si>
  <si>
    <t>-637.853636189346 107.004256579527 -576.016917880708</t>
  </si>
  <si>
    <t>-624.615569085012 105.292927978785 -684.721496647787</t>
  </si>
  <si>
    <t>-595.117057009076 101.293071567818 -834.099701139904</t>
  </si>
  <si>
    <t>-541.72221157091 83.4262247482623 -919.027639894684</t>
  </si>
  <si>
    <t>-592.673772780313 130.727962479649 -765.685331646773</t>
  </si>
  <si>
    <t>-509.616787669896 246.865733109405 -730.546165779177</t>
  </si>
  <si>
    <t>-449.08828193461 209.681345453869 -422.098721457106</t>
  </si>
  <si>
    <t>-310.487153839931 23.3689808070681 -304.968479597445</t>
  </si>
  <si>
    <t>-623.664703373897 75.3977841837086 -770.323667659452</t>
  </si>
  <si>
    <t>-556.128763207409 192.651358666473 -239.26890514444</t>
  </si>
  <si>
    <t>-577.541550908526 188.925888137983 215.907128440962</t>
  </si>
  <si>
    <t>-623.704021999999 175.93317670078 683.269123240751</t>
  </si>
  <si>
    <t>-484.901483265043 105.086014679527 764.866001008676</t>
  </si>
  <si>
    <t>-634.572148710149 13.6189705467957 -219.98123768447</t>
  </si>
  <si>
    <t>-499.013205289269 -108.023373189854 197.732279081183</t>
  </si>
  <si>
    <t>-498.900285265682 -25.7703101938364 660.274334637074</t>
  </si>
  <si>
    <t>-489.953541601788 -176.598437768479 750.353881087884</t>
  </si>
  <si>
    <t>9763-20170724T160447.394537000.bin</t>
  </si>
  <si>
    <t>-595.465485744053 102.9683365576 -230.008325600002</t>
  </si>
  <si>
    <t>-630.954357441928 106.100085395566 -345.760471251996</t>
  </si>
  <si>
    <t>-639.992478879619 107.084836291828 -466.623656213896</t>
  </si>
  <si>
    <t>-637.207957528023 106.702913527489 -576.108486269166</t>
  </si>
  <si>
    <t>-623.609110406717 104.902891987338 -684.767058698529</t>
  </si>
  <si>
    <t>-593.556869457726 100.759142624338 -834.030976171282</t>
  </si>
  <si>
    <t>-539.871428001905 82.8382285416942 -918.764073178075</t>
  </si>
  <si>
    <t>-591.361999200851 130.257007225822 -765.635244029476</t>
  </si>
  <si>
    <t>-508.339488934573 246.358993202301 -730.275417849701</t>
  </si>
  <si>
    <t>-448.155484968878 208.813208486144 -421.804180934554</t>
  </si>
  <si>
    <t>-311.008166474742 19.9143902771887 -307.13105645404</t>
  </si>
  <si>
    <t>-622.346126095853 74.9282243808966 -770.337508230092</t>
  </si>
  <si>
    <t>-556.143892245119 192.425209217953 -239.289124640581</t>
  </si>
  <si>
    <t>-577.6560569772 188.903463926697 215.883880777629</t>
  </si>
  <si>
    <t>-623.711555890715 175.837965653982 683.243746592514</t>
  </si>
  <si>
    <t>-484.820586552827 105.217586529667 764.886687537348</t>
  </si>
  <si>
    <t>-634.68717194584 13.4996173483585 -220.026781620396</t>
  </si>
  <si>
    <t>-499.160029745652 -108.002596477273 197.737879735493</t>
  </si>
  <si>
    <t>-498.90557051366 -25.6988263003184 660.298798824049</t>
  </si>
  <si>
    <t>-489.913451791373 -176.563447216837 750.31284117234</t>
  </si>
  <si>
    <t>9763-20170724T160447.428628400.bin</t>
  </si>
  <si>
    <t>-595.43096496061 102.925173208117 -230.019963158094</t>
  </si>
  <si>
    <t>-630.848008020859 106.059736898247 -345.793869839428</t>
  </si>
  <si>
    <t>-639.770364630263 107.023224856379 -466.665834625973</t>
  </si>
  <si>
    <t>-636.864643397541 106.613901627903 -576.147633017138</t>
  </si>
  <si>
    <t>-623.129375840554 104.779330246178 -684.788380630513</t>
  </si>
  <si>
    <t>-592.872930306045 100.581391809199 -834.00948254153</t>
  </si>
  <si>
    <t>-539.07596163191 82.6341081624821 -918.666170730903</t>
  </si>
  <si>
    <t>-590.77092958267 130.103760024561 -765.621244531499</t>
  </si>
  <si>
    <t>-507.773050768655 246.203212462422 -730.172891927503</t>
  </si>
  <si>
    <t>-447.985649920405 208.186796615418 -421.682416630169</t>
  </si>
  <si>
    <t>-310.098812784205 20.892343808594 -305.27762492071</t>
  </si>
  <si>
    <t>-621.749975823123 74.7739761311143 -770.34614315822</t>
  </si>
  <si>
    <t>-556.012312013671 192.357832792527 -239.281936536628</t>
  </si>
  <si>
    <t>-577.633247624479 188.979305544026 215.887035906163</t>
  </si>
  <si>
    <t>-623.665508200118 175.931065369432 683.250945106477</t>
  </si>
  <si>
    <t>-484.87374558818 105.12276367994 764.899842105021</t>
  </si>
  <si>
    <t>-634.763088298447 13.451726355232 -220.045318942157</t>
  </si>
  <si>
    <t>-499.16639268953 -107.994312454341 197.713035975404</t>
  </si>
  <si>
    <t>-498.935465639865 -25.6787569931371 660.284386305823</t>
  </si>
  <si>
    <t>-489.872325550571 -176.551624703468 750.27751950537</t>
  </si>
  <si>
    <t>9763-20170724T160447.493359800.bin</t>
  </si>
  <si>
    <t>-595.235243751993 102.82896092604 -230.011196732436</t>
  </si>
  <si>
    <t>-630.581764368094 105.966328758204 -345.806635268276</t>
  </si>
  <si>
    <t>-639.396462450901 106.915843771819 -466.686663684223</t>
  </si>
  <si>
    <t>-636.379259894517 106.489322495276 -576.165217703122</t>
  </si>
  <si>
    <t>-622.519639306265 104.634012715026 -684.789888720667</t>
  </si>
  <si>
    <t>-592.078033501625 100.404893040786 -833.972469808139</t>
  </si>
  <si>
    <t>-538.153583921033 82.4178204223545 -918.53953911667</t>
  </si>
  <si>
    <t>-590.07279961449 129.94839869548 -765.590530123447</t>
  </si>
  <si>
    <t>-507.242307938226 246.138084085291 -730.016838949087</t>
  </si>
  <si>
    <t>-448.041127621706 207.355331532084 -421.508553386527</t>
  </si>
  <si>
    <t>-306.981270897346 26.2082860034245 -299.320526868313</t>
  </si>
  <si>
    <t>-621.022226849202 74.6038527409285 -770.336996315343</t>
  </si>
  <si>
    <t>-555.821102494521 192.236697294341 -239.244119092374</t>
  </si>
  <si>
    <t>-577.653221030299 188.919809745213 215.915210837028</t>
  </si>
  <si>
    <t>-623.751459235955 175.850148702488 683.306369349059</t>
  </si>
  <si>
    <t>-484.800864699052 105.272158822629 764.884516314002</t>
  </si>
  <si>
    <t>-634.553300611816 13.4201797102241 -220.075215922071</t>
  </si>
  <si>
    <t>-499.124718776271 -108.073777734544 197.723782925733</t>
  </si>
  <si>
    <t>-498.938684683075 -25.6590757232175 660.253854850341</t>
  </si>
  <si>
    <t>-489.852375748228 -176.537088665925 750.235956862572</t>
  </si>
  <si>
    <t>9763-20170724T160447.529455500.bin</t>
  </si>
  <si>
    <t>-595.068667670802 102.801966632421 -229.994182442986</t>
  </si>
  <si>
    <t>-630.383507600448 105.920272951001 -345.799853867913</t>
  </si>
  <si>
    <t>-639.17716729332 106.838106871686 -466.681554548205</t>
  </si>
  <si>
    <t>-636.146025007539 106.377989741746 -576.159653325743</t>
  </si>
  <si>
    <t>-622.277492944833 104.484603336492 -684.782484386286</t>
  </si>
  <si>
    <t>-591.829156963686 100.197645839062 -833.961933795401</t>
  </si>
  <si>
    <t>-537.88306492081 82.1666566627237 -918.505961549581</t>
  </si>
  <si>
    <t>-589.839003373246 129.774491641715 -765.594087545289</t>
  </si>
  <si>
    <t>-507.137318837712 246.060719346512 -730.031325725068</t>
  </si>
  <si>
    <t>-447.8617505059 207.234807384915 -421.542790840449</t>
  </si>
  <si>
    <t>-303.041451999498 32.983367037953 -293.849551371587</t>
  </si>
  <si>
    <t>-620.764170830717 74.4145328110887 -770.315244947089</t>
  </si>
  <si>
    <t>-555.660099814742 192.249534434372 -239.212487601606</t>
  </si>
  <si>
    <t>-577.570511002021 188.965403842815 215.943341335925</t>
  </si>
  <si>
    <t>-623.712053731652 175.968417671228 683.326106178033</t>
  </si>
  <si>
    <t>-484.860252436725 105.165376238214 764.877451694235</t>
  </si>
  <si>
    <t>-634.355761587754 13.3527540730167 -220.086214931113</t>
  </si>
  <si>
    <t>-499.012765777523 -108.12397218472 197.745532599518</t>
  </si>
  <si>
    <t>-498.914970560029 -25.6447812801287 660.263490293778</t>
  </si>
  <si>
    <t>-489.842782193158 -176.52863788593 750.237232782535</t>
  </si>
  <si>
    <t>9763-20170724T160447.593176300.bin</t>
  </si>
  <si>
    <t>-594.641345779968 102.687168442998 -229.944365804378</t>
  </si>
  <si>
    <t>-629.92695036389 105.764107637519 -345.760067777021</t>
  </si>
  <si>
    <t>-638.678715568562 106.60868824778 -466.645353876744</t>
  </si>
  <si>
    <t>-635.605366795622 106.070077832618 -576.121911628868</t>
  </si>
  <si>
    <t>-621.691086736995 104.086162017351 -684.737289070262</t>
  </si>
  <si>
    <t>-591.176053564094 99.6614583084981 -833.89921189921</t>
  </si>
  <si>
    <t>-537.180731669525 81.5881577810185 -918.402751902443</t>
  </si>
  <si>
    <t>-589.261381566268 129.327295469693 -765.567677139391</t>
  </si>
  <si>
    <t>-506.692940996018 245.73141605309 -730.078767607398</t>
  </si>
  <si>
    <t>-446.56914526051 207.249613608434 -421.711355551244</t>
  </si>
  <si>
    <t>-292.174718888477 44.8025851435864 -289.743932907736</t>
  </si>
  <si>
    <t>-620.09468507913 73.9111503151532 -770.231659363223</t>
  </si>
  <si>
    <t>-555.379540461026 192.107490698266 -239.146064559713</t>
  </si>
  <si>
    <t>-577.409237157272 188.835483500782 216.004045329393</t>
  </si>
  <si>
    <t>-623.784411376046 175.884140462743 683.352539444544</t>
  </si>
  <si>
    <t>-484.834166983562 105.230352682159 764.865616672246</t>
  </si>
  <si>
    <t>-633.777580808342 13.2273675441916 -220.053384944847</t>
  </si>
  <si>
    <t>-498.471420237972 -108.360899694084 197.757875339408</t>
  </si>
  <si>
    <t>-498.863382108236 -25.643552546112 660.220368073896</t>
  </si>
  <si>
    <t>-489.816867332498 -176.514176734893 750.218945225443</t>
  </si>
  <si>
    <t>9763-20170724T160447.624257400.bin</t>
  </si>
  <si>
    <t>-594.336154949299 102.649397479362 -229.951603142147</t>
  </si>
  <si>
    <t>-629.601685083449 105.692308607689 -345.774323463455</t>
  </si>
  <si>
    <t>-638.352537242775 106.461427036947 -466.660120710947</t>
  </si>
  <si>
    <t>-635.286826210223 105.837976312365 -576.136539703229</t>
  </si>
  <si>
    <t>-621.389077286003 103.752430878312 -684.752157393902</t>
  </si>
  <si>
    <t>-590.906355790039 99.1691505248982 -833.915799930776</t>
  </si>
  <si>
    <t>-536.906326783223 81.0486746310849 -918.406256822676</t>
  </si>
  <si>
    <t>-588.998061990238 128.919863080995 -765.621058108001</t>
  </si>
  <si>
    <t>-506.5338054976 245.423489637258 -730.259349684468</t>
  </si>
  <si>
    <t>-445.95623099074 207.277710928068 -421.938966921911</t>
  </si>
  <si>
    <t>-286.89000904405 50.8349674470849 -288.276495601102</t>
  </si>
  <si>
    <t>-619.78993082124 73.4743956606287 -770.20989784142</t>
  </si>
  <si>
    <t>-555.140031765666 192.12621920358 -239.135097443566</t>
  </si>
  <si>
    <t>-577.211931615264 188.858808857031 216.01313710834</t>
  </si>
  <si>
    <t>-623.684864841438 176.062662656861 683.336906236079</t>
  </si>
  <si>
    <t>-484.891761672257 105.123472497662 764.86983076581</t>
  </si>
  <si>
    <t>-633.386263181242 13.1312491192243 -220.085666158624</t>
  </si>
  <si>
    <t>-498.095894738012 -108.365541103273 197.757268242322</t>
  </si>
  <si>
    <t>-498.852120352399 -25.637511633056 660.220514357238</t>
  </si>
  <si>
    <t>-489.753029875584 -176.506175539775 750.21688198496</t>
  </si>
  <si>
    <t>9763-20170724T160447.693968100.bin</t>
  </si>
  <si>
    <t>-593.781287630308 102.591875431943 -229.948816544485</t>
  </si>
  <si>
    <t>-629.007786777519 105.546325848332 -345.785647285475</t>
  </si>
  <si>
    <t>-637.756742579991 106.204589738411 -466.672347846124</t>
  </si>
  <si>
    <t>-634.705151025388 105.472271181818 -576.148425931549</t>
  </si>
  <si>
    <t>-620.837468630128 103.269116013147 -684.765497881084</t>
  </si>
  <si>
    <t>-590.413239096582 98.5128940725069 -833.935703699824</t>
  </si>
  <si>
    <t>-536.448211205546 80.3332678339582 -918.435711691469</t>
  </si>
  <si>
    <t>-588.528445115851 128.37150846843 -765.687370980093</t>
  </si>
  <si>
    <t>-506.207618821169 244.998244800719 -730.452068529207</t>
  </si>
  <si>
    <t>-445.086103238121 207.402988112775 -422.171462742679</t>
  </si>
  <si>
    <t>-274.804660314304 63.8424397548779 -287.870880371001</t>
  </si>
  <si>
    <t>-619.221629260269 72.8631872463916 -770.177691688452</t>
  </si>
  <si>
    <t>-554.83047668516 192.103944452491 -239.117879528775</t>
  </si>
  <si>
    <t>-577.009044650165 188.71119573805 216.0241908547</t>
  </si>
  <si>
    <t>-623.779305709814 175.900014341277 683.348078999075</t>
  </si>
  <si>
    <t>-484.778530188772 105.349044509327 764.864107355584</t>
  </si>
  <si>
    <t>-632.645092014324 13.0778153389483 -220.087351112524</t>
  </si>
  <si>
    <t>-497.365469716277 -108.336399575285 197.78302205575</t>
  </si>
  <si>
    <t>-498.803114706862 -25.6110607425242 660.248251000635</t>
  </si>
  <si>
    <t>-489.619014695395 -176.488128922344 750.222010367513</t>
  </si>
  <si>
    <t>9763-20170724T160447.726048900.bin</t>
  </si>
  <si>
    <t>-593.502502375151 102.655656546382 -229.946430740217</t>
  </si>
  <si>
    <t>-628.695671254406 105.566050926426 -345.794469103806</t>
  </si>
  <si>
    <t>-637.429462433622 106.185780148568 -466.682469373947</t>
  </si>
  <si>
    <t>-634.371895015106 105.422061592075 -576.158111908758</t>
  </si>
  <si>
    <t>-620.505958353668 103.191401179759 -684.774940118985</t>
  </si>
  <si>
    <t>-590.091859545035 98.401563758709 -833.94604839675</t>
  </si>
  <si>
    <t>-536.142168000163 80.1983565778496 -918.450809531252</t>
  </si>
  <si>
    <t>-588.237362168915 128.295539719792 -765.712304212609</t>
  </si>
  <si>
    <t>-506.025496949862 245.04202668332 -730.532687645351</t>
  </si>
  <si>
    <t>-444.527612641112 207.509823975904 -422.319188118932</t>
  </si>
  <si>
    <t>-266.050997072478 72.4744258761366 -289.829218561761</t>
  </si>
  <si>
    <t>-618.860957319122 72.7462899284676 -770.172412456077</t>
  </si>
  <si>
    <t>-554.630538545388 192.237794933646 -239.093922723985</t>
  </si>
  <si>
    <t>-576.893738726598 188.791655895078 216.04361125105</t>
  </si>
  <si>
    <t>-623.763827251486 175.935306177218 683.344813329128</t>
  </si>
  <si>
    <t>-484.733852651069 105.438424823205 764.857786982209</t>
  </si>
  <si>
    <t>-632.24226338794 13.0833734605656 -220.10767168715</t>
  </si>
  <si>
    <t>-496.974425704835 -108.275019472175 197.782765686398</t>
  </si>
  <si>
    <t>-498.811649953111 -25.5977157387811 660.263160108993</t>
  </si>
  <si>
    <t>-489.517443947023 -176.477004801967 750.221900922192</t>
  </si>
  <si>
    <t>9763-20170724T160447.796759200.bin</t>
  </si>
  <si>
    <t>-593.03874569891 102.736003843278 -229.950362897723</t>
  </si>
  <si>
    <t>-628.187291355773 105.555556848237 -345.814298415969</t>
  </si>
  <si>
    <t>-636.944469567335 106.084246102063 -466.700969534984</t>
  </si>
  <si>
    <t>-633.935965270741 105.2404776413 -576.177464190823</t>
  </si>
  <si>
    <t>-620.146672213698 102.932522012374 -684.80243417731</t>
  </si>
  <si>
    <t>-589.866291681366 98.0393147820789 -833.997502717502</t>
  </si>
  <si>
    <t>-535.985363985124 79.7980401551424 -918.537907552053</t>
  </si>
  <si>
    <t>-588.021950999291 128.020923487223 -765.802075108431</t>
  </si>
  <si>
    <t>-506.144341943932 245.035417323601 -730.815621462299</t>
  </si>
  <si>
    <t>-443.750637263773 208.096735848645 -422.710470036112</t>
  </si>
  <si>
    <t>-246.354578598835 90.1365983497699 -301.210506196656</t>
  </si>
  <si>
    <t>-618.506940641288 72.3878318945522 -770.164546895922</t>
  </si>
  <si>
    <t>-554.39895135814 192.399790126223 -239.073286154343</t>
  </si>
  <si>
    <t>-576.786744278235 188.87080358195 216.057489415609</t>
  </si>
  <si>
    <t>-623.807206235973 175.879621052817 683.343557244665</t>
  </si>
  <si>
    <t>-484.63906635886 105.640070006308 764.84288771004</t>
  </si>
  <si>
    <t>-631.58523065465 13.0479643808114 -220.125367103915</t>
  </si>
  <si>
    <t>-496.26855637325 -108.056618722818 197.822840112904</t>
  </si>
  <si>
    <t>-498.82711553389 -25.5481772961093 660.331378436719</t>
  </si>
  <si>
    <t>-489.29766250276 -176.449164611563 750.228978399105</t>
  </si>
  <si>
    <t>9763-20170724T160447.826838200.bin</t>
  </si>
  <si>
    <t>-592.824307526725 102.812870154876 -229.94067211442</t>
  </si>
  <si>
    <t>-627.936622040144 105.577925017604 -345.816883515793</t>
  </si>
  <si>
    <t>-636.678877985873 106.045034611142 -466.704894202422</t>
  </si>
  <si>
    <t>-633.665904145386 105.145499799837 -576.180794561353</t>
  </si>
  <si>
    <t>-619.880881891859 102.783357625254 -684.805025589211</t>
  </si>
  <si>
    <t>-589.615577315546 97.8173690101189 -834.000845112936</t>
  </si>
  <si>
    <t>-535.731609147885 79.5897372622321 -918.542300147665</t>
  </si>
  <si>
    <t>-587.813089781623 127.859648413358 -765.830972018937</t>
  </si>
  <si>
    <t>-506.138505344034 245.070480056277 -730.943749771521</t>
  </si>
  <si>
    <t>-442.93820102516 208.891814529428 -422.912949543881</t>
  </si>
  <si>
    <t>-240.269075230026 95.0272957462698 -306.284758802946</t>
  </si>
  <si>
    <t>-618.201060369477 72.1695935335135 -770.141683583212</t>
  </si>
  <si>
    <t>-554.280001300615 192.537973780768 -239.066704008188</t>
  </si>
  <si>
    <t>-576.678140104375 188.928725212395 216.062849192051</t>
  </si>
  <si>
    <t>-623.791185372886 175.909241015097 683.340953263593</t>
  </si>
  <si>
    <t>-484.704570163701 105.520073426929 764.85039017152</t>
  </si>
  <si>
    <t>-631.229416100038 13.0932040728605 -220.111597058051</t>
  </si>
  <si>
    <t>-495.954039432059 -107.972523797168 197.861235436662</t>
  </si>
  <si>
    <t>-498.845192895215 -25.4981311763495 660.389145144377</t>
  </si>
  <si>
    <t>-489.181671943276 -176.429289261284 750.221882032296</t>
  </si>
  <si>
    <t>9763-20170724T160447.894756900.bin</t>
  </si>
  <si>
    <t>-592.542619484657 102.901415709072 -229.864706150695</t>
  </si>
  <si>
    <t>-627.637608428573 105.53515639248 -345.7493135859</t>
  </si>
  <si>
    <t>-636.419509818477 105.874400073861 -466.634894553141</t>
  </si>
  <si>
    <t>-633.465377337065 104.863673583991 -576.111400385956</t>
  </si>
  <si>
    <t>-619.761528573128 102.395872987938 -684.743533402048</t>
  </si>
  <si>
    <t>-589.631246827862 97.2897882614639 -833.96188230913</t>
  </si>
  <si>
    <t>-535.744017613229 79.0841293080443 -918.505942595855</t>
  </si>
  <si>
    <t>-587.852071773814 127.443670229334 -765.840714467988</t>
  </si>
  <si>
    <t>-506.562736751422 244.93287712451 -731.118490933465</t>
  </si>
  <si>
    <t>-441.091051819519 211.59185867437 -423.241829751874</t>
  </si>
  <si>
    <t>-228.359020697266 103.326353411141 -319.967011267959</t>
  </si>
  <si>
    <t>-618.073935562366 71.654369617117 -770.034214604398</t>
  </si>
  <si>
    <t>-554.184089460113 192.757488657127 -239.00693170845</t>
  </si>
  <si>
    <t>-576.792961925131 189.094170469709 216.111817112078</t>
  </si>
  <si>
    <t>-623.850048800604 175.83666261351 683.362345438156</t>
  </si>
  <si>
    <t>-484.582445314553 105.776340222263 764.846048391766</t>
  </si>
  <si>
    <t>-630.853375358837 13.0299126355012 -219.995390277748</t>
  </si>
  <si>
    <t>-495.407103390869 -107.833587683159 197.980706905364</t>
  </si>
  <si>
    <t>-498.943269920855 -25.3869786007169 660.512009332811</t>
  </si>
  <si>
    <t>-488.824637115211 -176.384909279433 750.18221053262</t>
  </si>
  <si>
    <t>9763-20170724T160447.929851500.bin</t>
  </si>
  <si>
    <t>-592.382248298632 102.918062576143 -229.831251789848</t>
  </si>
  <si>
    <t>-627.456595088131 105.513321913025 -345.722849786907</t>
  </si>
  <si>
    <t>-636.240333332672 105.824964475596 -466.608425852646</t>
  </si>
  <si>
    <t>-633.297174379749 104.794424877373 -576.085042010762</t>
  </si>
  <si>
    <t>-619.613222279475 102.31240128386 -684.719431464655</t>
  </si>
  <si>
    <t>-589.519487776996 97.1925480997761 -833.944597702029</t>
  </si>
  <si>
    <t>-535.618603604516 79.0191927520846 -918.486991381293</t>
  </si>
  <si>
    <t>-587.754230615754 127.369784899644 -765.833410352061</t>
  </si>
  <si>
    <t>-506.515425807258 244.9314095921 -731.133059472264</t>
  </si>
  <si>
    <t>-440.293954483064 212.615031536747 -423.307367055874</t>
  </si>
  <si>
    <t>-224.039493929083 106.03701760862 -325.751426221109</t>
  </si>
  <si>
    <t>-617.915856853222 71.5460354330519 -770.000805785676</t>
  </si>
  <si>
    <t>-554.057439700349 192.833703830505 -238.981939368809</t>
  </si>
  <si>
    <t>-576.811665990186 189.194028694955 216.129704085482</t>
  </si>
  <si>
    <t>-623.833731871729 175.878410936618 683.361909200235</t>
  </si>
  <si>
    <t>-484.528948517143 105.894943941749 764.848146847405</t>
  </si>
  <si>
    <t>-630.613451178165 13.0124527246376 -219.966937602997</t>
  </si>
  <si>
    <t>-495.188443282878 -107.871598918975 198.010098849804</t>
  </si>
  <si>
    <t>-498.976790256653 -25.3548287311814 660.53575527751</t>
  </si>
  <si>
    <t>-488.714362125094 -176.375727587729 750.150871434696</t>
  </si>
  <si>
    <t>9763-20170724T160447.993952100.bin</t>
  </si>
  <si>
    <t>-591.966883286234 102.935599098528 -229.732687481462</t>
  </si>
  <si>
    <t>-627.045820830653 105.442476278118 -345.624899810537</t>
  </si>
  <si>
    <t>-635.852931914903 105.740468609917 -466.508715033282</t>
  </si>
  <si>
    <t>-632.93751870524 104.727651344116 -575.986260501497</t>
  </si>
  <si>
    <t>-619.287575655941 102.292230519161 -684.625975242238</t>
  </si>
  <si>
    <t>-589.246418979004 97.2668415693634 -833.864928106751</t>
  </si>
  <si>
    <t>-535.330950821984 79.1570098609072 -918.411703580779</t>
  </si>
  <si>
    <t>-587.482218653318 127.414928185988 -765.740774092153</t>
  </si>
  <si>
    <t>-506.324039166903 244.979407339348 -730.913417408809</t>
  </si>
  <si>
    <t>-440.502696488095 212.470710703213 -423.022375382227</t>
  </si>
  <si>
    <t>-217.542736679386 110.004339699964 -336.815991427172</t>
  </si>
  <si>
    <t>-617.59520981896 71.5658787696034 -769.921958168667</t>
  </si>
  <si>
    <t>-553.702177550094 192.870902551642 -238.939668784432</t>
  </si>
  <si>
    <t>-576.635002754762 189.239250808381 216.163113388526</t>
  </si>
  <si>
    <t>-623.86161406061 175.871408673224 683.38174813104</t>
  </si>
  <si>
    <t>-484.554466761662 105.881302108268 764.858201043183</t>
  </si>
  <si>
    <t>-630.125845596662 12.9778564859512 -219.824662216953</t>
  </si>
  <si>
    <t>-494.677353117387 -108.124982285801 198.081386746521</t>
  </si>
  <si>
    <t>-498.90922977254 -25.3026850840456 660.544950626964</t>
  </si>
  <si>
    <t>-488.633695704475 -176.361091398786 750.095352276234</t>
  </si>
  <si>
    <t>9763-20170724T160448.026037400.bin</t>
  </si>
  <si>
    <t>-591.675909351928 102.82275366121 -229.680964344939</t>
  </si>
  <si>
    <t>-626.771161965922 105.331123128982 -345.568000131052</t>
  </si>
  <si>
    <t>-635.603217929469 105.677917234165 -466.450057997134</t>
  </si>
  <si>
    <t>-632.712957771339 104.730157179762 -575.928801470074</t>
  </si>
  <si>
    <t>-619.08977821002 102.381939755137 -684.573741833838</t>
  </si>
  <si>
    <t>-589.086547366773 97.501731074341 -833.825176863722</t>
  </si>
  <si>
    <t>-535.187368736003 79.4436868200357 -918.393418184352</t>
  </si>
  <si>
    <t>-587.303245464178 127.582714116949 -765.67195049273</t>
  </si>
  <si>
    <t>-506.164210473972 245.16832617556 -730.784449805037</t>
  </si>
  <si>
    <t>-440.964130810437 212.092005334277 -422.821676726672</t>
  </si>
  <si>
    <t>-216.128257966049 111.295400726249 -339.569525137922</t>
  </si>
  <si>
    <t>-617.420768984262 71.7395417263156 -769.90028159606</t>
  </si>
  <si>
    <t>-553.405864662562 192.717392506417 -238.903939400733</t>
  </si>
  <si>
    <t>-576.48398954432 189.165559517355 216.192074677332</t>
  </si>
  <si>
    <t>-623.889687888943 175.837448334793 683.391713739328</t>
  </si>
  <si>
    <t>-484.523100111893 105.955623551892 764.859470596284</t>
  </si>
  <si>
    <t>-629.866843542102 12.8904326626305 -219.740675400062</t>
  </si>
  <si>
    <t>-494.405258108971 -108.389359583921 198.109855844609</t>
  </si>
  <si>
    <t>-498.827829996402 -25.2973624954604 660.520174680348</t>
  </si>
  <si>
    <t>-488.697332941299 -176.36664643468 750.068949321256</t>
  </si>
  <si>
    <t>9763-20170724T160448.100239800.bin</t>
  </si>
  <si>
    <t>-591.04202652818 102.41494697788 -229.697068118232</t>
  </si>
  <si>
    <t>-626.141010216659 104.963788701929 -345.582273562919</t>
  </si>
  <si>
    <t>-635.045349326507 105.372403435091 -466.458671970581</t>
  </si>
  <si>
    <t>-632.248144954391 104.488865301957 -575.940496707686</t>
  </si>
  <si>
    <t>-618.74430794801 102.213542709045 -684.601862368909</t>
  </si>
  <si>
    <t>-588.932583777318 97.4436701039861 -833.895239343766</t>
  </si>
  <si>
    <t>-535.138565190947 79.3833290229027 -918.529882026414</t>
  </si>
  <si>
    <t>-587.001567327377 127.440722877402 -765.708959939109</t>
  </si>
  <si>
    <t>-505.870277290388 245.083224128925 -731.015501464222</t>
  </si>
  <si>
    <t>-442.388107945481 211.384139011447 -422.761481002377</t>
  </si>
  <si>
    <t>-214.845792840189 113.547537739062 -343.423455570735</t>
  </si>
  <si>
    <t>-617.245023219387 71.6677969609348 -769.966250444797</t>
  </si>
  <si>
    <t>-552.693224941738 192.140561160964 -238.920807040606</t>
  </si>
  <si>
    <t>-576.231052895461 188.776815741607 216.153200932155</t>
  </si>
  <si>
    <t>-623.914339652335 175.774486423059 683.368438856189</t>
  </si>
  <si>
    <t>-484.504653406505 106.002802997206 764.856925908733</t>
  </si>
  <si>
    <t>-629.286437865188 12.6409706635518 -219.766106961903</t>
  </si>
  <si>
    <t>-494.172251733894 -109.067225576007 198.072383203475</t>
  </si>
  <si>
    <t>-498.543030696515 -25.3598668538355 660.369285724856</t>
  </si>
  <si>
    <t>-489.047068596524 -176.392792476621 750.048731503859</t>
  </si>
  <si>
    <t>9763-20170724T160448.127312300.bin</t>
  </si>
  <si>
    <t>-590.757852755148 102.160123050804 -229.735720851444</t>
  </si>
  <si>
    <t>-625.832078228231 104.717339166497 -345.628227086025</t>
  </si>
  <si>
    <t>-634.750534687427 105.125869115393 -466.503519222943</t>
  </si>
  <si>
    <t>-631.982190835768 104.238075669682 -575.985942156586</t>
  </si>
  <si>
    <t>-618.523398771526 101.953448015811 -684.652837548351</t>
  </si>
  <si>
    <t>-588.790736233836 97.1647606515573 -833.961441959006</t>
  </si>
  <si>
    <t>-535.061053528935 79.0793834555345 -918.631468102441</t>
  </si>
  <si>
    <t>-586.78904184283 127.150819779251 -765.772476591292</t>
  </si>
  <si>
    <t>-505.600883915495 244.799601661308 -731.239627508639</t>
  </si>
  <si>
    <t>-443.29421674685 210.958997106353 -422.761348800643</t>
  </si>
  <si>
    <t>-215.976851898646 114.040215579745 -341.671129496017</t>
  </si>
  <si>
    <t>-617.10406181695 71.4163141959889 -770.02172879424</t>
  </si>
  <si>
    <t>-552.386401408092 191.813221806265 -238.970088161126</t>
  </si>
  <si>
    <t>-576.059264441561 188.471355376081 216.097046762744</t>
  </si>
  <si>
    <t>-623.877433053529 175.780987430093 683.313605014091</t>
  </si>
  <si>
    <t>-484.501295785345 106.001022839941 764.852297930902</t>
  </si>
  <si>
    <t>-629.028551481815 12.4411200610139 -219.827603411359</t>
  </si>
  <si>
    <t>-494.153553820964 -109.420023584322 198.043504810334</t>
  </si>
  <si>
    <t>-498.379425031925 -25.4235752245322 660.269929803837</t>
  </si>
  <si>
    <t>-489.250781800066 -176.409834200662 750.065879904144</t>
  </si>
  <si>
    <t>9763-20170724T160448.191486600.bin</t>
  </si>
  <si>
    <t>-590.312458245543 101.653401445744 -229.845516908476</t>
  </si>
  <si>
    <t>-625.331314975713 104.209629791715 -345.754656580188</t>
  </si>
  <si>
    <t>-634.276166074394 104.576143884806 -466.628245085565</t>
  </si>
  <si>
    <t>-631.567033123159 103.626646751982 -576.111613423337</t>
  </si>
  <si>
    <t>-618.202979689657 101.252849374712 -684.788294227721</t>
  </si>
  <si>
    <t>-588.639222508259 96.3074849280536 -834.125292354931</t>
  </si>
  <si>
    <t>-535.02795908359 78.114480544614 -918.847322355562</t>
  </si>
  <si>
    <t>-586.463808305131 126.310730867979 -765.949047995148</t>
  </si>
  <si>
    <t>-505.195324062017 243.983573195915 -731.734820471695</t>
  </si>
  <si>
    <t>-445.578109301834 210.773054455427 -422.65708913462</t>
  </si>
  <si>
    <t>-218.333579354703 115.532211864044 -339.403215961626</t>
  </si>
  <si>
    <t>-616.976776625404 70.6805237077679 -770.147378525288</t>
  </si>
  <si>
    <t>-551.8453365414 191.081592516932 -239.084273376821</t>
  </si>
  <si>
    <t>-575.579130789525 187.740162658201 215.979726187209</t>
  </si>
  <si>
    <t>-623.750684586014 175.904823902198 683.197885207525</t>
  </si>
  <si>
    <t>-484.530464673066 105.940953267189 764.845232464646</t>
  </si>
  <si>
    <t>-628.650559398941 12.21113304547 -219.894760216188</t>
  </si>
  <si>
    <t>-494.124999068415 -110.253179244172 197.912746650456</t>
  </si>
  <si>
    <t>-498.183048077729 -25.5884945809935 660.046770776781</t>
  </si>
  <si>
    <t>-489.576775919492 -176.447724660402 750.107561414327</t>
  </si>
  <si>
    <t>9763-20170724T160448.230590800.bin</t>
  </si>
  <si>
    <t>-590.163933580446 101.278937647817 -229.834845277246</t>
  </si>
  <si>
    <t>-625.156781071966 103.789381190425 -345.753061836245</t>
  </si>
  <si>
    <t>-634.132808464729 104.096565438431 -466.624479135701</t>
  </si>
  <si>
    <t>-631.476432569898 103.084444859087 -576.108507212917</t>
  </si>
  <si>
    <t>-618.189251417832 100.637697337647 -684.793061332347</t>
  </si>
  <si>
    <t>-588.756944988095 95.5785716974538 -834.152134742073</t>
  </si>
  <si>
    <t>-535.242735224248 77.2846335926108 -918.913760823548</t>
  </si>
  <si>
    <t>-586.476691072681 125.608500888621 -765.99120144303</t>
  </si>
  <si>
    <t>-505.163300393334 243.352899272674 -732.05874076418</t>
  </si>
  <si>
    <t>-446.882652085614 211.295378079377 -422.604462900506</t>
  </si>
  <si>
    <t>-220.670228666355 115.796854867122 -336.872186867857</t>
  </si>
  <si>
    <t>-617.082962340883 70.0256660263303 -770.139533184904</t>
  </si>
  <si>
    <t>-551.670968313216 190.586474212282 -239.109740953221</t>
  </si>
  <si>
    <t>-575.501787503947 187.43466540702 215.95051512079</t>
  </si>
  <si>
    <t>-623.750482197002 175.844172516952 683.150730668412</t>
  </si>
  <si>
    <t>-484.4683650139 106.062460847342 764.848491462515</t>
  </si>
  <si>
    <t>-628.568378234608 11.9062481925896 -219.872778102742</t>
  </si>
  <si>
    <t>-493.965759737033 -110.60105974111 197.897286699503</t>
  </si>
  <si>
    <t>-498.119517535881 -25.6537648513108 659.971010477048</t>
  </si>
  <si>
    <t>-489.611354757423 -176.460331796497 750.129328979732</t>
  </si>
  <si>
    <t>9763-20170724T160448.293358800.bin</t>
  </si>
  <si>
    <t>-589.929463529234 100.732877658995 -229.998439893487</t>
  </si>
  <si>
    <t>-624.859704512791 103.166827094272 -345.937014399202</t>
  </si>
  <si>
    <t>-633.912499149715 103.317778590053 -466.803034905148</t>
  </si>
  <si>
    <t>-631.385330443999 102.121243320698 -576.288309410844</t>
  </si>
  <si>
    <t>-618.287840573416 99.4404042123429 -684.990332757431</t>
  </si>
  <si>
    <t>-589.181915901969 93.9983696402924 -834.399885543431</t>
  </si>
  <si>
    <t>-535.859032688293 75.3159559460421 -919.197514009716</t>
  </si>
  <si>
    <t>-586.640328788482 124.138771229265 -766.296965227103</t>
  </si>
  <si>
    <t>-505.239626696368 241.991909303618 -733.03499768695</t>
  </si>
  <si>
    <t>-451.441001000248 212.517018526905 -422.51422598142</t>
  </si>
  <si>
    <t>-227.191674105526 115.791209952431 -333.080637913532</t>
  </si>
  <si>
    <t>-617.48052287662 68.6737332676544 -770.284584373891</t>
  </si>
  <si>
    <t>-551.462537972854 189.876303960498 -239.2953603294</t>
  </si>
  <si>
    <t>-575.582012761 187.059421846493 215.751838595258</t>
  </si>
  <si>
    <t>-623.67191591571 175.868348897542 683.020662761911</t>
  </si>
  <si>
    <t>-484.409200179817 106.203249120337 764.850844920007</t>
  </si>
  <si>
    <t>-628.274953769938 11.5637947929572 -220.053483163953</t>
  </si>
  <si>
    <t>-493.644080445242 -111.058746395177 197.673628047809</t>
  </si>
  <si>
    <t>-498.038955964196 -25.864144308764 659.755619730148</t>
  </si>
  <si>
    <t>-489.724297082406 -176.515146610168 750.191515671654</t>
  </si>
  <si>
    <t>9763-20170724T160448.324440900.bin</t>
  </si>
  <si>
    <t>-589.960714946231 100.573692002989 -230.072207575405</t>
  </si>
  <si>
    <t>-624.837457631445 102.972064719578 -346.027605398159</t>
  </si>
  <si>
    <t>-633.881505580663 103.031130321001 -466.894254201997</t>
  </si>
  <si>
    <t>-631.366647080652 101.723610591558 -576.378588443937</t>
  </si>
  <si>
    <t>-618.302963923197 98.9004769993105 -685.081088386577</t>
  </si>
  <si>
    <t>-589.266617208462 93.2259103386489 -834.495606709038</t>
  </si>
  <si>
    <t>-536.010595410674 74.3041496699088 -919.282001355075</t>
  </si>
  <si>
    <t>-586.639736447381 123.441623211096 -766.429272380068</t>
  </si>
  <si>
    <t>-505.173630234892 241.301027182156 -733.322836178506</t>
  </si>
  <si>
    <t>-453.864617631564 213.142451780293 -422.259213834152</t>
  </si>
  <si>
    <t>-230.227528946004 115.904085448692 -331.85336867945</t>
  </si>
  <si>
    <t>-617.588879200481 68.0318179057695 -770.339413709861</t>
  </si>
  <si>
    <t>-551.465474004345 189.671070422633 -239.367954750835</t>
  </si>
  <si>
    <t>-575.605541130831 186.895873014075 215.678457380907</t>
  </si>
  <si>
    <t>-623.652925359591 175.889921610779 682.976609869467</t>
  </si>
  <si>
    <t>-484.383918056014 106.27676823947 764.840312778423</t>
  </si>
  <si>
    <t>-628.346975075194 11.4606414961827 -220.115525817746</t>
  </si>
  <si>
    <t>-493.464208417057 -111.101955066034 197.547927069574</t>
  </si>
  <si>
    <t>-498.067872634511 -26.0063299619444 659.616599444583</t>
  </si>
  <si>
    <t>-489.663517923311 -176.541542988142 750.236682766593</t>
  </si>
  <si>
    <t>9763-20170724T160448.392627300.bin</t>
  </si>
  <si>
    <t>-590.150873295493 100.420836388575 -230.218040040286</t>
  </si>
  <si>
    <t>-625.006002121743 102.855444512898 -346.179292941071</t>
  </si>
  <si>
    <t>-633.945875725836 102.771961310436 -467.053554974648</t>
  </si>
  <si>
    <t>-631.306291576065 101.261637118343 -576.532409289235</t>
  </si>
  <si>
    <t>-618.090120191002 98.1620129304508 -685.208929390147</t>
  </si>
  <si>
    <t>-588.816871091479 92.0262507053199 -834.559009744992</t>
  </si>
  <si>
    <t>-535.50552605517 72.6540135957196 -919.208783268444</t>
  </si>
  <si>
    <t>-586.263446719554 122.432379840827 -766.574541445567</t>
  </si>
  <si>
    <t>-504.879222660122 240.41284396957 -733.653426061097</t>
  </si>
  <si>
    <t>-458.298118028514 215.760599189708 -421.549852250136</t>
  </si>
  <si>
    <t>-235.159839783998 118.2342047795 -330.226523930746</t>
  </si>
  <si>
    <t>-617.275176389744 67.050033106121 -770.377845998627</t>
  </si>
  <si>
    <t>-551.59165245433 189.452758839074 -239.461276103229</t>
  </si>
  <si>
    <t>-575.613051526198 186.641295346159 215.591221666336</t>
  </si>
  <si>
    <t>-623.668718911138 175.886620379455 682.924261520599</t>
  </si>
  <si>
    <t>-484.367126485128 106.364598272006 764.80994701811</t>
  </si>
  <si>
    <t>-628.58287433781 11.3980469591033 -220.267767058815</t>
  </si>
  <si>
    <t>-493.283373333131 -110.923145836219 197.331673315827</t>
  </si>
  <si>
    <t>-498.134178225562 -26.2464999810754 659.469685697667</t>
  </si>
  <si>
    <t>-489.529840671687 -176.590005270359 750.388803983701</t>
  </si>
  <si>
    <t>9763-20170724T160448.426726100.bin</t>
  </si>
  <si>
    <t>-590.352893055251 100.530890921315 -230.233094447358</t>
  </si>
  <si>
    <t>-625.219587176188 102.955447085103 -346.190887670893</t>
  </si>
  <si>
    <t>-634.127086351471 102.750365290316 -467.067588797919</t>
  </si>
  <si>
    <t>-631.441200796967 101.088643307239 -576.54314323268</t>
  </si>
  <si>
    <t>-618.162833259236 97.7987597985502 -685.206440029583</t>
  </si>
  <si>
    <t>-588.787954189745 91.3607428099021 -834.52385812838</t>
  </si>
  <si>
    <t>-535.401221096101 71.757054201209 -919.072748547398</t>
  </si>
  <si>
    <t>-586.288672396742 121.908954569252 -766.601079633547</t>
  </si>
  <si>
    <t>-505.051302027842 240.053087849544 -733.910972544184</t>
  </si>
  <si>
    <t>-460.728856954749 217.523380069597 -421.318324418688</t>
  </si>
  <si>
    <t>-237.618600880473 120.416721713196 -329.480595171067</t>
  </si>
  <si>
    <t>-617.282105448368 66.5098613218388 -770.309802117154</t>
  </si>
  <si>
    <t>-551.738344160927 189.543183878334 -239.493851432777</t>
  </si>
  <si>
    <t>-575.580302328541 186.634467192962 215.567457232338</t>
  </si>
  <si>
    <t>-623.664122858802 175.921471774166 682.90352550286</t>
  </si>
  <si>
    <t>-484.371003828152 106.384493187356 764.790958469331</t>
  </si>
  <si>
    <t>-628.864049576052 11.5359963262088 -220.268701707564</t>
  </si>
  <si>
    <t>-493.275935442765 -110.657623002006 197.274470600698</t>
  </si>
  <si>
    <t>-498.195378755215 -26.3274977404956 659.469853551167</t>
  </si>
  <si>
    <t>-489.430638041222 -176.605315813405 750.482360476921</t>
  </si>
  <si>
    <t>9763-20170724T160448.494368000.bin</t>
  </si>
  <si>
    <t>-590.967122686372 101.329553323479 -230.204982084779</t>
  </si>
  <si>
    <t>-625.904208418777 103.718008014698 -346.142573334411</t>
  </si>
  <si>
    <t>-634.753233072016 103.265336468186 -467.022726544813</t>
  </si>
  <si>
    <t>-631.962403694388 101.305051309052 -576.490627412828</t>
  </si>
  <si>
    <t>-618.529069103598 97.6489760215461 -685.123153195039</t>
  </si>
  <si>
    <t>-588.88916629952 90.6389525588631 -834.362437063542</t>
  </si>
  <si>
    <t>-535.252550053044 70.6381993687241 -918.660016602211</t>
  </si>
  <si>
    <t>-586.5904927246 121.492958288068 -766.571092128145</t>
  </si>
  <si>
    <t>-505.662284046407 239.951692324425 -734.278005557044</t>
  </si>
  <si>
    <t>-465.061731730112 221.977062089279 -420.885767159791</t>
  </si>
  <si>
    <t>-242.526722217755 125.622757090073 -326.885407999716</t>
  </si>
  <si>
    <t>-617.417303577905 65.9884053120982 -770.086350633831</t>
  </si>
  <si>
    <t>-552.339521370846 190.480767116941 -239.519069887612</t>
  </si>
  <si>
    <t>-575.617969367114 187.177568044375 215.568710687258</t>
  </si>
  <si>
    <t>-623.597769100692 176.1285358344 682.896961497743</t>
  </si>
  <si>
    <t>-484.496952550874 106.198896200319 764.776871522352</t>
  </si>
  <si>
    <t>-629.497767116266 12.254510757889 -220.174295416554</t>
  </si>
  <si>
    <t>-493.436534159177 -109.991843752987 197.199439706887</t>
  </si>
  <si>
    <t>-498.313072177092 -26.4313244316961 659.538660354244</t>
  </si>
  <si>
    <t>-489.279173368426 -176.627151627604 750.660002183877</t>
  </si>
  <si>
    <t>9763-20170724T160448.527451600.bin</t>
  </si>
  <si>
    <t>-591.335957422275 101.786983570867 -230.15982556439</t>
  </si>
  <si>
    <t>-626.35437855877 104.13450559284 -346.073598877157</t>
  </si>
  <si>
    <t>-635.220020894512 103.553947103287 -466.95212650183</t>
  </si>
  <si>
    <t>-632.417403937194 101.44689117431 -576.416978439968</t>
  </si>
  <si>
    <t>-618.945883391906 97.6158644089564 -685.038870169524</t>
  </si>
  <si>
    <t>-589.226617884396 90.3359942104219 -834.249414657032</t>
  </si>
  <si>
    <t>-535.475236411244 70.1523120512818 -918.429977851855</t>
  </si>
  <si>
    <t>-587.016568201329 121.342323598142 -766.524669365566</t>
  </si>
  <si>
    <t>-506.411777343608 240.094909494249 -734.486479403309</t>
  </si>
  <si>
    <t>-466.880743717479 224.389481838079 -420.835647469359</t>
  </si>
  <si>
    <t>-244.61439817684 128.091329029491 -326.144523006895</t>
  </si>
  <si>
    <t>-617.736415845803 65.7718484498646 -769.931970901028</t>
  </si>
  <si>
    <t>-552.768089654164 190.970804888336 -239.511659030898</t>
  </si>
  <si>
    <t>-575.683903373259 187.460689336128 215.592998813613</t>
  </si>
  <si>
    <t>-623.604007090233 176.158663218744 682.904339950039</t>
  </si>
  <si>
    <t>-484.413182572841 106.391548382354 764.769983004721</t>
  </si>
  <si>
    <t>-629.785816336235 12.6130062435532 -220.085744581052</t>
  </si>
  <si>
    <t>-493.561771788241 -109.643280723801 197.231960975227</t>
  </si>
  <si>
    <t>-498.357460213431 -26.4247990706942 659.633734487414</t>
  </si>
  <si>
    <t>-489.229135662999 -176.625474422059 750.737684005705</t>
  </si>
  <si>
    <t>9763-20170724T160448.593263400.bin</t>
  </si>
  <si>
    <t>-592.169450080215 102.989099360699 -230.04495291174</t>
  </si>
  <si>
    <t>-627.324910044415 105.223808741511 -345.919538822582</t>
  </si>
  <si>
    <t>-636.252552830401 104.440937202092 -466.792427263879</t>
  </si>
  <si>
    <t>-633.47330030558 102.122428071172 -576.253500012541</t>
  </si>
  <si>
    <t>-619.99281612978 98.0554811080985 -684.865669280503</t>
  </si>
  <si>
    <t>-590.228105699945 90.4265227486169 -834.049608547506</t>
  </si>
  <si>
    <t>-536.274405792535 69.9251435567978 -918.02385467395</t>
  </si>
  <si>
    <t>-588.14039100261 121.648744286903 -766.420182826798</t>
  </si>
  <si>
    <t>-508.290470853844 241.022892295299 -734.854260359258</t>
  </si>
  <si>
    <t>-470.647148031491 228.638342306798 -420.822792307252</t>
  </si>
  <si>
    <t>-248.968764750291 131.995977552158 -325.109631553265</t>
  </si>
  <si>
    <t>-618.65563068125 65.9555708486337 -769.660462732112</t>
  </si>
  <si>
    <t>-553.800689920103 192.34040027397 -239.48323203851</t>
  </si>
  <si>
    <t>-576.143128136369 188.309776531356 215.645620136992</t>
  </si>
  <si>
    <t>-623.673115875374 176.100799679017 682.939537371503</t>
  </si>
  <si>
    <t>-484.335738907789 106.594237832928 764.777464025526</t>
  </si>
  <si>
    <t>-630.433746379833 13.6456576754185 -219.883110342531</t>
  </si>
  <si>
    <t>-493.794402840376 -108.888758175597 197.217271599094</t>
  </si>
  <si>
    <t>-498.415194459375 -26.4181949354249 659.76280413898</t>
  </si>
  <si>
    <t>-489.172803159305 -176.633293757274 750.831379616849</t>
  </si>
  <si>
    <t>9763-20170724T160448.628358300.bin</t>
  </si>
  <si>
    <t>-592.608910621385 103.661057548131 -229.967927292394</t>
  </si>
  <si>
    <t>-627.8436513093 105.83476775494 -345.819437915356</t>
  </si>
  <si>
    <t>-636.829906418779 104.977901728093 -466.68749447884</t>
  </si>
  <si>
    <t>-634.093625099888 102.591028058023 -576.14832912565</t>
  </si>
  <si>
    <t>-620.645440032199 98.4564242094398 -684.761872288287</t>
  </si>
  <si>
    <t>-590.914439956463 90.7357943202308 -833.947893879833</t>
  </si>
  <si>
    <t>-536.87800092487 70.1039282559541 -917.836929738465</t>
  </si>
  <si>
    <t>-588.856840172903 122.02487783439 -766.348493777037</t>
  </si>
  <si>
    <t>-509.291215098182 241.636642582471 -734.942038655597</t>
  </si>
  <si>
    <t>-472.410031637431 230.388723439273 -420.777287956896</t>
  </si>
  <si>
    <t>-250.767639262761 133.668416023599 -325.059500665212</t>
  </si>
  <si>
    <t>-619.282132078371 66.2789659911471 -769.526850654713</t>
  </si>
  <si>
    <t>-554.286346083125 193.120291933457 -239.476137297445</t>
  </si>
  <si>
    <t>-576.401758431355 188.947766593458 215.662480267577</t>
  </si>
  <si>
    <t>-623.569292530581 176.315309433154 682.943142984695</t>
  </si>
  <si>
    <t>-484.390587430453 106.507071776256 764.794252552201</t>
  </si>
  <si>
    <t>-630.845520371481 14.1782254852003 -219.747201637788</t>
  </si>
  <si>
    <t>-493.839222212471 -108.461907752333 197.201636284204</t>
  </si>
  <si>
    <t>-498.424451930033 -26.4118296137653 659.802574194548</t>
  </si>
  <si>
    <t>-489.140276428196 -176.632632907769 750.857713862048</t>
  </si>
  <si>
    <t>9763-20170724T160448.693537200.bin</t>
  </si>
  <si>
    <t>-593.548623555159 104.880302427633 -229.927040781922</t>
  </si>
  <si>
    <t>-628.979461157593 107.028244984602 -345.719326526649</t>
  </si>
  <si>
    <t>-638.107099445637 106.135354651286 -466.576431769967</t>
  </si>
  <si>
    <t>-635.472286496032 103.718857062561 -576.03910673319</t>
  </si>
  <si>
    <t>-622.09794252445 99.5612923140284 -684.660872026463</t>
  </si>
  <si>
    <t>-592.439589456107 91.8197736975426 -833.860217486888</t>
  </si>
  <si>
    <t>-538.2249209031 71.0380515628801 -917.597141462265</t>
  </si>
  <si>
    <t>-590.428846559026 123.162667696749 -766.284441228142</t>
  </si>
  <si>
    <t>-511.253516109955 243.077040308332 -735.049753519202</t>
  </si>
  <si>
    <t>-476.046308006025 233.197411766087 -420.647073385699</t>
  </si>
  <si>
    <t>-254.521737179085 136.222925594797 -324.913954625408</t>
  </si>
  <si>
    <t>-620.696200831513 67.3275762784072 -769.403949558113</t>
  </si>
  <si>
    <t>-555.270709139955 194.487561895481 -239.505420215939</t>
  </si>
  <si>
    <t>-576.88770227511 189.809764701633 215.652308016502</t>
  </si>
  <si>
    <t>-623.53510088129 176.454338860321 682.971871503465</t>
  </si>
  <si>
    <t>-484.328444040534 106.681856997875 764.805995344442</t>
  </si>
  <si>
    <t>-631.712621449918 15.2346959441584 -219.659549472846</t>
  </si>
  <si>
    <t>-494.283518699929 -107.529669159744 197.113519176816</t>
  </si>
  <si>
    <t>-498.505203750633 -26.4071164893778 659.876153514056</t>
  </si>
  <si>
    <t>-489.108490838174 -176.635356240158 750.907374858259</t>
  </si>
  <si>
    <t>9763-20170724T160448.726632100.bin</t>
  </si>
  <si>
    <t>-594.012645860628 105.498512267643 -229.887126040514</t>
  </si>
  <si>
    <t>-629.563400604759 107.646887272847 -345.642793042398</t>
  </si>
  <si>
    <t>-638.773084949836 106.770988387283 -466.493658575919</t>
  </si>
  <si>
    <t>-636.194534249126 104.381179115928 -575.958318008709</t>
  </si>
  <si>
    <t>-622.857172334254 100.264694597396 -684.586269517722</t>
  </si>
  <si>
    <t>-593.229379005204 92.5978562222194 -833.795533841475</t>
  </si>
  <si>
    <t>-538.914133517856 71.7943032763574 -917.461886228287</t>
  </si>
  <si>
    <t>-591.249120406294 123.931641250333 -766.214438037467</t>
  </si>
  <si>
    <t>-512.255010933724 243.968488684051 -735.000233225026</t>
  </si>
  <si>
    <t>-477.533246650858 234.314686121402 -420.536620022174</t>
  </si>
  <si>
    <t>-255.941119953221 137.306992437017 -324.993576691039</t>
  </si>
  <si>
    <t>-621.428286156732 68.0488774831297 -769.33561974346</t>
  </si>
  <si>
    <t>-555.740953580472 195.204589174344 -239.513029619364</t>
  </si>
  <si>
    <t>-577.020192152668 190.237269523113 215.657375328538</t>
  </si>
  <si>
    <t>-623.481490398406 176.598210302742 682.980796469244</t>
  </si>
  <si>
    <t>-484.353279493894 106.662657942516 764.80915883818</t>
  </si>
  <si>
    <t>-632.149477404575 15.7737018339703 -219.568800535065</t>
  </si>
  <si>
    <t>-494.56028786248 -107.104388131978 197.117939737925</t>
  </si>
  <si>
    <t>-498.528281249823 -26.3815523176647 659.933890783432</t>
  </si>
  <si>
    <t>-489.13374081664 -176.626820104319 750.937337883879</t>
  </si>
  <si>
    <t>9763-20170724T160448.794814200.bin</t>
  </si>
  <si>
    <t>-595.051183526643 106.503130987239 -229.80083141263</t>
  </si>
  <si>
    <t>-630.889653084324 108.722910186781 -345.466204522053</t>
  </si>
  <si>
    <t>-640.282474207466 107.962220979439 -466.303953194636</t>
  </si>
  <si>
    <t>-637.820345453228 105.703165046719 -575.773967772611</t>
  </si>
  <si>
    <t>-624.547917941464 101.749092841462 -684.415955452554</t>
  </si>
  <si>
    <t>-594.955459919045 94.3455400112045 -833.645440736655</t>
  </si>
  <si>
    <t>-540.424844985261 73.5565723605775 -917.175256595113</t>
  </si>
  <si>
    <t>-593.015776671172 125.591132817011 -766.022409278692</t>
  </si>
  <si>
    <t>-514.254467609605 245.765490870664 -734.737448954637</t>
  </si>
  <si>
    <t>-480.526740678351 235.966508323681 -420.170068357975</t>
  </si>
  <si>
    <t>-259.413646275014 138.496577124579 -323.989806955173</t>
  </si>
  <si>
    <t>-623.082582104539 69.6516993243172 -769.209545721133</t>
  </si>
  <si>
    <t>-556.710077253038 196.241460364927 -239.501301639252</t>
  </si>
  <si>
    <t>-577.361724256779 190.768455174586 215.692263153896</t>
  </si>
  <si>
    <t>-623.496669564768 176.651041280179 683.01986056772</t>
  </si>
  <si>
    <t>-484.397937511281 106.624307272389 764.820261659845</t>
  </si>
  <si>
    <t>-633.337062736329 16.7304357495082 -219.390540936761</t>
  </si>
  <si>
    <t>-495.284568652922 -106.36593237842 197.078486276596</t>
  </si>
  <si>
    <t>-498.585867876368 -26.335478284931 660.020427226531</t>
  </si>
  <si>
    <t>-489.242930091211 -176.615582307903 750.971496723167</t>
  </si>
  <si>
    <t>9763-20170724T160448.822888500.bin</t>
  </si>
  <si>
    <t>-595.686547318768 106.962751208026 -229.753074041634</t>
  </si>
  <si>
    <t>-631.670851041373 109.22932945188 -345.372341311949</t>
  </si>
  <si>
    <t>-641.155467910855 108.574196171807 -466.203594571053</t>
  </si>
  <si>
    <t>-638.75095540753 106.437761843637 -575.677277343795</t>
  </si>
  <si>
    <t>-625.509190197155 102.635724433319 -684.328258531945</t>
  </si>
  <si>
    <t>-595.930269820378 95.4761015725662 -833.572511413929</t>
  </si>
  <si>
    <t>-541.291690417742 74.7644574558899 -917.050928855358</t>
  </si>
  <si>
    <t>-594.003433958741 126.621721733994 -765.902971809905</t>
  </si>
  <si>
    <t>-515.27942307292 246.785825503922 -734.514558778898</t>
  </si>
  <si>
    <t>-481.955384766487 236.846056382756 -419.908620230883</t>
  </si>
  <si>
    <t>-260.939943461621 139.305765294552 -323.575267563182</t>
  </si>
  <si>
    <t>-624.032465540193 70.6664892749684 -769.170215867728</t>
  </si>
  <si>
    <t>-557.250248738413 196.655319207624 -239.500471691377</t>
  </si>
  <si>
    <t>-577.621881389373 191.025642215096 215.703872229338</t>
  </si>
  <si>
    <t>-623.504565912936 176.666995117357 683.025084806717</t>
  </si>
  <si>
    <t>-484.405570006705 106.643344439129 764.827715213993</t>
  </si>
  <si>
    <t>-634.072515947733 17.257610729856 -219.283449118806</t>
  </si>
  <si>
    <t>-495.757653462975 -106.013855588555 197.046835365796</t>
  </si>
  <si>
    <t>-498.618689953797 -26.3062785481404 660.059424709567</t>
  </si>
  <si>
    <t>-489.287256266621 -176.608240268492 750.975855974457</t>
  </si>
  <si>
    <t>9763-20170724T160448.892079100.bin</t>
  </si>
  <si>
    <t>-596.852237895131 107.852835861776 -229.668948295911</t>
  </si>
  <si>
    <t>-633.123542620862 110.247653422062 -345.195790833177</t>
  </si>
  <si>
    <t>-642.736634775428 109.794151121795 -466.017824792864</t>
  </si>
  <si>
    <t>-640.377330927854 107.875612939079 -575.496591181485</t>
  </si>
  <si>
    <t>-627.108274079608 104.330532868777 -684.153088366435</t>
  </si>
  <si>
    <t>-597.415735687551 97.5719735432783 -833.393385921138</t>
  </si>
  <si>
    <t>-542.504029658166 77.0066063084489 -916.728526141836</t>
  </si>
  <si>
    <t>-595.556097365944 128.544062530336 -765.642487120438</t>
  </si>
  <si>
    <t>-516.838226972641 248.645274323668 -733.981570745296</t>
  </si>
  <si>
    <t>-485.016072795638 238.304386204336 -419.233087422096</t>
  </si>
  <si>
    <t>-264.177490029481 141.109153248444 -322.148365120604</t>
  </si>
  <si>
    <t>-625.551452840502 72.5807575197898 -769.075899763</t>
  </si>
  <si>
    <t>-558.212109241857 197.536950275555 -239.509277438834</t>
  </si>
  <si>
    <t>-577.979627340928 191.564448256225 215.717270148741</t>
  </si>
  <si>
    <t>-623.459573202097 176.799495599401 683.052869844946</t>
  </si>
  <si>
    <t>-484.522932130648 106.467434643884 764.86681804527</t>
  </si>
  <si>
    <t>-635.385931536945 18.1540150269225 -219.103229717425</t>
  </si>
  <si>
    <t>-496.575916405593 -105.525701479454 196.940962880029</t>
  </si>
  <si>
    <t>-498.669985491871 -26.2702057558392 660.045590747749</t>
  </si>
  <si>
    <t>-489.494737384051 -176.600638366228 750.930657309028</t>
  </si>
  <si>
    <t>9763-20170724T160448.924164800.bin</t>
  </si>
  <si>
    <t>-597.40334843893 108.295395637488 -229.668558944473</t>
  </si>
  <si>
    <t>-633.824760077395 110.793929830951 -345.146137304421</t>
  </si>
  <si>
    <t>-643.474246034016 110.479877248966 -465.965660965686</t>
  </si>
  <si>
    <t>-641.098422465334 108.704890614536 -575.446431924594</t>
  </si>
  <si>
    <t>-627.762740853537 105.323215882305 -684.099960460638</t>
  </si>
  <si>
    <t>-597.925939594249 98.8144254994891 -833.32268375606</t>
  </si>
  <si>
    <t>-542.866483304153 78.3627286221297 -916.588298826515</t>
  </si>
  <si>
    <t>-596.137223528351 129.676003472024 -765.519324829779</t>
  </si>
  <si>
    <t>-517.391316160264 249.718788602273 -733.691551073812</t>
  </si>
  <si>
    <t>-486.823914932197 239.527731229628 -418.813933387875</t>
  </si>
  <si>
    <t>-266.107377270257 142.714594481567 -321.071930276716</t>
  </si>
  <si>
    <t>-626.118389653913 73.7127050811021 -769.072970980726</t>
  </si>
  <si>
    <t>-558.651662412234 198.031063316254 -239.528767537117</t>
  </si>
  <si>
    <t>-578.115532837706 191.826851914873 215.70779357728</t>
  </si>
  <si>
    <t>-623.385582953253 176.926650492854 683.032006938112</t>
  </si>
  <si>
    <t>-484.625975844353 106.296183307628 764.889317327906</t>
  </si>
  <si>
    <t>-636.059917660966 18.5635215128884 -219.077641084283</t>
  </si>
  <si>
    <t>-497.084920888809 -105.238903222345 196.8750787029</t>
  </si>
  <si>
    <t>-498.720118987512 -26.2436288100366 660.027175294329</t>
  </si>
  <si>
    <t>-489.585591825917 -176.591167450034 750.887996664889</t>
  </si>
  <si>
    <t>9763-20170724T160448.994278600.bin</t>
  </si>
  <si>
    <t>-598.375005170415 109.182452343265 -229.708066672442</t>
  </si>
  <si>
    <t>-635.060475676488 111.839132478032 -345.098417475881</t>
  </si>
  <si>
    <t>-644.808062527181 111.739771726812 -465.910346400741</t>
  </si>
  <si>
    <t>-642.447161045767 110.192149841986 -575.394924608479</t>
  </si>
  <si>
    <t>-629.05065524923 107.078052549278 -684.048924510259</t>
  </si>
  <si>
    <t>-599.05026105619 100.989025349426 -833.256577479252</t>
  </si>
  <si>
    <t>-543.759847476365 80.7723349518969 -916.426525478086</t>
  </si>
  <si>
    <t>-597.365784679053 131.676194662679 -765.371643220892</t>
  </si>
  <si>
    <t>-518.708068836542 251.710685004466 -733.270564979086</t>
  </si>
  <si>
    <t>-490.505866952142 242.522445040324 -418.141247395161</t>
  </si>
  <si>
    <t>-270.183940280588 146.335534347502 -318.902191243062</t>
  </si>
  <si>
    <t>-627.283296103012 75.6901841018876 -769.102166952635</t>
  </si>
  <si>
    <t>-559.393441802888 198.941613341721 -239.627464272719</t>
  </si>
  <si>
    <t>-578.34202996374 192.375848590996 215.625759232167</t>
  </si>
  <si>
    <t>-623.32273408032 176.971885493432 682.990356945292</t>
  </si>
  <si>
    <t>-484.75411721981 106.057321664348 764.925557086756</t>
  </si>
  <si>
    <t>-637.246030854142 19.4173671404819 -219.087951438058</t>
  </si>
  <si>
    <t>-498.278969446951 -104.588842359552 196.806608444641</t>
  </si>
  <si>
    <t>-498.761946655444 -26.1619292064522 660.031949633249</t>
  </si>
  <si>
    <t>-489.864142471283 -176.566885805461 750.821277919292</t>
  </si>
  <si>
    <t>9763-20170724T160449.026361500.bin</t>
  </si>
  <si>
    <t>-598.897216753829 109.618835895298 -229.719899194846</t>
  </si>
  <si>
    <t>-635.750219205172 112.361485646225 -345.054812094628</t>
  </si>
  <si>
    <t>-645.608374844832 112.373622654365 -465.857901965213</t>
  </si>
  <si>
    <t>-643.320371638154 110.942469653174 -575.345708536754</t>
  </si>
  <si>
    <t>-629.968326741861 107.963586474969 -684.008908790008</t>
  </si>
  <si>
    <t>-599.999092678166 102.085137004587 -833.231243374614</t>
  </si>
  <si>
    <t>-544.636931369505 81.972100842298 -916.378615903566</t>
  </si>
  <si>
    <t>-598.324024117974 132.689530334567 -765.308527103353</t>
  </si>
  <si>
    <t>-519.716856279404 252.731920540702 -733.117416283044</t>
  </si>
  <si>
    <t>-492.537843131712 244.247581369308 -417.878626937553</t>
  </si>
  <si>
    <t>-272.742778050486 148.047299814405 -317.490903165483</t>
  </si>
  <si>
    <t>-628.195052227969 76.6828287483911 -769.101382724352</t>
  </si>
  <si>
    <t>-559.847797798252 199.422775542016 -239.664875772918</t>
  </si>
  <si>
    <t>-578.412967722462 192.574014539204 215.600002613372</t>
  </si>
  <si>
    <t>-623.286071639698 177.037555491391 682.981104026308</t>
  </si>
  <si>
    <t>-484.781073635012 106.009971817355 764.925923388832</t>
  </si>
  <si>
    <t>-637.852477807771 19.7949032923091 -219.084102215772</t>
  </si>
  <si>
    <t>-498.805893956914 -104.340152651829 196.74545746156</t>
  </si>
  <si>
    <t>-498.779956272687 -26.1488563605208 659.995078542976</t>
  </si>
  <si>
    <t>-490.014397741196 -176.556885938364 750.792149730755</t>
  </si>
  <si>
    <t>9763-20170724T160449.091270600.bin</t>
  </si>
  <si>
    <t>-599.84125627809 110.375345899927 -229.774229275181</t>
  </si>
  <si>
    <t>-636.989172113406 113.252024551365 -345.011267419822</t>
  </si>
  <si>
    <t>-647.024983340424 113.423122735002 -465.799567678615</t>
  </si>
  <si>
    <t>-644.844345171312 112.146755346232 -575.291311104989</t>
  </si>
  <si>
    <t>-631.545055044609 109.334438523135 -683.965531271473</t>
  </si>
  <si>
    <t>-601.592391072646 103.700333990289 -833.200582724522</t>
  </si>
  <si>
    <t>-546.086160724067 83.7232910628495 -916.284711118566</t>
  </si>
  <si>
    <t>-599.935011387619 134.207242292397 -765.23369348496</t>
  </si>
  <si>
    <t>-521.403760113882 254.272219693383 -732.973037355229</t>
  </si>
  <si>
    <t>-496.225003606354 247.021258020608 -417.537460761337</t>
  </si>
  <si>
    <t>-277.06213636562 150.849210588432 -315.750254395286</t>
  </si>
  <si>
    <t>-629.756008934497 78.1792712779343 -769.103774745035</t>
  </si>
  <si>
    <t>-560.849149564976 200.213338669405 -239.721944330385</t>
  </si>
  <si>
    <t>-578.640784677886 192.833863653012 215.565453989292</t>
  </si>
  <si>
    <t>-623.28326450303 177.029164603055 682.960409435781</t>
  </si>
  <si>
    <t>-484.861181710947 105.857038217564 764.919996395535</t>
  </si>
  <si>
    <t>-638.710636262063 20.5004345882405 -219.121922607553</t>
  </si>
  <si>
    <t>-499.593511833719 -103.827687954535 196.626313476046</t>
  </si>
  <si>
    <t>-498.834995659252 -26.1277919799957 659.922102110738</t>
  </si>
  <si>
    <t>-490.239366448596 -176.529824159519 750.745288712612</t>
  </si>
  <si>
    <t>9763-20170724T160449.130375500.bin</t>
  </si>
  <si>
    <t>-600.305037561726 110.748967515554 -229.796529104211</t>
  </si>
  <si>
    <t>-637.576265593276 113.654601439677 -344.993005476577</t>
  </si>
  <si>
    <t>-647.694042613729 113.896790924432 -465.774434628411</t>
  </si>
  <si>
    <t>-645.56828210363 112.701519095771 -575.26819511343</t>
  </si>
  <si>
    <t>-632.303680288227 109.987089821642 -683.949090987514</t>
  </si>
  <si>
    <t>-602.378024581376 104.506158836328 -833.195124146702</t>
  </si>
  <si>
    <t>-546.81195421079 84.6094995547376 -916.258625247462</t>
  </si>
  <si>
    <t>-600.728407651509 134.954264173079 -765.201725371857</t>
  </si>
  <si>
    <t>-522.284804559867 255.048233166518 -732.896317483976</t>
  </si>
  <si>
    <t>-497.950665337613 248.535186804509 -417.378376937135</t>
  </si>
  <si>
    <t>-279.042513227443 152.449459211211 -314.963697163367</t>
  </si>
  <si>
    <t>-630.509969435514 78.9083700921485 -769.115143935792</t>
  </si>
  <si>
    <t>-561.33030880649 200.614659867696 -239.753843268812</t>
  </si>
  <si>
    <t>-578.825867181162 193.05908697411 215.542231163097</t>
  </si>
  <si>
    <t>-623.211180673186 177.132980087361 682.928865880572</t>
  </si>
  <si>
    <t>-484.830547712529 105.912444750769 764.916376378449</t>
  </si>
  <si>
    <t>-639.140439239723 20.8352843070677 -219.144768668174</t>
  </si>
  <si>
    <t>-499.865123998357 -103.420364645003 196.572161998355</t>
  </si>
  <si>
    <t>-498.884177052263 -26.0863396424004 659.93168209417</t>
  </si>
  <si>
    <t>-490.258040302959 -176.503592456655 750.726717858989</t>
  </si>
  <si>
    <t>9763-20170724T160449.194560000.bin</t>
  </si>
  <si>
    <t>-601.21732967975 111.57824841992 -229.813180871048</t>
  </si>
  <si>
    <t>-638.667120600459 114.492124615678 -344.951508761222</t>
  </si>
  <si>
    <t>-648.910164387296 114.872540433978 -465.721916336464</t>
  </si>
  <si>
    <t>-646.871362325926 113.857850179657 -575.219245933224</t>
  </si>
  <si>
    <t>-633.665340232709 111.38099311547 -683.912935954139</t>
  </si>
  <si>
    <t>-603.790175562713 106.29059617377 -833.183110904223</t>
  </si>
  <si>
    <t>-548.098034669997 86.5860111414613 -916.207811163371</t>
  </si>
  <si>
    <t>-602.162654306752 136.585417824775 -765.120564225754</t>
  </si>
  <si>
    <t>-523.869400984765 256.744679960335 -732.598412752714</t>
  </si>
  <si>
    <t>-500.878760789303 251.971816852025 -416.948573783367</t>
  </si>
  <si>
    <t>-282.374985093177 155.984270488701 -313.582709984734</t>
  </si>
  <si>
    <t>-631.855233440804 80.5006205857987 -769.150748279204</t>
  </si>
  <si>
    <t>-562.269297551651 201.456284452637 -239.825700315435</t>
  </si>
  <si>
    <t>-579.345112217936 193.641966189198 215.481939305125</t>
  </si>
  <si>
    <t>-623.162493019881 177.151977601272 682.898744265631</t>
  </si>
  <si>
    <t>-484.798416198355 105.95653823109 764.935934041725</t>
  </si>
  <si>
    <t>-640.046368328893 21.6604735396741 -219.091044359568</t>
  </si>
  <si>
    <t>-500.381549942176 -102.718360792052 196.458402720432</t>
  </si>
  <si>
    <t>-498.909763151488 -25.9684893567551 659.952195756319</t>
  </si>
  <si>
    <t>-490.391286362198 -176.455727835401 750.641444531758</t>
  </si>
  <si>
    <t>9763-20170724T160449.225641800.bin</t>
  </si>
  <si>
    <t>-601.665094642925 112.031053953477 -229.816469520166</t>
  </si>
  <si>
    <t>-639.186214580555 114.931252017842 -344.931872283683</t>
  </si>
  <si>
    <t>-649.464534431444 115.350864274356 -465.699193930684</t>
  </si>
  <si>
    <t>-647.441092973624 114.3948224262 -575.197296345705</t>
  </si>
  <si>
    <t>-634.233322259771 112.000643558027 -683.892577100287</t>
  </si>
  <si>
    <t>-604.337366594231 107.051264673534 -833.163255666401</t>
  </si>
  <si>
    <t>-548.572531845002 87.4545109793619 -916.164782401057</t>
  </si>
  <si>
    <t>-602.746451753641 137.296538070528 -765.077938214471</t>
  </si>
  <si>
    <t>-524.533027210739 257.496019010508 -732.509383032755</t>
  </si>
  <si>
    <t>-502.565928923025 253.468618319497 -416.776243890857</t>
  </si>
  <si>
    <t>-284.212286899034 157.348166939802 -313.216540726828</t>
  </si>
  <si>
    <t>-632.384262158219 81.1859961566552 -769.153392755988</t>
  </si>
  <si>
    <t>-562.705250731683 201.978790714684 -239.856394745986</t>
  </si>
  <si>
    <t>-579.564731893916 193.985714381759 215.456235662222</t>
  </si>
  <si>
    <t>-623.09426381241 177.269870423431 682.891511972944</t>
  </si>
  <si>
    <t>-484.838400948871 105.881617151877 764.943578763913</t>
  </si>
  <si>
    <t>-640.51604073466 22.0587033646905 -219.060956818207</t>
  </si>
  <si>
    <t>-500.742748903347 -102.373625079279 196.436033746062</t>
  </si>
  <si>
    <t>-498.94575653471 -25.9008158085903 659.973381640933</t>
  </si>
  <si>
    <t>-490.474149103646 -176.433067804382 750.592199603781</t>
  </si>
  <si>
    <t>9763-20170724T160449.290546700.bin</t>
  </si>
  <si>
    <t>-602.590223139649 112.800066092234 -229.832850904231</t>
  </si>
  <si>
    <t>-640.205569484947 115.678255085415 -344.917910562039</t>
  </si>
  <si>
    <t>-650.555493032518 116.188773435229 -465.678840358741</t>
  </si>
  <si>
    <t>-648.583968844835 115.368347423169 -575.1790502432</t>
  </si>
  <si>
    <t>-635.413446288537 113.167070274982 -683.882992401219</t>
  </si>
  <si>
    <t>-605.552551955156 108.548554638563 -833.171274881283</t>
  </si>
  <si>
    <t>-549.630610687371 89.2381428756264 -916.134087639761</t>
  </si>
  <si>
    <t>-604.034436283508 138.690972425776 -765.038750213766</t>
  </si>
  <si>
    <t>-526.143018741788 259.058379344449 -732.346481927273</t>
  </si>
  <si>
    <t>-505.025991323732 255.929355566261 -416.545213072044</t>
  </si>
  <si>
    <t>-287.04865935802 159.315519826541 -312.652663942938</t>
  </si>
  <si>
    <t>-633.495670033525 82.4932916643397 -769.193022399024</t>
  </si>
  <si>
    <t>-563.690835427928 202.82152483879 -239.90624644734</t>
  </si>
  <si>
    <t>-580.203354523909 194.563141301574 215.414360179664</t>
  </si>
  <si>
    <t>-623.088205706706 177.24461804055 682.862379458917</t>
  </si>
  <si>
    <t>-484.845871233119 105.869505219438 764.948684812241</t>
  </si>
  <si>
    <t>-641.366634966576 22.7744622391344 -219.057383062906</t>
  </si>
  <si>
    <t>-501.617328064068 -101.857615492804 196.387713498578</t>
  </si>
  <si>
    <t>-499.077065123789 -25.789887550688 659.983913838321</t>
  </si>
  <si>
    <t>-490.516417056303 -176.384743318307 750.490257940594</t>
  </si>
  <si>
    <t>9763-20170724T160449.329658300.bin</t>
  </si>
  <si>
    <t>-603.098178953505 113.195247173799 -229.856454921829</t>
  </si>
  <si>
    <t>-640.758500919813 116.042498316005 -344.927763820405</t>
  </si>
  <si>
    <t>-651.141634584985 116.597971511387 -465.685576091265</t>
  </si>
  <si>
    <t>-649.19356614075 115.851862674135 -575.186780620101</t>
  </si>
  <si>
    <t>-636.039168893185 113.759690477961 -683.894777710986</t>
  </si>
  <si>
    <t>-606.192034506297 109.330377051119 -833.191596749477</t>
  </si>
  <si>
    <t>-550.177506831483 90.1712652310862 -916.127005366236</t>
  </si>
  <si>
    <t>-604.711489868592 139.41004371661 -765.030324957895</t>
  </si>
  <si>
    <t>-526.979909697236 259.860361808365 -732.261309087947</t>
  </si>
  <si>
    <t>-505.878001244007 256.443904710487 -416.462025187561</t>
  </si>
  <si>
    <t>-288.095186515808 159.651466920942 -312.328007589383</t>
  </si>
  <si>
    <t>-634.085452796326 83.1703671386163 -769.234272043451</t>
  </si>
  <si>
    <t>-564.233757590396 203.2810425076 -239.97271829539</t>
  </si>
  <si>
    <t>-580.485081074854 194.91385217336 215.355285285038</t>
  </si>
  <si>
    <t>-622.98066134822 177.357658878588 682.80427865819</t>
  </si>
  <si>
    <t>-484.872957409133 105.804164783902 764.961890498828</t>
  </si>
  <si>
    <t>-641.857820538724 23.1119655727998 -219.046076489901</t>
  </si>
  <si>
    <t>-502.025997918092 -101.644297115132 196.333984748316</t>
  </si>
  <si>
    <t>-499.147580657493 -25.7437682037551 659.952927397984</t>
  </si>
  <si>
    <t>-490.530750052425 -176.357789371148 750.422148950515</t>
  </si>
  <si>
    <t>9763-20170724T160449.394839900.bin</t>
  </si>
  <si>
    <t>-604.241905145891 113.900814300308 -229.976177975251</t>
  </si>
  <si>
    <t>-642.024151891019 116.742870610758 -345.007544985293</t>
  </si>
  <si>
    <t>-652.446843262572 117.498972004846 -465.760931013456</t>
  </si>
  <si>
    <t>-650.496549835008 117.023185109284 -575.263558653852</t>
  </si>
  <si>
    <t>-637.300353669684 115.292621587999 -683.972802562277</t>
  </si>
  <si>
    <t>-607.353057846828 111.462821850632 -833.266253057398</t>
  </si>
  <si>
    <t>-551.09798263707 92.7386678439927 -916.138090817612</t>
  </si>
  <si>
    <t>-606.023436615771 141.325049835191 -765.006429035568</t>
  </si>
  <si>
    <t>-528.672545522361 261.884268650637 -731.756494171808</t>
  </si>
  <si>
    <t>-506.06235808853 255.567171372721 -416.106246076903</t>
  </si>
  <si>
    <t>-288.409515188043 159.046703680209 -311.449436072182</t>
  </si>
  <si>
    <t>-635.184162140958 84.9897482598797 -769.410616058185</t>
  </si>
  <si>
    <t>-565.440225026181 204.166162431143 -240.111920928138</t>
  </si>
  <si>
    <t>-581.271999283298 195.583970347208 215.226831120638</t>
  </si>
  <si>
    <t>-622.833977344999 177.496492555282 682.708832024623</t>
  </si>
  <si>
    <t>-484.958638321468 105.642334773959 764.99419716572</t>
  </si>
  <si>
    <t>-642.939997216157 23.6850534233017 -219.154025273132</t>
  </si>
  <si>
    <t>-502.818771418204 -100.976184810629 196.157033867599</t>
  </si>
  <si>
    <t>-499.282371875531 -25.6684162267495 659.860328526178</t>
  </si>
  <si>
    <t>-490.441162245068 -176.303923825222 750.272239247621</t>
  </si>
  <si>
    <t>9763-20170724T160449.429931700.bin</t>
  </si>
  <si>
    <t>-604.803689640948 114.285972487821 -230.060579701204</t>
  </si>
  <si>
    <t>-642.651948478307 117.10917587839 -345.070791579338</t>
  </si>
  <si>
    <t>-653.090112770257 117.980218985229 -465.822044404373</t>
  </si>
  <si>
    <t>-651.130921951755 117.663043594091 -575.324945201317</t>
  </si>
  <si>
    <t>-637.902334742309 116.145383749518 -684.033554055492</t>
  </si>
  <si>
    <t>-607.885231036614 112.667680085002 -833.321544796519</t>
  </si>
  <si>
    <t>-551.512565946913 94.1958250822324 -916.170172976341</t>
  </si>
  <si>
    <t>-606.635287675418 142.394357517049 -765.00101256635</t>
  </si>
  <si>
    <t>-529.53335943051 263.028657776323 -731.442545945839</t>
  </si>
  <si>
    <t>-505.323939665598 254.25562220007 -415.969663141521</t>
  </si>
  <si>
    <t>-287.800311827169 157.900379948953 -310.892434916515</t>
  </si>
  <si>
    <t>-635.69838823379 86.0186348201485 -769.531393592536</t>
  </si>
  <si>
    <t>-566.129873980084 204.644985527791 -240.189803888897</t>
  </si>
  <si>
    <t>-581.773758408787 195.965260374945 215.153560864391</t>
  </si>
  <si>
    <t>-622.830379059262 177.449420053068 682.682792308523</t>
  </si>
  <si>
    <t>-484.953400070775 105.647286337075 765.010806749328</t>
  </si>
  <si>
    <t>-643.381663862526 23.9684154240288 -219.217413449388</t>
  </si>
  <si>
    <t>-503.104579415114 -100.66219591198 196.050247770773</t>
  </si>
  <si>
    <t>-499.318098640233 -25.6281765075144 659.804574506196</t>
  </si>
  <si>
    <t>-490.433410002605 -176.277095475253 750.1896544119</t>
  </si>
  <si>
    <t>9763-20170724T160449.495117300.bin</t>
  </si>
  <si>
    <t>-605.796839808545 114.710476065264 -230.162513869298</t>
  </si>
  <si>
    <t>-643.729512673661 117.527371756868 -345.145002623698</t>
  </si>
  <si>
    <t>-654.150856069779 118.701094205241 -465.895190877242</t>
  </si>
  <si>
    <t>-652.131862012438 118.776120912022 -575.397415568989</t>
  </si>
  <si>
    <t>-638.798129813217 117.764205072039 -684.099074718732</t>
  </si>
  <si>
    <t>-608.587983882847 115.102524757163 -833.364859300214</t>
  </si>
  <si>
    <t>-552.019376067981 97.1596463371193 -916.19622679874</t>
  </si>
  <si>
    <t>-607.461926701802 144.474077081368 -764.888987742343</t>
  </si>
  <si>
    <t>-530.476724261104 264.978090339393 -730.602759545518</t>
  </si>
  <si>
    <t>-503.276891857607 251.128548795778 -415.555790785136</t>
  </si>
  <si>
    <t>-285.659512860151 154.769029195641 -310.67697953046</t>
  </si>
  <si>
    <t>-636.448123028177 88.0864286042238 -769.749821270158</t>
  </si>
  <si>
    <t>-567.2203078228 205.043731676928 -240.292841537279</t>
  </si>
  <si>
    <t>-582.602403999488 196.497729128813 215.062058728969</t>
  </si>
  <si>
    <t>-622.762156858401 177.499995409374 682.640381281741</t>
  </si>
  <si>
    <t>-484.919623615151 105.702906354762 765.030452225582</t>
  </si>
  <si>
    <t>-644.270145631387 24.2787128236589 -219.316246078348</t>
  </si>
  <si>
    <t>-503.526536276695 -100.230328507351 195.830002364316</t>
  </si>
  <si>
    <t>-499.374728477859 -25.5510945010105 659.640986979889</t>
  </si>
  <si>
    <t>-490.397709353499 -176.221101977397 749.981947488157</t>
  </si>
  <si>
    <t>9763-20170724T160449.527197400.bin</t>
  </si>
  <si>
    <t>-606.255555648706 114.809435191775 -230.210113772081</t>
  </si>
  <si>
    <t>-644.219530477439 117.635227015731 -345.181951439787</t>
  </si>
  <si>
    <t>-654.633370847529 118.941874714259 -465.931370525703</t>
  </si>
  <si>
    <t>-652.590523668844 119.185031653336 -575.433034982367</t>
  </si>
  <si>
    <t>-639.215535023755 118.387506677438 -684.131472814681</t>
  </si>
  <si>
    <t>-608.930015568099 116.07015050318 -833.387648229997</t>
  </si>
  <si>
    <t>-552.293761371764 98.3662961272778 -916.224037854866</t>
  </si>
  <si>
    <t>-607.8425979992 145.285748267324 -764.844429103536</t>
  </si>
  <si>
    <t>-530.852972214701 265.705800888935 -730.252685624981</t>
  </si>
  <si>
    <t>-502.10953414971 249.634995413456 -415.448446644586</t>
  </si>
  <si>
    <t>-284.421996887892 153.106756523131 -310.870977357641</t>
  </si>
  <si>
    <t>-636.818286589325 88.9052096965243 -769.848388778682</t>
  </si>
  <si>
    <t>-567.687041035072 205.154069501948 -240.348197575933</t>
  </si>
  <si>
    <t>-582.944621709363 196.649645834441 215.011661085759</t>
  </si>
  <si>
    <t>-622.708867803588 177.558704693683 682.606021447271</t>
  </si>
  <si>
    <t>-484.944214522715 105.660000809089 765.037735837403</t>
  </si>
  <si>
    <t>-644.739847789404 24.3732101624585 -219.368851322025</t>
  </si>
  <si>
    <t>-503.809613404743 -100.087744870206 195.728465945749</t>
  </si>
  <si>
    <t>-499.407752636966 -25.5146407885898 659.553769300521</t>
  </si>
  <si>
    <t>-490.38146399017 -176.194141530825 749.873839883973</t>
  </si>
  <si>
    <t>9763-20170724T160449.594118800.bin</t>
  </si>
  <si>
    <t>-606.908410026725 114.771068181897 -230.360045316007</t>
  </si>
  <si>
    <t>-644.9203087115 117.723897313647 -345.312966503379</t>
  </si>
  <si>
    <t>-655.285801359904 119.289246217113 -466.063548300768</t>
  </si>
  <si>
    <t>-653.158303094026 119.81669938837 -575.56252631509</t>
  </si>
  <si>
    <t>-639.658186729865 119.351752850466 -684.247308625424</t>
  </si>
  <si>
    <t>-609.157623012462 117.545110451806 -833.466773812477</t>
  </si>
  <si>
    <t>-552.381190299894 100.225310402766 -916.288602482037</t>
  </si>
  <si>
    <t>-608.132038471396 146.506316037629 -764.81462871866</t>
  </si>
  <si>
    <t>-530.848226395977 266.554868099105 -729.61196808375</t>
  </si>
  <si>
    <t>-499.63528444621 246.810527816147 -415.252012367468</t>
  </si>
  <si>
    <t>-281.936973014975 149.216369050612 -311.691103386744</t>
  </si>
  <si>
    <t>-637.174253776609 90.1827529068946 -770.068981325611</t>
  </si>
  <si>
    <t>-568.188139386996 205.095084717696 -240.441715765572</t>
  </si>
  <si>
    <t>-583.24910080629 196.667194958594 214.926020808072</t>
  </si>
  <si>
    <t>-622.645100949657 177.681443409226 682.601804947078</t>
  </si>
  <si>
    <t>-485.09906818952 105.37436751161 765.041415294248</t>
  </si>
  <si>
    <t>-645.535441692596 24.3724743553548 -219.568717926074</t>
  </si>
  <si>
    <t>-504.634032586099 -99.9678332673063 195.574556313228</t>
  </si>
  <si>
    <t>-499.48340536258 -25.4472420125442 659.394160308029</t>
  </si>
  <si>
    <t>-490.441037857404 -176.140718226825 749.689321997993</t>
  </si>
  <si>
    <t>9763-20170724T160449.627207000.bin</t>
  </si>
  <si>
    <t>-607.164901517888 114.622436852539 -230.394860738577</t>
  </si>
  <si>
    <t>-645.181134163214 117.642742306368 -345.344634848469</t>
  </si>
  <si>
    <t>-655.512320744108 119.318181748128 -466.096659314624</t>
  </si>
  <si>
    <t>-653.337752978217 119.961140274009 -575.594114917682</t>
  </si>
  <si>
    <t>-639.77493690765 119.62681168039 -684.271569942819</t>
  </si>
  <si>
    <t>-609.171391509474 118.01693433829 -833.472190635728</t>
  </si>
  <si>
    <t>-552.363075179712 100.841056384315 -916.302067926203</t>
  </si>
  <si>
    <t>-608.162911040585 146.871300624511 -764.774931562714</t>
  </si>
  <si>
    <t>-530.681030830391 266.733048032466 -729.348718642784</t>
  </si>
  <si>
    <t>-498.648744051379 245.469869367482 -415.170550734491</t>
  </si>
  <si>
    <t>-280.98079058136 147.39147904731 -312.003745251254</t>
  </si>
  <si>
    <t>-637.262019862224 90.5873152980816 -770.136270495202</t>
  </si>
  <si>
    <t>-568.354794182096 204.859552627969 -240.453662449127</t>
  </si>
  <si>
    <t>-583.330350355631 196.463011388631 214.917472164815</t>
  </si>
  <si>
    <t>-622.715026366337 177.589400444659 682.613360340147</t>
  </si>
  <si>
    <t>-485.033580862776 105.502369719812 765.019644231248</t>
  </si>
  <si>
    <t>-645.881546038303 24.3113150875183 -219.636015076935</t>
  </si>
  <si>
    <t>-505.179533200647 -100.04431134384 195.570376227201</t>
  </si>
  <si>
    <t>-499.492514653761 -25.4024512799451 659.357074455472</t>
  </si>
  <si>
    <t>-490.510426696409 -176.113690521839 749.628644601571</t>
  </si>
  <si>
    <t>9763-20170724T160449.697400500.bin</t>
  </si>
  <si>
    <t>-607.529020374959 114.187459207723 -230.507995113803</t>
  </si>
  <si>
    <t>-645.501331098343 117.379587611863 -345.467530520039</t>
  </si>
  <si>
    <t>-655.664691199529 119.189247506881 -466.231872586879</t>
  </si>
  <si>
    <t>-653.290091918944 119.929122488257 -575.724632898076</t>
  </si>
  <si>
    <t>-639.48118924483 119.663545653671 -684.371190130649</t>
  </si>
  <si>
    <t>-608.491906244209 118.115450959491 -833.492840391</t>
  </si>
  <si>
    <t>-551.605880702563 101.028400669125 -916.287770455371</t>
  </si>
  <si>
    <t>-607.534759215249 146.873067124897 -764.754282644148</t>
  </si>
  <si>
    <t>-529.516686273323 266.240273887204 -728.879363619738</t>
  </si>
  <si>
    <t>-496.665770424347 242.079769827845 -414.995190903707</t>
  </si>
  <si>
    <t>-278.732589483658 143.736002814807 -312.644290307906</t>
  </si>
  <si>
    <t>-636.872594944859 90.7278594709094 -770.268037068616</t>
  </si>
  <si>
    <t>-568.444417465999 204.219309203998 -240.48823311088</t>
  </si>
  <si>
    <t>-583.324192790242 195.982196344455 214.888980430635</t>
  </si>
  <si>
    <t>-622.784814852216 177.493252411971 682.606905441795</t>
  </si>
  <si>
    <t>-485.090161091021 105.402419000008 764.987766816252</t>
  </si>
  <si>
    <t>-646.484148749252 24.0936890997857 -219.824990206744</t>
  </si>
  <si>
    <t>-506.34626523081 -100.236526951185 195.579671520212</t>
  </si>
  <si>
    <t>-499.560192494509 -25.3375178150643 659.299543159743</t>
  </si>
  <si>
    <t>-490.678683937775 -176.066902704026 749.55073763324</t>
  </si>
  <si>
    <t>9763-20170724T160449.725472300.bin</t>
  </si>
  <si>
    <t>-607.647850497741 113.981950593498 -230.506340117399</t>
  </si>
  <si>
    <t>-645.596533094432 117.246201035791 -345.471821788881</t>
  </si>
  <si>
    <t>-655.65449432294 119.100774404994 -466.244242081858</t>
  </si>
  <si>
    <t>-653.152243435114 119.86724716343 -575.73392602938</t>
  </si>
  <si>
    <t>-639.185191462361 119.612771202825 -684.360377981569</t>
  </si>
  <si>
    <t>-607.946605986106 118.062935179282 -833.429972942663</t>
  </si>
  <si>
    <t>-551.037014184985 100.986871541716 -916.210966396436</t>
  </si>
  <si>
    <t>-607.039982481395 146.786206663953 -764.676226689848</t>
  </si>
  <si>
    <t>-528.680776335571 265.894595514705 -728.629502346138</t>
  </si>
  <si>
    <t>-496.214951642852 240.83259056511 -414.775965972034</t>
  </si>
  <si>
    <t>-277.855635016228 142.964862539055 -312.877989019907</t>
  </si>
  <si>
    <t>-636.497414383683 90.7112119820356 -770.266323028672</t>
  </si>
  <si>
    <t>-568.403930521395 203.921924533256 -240.492162501909</t>
  </si>
  <si>
    <t>-583.305940732642 195.835967971065 214.887086259918</t>
  </si>
  <si>
    <t>-622.757754183443 177.561967998859 682.605771458757</t>
  </si>
  <si>
    <t>-485.083446810398 105.422894102566 764.978383270524</t>
  </si>
  <si>
    <t>-646.789416488966 23.9931688318843 -219.814740731008</t>
  </si>
  <si>
    <t>-506.785728318087 -100.413489389435 195.612359786695</t>
  </si>
  <si>
    <t>-499.553938553144 -25.2945980731997 659.282897312563</t>
  </si>
  <si>
    <t>-490.784409973379 -176.042447694297 749.514190994326</t>
  </si>
  <si>
    <t>9763-20170724T160449.797223600.bin</t>
  </si>
  <si>
    <t>-607.860263913586 113.544514767102 -230.539921722823</t>
  </si>
  <si>
    <t>-645.709081485448 116.913973718345 -345.535286623601</t>
  </si>
  <si>
    <t>-655.582127575309 118.754422438025 -466.323109264082</t>
  </si>
  <si>
    <t>-652.880866577473 119.463087348295 -575.8085614083</t>
  </si>
  <si>
    <t>-638.685457959471 119.109027512756 -684.40512910951</t>
  </si>
  <si>
    <t>-607.102094570475 117.380166357259 -833.400050965902</t>
  </si>
  <si>
    <t>-550.147220034297 100.236839927019 -916.135899829868</t>
  </si>
  <si>
    <t>-606.264145158023 146.13640766835 -764.659249494199</t>
  </si>
  <si>
    <t>-527.548082176932 264.926609997374 -728.412084812012</t>
  </si>
  <si>
    <t>-495.970372265612 240.326820002861 -414.431401954193</t>
  </si>
  <si>
    <t>-277.278052940467 142.933171025978 -312.793665705557</t>
  </si>
  <si>
    <t>-635.889403669418 90.1538094350603 -770.289478011371</t>
  </si>
  <si>
    <t>-568.218370130088 203.323392302854 -240.53480122127</t>
  </si>
  <si>
    <t>-583.330482467473 195.610406287261 214.843966897914</t>
  </si>
  <si>
    <t>-622.745980459305 177.535840061043 682.56327267224</t>
  </si>
  <si>
    <t>-485.077761723013 105.4245614415 764.970395912409</t>
  </si>
  <si>
    <t>-647.366093554227 23.7613409671756 -219.843729025143</t>
  </si>
  <si>
    <t>-507.662167569106 -100.748674612649 195.653244436956</t>
  </si>
  <si>
    <t>-499.550348624409 -25.2200524360107 659.250376213069</t>
  </si>
  <si>
    <t>-490.995477554011 -176.000333700127 749.448027423576</t>
  </si>
  <si>
    <t>9763-20170724T160449.839335000.bin</t>
  </si>
  <si>
    <t>-607.877056034736 113.351710603015 -230.590709341444</t>
  </si>
  <si>
    <t>-645.695581090871 116.734350693345 -345.595640656139</t>
  </si>
  <si>
    <t>-655.495309325924 118.541364048583 -466.389974038385</t>
  </si>
  <si>
    <t>-652.711325558666 119.200267603265 -575.873558683126</t>
  </si>
  <si>
    <t>-638.418020765017 118.776883608918 -684.457070843475</t>
  </si>
  <si>
    <t>-606.68419256393 116.93156088937 -833.418608150071</t>
  </si>
  <si>
    <t>-549.711764062395 99.7244486376919 -916.129199189846</t>
  </si>
  <si>
    <t>-605.88266244584 145.72334914614 -764.692307978708</t>
  </si>
  <si>
    <t>-527.041643484978 264.42643477814 -728.380794125787</t>
  </si>
  <si>
    <t>-495.158767199361 240.340975350973 -414.390952474192</t>
  </si>
  <si>
    <t>-276.719791899705 142.620684686319 -312.522328322684</t>
  </si>
  <si>
    <t>-635.568195141209 89.7727683881994 -770.323289063405</t>
  </si>
  <si>
    <t>-568.165314487934 203.092155423359 -240.602791545421</t>
  </si>
  <si>
    <t>-583.257304015536 195.496867153395 214.778509229231</t>
  </si>
  <si>
    <t>-622.689232315036 177.565882773433 682.505467912498</t>
  </si>
  <si>
    <t>-485.204681553444 105.184828740081 764.982700153658</t>
  </si>
  <si>
    <t>-647.441443172431 23.5995476325218 -219.893227542435</t>
  </si>
  <si>
    <t>-507.995814390495 -100.950127445021 195.678678925975</t>
  </si>
  <si>
    <t>-499.55230392149 -25.1890422596707 659.231093064053</t>
  </si>
  <si>
    <t>-491.072299615142 -175.979229007147 749.419380185509</t>
  </si>
  <si>
    <t>9763-20170724T160449.895993200.bin</t>
  </si>
  <si>
    <t>-607.805938904785 112.883518262195 -230.657150517369</t>
  </si>
  <si>
    <t>-645.607066613673 116.334529941149 -345.665825013721</t>
  </si>
  <si>
    <t>-655.342499813805 118.094831437668 -466.465907568366</t>
  </si>
  <si>
    <t>-652.482995636961 118.660130565589 -575.948135456619</t>
  </si>
  <si>
    <t>-638.098461757487 118.089866496848 -684.518909423644</t>
  </si>
  <si>
    <t>-606.223905173931 115.983052049196 -833.447091256285</t>
  </si>
  <si>
    <t>-549.27809345312 98.5716581636455 -916.133193738254</t>
  </si>
  <si>
    <t>-605.407967506012 144.851509243354 -764.752978381109</t>
  </si>
  <si>
    <t>-526.349608402867 263.423405180841 -728.50462543905</t>
  </si>
  <si>
    <t>-494.250648258553 240.41082217297 -414.456400979532</t>
  </si>
  <si>
    <t>-275.413845410805 142.726851206165 -313.410059832</t>
  </si>
  <si>
    <t>-635.246816673633 88.9790233802548 -770.348863756756</t>
  </si>
  <si>
    <t>-568.025254763581 202.59985137225 -240.679911260458</t>
  </si>
  <si>
    <t>-583.128193228671 195.27106325425 214.705468367335</t>
  </si>
  <si>
    <t>-622.583072319918 177.668470829818 682.453550628592</t>
  </si>
  <si>
    <t>-485.246407294339 105.082088232726 764.996681313783</t>
  </si>
  <si>
    <t>-647.455226824297 23.1316211683338 -219.96837686592</t>
  </si>
  <si>
    <t>-508.127186455866 -101.377854071568 195.654979714754</t>
  </si>
  <si>
    <t>-499.496261395192 -25.1662162024227 659.113803638682</t>
  </si>
  <si>
    <t>-491.221080005686 -175.945832911557 749.338840126971</t>
  </si>
  <si>
    <t>9763-20170724T160449.926072100.bin</t>
  </si>
  <si>
    <t>-607.74118784161 112.601377121709 -230.672685283555</t>
  </si>
  <si>
    <t>-645.54660359667 116.055901439795 -345.67970734115</t>
  </si>
  <si>
    <t>-655.255947129366 117.782954182801 -466.482455662355</t>
  </si>
  <si>
    <t>-652.360952929253 118.301594303398 -575.964051523729</t>
  </si>
  <si>
    <t>-637.92984885747 117.667290206909 -684.528291627763</t>
  </si>
  <si>
    <t>-605.979869297915 115.453028705692 -833.438647457305</t>
  </si>
  <si>
    <t>-549.054374670259 97.9359778194748 -916.116573442844</t>
  </si>
  <si>
    <t>-605.163468335354 144.351304622303 -764.757252465168</t>
  </si>
  <si>
    <t>-526.116618323412 262.938629621091 -728.546017096677</t>
  </si>
  <si>
    <t>-494.080734577381 240.36483485473 -414.459504996587</t>
  </si>
  <si>
    <t>-275.039596456485 142.830006749736 -313.712536633671</t>
  </si>
  <si>
    <t>-635.07001013245 88.5142449857553 -770.343573368411</t>
  </si>
  <si>
    <t>-567.956797715792 202.266837208589 -240.701603379161</t>
  </si>
  <si>
    <t>-583.090293904698 195.115893424839 214.685634047372</t>
  </si>
  <si>
    <t>-622.614519398518 177.610565933808 682.454321972207</t>
  </si>
  <si>
    <t>-485.328120935918 104.935618184414 765.003137066017</t>
  </si>
  <si>
    <t>-647.446552423503 22.8855890854641 -219.955770549582</t>
  </si>
  <si>
    <t>-507.998480584728 -101.600509605773 195.634352950847</t>
  </si>
  <si>
    <t>-499.447330658043 -25.1661648865695 659.045900981856</t>
  </si>
  <si>
    <t>-491.253027843309 -175.930752840149 749.303311976071</t>
  </si>
  <si>
    <t>9763-20170724T160449.995264100.bin</t>
  </si>
  <si>
    <t>-607.622937257541 112.04064896889 -230.717804709436</t>
  </si>
  <si>
    <t>-645.421031500488 115.494811665329 -345.727334122269</t>
  </si>
  <si>
    <t>-655.10258989002 117.165685813616 -466.533102954261</t>
  </si>
  <si>
    <t>-652.175296217248 117.607375359575 -576.014071087137</t>
  </si>
  <si>
    <t>-637.705574039793 116.86851182407 -684.572465192885</t>
  </si>
  <si>
    <t>-605.696434342529 114.478898201167 -833.467534108128</t>
  </si>
  <si>
    <t>-548.83890967008 96.7696496758385 -916.151099927105</t>
  </si>
  <si>
    <t>-604.841846331165 143.421462375469 -764.805171277819</t>
  </si>
  <si>
    <t>-525.857628250767 262.064297066522 -728.635743732919</t>
  </si>
  <si>
    <t>-493.992216270135 240.342745375312 -414.471833285436</t>
  </si>
  <si>
    <t>-274.309045360243 142.994162162595 -314.949954232787</t>
  </si>
  <si>
    <t>-634.877075549683 87.6510604207203 -770.366996719526</t>
  </si>
  <si>
    <t>-567.713566786742 201.640434204167 -240.745332500656</t>
  </si>
  <si>
    <t>-582.914952623814 194.767319518885 214.643909248079</t>
  </si>
  <si>
    <t>-622.571569734371 177.685122204484 682.441539717942</t>
  </si>
  <si>
    <t>-485.448160578012 104.704455624957 764.991499488933</t>
  </si>
  <si>
    <t>-647.440548087992 22.4255082028083 -219.977065683141</t>
  </si>
  <si>
    <t>-507.849909086941 -101.926350053766 195.60534887732</t>
  </si>
  <si>
    <t>-499.324585795036 -25.1705427265335 658.950067702987</t>
  </si>
  <si>
    <t>-491.265178736535 -175.896656063431 749.283656830162</t>
  </si>
  <si>
    <t>9763-20170724T160450.026345600.bin</t>
  </si>
  <si>
    <t>-607.474726041759 111.710455199727 -230.726713300157</t>
  </si>
  <si>
    <t>-645.255390579596 115.158500169133 -345.742017283289</t>
  </si>
  <si>
    <t>-654.927503548164 116.79800840098 -466.549060986708</t>
  </si>
  <si>
    <t>-651.995807990563 117.198756196813 -576.030160903179</t>
  </si>
  <si>
    <t>-637.525864391145 116.405599348259 -684.588092594522</t>
  </si>
  <si>
    <t>-605.521412203062 113.925199261859 -833.482614136099</t>
  </si>
  <si>
    <t>-548.724806439847 96.1197149003408 -916.187482192858</t>
  </si>
  <si>
    <t>-604.630720962804 142.890547463609 -764.830377369276</t>
  </si>
  <si>
    <t>-525.601400625908 261.524436843917 -728.71875512967</t>
  </si>
  <si>
    <t>-494.076085627303 240.411807886314 -414.479019150437</t>
  </si>
  <si>
    <t>-274.34662144502 143.061662103854 -315.06061864025</t>
  </si>
  <si>
    <t>-634.734127453229 87.1547709905417 -770.372460819831</t>
  </si>
  <si>
    <t>-567.568842883719 201.245989199064 -240.765685196196</t>
  </si>
  <si>
    <t>-582.794016178346 194.518923345399 214.624915439909</t>
  </si>
  <si>
    <t>-622.586074237748 177.645571315361 682.428060146374</t>
  </si>
  <si>
    <t>-485.433289626432 104.716951253739 764.975263761948</t>
  </si>
  <si>
    <t>-647.266508155177 22.1330970563972 -219.998245639519</t>
  </si>
  <si>
    <t>-507.710472186799 -102.199095512516 195.601697863204</t>
  </si>
  <si>
    <t>-499.231066427249 -25.1844573288067 658.89792349253</t>
  </si>
  <si>
    <t>-491.303496070916 -175.882778596048 749.28975419843</t>
  </si>
  <si>
    <t>9763-20170724T160450.092528700.bin</t>
  </si>
  <si>
    <t>-607.090859816694 110.948668271293 -230.765087221158</t>
  </si>
  <si>
    <t>-644.825072594796 114.405494943061 -345.795363199226</t>
  </si>
  <si>
    <t>-654.450632950173 115.958870837365 -466.607306856951</t>
  </si>
  <si>
    <t>-651.478241331194 116.245255064509 -576.0875256523</t>
  </si>
  <si>
    <t>-636.970052675858 115.302653615044 -684.639235651203</t>
  </si>
  <si>
    <t>-604.915591081653 112.579863301454 -833.518713242048</t>
  </si>
  <si>
    <t>-548.22389704203 94.5707741512138 -916.251599328757</t>
  </si>
  <si>
    <t>-604.020011832323 141.641164429995 -764.907110218595</t>
  </si>
  <si>
    <t>-524.696657085862 260.101242378531 -728.862121004394</t>
  </si>
  <si>
    <t>-493.815047687471 240.071895478038 -414.487539864306</t>
  </si>
  <si>
    <t>-274.217139826437 142.765778349927 -314.73633906342</t>
  </si>
  <si>
    <t>-634.177412535423 85.9280313381776 -770.381393201955</t>
  </si>
  <si>
    <t>-567.135382234296 200.398802701113 -240.810243969418</t>
  </si>
  <si>
    <t>-582.466868501297 193.961693983703 214.580902809157</t>
  </si>
  <si>
    <t>-622.568765778813 177.620226873574 682.39141207565</t>
  </si>
  <si>
    <t>-485.463722316089 104.62763793531 764.961344856026</t>
  </si>
  <si>
    <t>-646.935729116597 21.4597475952983 -220.031181001854</t>
  </si>
  <si>
    <t>-507.38910669558 -102.844051088239 195.580433120321</t>
  </si>
  <si>
    <t>-499.114849639238 -25.2347492427241 658.776429512171</t>
  </si>
  <si>
    <t>-491.337499665586 -175.853032877329 749.314579896418</t>
  </si>
  <si>
    <t>9763-20170724T160450.124613000.bin</t>
  </si>
  <si>
    <t>-606.962486444624 110.446628233657 -230.799102956439</t>
  </si>
  <si>
    <t>-644.687248653647 113.888198710612 -345.833002158211</t>
  </si>
  <si>
    <t>-654.31740598163 115.384103847364 -466.645214915724</t>
  </si>
  <si>
    <t>-651.355313533971 115.601051777235 -576.125944543634</t>
  </si>
  <si>
    <t>-636.863999237988 114.571048055022 -684.67920756886</t>
  </si>
  <si>
    <t>-604.839735417428 111.708180818336 -833.562518706732</t>
  </si>
  <si>
    <t>-548.207615483463 93.5840510793385 -916.310918985504</t>
  </si>
  <si>
    <t>-603.922576097678 140.829831824841 -764.976723981764</t>
  </si>
  <si>
    <t>-524.518333208977 259.259834608688 -729.024851962034</t>
  </si>
  <si>
    <t>-493.097789433795 239.387113246209 -414.693819077988</t>
  </si>
  <si>
    <t>-274.144207390478 141.650876149568 -313.951459110252</t>
  </si>
  <si>
    <t>-634.096299269861 85.120090839388 -770.395660086033</t>
  </si>
  <si>
    <t>-567.037625726923 199.882228034414 -240.83232747353</t>
  </si>
  <si>
    <t>-582.394778531332 193.593054589382 214.560136709362</t>
  </si>
  <si>
    <t>-622.604344054367 177.524382554862 682.368504637526</t>
  </si>
  <si>
    <t>-485.362709096195 104.794960513461 764.943796589534</t>
  </si>
  <si>
    <t>-646.796172539343 20.9641668195854 -220.073320422731</t>
  </si>
  <si>
    <t>-507.23985458619 -103.016344475956 195.631534207662</t>
  </si>
  <si>
    <t>-499.088766577775 -25.2251241730519 658.789349242091</t>
  </si>
  <si>
    <t>-491.274888138617 -175.830247042593 749.346447473411</t>
  </si>
  <si>
    <t>9763-20170724T160450.193411800.bin</t>
  </si>
  <si>
    <t>-606.620040432995 109.671245588799 -230.804174912079</t>
  </si>
  <si>
    <t>-644.269689266534 113.050063461337 -345.864519422334</t>
  </si>
  <si>
    <t>-653.829714350073 114.445759554567 -466.683578595373</t>
  </si>
  <si>
    <t>-650.808941413183 114.547677430984 -576.162817440694</t>
  </si>
  <si>
    <t>-636.265175026332 113.373039786234 -684.707540293953</t>
  </si>
  <si>
    <t>-604.176223917907 110.273377640893 -833.572302797328</t>
  </si>
  <si>
    <t>-547.628135389986 91.9545504457328 -916.335250786983</t>
  </si>
  <si>
    <t>-603.228357328956 139.469856862423 -765.018731260413</t>
  </si>
  <si>
    <t>-523.358590350326 257.593436758113 -729.058784347603</t>
  </si>
  <si>
    <t>-491.225163691144 237.807328497586 -414.794362470891</t>
  </si>
  <si>
    <t>-272.866654019827 139.821549340802 -313.008325722612</t>
  </si>
  <si>
    <t>-633.520832164008 83.819891210215 -770.389647925031</t>
  </si>
  <si>
    <t>-566.735520976568 199.123828138065 -240.864322786685</t>
  </si>
  <si>
    <t>-582.253246234296 193.183896503024 214.52742569353</t>
  </si>
  <si>
    <t>-622.576953248746 177.522341601292 682.344573846928</t>
  </si>
  <si>
    <t>-485.418640020472 104.664563176464 764.945116080114</t>
  </si>
  <si>
    <t>-646.393499047592 20.1973317185632 -220.043379196154</t>
  </si>
  <si>
    <t>-506.836949755195 -103.450565460885 195.760378201538</t>
  </si>
  <si>
    <t>-499.045598295536 -25.1499674976951 658.874327800329</t>
  </si>
  <si>
    <t>-491.088303258633 -175.772561399039 749.389820315518</t>
  </si>
  <si>
    <t>9763-20170724T160450.225497600.bin</t>
  </si>
  <si>
    <t>-606.448380726448 109.346960551746 -230.762059013246</t>
  </si>
  <si>
    <t>-644.064321023404 112.673377154715 -345.834886812096</t>
  </si>
  <si>
    <t>-653.577360326838 113.984499766761 -466.658654768171</t>
  </si>
  <si>
    <t>-650.509855105093 113.994896874088 -576.136559244523</t>
  </si>
  <si>
    <t>-635.916196280867 112.71243627827 -684.673428941042</t>
  </si>
  <si>
    <t>-603.755452188258 109.445224481775 -833.519015725723</t>
  </si>
  <si>
    <t>-547.247091957225 91.0284325480068 -916.287347561742</t>
  </si>
  <si>
    <t>-602.816342443419 138.705049244839 -764.992464831924</t>
  </si>
  <si>
    <t>-522.624355473234 256.629384052868 -729.07483433286</t>
  </si>
  <si>
    <t>-490.244210407337 236.39987475835 -414.863923619837</t>
  </si>
  <si>
    <t>-272.227623997006 138.019391488917 -312.726414498022</t>
  </si>
  <si>
    <t>-633.154801856814 83.0766998960526 -770.326503303481</t>
  </si>
  <si>
    <t>-566.54428712384 198.807528288407 -240.861145224086</t>
  </si>
  <si>
    <t>-582.182842821455 193.064169017664 214.528988066265</t>
  </si>
  <si>
    <t>-622.537875365667 177.557633196579 682.329013804165</t>
  </si>
  <si>
    <t>-485.409679827695 104.66958845128 764.952809175955</t>
  </si>
  <si>
    <t>-646.237508409995 19.8677360754477 -219.964420514557</t>
  </si>
  <si>
    <t>-506.548815515654 -103.674749973605 195.826342534854</t>
  </si>
  <si>
    <t>-499.031757229234 -25.1103704896439 658.896145383298</t>
  </si>
  <si>
    <t>-490.973499328651 -175.746771103799 749.379524486882</t>
  </si>
  <si>
    <t>9763-20170724T160450.294402900.bin</t>
  </si>
  <si>
    <t>-606.225002774128 108.553664016467 -230.812993936824</t>
  </si>
  <si>
    <t>-643.735721357467 111.821421182827 -345.921971708501</t>
  </si>
  <si>
    <t>-653.177836214513 113.003813236127 -466.752528394288</t>
  </si>
  <si>
    <t>-650.063414789081 112.86473776396 -576.229156370616</t>
  </si>
  <si>
    <t>-635.441222491029 111.397481238749 -684.759823835617</t>
  </si>
  <si>
    <t>-603.261032944821 107.834394936163 -833.594346440333</t>
  </si>
  <si>
    <t>-546.793896385368 89.2734662682317 -916.358696572693</t>
  </si>
  <si>
    <t>-602.291747354567 137.208234676906 -765.116840351312</t>
  </si>
  <si>
    <t>-521.799949587245 254.895051004274 -729.182139388218</t>
  </si>
  <si>
    <t>-487.72523751408 232.464769391568 -415.3000066857</t>
  </si>
  <si>
    <t>-270.197684588978 133.329270051524 -312.850115407673</t>
  </si>
  <si>
    <t>-632.707803363087 81.6136501635685 -770.362365237937</t>
  </si>
  <si>
    <t>-566.380582133983 198.037868291382 -240.887540898033</t>
  </si>
  <si>
    <t>-582.263461160582 192.687459590214 214.498787788638</t>
  </si>
  <si>
    <t>-622.610025003885 177.368594622926 682.317150569769</t>
  </si>
  <si>
    <t>-485.312242430571 104.804913276559 764.94494303687</t>
  </si>
  <si>
    <t>-645.950775867372 19.0616311760107 -220.041876027654</t>
  </si>
  <si>
    <t>-506.046612156134 -103.854467208088 195.862115153026</t>
  </si>
  <si>
    <t>-499.004123337418 -25.0785812239542 658.898221901734</t>
  </si>
  <si>
    <t>-490.77693108071 -175.709162605805 749.376262319716</t>
  </si>
  <si>
    <t>9763-20170724T160450.325488600.bin</t>
  </si>
  <si>
    <t>-606.129608524463 108.153294020902 -230.82182597836</t>
  </si>
  <si>
    <t>-643.545382989706 111.376765972243 -345.962974616997</t>
  </si>
  <si>
    <t>-652.901799993952 112.514553136788 -466.800568503111</t>
  </si>
  <si>
    <t>-649.715906958518 112.328130691854 -576.274994776976</t>
  </si>
  <si>
    <t>-635.029760817963 110.802054758001 -684.796075637713</t>
  </si>
  <si>
    <t>-602.769936026808 107.14114140777 -833.611199373473</t>
  </si>
  <si>
    <t>-546.313204226743 88.5151192200301 -916.367976528017</t>
  </si>
  <si>
    <t>-601.798552359812 136.537858723144 -765.143488675442</t>
  </si>
  <si>
    <t>-521.029981354627 254.048427163617 -729.159296915188</t>
  </si>
  <si>
    <t>-486.482600607621 229.768781682353 -415.466382382119</t>
  </si>
  <si>
    <t>-269.22251838853 130.47871826972 -312.599563034369</t>
  </si>
  <si>
    <t>-632.289327908084 80.9840263648798 -770.386664439203</t>
  </si>
  <si>
    <t>-566.329554505792 197.650572658351 -240.907482130933</t>
  </si>
  <si>
    <t>-582.237276518007 192.479890308198 214.480153270282</t>
  </si>
  <si>
    <t>-622.579271634283 177.373878013677 682.298123815024</t>
  </si>
  <si>
    <t>-485.353371559196 104.700831885909 764.949152045684</t>
  </si>
  <si>
    <t>-645.774762074957 18.6541984588002 -220.057323586889</t>
  </si>
  <si>
    <t>-505.83150443572 -104.030007781138 195.902075128442</t>
  </si>
  <si>
    <t>-498.996511801916 -25.0544394884116 658.905881082306</t>
  </si>
  <si>
    <t>-490.698732344039 -175.685137927212 749.377215889027</t>
  </si>
  <si>
    <t>9763-20170724T160450.392667100.bin</t>
  </si>
  <si>
    <t>-605.931099123037 107.361120207278 -230.856341243479</t>
  </si>
  <si>
    <t>-643.228481820107 110.569712245398 -346.036329525051</t>
  </si>
  <si>
    <t>-652.505967159138 111.655521871127 -466.880422020315</t>
  </si>
  <si>
    <t>-649.267812144612 111.401468071126 -576.353312890461</t>
  </si>
  <si>
    <t>-634.549754895689 109.783909336739 -684.868754804556</t>
  </si>
  <si>
    <t>-602.267457742257 105.968244835533 -833.675021267728</t>
  </si>
  <si>
    <t>-545.884594499604 87.2012311729193 -916.450333771782</t>
  </si>
  <si>
    <t>-601.254455576537 135.406412987656 -765.225782461391</t>
  </si>
  <si>
    <t>-520.291571112685 252.713250950468 -729.10717499238</t>
  </si>
  <si>
    <t>-483.868774265796 224.151164050106 -415.987742453387</t>
  </si>
  <si>
    <t>-266.890056653322 124.535940505265 -312.84180815374</t>
  </si>
  <si>
    <t>-631.848306527382 79.9066835972735 -770.439797432938</t>
  </si>
  <si>
    <t>-566.144507157525 196.81171623424 -240.900006500007</t>
  </si>
  <si>
    <t>-582.356562481218 192.121929979047 214.48206371454</t>
  </si>
  <si>
    <t>-622.581977905671 177.346833386592 682.309806175268</t>
  </si>
  <si>
    <t>-485.397806285801 104.588792078794 764.95533651562</t>
  </si>
  <si>
    <t>-645.67048750684 17.856804960011 -220.125622792225</t>
  </si>
  <si>
    <t>-505.436593855465 -104.314661148353 195.886733400062</t>
  </si>
  <si>
    <t>-498.972936287721 -25.0637592858939 658.844110233206</t>
  </si>
  <si>
    <t>-490.482008084924 -175.653863916651 749.365053741103</t>
  </si>
  <si>
    <t>9763-20170724T160450.426759600.bin</t>
  </si>
  <si>
    <t>-605.830208970199 106.968029464868 -230.890223622228</t>
  </si>
  <si>
    <t>-643.05366492889 110.152699772307 -346.094692438301</t>
  </si>
  <si>
    <t>-652.259986151843 111.194645019768 -466.944721460806</t>
  </si>
  <si>
    <t>-648.96069802411 110.889297313967 -576.415563928238</t>
  </si>
  <si>
    <t>-634.185773422413 109.207001439356 -684.922493327578</t>
  </si>
  <si>
    <t>-601.829746393159 105.285835380198 -833.709944671103</t>
  </si>
  <si>
    <t>-545.463333676447 86.4209131964171 -916.474228233515</t>
  </si>
  <si>
    <t>-600.806528567194 134.747240171473 -765.270915850961</t>
  </si>
  <si>
    <t>-519.620245242312 251.887976284554 -729.053549586933</t>
  </si>
  <si>
    <t>-482.013648544597 221.335442025663 -416.262155837843</t>
  </si>
  <si>
    <t>-264.919697086706 121.758418832312 -313.321924293368</t>
  </si>
  <si>
    <t>-631.48610188574 79.2943446493823 -770.481246071169</t>
  </si>
  <si>
    <t>-565.994681479626 196.371107451161 -240.926802464658</t>
  </si>
  <si>
    <t>-582.369092707384 191.933520290315 214.451973964664</t>
  </si>
  <si>
    <t>-622.619374213298 177.265658644123 682.318363611974</t>
  </si>
  <si>
    <t>-485.411023477253 104.545477127954 764.95704763316</t>
  </si>
  <si>
    <t>-645.594486360434 17.5167131685241 -220.143923576893</t>
  </si>
  <si>
    <t>-505.274743062485 -104.578294160704 195.86191684283</t>
  </si>
  <si>
    <t>-498.937560721234 -25.0771977713027 658.803317674235</t>
  </si>
  <si>
    <t>-490.425280591578 -175.641739669967 749.364711370007</t>
  </si>
  <si>
    <t>9763-20170724T160450.495625000.bin</t>
  </si>
  <si>
    <t>-605.482664787763 106.090648495266 -230.900864401216</t>
  </si>
  <si>
    <t>-642.547226270395 109.264605014489 -346.156808314995</t>
  </si>
  <si>
    <t>-651.562438043877 110.218322660535 -467.021991105789</t>
  </si>
  <si>
    <t>-648.082430722363 109.787908726524 -576.486931620324</t>
  </si>
  <si>
    <t>-633.122784655653 107.927302666527 -684.965417410771</t>
  </si>
  <si>
    <t>-600.509548779234 103.69627512982 -833.688191859693</t>
  </si>
  <si>
    <t>-544.143256660927 84.5930096379816 -916.397902439714</t>
  </si>
  <si>
    <t>-599.478401869759 133.227284532723 -765.279485332382</t>
  </si>
  <si>
    <t>-517.725169332287 249.961897306886 -729.026930464785</t>
  </si>
  <si>
    <t>-477.951707529283 216.243413318434 -416.829353323433</t>
  </si>
  <si>
    <t>-260.642820173283 116.504612956564 -314.500900643598</t>
  </si>
  <si>
    <t>-630.401371173451 77.9094858820499 -770.486685785956</t>
  </si>
  <si>
    <t>-565.567125900038 195.407239897623 -240.905566433008</t>
  </si>
  <si>
    <t>-582.205901517395 191.44709966419 214.467981843882</t>
  </si>
  <si>
    <t>-622.643578386962 177.232703110697 682.342052309613</t>
  </si>
  <si>
    <t>-485.358814796061 104.617327665026 764.946052524147</t>
  </si>
  <si>
    <t>-645.244704432121 16.7272072472185 -220.167417532888</t>
  </si>
  <si>
    <t>-505.139335028414 -105.265006147184 195.940843689581</t>
  </si>
  <si>
    <t>-498.879599106079 -25.092595039079 658.748389611391</t>
  </si>
  <si>
    <t>-490.387981034287 -175.613422491829 749.384377174816</t>
  </si>
  <si>
    <t>9763-20170724T160450.527711100.bin</t>
  </si>
  <si>
    <t>-605.259388447362 105.645803910025 -230.916072675518</t>
  </si>
  <si>
    <t>-642.249783294389 108.832145461549 -346.195620207779</t>
  </si>
  <si>
    <t>-651.157661197732 109.723102568088 -467.069252625915</t>
  </si>
  <si>
    <t>-647.569961031477 109.201482157456 -576.530109310756</t>
  </si>
  <si>
    <t>-632.493832419625 107.213793170831 -684.990258292333</t>
  </si>
  <si>
    <t>-599.712024444283 102.767157926304 -833.669796572353</t>
  </si>
  <si>
    <t>-543.325771387855 83.5438816516928 -916.337932575883</t>
  </si>
  <si>
    <t>-598.697808863235 132.362129273028 -765.288206642631</t>
  </si>
  <si>
    <t>-516.642717225858 248.860425840113 -728.999866335453</t>
  </si>
  <si>
    <t>-475.821845927662 214.513533897391 -417.005963923784</t>
  </si>
  <si>
    <t>-258.578451358244 114.867021576621 -314.449119132279</t>
  </si>
  <si>
    <t>-629.736030495624 77.1072826064433 -770.479110220024</t>
  </si>
  <si>
    <t>-565.286920541869 194.90419308593 -240.899289404358</t>
  </si>
  <si>
    <t>-582.070484680012 191.153384609289 214.470847910457</t>
  </si>
  <si>
    <t>-622.624969280724 177.260327076527 682.342560416752</t>
  </si>
  <si>
    <t>-485.369034504372 104.586373765066 764.942922347421</t>
  </si>
  <si>
    <t>-645.136938136567 16.3172234020089 -220.189459482521</t>
  </si>
  <si>
    <t>-505.10114284971 -105.633903356028 195.954135088208</t>
  </si>
  <si>
    <t>-498.849864078791 -25.0971551276739 658.722918777356</t>
  </si>
  <si>
    <t>-490.404438144531 -175.600510834905 749.392456619181</t>
  </si>
  <si>
    <t>9763-20170724T160450.593895600.bin</t>
  </si>
  <si>
    <t>-604.762230300986 104.701381355893 -230.932137421646</t>
  </si>
  <si>
    <t>-641.51322662208 107.886244283369 -346.288313303154</t>
  </si>
  <si>
    <t>-650.228800171061 108.640067501901 -467.176802600281</t>
  </si>
  <si>
    <t>-646.492734840622 107.937303448923 -576.631823633182</t>
  </si>
  <si>
    <t>-631.296008499119 105.711474608208 -685.070457550237</t>
  </si>
  <si>
    <t>-598.377702641907 100.874104859809 -833.707594916372</t>
  </si>
  <si>
    <t>-541.990328091441 81.4065282349534 -916.317879204625</t>
  </si>
  <si>
    <t>-597.341909577045 130.599252288393 -765.382841284581</t>
  </si>
  <si>
    <t>-514.706192944757 246.671384955983 -729.026922998151</t>
  </si>
  <si>
    <t>-472.248658380789 211.646230443867 -417.327055495651</t>
  </si>
  <si>
    <t>-255.241712637552 112.385222532637 -313.899230496694</t>
  </si>
  <si>
    <t>-628.544103959199 75.4297824131031 -770.497646056248</t>
  </si>
  <si>
    <t>-564.58216097542 193.855712456533 -240.888545232481</t>
  </si>
  <si>
    <t>-581.788843549244 190.599695053445 214.469575117898</t>
  </si>
  <si>
    <t>-622.639862951132 177.19366191276 682.339943217034</t>
  </si>
  <si>
    <t>-485.46227355902 104.378341057496 764.945947826182</t>
  </si>
  <si>
    <t>-644.810310468423 15.5281026094715 -220.245936863565</t>
  </si>
  <si>
    <t>-505.146621529528 -106.317373453247 196.053781890758</t>
  </si>
  <si>
    <t>-498.849578869991 -25.1072815307853 658.692908546134</t>
  </si>
  <si>
    <t>-490.378222869765 -175.576205900147 749.416945115151</t>
  </si>
  <si>
    <t>9763-20170724T160450.626980700.bin</t>
  </si>
  <si>
    <t>-604.491218559281 104.215931955658 -230.939897389004</t>
  </si>
  <si>
    <t>-641.124578948674 107.401439468388 -346.333310591363</t>
  </si>
  <si>
    <t>-649.742900579688 108.103855881884 -467.22907476671</t>
  </si>
  <si>
    <t>-645.929945036956 107.330635003457 -576.681030549419</t>
  </si>
  <si>
    <t>-630.669283472526 105.00818487146 -685.108665659609</t>
  </si>
  <si>
    <t>-597.67657812738 100.008079638317 -833.723903561361</t>
  </si>
  <si>
    <t>-541.292786338214 80.41440283617 -916.306914587221</t>
  </si>
  <si>
    <t>-596.636969668313 129.785484335779 -765.422185029252</t>
  </si>
  <si>
    <t>-513.822462027346 245.738510540571 -729.071317028526</t>
  </si>
  <si>
    <t>-470.646716070799 210.778588535657 -417.462771914753</t>
  </si>
  <si>
    <t>-253.697820964252 111.624257925834 -313.811198103123</t>
  </si>
  <si>
    <t>-627.912756067652 74.6553697276906 -770.510454105903</t>
  </si>
  <si>
    <t>-564.298243701663 193.380764039209 -240.870499191787</t>
  </si>
  <si>
    <t>-581.707289507986 190.351473430723 214.48145991726</t>
  </si>
  <si>
    <t>-622.642190906349 177.208732121078 682.362023452935</t>
  </si>
  <si>
    <t>-485.436119348085 104.412222831784 764.937263478195</t>
  </si>
  <si>
    <t>-644.543347240999 15.0333570048265 -220.309043033418</t>
  </si>
  <si>
    <t>-505.04096810382 -106.565640266473 196.116752693642</t>
  </si>
  <si>
    <t>-498.831292917917 -25.0972779792623 658.710146374018</t>
  </si>
  <si>
    <t>-490.343145868664 -175.558453407537 749.445460988378</t>
  </si>
  <si>
    <t>9763-20170724T160450.698175900.bin</t>
  </si>
  <si>
    <t>-603.86140661518 103.294750891621 -230.898913463192</t>
  </si>
  <si>
    <t>-640.289994056589 106.433443090925 -346.358513295605</t>
  </si>
  <si>
    <t>-648.710760455347 107.01106864942 -467.268886062344</t>
  </si>
  <si>
    <t>-644.727286739211 106.088107610949 -576.713492373473</t>
  </si>
  <si>
    <t>-629.307367183773 103.575885483433 -685.114568838776</t>
  </si>
  <si>
    <t>-596.107787489746 98.2677575384198 -833.672946052518</t>
  </si>
  <si>
    <t>-539.720015106569 78.392545384907 -916.185811249679</t>
  </si>
  <si>
    <t>-595.125466896838 128.164487408247 -765.422355187399</t>
  </si>
  <si>
    <t>-512.110109269253 243.989772607492 -729.131345914072</t>
  </si>
  <si>
    <t>-467.421326736756 208.567223967436 -417.788578738393</t>
  </si>
  <si>
    <t>-250.515343917125 109.56701629537 -313.900037236818</t>
  </si>
  <si>
    <t>-626.469675481234 73.0683925889973 -770.458480921608</t>
  </si>
  <si>
    <t>-563.847242656078 192.424214964372 -240.777929816951</t>
  </si>
  <si>
    <t>-581.521361895295 189.773151316572 214.566116485</t>
  </si>
  <si>
    <t>-622.817772945435 176.925517025354 682.420333112945</t>
  </si>
  <si>
    <t>-485.330392460306 104.573457116783 764.918231050143</t>
  </si>
  <si>
    <t>-643.750285234943 14.1496321752286 -220.306444960047</t>
  </si>
  <si>
    <t>-504.488391048325 -107.224979128016 196.265289197292</t>
  </si>
  <si>
    <t>-498.749616157763 -25.0581460176477 658.75309429032</t>
  </si>
  <si>
    <t>-490.32635554127 -175.524986064454 749.485037605384</t>
  </si>
  <si>
    <t>9763-20170724T160450.725247700.bin</t>
  </si>
  <si>
    <t>-603.506658502965 102.918923526861 -230.868045923078</t>
  </si>
  <si>
    <t>-639.86032431793 106.063012267852 -346.351044060171</t>
  </si>
  <si>
    <t>-648.217167525151 106.621843290943 -467.266001812247</t>
  </si>
  <si>
    <t>-644.182752904126 105.667091315278 -576.708557508971</t>
  </si>
  <si>
    <t>-628.71961585216 103.10594236113 -685.102130094774</t>
  </si>
  <si>
    <t>-595.469242628182 97.7093340420276 -833.646071325942</t>
  </si>
  <si>
    <t>-539.096598331444 77.6939033853159 -916.135435881832</t>
  </si>
  <si>
    <t>-594.478824047526 127.628229314911 -765.405223755578</t>
  </si>
  <si>
    <t>-511.353721237728 243.342563935696 -729.051439956418</t>
  </si>
  <si>
    <t>-465.826811567755 207.370877149734 -417.89316334605</t>
  </si>
  <si>
    <t>-248.84686399755 108.241741051114 -314.282509790089</t>
  </si>
  <si>
    <t>-625.88411224433 72.5661787348793 -770.434670340727</t>
  </si>
  <si>
    <t>-563.520455817819 192.026746150084 -240.716416718686</t>
  </si>
  <si>
    <t>-581.397036603881 189.577144026703 214.620866746674</t>
  </si>
  <si>
    <t>-622.861273645289 176.863754665477 682.461221777307</t>
  </si>
  <si>
    <t>-485.358340807365 104.493091395035 764.916896062286</t>
  </si>
  <si>
    <t>-643.403252787507 13.7777727877276 -220.298069287544</t>
  </si>
  <si>
    <t>-504.119699884834 -107.436568878904 196.313164014123</t>
  </si>
  <si>
    <t>-498.739762852611 -25.0394992516435 658.764474717002</t>
  </si>
  <si>
    <t>-490.237429174482 -175.510615016146 749.482045284388</t>
  </si>
  <si>
    <t>9763-20170724T160450.791429100.bin</t>
  </si>
  <si>
    <t>-602.872915216615 102.185969754804 -230.785915386378</t>
  </si>
  <si>
    <t>-639.033790803074 105.304031689242 -346.330118422826</t>
  </si>
  <si>
    <t>-647.241918318949 105.796622261519 -467.255497739129</t>
  </si>
  <si>
    <t>-643.095756208849 104.75782575391 -576.693186493922</t>
  </si>
  <si>
    <t>-627.546020351544 102.083726406088 -685.07163286231</t>
  </si>
  <si>
    <t>-594.203105918481 96.4960069475362 -833.587751137837</t>
  </si>
  <si>
    <t>-537.884231032676 76.2116565479093 -916.048145498336</t>
  </si>
  <si>
    <t>-593.171591384472 126.452867287566 -765.36429465554</t>
  </si>
  <si>
    <t>-509.674931143902 241.921038928691 -728.995614185112</t>
  </si>
  <si>
    <t>-462.635756710371 204.751846444305 -418.203175524159</t>
  </si>
  <si>
    <t>-245.479499616089 105.546333151408 -315.03605939055</t>
  </si>
  <si>
    <t>-624.741026196499 71.4839368504877 -770.383803217796</t>
  </si>
  <si>
    <t>-562.871180743551 191.156999241234 -240.59465185948</t>
  </si>
  <si>
    <t>-581.126683264482 189.013922708055 214.729145572076</t>
  </si>
  <si>
    <t>-623.017938826352 176.68343241752 682.586460033941</t>
  </si>
  <si>
    <t>-485.203602174719 104.744015797855 764.899543660442</t>
  </si>
  <si>
    <t>-642.793820221551 13.1651185548933 -220.266470880684</t>
  </si>
  <si>
    <t>-503.600592636477 -107.87807274416 196.424624380627</t>
  </si>
  <si>
    <t>-498.713747679986 -24.997925687933 658.808002171107</t>
  </si>
  <si>
    <t>-490.073069608813 -175.479267310795 749.495502052135</t>
  </si>
  <si>
    <t>9763-20170724T160450.824517600.bin</t>
  </si>
  <si>
    <t>-602.492362285128 101.822395550284 -230.739021113874</t>
  </si>
  <si>
    <t>-638.561652779349 104.934669305297 -346.311941101598</t>
  </si>
  <si>
    <t>-646.715743264005 105.388265551252 -467.241189015992</t>
  </si>
  <si>
    <t>-642.538608881686 104.296941686895 -576.676967173859</t>
  </si>
  <si>
    <t>-626.97652552449 101.551249233103 -685.052020169136</t>
  </si>
  <si>
    <t>-593.636458358317 95.842256309722 -833.564100952007</t>
  </si>
  <si>
    <t>-537.374639084075 75.4074182301733 -916.026403143609</t>
  </si>
  <si>
    <t>-592.56282448469 125.830333938497 -765.355096422615</t>
  </si>
  <si>
    <t>-508.904220966062 241.179637551903 -729.029859146852</t>
  </si>
  <si>
    <t>-461.488026535265 203.682089271265 -418.334092297758</t>
  </si>
  <si>
    <t>-244.46901315645 104.38233012842 -314.968788446857</t>
  </si>
  <si>
    <t>-624.214017103963 70.9062447762474 -770.349261875208</t>
  </si>
  <si>
    <t>-562.453304746646 190.750421505136 -240.524614244377</t>
  </si>
  <si>
    <t>-580.839975943384 188.742180754161 214.794549120712</t>
  </si>
  <si>
    <t>-623.029904024539 176.691227351995 682.619600385765</t>
  </si>
  <si>
    <t>-485.179892842467 104.767450147371 764.886552130521</t>
  </si>
  <si>
    <t>-642.404147302829 12.8516871847303 -220.252825391092</t>
  </si>
  <si>
    <t>-503.439517868293 -108.136601101023 196.530444163788</t>
  </si>
  <si>
    <t>-498.689208533164 -24.9770144075455 658.844036929286</t>
  </si>
  <si>
    <t>-490.063377236888 -175.465458902547 749.521037959681</t>
  </si>
  <si>
    <t>9763-20170724T160450.896243500.bin</t>
  </si>
  <si>
    <t>-601.767477386848 101.119916390952 -230.743719159869</t>
  </si>
  <si>
    <t>-637.672378588862 104.312218326214 -346.365817484814</t>
  </si>
  <si>
    <t>-645.703404443269 104.744852006508 -467.303252361669</t>
  </si>
  <si>
    <t>-641.43636889923 103.588969471137 -576.734975536063</t>
  </si>
  <si>
    <t>-625.80774324155 100.731024954783 -685.097517429027</t>
  </si>
  <si>
    <t>-592.401274824145 94.814296122998 -833.586565071999</t>
  </si>
  <si>
    <t>-536.283233725899 74.0793203126 -916.071826628539</t>
  </si>
  <si>
    <t>-591.289966381727 124.856826791531 -765.402076731704</t>
  </si>
  <si>
    <t>-507.26324174429 239.961774151568 -729.138230041926</t>
  </si>
  <si>
    <t>-459.759917739941 202.698858741694 -418.427654658426</t>
  </si>
  <si>
    <t>-243.056126772544 103.265251542408 -314.531120145335</t>
  </si>
  <si>
    <t>-623.07526949128 70.0076583802959 -770.367482606478</t>
  </si>
  <si>
    <t>-561.69365178473 189.98963091253 -240.412787198654</t>
  </si>
  <si>
    <t>-580.31045387317 188.049341160984 214.89730275979</t>
  </si>
  <si>
    <t>-623.145743065313 176.567658152621 682.711374410496</t>
  </si>
  <si>
    <t>-485.157946933569 104.767826274345 764.855504767312</t>
  </si>
  <si>
    <t>-641.763109881201 12.2324148093658 -220.392551398908</t>
  </si>
  <si>
    <t>-503.290975777825 -108.336667976527 196.676083203124</t>
  </si>
  <si>
    <t>-498.685755512136 -24.9537045650254 658.958457151858</t>
  </si>
  <si>
    <t>-490.028021368803 -175.447470232431 749.623641195887</t>
  </si>
  <si>
    <t>9763-20170724T160450.929330700.bin</t>
  </si>
  <si>
    <t>-601.436400865611 100.855088354075 -230.719010554729</t>
  </si>
  <si>
    <t>-637.281705333187 104.10048876337 -346.35804969683</t>
  </si>
  <si>
    <t>-645.252682053661 104.527783930569 -467.299529594083</t>
  </si>
  <si>
    <t>-640.933123700753 103.342464105704 -576.728948343974</t>
  </si>
  <si>
    <t>-625.254862511524 100.430296555957 -685.08273733465</t>
  </si>
  <si>
    <t>-591.783132839663 94.4127512957778 -833.553032680021</t>
  </si>
  <si>
    <t>-535.781954898464 73.4972227541243 -916.072077738693</t>
  </si>
  <si>
    <t>-590.685047408787 124.491588256953 -765.384485618813</t>
  </si>
  <si>
    <t>-506.551024775533 239.528926094114 -729.163668377597</t>
  </si>
  <si>
    <t>-458.986132304841 202.337589469014 -418.45393721599</t>
  </si>
  <si>
    <t>-242.492814124856 102.691042795137 -314.323091136202</t>
  </si>
  <si>
    <t>-622.501579567782 69.6591293637944 -770.334912993798</t>
  </si>
  <si>
    <t>-561.339600108471 189.694793079088 -240.334327996525</t>
  </si>
  <si>
    <t>-580.027503793439 187.692590437299 214.972671350956</t>
  </si>
  <si>
    <t>-623.23377911215 176.477751584791 682.777468734032</t>
  </si>
  <si>
    <t>-485.092458063521 104.869059269898 764.830394303829</t>
  </si>
  <si>
    <t>-641.440807102853 12.0511188952178 -220.407634851853</t>
  </si>
  <si>
    <t>-503.242726766072 -108.413823834376 196.781906419671</t>
  </si>
  <si>
    <t>-498.70560176366 -24.93445939246 659.043726534902</t>
  </si>
  <si>
    <t>-489.974779947503 -175.436596999288 749.688176645737</t>
  </si>
  <si>
    <t>9763-20170724T160450.992004500.bin</t>
  </si>
  <si>
    <t>-600.830574249974 100.409776422387 -230.704872359841</t>
  </si>
  <si>
    <t>-636.547848235433 103.758933175735 -346.380608147208</t>
  </si>
  <si>
    <t>-644.426489740552 104.206827869198 -467.328016606493</t>
  </si>
  <si>
    <t>-640.041878536992 103.000259606118 -576.754546858934</t>
  </si>
  <si>
    <t>-624.318881418376 100.023756660153 -685.100264508422</t>
  </si>
  <si>
    <t>-590.807678105755 93.8690832048701 -833.556006899505</t>
  </si>
  <si>
    <t>-535.09351583462 72.5431580225179 -916.164234187963</t>
  </si>
  <si>
    <t>-589.670894443184 123.976658119965 -765.40050991159</t>
  </si>
  <si>
    <t>-505.290141445571 238.823290762865 -729.158367006445</t>
  </si>
  <si>
    <t>-457.145661941593 200.883247385525 -418.62838405505</t>
  </si>
  <si>
    <t>-240.823501067899 100.837596229013 -314.524333337156</t>
  </si>
  <si>
    <t>-621.599757505827 69.2080684487344 -770.337330688365</t>
  </si>
  <si>
    <t>-560.672798617535 189.213860802212 -240.209410720957</t>
  </si>
  <si>
    <t>-579.675209366083 187.309809078214 215.085044861938</t>
  </si>
  <si>
    <t>-623.296815396504 176.386547499003 682.822958376719</t>
  </si>
  <si>
    <t>-485.053006541232 104.888081707324 764.799324320616</t>
  </si>
  <si>
    <t>-640.903268891921 11.5668074230368 -220.534148921831</t>
  </si>
  <si>
    <t>-503.01290846267 -108.13577967886 196.976567924279</t>
  </si>
  <si>
    <t>-498.76404793151 -24.8729591826539 659.262055348883</t>
  </si>
  <si>
    <t>-489.760815316436 -175.405294419099 749.829539218947</t>
  </si>
  <si>
    <t>9763-20170724T160451.024088900.bin</t>
  </si>
  <si>
    <t>-600.555820170806 100.256856250545 -230.715016170187</t>
  </si>
  <si>
    <t>-636.23568966625 103.653659452532 -346.400919531085</t>
  </si>
  <si>
    <t>-644.09631699253 104.105223383299 -467.349535749242</t>
  </si>
  <si>
    <t>-639.704875176655 102.88023440446 -576.77561062758</t>
  </si>
  <si>
    <t>-623.985326615625 99.8614383349138 -685.120541850945</t>
  </si>
  <si>
    <t>-590.490307734632 93.6212491416907 -833.576441256705</t>
  </si>
  <si>
    <t>-534.911210497276 72.0861987921214 -916.221394852972</t>
  </si>
  <si>
    <t>-589.306056431294 123.743684196643 -765.428463826762</t>
  </si>
  <si>
    <t>-504.705105686932 238.452964614521 -729.245643627369</t>
  </si>
  <si>
    <t>-456.465312409131 200.030146660277 -418.789800046435</t>
  </si>
  <si>
    <t>-240.113603907086 99.8268867301454 -314.899072688207</t>
  </si>
  <si>
    <t>-621.315567414989 69.0210020717282 -770.350269523439</t>
  </si>
  <si>
    <t>-560.369505131558 189.040551104719 -240.190669446887</t>
  </si>
  <si>
    <t>-579.512855576484 187.195213322894 215.097991813398</t>
  </si>
  <si>
    <t>-623.277923425822 176.383029529931 682.826103014849</t>
  </si>
  <si>
    <t>-485.075479060002 104.794466799041 764.79360645998</t>
  </si>
  <si>
    <t>-640.675818279713 11.447600639832 -220.569609617999</t>
  </si>
  <si>
    <t>-502.880792613069 -107.988356979732 197.048869939449</t>
  </si>
  <si>
    <t>-498.788124135262 -24.8387407211728 659.367648713273</t>
  </si>
  <si>
    <t>-489.674482320669 -175.390169899379 749.892241859697</t>
  </si>
  <si>
    <t>9763-20170724T160451.094255500.bin</t>
  </si>
  <si>
    <t>-600.015596235099 100.13248628654 -230.651988850221</t>
  </si>
  <si>
    <t>-635.623936191392 103.600920427347 -346.357718397522</t>
  </si>
  <si>
    <t>-643.48359048786 104.007712655535 -467.306619632468</t>
  </si>
  <si>
    <t>-639.123385510658 102.688451892661 -576.732844889623</t>
  </si>
  <si>
    <t>-623.468587258349 99.5181066506689 -685.082810231377</t>
  </si>
  <si>
    <t>-590.099067186925 93.0048804497667 -833.555271903872</t>
  </si>
  <si>
    <t>-534.759632751108 71.1108736978188 -916.266782264005</t>
  </si>
  <si>
    <t>-588.756805286782 123.191343650699 -765.4385706936</t>
  </si>
  <si>
    <t>-503.698685796226 237.615439472918 -729.430196407419</t>
  </si>
  <si>
    <t>-454.338879590331 198.145466406841 -419.282015537411</t>
  </si>
  <si>
    <t>-238.130901392612 97.055432889958 -315.952675704477</t>
  </si>
  <si>
    <t>-620.971322179466 68.5821775883041 -770.283164182472</t>
  </si>
  <si>
    <t>-559.675806144908 188.848128146979 -240.121446928024</t>
  </si>
  <si>
    <t>-579.081614495085 187.061518928045 215.156380032064</t>
  </si>
  <si>
    <t>-623.179644673333 176.424982656926 682.82407309379</t>
  </si>
  <si>
    <t>-485.027288853819 104.765648230303 764.814164346996</t>
  </si>
  <si>
    <t>-640.254974685659 11.3821432006052 -220.496334896421</t>
  </si>
  <si>
    <t>-502.65645650317 -107.96080590475 197.213611380577</t>
  </si>
  <si>
    <t>-498.782345916159 -24.7698488464675 659.525119781876</t>
  </si>
  <si>
    <t>-489.609763304748 -175.370283871466 749.962265289686</t>
  </si>
  <si>
    <t>9763-20170724T160451.126346800.bin</t>
  </si>
  <si>
    <t>-599.743842214272 100.004158588876 -230.630311271102</t>
  </si>
  <si>
    <t>-635.332540073049 103.493940646654 -346.341463561708</t>
  </si>
  <si>
    <t>-643.211203989168 103.853785936028 -467.289287562032</t>
  </si>
  <si>
    <t>-638.885446149497 102.461866897403 -576.715956474465</t>
  </si>
  <si>
    <t>-623.282861113421 99.1874824558142 -685.070354574084</t>
  </si>
  <si>
    <t>-590.004438178245 92.4962399180818 -833.555325025399</t>
  </si>
  <si>
    <t>-534.757048606067 70.449713931589 -916.287753083096</t>
  </si>
  <si>
    <t>-588.56221125349 122.728679981344 -765.461077686708</t>
  </si>
  <si>
    <t>-503.222065246659 236.978589832896 -729.591727667785</t>
  </si>
  <si>
    <t>-453.091959222455 197.072800011671 -419.622813400278</t>
  </si>
  <si>
    <t>-237.13067009677 95.3173319690534 -316.430743312818</t>
  </si>
  <si>
    <t>-620.895942281988 68.1852025895 -770.249593795939</t>
  </si>
  <si>
    <t>-559.31877348804 188.637409465063 -240.108374172565</t>
  </si>
  <si>
    <t>-578.864173289083 186.916035172024 215.163757615172</t>
  </si>
  <si>
    <t>-623.210817458534 176.359679946247 682.824771087572</t>
  </si>
  <si>
    <t>-485.074330817847 104.699394059239 764.84080221235</t>
  </si>
  <si>
    <t>-640.089056627033 11.277550971786 -220.47288257436</t>
  </si>
  <si>
    <t>-502.586253906992 -108.016733570115 197.282472359049</t>
  </si>
  <si>
    <t>-498.755598167794 -24.7360709338745 659.583145324219</t>
  </si>
  <si>
    <t>-489.640318536527 -175.35963662712 749.987520728767</t>
  </si>
  <si>
    <t>9763-20170724T160451.194531100.bin</t>
  </si>
  <si>
    <t>-599.12507990254 99.7537056436156 -230.60201630555</t>
  </si>
  <si>
    <t>-634.677014991892 103.323745749149 -346.321971697178</t>
  </si>
  <si>
    <t>-642.621130334942 103.6370877578 -467.265640327787</t>
  </si>
  <si>
    <t>-638.398773900579 102.149121797119 -576.695148465009</t>
  </si>
  <si>
    <t>-622.943473538515 98.7245142326806 -685.066024295113</t>
  </si>
  <si>
    <t>-589.915081801849 91.7671646890881 -833.594530914987</t>
  </si>
  <si>
    <t>-534.83547765305 69.4903617229952 -916.377298231443</t>
  </si>
  <si>
    <t>-588.25615302264 122.058539510767 -765.531409193454</t>
  </si>
  <si>
    <t>-502.388283742245 236.000717252951 -729.935431843452</t>
  </si>
  <si>
    <t>-450.682280657521 195.165250338956 -420.346737615977</t>
  </si>
  <si>
    <t>-235.210746350318 92.3032071025352 -317.227956433247</t>
  </si>
  <si>
    <t>-620.802140746597 67.6325532094952 -770.219220172276</t>
  </si>
  <si>
    <t>-558.480581721472 188.241885179491 -240.060746322069</t>
  </si>
  <si>
    <t>-578.271498773176 186.565105944487 215.200976243419</t>
  </si>
  <si>
    <t>-623.158882471831 176.405800947742 682.846327757381</t>
  </si>
  <si>
    <t>-485.022432427676 104.71781944369 764.838175269821</t>
  </si>
  <si>
    <t>-639.659223200333 11.2497469738264 -220.427293404298</t>
  </si>
  <si>
    <t>-502.575042832102 -108.350061216343 197.378310495109</t>
  </si>
  <si>
    <t>-498.667632802646 -24.7184248564715 659.632201623959</t>
  </si>
  <si>
    <t>-489.830367965972 -175.356069481931 750.040766738531</t>
  </si>
  <si>
    <t>9763-20170724T160451.226619900.bin</t>
  </si>
  <si>
    <t>-598.867798189663 99.6209265238947 -230.580090902563</t>
  </si>
  <si>
    <t>-634.385655904598 103.227426236498 -346.309396880519</t>
  </si>
  <si>
    <t>-642.325147447213 103.502178447985 -467.253384646523</t>
  </si>
  <si>
    <t>-638.112567506362 101.946623983742 -576.682367358256</t>
  </si>
  <si>
    <t>-622.681639455431 98.4210489734221 -685.053469974906</t>
  </si>
  <si>
    <t>-589.702923271133 91.2878992341603 -833.584623999523</t>
  </si>
  <si>
    <t>-534.683572291251 68.8815774164989 -916.372509478519</t>
  </si>
  <si>
    <t>-587.970112753909 121.628034451733 -765.545189766784</t>
  </si>
  <si>
    <t>-501.850152173785 235.411869961028 -730.060331055525</t>
  </si>
  <si>
    <t>-449.682660812598 194.020893255395 -420.622895623174</t>
  </si>
  <si>
    <t>-234.255307581573 91.1287414391015 -317.441722497078</t>
  </si>
  <si>
    <t>-620.619913476415 67.2600931687064 -770.183383979405</t>
  </si>
  <si>
    <t>-558.151720068704 188.010755380529 -240.024076131736</t>
  </si>
  <si>
    <t>-578.061529668362 186.375255809955 215.232484787583</t>
  </si>
  <si>
    <t>-623.258030060469 176.319260648292 682.864382610363</t>
  </si>
  <si>
    <t>-484.952107342564 104.918289203963 764.820997035494</t>
  </si>
  <si>
    <t>-639.4639361549 11.2140881936525 -220.424327483615</t>
  </si>
  <si>
    <t>-502.56867640933 -108.51290932105 197.406805202702</t>
  </si>
  <si>
    <t>-498.635247971592 -24.7295516480694 659.641368138578</t>
  </si>
  <si>
    <t>-489.932837267653 -175.362092849071 750.07152689501</t>
  </si>
  <si>
    <t>9763-20170724T160451.295320700.bin</t>
  </si>
  <si>
    <t>-598.375871951924 99.4937668023385 -230.573527159416</t>
  </si>
  <si>
    <t>-633.868613909042 103.199555423439 -346.307478598253</t>
  </si>
  <si>
    <t>-641.768627522279 103.435439007672 -467.25421839404</t>
  </si>
  <si>
    <t>-637.51742541891 101.784247723046 -576.680138874386</t>
  </si>
  <si>
    <t>-622.047401156504 98.100476796063 -685.040559560594</t>
  </si>
  <si>
    <t>-589.015907410524 90.6813260386364 -833.545927232362</t>
  </si>
  <si>
    <t>-534.093414543714 68.0737800186562 -916.343354371311</t>
  </si>
  <si>
    <t>-587.223433181799 121.100196340819 -765.543122264139</t>
  </si>
  <si>
    <t>-500.686118107436 234.625993282944 -730.192516437549</t>
  </si>
  <si>
    <t>-448.13461120449 192.412860157851 -420.931211821847</t>
  </si>
  <si>
    <t>-232.858504292323 89.7330626712612 -317.224558828718</t>
  </si>
  <si>
    <t>-620.039194859219 66.8279581070478 -770.130691784855</t>
  </si>
  <si>
    <t>-557.491729099577 187.860669400802 -239.990508389795</t>
  </si>
  <si>
    <t>-577.562772197891 186.190914224993 215.258960573859</t>
  </si>
  <si>
    <t>-623.085458486368 176.45889513344 682.842885992866</t>
  </si>
  <si>
    <t>-484.933808799984 104.767673921623 764.80630485877</t>
  </si>
  <si>
    <t>-639.160753248547 11.1498612452776 -220.448503988046</t>
  </si>
  <si>
    <t>-502.440525580354 -108.549495434373 197.447816565853</t>
  </si>
  <si>
    <t>-498.618589031002 -24.7342248555774 659.689131129698</t>
  </si>
  <si>
    <t>-490.031050085096 -175.361757622876 750.138748166446</t>
  </si>
  <si>
    <t>9763-20170724T160451.330413600.bin</t>
  </si>
  <si>
    <t>-598.188621232011 99.446368821777 -230.585144313529</t>
  </si>
  <si>
    <t>-633.608407471392 103.158634239934 -346.341107741991</t>
  </si>
  <si>
    <t>-641.470945080905 103.352718989413 -467.290335901328</t>
  </si>
  <si>
    <t>-637.202440810001 101.64256664284 -576.7148106869</t>
  </si>
  <si>
    <t>-621.732307852697 97.8781406771145 -685.072288754475</t>
  </si>
  <si>
    <t>-588.719246109916 90.3234373637868 -833.575047222177</t>
  </si>
  <si>
    <t>-533.849029356966 67.6143245686833 -916.379286720547</t>
  </si>
  <si>
    <t>-586.878700872868 120.779520341477 -765.589980881348</t>
  </si>
  <si>
    <t>-500.165598419294 234.174463670241 -730.299503858501</t>
  </si>
  <si>
    <t>-447.253419681097 191.696894816911 -421.135860239232</t>
  </si>
  <si>
    <t>-232.038894659934 89.1679468831717 -317.15228713135</t>
  </si>
  <si>
    <t>-619.774348656412 66.5527321456534 -770.144345780197</t>
  </si>
  <si>
    <t>-557.238798487077 187.747027987795 -239.976412283492</t>
  </si>
  <si>
    <t>-577.399953866468 186.122433873824 215.269177159258</t>
  </si>
  <si>
    <t>-623.116182253319 176.429410018473 682.850475322868</t>
  </si>
  <si>
    <t>-484.915200791465 104.815708851095 764.798473179015</t>
  </si>
  <si>
    <t>-639.023033045583 11.1544216399218 -220.482751080734</t>
  </si>
  <si>
    <t>-502.40491062183 -108.513383149284 197.455953727729</t>
  </si>
  <si>
    <t>-498.605635146675 -24.7449311890412 659.703219777043</t>
  </si>
  <si>
    <t>-490.100491983578 -175.363547665171 750.175249608307</t>
  </si>
  <si>
    <t>9763-20170724T160451.394093800.bin</t>
  </si>
  <si>
    <t>-597.753514904503 99.2829079995388 -230.60002300256</t>
  </si>
  <si>
    <t>-633.131042726498 103.02879685843 -346.36793617879</t>
  </si>
  <si>
    <t>-641.051414309918 103.178586771707 -467.313451235264</t>
  </si>
  <si>
    <t>-636.878578417127 101.390471920648 -576.740255125702</t>
  </si>
  <si>
    <t>-621.547799241901 97.5068130199622 -685.113411870255</t>
  </si>
  <si>
    <t>-588.77377592261 89.7401104709534 -833.65811262007</t>
  </si>
  <si>
    <t>-534.059947749096 66.855422378595 -916.517479528894</t>
  </si>
  <si>
    <t>-586.766754756975 120.257235957491 -765.70527849955</t>
  </si>
  <si>
    <t>-499.741891781909 233.489875748983 -730.626019872401</t>
  </si>
  <si>
    <t>-445.80248849255 190.346434700297 -421.732119448116</t>
  </si>
  <si>
    <t>-231.01135555124 87.8110471511852 -316.883213900097</t>
  </si>
  <si>
    <t>-619.783834728569 66.0959664549655 -770.158155155028</t>
  </si>
  <si>
    <t>-556.834113813481 187.59553017774 -239.942380631429</t>
  </si>
  <si>
    <t>-577.15049060381 185.934686047555 215.296199828699</t>
  </si>
  <si>
    <t>-623.165699057897 176.393558730262 682.871071947445</t>
  </si>
  <si>
    <t>-484.880997311204 104.879084776749 764.764527910472</t>
  </si>
  <si>
    <t>-638.56640867584 10.961334432817 -220.554472656989</t>
  </si>
  <si>
    <t>-502.249234768962 -108.462697426503 197.552214303661</t>
  </si>
  <si>
    <t>-498.604859154829 -24.7351658061448 659.802432639768</t>
  </si>
  <si>
    <t>-490.125062602602 -175.357478176204 750.270764940036</t>
  </si>
  <si>
    <t>9763-20170724T160451.426180900.bin</t>
  </si>
  <si>
    <t>-597.615541502464 99.2140214706665 -230.604506455818</t>
  </si>
  <si>
    <t>-632.971393186117 102.9691658879 -346.378656788481</t>
  </si>
  <si>
    <t>-640.925928321684 103.100497533333 -467.321916572929</t>
  </si>
  <si>
    <t>-636.807782658873 101.281567849514 -576.750455714849</t>
  </si>
  <si>
    <t>-621.555584050092 97.3511469184032 -685.132920660477</t>
  </si>
  <si>
    <t>-588.915144824387 89.5014414983195 -833.702694469083</t>
  </si>
  <si>
    <t>-534.288184003604 66.5490772022624 -916.60062602212</t>
  </si>
  <si>
    <t>-586.828043397744 120.04451321477 -765.763921716913</t>
  </si>
  <si>
    <t>-499.686927399473 233.210175545453 -730.804995009339</t>
  </si>
  <si>
    <t>-445.228681301941 189.927357116354 -422.021733939216</t>
  </si>
  <si>
    <t>-230.743291966087 87.2656238819086 -316.671679931875</t>
  </si>
  <si>
    <t>-619.887011454183 65.9048628821495 -770.166501282302</t>
  </si>
  <si>
    <t>-556.759843629385 187.499618815881 -239.911478212284</t>
  </si>
  <si>
    <t>-577.0998265105 185.821502120545 215.325966231989</t>
  </si>
  <si>
    <t>-623.284372172441 176.291674924192 682.892543263178</t>
  </si>
  <si>
    <t>-484.794059736337 105.119555420661 764.736744597216</t>
  </si>
  <si>
    <t>-638.370991411925 10.9097507785179 -220.5732984055</t>
  </si>
  <si>
    <t>-502.163790441207 -108.456028073572 197.585903472866</t>
  </si>
  <si>
    <t>-498.607098395946 -24.7254199385766 659.851313428944</t>
  </si>
  <si>
    <t>-490.108799947849 -175.350476139464 750.313331331927</t>
  </si>
  <si>
    <t>9763-20170724T160451.495148300.bin</t>
  </si>
  <si>
    <t>-597.187015305881 99.1787048711274 -230.559054752193</t>
  </si>
  <si>
    <t>-632.509161647813 102.92868352498 -346.343725765176</t>
  </si>
  <si>
    <t>-640.522314577759 103.06525644821 -467.283232532367</t>
  </si>
  <si>
    <t>-636.495806844718 101.25043865535 -576.715145599637</t>
  </si>
  <si>
    <t>-621.373392760191 97.3203436018516 -685.115809203255</t>
  </si>
  <si>
    <t>-588.95184717865 89.4642400137591 -833.733248378139</t>
  </si>
  <si>
    <t>-534.490178950408 66.482841520962 -916.731848285888</t>
  </si>
  <si>
    <t>-586.747433359421 119.99955562585 -765.794475671036</t>
  </si>
  <si>
    <t>-499.437064678095 233.068030530122 -730.939767787201</t>
  </si>
  <si>
    <t>-443.581641672663 188.544504309007 -422.582879835492</t>
  </si>
  <si>
    <t>-229.461871777039 85.8361740622943 -316.536775232449</t>
  </si>
  <si>
    <t>-619.847241549949 65.8811833055752 -770.154606030097</t>
  </si>
  <si>
    <t>-556.413255729338 187.496925898865 -239.836774489682</t>
  </si>
  <si>
    <t>-576.878188500509 185.811153904906 215.395081859989</t>
  </si>
  <si>
    <t>-623.267177175707 176.360179350549 682.94751959248</t>
  </si>
  <si>
    <t>-484.738659002128 105.133061882827 764.67913860703</t>
  </si>
  <si>
    <t>-637.846034515572 10.8337459285888 -220.570725993773</t>
  </si>
  <si>
    <t>-501.899186227004 -108.407859550637 197.708598018519</t>
  </si>
  <si>
    <t>-498.612493393166 -24.7052002560881 659.963216458303</t>
  </si>
  <si>
    <t>-490.088706550634 -175.340845183939 750.405247968585</t>
  </si>
  <si>
    <t>9763-20170724T160451.527233000.bin</t>
  </si>
  <si>
    <t>-596.990837772401 99.1588426238106 -230.514841800388</t>
  </si>
  <si>
    <t>-632.299861230079 102.900179821421 -346.303670199549</t>
  </si>
  <si>
    <t>-640.368043334778 103.044564213488 -467.239489907621</t>
  </si>
  <si>
    <t>-636.419410529345 101.240214315575 -576.6743133473</t>
  </si>
  <si>
    <t>-621.402360512144 97.3218776422191 -685.090276034565</t>
  </si>
  <si>
    <t>-589.154770336306 89.4813820644156 -833.746247381903</t>
  </si>
  <si>
    <t>-534.799601459364 66.4939386354815 -916.812943070733</t>
  </si>
  <si>
    <t>-586.851468019219 119.997078990119 -765.802142829799</t>
  </si>
  <si>
    <t>-499.40889307391 232.980183139063 -730.969152913994</t>
  </si>
  <si>
    <t>-442.942250215508 187.615237202168 -422.846325419804</t>
  </si>
  <si>
    <t>-229.192750985211 84.8773576829876 -316.084386158597</t>
  </si>
  <si>
    <t>-619.995244916121 65.9039660671558 -770.138872117646</t>
  </si>
  <si>
    <t>-556.250848134083 187.430197895793 -239.779485494055</t>
  </si>
  <si>
    <t>-576.808008727417 185.749945980338 215.44825007865</t>
  </si>
  <si>
    <t>-623.341981592567 176.332595368162 682.992478241602</t>
  </si>
  <si>
    <t>-484.707816989257 105.220077201677 764.644694570597</t>
  </si>
  <si>
    <t>-637.637027599225 10.837147165269 -220.537059375768</t>
  </si>
  <si>
    <t>-501.766189887815 -108.421883731274 197.761901574408</t>
  </si>
  <si>
    <t>-498.618923961828 -24.7017019492155 660.02029981331</t>
  </si>
  <si>
    <t>-490.079043591001 -175.33997702599 750.456235759218</t>
  </si>
  <si>
    <t>9763-20170724T160451.590404400.bin</t>
  </si>
  <si>
    <t>-596.554544505825 99.1678098646214 -230.442946350021</t>
  </si>
  <si>
    <t>-631.848745308677 102.915302581432 -346.23635275637</t>
  </si>
  <si>
    <t>-640.049496821204 103.094051539486 -467.163125285777</t>
  </si>
  <si>
    <t>-636.281454617535 101.325446407362 -576.604851347857</t>
  </si>
  <si>
    <t>-621.504225071462 97.4432824231226 -685.054980943776</t>
  </si>
  <si>
    <t>-589.649092782202 89.6495131346555 -833.798079357302</t>
  </si>
  <si>
    <t>-535.555222404455 66.6980083861019 -917.045047499624</t>
  </si>
  <si>
    <t>-587.119691273312 120.114305099451 -765.839250866161</t>
  </si>
  <si>
    <t>-499.407101854538 232.948740145207 -731.212932409828</t>
  </si>
  <si>
    <t>-441.933200546347 185.868081718245 -423.534020809688</t>
  </si>
  <si>
    <t>-228.89713397867 83.0690568627601 -315.413396393289</t>
  </si>
  <si>
    <t>-620.368386923927 66.0816343858467 -770.128582531566</t>
  </si>
  <si>
    <t>-555.845117883805 187.39097087714 -239.693066361474</t>
  </si>
  <si>
    <t>-576.423553787557 185.535437970427 215.532971655258</t>
  </si>
  <si>
    <t>-623.349067749193 176.358267937239 683.031242914226</t>
  </si>
  <si>
    <t>-484.745023701538 105.097819000545 764.605608764491</t>
  </si>
  <si>
    <t>-637.161251197511 10.8925193029172 -220.504697301072</t>
  </si>
  <si>
    <t>-501.472361460938 -108.408570940895 197.841418091016</t>
  </si>
  <si>
    <t>-498.645100859494 -24.7230281163872 660.099488152807</t>
  </si>
  <si>
    <t>-490.037649175848 -175.345862058101 750.555117734537</t>
  </si>
  <si>
    <t>9763-20170724T160451.623492900.bin</t>
  </si>
  <si>
    <t>-596.34899127818 99.0458064383379 -230.423447371659</t>
  </si>
  <si>
    <t>-631.622085675232 102.800493681206 -346.222898531071</t>
  </si>
  <si>
    <t>-639.894946677889 103.001551748459 -467.144763642918</t>
  </si>
  <si>
    <t>-636.230177732491 101.257258799708 -576.590438921469</t>
  </si>
  <si>
    <t>-621.593464055342 97.4018088423416 -685.060502562442</t>
  </si>
  <si>
    <t>-589.970709519563 89.6461280136107 -833.855302263222</t>
  </si>
  <si>
    <t>-536.031982068612 66.7185326717868 -917.209473131254</t>
  </si>
  <si>
    <t>-587.317386896168 120.082160746051 -765.888250234251</t>
  </si>
  <si>
    <t>-499.478714984136 232.869575589353 -731.424025052491</t>
  </si>
  <si>
    <t>-441.741233728955 185.197809098094 -423.885411097399</t>
  </si>
  <si>
    <t>-228.939566512583 82.379884414006 -315.322147323613</t>
  </si>
  <si>
    <t>-620.608217768458 66.0733774078108 -770.148224524071</t>
  </si>
  <si>
    <t>-555.678309983794 187.154825882632 -239.653543527176</t>
  </si>
  <si>
    <t>-576.2773535338 185.220439152282 215.571229770506</t>
  </si>
  <si>
    <t>-623.447863945101 176.26497075013 683.041592663425</t>
  </si>
  <si>
    <t>-484.587119541545 105.464589685162 764.580011398413</t>
  </si>
  <si>
    <t>-636.921664868677 10.8446900615468 -220.504509463832</t>
  </si>
  <si>
    <t>-501.363019411073 -108.480203077553 197.876977904214</t>
  </si>
  <si>
    <t>-498.637919846568 -24.7297103604642 660.143202304215</t>
  </si>
  <si>
    <t>-490.063835591678 -175.3492020159 750.607334921275</t>
  </si>
  <si>
    <t>9763-20170724T160451.694877500.bin</t>
  </si>
  <si>
    <t>-595.82418862487 98.9820350615778 -230.397037437477</t>
  </si>
  <si>
    <t>-631.073720816825 102.729696463027 -346.20379927561</t>
  </si>
  <si>
    <t>-639.457996100203 102.893224850895 -467.118167128568</t>
  </si>
  <si>
    <t>-635.950094764097 101.100826517882 -576.568183009782</t>
  </si>
  <si>
    <t>-621.524963656052 97.1824440763255 -685.064260922036</t>
  </si>
  <si>
    <t>-590.251143666236 89.3228610725726 -833.927292510506</t>
  </si>
  <si>
    <t>-536.914442605808 66.5361152163673 -917.706405688607</t>
  </si>
  <si>
    <t>-587.405516063863 119.785338163018 -765.979823775166</t>
  </si>
  <si>
    <t>-499.263415348951 232.42482396007 -731.802384727466</t>
  </si>
  <si>
    <t>-440.993832748944 184.425752546697 -424.415248353274</t>
  </si>
  <si>
    <t>-228.703615926806 81.7432842115957 -314.728137281322</t>
  </si>
  <si>
    <t>-620.772238519853 65.8155376574505 -770.140230773581</t>
  </si>
  <si>
    <t>-555.132679246365 187.053927206725 -239.632697533068</t>
  </si>
  <si>
    <t>-575.831644281286 184.895776350136 215.586551377606</t>
  </si>
  <si>
    <t>-623.353690553468 176.346907050052 683.0294061667</t>
  </si>
  <si>
    <t>-484.534907877965 105.463576379784 764.567148608368</t>
  </si>
  <si>
    <t>-636.416463902256 10.884557794524 -220.492773679124</t>
  </si>
  <si>
    <t>-501.204713431762 -108.631216043678 197.946425566814</t>
  </si>
  <si>
    <t>-498.595919217772 -24.7484473974862 660.222663676358</t>
  </si>
  <si>
    <t>-490.174397511824 -175.365400935812 750.705256992989</t>
  </si>
  <si>
    <t>9763-20170724T160451.727968500.bin</t>
  </si>
  <si>
    <t>-595.613087472036 99.1120082090365 -230.354560143286</t>
  </si>
  <si>
    <t>-630.856034233203 102.837454636224 -346.164186486295</t>
  </si>
  <si>
    <t>-639.276967283849 102.944667544121 -467.075898640898</t>
  </si>
  <si>
    <t>-635.820796164486 101.085600218252 -576.526633562327</t>
  </si>
  <si>
    <t>-621.466105043537 97.0837188156615 -685.029085856134</t>
  </si>
  <si>
    <t>-590.309570108513 89.0895588940618 -833.90941448873</t>
  </si>
  <si>
    <t>-537.572813205991 66.4927527579514 -918.118650933279</t>
  </si>
  <si>
    <t>-587.394547668505 119.603464432789 -765.987985214988</t>
  </si>
  <si>
    <t>-499.109594061456 232.183746560829 -731.994920624476</t>
  </si>
  <si>
    <t>-440.70155869871 184.191664098091 -424.632830458757</t>
  </si>
  <si>
    <t>-229.07761061502 81.2469617340591 -313.909141663665</t>
  </si>
  <si>
    <t>-620.796162644766 65.65003624881 -770.080983935127</t>
  </si>
  <si>
    <t>-554.92335708391 187.240629330314 -239.605166155224</t>
  </si>
  <si>
    <t>-575.652109284256 184.920495329166 215.611930360958</t>
  </si>
  <si>
    <t>-623.362078245296 176.333818638223 683.022787173105</t>
  </si>
  <si>
    <t>-484.478842418573 105.574356178292 764.558380639667</t>
  </si>
  <si>
    <t>-636.174435531832 11.0179176609879 -220.418837366418</t>
  </si>
  <si>
    <t>-501.114818943737 -108.753323691139 197.996542894551</t>
  </si>
  <si>
    <t>-498.566124986956 -24.7620437105377 660.246360194579</t>
  </si>
  <si>
    <t>-490.243832165562 -175.374807655878 750.745319376124</t>
  </si>
  <si>
    <t>9763-20170724T160451.792155500.bin</t>
  </si>
  <si>
    <t>-595.177156998098 99.6582713090174 -230.310124879489</t>
  </si>
  <si>
    <t>-630.368218712615 103.324613348344 -346.137287798963</t>
  </si>
  <si>
    <t>-638.845260601702 103.316835473948 -467.045209642268</t>
  </si>
  <si>
    <t>-635.485594118582 101.328847514129 -576.496633903794</t>
  </si>
  <si>
    <t>-621.27367160236 97.1709358200499 -685.011914530175</t>
  </si>
  <si>
    <t>-590.362912515108 88.9303402485834 -833.930177005924</t>
  </si>
  <si>
    <t>-539.26193042503 66.9053437116077 -919.291512835752</t>
  </si>
  <si>
    <t>-587.322848403662 119.548233622631 -766.060984780551</t>
  </si>
  <si>
    <t>-498.76768315617 232.010596264063 -732.354278233667</t>
  </si>
  <si>
    <t>-439.969782470367 183.960351868559 -425.075622683237</t>
  </si>
  <si>
    <t>-229.100602211445 80.9399903657311 -312.990594797881</t>
  </si>
  <si>
    <t>-620.757193141375 65.6047225633131 -770.015872499102</t>
  </si>
  <si>
    <t>-554.54600996632 187.919872213454 -239.543664090366</t>
  </si>
  <si>
    <t>-575.503132632331 185.493844289521 215.66243238565</t>
  </si>
  <si>
    <t>-623.249577991853 176.460023294168 683.038012172255</t>
  </si>
  <si>
    <t>-484.420885584892 105.603466266641 764.582203972191</t>
  </si>
  <si>
    <t>-635.685624570282 11.4306920873723 -220.374029664764</t>
  </si>
  <si>
    <t>-500.826885970562 -108.665382934838 198.01304754727</t>
  </si>
  <si>
    <t>-498.535048880472 -24.7812998632303 660.288408536998</t>
  </si>
  <si>
    <t>-490.331187822652 -175.390875561163 750.803508847848</t>
  </si>
  <si>
    <t>9763-20170724T160451.830254400.bin</t>
  </si>
  <si>
    <t>-595.002295320512 100.050703477011 -230.293620379518</t>
  </si>
  <si>
    <t>-630.135634740024 103.664435275104 -346.140026372577</t>
  </si>
  <si>
    <t>-638.676113719617 103.596397855933 -467.043283049004</t>
  </si>
  <si>
    <t>-635.424483690795 101.549067181392 -576.496936613146</t>
  </si>
  <si>
    <t>-621.370517767052 97.3257048130197 -685.030391549217</t>
  </si>
  <si>
    <t>-590.729791449492 88.986300309612 -833.99875211425</t>
  </si>
  <si>
    <t>-540.466798956643 67.212471296529 -919.920353097788</t>
  </si>
  <si>
    <t>-587.559480451946 119.644665741758 -766.153914948613</t>
  </si>
  <si>
    <t>-498.839804840448 232.04450754425 -732.685529630527</t>
  </si>
  <si>
    <t>-439.805046296194 183.899939783123 -425.467096273877</t>
  </si>
  <si>
    <t>-229.525949501101 80.4154254013752 -312.70292481504</t>
  </si>
  <si>
    <t>-621.015316127439 65.7076979777439 -770.015842500646</t>
  </si>
  <si>
    <t>-554.42112198191 188.370337637305 -239.520598866389</t>
  </si>
  <si>
    <t>-575.555088500013 185.852159886232 215.676760099894</t>
  </si>
  <si>
    <t>-623.30211904214 176.425580277722 683.055556836577</t>
  </si>
  <si>
    <t>-484.460792642081 105.590474532846 764.596901146866</t>
  </si>
  <si>
    <t>-635.477138453493 11.7443000677272 -220.37119319048</t>
  </si>
  <si>
    <t>-500.642932121263 -108.392300498576 198.012049133832</t>
  </si>
  <si>
    <t>-498.547649934155 -24.775833864242 660.33056245889</t>
  </si>
  <si>
    <t>-490.314385520211 -175.390866412923 750.833932615829</t>
  </si>
  <si>
    <t>9763-20170724T160451.894048100.bin</t>
  </si>
  <si>
    <t>-594.582626088599 100.849540480117 -230.243175583706</t>
  </si>
  <si>
    <t>-629.624392340952 104.362169219846 -346.120430877179</t>
  </si>
  <si>
    <t>-638.382575365921 104.150819665119 -467.008061166378</t>
  </si>
  <si>
    <t>-635.456238869132 101.954654391106 -576.467974308961</t>
  </si>
  <si>
    <t>-621.853569145954 97.5616638138392 -685.052017367096</t>
  </si>
  <si>
    <t>-591.96697363208 88.9628002625479 -834.158990749711</t>
  </si>
  <si>
    <t>-543.217131627522 67.500651924008 -921.025483429567</t>
  </si>
  <si>
    <t>-588.424260772145 119.720535085143 -766.377487068538</t>
  </si>
  <si>
    <t>-499.24625017415 231.951909285451 -733.543273087569</t>
  </si>
  <si>
    <t>-439.597272354583 183.738188707024 -426.454332582717</t>
  </si>
  <si>
    <t>-230.754749094833 79.8587740015005 -311.406870565342</t>
  </si>
  <si>
    <t>-621.957507313216 65.8144897384495 -769.990169911788</t>
  </si>
  <si>
    <t>-554.059297178106 189.162606084036 -239.481595689154</t>
  </si>
  <si>
    <t>-575.576454306314 186.437407085765 215.69663604582</t>
  </si>
  <si>
    <t>-623.268861615312 176.487266633289 683.070383654319</t>
  </si>
  <si>
    <t>-484.397266251691 105.719750270853 764.618806233258</t>
  </si>
  <si>
    <t>-635.019244528445 12.481336820342 -220.32827279275</t>
  </si>
  <si>
    <t>-500.23795997479 -107.980044729537 197.978792924684</t>
  </si>
  <si>
    <t>-498.560156285171 -24.8017767750239 660.370410030797</t>
  </si>
  <si>
    <t>-490.293931446566 -175.402659310981 750.89417255403</t>
  </si>
  <si>
    <t>9763-20170724T160451.926135300.bin</t>
  </si>
  <si>
    <t>-594.277960738793 101.298752295216 -230.173518271881</t>
  </si>
  <si>
    <t>-629.339824410178 104.758835751409 -346.046344942247</t>
  </si>
  <si>
    <t>-638.292436133471 104.459332652989 -466.919531236177</t>
  </si>
  <si>
    <t>-635.613106373147 102.16858688906 -576.383777077602</t>
  </si>
  <si>
    <t>-622.327198939165 97.6652266840626 -685.002685411371</t>
  </si>
  <si>
    <t>-592.950219067579 88.8963243237599 -834.200840291018</t>
  </si>
  <si>
    <t>-544.869893853992 67.4853309387411 -921.452417002729</t>
  </si>
  <si>
    <t>-589.148682530144 119.714028524511 -766.460634187539</t>
  </si>
  <si>
    <t>-499.74250023095 231.884099703944 -734.049534301362</t>
  </si>
  <si>
    <t>-439.551614450072 183.595906732632 -427.07802209995</t>
  </si>
  <si>
    <t>-231.51876925863 79.4245832900483 -310.833809871999</t>
  </si>
  <si>
    <t>-622.748429409988 65.8387227135938 -769.909853728412</t>
  </si>
  <si>
    <t>-553.738812668167 189.652937979691 -239.458579817524</t>
  </si>
  <si>
    <t>-575.36419807219 186.715802960767 215.713212681461</t>
  </si>
  <si>
    <t>-623.164104961301 176.604652216096 683.067690989992</t>
  </si>
  <si>
    <t>-484.394596858745 105.667023870532 764.64210537017</t>
  </si>
  <si>
    <t>-634.728133177415 12.9049816319075 -220.222146278139</t>
  </si>
  <si>
    <t>-499.917528262092 -107.920601428522 197.970299263697</t>
  </si>
  <si>
    <t>-498.518544834525 -24.8238877405458 660.374932862593</t>
  </si>
  <si>
    <t>-490.316032960686 -175.410550300274 750.928141657731</t>
  </si>
  <si>
    <t>9763-20170724T160451.993247200.bin</t>
  </si>
  <si>
    <t>-593.548970105496 102.054484704587 -229.984257365029</t>
  </si>
  <si>
    <t>-628.702634766092 105.323405918519 -345.834731121894</t>
  </si>
  <si>
    <t>-638.166895127415 104.791734135247 -466.668121300293</t>
  </si>
  <si>
    <t>-636.120811726269 102.273415781406 -576.141094380735</t>
  </si>
  <si>
    <t>-623.634051333493 97.5234274412092 -684.844206979916</t>
  </si>
  <si>
    <t>-595.533226481577 88.3901657451036 -834.26622625564</t>
  </si>
  <si>
    <t>-548.744031419273 66.9724363604766 -922.215140323055</t>
  </si>
  <si>
    <t>-591.090114981086 119.332754433196 -766.621985606152</t>
  </si>
  <si>
    <t>-501.500706460442 231.694132808278 -735.365451795509</t>
  </si>
  <si>
    <t>-440.140701614002 184.361549134383 -428.476691579369</t>
  </si>
  <si>
    <t>-236.725074337221 77.7005043365216 -306.462116294747</t>
  </si>
  <si>
    <t>-624.84373692222 65.5300439305579 -769.68114157689</t>
  </si>
  <si>
    <t>-553.068499480378 190.361815229431 -239.406694160831</t>
  </si>
  <si>
    <t>-575.038537789777 187.053153251399 215.746074646933</t>
  </si>
  <si>
    <t>-623.228531414126 176.561326332855 683.060965762658</t>
  </si>
  <si>
    <t>-484.280532272673 106.038780759305 764.691421564809</t>
  </si>
  <si>
    <t>-633.907706332638 13.6722575297636 -219.903978895462</t>
  </si>
  <si>
    <t>-498.979313232092 -108.126942548234 197.96802771865</t>
  </si>
  <si>
    <t>-498.373046599142 -24.9121140896766 660.340823488937</t>
  </si>
  <si>
    <t>-490.481713692883 -175.438905115092 751.021192326029</t>
  </si>
  <si>
    <t>9763-20170724T160452.025331800.bin</t>
  </si>
  <si>
    <t>-593.095584379214 102.467717892198 -229.889106191328</t>
  </si>
  <si>
    <t>-628.325819854693 105.669141009281 -345.718273415584</t>
  </si>
  <si>
    <t>-638.05717138074 105.008377910123 -466.529771413617</t>
  </si>
  <si>
    <t>-636.330364024058 102.348359372869 -576.004867802386</t>
  </si>
  <si>
    <t>-624.238480577382 97.4319936218558 -684.745102304191</t>
  </si>
  <si>
    <t>-596.762365147999 88.0414497198701 -834.267302074911</t>
  </si>
  <si>
    <t>-550.538950532255 66.5366290790328 -922.493908483183</t>
  </si>
  <si>
    <t>-591.99602190928 119.074329721707 -766.686654428856</t>
  </si>
  <si>
    <t>-502.469302544156 231.677170865372 -736.173876022311</t>
  </si>
  <si>
    <t>-441.081329161187 185.563515664301 -429.104965148972</t>
  </si>
  <si>
    <t>-239.999947812426 77.4859493983031 -304.495433759267</t>
  </si>
  <si>
    <t>-625.84326560943 65.3187343166865 -769.530360903248</t>
  </si>
  <si>
    <t>-552.581044126298 190.841271250218 -239.383565736365</t>
  </si>
  <si>
    <t>-574.762646518805 187.320280484896 215.757342827187</t>
  </si>
  <si>
    <t>-623.049666455843 176.744397604944 683.041991739493</t>
  </si>
  <si>
    <t>-484.269684676916 105.956395581766 764.728506308301</t>
  </si>
  <si>
    <t>-633.504005449264 14.0771780616237 -219.707799760034</t>
  </si>
  <si>
    <t>-498.390724178024 -108.176941356053 197.971529416132</t>
  </si>
  <si>
    <t>-498.293923036196 -24.9547416126059 660.330561938926</t>
  </si>
  <si>
    <t>-490.539886536846 -175.450488668874 751.074426807476</t>
  </si>
  <si>
    <t>9763-20170724T160452.096075000.bin</t>
  </si>
  <si>
    <t>-592.308735541874 103.272454456062 -229.653946467162</t>
  </si>
  <si>
    <t>-627.629638164827 106.301867241237 -345.460046125952</t>
  </si>
  <si>
    <t>-637.924226092043 105.364620137331 -466.223121054948</t>
  </si>
  <si>
    <t>-636.899216330199 102.417361704797 -575.699671649639</t>
  </si>
  <si>
    <t>-625.696868169247 97.1788549032258 -684.520208221127</t>
  </si>
  <si>
    <t>-599.644705673107 87.3060996276424 -834.266050528422</t>
  </si>
  <si>
    <t>-554.515019323673 65.5343296747756 -922.991873058088</t>
  </si>
  <si>
    <t>-594.165149874488 118.511059220118 -766.818745668012</t>
  </si>
  <si>
    <t>-504.654549759466 231.481168701558 -737.674612687752</t>
  </si>
  <si>
    <t>-444.673980802584 191.083464183046 -429.524467448573</t>
  </si>
  <si>
    <t>-248.527555018005 80.7171826909748 -299.186639022011</t>
  </si>
  <si>
    <t>-628.178876284968 64.837831210443 -769.197533899853</t>
  </si>
  <si>
    <t>-551.634100130467 191.60091635678 -239.317538463572</t>
  </si>
  <si>
    <t>-574.413812501451 187.910325377924 215.792450889699</t>
  </si>
  <si>
    <t>-622.954344345637 176.862172688496 683.024239679558</t>
  </si>
  <si>
    <t>-484.361256548205 105.78690546498 764.778541226473</t>
  </si>
  <si>
    <t>-632.903212574995 14.9093651085313 -219.262094374402</t>
  </si>
  <si>
    <t>-497.224295910303 -108.116280415407 198.007181142751</t>
  </si>
  <si>
    <t>-498.143153705494 -24.9750588739175 660.392050043738</t>
  </si>
  <si>
    <t>-490.504988077843 -175.460946500654 751.161979099054</t>
  </si>
  <si>
    <t>9763-20170724T160452.126155700.bin</t>
  </si>
  <si>
    <t>-591.917926917632 103.633205155924 -229.529302894247</t>
  </si>
  <si>
    <t>-627.249717029816 106.607015208947 -345.333542550659</t>
  </si>
  <si>
    <t>-637.796396833576 105.544746310796 -466.07388258369</t>
  </si>
  <si>
    <t>-637.097979488239 102.461441305541 -575.549262141512</t>
  </si>
  <si>
    <t>-626.318488850428 97.0668349712319 -684.404849817838</t>
  </si>
  <si>
    <t>-600.950568738617 86.9584432426711 -834.252375340439</t>
  </si>
  <si>
    <t>-556.34303228296 65.0230351449336 -923.201786382262</t>
  </si>
  <si>
    <t>-595.127713440896 118.246749895628 -766.872494067517</t>
  </si>
  <si>
    <t>-505.593929703108 231.343805154801 -738.310431451094</t>
  </si>
  <si>
    <t>-447.582678199518 194.654819021172 -429.320389843753</t>
  </si>
  <si>
    <t>-252.283131840265 85.3215833675692 -296.857612084376</t>
  </si>
  <si>
    <t>-629.222413840654 64.6155041597481 -769.026497132327</t>
  </si>
  <si>
    <t>-551.124981336182 191.932575058906 -239.290214962045</t>
  </si>
  <si>
    <t>-574.243577977894 188.151017188842 215.80200835821</t>
  </si>
  <si>
    <t>-622.913870696859 176.912545869722 683.014768837211</t>
  </si>
  <si>
    <t>-484.345289524581 105.818680563513 764.794508641849</t>
  </si>
  <si>
    <t>-632.638472802849 15.2903208147302 -219.089248221982</t>
  </si>
  <si>
    <t>-496.869652694121 -108.126454286869 198.035234997688</t>
  </si>
  <si>
    <t>-498.088456522479 -24.9785372044187 660.431345298616</t>
  </si>
  <si>
    <t>-490.506336208263 -175.466219501737 751.202978711392</t>
  </si>
  <si>
    <t>9763-20170724T160452.194444700.bin</t>
  </si>
  <si>
    <t>-591.504489172029 103.972212099382 -229.404063957746</t>
  </si>
  <si>
    <t>-626.885838471819 106.900456937734 -345.194341060428</t>
  </si>
  <si>
    <t>-637.655468170841 105.697795852912 -465.913688895792</t>
  </si>
  <si>
    <t>-637.229483183774 102.454951872818 -575.385795329609</t>
  </si>
  <si>
    <t>-626.79123048828 96.8721494145645 -684.265184806308</t>
  </si>
  <si>
    <t>-601.966525470417 86.4754322074075 -834.183946588597</t>
  </si>
  <si>
    <t>-557.827593476534 64.3616539519171 -923.322780613345</t>
  </si>
  <si>
    <t>-595.886161459523 117.884559843625 -766.883090271387</t>
  </si>
  <si>
    <t>-506.436909017294 231.167523266034 -738.822944196234</t>
  </si>
  <si>
    <t>-451.024962053551 198.293690212267 -428.927651100375</t>
  </si>
  <si>
    <t>-256.069661270197 91.2373476517205 -294.118809424318</t>
  </si>
  <si>
    <t>-630.01518113624 64.266776492575 -768.816052333701</t>
  </si>
  <si>
    <t>-550.597261446696 192.207609699187 -239.25403406355</t>
  </si>
  <si>
    <t>-573.897428295242 188.284417843806 215.827648204858</t>
  </si>
  <si>
    <t>-622.871352261762 176.975050642692 683.013994700772</t>
  </si>
  <si>
    <t>-484.382016164964 105.744257587598 764.808772139583</t>
  </si>
  <si>
    <t>-632.300823292285 15.7104205698381 -218.870299758599</t>
  </si>
  <si>
    <t>-496.61819916735 -108.300791228603 198.105845950308</t>
  </si>
  <si>
    <t>-498.030425710754 -24.9729444894542 660.475006598632</t>
  </si>
  <si>
    <t>-490.550982100211 -175.469582919085 751.24025193843</t>
  </si>
  <si>
    <t>9763-20170724T160452.235554600.bin</t>
  </si>
  <si>
    <t>-590.88096315274 104.548791100581 -229.139850141424</t>
  </si>
  <si>
    <t>-626.428987815754 107.415333554067 -344.880644402617</t>
  </si>
  <si>
    <t>-637.54400897595 105.969755093964 -465.565865342211</t>
  </si>
  <si>
    <t>-637.499965708095 102.453088723716 -575.030403655247</t>
  </si>
  <si>
    <t>-627.509704404296 96.5535670436184 -683.935157669803</t>
  </si>
  <si>
    <t>-603.371902516433 85.6820414159465 -833.932321254406</t>
  </si>
  <si>
    <t>-559.957760337925 63.2495410175961 -923.347044766828</t>
  </si>
  <si>
    <t>-597.041738583594 117.341237714026 -766.771900524741</t>
  </si>
  <si>
    <t>-507.801069034945 231.006315400923 -739.530697527145</t>
  </si>
  <si>
    <t>-458.276485380378 205.536073889424 -427.94631598278</t>
  </si>
  <si>
    <t>-266.061437568618 103.690136503672 -285.388179997428</t>
  </si>
  <si>
    <t>-631.062667268615 63.64330545024 -768.354679023539</t>
  </si>
  <si>
    <t>-549.848783305257 192.735366109446 -239.13484684246</t>
  </si>
  <si>
    <t>-573.159881215448 188.395656151144 215.942540499311</t>
  </si>
  <si>
    <t>-622.934710109542 176.967439193319 683.027833604291</t>
  </si>
  <si>
    <t>-484.358633608603 105.884658127774 764.804477017543</t>
  </si>
  <si>
    <t>-631.790431158771 16.355611405912 -218.427439227219</t>
  </si>
  <si>
    <t>-496.175309261271 -108.654158647896 198.272371822045</t>
  </si>
  <si>
    <t>-497.894503574441 -24.9542576664251 660.566346980242</t>
  </si>
  <si>
    <t>-490.659608560364 -175.475845887927 751.310151607778</t>
  </si>
  <si>
    <t>9763-20170724T160452.298389900.bin</t>
  </si>
  <si>
    <t>-590.452373987737 105.415967772826 -228.908113613865</t>
  </si>
  <si>
    <t>-626.161940926121 108.159695393957 -344.602083394381</t>
  </si>
  <si>
    <t>-637.47945511095 106.482795817328 -465.265540261249</t>
  </si>
  <si>
    <t>-637.63172164969 102.72810231687 -574.722173320894</t>
  </si>
  <si>
    <t>-627.848600195374 96.5704432286375 -683.631348282432</t>
  </si>
  <si>
    <t>-604.007130313638 85.3275568451045 -833.64855607126</t>
  </si>
  <si>
    <t>-560.996710313682 62.5983636225958 -923.183293204597</t>
  </si>
  <si>
    <t>-597.640860309858 117.214288516176 -766.59917214621</t>
  </si>
  <si>
    <t>-509.061474597082 231.495166451283 -739.904475575332</t>
  </si>
  <si>
    <t>-465.001223988966 214.249442685261 -426.938780637139</t>
  </si>
  <si>
    <t>-273.862224741092 116.844180442441 -279.900936441269</t>
  </si>
  <si>
    <t>-631.47179293268 63.389876504541 -767.941994878909</t>
  </si>
  <si>
    <t>-549.368977402874 193.668346826858 -239.077987633138</t>
  </si>
  <si>
    <t>-572.679760750983 188.913080865014 215.995299250856</t>
  </si>
  <si>
    <t>-622.887292225408 177.029157128255 682.981837902408</t>
  </si>
  <si>
    <t>-484.545393544709 105.573018149827 764.829528723999</t>
  </si>
  <si>
    <t>-631.382118285583 17.2289710775324 -218.010346133526</t>
  </si>
  <si>
    <t>-495.490741145456 -108.716524525699 198.317662166005</t>
  </si>
  <si>
    <t>-497.799173481427 -24.9324139063217 660.627337942559</t>
  </si>
  <si>
    <t>-490.682814608817 -175.478603082315 751.339509458344</t>
  </si>
  <si>
    <t>9763-20170724T160452.325441300.bin</t>
  </si>
  <si>
    <t>-590.385642469827 106.005104198464 -228.784868980802</t>
  </si>
  <si>
    <t>-626.169025293936 108.67216271656 -344.457954423483</t>
  </si>
  <si>
    <t>-637.538074742841 106.884719825239 -465.114834834601</t>
  </si>
  <si>
    <t>-637.725343828304 103.025419374728 -574.567691132078</t>
  </si>
  <si>
    <t>-627.964492315115 96.7635011815332 -683.473054007276</t>
  </si>
  <si>
    <t>-604.13961766074 85.3807860940417 -833.482358593497</t>
  </si>
  <si>
    <t>-561.183611393531 62.541446417167 -923.015315624846</t>
  </si>
  <si>
    <t>-597.847344258996 117.381583152608 -766.480335558865</t>
  </si>
  <si>
    <t>-509.719580225757 232.051679719657 -739.942227377441</t>
  </si>
  <si>
    <t>-467.282880900517 218.190121417571 -426.584190371088</t>
  </si>
  <si>
    <t>-276.477061933261 122.559101268908 -277.957528483106</t>
  </si>
  <si>
    <t>-631.515415253483 63.4530012825446 -767.735525463382</t>
  </si>
  <si>
    <t>-549.373816879696 194.336236215296 -239.037919850136</t>
  </si>
  <si>
    <t>-572.705181334115 189.34721251312 216.031773875835</t>
  </si>
  <si>
    <t>-622.903541540772 176.996309984255 682.997899849375</t>
  </si>
  <si>
    <t>-484.490432872576 105.688443082537 764.854547324081</t>
  </si>
  <si>
    <t>-631.318308994126 17.7542596905444 -217.799058645295</t>
  </si>
  <si>
    <t>-495.101116087964 -108.59583610598 198.299757437433</t>
  </si>
  <si>
    <t>-497.774191257224 -24.9188952707971 660.633358943029</t>
  </si>
  <si>
    <t>-490.620599658685 -175.478249338575 751.320969875461</t>
  </si>
  <si>
    <t>9763-20170724T160452.390637800.bin</t>
  </si>
  <si>
    <t>-590.168733851159 106.893682742522 -228.608326305924</t>
  </si>
  <si>
    <t>-626.012094648594 109.365644753587 -344.267039092134</t>
  </si>
  <si>
    <t>-637.435843786232 107.420669037072 -464.91657408168</t>
  </si>
  <si>
    <t>-637.666392187245 103.448260821147 -574.365156882513</t>
  </si>
  <si>
    <t>-627.939997070322 97.1102855309514 -683.269169580517</t>
  </si>
  <si>
    <t>-604.150982125341 85.6675159936719 -833.279664875087</t>
  </si>
  <si>
    <t>-561.168285140129 62.755339438768 -922.781108966506</t>
  </si>
  <si>
    <t>-597.991710856174 117.788183539933 -766.322716103208</t>
  </si>
  <si>
    <t>-510.565043979932 233.042972675573 -739.95496723778</t>
  </si>
  <si>
    <t>-470.172106934149 222.544755901328 -426.196483098499</t>
  </si>
  <si>
    <t>-279.502740380595 129.059331607824 -276.037629568178</t>
  </si>
  <si>
    <t>-631.362041243311 63.6730023963162 -767.486742662407</t>
  </si>
  <si>
    <t>-549.217619730894 195.244315053743 -238.992542730992</t>
  </si>
  <si>
    <t>-572.623358236619 190.076712032736 216.071280302131</t>
  </si>
  <si>
    <t>-622.830836799387 177.106493459447 682.978992890316</t>
  </si>
  <si>
    <t>-484.446275067718 105.796300015425 764.881846327241</t>
  </si>
  <si>
    <t>-631.00536801054 18.4961713307421 -217.542812272696</t>
  </si>
  <si>
    <t>-494.376140826718 -108.441799050328 198.241890957575</t>
  </si>
  <si>
    <t>-497.714968711085 -24.9012805463249 660.605041140043</t>
  </si>
  <si>
    <t>-490.539176304228 -175.474125907362 751.268254348123</t>
  </si>
  <si>
    <t>9763-20170724T160452.427733200.bin</t>
  </si>
  <si>
    <t>-589.862862639289 107.61520770581 -228.509926358522</t>
  </si>
  <si>
    <t>-625.795116141817 109.904952728725 -344.144956781628</t>
  </si>
  <si>
    <t>-637.347459735224 107.848008840284 -464.78017846484</t>
  </si>
  <si>
    <t>-637.706625033936 103.811897184309 -574.226255184574</t>
  </si>
  <si>
    <t>-628.118124749333 97.452597865708 -683.141179022908</t>
  </si>
  <si>
    <t>-604.527640497185 86.0279740022936 -833.184400290937</t>
  </si>
  <si>
    <t>-561.487347612969 63.0540840390929 -922.642242967004</t>
  </si>
  <si>
    <t>-598.395531586619 118.212038655251 -766.255296460603</t>
  </si>
  <si>
    <t>-511.507569518531 233.796522579382 -739.755813143717</t>
  </si>
  <si>
    <t>-470.293906473744 227.554705355499 -425.990628787133</t>
  </si>
  <si>
    <t>-279.842516600525 135.020890913984 -274.968051706298</t>
  </si>
  <si>
    <t>-631.535964738091 63.9538710432739 -767.334551156722</t>
  </si>
  <si>
    <t>-549.052737696111 196.040231820554 -239.003255734811</t>
  </si>
  <si>
    <t>-572.494003279298 190.576280416267 216.055297839896</t>
  </si>
  <si>
    <t>-622.809212248794 177.119866860869 682.956697096966</t>
  </si>
  <si>
    <t>-484.433166390203 105.841162111407 764.901362662958</t>
  </si>
  <si>
    <t>-630.553382754886 19.1091903004071 -217.348268846199</t>
  </si>
  <si>
    <t>-493.603847424375 -108.27338234385 198.194910137852</t>
  </si>
  <si>
    <t>-497.660345961012 -24.8988176706407 660.566899102169</t>
  </si>
  <si>
    <t>-490.432594879361 -175.47603960626 751.21887727497</t>
  </si>
  <si>
    <t>9763-20170724T160452.500614900.bin</t>
  </si>
  <si>
    <t>-589.087428667709 108.516730173931 -228.310452527965</t>
  </si>
  <si>
    <t>-625.138930048716 110.574648227133 -343.912625578394</t>
  </si>
  <si>
    <t>-636.864391605442 108.371395231054 -464.52869623238</t>
  </si>
  <si>
    <t>-637.397616845317 104.246590147759 -573.970679823514</t>
  </si>
  <si>
    <t>-627.997894145365 97.846066594544 -682.89962699575</t>
  </si>
  <si>
    <t>-604.681424140367 86.4175916899401 -832.985473050418</t>
  </si>
  <si>
    <t>-561.470308854241 63.3609662556823 -922.339623328214</t>
  </si>
  <si>
    <t>-598.527096383033 118.664629914785 -766.088617309421</t>
  </si>
  <si>
    <t>-512.192694728667 234.705213955133 -739.603040419431</t>
  </si>
  <si>
    <t>-472.015183633735 229.433259737038 -425.685551595275</t>
  </si>
  <si>
    <t>-280.808395152561 138.674125484449 -274.540747272054</t>
  </si>
  <si>
    <t>-631.469428440736 64.2839771927727 -767.065628589902</t>
  </si>
  <si>
    <t>-548.440082803796 197.02378195592 -238.937855732781</t>
  </si>
  <si>
    <t>-572.074237883144 191.079959048207 216.104758604841</t>
  </si>
  <si>
    <t>-622.781684851349 177.308655233281 682.995966966137</t>
  </si>
  <si>
    <t>-484.477677090558 105.824695673275 764.883433066537</t>
  </si>
  <si>
    <t>-629.637992512828 19.935033411467 -216.993674424321</t>
  </si>
  <si>
    <t>-492.501800657949 -108.219306115059 198.250566347936</t>
  </si>
  <si>
    <t>-497.545575580531 -24.8805471044329 660.596974165819</t>
  </si>
  <si>
    <t>-490.336687120639 -175.476036810275 751.220035200302</t>
  </si>
  <si>
    <t>9763-20170724T160452.528687900.bin</t>
  </si>
  <si>
    <t>-588.637474569793 108.982635802046 -228.19209215393</t>
  </si>
  <si>
    <t>-624.758732956107 110.968910647478 -343.773767568218</t>
  </si>
  <si>
    <t>-636.567719619413 108.713670606848 -464.380641101988</t>
  </si>
  <si>
    <t>-637.179636959041 104.55551916928 -573.821015836576</t>
  </si>
  <si>
    <t>-627.860509962369 98.1379611560533 -682.755894533344</t>
  </si>
  <si>
    <t>-604.656146915813 86.7057778614319 -832.85862574121</t>
  </si>
  <si>
    <t>-561.238301912987 63.5952406118445 -922.098701663287</t>
  </si>
  <si>
    <t>-598.500473984682 118.984138371898 -765.977243389086</t>
  </si>
  <si>
    <t>-512.341436444565 235.170053841496 -739.457808326402</t>
  </si>
  <si>
    <t>-472.040528309783 229.752610755702 -425.558551502173</t>
  </si>
  <si>
    <t>-281.338218156283 139.758193096667 -273.322977038604</t>
  </si>
  <si>
    <t>-631.346164552429 64.5442849810761 -766.908535691848</t>
  </si>
  <si>
    <t>-548.027547932616 197.584124628874 -238.873703149539</t>
  </si>
  <si>
    <t>-571.767202106138 191.346953907569 216.159476782837</t>
  </si>
  <si>
    <t>-622.722485769261 177.48595874612 683.005820127711</t>
  </si>
  <si>
    <t>-484.581432652699 105.663033544102 764.871755812497</t>
  </si>
  <si>
    <t>-629.164381431613 20.3733424119339 -216.79562160199</t>
  </si>
  <si>
    <t>-491.988167846808 -108.257381494333 198.288163226463</t>
  </si>
  <si>
    <t>-497.481443146146 -24.8673596732883 660.622001318266</t>
  </si>
  <si>
    <t>-490.324823632906 -175.472684043411 751.23287564933</t>
  </si>
  <si>
    <t>9763-20170724T160452.595385400.bin</t>
  </si>
  <si>
    <t>-587.731166234963 109.476024272353 -228.006043845206</t>
  </si>
  <si>
    <t>-623.868400115694 111.309563347215 -343.585204045812</t>
  </si>
  <si>
    <t>-635.819922971709 109.031385167374 -464.177739997688</t>
  </si>
  <si>
    <t>-636.609795233142 104.911115472 -573.618319475275</t>
  </si>
  <si>
    <t>-627.513964411912 98.593489682456 -682.577891781348</t>
  </si>
  <si>
    <t>-604.663373212218 87.3667262269514 -832.750616749081</t>
  </si>
  <si>
    <t>-560.464154002566 64.0358079031964 -921.548571792819</t>
  </si>
  <si>
    <t>-598.424661568663 119.598623212176 -765.854385060619</t>
  </si>
  <si>
    <t>-512.53465726891 235.981223250169 -739.325097024075</t>
  </si>
  <si>
    <t>-471.461078528988 228.579837359436 -425.566663384315</t>
  </si>
  <si>
    <t>-285.635759454705 137.244449390485 -268.185344297999</t>
  </si>
  <si>
    <t>-631.12339755795 65.0698641734803 -766.753331582662</t>
  </si>
  <si>
    <t>-547.272321317898 198.059087958825 -238.749064419552</t>
  </si>
  <si>
    <t>-571.306431292638 191.543120492755 216.264739496024</t>
  </si>
  <si>
    <t>-622.866726657801 177.349701488835 683.047824602449</t>
  </si>
  <si>
    <t>-484.487008720792 105.896065508083 764.833789647378</t>
  </si>
  <si>
    <t>-628.084187127293 20.8177066892943 -216.589588645491</t>
  </si>
  <si>
    <t>-491.133107096556 -108.268047045475 198.42715565344</t>
  </si>
  <si>
    <t>-497.363166725436 -24.8343398420336 660.723466876827</t>
  </si>
  <si>
    <t>-490.284374334683 -175.462635286913 751.302406554164</t>
  </si>
  <si>
    <t>9763-20170724T160452.629477600.bin</t>
  </si>
  <si>
    <t>-587.243037619859 109.61762676881 -227.954592395625</t>
  </si>
  <si>
    <t>-623.351680524711 111.387580082052 -343.543584765584</t>
  </si>
  <si>
    <t>-635.356507415978 109.112516331309 -464.130790918823</t>
  </si>
  <si>
    <t>-636.227907850994 105.020701728128 -573.571904237021</t>
  </si>
  <si>
    <t>-627.246335619764 98.7555304541247 -682.544037240068</t>
  </si>
  <si>
    <t>-604.587038143764 87.6255447524543 -832.752882453033</t>
  </si>
  <si>
    <t>-559.947149379124 64.1227891180158 -921.284811605796</t>
  </si>
  <si>
    <t>-598.277858690277 119.823126081458 -765.846790334699</t>
  </si>
  <si>
    <t>-512.482881644392 236.285969984731 -739.334590095149</t>
  </si>
  <si>
    <t>-470.907228512694 227.454372779215 -425.679378369536</t>
  </si>
  <si>
    <t>-290.961184249696 131.761151322781 -264.111140882472</t>
  </si>
  <si>
    <t>-630.948234866974 65.2773755020444 -766.733483996206</t>
  </si>
  <si>
    <t>-546.894436453726 198.196717117321 -238.702277553819</t>
  </si>
  <si>
    <t>-571.08463455003 191.539326763613 216.30118937976</t>
  </si>
  <si>
    <t>-622.867387972797 177.399157703651 683.0542232433</t>
  </si>
  <si>
    <t>-484.457747155786 105.980580520404 764.820137216699</t>
  </si>
  <si>
    <t>-627.46490668413 20.9746807808658 -216.529533111765</t>
  </si>
  <si>
    <t>-490.714677610392 -108.24149417039 198.512991384824</t>
  </si>
  <si>
    <t>-497.336400124846 -24.8125070597323 660.799530180746</t>
  </si>
  <si>
    <t>-490.234858061324 -175.455668117438 751.351841426424</t>
  </si>
  <si>
    <t>9763-20170724T160452.694675800.bin</t>
  </si>
  <si>
    <t>-586.397097203793 109.725846083548 -227.917089171578</t>
  </si>
  <si>
    <t>-622.477415457869 111.450440145007 -343.515677357773</t>
  </si>
  <si>
    <t>-634.527386469296 109.205978480324 -464.099120780177</t>
  </si>
  <si>
    <t>-635.469830395274 105.167412904893 -573.54149521213</t>
  </si>
  <si>
    <t>-626.589527224442 98.9769506688408 -682.526330812388</t>
  </si>
  <si>
    <t>-604.101794407832 87.9695282258335 -832.769804967397</t>
  </si>
  <si>
    <t>-558.558238795454 64.1574947153294 -920.757129210708</t>
  </si>
  <si>
    <t>-597.722460131067 120.11628199723 -765.845985340027</t>
  </si>
  <si>
    <t>-512.06338408684 236.661722849347 -739.320422995544</t>
  </si>
  <si>
    <t>-470.412742780017 226.644315085801 -425.710603631158</t>
  </si>
  <si>
    <t>-300.973430145766 119.881955537172 -259.776410390535</t>
  </si>
  <si>
    <t>-630.381424559667 65.5636064931275 -766.737429406489</t>
  </si>
  <si>
    <t>-546.230548018105 198.324125570266 -238.629069228753</t>
  </si>
  <si>
    <t>-570.557742148097 191.395467027513 216.363081245192</t>
  </si>
  <si>
    <t>-622.879582577367 177.415568870405 683.045528040005</t>
  </si>
  <si>
    <t>-484.408157881092 106.113996838399 764.808950582216</t>
  </si>
  <si>
    <t>-626.461004645305 21.0778026108324 -216.480014202348</t>
  </si>
  <si>
    <t>-489.931229085862 -108.104622235034 198.645447343363</t>
  </si>
  <si>
    <t>-497.308149409168 -24.7303622750956 660.975372730376</t>
  </si>
  <si>
    <t>-490.062349999585 -175.438208743215 751.408471004945</t>
  </si>
  <si>
    <t>9763-20170724T160452.726756600.bin</t>
  </si>
  <si>
    <t>-586.026348855184 109.691059700037 -227.915938169717</t>
  </si>
  <si>
    <t>-622.078556710844 111.403625634372 -343.523462198017</t>
  </si>
  <si>
    <t>-634.109380578097 109.173307897404 -464.108897402847</t>
  </si>
  <si>
    <t>-635.038976734143 105.155473012569 -573.552349030778</t>
  </si>
  <si>
    <t>-626.150163676214 98.992576057982 -682.53778837344</t>
  </si>
  <si>
    <t>-603.655432762787 88.0290170751371 -832.7835553124</t>
  </si>
  <si>
    <t>-557.766836157352 64.1169382458531 -920.56423316497</t>
  </si>
  <si>
    <t>-597.284920827932 120.159717669932 -765.851215922909</t>
  </si>
  <si>
    <t>-511.652228855209 236.734011090691 -739.335332682298</t>
  </si>
  <si>
    <t>-470.28024421426 227.134117044747 -425.675630156774</t>
  </si>
  <si>
    <t>-305.573928186829 114.729504011 -258.70534965576</t>
  </si>
  <si>
    <t>-629.932367824608 65.6004202947827 -766.757929065058</t>
  </si>
  <si>
    <t>-545.984116488488 198.260848140362 -238.599481067866</t>
  </si>
  <si>
    <t>-570.375844980942 191.22471276311 216.387468197686</t>
  </si>
  <si>
    <t>-623.003142067367 177.189258721345 683.045779023875</t>
  </si>
  <si>
    <t>-484.311325466698 106.315954860842 764.808021100565</t>
  </si>
  <si>
    <t>-625.991604030608 21.088043960036 -216.477117251793</t>
  </si>
  <si>
    <t>-489.70687909161 -108.064863097138 198.738169933292</t>
  </si>
  <si>
    <t>-497.30959857186 -24.6450427675436 661.106846355415</t>
  </si>
  <si>
    <t>-489.980695010735 -175.42902440905 751.406248835496</t>
  </si>
  <si>
    <t>9763-20170724T160452.793671700.bin</t>
  </si>
  <si>
    <t>-585.38172261529 109.631374182401 -227.947269170519</t>
  </si>
  <si>
    <t>-621.335556679762 111.391160341401 -343.584797053833</t>
  </si>
  <si>
    <t>-633.160802873912 109.139713991658 -464.190217602386</t>
  </si>
  <si>
    <t>-633.86309416782 105.073645963758 -573.633470022113</t>
  </si>
  <si>
    <t>-624.708179975116 98.8326116215674 -682.59257809211</t>
  </si>
  <si>
    <t>-601.806432406701 87.7287758217212 -832.766548271823</t>
  </si>
  <si>
    <t>-555.227368813578 63.6341912226305 -920.132543363853</t>
  </si>
  <si>
    <t>-595.656650325849 119.945704951853 -765.854747830918</t>
  </si>
  <si>
    <t>-510.195154077282 236.637572842889 -739.398431774115</t>
  </si>
  <si>
    <t>-471.316180043658 228.751624734485 -425.372244213401</t>
  </si>
  <si>
    <t>-314.12033003993 108.392755789806 -256.714984208414</t>
  </si>
  <si>
    <t>-628.222776574685 65.3381267818652 -766.783528134388</t>
  </si>
  <si>
    <t>-545.401254816528 198.245131422994 -238.556601813364</t>
  </si>
  <si>
    <t>-569.815497724931 190.950014651954 216.425055081224</t>
  </si>
  <si>
    <t>-622.868390484484 177.422728657186 683.00606274787</t>
  </si>
  <si>
    <t>-484.353808624145 106.287982533946 764.841692081797</t>
  </si>
  <si>
    <t>-625.237541916281 21.0303207376028 -216.595464395912</t>
  </si>
  <si>
    <t>-489.790122509988 -108.036969728484 198.920187301373</t>
  </si>
  <si>
    <t>-497.375803766224 -24.4568835929579 661.327546963513</t>
  </si>
  <si>
    <t>-489.842406083681 -175.411218531413 751.325012043131</t>
  </si>
  <si>
    <t>9763-20170724T160452.833778100.bin</t>
  </si>
  <si>
    <t>-585.202825572315 109.598090721174 -227.971340380641</t>
  </si>
  <si>
    <t>-621.070279946197 111.361320741004 -343.635612710943</t>
  </si>
  <si>
    <t>-632.751639301573 109.101935465424 -464.254908621352</t>
  </si>
  <si>
    <t>-633.300899379401 105.02706145926 -573.698528292522</t>
  </si>
  <si>
    <t>-623.97099441864 98.7770620926863 -682.642394777172</t>
  </si>
  <si>
    <t>-600.804336489881 87.6620149024734 -832.774887068076</t>
  </si>
  <si>
    <t>-553.966361010355 63.5400900417615 -919.994824762161</t>
  </si>
  <si>
    <t>-594.82046767177 119.912438897967 -765.864338129197</t>
  </si>
  <si>
    <t>-509.570093015082 236.750360313166 -739.312208036738</t>
  </si>
  <si>
    <t>-471.767317077552 229.484667739251 -425.13966555785</t>
  </si>
  <si>
    <t>-317.008935381616 107.358073001374 -255.50186669856</t>
  </si>
  <si>
    <t>-627.289298854222 65.2476658362257 -766.827499917076</t>
  </si>
  <si>
    <t>-545.253715355184 198.138516244708 -238.536612072305</t>
  </si>
  <si>
    <t>-569.720874489382 190.771821608186 216.441188169283</t>
  </si>
  <si>
    <t>-622.908058802185 177.348665274165 682.996030797332</t>
  </si>
  <si>
    <t>-484.257539453816 106.501295337897 764.850744439866</t>
  </si>
  <si>
    <t>-625.029245211878 21.0645189645936 -216.666623131233</t>
  </si>
  <si>
    <t>-490.063537681851 -108.111404600777 198.972061278807</t>
  </si>
  <si>
    <t>-497.400728642612 -24.397155354304 661.384934762316</t>
  </si>
  <si>
    <t>-489.843443545861 -175.419385114601 751.266394521947</t>
  </si>
  <si>
    <t>9763-20170724T160452.892938100.bin</t>
  </si>
  <si>
    <t>-585.262767263636 109.710229402948 -228.07314942159</t>
  </si>
  <si>
    <t>-620.952092977597 111.462871957275 -343.792626552446</t>
  </si>
  <si>
    <t>-632.277792389987 109.167686349444 -464.445102202854</t>
  </si>
  <si>
    <t>-632.434516271948 105.056786483382 -573.888851750411</t>
  </si>
  <si>
    <t>-622.6433884168 98.7710652254559 -682.790048586679</t>
  </si>
  <si>
    <t>-598.766871000806 87.610942599176 -832.807935664789</t>
  </si>
  <si>
    <t>-551.461826369735 63.5306809403764 -919.787042214555</t>
  </si>
  <si>
    <t>-593.207341608603 119.945866265419 -765.901605259061</t>
  </si>
  <si>
    <t>-508.601256533659 237.180762367328 -739.044273606203</t>
  </si>
  <si>
    <t>-471.338087367335 230.416208653223 -424.796199660749</t>
  </si>
  <si>
    <t>-317.916757093338 107.491626102828 -254.521492074347</t>
  </si>
  <si>
    <t>-625.455492808818 65.1521986426412 -766.957790710982</t>
  </si>
  <si>
    <t>-545.321636668207 198.227983140857 -238.556093984176</t>
  </si>
  <si>
    <t>-569.884232606168 190.795818877283 216.415459737875</t>
  </si>
  <si>
    <t>-622.939186293667 177.31971128429 682.980506120527</t>
  </si>
  <si>
    <t>-484.242490931897 106.602281678757 764.869332600498</t>
  </si>
  <si>
    <t>-625.077756795449 21.2419760948198 -216.886498236898</t>
  </si>
  <si>
    <t>-490.575993494998 -107.928499472096 198.904252166707</t>
  </si>
  <si>
    <t>-497.441660535852 -24.3992040776184 661.332372784113</t>
  </si>
  <si>
    <t>-489.860967814823 -175.453718181942 751.15765287654</t>
  </si>
  <si>
    <t>9763-20170724T160452.927031300.bin</t>
  </si>
  <si>
    <t>-585.412887909168 109.8858483295 -228.170791274842</t>
  </si>
  <si>
    <t>-621.036933713167 111.622653429647 -343.91061217536</t>
  </si>
  <si>
    <t>-632.261164830083 109.335455267608 -464.572815247475</t>
  </si>
  <si>
    <t>-632.311863222365 105.241955384932 -574.01727328797</t>
  </si>
  <si>
    <t>-622.401015832307 98.9838971917561 -682.909277904689</t>
  </si>
  <si>
    <t>-598.344490311307 87.8730815242375 -832.902036234365</t>
  </si>
  <si>
    <t>-550.871317241072 63.8507832362632 -919.805471615361</t>
  </si>
  <si>
    <t>-592.916399024414 120.216156517141 -765.988746242981</t>
  </si>
  <si>
    <t>-508.617930124837 237.661570650671 -739.043210464629</t>
  </si>
  <si>
    <t>-471.376231448156 229.556894305223 -424.824105509348</t>
  </si>
  <si>
    <t>-315.891614158237 109.426552560191 -254.426774013893</t>
  </si>
  <si>
    <t>-625.061162597573 65.3623391220283 -767.081042288395</t>
  </si>
  <si>
    <t>-545.57295931447 198.504700163923 -238.594875928074</t>
  </si>
  <si>
    <t>-570.138655676537 191.067788673011 216.376413296138</t>
  </si>
  <si>
    <t>-622.924730082894 177.373435087824 682.972496410631</t>
  </si>
  <si>
    <t>-484.254702620956 106.618307190457 764.873966109732</t>
  </si>
  <si>
    <t>-625.139999155108 21.3605631421776 -217.025649559098</t>
  </si>
  <si>
    <t>-490.717900992996 -107.657426174098 198.838203798434</t>
  </si>
  <si>
    <t>-497.48612841618 -24.4135292364269 661.310504439065</t>
  </si>
  <si>
    <t>-489.811247309144 -175.469628419174 751.12507136407</t>
  </si>
  <si>
    <t>9763-20170724T160452.995108300.bin</t>
  </si>
  <si>
    <t>-585.87914739333 110.311203735879 -228.365565430199</t>
  </si>
  <si>
    <t>-621.375703166624 112.021030792934 -344.144920543831</t>
  </si>
  <si>
    <t>-632.402012311752 109.752928047787 -464.825746328091</t>
  </si>
  <si>
    <t>-632.24655520174 105.692328469066 -574.271246795762</t>
  </si>
  <si>
    <t>-622.104284614036 99.4802282603223 -683.14460254417</t>
  </si>
  <si>
    <t>-597.701865236529 88.4447983379223 -833.087142486441</t>
  </si>
  <si>
    <t>-549.921414247243 64.5976014712771 -919.870212807444</t>
  </si>
  <si>
    <t>-592.504729929766 120.799254691207 -766.161050737257</t>
  </si>
  <si>
    <t>-508.695309307071 238.531318176455 -738.976090107674</t>
  </si>
  <si>
    <t>-469.561203294252 226.314660545111 -425.120183330555</t>
  </si>
  <si>
    <t>-308.980615098454 111.346738428314 -255.891619803492</t>
  </si>
  <si>
    <t>-624.493549143663 65.8561115947959 -767.323326140458</t>
  </si>
  <si>
    <t>-546.329063532761 199.074081923666 -238.666843908879</t>
  </si>
  <si>
    <t>-570.776614732083 191.573596017065 216.309749707</t>
  </si>
  <si>
    <t>-622.993007293583 177.308763563007 682.956033797691</t>
  </si>
  <si>
    <t>-484.181235095136 106.842957747632 764.866791024571</t>
  </si>
  <si>
    <t>-625.322214254677 21.5566179746795 -217.367092246582</t>
  </si>
  <si>
    <t>-490.90046874306 -106.981190829644 198.645475029481</t>
  </si>
  <si>
    <t>-497.567082803577 -24.4521441278807 661.240944256376</t>
  </si>
  <si>
    <t>-489.67875115862 -175.491883438829 751.064567764149</t>
  </si>
  <si>
    <t>9763-20170724T160453.029200000.bin</t>
  </si>
  <si>
    <t>-586.072973061167 110.448537333682 -228.424152235203</t>
  </si>
  <si>
    <t>-621.551993521451 112.137026516205 -344.209402776594</t>
  </si>
  <si>
    <t>-632.490230361668 109.884047117463 -464.898440284934</t>
  </si>
  <si>
    <t>-632.226542734143 105.849504187019 -574.34481544181</t>
  </si>
  <si>
    <t>-621.948420419871 99.6741180274314 -683.207442181908</t>
  </si>
  <si>
    <t>-597.329423485297 88.6997845292119 -833.118965959207</t>
  </si>
  <si>
    <t>-549.423773042909 64.9545975955875 -919.861006332632</t>
  </si>
  <si>
    <t>-592.254845334638 121.042045739856 -766.177542106892</t>
  </si>
  <si>
    <t>-508.530422136538 238.796581629965 -738.876653760943</t>
  </si>
  <si>
    <t>-468.091576825718 225.166208778598 -425.244543299209</t>
  </si>
  <si>
    <t>-305.232317629824 112.897827962026 -256.381430029644</t>
  </si>
  <si>
    <t>-624.190264623722 66.0691572451942 -767.397893705098</t>
  </si>
  <si>
    <t>-546.612504984669 199.249052634829 -238.695605179313</t>
  </si>
  <si>
    <t>-571.015812960989 191.787068734566 216.284061792509</t>
  </si>
  <si>
    <t>-622.99426349766 177.343192585126 682.952022312446</t>
  </si>
  <si>
    <t>-484.104686191479 107.031811986234 764.863602754525</t>
  </si>
  <si>
    <t>-625.431870130257 21.6121138995986 -217.4442164015</t>
  </si>
  <si>
    <t>-490.904085347111 -106.775464003998 198.580588207877</t>
  </si>
  <si>
    <t>-497.604923312294 -24.4600346605205 661.222635229814</t>
  </si>
  <si>
    <t>-489.572541430066 -175.498264756616 751.035946086635</t>
  </si>
  <si>
    <t>9763-20170724T160453.096911000.bin</t>
  </si>
  <si>
    <t>-586.341004152663 110.62117987176 -228.464024906812</t>
  </si>
  <si>
    <t>-621.876487369487 112.32484140325 -344.231606067649</t>
  </si>
  <si>
    <t>-632.781286255223 110.132541170827 -464.924759467223</t>
  </si>
  <si>
    <t>-632.449806899182 106.168433988738 -574.373512390907</t>
  </si>
  <si>
    <t>-622.06643409541 100.077807470906 -683.230889709527</t>
  </si>
  <si>
    <t>-597.263317506954 89.2346043236016 -833.121747337637</t>
  </si>
  <si>
    <t>-549.257254377185 65.5886887910597 -919.835509088648</t>
  </si>
  <si>
    <t>-592.260851031625 121.512345242667 -766.143850634871</t>
  </si>
  <si>
    <t>-508.076509634413 238.874521587936 -738.360241248286</t>
  </si>
  <si>
    <t>-464.038297408767 225.198400658743 -425.215296275115</t>
  </si>
  <si>
    <t>-293.82790842413 122.061879513621 -257.783647588743</t>
  </si>
  <si>
    <t>-624.214994975403 66.5524316380609 -767.455622743284</t>
  </si>
  <si>
    <t>-546.8914982602 199.479653288754 -238.751843425959</t>
  </si>
  <si>
    <t>-571.27679987858 192.181614758459 216.231439319147</t>
  </si>
  <si>
    <t>-622.861414868213 177.657908217189 682.925081428029</t>
  </si>
  <si>
    <t>-484.201510929384 106.938821241688 764.874760039478</t>
  </si>
  <si>
    <t>-625.695099880502 21.7154464182634 -217.445849395132</t>
  </si>
  <si>
    <t>-490.950363563824 -106.712827244961 198.496004638858</t>
  </si>
  <si>
    <t>-497.562778205974 -24.4816521402147 661.143708181015</t>
  </si>
  <si>
    <t>-489.505052025552 -175.521069377293 750.952752808001</t>
  </si>
  <si>
    <t>9763-20170724T160453.130000300.bin</t>
  </si>
  <si>
    <t>-586.430858516996 110.584431680728 -228.465241858027</t>
  </si>
  <si>
    <t>-621.978973108962 112.328819828286 -344.228366446338</t>
  </si>
  <si>
    <t>-632.88463189584 110.143923661724 -464.921548367258</t>
  </si>
  <si>
    <t>-632.548540223691 106.176289748198 -574.370131999085</t>
  </si>
  <si>
    <t>-622.155192573491 100.073747965774 -683.225978630602</t>
  </si>
  <si>
    <t>-597.332586905228 89.2070452160981 -833.111811969654</t>
  </si>
  <si>
    <t>-549.307902343001 65.569564922552 -919.817511097862</t>
  </si>
  <si>
    <t>-592.316385791886 121.482235314437 -766.133722012228</t>
  </si>
  <si>
    <t>-508.017859914799 238.751001913168 -738.336427350376</t>
  </si>
  <si>
    <t>-463.601722333476 224.06148856185 -425.290645011166</t>
  </si>
  <si>
    <t>-290.603311028908 126.742204770298 -257.235462806936</t>
  </si>
  <si>
    <t>-624.315212809775 66.5482575395968 -767.450308448571</t>
  </si>
  <si>
    <t>-546.859549657918 199.362042804271 -238.775624520139</t>
  </si>
  <si>
    <t>-571.26587991296 192.129175314279 216.207535135738</t>
  </si>
  <si>
    <t>-622.887662456148 177.639673420528 682.918280506743</t>
  </si>
  <si>
    <t>-484.233011356463 106.919513190733 764.875946460315</t>
  </si>
  <si>
    <t>-625.91356674048 21.7347911917561 -217.44027622521</t>
  </si>
  <si>
    <t>-491.122922608719 -106.785429326105 198.458355265441</t>
  </si>
  <si>
    <t>-497.538629886114 -24.503359342971 661.085510975525</t>
  </si>
  <si>
    <t>-489.555104608779 -175.533385813273 750.916941554069</t>
  </si>
  <si>
    <t>9763-20170724T160453.194682000.bin</t>
  </si>
  <si>
    <t>-586.60725549066 110.264268445583 -228.461403255844</t>
  </si>
  <si>
    <t>-622.202015574151 112.121902840644 -344.208312801233</t>
  </si>
  <si>
    <t>-633.061490118544 109.984593708931 -464.906591660582</t>
  </si>
  <si>
    <t>-632.645294147628 106.038033732735 -574.355800810963</t>
  </si>
  <si>
    <t>-622.133371289552 99.9389151101825 -683.200235132687</t>
  </si>
  <si>
    <t>-597.106685657305 89.0622634684596 -833.051537244236</t>
  </si>
  <si>
    <t>-549.015649347706 65.4593350902621 -919.729730884543</t>
  </si>
  <si>
    <t>-592.118968001776 121.304892185566 -766.055651377221</t>
  </si>
  <si>
    <t>-507.585392352059 238.33303397278 -738.067282979926</t>
  </si>
  <si>
    <t>-463.162804139108 221.602597937636 -425.124873427507</t>
  </si>
  <si>
    <t>-296.130984363638 130.880119711899 -247.608982184851</t>
  </si>
  <si>
    <t>-624.241486202082 66.4447774789508 -767.438384708837</t>
  </si>
  <si>
    <t>-546.708460736537 198.932936426701 -238.808732301531</t>
  </si>
  <si>
    <t>-571.008457941998 191.701479070202 216.180207519962</t>
  </si>
  <si>
    <t>-622.959521516834 177.59380863527 682.905745006435</t>
  </si>
  <si>
    <t>-484.286836494995 106.892691769795 764.849331307774</t>
  </si>
  <si>
    <t>-626.394152521569 21.5551044258361 -217.4371185374</t>
  </si>
  <si>
    <t>-491.751901867367 -107.138985360516 198.455914439043</t>
  </si>
  <si>
    <t>-497.409703843437 -24.5762473599941 661.004948302764</t>
  </si>
  <si>
    <t>-489.817850916465 -175.572829969965 750.926543301301</t>
  </si>
  <si>
    <t>9763-20170724T160453.227768400.bin</t>
  </si>
  <si>
    <t>-586.708829460019 110.084540202638 -228.419683356229</t>
  </si>
  <si>
    <t>-622.321051789098 111.998014713291 -344.160442672407</t>
  </si>
  <si>
    <t>-633.084337950771 109.909739691168 -464.868166869413</t>
  </si>
  <si>
    <t>-632.534327523383 106.005912061497 -574.318207773073</t>
  </si>
  <si>
    <t>-621.842495232105 99.9491075994354 -683.147724587403</t>
  </si>
  <si>
    <t>-596.519229485513 89.1319699611086 -832.953295485517</t>
  </si>
  <si>
    <t>-548.351852025956 65.5407409082618 -919.592411962493</t>
  </si>
  <si>
    <t>-591.630990558993 121.328442026024 -765.92775966185</t>
  </si>
  <si>
    <t>-506.859094048723 238.133329820619 -737.747511896295</t>
  </si>
  <si>
    <t>-463.082486626389 220.518729671477 -424.762656313524</t>
  </si>
  <si>
    <t>-300.048145742735 134.37319316641 -241.348317260738</t>
  </si>
  <si>
    <t>-623.817029651736 66.5079510980343 -767.410040176016</t>
  </si>
  <si>
    <t>-546.669188406913 198.742688435376 -238.796235523389</t>
  </si>
  <si>
    <t>-570.889650020553 191.583088257388 216.197945427848</t>
  </si>
  <si>
    <t>-622.959714795419 177.64093863839 682.905746661082</t>
  </si>
  <si>
    <t>-484.265282072758 106.967444963657 764.836382172053</t>
  </si>
  <si>
    <t>-626.620730583307 21.4403277766096 -217.366102985163</t>
  </si>
  <si>
    <t>-492.017360669673 -107.476496857777 198.470436189419</t>
  </si>
  <si>
    <t>-497.342269949915 -24.6192339372426 660.954272568031</t>
  </si>
  <si>
    <t>-489.992743700226 -175.589279287618 750.940677102582</t>
  </si>
  <si>
    <t>9763-20170724T160453.293951900.bin</t>
  </si>
  <si>
    <t>-586.961291603722 109.666793730868 -228.353868206314</t>
  </si>
  <si>
    <t>-622.663802269962 111.628267438108 -344.066131078992</t>
  </si>
  <si>
    <t>-633.285929712058 109.598996778303 -464.787314645414</t>
  </si>
  <si>
    <t>-632.512339702249 105.753179904889 -574.23790928211</t>
  </si>
  <si>
    <t>-621.502308558758 99.7599734339515 -683.039166632057</t>
  </si>
  <si>
    <t>-595.641279201573 89.0379104988667 -832.759796060936</t>
  </si>
  <si>
    <t>-547.335061743343 65.3863179080779 -919.30515632311</t>
  </si>
  <si>
    <t>-590.968116016026 121.176477860709 -765.691242832895</t>
  </si>
  <si>
    <t>-506.133345908084 237.835647439401 -737.095929319391</t>
  </si>
  <si>
    <t>-462.431459456123 217.873940332545 -424.241522987469</t>
  </si>
  <si>
    <t>-305.782795535859 143.896406980273 -230.255455976686</t>
  </si>
  <si>
    <t>-623.199908056959 66.3876286557781 -767.335075830142</t>
  </si>
  <si>
    <t>-546.760961978454 198.344204896235 -238.77389291579</t>
  </si>
  <si>
    <t>-570.706273034844 191.351412871485 216.237574361749</t>
  </si>
  <si>
    <t>-622.986130801253 177.686996815045 682.928431378432</t>
  </si>
  <si>
    <t>-484.379448398084 106.812091096381 764.833555196126</t>
  </si>
  <si>
    <t>-627.035766647771 21.0106425625906 -217.217891333544</t>
  </si>
  <si>
    <t>-492.130551134062 -107.969839456086 198.501096665078</t>
  </si>
  <si>
    <t>-497.275953791813 -24.6753490715728 660.893723714725</t>
  </si>
  <si>
    <t>-490.11394035063 -175.605818402621 750.961523864599</t>
  </si>
  <si>
    <t>9763-20170724T160453.329044400.bin</t>
  </si>
  <si>
    <t>-587.155091493112 109.407398205374 -228.360923832008</t>
  </si>
  <si>
    <t>-622.87660892522 111.371866344797 -344.067097509718</t>
  </si>
  <si>
    <t>-633.439991648725 109.393649874586 -464.794268093111</t>
  </si>
  <si>
    <t>-632.581008834477 105.611867564854 -574.246721805523</t>
  </si>
  <si>
    <t>-621.45360888064 99.6997889340287 -683.040376532372</t>
  </si>
  <si>
    <t>-595.397063694709 89.1075102176453 -832.736306638879</t>
  </si>
  <si>
    <t>-546.96554638675 65.4466516052751 -919.209089216533</t>
  </si>
  <si>
    <t>-590.816730537689 121.191025222142 -765.635064083499</t>
  </si>
  <si>
    <t>-506.130421028028 237.866575156962 -736.800130681862</t>
  </si>
  <si>
    <t>-461.095972101268 217.200976935397 -424.180490378926</t>
  </si>
  <si>
    <t>-308.498249877096 147.42114109029 -225.467746137472</t>
  </si>
  <si>
    <t>-623.035875070685 66.3974406610109 -767.366094219537</t>
  </si>
  <si>
    <t>-546.989325777681 198.098132602274 -238.774201346648</t>
  </si>
  <si>
    <t>-570.763385835995 191.173255299331 216.24727922583</t>
  </si>
  <si>
    <t>-623.039832831182 177.642008581509 682.950947471604</t>
  </si>
  <si>
    <t>-484.332206508236 106.929153482383 764.825230444166</t>
  </si>
  <si>
    <t>-627.192441117326 20.7431819330004 -217.227330228611</t>
  </si>
  <si>
    <t>-492.137627442007 -108.094417291003 198.48746305809</t>
  </si>
  <si>
    <t>-497.270532801071 -24.7042092388274 660.867549885319</t>
  </si>
  <si>
    <t>-490.115544412178 -175.612455946425 750.973081890387</t>
  </si>
  <si>
    <t>9763-20170724T160453.397229600.bin</t>
  </si>
  <si>
    <t>-587.478410516646 108.905460694427 -228.368406876325</t>
  </si>
  <si>
    <t>-623.191141936961 110.863390169302 -344.077415921335</t>
  </si>
  <si>
    <t>-633.603674090199 109.014634067018 -464.819860155644</t>
  </si>
  <si>
    <t>-632.550618060936 105.392893477448 -574.275915731468</t>
  </si>
  <si>
    <t>-621.173798272221 99.6758674761802 -683.054212717057</t>
  </si>
  <si>
    <t>-594.715706005214 89.3845210056754 -832.700777402855</t>
  </si>
  <si>
    <t>-546.053527322412 65.751762254117 -919.05144981904</t>
  </si>
  <si>
    <t>-590.277579663114 121.310408961883 -765.51459890287</t>
  </si>
  <si>
    <t>-505.525742194788 237.870971975016 -736.154868773085</t>
  </si>
  <si>
    <t>-460.991550211208 216.394225508174 -423.518228406819</t>
  </si>
  <si>
    <t>-309.735249008806 150.190285898023 -222.568939027989</t>
  </si>
  <si>
    <t>-622.567575896365 66.5658773719706 -767.458778730068</t>
  </si>
  <si>
    <t>-547.437533199422 197.635864902096 -238.767781328709</t>
  </si>
  <si>
    <t>-571.063048478545 191.058026649314 216.266550043657</t>
  </si>
  <si>
    <t>-623.053269586974 177.678494578974 682.973633793149</t>
  </si>
  <si>
    <t>-484.402381186168 106.842788098793 764.837830029339</t>
  </si>
  <si>
    <t>-627.424964747005 20.1406301583065 -217.256789194547</t>
  </si>
  <si>
    <t>-492.053024077327 -108.249670113809 198.493184117099</t>
  </si>
  <si>
    <t>-497.306969727396 -24.7190609643774 660.848185758531</t>
  </si>
  <si>
    <t>-489.977791427278 -175.615219017185 750.960142138338</t>
  </si>
  <si>
    <t>9763-20170724T160453.428313200.bin</t>
  </si>
  <si>
    <t>-587.643760113879 108.591073292253 -228.369738181722</t>
  </si>
  <si>
    <t>-623.3170288916 110.54721461266 -344.090956619627</t>
  </si>
  <si>
    <t>-633.615598867199 108.704436281403 -464.843271419942</t>
  </si>
  <si>
    <t>-632.43043134013 105.086682575334 -574.298053750788</t>
  </si>
  <si>
    <t>-620.894317752506 99.3694274769859 -683.059674292849</t>
  </si>
  <si>
    <t>-594.18840885795 89.0714526339552 -832.661587688524</t>
  </si>
  <si>
    <t>-545.434991216926 65.4418930090042 -918.961888789021</t>
  </si>
  <si>
    <t>-589.829021998922 120.98087403112 -765.462603539244</t>
  </si>
  <si>
    <t>-504.980462875488 237.420717464984 -735.964997000654</t>
  </si>
  <si>
    <t>-462.26481762921 217.582690353981 -422.966497229491</t>
  </si>
  <si>
    <t>-308.672822423648 148.221694293608 -224.874132321626</t>
  </si>
  <si>
    <t>-622.180856785936 66.2751187180081 -767.472157920184</t>
  </si>
  <si>
    <t>-547.612389844581 197.283492758043 -238.767547690041</t>
  </si>
  <si>
    <t>-571.290640914872 190.941926998653 216.26737917165</t>
  </si>
  <si>
    <t>-623.119475666293 177.591761220187 682.993711374961</t>
  </si>
  <si>
    <t>-484.268758306046 107.11616795039 764.830017954002</t>
  </si>
  <si>
    <t>-627.606806335147 19.8299392447313 -217.271013305249</t>
  </si>
  <si>
    <t>-492.00354288342 -108.3410693582 198.471327226647</t>
  </si>
  <si>
    <t>-497.321380306629 -24.7332049945624 660.817091850128</t>
  </si>
  <si>
    <t>-489.891724720424 -175.619245789521 750.937661162271</t>
  </si>
  <si>
    <t>9763-20170724T160453.491011800.bin</t>
  </si>
  <si>
    <t>-587.81861359801 108.001428244762 -228.500921739968</t>
  </si>
  <si>
    <t>-623.441810848922 110.056691334003 -344.235900803159</t>
  </si>
  <si>
    <t>-633.605620654548 108.208968426207 -464.999401532393</t>
  </si>
  <si>
    <t>-632.265587682865 104.548428620493 -574.450975510789</t>
  </si>
  <si>
    <t>-620.543078308861 98.7532816068724 -683.188617278949</t>
  </si>
  <si>
    <t>-593.547580687523 88.3132763325252 -832.72863871619</t>
  </si>
  <si>
    <t>-544.658105951334 64.6993804508068 -918.956246977111</t>
  </si>
  <si>
    <t>-589.33338978989 120.295539050751 -765.555071849828</t>
  </si>
  <si>
    <t>-504.7236554215 236.899644053759 -736.134014096841</t>
  </si>
  <si>
    <t>-465.848967478945 222.147595349497 -422.354987322163</t>
  </si>
  <si>
    <t>-306.115782531899 143.613047727519 -232.724572647786</t>
  </si>
  <si>
    <t>-621.651084330969 65.5698034783809 -767.568508123506</t>
  </si>
  <si>
    <t>-547.721029340124 196.769256472912 -238.818092099115</t>
  </si>
  <si>
    <t>-571.358542065041 190.709848037689 216.22275728607</t>
  </si>
  <si>
    <t>-623.105586480428 177.684775305696 683.011833078886</t>
  </si>
  <si>
    <t>-484.412997968037 106.880514464661 764.832574138493</t>
  </si>
  <si>
    <t>-627.811941719549 19.1953825779412 -217.479460100445</t>
  </si>
  <si>
    <t>-492.275404504036 -108.461720285022 198.442658140827</t>
  </si>
  <si>
    <t>-497.364231151057 -24.7708250229357 660.748230119135</t>
  </si>
  <si>
    <t>-489.818257763935 -175.624645337511 750.912946888893</t>
  </si>
  <si>
    <t>9763-20170724T160453.523097100.bin</t>
  </si>
  <si>
    <t>-587.745413737949 107.673135709909 -228.580381084944</t>
  </si>
  <si>
    <t>-623.35173648632 109.793848936471 -344.319380284706</t>
  </si>
  <si>
    <t>-633.474413872188 107.983495050097 -465.087063260277</t>
  </si>
  <si>
    <t>-632.087670768204 104.34632788837 -574.538762904574</t>
  </si>
  <si>
    <t>-620.309249257349 98.5650906200142 -683.271000535936</t>
  </si>
  <si>
    <t>-593.227159649506 88.1351968468903 -832.796211744344</t>
  </si>
  <si>
    <t>-544.276649374152 64.5467707944888 -918.996151404436</t>
  </si>
  <si>
    <t>-589.062590444204 120.119404099257 -765.620347537632</t>
  </si>
  <si>
    <t>-504.607676884462 236.827528355767 -736.194097859286</t>
  </si>
  <si>
    <t>-468.261733349969 224.12685695117 -422.022463771745</t>
  </si>
  <si>
    <t>-305.200328353452 142.219022265353 -236.700687093394</t>
  </si>
  <si>
    <t>-621.357590279096 65.3809191634052 -767.651493123917</t>
  </si>
  <si>
    <t>-547.671312972837 196.477013541976 -238.834687626155</t>
  </si>
  <si>
    <t>-571.244076688707 190.437729422797 216.209822500058</t>
  </si>
  <si>
    <t>-623.089684094541 177.746163377286 683.01489512788</t>
  </si>
  <si>
    <t>-484.382393677532 106.950158470049 764.817868058406</t>
  </si>
  <si>
    <t>-627.679857558734 18.8576489924533 -217.627946169383</t>
  </si>
  <si>
    <t>-492.486435278581 -108.504127190109 198.496274354073</t>
  </si>
  <si>
    <t>-497.383620271637 -24.7670334041788 660.78104797828</t>
  </si>
  <si>
    <t>-489.823958649548 -175.62018763497 750.945842910788</t>
  </si>
  <si>
    <t>9763-20170724T160453.595316300.bin</t>
  </si>
  <si>
    <t>-587.531501477308 107.198346586236 -228.551706646636</t>
  </si>
  <si>
    <t>-623.134837627993 109.348707310815 -344.291045241722</t>
  </si>
  <si>
    <t>-633.136757227836 107.511596434952 -465.068403654454</t>
  </si>
  <si>
    <t>-631.591693162638 103.837517914458 -574.516792562525</t>
  </si>
  <si>
    <t>-619.606349069141 98.012875316464 -683.224044766425</t>
  </si>
  <si>
    <t>-592.187193345462 87.5218483282606 -832.683544822873</t>
  </si>
  <si>
    <t>-543.064514270647 63.9620453691596 -918.793187400217</t>
  </si>
  <si>
    <t>-588.251025334439 119.579395327385 -765.528858676929</t>
  </si>
  <si>
    <t>-504.177902787178 236.57982218106 -736.081620105313</t>
  </si>
  <si>
    <t>-471.469256213147 224.158837465353 -421.499293000769</t>
  </si>
  <si>
    <t>-300.965281247912 138.264514648388 -244.885059635475</t>
  </si>
  <si>
    <t>-620.387653703056 64.7481594272708 -767.575858558502</t>
  </si>
  <si>
    <t>-547.46260993558 195.961629639665 -238.800991450059</t>
  </si>
  <si>
    <t>-571.01397048624 189.990068944713 216.24557713062</t>
  </si>
  <si>
    <t>-623.148074957466 177.692357130991 683.031490361635</t>
  </si>
  <si>
    <t>-484.312903552231 107.106335915837 764.798984378859</t>
  </si>
  <si>
    <t>-627.479040937978 18.411637900532 -217.608130443907</t>
  </si>
  <si>
    <t>-492.456853893916 -108.91412985034 198.582712631396</t>
  </si>
  <si>
    <t>-497.3316237396 -24.7690599089053 660.80829858727</t>
  </si>
  <si>
    <t>-489.871918910679 -175.620911077617 750.983667681614</t>
  </si>
  <si>
    <t>9763-20170724T160453.626398100.bin</t>
  </si>
  <si>
    <t>-587.409518617327 107.070306216795 -228.513012224407</t>
  </si>
  <si>
    <t>-623.047597777696 109.195320681172 -344.242087554524</t>
  </si>
  <si>
    <t>-633.045338466795 107.353117875199 -465.019589864667</t>
  </si>
  <si>
    <t>-631.479254340457 103.685672606366 -574.46801992997</t>
  </si>
  <si>
    <t>-619.455366020976 97.8804183027173 -683.172082848184</t>
  </si>
  <si>
    <t>-591.964211213078 87.4311964799945 -832.621312816451</t>
  </si>
  <si>
    <t>-542.772707445848 63.9234891958195 -918.705919497143</t>
  </si>
  <si>
    <t>-588.095553497107 119.490862745203 -765.46370852363</t>
  </si>
  <si>
    <t>-504.290174053695 236.637623854051 -735.910009411366</t>
  </si>
  <si>
    <t>-472.245323815441 224.016387514844 -421.267343207674</t>
  </si>
  <si>
    <t>-298.972352121326 136.343449996661 -248.258618376522</t>
  </si>
  <si>
    <t>-620.160739239743 64.6185566592337 -767.525519920116</t>
  </si>
  <si>
    <t>-547.377527809991 195.871804247524 -238.776113551048</t>
  </si>
  <si>
    <t>-570.966250601293 189.988259473844 216.269611896113</t>
  </si>
  <si>
    <t>-623.162157339371 177.67656442814 683.037125398557</t>
  </si>
  <si>
    <t>-484.348345732928 107.043849498166 764.800515936276</t>
  </si>
  <si>
    <t>-627.335660152913 18.2935939419835 -217.509764807249</t>
  </si>
  <si>
    <t>-492.203590091984 -109.037473237841 198.643768235129</t>
  </si>
  <si>
    <t>-497.301552852528 -24.7557374846363 660.8335504625</t>
  </si>
  <si>
    <t>-489.823924222938 -175.617498612769 750.990597457397</t>
  </si>
  <si>
    <t>9763-20170724T160453.694186400.bin</t>
  </si>
  <si>
    <t>-587.109465928152 106.942734305436 -228.431129160684</t>
  </si>
  <si>
    <t>-622.71087175266 108.874393108262 -344.174909611892</t>
  </si>
  <si>
    <t>-632.676042138184 106.902562578415 -464.953073495952</t>
  </si>
  <si>
    <t>-631.081922662597 103.146122488466 -574.397989183909</t>
  </si>
  <si>
    <t>-619.030963212706 97.2810072312309 -683.09579418211</t>
  </si>
  <si>
    <t>-591.502742230123 86.7795612144032 -832.534536846934</t>
  </si>
  <si>
    <t>-542.223828066508 63.3597352017621 -918.593187043719</t>
  </si>
  <si>
    <t>-587.733123988902 118.911360602667 -765.405900268946</t>
  </si>
  <si>
    <t>-504.340819306758 236.416913570523 -735.969562628537</t>
  </si>
  <si>
    <t>-471.253836255208 222.516205926695 -421.488712656932</t>
  </si>
  <si>
    <t>-290.145499807691 135.525626616072 -256.338883560346</t>
  </si>
  <si>
    <t>-619.633057392748 63.9409746379783 -767.419286834142</t>
  </si>
  <si>
    <t>-547.30484943079 195.865829295432 -238.76445641872</t>
  </si>
  <si>
    <t>-571.041623764896 190.115875401742 216.275361474039</t>
  </si>
  <si>
    <t>-623.134149953429 177.764895533465 683.04540669596</t>
  </si>
  <si>
    <t>-484.30098808962 107.161627595563 764.801405799493</t>
  </si>
  <si>
    <t>-626.792106315764 18.0409110793787 -217.397536963284</t>
  </si>
  <si>
    <t>-491.372887849933 -109.192146486137 198.692681318486</t>
  </si>
  <si>
    <t>-497.21818633425 -24.7399785218463 660.849969703193</t>
  </si>
  <si>
    <t>-489.7112603882 -175.609870043078 750.991281538516</t>
  </si>
  <si>
    <t>9763-20170724T160453.729284800.bin</t>
  </si>
  <si>
    <t>-586.951916006403 106.824570481748 -228.446761999264</t>
  </si>
  <si>
    <t>-622.548439742206 108.691669620642 -344.193107886593</t>
  </si>
  <si>
    <t>-632.546038022906 106.669114472055 -464.967678548181</t>
  </si>
  <si>
    <t>-630.996404266771 102.871388049877 -574.411986802927</t>
  </si>
  <si>
    <t>-619.005099509737 96.9681573024168 -683.114229885789</t>
  </si>
  <si>
    <t>-591.57518423157 86.4159333218502 -832.567480345473</t>
  </si>
  <si>
    <t>-542.277063266005 63.0384632970556 -918.626613867042</t>
  </si>
  <si>
    <t>-587.802417172778 118.594518340635 -765.461477638247</t>
  </si>
  <si>
    <t>-504.615042333121 236.242652270589 -736.099533717595</t>
  </si>
  <si>
    <t>-470.359999148132 221.88569747143 -421.76431058247</t>
  </si>
  <si>
    <t>-287.027867874127 135.027558272958 -259.015761933814</t>
  </si>
  <si>
    <t>-619.621776962207 63.5753616600457 -767.416742457751</t>
  </si>
  <si>
    <t>-547.348799352977 195.833692092735 -238.760059079785</t>
  </si>
  <si>
    <t>-571.042063050124 190.069613840762 216.281698869772</t>
  </si>
  <si>
    <t>-623.145657425941 177.754005041872 683.046005929596</t>
  </si>
  <si>
    <t>-484.206444635376 107.352345739017 764.795697172269</t>
  </si>
  <si>
    <t>-626.453939969643 17.8485766812012 -217.418769950489</t>
  </si>
  <si>
    <t>-490.961335946843 -109.203707542329 198.702835865844</t>
  </si>
  <si>
    <t>-497.244366398158 -24.7344970365625 660.858944458339</t>
  </si>
  <si>
    <t>-489.576578729728 -175.604549538977 750.986216452627</t>
  </si>
  <si>
    <t>9763-20170724T160453.793467200.bin</t>
  </si>
  <si>
    <t>-586.552929844941 106.543505259612 -228.468259519299</t>
  </si>
  <si>
    <t>-622.081121423768 108.240784626647 -344.238261107346</t>
  </si>
  <si>
    <t>-632.103284254977 106.058143984736 -465.008065382591</t>
  </si>
  <si>
    <t>-630.615818741789 102.113744780046 -574.447964711384</t>
  </si>
  <si>
    <t>-618.727340604556 96.0574604263998 -683.153141618449</t>
  </si>
  <si>
    <t>-591.482752091318 85.2818049084685 -832.624274047644</t>
  </si>
  <si>
    <t>-542.249301201627 61.9153110423106 -918.723446107391</t>
  </si>
  <si>
    <t>-587.679624463443 117.59155945622 -765.583014025209</t>
  </si>
  <si>
    <t>-504.614392327909 235.451576453962 -736.637634971567</t>
  </si>
  <si>
    <t>-467.593150785059 219.813471114912 -422.677401009127</t>
  </si>
  <si>
    <t>-282.463341353181 133.2946029014 -261.793813819848</t>
  </si>
  <si>
    <t>-619.395644934481 62.5078497737554 -767.392963417768</t>
  </si>
  <si>
    <t>-547.327046391987 195.670768587847 -238.757452765769</t>
  </si>
  <si>
    <t>-571.048627600303 190.035762447911 216.284465174831</t>
  </si>
  <si>
    <t>-623.199623228913 177.700743677432 683.055614003088</t>
  </si>
  <si>
    <t>-484.242353404331 107.324104954004 764.796164659676</t>
  </si>
  <si>
    <t>-625.672508502217 17.35610168314 -217.495387643459</t>
  </si>
  <si>
    <t>-490.087909337472 -109.185996695732 198.751607020583</t>
  </si>
  <si>
    <t>-497.231613362346 -24.7265216982405 660.888719612308</t>
  </si>
  <si>
    <t>-489.315820274985 -175.598652723975 750.991053784683</t>
  </si>
  <si>
    <t>9763-20170724T160453.829562200.bin</t>
  </si>
  <si>
    <t>-586.301923602638 106.333769484458 -228.4650069511</t>
  </si>
  <si>
    <t>-621.796676510648 107.99776367198 -344.245566531295</t>
  </si>
  <si>
    <t>-631.824258514372 105.773855222393 -465.014296190152</t>
  </si>
  <si>
    <t>-630.358709444334 101.786066532417 -574.452859195675</t>
  </si>
  <si>
    <t>-618.509462188519 95.6785766168352 -683.159569397175</t>
  </si>
  <si>
    <t>-591.337731022686 84.8217097434083 -832.638025034132</t>
  </si>
  <si>
    <t>-542.147646188103 61.4485068449546 -918.760198588252</t>
  </si>
  <si>
    <t>-587.507097553976 117.170907258832 -765.617260559968</t>
  </si>
  <si>
    <t>-504.430279409241 235.006230827733 -736.73509555062</t>
  </si>
  <si>
    <t>-466.542021896647 218.192508869897 -422.93908100249</t>
  </si>
  <si>
    <t>-280.229946804338 131.52200867748 -263.50844997981</t>
  </si>
  <si>
    <t>-619.213689406792 62.0801200543854 -767.379593800748</t>
  </si>
  <si>
    <t>-547.229806168871 195.498336248843 -238.735625967046</t>
  </si>
  <si>
    <t>-570.870675620732 189.866647251889 216.310599414329</t>
  </si>
  <si>
    <t>-623.214482732686 177.701393427391 683.067762760862</t>
  </si>
  <si>
    <t>-484.251870387523 107.320562218487 764.795567107223</t>
  </si>
  <si>
    <t>-625.266029832868 17.1241462703201 -217.502706660735</t>
  </si>
  <si>
    <t>-489.692087839445 -109.325354022571 198.775938595854</t>
  </si>
  <si>
    <t>-497.212532010079 -24.7289983833043 660.890480583865</t>
  </si>
  <si>
    <t>-489.223975760517 -175.596410562712 750.994406646985</t>
  </si>
  <si>
    <t>9763-20170724T160453.893759000.bin</t>
  </si>
  <si>
    <t>-585.740228902801 105.871198167997 -228.409379733111</t>
  </si>
  <si>
    <t>-621.20948474973 107.458634630549 -344.198919065309</t>
  </si>
  <si>
    <t>-631.247248986008 105.129393909251 -464.964721538593</t>
  </si>
  <si>
    <t>-629.806249471103 101.03525803086 -574.399708371166</t>
  </si>
  <si>
    <t>-617.997243948952 94.8102659156236 -683.104098837372</t>
  </si>
  <si>
    <t>-590.897293993887 83.7791597511336 -832.582879202635</t>
  </si>
  <si>
    <t>-541.790583840055 60.3583458742453 -918.739586395959</t>
  </si>
  <si>
    <t>-587.049338655706 116.215071121541 -765.605034475318</t>
  </si>
  <si>
    <t>-503.935274153474 234.092934716547 -736.919844028096</t>
  </si>
  <si>
    <t>-464.121734318303 215.636713184336 -423.454626758158</t>
  </si>
  <si>
    <t>-275.672317649738 128.395403647296 -266.872919079435</t>
  </si>
  <si>
    <t>-618.727032599001 61.1050758209076 -767.281159945833</t>
  </si>
  <si>
    <t>-546.783524170585 195.062549385549 -238.684500495543</t>
  </si>
  <si>
    <t>-570.457373154118 189.479693132067 216.360585526982</t>
  </si>
  <si>
    <t>-623.225390421409 177.722820940873 683.07469204424</t>
  </si>
  <si>
    <t>-484.16322570886 107.510988188619 764.778588610575</t>
  </si>
  <si>
    <t>-624.592201389797 16.6540192531722 -217.431997323873</t>
  </si>
  <si>
    <t>-489.060148889324 -109.657026130159 198.902340082075</t>
  </si>
  <si>
    <t>-497.159475526713 -24.7269629441148 660.923894960524</t>
  </si>
  <si>
    <t>-489.090009910094 -175.593513262575 751.022078643685</t>
  </si>
  <si>
    <t>9763-20170724T160453.925844000.bin</t>
  </si>
  <si>
    <t>-585.433233642711 105.62182540857 -228.409376285179</t>
  </si>
  <si>
    <t>-620.860609352607 107.192831263783 -344.211951659373</t>
  </si>
  <si>
    <t>-630.903174364594 104.83246549478 -464.976826550574</t>
  </si>
  <si>
    <t>-629.486053043951 100.706903336768 -574.410944921992</t>
  </si>
  <si>
    <t>-617.719852120871 94.4490726541042 -683.118047455049</t>
  </si>
  <si>
    <t>-590.698540622768 83.3719628711447 -832.607740868124</t>
  </si>
  <si>
    <t>-541.634432558733 59.9289308222305 -918.782699116625</t>
  </si>
  <si>
    <t>-586.830885780207 115.837551912671 -765.645359821021</t>
  </si>
  <si>
    <t>-503.716419674131 233.696487828075 -736.977315427305</t>
  </si>
  <si>
    <t>-462.553150553076 214.501228952592 -423.730966851962</t>
  </si>
  <si>
    <t>-272.820846118189 126.943463674852 -268.884679178076</t>
  </si>
  <si>
    <t>-618.478366030533 60.7089420706575 -767.280911560273</t>
  </si>
  <si>
    <t>-546.523376459627 194.79486554201 -238.666346241766</t>
  </si>
  <si>
    <t>-570.288899029775 189.247624541505 216.37441476304</t>
  </si>
  <si>
    <t>-623.295848771023 177.59970465126 683.074478149965</t>
  </si>
  <si>
    <t>-484.055421463163 107.726837566119 764.765289326528</t>
  </si>
  <si>
    <t>-624.245565491523 16.4461613720057 -217.43555320887</t>
  </si>
  <si>
    <t>-488.878289684191 -109.870891507352 198.950567584571</t>
  </si>
  <si>
    <t>-497.135340080215 -24.7303517503178 660.9399037005</t>
  </si>
  <si>
    <t>-489.084194936504 -175.59398951675 751.044437140657</t>
  </si>
  <si>
    <t>9763-20170724T160453.996041000.bin</t>
  </si>
  <si>
    <t>-584.879625939242 105.129461620997 -228.394036419268</t>
  </si>
  <si>
    <t>-620.229701237354 106.643483207214 -344.220952898188</t>
  </si>
  <si>
    <t>-630.270432506017 104.221465998613 -464.984631179592</t>
  </si>
  <si>
    <t>-628.88364435603 100.037598240859 -574.416999353477</t>
  </si>
  <si>
    <t>-617.179989180565 93.717860242497 -683.127369414992</t>
  </si>
  <si>
    <t>-590.278810236196 82.5499211797271 -832.631907277429</t>
  </si>
  <si>
    <t>-541.28610507505 59.0530814222 -918.832746988269</t>
  </si>
  <si>
    <t>-586.363207772515 115.059488770548 -765.693656955278</t>
  </si>
  <si>
    <t>-503.076088055094 232.852827076743 -737.173606986081</t>
  </si>
  <si>
    <t>-459.810872912381 212.82310589823 -424.262939569553</t>
  </si>
  <si>
    <t>-268.521289456999 123.654241780976 -272.278435429712</t>
  </si>
  <si>
    <t>-618.000384203803 59.9231791053135 -767.26767928057</t>
  </si>
  <si>
    <t>-546.081341848111 194.295973860957 -238.646826194034</t>
  </si>
  <si>
    <t>-569.968758062028 188.885205316064 216.389181059206</t>
  </si>
  <si>
    <t>-623.308384522516 177.574801026458 683.064947826045</t>
  </si>
  <si>
    <t>-483.983930735884 107.87492563349 764.760340646063</t>
  </si>
  <si>
    <t>-623.565320336448 15.9422282837661 -217.432114440845</t>
  </si>
  <si>
    <t>-488.436127132124 -110.231813609575 199.074723164446</t>
  </si>
  <si>
    <t>-497.084776278707 -24.7275130137368 660.991025472202</t>
  </si>
  <si>
    <t>-489.015990886084 -175.592382519079 751.092139512179</t>
  </si>
  <si>
    <t>9763-20170724T160454.029128100.bin</t>
  </si>
  <si>
    <t>-584.613665380273 104.882220464279 -228.399920933251</t>
  </si>
  <si>
    <t>-619.922898091667 106.387552542891 -344.239354180535</t>
  </si>
  <si>
    <t>-629.956167648403 103.939544662405 -465.003269608804</t>
  </si>
  <si>
    <t>-628.577283603699 99.7239739459471 -574.434465473337</t>
  </si>
  <si>
    <t>-616.896770689047 93.3632308614576 -683.144858579667</t>
  </si>
  <si>
    <t>-590.04343687751 82.1282504589151 -832.652930132468</t>
  </si>
  <si>
    <t>-541.091342609967 58.6051006976652 -918.869791324315</t>
  </si>
  <si>
    <t>-586.105770433787 114.667565492001 -765.730594357914</t>
  </si>
  <si>
    <t>-502.751604419499 232.407805300018 -737.239081661792</t>
  </si>
  <si>
    <t>-458.471142746886 211.808282702718 -424.507470879619</t>
  </si>
  <si>
    <t>-266.547118544463 122.019503944661 -273.692189371856</t>
  </si>
  <si>
    <t>-617.744647216942 59.5311902080152 -767.26997839882</t>
  </si>
  <si>
    <t>-545.889300891874 194.06362833746 -238.633141684577</t>
  </si>
  <si>
    <t>-569.83275251166 188.691433079903 216.400399762563</t>
  </si>
  <si>
    <t>-623.315839293614 177.570981293423 683.064599020671</t>
  </si>
  <si>
    <t>-483.965317284888 107.921026696509 764.758099001627</t>
  </si>
  <si>
    <t>-623.222936472276 15.6994625321943 -217.45220256741</t>
  </si>
  <si>
    <t>-488.203714093694 -110.399620057666 199.112912192833</t>
  </si>
  <si>
    <t>-497.076764155147 -24.7400139020963 660.995586658534</t>
  </si>
  <si>
    <t>-488.975727748451 -175.596185475038 751.108282089981</t>
  </si>
  <si>
    <t>9763-20170724T160454.096309800.bin</t>
  </si>
  <si>
    <t>-584.121286568918 104.314405079524 -228.406135500361</t>
  </si>
  <si>
    <t>-619.330732426439 105.751548430649 -344.276897660266</t>
  </si>
  <si>
    <t>-629.28074123285 103.232246199543 -465.046136132544</t>
  </si>
  <si>
    <t>-627.835869370245 98.9464397866846 -574.473769007291</t>
  </si>
  <si>
    <t>-616.099955474901 92.5070129931682 -683.173547357454</t>
  </si>
  <si>
    <t>-589.18200818832 81.1511655915681 -832.660888325064</t>
  </si>
  <si>
    <t>-540.247243369034 57.5965791677843 -918.878942349087</t>
  </si>
  <si>
    <t>-585.272126064061 113.743921121692 -765.762833805103</t>
  </si>
  <si>
    <t>-501.754166599478 231.379222013952 -737.266663073502</t>
  </si>
  <si>
    <t>-455.843287140915 209.896623225075 -424.82961153006</t>
  </si>
  <si>
    <t>-263.008470132997 118.540612316224 -276.132381777748</t>
  </si>
  <si>
    <t>-616.912513185604 58.6077283537786 -767.271868599245</t>
  </si>
  <si>
    <t>-545.510353310889 193.473615754609 -238.608948395074</t>
  </si>
  <si>
    <t>-569.506312882343 188.252393254982 216.423536409492</t>
  </si>
  <si>
    <t>-623.316776195231 177.585984742974 683.059599698026</t>
  </si>
  <si>
    <t>-483.947207421689 107.980923112466 764.758836115549</t>
  </si>
  <si>
    <t>-622.594935353481 15.1355318950089 -217.484510471013</t>
  </si>
  <si>
    <t>-487.723862562912 -110.705298858698 199.20672818302</t>
  </si>
  <si>
    <t>-497.05975925033 -24.7367877345046 661.05056722504</t>
  </si>
  <si>
    <t>-488.852629675504 -175.600658986039 751.140900838762</t>
  </si>
  <si>
    <t>9763-20170724T160454.124384200.bin</t>
  </si>
  <si>
    <t>-583.866846441728 104.026978571466 -228.426458908904</t>
  </si>
  <si>
    <t>-619.025175289877 105.443644206939 -344.313046875516</t>
  </si>
  <si>
    <t>-628.940139820362 102.886345784604 -465.084415028187</t>
  </si>
  <si>
    <t>-627.471401388158 98.5579370716137 -574.510009126516</t>
  </si>
  <si>
    <t>-615.720013729673 92.0669794013065 -683.205160388844</t>
  </si>
  <si>
    <t>-588.78973621515 80.6296320323918 -832.684100466278</t>
  </si>
  <si>
    <t>-539.852439832643 57.0360109349972 -918.889927179115</t>
  </si>
  <si>
    <t>-584.890517863558 113.261828655992 -765.804596802137</t>
  </si>
  <si>
    <t>-501.284438799808 230.833357032461 -737.311536715011</t>
  </si>
  <si>
    <t>-454.662246223628 208.746210355468 -425.022157852284</t>
  </si>
  <si>
    <t>-261.303800731982 116.921548742807 -277.296770972789</t>
  </si>
  <si>
    <t>-616.520508364062 58.1188607019681 -767.283895098807</t>
  </si>
  <si>
    <t>-545.338159491933 193.192555139326 -238.607554149021</t>
  </si>
  <si>
    <t>-569.446569662656 188.070623331801 216.420265904837</t>
  </si>
  <si>
    <t>-623.322651733289 177.583000698798 683.057877134513</t>
  </si>
  <si>
    <t>-483.83849826855 108.201938957206 764.752067550841</t>
  </si>
  <si>
    <t>-622.293009248021 14.8559946160008 -217.523302388439</t>
  </si>
  <si>
    <t>-487.536883135769 -110.849901220331 199.245755039717</t>
  </si>
  <si>
    <t>-497.04472097036 -24.7333125719981 661.073598968135</t>
  </si>
  <si>
    <t>-488.80026327971 -175.605415598493 751.14675092387</t>
  </si>
  <si>
    <t>9763-20170724T160454.194579700.bin</t>
  </si>
  <si>
    <t>-583.470675039095 103.669126057725 -228.442195911171</t>
  </si>
  <si>
    <t>-618.523665660652 105.033601141207 -344.3612471351</t>
  </si>
  <si>
    <t>-628.383413809137 102.401983029588 -465.1355405441</t>
  </si>
  <si>
    <t>-626.887739226997 97.9940983384799 -574.557569869975</t>
  </si>
  <si>
    <t>-615.133653707861 91.4090285132336 -683.246608119828</t>
  </si>
  <si>
    <t>-588.225519038822 79.8237196935152 -832.718230058106</t>
  </si>
  <si>
    <t>-539.306022627709 56.1925950842237 -918.923985426267</t>
  </si>
  <si>
    <t>-584.329041264417 112.529526574629 -765.874516163529</t>
  </si>
  <si>
    <t>-500.692154714459 230.090284797749 -737.437739889286</t>
  </si>
  <si>
    <t>-452.706655246427 206.723328726381 -425.448093485325</t>
  </si>
  <si>
    <t>-258.754720603714 113.467316333602 -279.406942447928</t>
  </si>
  <si>
    <t>-615.933914275482 57.3703283141713 -767.288806808759</t>
  </si>
  <si>
    <t>-545.118699324256 192.946045205387 -238.591060877817</t>
  </si>
  <si>
    <t>-569.25918166092 187.893208812638 216.435704360871</t>
  </si>
  <si>
    <t>-623.32154450461 177.610750686218 683.064125332844</t>
  </si>
  <si>
    <t>-483.881886964729 108.140801720218 764.758845633923</t>
  </si>
  <si>
    <t>-621.700518234164 14.432489548667 -217.595368285291</t>
  </si>
  <si>
    <t>-487.189143340893 -111.03418608201 199.324912662823</t>
  </si>
  <si>
    <t>-497.074908794012 -24.7359929204217 661.105447800209</t>
  </si>
  <si>
    <t>-488.664164364689 -175.612811805781 751.155249232184</t>
  </si>
  <si>
    <t>9763-20170724T160454.224658700.bin</t>
  </si>
  <si>
    <t>-583.359658615663 103.503502513105 -228.458770682837</t>
  </si>
  <si>
    <t>-618.372927961328 104.828859109392 -344.390350832762</t>
  </si>
  <si>
    <t>-628.214975786405 102.147249812043 -465.164897607916</t>
  </si>
  <si>
    <t>-626.713345613425 97.6883306495852 -574.584789542432</t>
  </si>
  <si>
    <t>-614.963801498 91.0454366531951 -683.270913496049</t>
  </si>
  <si>
    <t>-588.073220066505 79.371825607943 -832.738788979296</t>
  </si>
  <si>
    <t>-539.173447259382 55.7221487439626 -918.950610942758</t>
  </si>
  <si>
    <t>-584.178697313118 112.122664432967 -765.917121259874</t>
  </si>
  <si>
    <t>-500.563028085208 229.709289017786 -737.524586815458</t>
  </si>
  <si>
    <t>-451.818829017759 205.789889973011 -425.694582295018</t>
  </si>
  <si>
    <t>-257.605965474572 112.042098366999 -280.316552842001</t>
  </si>
  <si>
    <t>-615.764237125072 56.9514081732423 -767.290618042075</t>
  </si>
  <si>
    <t>-545.105587903806 192.807058448513 -238.588492593464</t>
  </si>
  <si>
    <t>-569.220456893268 187.83643429622 216.44062445906</t>
  </si>
  <si>
    <t>-623.316753535365 177.630170543555 683.061506035433</t>
  </si>
  <si>
    <t>-483.839507335639 108.22779743436 764.749443149526</t>
  </si>
  <si>
    <t>-621.519176566904 14.1784147123276 -217.634050440991</t>
  </si>
  <si>
    <t>-487.001047942947 -111.042159332567 199.357999302374</t>
  </si>
  <si>
    <t>-497.099671933447 -24.7508469420675 661.110600774848</t>
  </si>
  <si>
    <t>-488.611965210704 -175.616894767319 751.171057934768</t>
  </si>
  <si>
    <t>9763-20170724T160454.290363300.bin</t>
  </si>
  <si>
    <t>-583.20142819722 103.305460029011 -228.489643738165</t>
  </si>
  <si>
    <t>-618.163033317812 104.555720762464 -344.437568183785</t>
  </si>
  <si>
    <t>-627.989512796054 101.807458713734 -465.211887082973</t>
  </si>
  <si>
    <t>-626.489930646722 97.2886037027602 -574.629389020064</t>
  </si>
  <si>
    <t>-614.759039311318 90.5840143046785 -683.313721621927</t>
  </si>
  <si>
    <t>-587.912250899462 78.8205391098145 -832.782393789258</t>
  </si>
  <si>
    <t>-539.177715865117 55.2291941653277 -919.10373878635</t>
  </si>
  <si>
    <t>-584.019651047259 111.62399117808 -765.986379516029</t>
  </si>
  <si>
    <t>-500.300475906918 229.170252187327 -737.731242279129</t>
  </si>
  <si>
    <t>-450.510196560017 204.636595000867 -426.114130695023</t>
  </si>
  <si>
    <t>-256.017508052509 110.761680811898 -281.192768885515</t>
  </si>
  <si>
    <t>-615.562566140535 56.4270641430005 -767.30795677063</t>
  </si>
  <si>
    <t>-545.146113582174 192.690689120995 -238.602135233587</t>
  </si>
  <si>
    <t>-569.260570923361 187.757795247905 216.427390348321</t>
  </si>
  <si>
    <t>-623.37628828711 177.543722223959 683.066154900768</t>
  </si>
  <si>
    <t>-483.83497749692 108.263603385298 764.74844989963</t>
  </si>
  <si>
    <t>-621.167970167947 13.9258558235354 -217.660683378128</t>
  </si>
  <si>
    <t>-486.658600514157 -111.087121006108 199.396431051687</t>
  </si>
  <si>
    <t>-497.1080518061 -24.768617096054 661.147447202143</t>
  </si>
  <si>
    <t>-488.507353734329 -175.624806988212 751.213700001952</t>
  </si>
  <si>
    <t>9763-20170724T160454.329473500.bin</t>
  </si>
  <si>
    <t>-583.167834703522 103.239073859159 -228.488586039443</t>
  </si>
  <si>
    <t>-618.111084728554 104.453295539995 -344.442503303922</t>
  </si>
  <si>
    <t>-627.923610003136 101.654525015956 -465.216809861216</t>
  </si>
  <si>
    <t>-626.414163754255 97.0817040217996 -574.631872871782</t>
  </si>
  <si>
    <t>-614.677059043923 90.3131027360271 -683.311561021677</t>
  </si>
  <si>
    <t>-587.825798191181 78.449232717421 -832.771585187781</t>
  </si>
  <si>
    <t>-539.368449831181 54.9544473227372 -919.275104804578</t>
  </si>
  <si>
    <t>-583.936243686321 111.298145136974 -765.997711630531</t>
  </si>
  <si>
    <t>-500.166198595101 228.823869816036 -737.787102708941</t>
  </si>
  <si>
    <t>-450.282772218252 204.172871950095 -426.194084512917</t>
  </si>
  <si>
    <t>-255.605060099153 110.695295403135 -281.264695905954</t>
  </si>
  <si>
    <t>-615.477017801849 56.0991637799193 -767.282659197988</t>
  </si>
  <si>
    <t>-545.191028858215 192.639240722498 -238.595827650575</t>
  </si>
  <si>
    <t>-569.281870330011 187.758194216863 216.435455732206</t>
  </si>
  <si>
    <t>-623.379170653602 177.548451218615 683.070828874579</t>
  </si>
  <si>
    <t>-483.803950958635 108.330966859377 764.748273705238</t>
  </si>
  <si>
    <t>-621.039806598044 13.8216988780898 -217.66817827284</t>
  </si>
  <si>
    <t>-486.468759622483 -111.089726319399 199.399452362808</t>
  </si>
  <si>
    <t>-497.115307662143 -24.7801868387817 661.151159892815</t>
  </si>
  <si>
    <t>-488.452223923774 -175.629276445915 751.223432676728</t>
  </si>
  <si>
    <t>9763-20170724T160454.393150900.bin</t>
  </si>
  <si>
    <t>-583.194713337189 103.234805793781 -228.482288850635</t>
  </si>
  <si>
    <t>-618.140276353233 104.373898134518 -344.43624611908</t>
  </si>
  <si>
    <t>-627.833212554883 101.460966529222 -465.217564824462</t>
  </si>
  <si>
    <t>-626.167267072249 96.7657268338082 -574.625211121715</t>
  </si>
  <si>
    <t>-614.227847960631 89.8534492831743 -683.27388391568</t>
  </si>
  <si>
    <t>-587.051004575253 77.7662130872789 -832.656993055548</t>
  </si>
  <si>
    <t>-539.526901125407 54.7166315010372 -919.795739280775</t>
  </si>
  <si>
    <t>-583.330563411032 110.728484605686 -765.929460974066</t>
  </si>
  <si>
    <t>-499.563954728624 228.273852607023 -737.76832833856</t>
  </si>
  <si>
    <t>-448.957456535346 203.818824440667 -426.276591732392</t>
  </si>
  <si>
    <t>-254.530294949451 110.215294799053 -281.09211078842</t>
  </si>
  <si>
    <t>-614.821318786507 55.5003364221564 -767.189664069162</t>
  </si>
  <si>
    <t>-545.359375281565 192.753717880221 -238.594511476051</t>
  </si>
  <si>
    <t>-569.338921418929 187.840945925218 216.442332322379</t>
  </si>
  <si>
    <t>-623.365452777382 177.604220937371 683.074623682068</t>
  </si>
  <si>
    <t>-483.757135743833 108.444820080854 764.744713725396</t>
  </si>
  <si>
    <t>-620.935478790915 13.7370389491941 -217.633041571114</t>
  </si>
  <si>
    <t>-486.130233158682 -111.061058089136 199.392971521703</t>
  </si>
  <si>
    <t>-497.130693603763 -24.8098878654121 661.150269140409</t>
  </si>
  <si>
    <t>-488.326413915481 -175.642485903449 751.236346034456</t>
  </si>
  <si>
    <t>9763-20170724T160454.425235600.bin</t>
  </si>
  <si>
    <t>-583.236125900887 103.27472967684 -228.513766796138</t>
  </si>
  <si>
    <t>-618.155286739026 104.385115526122 -344.475826518085</t>
  </si>
  <si>
    <t>-627.778069569139 101.405385884623 -465.261142578857</t>
  </si>
  <si>
    <t>-626.03261350163 96.6308978491006 -574.664134394056</t>
  </si>
  <si>
    <t>-613.999331845197 89.6186339388391 -683.296052003478</t>
  </si>
  <si>
    <t>-586.679172493456 77.3691689652671 -832.639766632468</t>
  </si>
  <si>
    <t>-539.697749603494 54.544001025834 -920.131205619374</t>
  </si>
  <si>
    <t>-583.019286881845 110.4020012821 -765.94385259828</t>
  </si>
  <si>
    <t>-499.247968627788 227.949936617875 -737.851490831344</t>
  </si>
  <si>
    <t>-448.360781498086 203.625607493575 -426.39511199638</t>
  </si>
  <si>
    <t>-253.592188330976 110.231139197364 -281.534095513415</t>
  </si>
  <si>
    <t>-614.515597139409 55.1764992201001 -767.175946704295</t>
  </si>
  <si>
    <t>-545.468431151978 192.849204036921 -238.602378680029</t>
  </si>
  <si>
    <t>-569.423072515978 187.954705118304 216.435897874836</t>
  </si>
  <si>
    <t>-623.352344862795 177.641466182519 683.076784401405</t>
  </si>
  <si>
    <t>-483.777035872477 108.414887017285 764.74634695258</t>
  </si>
  <si>
    <t>-620.896419735717 13.7143814724554 -217.684436272124</t>
  </si>
  <si>
    <t>-486.03699394178 -110.907392351863 199.376676424625</t>
  </si>
  <si>
    <t>-497.154145267084 -24.8216180939946 661.148007342218</t>
  </si>
  <si>
    <t>-488.232189191913 -175.643455745687 751.240644860587</t>
  </si>
  <si>
    <t>9763-20170724T160454.492954700.bin</t>
  </si>
  <si>
    <t>-583.359214633015 103.275281023131 -228.598610385772</t>
  </si>
  <si>
    <t>-618.153017462866 104.304157511533 -344.599287317551</t>
  </si>
  <si>
    <t>-627.749816713115 101.204853182321 -465.383569676353</t>
  </si>
  <si>
    <t>-626.024908272578 96.3011847901794 -574.781223755134</t>
  </si>
  <si>
    <t>-614.057791438997 89.1346737805795 -683.410362780955</t>
  </si>
  <si>
    <t>-586.877816327408 76.6412820511696 -832.759474329023</t>
  </si>
  <si>
    <t>-540.924264890363 54.1709746333081 -920.88637047394</t>
  </si>
  <si>
    <t>-583.15430255229 109.782348739444 -766.120719396391</t>
  </si>
  <si>
    <t>-499.193504885449 227.273388259409 -738.35761399091</t>
  </si>
  <si>
    <t>-447.666604163778 202.997340583839 -427.002840751702</t>
  </si>
  <si>
    <t>-252.793214733475 109.593395823056 -282.288817630272</t>
  </si>
  <si>
    <t>-614.653978876952 54.5560294473989 -767.233427122165</t>
  </si>
  <si>
    <t>-545.821570678295 192.972828791061 -238.626107066152</t>
  </si>
  <si>
    <t>-569.801377326252 188.080345571204 216.410922538754</t>
  </si>
  <si>
    <t>-623.413915196961 177.570791194866 683.085548400216</t>
  </si>
  <si>
    <t>-483.645933206893 108.701578328663 764.727782761694</t>
  </si>
  <si>
    <t>-620.81665994382 13.5791852471671 -217.861207700448</t>
  </si>
  <si>
    <t>-486.010631594203 -110.522547872695 199.372225051733</t>
  </si>
  <si>
    <t>-497.245721253242 -24.829453134493 661.216765424814</t>
  </si>
  <si>
    <t>-488.002323509743 -175.640624301002 751.29479878073</t>
  </si>
  <si>
    <t>9763-20170724T160454.526041500.bin</t>
  </si>
  <si>
    <t>-583.412787229968 103.268006296488 -228.621974515381</t>
  </si>
  <si>
    <t>-618.144654610917 104.276288875018 -344.641296063578</t>
  </si>
  <si>
    <t>-627.734412504904 101.126083008074 -465.424826208308</t>
  </si>
  <si>
    <t>-626.027645020704 96.1608073862326 -574.819975885242</t>
  </si>
  <si>
    <t>-614.103847152677 88.9152512395601 -683.44860392067</t>
  </si>
  <si>
    <t>-587.010760801157 76.2920009526119 -832.802627711685</t>
  </si>
  <si>
    <t>-541.458421810362 53.9158971640579 -921.161433448615</t>
  </si>
  <si>
    <t>-583.243944851386 109.488415601175 -766.193861247465</t>
  </si>
  <si>
    <t>-499.148250990157 226.921975368861 -738.611962009228</t>
  </si>
  <si>
    <t>-447.346981303558 202.639955977936 -427.30316228549</t>
  </si>
  <si>
    <t>-252.337853701885 109.356396631467 -282.694443811754</t>
  </si>
  <si>
    <t>-614.753244748897 54.2664116811548 -767.242437303377</t>
  </si>
  <si>
    <t>-545.956583738691 193.003365311222 -238.628549349844</t>
  </si>
  <si>
    <t>-569.956137805548 188.140557522357 216.407712749133</t>
  </si>
  <si>
    <t>-623.453261993816 177.510559174992 683.089058031361</t>
  </si>
  <si>
    <t>-483.580926231806 108.83928919393 764.719248582842</t>
  </si>
  <si>
    <t>-620.759621500002 13.5278883184044 -217.923039073323</t>
  </si>
  <si>
    <t>-485.993216264451 -110.389516275911 199.378021233739</t>
  </si>
  <si>
    <t>-497.289864773344 -24.8256522940819 661.249982223246</t>
  </si>
  <si>
    <t>-487.9149921256 -175.634657488251 751.318069036198</t>
  </si>
  <si>
    <t>9763-20170724T160454.594252100.bin</t>
  </si>
  <si>
    <t>-583.348136281743 103.352899078133 -228.581832057988</t>
  </si>
  <si>
    <t>-618.076028772334 104.295985708907 -344.602999813083</t>
  </si>
  <si>
    <t>-627.735097996912 101.077830828893 -465.379272552679</t>
  </si>
  <si>
    <t>-626.121340052763 96.0480279650255 -574.772773703547</t>
  </si>
  <si>
    <t>-614.320916289933 88.7329863313123 -683.410178368138</t>
  </si>
  <si>
    <t>-587.429980319139 76.0068230928155 -832.792013626243</t>
  </si>
  <si>
    <t>-542.466425735485 53.7040604047195 -921.470355823776</t>
  </si>
  <si>
    <t>-583.576787720004 109.251150450925 -766.212115625297</t>
  </si>
  <si>
    <t>-499.278777285498 226.614210391181 -739.001252981982</t>
  </si>
  <si>
    <t>-446.745906310314 202.430986315771 -427.807299836248</t>
  </si>
  <si>
    <t>-251.207141419124 109.671016719752 -283.577597761439</t>
  </si>
  <si>
    <t>-615.080001265875 54.0243373014407 -767.178314667236</t>
  </si>
  <si>
    <t>-545.996649924153 193.151041582742 -238.621896307573</t>
  </si>
  <si>
    <t>-570.072417845496 188.355723444122 216.41104388999</t>
  </si>
  <si>
    <t>-623.426794000446 177.597052956819 683.101439405031</t>
  </si>
  <si>
    <t>-483.620503077707 108.785844243268 764.726978086973</t>
  </si>
  <si>
    <t>-620.609410538872 13.5179289696737 -217.849298930012</t>
  </si>
  <si>
    <t>-485.772053391812 -110.354356199053 199.442193799892</t>
  </si>
  <si>
    <t>-497.308302636641 -24.8197016012612 661.299292591347</t>
  </si>
  <si>
    <t>-487.79155319987 -175.633711758544 751.344232158626</t>
  </si>
  <si>
    <t>9763-20170724T160454.628342800.bin</t>
  </si>
  <si>
    <t>-583.272852951131 103.40905632811 -228.546674505081</t>
  </si>
  <si>
    <t>-618.022033934197 104.333330957923 -344.561568626942</t>
  </si>
  <si>
    <t>-627.735464187011 101.092720587814 -465.332950046238</t>
  </si>
  <si>
    <t>-626.18376149625 96.0424954400817 -574.726350084075</t>
  </si>
  <si>
    <t>-614.457845365286 88.7073550061718 -683.370557285153</t>
  </si>
  <si>
    <t>-587.682301304013 75.9545131231057 -832.770801418395</t>
  </si>
  <si>
    <t>-542.922845625736 53.6369018728051 -921.548557922199</t>
  </si>
  <si>
    <t>-583.780454581106 109.212438007469 -766.200510690596</t>
  </si>
  <si>
    <t>-499.367316659865 226.551483388111 -739.145811087321</t>
  </si>
  <si>
    <t>-446.333995675791 202.345045217964 -428.038543639816</t>
  </si>
  <si>
    <t>-250.571480698226 109.780550602563 -283.986743031184</t>
  </si>
  <si>
    <t>-615.278844103361 53.9820690856304 -767.13111459322</t>
  </si>
  <si>
    <t>-545.92825874651 193.212893815621 -238.605758304229</t>
  </si>
  <si>
    <t>-570.03509328612 188.401568234641 216.425420414249</t>
  </si>
  <si>
    <t>-623.420100031482 177.636243786961 683.111191616587</t>
  </si>
  <si>
    <t>-483.608755484474 108.826628692585 764.729404437885</t>
  </si>
  <si>
    <t>-620.518666531518 13.5859514520675 -217.788396865902</t>
  </si>
  <si>
    <t>-485.628942541223 -110.378153765779 199.458972534235</t>
  </si>
  <si>
    <t>-497.289060305837 -24.8308375226027 661.30538294309</t>
  </si>
  <si>
    <t>-487.743984957762 -175.643573689232 751.349343631669</t>
  </si>
  <si>
    <t>9763-20170724T160454.693021300.bin</t>
  </si>
  <si>
    <t>-583.138626542479 103.583811538894 -228.537486966623</t>
  </si>
  <si>
    <t>-617.933925173786 104.482555721944 -344.538722430656</t>
  </si>
  <si>
    <t>-627.794242610275 101.200605396202 -465.296997722098</t>
  </si>
  <si>
    <t>-626.415978524909 96.1070959330166 -574.690855951395</t>
  </si>
  <si>
    <t>-614.902423772993 88.7234038795893 -683.354436952778</t>
  </si>
  <si>
    <t>-588.461442205739 75.8968440506783 -832.808024119473</t>
  </si>
  <si>
    <t>-543.971390332626 53.4917934392222 -921.699101543299</t>
  </si>
  <si>
    <t>-584.409325188978 109.186754848383 -766.262703134551</t>
  </si>
  <si>
    <t>-499.764850408821 226.439281079319 -739.568055889812</t>
  </si>
  <si>
    <t>-445.875802651698 202.303540226137 -428.602378577307</t>
  </si>
  <si>
    <t>-249.893215548255 109.781936504912 -284.822493111934</t>
  </si>
  <si>
    <t>-615.912241968388 53.9575754331152 -767.096166041869</t>
  </si>
  <si>
    <t>-545.818560415277 193.486862811041 -238.607238217652</t>
  </si>
  <si>
    <t>-569.916517517182 188.522537693255 216.422844654499</t>
  </si>
  <si>
    <t>-623.385522168624 177.728815196115 683.102003902527</t>
  </si>
  <si>
    <t>-483.617273325234 108.83966557107 764.726958326476</t>
  </si>
  <si>
    <t>-620.344686955313 13.6858376178504 -217.766124933142</t>
  </si>
  <si>
    <t>-485.422925191237 -110.165928777727 199.50420131367</t>
  </si>
  <si>
    <t>-497.292688367836 -24.8289054234237 661.362085880611</t>
  </si>
  <si>
    <t>-487.673755697528 -175.652012167252 751.380817648976</t>
  </si>
  <si>
    <t>9763-20170724T160454.725107000.bin</t>
  </si>
  <si>
    <t>-583.114909578224 103.660827733641 -228.542822726279</t>
  </si>
  <si>
    <t>-617.929123686734 104.564057165358 -344.538436213372</t>
  </si>
  <si>
    <t>-627.899704640886 101.277461463248 -465.287491430485</t>
  </si>
  <si>
    <t>-626.658087838201 96.1759610569889 -574.682488846426</t>
  </si>
  <si>
    <t>-615.317541661213 88.7797153195093 -683.363543362246</t>
  </si>
  <si>
    <t>-589.152987755343 75.9310461702337 -832.863745962911</t>
  </si>
  <si>
    <t>-544.798259398239 53.453805762198 -921.804291506271</t>
  </si>
  <si>
    <t>-584.972282867725 109.227687757256 -766.329802434076</t>
  </si>
  <si>
    <t>-500.203755475468 226.438205434265 -739.857168648109</t>
  </si>
  <si>
    <t>-446.051798150129 202.374684154168 -428.931642383663</t>
  </si>
  <si>
    <t>-250.174962229014 109.713822509754 -285.097378008226</t>
  </si>
  <si>
    <t>-616.487754485497 54.0046263692323 -767.099319614959</t>
  </si>
  <si>
    <t>-545.833616698776 193.560205851919 -238.602393521273</t>
  </si>
  <si>
    <t>-569.96701228399 188.555469571778 216.425271300909</t>
  </si>
  <si>
    <t>-623.396801739593 177.721891117153 683.099955448466</t>
  </si>
  <si>
    <t>-483.526851942824 109.033600220699 764.719965492658</t>
  </si>
  <si>
    <t>-620.295324503036 13.7642309958976 -217.767747545757</t>
  </si>
  <si>
    <t>-485.361873951387 -110.073885786321 199.502814497941</t>
  </si>
  <si>
    <t>-497.294821119851 -24.8333220887141 661.386040096532</t>
  </si>
  <si>
    <t>-487.631987873166 -175.655895575512 751.401094318006</t>
  </si>
  <si>
    <t>9763-20170724T160454.797312500.bin</t>
  </si>
  <si>
    <t>-583.064048447082 103.868094571849 -228.53762493689</t>
  </si>
  <si>
    <t>-617.903082381442 104.759347258065 -344.525786449284</t>
  </si>
  <si>
    <t>-628.086133067804 101.443040393819 -465.256306733795</t>
  </si>
  <si>
    <t>-627.112977775631 96.3091523612541 -574.652617814673</t>
  </si>
  <si>
    <t>-616.114606251537 88.8764347153624 -683.366276931377</t>
  </si>
  <si>
    <t>-590.499517851193 75.9729051956278 -832.956881075003</t>
  </si>
  <si>
    <t>-546.383029340121 53.3345856640626 -921.974972782687</t>
  </si>
  <si>
    <t>-586.064918759954 109.288610687546 -766.448769087384</t>
  </si>
  <si>
    <t>-501.179695394632 226.509716530044 -740.412748368767</t>
  </si>
  <si>
    <t>-446.77282854491 203.051321826403 -429.48548806859</t>
  </si>
  <si>
    <t>-251.392220841637 109.965532177898 -285.251347009101</t>
  </si>
  <si>
    <t>-617.601852280913 54.0760566711551 -767.086570279595</t>
  </si>
  <si>
    <t>-545.788400405166 193.760161637202 -238.61960679448</t>
  </si>
  <si>
    <t>-570.020731819164 188.705642177096 216.402283918946</t>
  </si>
  <si>
    <t>-623.39661244996 177.720254433463 683.078316906209</t>
  </si>
  <si>
    <t>-483.47228306096 109.161215873101 764.713835119764</t>
  </si>
  <si>
    <t>-620.238920273501 13.9623174956225 -217.749384859064</t>
  </si>
  <si>
    <t>-485.323380959235 -109.866739963176 199.529768027242</t>
  </si>
  <si>
    <t>-497.308708245642 -24.8382245589135 661.446391613963</t>
  </si>
  <si>
    <t>-487.587237047795 -175.661303190218 751.45428523942</t>
  </si>
  <si>
    <t>9763-20170724T160454.825393200.bin</t>
  </si>
  <si>
    <t>-583.01535328948 103.93990766324 -228.529838915762</t>
  </si>
  <si>
    <t>-617.873592128295 104.823952356332 -344.512266151821</t>
  </si>
  <si>
    <t>-628.174321974999 101.489989041458 -465.232500887404</t>
  </si>
  <si>
    <t>-627.34707742634 96.3372740272068 -574.628996391557</t>
  </si>
  <si>
    <t>-616.53347377974 88.8827510404692 -683.359614451327</t>
  </si>
  <si>
    <t>-591.213363491532 75.9467709174914 -832.997766094049</t>
  </si>
  <si>
    <t>-547.219738369302 53.2144289856881 -922.052643667602</t>
  </si>
  <si>
    <t>-586.632508259033 109.268057916847 -766.502476147286</t>
  </si>
  <si>
    <t>-501.670443489962 226.484829062127 -740.688960724344</t>
  </si>
  <si>
    <t>-447.330535826595 203.450115026305 -429.718265416114</t>
  </si>
  <si>
    <t>-251.868550633224 110.274570404817 -285.652287139837</t>
  </si>
  <si>
    <t>-618.201012400813 54.0729400531397 -767.072522382449</t>
  </si>
  <si>
    <t>-545.688192971071 193.807700434775 -238.63587602763</t>
  </si>
  <si>
    <t>-570.002415733903 188.766459300624 216.381832055532</t>
  </si>
  <si>
    <t>-623.379249123996 177.743925526212 683.059920054202</t>
  </si>
  <si>
    <t>-483.517810766204 109.08607751641 764.720122930056</t>
  </si>
  <si>
    <t>-620.240673369978 14.0309033739477 -217.729860593631</t>
  </si>
  <si>
    <t>-485.319921849539 -109.802998501381 199.546112808614</t>
  </si>
  <si>
    <t>-497.316870644615 -24.8436479010591 661.473406535197</t>
  </si>
  <si>
    <t>-487.596497014444 -175.663795102951 751.486203832184</t>
  </si>
  <si>
    <t>9763-20170724T160454.895149000.bin</t>
  </si>
  <si>
    <t>-582.984347005759 104.131158589031 -228.547809325085</t>
  </si>
  <si>
    <t>-617.909246728927 105.036323445044 -344.510095680547</t>
  </si>
  <si>
    <t>-628.495745008877 101.700967010103 -465.205404848235</t>
  </si>
  <si>
    <t>-628.015956126876 96.5374362986568 -574.60354618843</t>
  </si>
  <si>
    <t>-617.636302237922 89.0625039617664 -683.375072607393</t>
  </si>
  <si>
    <t>-593.005916265876 76.0875895354666 -833.124771636394</t>
  </si>
  <si>
    <t>-549.259047907589 53.1812442486837 -922.256826625365</t>
  </si>
  <si>
    <t>-588.068786742711 109.397477147945 -766.649349925248</t>
  </si>
  <si>
    <t>-502.944275378233 226.588349022445 -741.278531441979</t>
  </si>
  <si>
    <t>-449.061911939521 204.131816765145 -430.185981199138</t>
  </si>
  <si>
    <t>-253.082941120308 111.344793522421 -286.572498416819</t>
  </si>
  <si>
    <t>-619.739385874825 54.2597414748041 -767.0811197232</t>
  </si>
  <si>
    <t>-545.575315014591 193.890604571907 -238.68295809608</t>
  </si>
  <si>
    <t>-569.879558539948 188.702445176633 216.333589364943</t>
  </si>
  <si>
    <t>-623.352102238738 177.739350734964 683.005712898002</t>
  </si>
  <si>
    <t>-483.476197258551 109.178656022887 764.722728816725</t>
  </si>
  <si>
    <t>-620.297218138143 14.3508567830484 -217.703745174791</t>
  </si>
  <si>
    <t>-485.437590545871 -109.679548475054 199.53358755781</t>
  </si>
  <si>
    <t>-497.339349671842 -24.8511469641512 661.517711206611</t>
  </si>
  <si>
    <t>-487.597171332874 -175.667303507674 751.534983143472</t>
  </si>
  <si>
    <t>9763-20170724T160454.924226200.bin</t>
  </si>
  <si>
    <t>-583.029073277423 104.128362553269 -228.584359833061</t>
  </si>
  <si>
    <t>-617.967777538918 105.033188791999 -344.542429031995</t>
  </si>
  <si>
    <t>-628.695176187862 101.700167170497 -465.225418738801</t>
  </si>
  <si>
    <t>-628.394356018404 96.540299611491 -574.624482401434</t>
  </si>
  <si>
    <t>-618.243696558929 89.0708649947974 -683.417831420541</t>
  </si>
  <si>
    <t>-593.981644831609 76.1052889833518 -833.228563148215</t>
  </si>
  <si>
    <t>-550.366535386808 53.1271487881006 -922.406555018088</t>
  </si>
  <si>
    <t>-588.859482387095 109.398608106851 -766.758835929124</t>
  </si>
  <si>
    <t>-503.658667817342 226.583220892159 -741.616199471359</t>
  </si>
  <si>
    <t>-450.015055333711 204.253435675943 -430.47319382446</t>
  </si>
  <si>
    <t>-254.145281098949 111.55370499786 -286.654350454952</t>
  </si>
  <si>
    <t>-620.574242041946 54.2856739706274 -767.125278638425</t>
  </si>
  <si>
    <t>-545.586114802953 193.790975072888 -238.716925077679</t>
  </si>
  <si>
    <t>-569.826685876842 188.542752243479 216.302407044613</t>
  </si>
  <si>
    <t>-623.308715772151 177.796251298334 682.970361065017</t>
  </si>
  <si>
    <t>-483.420329264983 109.302789215953 764.722376760472</t>
  </si>
  <si>
    <t>-620.374023074023 14.4159038925816 -217.738081899499</t>
  </si>
  <si>
    <t>-485.506817514932 -109.575927309653 199.508307579706</t>
  </si>
  <si>
    <t>-497.345997034604 -24.8728240898695 661.523535550177</t>
  </si>
  <si>
    <t>-487.589107521188 -175.676875489019 751.559344551746</t>
  </si>
  <si>
    <t>9763-20170724T160454.995316000.bin</t>
  </si>
  <si>
    <t>-583.193948565797 104.041247073476 -228.660105004064</t>
  </si>
  <si>
    <t>-618.180566857388 104.985467485058 -344.603471923995</t>
  </si>
  <si>
    <t>-629.145004810007 101.647410787601 -465.264860407521</t>
  </si>
  <si>
    <t>-629.136261878486 96.4630612337612 -574.663139363038</t>
  </si>
  <si>
    <t>-619.354146202744 88.9480842629998 -683.487217063694</t>
  </si>
  <si>
    <t>-595.681755832188 75.8959886086452 -833.384828926223</t>
  </si>
  <si>
    <t>-552.302738408225 52.7404513813526 -922.63210187928</t>
  </si>
  <si>
    <t>-590.246846597391 109.19802438835 -766.94420327834</t>
  </si>
  <si>
    <t>-504.815698004451 226.293706088221 -742.213330068264</t>
  </si>
  <si>
    <t>-451.492580028238 204.588603399607 -430.971132348217</t>
  </si>
  <si>
    <t>-255.601683695671 112.101184322848 -287.044337191605</t>
  </si>
  <si>
    <t>-622.065340401877 54.1441569430672 -767.175407925484</t>
  </si>
  <si>
    <t>-545.655414827394 193.594138035277 -238.803105832728</t>
  </si>
  <si>
    <t>-569.79090509295 188.196849788012 216.2199811373</t>
  </si>
  <si>
    <t>-623.276955381907 177.826553491475 682.905076604418</t>
  </si>
  <si>
    <t>-483.398554480525 109.379795724105 764.713315758695</t>
  </si>
  <si>
    <t>-620.612884058291 14.4891185134034 -217.832566653519</t>
  </si>
  <si>
    <t>-485.762428565663 -109.382221010635 199.455024230001</t>
  </si>
  <si>
    <t>-497.385665000494 -24.9339724055615 661.531675838672</t>
  </si>
  <si>
    <t>-487.587239632502 -175.701038204386 751.624804616088</t>
  </si>
  <si>
    <t>9763-20170724T160455.030410200.bin</t>
  </si>
  <si>
    <t>-583.391420997591 104.023274029032 -228.681845181998</t>
  </si>
  <si>
    <t>-618.403082627681 104.981830827202 -344.617478320056</t>
  </si>
  <si>
    <t>-629.464460301532 101.651365022024 -465.270288828878</t>
  </si>
  <si>
    <t>-629.573274826321 96.4674966861296 -574.668503761327</t>
  </si>
  <si>
    <t>-619.938352855324 88.9446061010065 -683.50520559068</t>
  </si>
  <si>
    <t>-596.501049978769 75.8705508548871 -833.437807686294</t>
  </si>
  <si>
    <t>-553.241079091947 52.6384500017384 -922.722792626154</t>
  </si>
  <si>
    <t>-590.920019271116 109.158008941814 -767.002054192371</t>
  </si>
  <si>
    <t>-505.29758931055 226.168576504145 -742.418616778325</t>
  </si>
  <si>
    <t>-452.030331400067 204.847393464944 -431.140343002162</t>
  </si>
  <si>
    <t>-256.385203823221 112.068494634255 -287.066988390995</t>
  </si>
  <si>
    <t>-622.822760337834 54.152684294502 -767.192524278444</t>
  </si>
  <si>
    <t>-545.821723704107 193.519818690307 -238.834761531788</t>
  </si>
  <si>
    <t>-569.792679389902 188.02572481577 216.195874644856</t>
  </si>
  <si>
    <t>-623.292774590785 177.793924908637 682.884402748578</t>
  </si>
  <si>
    <t>-483.486992552295 109.233297881535 764.721352104995</t>
  </si>
  <si>
    <t>-620.81231607327 14.5441707561376 -217.859136686676</t>
  </si>
  <si>
    <t>-485.905152099399 -109.286849942532 199.422128408604</t>
  </si>
  <si>
    <t>-497.413313666137 -24.971941216098 661.526955798782</t>
  </si>
  <si>
    <t>-487.55931934625 -175.712347560845 751.658980182978</t>
  </si>
  <si>
    <t>9763-20170724T160455.094588700.bin</t>
  </si>
  <si>
    <t>-584.089273347321 104.075541248202 -228.742430543183</t>
  </si>
  <si>
    <t>-619.136469303389 105.037146262596 -344.667244125942</t>
  </si>
  <si>
    <t>-630.317641134706 101.65873907018 -465.30773404889</t>
  </si>
  <si>
    <t>-630.571008070887 96.4046398325038 -574.702360180675</t>
  </si>
  <si>
    <t>-621.117449065136 88.7812653357933 -683.547987972574</t>
  </si>
  <si>
    <t>-597.970823128932 75.5329618707476 -833.510408891508</t>
  </si>
  <si>
    <t>-554.858272458433 52.084133948586 -922.810121136468</t>
  </si>
  <si>
    <t>-592.18325589593 108.852367964659 -767.108310260418</t>
  </si>
  <si>
    <t>-506.059885695695 225.526452013952 -742.739304800969</t>
  </si>
  <si>
    <t>-452.718327359367 204.463147606344 -431.456116181199</t>
  </si>
  <si>
    <t>-257.595723705198 111.417528877972 -286.847274823544</t>
  </si>
  <si>
    <t>-624.241727681766 53.937465969105 -767.205009906806</t>
  </si>
  <si>
    <t>-546.47652388039 193.52884466258 -238.915039160924</t>
  </si>
  <si>
    <t>-570.13507122624 188.006363671325 216.131581544715</t>
  </si>
  <si>
    <t>-623.22696646916 177.912725489459 682.835576755363</t>
  </si>
  <si>
    <t>-483.49051652189 109.273708223484 764.725255709909</t>
  </si>
  <si>
    <t>-621.591145699214 14.6731500998771 -217.890602456181</t>
  </si>
  <si>
    <t>-486.352098042233 -109.09090210936 199.303083716812</t>
  </si>
  <si>
    <t>-497.485087045976 -25.0663713848401 661.491907384214</t>
  </si>
  <si>
    <t>-487.516038345759 -175.739823826229 751.723089334258</t>
  </si>
  <si>
    <t>9763-20170724T160455.127672300.bin</t>
  </si>
  <si>
    <t>-584.597231259123 104.218066675454 -228.795421322811</t>
  </si>
  <si>
    <t>-619.650882451294 105.191221169894 -344.718275302785</t>
  </si>
  <si>
    <t>-630.786870960827 101.758036232653 -465.36145042057</t>
  </si>
  <si>
    <t>-630.980530780461 96.4222523382255 -574.752136786075</t>
  </si>
  <si>
    <t>-621.45029328931 88.6825782429273 -683.582943045465</t>
  </si>
  <si>
    <t>-598.182109349699 75.2340388683381 -833.50867986015</t>
  </si>
  <si>
    <t>-555.04720180301 51.621190710963 -922.754464033026</t>
  </si>
  <si>
    <t>-592.408024602337 108.618586451193 -767.138123473625</t>
  </si>
  <si>
    <t>-506.018382608152 225.105873960216 -742.845460254137</t>
  </si>
  <si>
    <t>-452.484289248431 204.104782677746 -431.591166660804</t>
  </si>
  <si>
    <t>-257.754446681528 110.414424927568 -286.869167661475</t>
  </si>
  <si>
    <t>-624.547045147083 53.750664419731 -767.204198496625</t>
  </si>
  <si>
    <t>-547.01295977229 193.711453889825 -238.952313104406</t>
  </si>
  <si>
    <t>-570.417960508641 188.042828449611 216.105693490858</t>
  </si>
  <si>
    <t>-623.301285328379 177.805299730255 682.84512593511</t>
  </si>
  <si>
    <t>-483.387680851537 109.51037868463 764.719962524792</t>
  </si>
  <si>
    <t>-622.040764815016 14.7978939907894 -217.942082031858</t>
  </si>
  <si>
    <t>-486.681173176285 -108.931516536925 199.222659939186</t>
  </si>
  <si>
    <t>-497.537527971764 -25.1099844999326 661.473606061422</t>
  </si>
  <si>
    <t>-487.496843825988 -175.75399707154 751.74602486848</t>
  </si>
  <si>
    <t>9763-20170724T160455.196362200.bin</t>
  </si>
  <si>
    <t>-585.912178320069 104.776701571573 -228.88101614185</t>
  </si>
  <si>
    <t>-620.992541942669 105.726268035569 -344.796007467168</t>
  </si>
  <si>
    <t>-631.967516905528 102.139200672051 -465.449360506664</t>
  </si>
  <si>
    <t>-631.942050406549 96.6050609563695 -574.830398907466</t>
  </si>
  <si>
    <t>-622.123647319574 88.6043647222846 -683.616640702991</t>
  </si>
  <si>
    <t>-598.388491165146 74.7254613830335 -833.429917188642</t>
  </si>
  <si>
    <t>-555.075577659743 50.7371147900678 -922.489116303829</t>
  </si>
  <si>
    <t>-592.789303928459 108.281615674023 -767.130991805602</t>
  </si>
  <si>
    <t>-505.789173492471 224.315840606523 -742.830761859231</t>
  </si>
  <si>
    <t>-451.455845000467 203.785888823104 -431.683585439047</t>
  </si>
  <si>
    <t>-257.133204673297 108.183989763393 -287.666157804432</t>
  </si>
  <si>
    <t>-624.991904566144 53.4511754569583 -767.153363334191</t>
  </si>
  <si>
    <t>-548.30429706144 194.274122193811 -239.043107712338</t>
  </si>
  <si>
    <t>-571.226579062545 188.499820676956 216.038120895797</t>
  </si>
  <si>
    <t>-623.30408469832 177.872193936548 682.84945541251</t>
  </si>
  <si>
    <t>-483.431936552681 109.489846686045 764.722237340658</t>
  </si>
  <si>
    <t>-623.434208014238 15.264034693814 -218.006670282133</t>
  </si>
  <si>
    <t>-487.501159208871 -108.191243839267 199.052840112742</t>
  </si>
  <si>
    <t>-497.68589958872 -25.1839355018853 661.446278207563</t>
  </si>
  <si>
    <t>-487.374264503183 -175.768051138679 751.787860668725</t>
  </si>
  <si>
    <t>9763-20170724T160455.224436500.bin</t>
  </si>
  <si>
    <t>-586.77397875556 105.167916455236 -228.952333348455</t>
  </si>
  <si>
    <t>-621.817706099943 106.068104480595 -344.878762247301</t>
  </si>
  <si>
    <t>-632.708163207862 102.366236479076 -465.536420172702</t>
  </si>
  <si>
    <t>-632.588430132752 96.7016215207286 -574.910725147906</t>
  </si>
  <si>
    <t>-622.659832354961 88.5434493991945 -683.675347020102</t>
  </si>
  <si>
    <t>-598.756619985757 74.4180414944433 -833.438750354492</t>
  </si>
  <si>
    <t>-555.35284071816 50.2388586930256 -922.402019775914</t>
  </si>
  <si>
    <t>-593.252895370276 108.095831989879 -767.193462751198</t>
  </si>
  <si>
    <t>-506.257226665922 224.191688903236 -743.081274284345</t>
  </si>
  <si>
    <t>-450.947250850026 203.416960912582 -432.122550495704</t>
  </si>
  <si>
    <t>-257.127491935452 106.261340841329 -288.467480744042</t>
  </si>
  <si>
    <t>-625.413083551519 53.2405069212598 -767.152563673571</t>
  </si>
  <si>
    <t>-549.216381167553 194.850682596237 -239.110839155602</t>
  </si>
  <si>
    <t>-571.779782472551 188.845432358641 215.985357666706</t>
  </si>
  <si>
    <t>-623.284570043349 177.95734856545 682.850237963352</t>
  </si>
  <si>
    <t>-483.403470225451 109.582311038975 764.713795562149</t>
  </si>
  <si>
    <t>-624.171150292788 15.5189547631519 -218.112806175563</t>
  </si>
  <si>
    <t>-487.989884304209 -107.551131827703 198.979638144455</t>
  </si>
  <si>
    <t>-497.822630171278 -25.2024366850633 661.473500176328</t>
  </si>
  <si>
    <t>-487.248358115032 -175.76359611509 751.822908580701</t>
  </si>
  <si>
    <t>9763-20170724T160455.293625700.bin</t>
  </si>
  <si>
    <t>-588.727013288845 106.301620779035 -229.0916774612</t>
  </si>
  <si>
    <t>-623.722354847049 107.059436483697 -345.033732272053</t>
  </si>
  <si>
    <t>-634.533752554673 103.141513357278 -465.691566332111</t>
  </si>
  <si>
    <t>-634.334006952024 97.2444749987824 -575.053585226155</t>
  </si>
  <si>
    <t>-624.319973020055 88.8126613301856 -683.789342936748</t>
  </si>
  <si>
    <t>-600.295771478093 74.2604391536925 -833.492550382488</t>
  </si>
  <si>
    <t>-556.669258154549 49.8058199666891 -922.271529855968</t>
  </si>
  <si>
    <t>-594.86822510215 108.140148396252 -767.344098421783</t>
  </si>
  <si>
    <t>-508.025645475359 224.36151993214 -743.39273657913</t>
  </si>
  <si>
    <t>-450.818263469329 203.184574214648 -432.804377240995</t>
  </si>
  <si>
    <t>-255.481523845809 105.090839380755 -291.867398601034</t>
  </si>
  <si>
    <t>-626.983303951409 53.2584714653367 -767.162890849197</t>
  </si>
  <si>
    <t>-551.279677889526 196.378240646251 -239.273905902889</t>
  </si>
  <si>
    <t>-573.331586412782 190.254585721744 215.845734587934</t>
  </si>
  <si>
    <t>-623.131018246758 178.290888068384 682.796242266338</t>
  </si>
  <si>
    <t>-483.626710595478 109.226985110569 764.724440091638</t>
  </si>
  <si>
    <t>-626.052267936993 16.2877440695588 -218.203174728152</t>
  </si>
  <si>
    <t>-488.775558037483 -105.751164807334 198.833088522464</t>
  </si>
  <si>
    <t>-498.087230232589 -25.1741689484777 661.621365310661</t>
  </si>
  <si>
    <t>-486.806235841311 -175.73200235886 751.890962913689</t>
  </si>
  <si>
    <t>9763-20170724T160455.328720000.bin</t>
  </si>
  <si>
    <t>-589.71968840617 107.155395215305 -228.998598968085</t>
  </si>
  <si>
    <t>-624.621598098068 107.779612297876 -344.969552926917</t>
  </si>
  <si>
    <t>-635.353173995355 103.678533708105 -465.628637277765</t>
  </si>
  <si>
    <t>-635.089478170042 97.5948787395744 -574.980148890298</t>
  </si>
  <si>
    <t>-625.021506090119 88.954664316002 -683.694620999761</t>
  </si>
  <si>
    <t>-600.934773863993 74.0890270347973 -833.35717409468</t>
  </si>
  <si>
    <t>-557.125098074198 49.4400440500515 -921.991924565854</t>
  </si>
  <si>
    <t>-595.522167920989 108.099808880733 -767.2745675088</t>
  </si>
  <si>
    <t>-508.60779674032 224.329067226874 -743.518219919592</t>
  </si>
  <si>
    <t>-451.158088775607 202.915944763165 -432.990842868491</t>
  </si>
  <si>
    <t>-255.071248946533 104.658260282841 -293.214556255363</t>
  </si>
  <si>
    <t>-627.66260057909 53.2334694578349 -766.997547129725</t>
  </si>
  <si>
    <t>-552.26825745308 197.419366432565 -239.290070159823</t>
  </si>
  <si>
    <t>-574.418980931675 191.503000660953 215.827535150879</t>
  </si>
  <si>
    <t>-623.134183073235 178.313518441152 682.818594818359</t>
  </si>
  <si>
    <t>-483.651662520238 109.218410723542 764.757658756402</t>
  </si>
  <si>
    <t>-627.07611161095 16.922696029477 -218.032800116829</t>
  </si>
  <si>
    <t>-489.035506242919 -105.137438075208 198.745083594776</t>
  </si>
  <si>
    <t>-498.158167787165 -25.1344664305298 661.65417610425</t>
  </si>
  <si>
    <t>-486.667098861747 -175.712681860167 751.863075588449</t>
  </si>
  <si>
    <t>9763-20170724T160455.393459400.bin</t>
  </si>
  <si>
    <t>-591.656299373968 109.260107855731 -228.817426185571</t>
  </si>
  <si>
    <t>-626.533741057123 109.629860477457 -344.796768458785</t>
  </si>
  <si>
    <t>-637.205276947083 105.113091648715 -465.446214485439</t>
  </si>
  <si>
    <t>-636.875425175919 98.5940250126264 -574.772547391381</t>
  </si>
  <si>
    <t>-626.731420285485 89.4629248337335 -683.439816512182</t>
  </si>
  <si>
    <t>-602.530835337721 73.861220448739 -833.008961128218</t>
  </si>
  <si>
    <t>-558.255714763054 48.5896003216442 -921.236201652082</t>
  </si>
  <si>
    <t>-597.119962062577 108.168217567151 -767.079653933011</t>
  </si>
  <si>
    <t>-510.051660562619 224.314543365872 -743.661803403223</t>
  </si>
  <si>
    <t>-451.573789092334 202.686967882823 -433.341180712158</t>
  </si>
  <si>
    <t>-253.870879026495 104.74863868709 -295.632564228903</t>
  </si>
  <si>
    <t>-629.357775758406 53.3607048448787 -766.578785924014</t>
  </si>
  <si>
    <t>-553.845242422557 199.783560427464 -239.417000916592</t>
  </si>
  <si>
    <t>-576.543311647606 194.407077113461 215.680281340143</t>
  </si>
  <si>
    <t>-622.892612743458 178.658403362166 682.741506675455</t>
  </si>
  <si>
    <t>-483.80519833769 108.980508984063 764.858479901016</t>
  </si>
  <si>
    <t>-629.492639719029 18.7097214633923 -217.540343214296</t>
  </si>
  <si>
    <t>-489.983424163951 -104.092237853502 198.529954300465</t>
  </si>
  <si>
    <t>-498.272420647879 -25.0408915778726 661.609836989526</t>
  </si>
  <si>
    <t>-486.464859023153 -175.666819614739 751.698279709991</t>
  </si>
  <si>
    <t>9763-20170724T160455.428556500.bin</t>
  </si>
  <si>
    <t>-592.498814981306 110.172174834708 -228.756309187394</t>
  </si>
  <si>
    <t>-627.39706953623 110.489903356299 -344.729683296559</t>
  </si>
  <si>
    <t>-638.051974250251 105.807126328303 -465.374313838594</t>
  </si>
  <si>
    <t>-637.692621017459 99.0968587045206 -574.688946004314</t>
  </si>
  <si>
    <t>-627.505534517997 89.737094082979 -683.332711495538</t>
  </si>
  <si>
    <t>-603.231719923893 73.7822856559792 -832.852664939161</t>
  </si>
  <si>
    <t>-558.695230012728 48.1106347262735 -920.832588961169</t>
  </si>
  <si>
    <t>-597.808519147574 108.218750206821 -766.992071640763</t>
  </si>
  <si>
    <t>-510.499103291513 224.223715397537 -743.717870935303</t>
  </si>
  <si>
    <t>-451.281764025292 202.211392255101 -433.564832636333</t>
  </si>
  <si>
    <t>-252.872149670647 104.556241912566 -296.673692387419</t>
  </si>
  <si>
    <t>-630.135732110107 53.4648550099307 -766.39750849036</t>
  </si>
  <si>
    <t>-554.357831557605 200.68037177298 -239.501989033502</t>
  </si>
  <si>
    <t>-577.214921985742 195.424003642744 215.588753954678</t>
  </si>
  <si>
    <t>-622.757163729697 178.846228598523 682.680925890303</t>
  </si>
  <si>
    <t>-483.900997449746 108.83443354206 764.905178623123</t>
  </si>
  <si>
    <t>-630.565633223143 19.5910742697126 -217.335412765795</t>
  </si>
  <si>
    <t>-490.597332435405 -103.797578809638 198.407003058314</t>
  </si>
  <si>
    <t>-498.279362772231 -25.0072925098543 661.507658067203</t>
  </si>
  <si>
    <t>-486.518040230585 -175.644815573733 751.582700184034</t>
  </si>
  <si>
    <t>9763-20170724T160455.492858100.bin</t>
  </si>
  <si>
    <t>-593.712803443963 111.472035503462 -228.819969123286</t>
  </si>
  <si>
    <t>-628.715647784579 111.756735671728 -344.761819184426</t>
  </si>
  <si>
    <t>-639.412797081875 106.778765957366 -465.390925146403</t>
  </si>
  <si>
    <t>-639.068186335252 99.7018536164514 -574.682407276902</t>
  </si>
  <si>
    <t>-628.873971812535 89.8817177743717 -683.284882234376</t>
  </si>
  <si>
    <t>-604.570239264074 73.1944441173409 -832.720067268928</t>
  </si>
  <si>
    <t>-559.759772000576 46.6589727707658 -920.303606325978</t>
  </si>
  <si>
    <t>-599.019974359848 107.870403392109 -766.995729275538</t>
  </si>
  <si>
    <t>-511.04988019926 223.435371403473 -744.039203721964</t>
  </si>
  <si>
    <t>-450.349141163191 200.305418683482 -434.254410884217</t>
  </si>
  <si>
    <t>-252.001322718104 102.365587911673 -297.477198082785</t>
  </si>
  <si>
    <t>-631.627819495699 53.2856651137329 -766.203543034287</t>
  </si>
  <si>
    <t>-554.93100241694 201.915114612867 -239.817067992439</t>
  </si>
  <si>
    <t>-577.865585344836 196.712813099125 215.270297825172</t>
  </si>
  <si>
    <t>-622.282605587492 179.357113709708 682.379484198706</t>
  </si>
  <si>
    <t>-484.234477209431 108.224591163442 765.001461363141</t>
  </si>
  <si>
    <t>-632.425858296129 20.9217612857638 -217.132270908213</t>
  </si>
  <si>
    <t>-491.732146011815 -103.211452859926 198.143511370218</t>
  </si>
  <si>
    <t>-498.341181526391 -24.9050390647592 661.32881526231</t>
  </si>
  <si>
    <t>-486.694605389381 -175.58885576258 751.341465215224</t>
  </si>
  <si>
    <t>9763-20170724T160455.524943400.bin</t>
  </si>
  <si>
    <t>-594.169504945716 111.86898564071 -228.852127243883</t>
  </si>
  <si>
    <t>-629.239939318291 112.166045990171 -344.773529016646</t>
  </si>
  <si>
    <t>-639.952757070131 107.034732230529 -465.394800763934</t>
  </si>
  <si>
    <t>-639.602293318997 99.7551007428647 -574.672985910194</t>
  </si>
  <si>
    <t>-629.383774222336 89.670884230806 -683.248970359794</t>
  </si>
  <si>
    <t>-605.028729013721 72.5557695224527 -832.627364465318</t>
  </si>
  <si>
    <t>-560.179269037479 45.6012816418606 -920.062750385207</t>
  </si>
  <si>
    <t>-599.41775189268 107.37039481264 -766.981475202505</t>
  </si>
  <si>
    <t>-510.935915778869 222.614641598795 -744.228414443135</t>
  </si>
  <si>
    <t>-449.852651658171 198.654338935007 -434.58199070397</t>
  </si>
  <si>
    <t>-251.974730015118 100.29511752669 -297.425749830526</t>
  </si>
  <si>
    <t>-632.192314401382 52.8870685639131 -766.082573873926</t>
  </si>
  <si>
    <t>-555.067220158641 202.232836942595 -239.960756114436</t>
  </si>
  <si>
    <t>-578.015027204105 197.044750300777 215.126236045601</t>
  </si>
  <si>
    <t>-622.160368673028 179.453320504472 682.295790915506</t>
  </si>
  <si>
    <t>-484.256888139282 108.185170467384 765.042390682224</t>
  </si>
  <si>
    <t>-633.197496273797 21.3934840228264 -217.061414601786</t>
  </si>
  <si>
    <t>-492.213904264102 -103.03221930019 198.028351490535</t>
  </si>
  <si>
    <t>-498.328162567763 -24.8015833946829 661.284613897986</t>
  </si>
  <si>
    <t>-486.799689903537 -175.55345776759 751.198297045821</t>
  </si>
  <si>
    <t>9763-20170724T160455.591125100.bin</t>
  </si>
  <si>
    <t>-594.922877794651 112.290960783169 -228.791935384414</t>
  </si>
  <si>
    <t>-630.059138856466 112.573088439688 -344.693383835527</t>
  </si>
  <si>
    <t>-640.880106682548 107.162667413777 -465.292822260417</t>
  </si>
  <si>
    <t>-640.649258548523 99.5217782631028 -574.546645796215</t>
  </si>
  <si>
    <t>-630.575092110014 88.9678986998188 -683.09145895585</t>
  </si>
  <si>
    <t>-606.449430734366 71.0876846344581 -832.4175020151</t>
  </si>
  <si>
    <t>-561.784692869659 43.3963858795191 -919.717139071816</t>
  </si>
  <si>
    <t>-600.52663001308 106.110840787146 -766.910147042592</t>
  </si>
  <si>
    <t>-511.085643071518 220.654146606528 -744.547242040348</t>
  </si>
  <si>
    <t>-449.614314995246 195.400347759658 -435.080368056209</t>
  </si>
  <si>
    <t>-253.829571622218 94.4615082854798 -296.799077877377</t>
  </si>
  <si>
    <t>-633.721978349459 51.8873767784498 -765.780638696681</t>
  </si>
  <si>
    <t>-555.227767639955 202.383911199459 -240.052119558251</t>
  </si>
  <si>
    <t>-578.115060928545 197.253876042798 215.038488534106</t>
  </si>
  <si>
    <t>-622.14444457596 179.533694420763 682.270225962368</t>
  </si>
  <si>
    <t>-484.381105359768 108.029850762206 765.046876492493</t>
  </si>
  <si>
    <t>-634.541595004817 22.1396618313977 -216.776022782725</t>
  </si>
  <si>
    <t>-493.391612585417 -103.230841760293 197.972758717164</t>
  </si>
  <si>
    <t>-498.244238166697 -24.5932377215242 661.192725464586</t>
  </si>
  <si>
    <t>-487.157887286412 -175.493449843511 750.912894933045</t>
  </si>
  <si>
    <t>9763-20170724T160455.624213000.bin</t>
  </si>
  <si>
    <t>-595.184382997241 112.359707801595 -228.773296434803</t>
  </si>
  <si>
    <t>-630.314351625018 112.660990709029 -344.676715283261</t>
  </si>
  <si>
    <t>-641.162697860575 107.15091903222 -465.268976730505</t>
  </si>
  <si>
    <t>-640.973821016551 99.3685750073332 -574.513115394652</t>
  </si>
  <si>
    <t>-630.960003164788 88.6217679437621 -683.044512256597</t>
  </si>
  <si>
    <t>-606.939578287733 70.4184696113546 -832.34848331235</t>
  </si>
  <si>
    <t>-562.381384747941 42.420019499923 -919.60464337808</t>
  </si>
  <si>
    <t>-600.860734558868 105.516418315028 -766.895324285503</t>
  </si>
  <si>
    <t>-510.905147821942 219.701723275198 -744.685834852388</t>
  </si>
  <si>
    <t>-449.504016653498 193.773532804962 -435.261013025284</t>
  </si>
  <si>
    <t>-254.361583113834 91.9584565124553 -296.71437363384</t>
  </si>
  <si>
    <t>-634.27496000412 51.4293605110036 -765.676826264134</t>
  </si>
  <si>
    <t>-555.267906741443 202.348993619811 -240.052063844264</t>
  </si>
  <si>
    <t>-578.18148381232 197.320047607996 215.038461033459</t>
  </si>
  <si>
    <t>-622.160677661621 179.599225846305 682.28623769162</t>
  </si>
  <si>
    <t>-484.491505455343 107.870986946702 765.025404382916</t>
  </si>
  <si>
    <t>-634.995849182756 22.3650422940875 -216.724293727834</t>
  </si>
  <si>
    <t>-494.085532283009 -103.446587449981 197.972460616835</t>
  </si>
  <si>
    <t>-498.195833848274 -24.5239049021579 661.140805065257</t>
  </si>
  <si>
    <t>-487.358227289583 -175.474028471434 750.807457431263</t>
  </si>
  <si>
    <t>9763-20170724T160455.693167700.bin</t>
  </si>
  <si>
    <t>-595.675301473427 112.295986246946 -228.704431576969</t>
  </si>
  <si>
    <t>-630.827831935468 112.656618879034 -344.600874594294</t>
  </si>
  <si>
    <t>-641.772955904577 106.992939773996 -465.177451810324</t>
  </si>
  <si>
    <t>-641.706962769906 98.9801480399842 -574.404828731205</t>
  </si>
  <si>
    <t>-631.854526569596 87.9093409099187 -682.918400621269</t>
  </si>
  <si>
    <t>-608.100893663026 69.1571861489219 -832.197206884844</t>
  </si>
  <si>
    <t>-563.800173950065 40.6158856729953 -919.408514487482</t>
  </si>
  <si>
    <t>-601.697614726001 104.36729533429 -766.835341005574</t>
  </si>
  <si>
    <t>-510.936866709243 217.958552674493 -744.911581331278</t>
  </si>
  <si>
    <t>-450.389319076765 190.944590455761 -435.41124465402</t>
  </si>
  <si>
    <t>-256.034142625673 88.105402689903 -296.514706787335</t>
  </si>
  <si>
    <t>-635.524721866077 50.5415066803041 -765.456556306716</t>
  </si>
  <si>
    <t>-555.350629397975 202.036653720311 -240.084495080963</t>
  </si>
  <si>
    <t>-578.323758079675 197.209480528475 215.005262037677</t>
  </si>
  <si>
    <t>-622.218957041755 179.590378499129 682.246299419432</t>
  </si>
  <si>
    <t>-484.593119615004 107.758061455058 764.96723545997</t>
  </si>
  <si>
    <t>-635.91507275928 22.5961881058149 -216.592924031909</t>
  </si>
  <si>
    <t>-495.120918016673 -103.858331344174 197.94776497476</t>
  </si>
  <si>
    <t>-498.066425069776 -24.482638186922 660.966749790432</t>
  </si>
  <si>
    <t>-487.705440128774 -175.447190593629 750.665547746106</t>
  </si>
  <si>
    <t>9763-20170724T160455.726251300.bin</t>
  </si>
  <si>
    <t>-596.003373540301 112.21681521208 -228.74644434174</t>
  </si>
  <si>
    <t>-631.196042099534 112.622324471396 -344.630423346621</t>
  </si>
  <si>
    <t>-642.152458081236 106.908560788126 -465.203550599311</t>
  </si>
  <si>
    <t>-642.087285460821 98.8077929545652 -574.424596999309</t>
  </si>
  <si>
    <t>-632.228180508116 87.6047977967871 -682.924056425267</t>
  </si>
  <si>
    <t>-608.459687627068 68.6217269996537 -832.171231451819</t>
  </si>
  <si>
    <t>-564.270075371436 39.8812764595575 -919.373550629768</t>
  </si>
  <si>
    <t>-601.967532287844 103.873399583142 -766.840487824701</t>
  </si>
  <si>
    <t>-510.766052997507 217.119163863232 -744.963647384686</t>
  </si>
  <si>
    <t>-451.480120754973 189.333130060587 -435.28760555827</t>
  </si>
  <si>
    <t>-256.279873925018 87.7347038743005 -296.663237126916</t>
  </si>
  <si>
    <t>-635.985526412984 50.1688446835828 -765.427325173957</t>
  </si>
  <si>
    <t>-555.507695008072 201.82748028827 -240.171034455655</t>
  </si>
  <si>
    <t>-578.338170850601 197.032437805824 214.926210293445</t>
  </si>
  <si>
    <t>-622.218713779972 179.539224551789 682.183898588807</t>
  </si>
  <si>
    <t>-484.648294522592 107.655124672684 764.952050973294</t>
  </si>
  <si>
    <t>-636.401208579592 22.6563228151022 -216.622001385329</t>
  </si>
  <si>
    <t>-495.569619488571 -103.948207452653 197.860134359695</t>
  </si>
  <si>
    <t>-497.9758140368 -24.5025798804832 660.851885224209</t>
  </si>
  <si>
    <t>-487.879929635547 -175.440618241948 750.625368645187</t>
  </si>
  <si>
    <t>9763-20170724T160455.793985200.bin</t>
  </si>
  <si>
    <t>-596.573159592529 111.855171978549 -228.811602316268</t>
  </si>
  <si>
    <t>-631.83072620115 112.299888042103 -344.675882482612</t>
  </si>
  <si>
    <t>-642.753048405587 106.52212953103 -465.249005344934</t>
  </si>
  <si>
    <t>-642.619080421717 98.3166955848474 -574.462080900561</t>
  </si>
  <si>
    <t>-632.655580568724 86.9609472917127 -682.936289783322</t>
  </si>
  <si>
    <t>-608.708398293077 67.7142475552248 -832.120960505157</t>
  </si>
  <si>
    <t>-564.761050497288 38.7524830103437 -919.372457077304</t>
  </si>
  <si>
    <t>-602.163375848063 102.998674423166 -766.813390224799</t>
  </si>
  <si>
    <t>-510.35795318975 215.755501393992 -744.868620713341</t>
  </si>
  <si>
    <t>-452.638648608238 186.16953759763 -435.063351481595</t>
  </si>
  <si>
    <t>-256.18009013793 86.8950283341719 -296.532963553057</t>
  </si>
  <si>
    <t>-636.445233280531 49.461900170965 -765.409398627422</t>
  </si>
  <si>
    <t>-555.753893893778 201.273853111705 -240.294006521838</t>
  </si>
  <si>
    <t>-578.359836080104 196.694550965953 214.816577988119</t>
  </si>
  <si>
    <t>-622.199995409891 179.598298638934 682.131265211901</t>
  </si>
  <si>
    <t>-484.908405302515 107.228899297915 764.939468617988</t>
  </si>
  <si>
    <t>-637.282985076525 22.4352673015817 -216.623242001382</t>
  </si>
  <si>
    <t>-496.208564552911 -104.157015348572 197.779977634902</t>
  </si>
  <si>
    <t>-497.883767431867 -24.5203980878939 660.721791101821</t>
  </si>
  <si>
    <t>-488.010287205807 -175.406176553501 750.607964614511</t>
  </si>
  <si>
    <t>9763-20170724T160455.827073400.bin</t>
  </si>
  <si>
    <t>-596.802762125567 111.598336674407 -228.865669876704</t>
  </si>
  <si>
    <t>-632.081389150317 112.040460381003 -344.723469430865</t>
  </si>
  <si>
    <t>-642.991873097362 106.23070472072 -465.296102649081</t>
  </si>
  <si>
    <t>-642.833738349571 97.9848548225802 -574.506225842135</t>
  </si>
  <si>
    <t>-632.83321491956 86.5774754910055 -682.971426587129</t>
  </si>
  <si>
    <t>-608.822007629786 67.2476674273184 -832.135168303541</t>
  </si>
  <si>
    <t>-564.984879069368 38.240503007017 -919.427156622419</t>
  </si>
  <si>
    <t>-602.276939254772 102.550785446654 -766.837586050728</t>
  </si>
  <si>
    <t>-510.333353121734 215.195504759283 -744.889775909597</t>
  </si>
  <si>
    <t>-452.275087157662 185.390875640355 -435.168719942873</t>
  </si>
  <si>
    <t>-255.016607046613 87.1413453901216 -297.044897532094</t>
  </si>
  <si>
    <t>-636.61545307647 49.0502888198641 -765.432133812075</t>
  </si>
  <si>
    <t>-555.917141393703 200.979475368876 -240.364504480398</t>
  </si>
  <si>
    <t>-578.444054654323 196.538218859444 214.751494684002</t>
  </si>
  <si>
    <t>-622.189950231073 179.636607999939 682.108505653754</t>
  </si>
  <si>
    <t>-485.065087632564 106.966853723642 764.929939803912</t>
  </si>
  <si>
    <t>-637.582175650805 22.2174664626345 -216.6418645384</t>
  </si>
  <si>
    <t>-496.425723433139 -104.3307787856 197.746906077366</t>
  </si>
  <si>
    <t>-497.828312362109 -24.5273380327633 660.675663386578</t>
  </si>
  <si>
    <t>-488.066806663481 -175.386039503531 750.619352264835</t>
  </si>
  <si>
    <t>9763-20170724T160455.892939200.bin</t>
  </si>
  <si>
    <t>-597.441322804667 111.111684656081 -228.978705030957</t>
  </si>
  <si>
    <t>-632.757913940306 111.525643387899 -344.825082506575</t>
  </si>
  <si>
    <t>-643.635022364079 105.58897597546 -465.394561940857</t>
  </si>
  <si>
    <t>-643.418813115003 97.1888778733937 -574.592807825789</t>
  </si>
  <si>
    <t>-633.334098077476 85.588632333945 -683.029728833117</t>
  </si>
  <si>
    <t>-609.180840155977 65.9518043882424 -832.13045944437</t>
  </si>
  <si>
    <t>-565.418112918979 36.8316949293294 -919.422100186547</t>
  </si>
  <si>
    <t>-602.664869103534 101.367971518955 -766.891312294944</t>
  </si>
  <si>
    <t>-510.57449544929 213.929966635961 -745.10434766971</t>
  </si>
  <si>
    <t>-451.382641927054 183.991720470875 -435.610731507718</t>
  </si>
  <si>
    <t>-252.679805633514 87.1073501381568 -298.597515507013</t>
  </si>
  <si>
    <t>-637.071087565786 47.9128401780415 -765.424732987164</t>
  </si>
  <si>
    <t>-556.418561134386 200.481439370897 -240.640034009411</t>
  </si>
  <si>
    <t>-578.70829331693 196.309717516664 214.490054459343</t>
  </si>
  <si>
    <t>-621.925386486562 179.657794290715 681.739157149588</t>
  </si>
  <si>
    <t>-485.138607698066 106.797959033422 764.95171646965</t>
  </si>
  <si>
    <t>-638.352820795594 21.7704569183131 -216.642816315721</t>
  </si>
  <si>
    <t>-496.665379107418 -104.726627993389 197.580328061944</t>
  </si>
  <si>
    <t>-497.767659478111 -24.5855050759994 660.452930299243</t>
  </si>
  <si>
    <t>-488.029777846593 -175.354493720076 750.54950064978</t>
  </si>
  <si>
    <t>9763-20170724T160455.927031600.bin</t>
  </si>
  <si>
    <t>-597.680944909409 110.949270218134 -229.12349211634</t>
  </si>
  <si>
    <t>-633.030630661098 111.354484796389 -344.959824857681</t>
  </si>
  <si>
    <t>-643.946346824256 105.362845588176 -465.523070005436</t>
  </si>
  <si>
    <t>-643.766813885405 96.8974953369275 -574.716364300562</t>
  </si>
  <si>
    <t>-633.720276848991 85.2184464313618 -683.14831697366</t>
  </si>
  <si>
    <t>-609.621025703031 65.4602759209929 -832.241876772592</t>
  </si>
  <si>
    <t>-565.878846954804 36.3102025455428 -919.533656369398</t>
  </si>
  <si>
    <t>-603.0752326656 100.925873736119 -767.032469150057</t>
  </si>
  <si>
    <t>-511.011628327014 213.500195358631 -745.293253794716</t>
  </si>
  <si>
    <t>-450.762701142039 183.481315617081 -436.011646462406</t>
  </si>
  <si>
    <t>-251.525709197256 86.9000923703475 -299.561115323341</t>
  </si>
  <si>
    <t>-637.493026365002 47.4795995679374 -765.512797156107</t>
  </si>
  <si>
    <t>-556.581921660903 200.337449891035 -240.868025406921</t>
  </si>
  <si>
    <t>-578.782449863856 196.312481594236 214.26776486322</t>
  </si>
  <si>
    <t>-621.669157774437 179.79763698542 681.543579366772</t>
  </si>
  <si>
    <t>-485.182423363249 106.670745602728 765.014167655232</t>
  </si>
  <si>
    <t>-638.675490016288 21.5841700875148 -216.724677617432</t>
  </si>
  <si>
    <t>-496.66628321387 -104.859325044041 197.404542592993</t>
  </si>
  <si>
    <t>-497.755737419404 -24.6274655427587 660.26591361833</t>
  </si>
  <si>
    <t>-487.973729864862 -175.336323952284 750.458295836678</t>
  </si>
  <si>
    <t>9763-20170724T160455.996227100.bin</t>
  </si>
  <si>
    <t>-597.918814727929 110.587714368045 -229.388775728237</t>
  </si>
  <si>
    <t>-633.304967556723 110.902981293007 -345.214246438746</t>
  </si>
  <si>
    <t>-644.31465740588 104.786389086428 -465.762727034666</t>
  </si>
  <si>
    <t>-644.242019724266 96.2014914611264 -574.946801925076</t>
  </si>
  <si>
    <t>-634.322186207446 84.4013555071931 -683.377358137951</t>
  </si>
  <si>
    <t>-610.417737179591 64.4770172592955 -832.480092257039</t>
  </si>
  <si>
    <t>-566.714615492649 35.2727242709157 -919.773459823512</t>
  </si>
  <si>
    <t>-603.773779016341 100.006881118515 -767.315636882204</t>
  </si>
  <si>
    <t>-511.675318024524 212.600402184625 -745.747084748311</t>
  </si>
  <si>
    <t>-449.487555763231 181.72867154711 -436.93356360221</t>
  </si>
  <si>
    <t>-249.288034188279 85.4438309413524 -301.687676527198</t>
  </si>
  <si>
    <t>-638.215633514153 46.5789624238846 -765.697949495931</t>
  </si>
  <si>
    <t>-556.638363949888 199.989080688907 -241.246023707519</t>
  </si>
  <si>
    <t>-578.811837112494 196.326405638661 213.894210920054</t>
  </si>
  <si>
    <t>-621.383304501461 179.978425871315 681.326204039053</t>
  </si>
  <si>
    <t>-485.458822772818 106.153845677419 765.099584380724</t>
  </si>
  <si>
    <t>-639.097918448389 21.1589219621801 -216.837600385679</t>
  </si>
  <si>
    <t>-496.513483839521 -105.141752140288 197.137543885263</t>
  </si>
  <si>
    <t>-497.711146817302 -24.6356205520005 659.977291416624</t>
  </si>
  <si>
    <t>-487.877537777732 -175.282002141556 750.268378076375</t>
  </si>
  <si>
    <t>9763-20170724T160456.024298000.bin</t>
  </si>
  <si>
    <t>-598.028094379308 110.248876708988 -229.456286476625</t>
  </si>
  <si>
    <t>-633.44640683188 110.521958890071 -345.27208948623</t>
  </si>
  <si>
    <t>-644.532353458482 104.366566263117 -465.811460125321</t>
  </si>
  <si>
    <t>-644.545942724356 95.7487740293905 -574.993062995247</t>
  </si>
  <si>
    <t>-634.729123023397 83.9178517405219 -683.429653486219</t>
  </si>
  <si>
    <t>-610.98424158149 63.9531958893804 -832.552340988193</t>
  </si>
  <si>
    <t>-567.3349537279 34.7261422481008 -919.865020075636</t>
  </si>
  <si>
    <t>-604.256475920806 99.4917630072841 -767.401167556983</t>
  </si>
  <si>
    <t>-512.162627138587 212.089347453296 -745.891078232255</t>
  </si>
  <si>
    <t>-448.964868695121 180.391091197802 -437.366479519587</t>
  </si>
  <si>
    <t>-248.468337726139 83.9490921861347 -302.673650429512</t>
  </si>
  <si>
    <t>-638.72468360389 46.0821928487144 -765.739144217283</t>
  </si>
  <si>
    <t>-556.755415899692 199.575485848763 -241.332330862999</t>
  </si>
  <si>
    <t>-578.9425032814 196.135361580499 213.808933400357</t>
  </si>
  <si>
    <t>-621.427783625943 179.842710411732 681.258335392503</t>
  </si>
  <si>
    <t>-485.371979995351 106.328748111214 765.091640582557</t>
  </si>
  <si>
    <t>-639.205906512085 20.8851062033461 -216.851151166055</t>
  </si>
  <si>
    <t>-496.411754285667 -105.363126820144 197.067795287681</t>
  </si>
  <si>
    <t>-497.70010007695 -24.6239999395627 659.867307775711</t>
  </si>
  <si>
    <t>-487.78365685873 -175.250056298847 750.183384212558</t>
  </si>
  <si>
    <t>9763-20170724T160456.093507200.bin</t>
  </si>
  <si>
    <t>-598.122479327021 109.653323674319 -229.533323339077</t>
  </si>
  <si>
    <t>-633.570941953913 109.829976534287 -345.339915169346</t>
  </si>
  <si>
    <t>-644.785420945126 103.615127636816 -465.864546066859</t>
  </si>
  <si>
    <t>-644.956105320978 94.9541583285381 -575.042293582114</t>
  </si>
  <si>
    <t>-635.336623129467 83.0880518988624 -683.492877935172</t>
  </si>
  <si>
    <t>-611.907034481697 63.0799236573157 -832.659690401583</t>
  </si>
  <si>
    <t>-568.448625275493 33.7915219304646 -920.047040899618</t>
  </si>
  <si>
    <t>-604.981414131675 98.5990913863286 -767.518622356514</t>
  </si>
  <si>
    <t>-512.672341056234 211.042155482175 -746.055777811994</t>
  </si>
  <si>
    <t>-447.756268693995 176.593915307556 -438.18325542489</t>
  </si>
  <si>
    <t>-246.502589967899 80.0739370519093 -304.680954108515</t>
  </si>
  <si>
    <t>-639.566315955287 45.2668074173296 -765.797349559469</t>
  </si>
  <si>
    <t>-556.884768396359 198.978781645491 -241.482892639325</t>
  </si>
  <si>
    <t>-578.994938834558 195.812383963133 213.664091058666</t>
  </si>
  <si>
    <t>-621.365475287305 179.859693441706 681.165360079159</t>
  </si>
  <si>
    <t>-485.528417778256 106.048236859363 765.091923778951</t>
  </si>
  <si>
    <t>-639.27693591962 20.300099883809 -216.836648279079</t>
  </si>
  <si>
    <t>-495.988211215353 -105.821123191309 196.95012023295</t>
  </si>
  <si>
    <t>-497.683910103782 -24.5983321506137 659.65998056279</t>
  </si>
  <si>
    <t>-487.557752695857 -175.188125435609 750.01302410608</t>
  </si>
  <si>
    <t>9763-20170724T160456.127589100.bin</t>
  </si>
  <si>
    <t>-598.070978414117 109.327237668601 -229.497044774159</t>
  </si>
  <si>
    <t>-633.55032610033 109.467947486841 -345.294287994843</t>
  </si>
  <si>
    <t>-644.828008788069 103.241145447081 -465.812386617721</t>
  </si>
  <si>
    <t>-645.069503137336 94.5750464350144 -574.989733890469</t>
  </si>
  <si>
    <t>-635.534564917234 82.7070811291244 -683.447459724536</t>
  </si>
  <si>
    <t>-612.236973328877 62.6971889143836 -832.634663961624</t>
  </si>
  <si>
    <t>-568.889991042743 33.3781610811591 -920.067101007752</t>
  </si>
  <si>
    <t>-605.209326635505 98.1884762054779 -767.48951602082</t>
  </si>
  <si>
    <t>-512.742874965838 210.494496042239 -746.052650447757</t>
  </si>
  <si>
    <t>-446.927236383582 174.643613450967 -438.531644899188</t>
  </si>
  <si>
    <t>-245.452901949166 77.8215815955464 -305.58181670269</t>
  </si>
  <si>
    <t>-639.88153543928 44.9134305095674 -765.758525857518</t>
  </si>
  <si>
    <t>-556.83868079668 198.648178090047 -241.4727057668</t>
  </si>
  <si>
    <t>-578.98662319128 195.668708164018 213.673722443547</t>
  </si>
  <si>
    <t>-621.399942276254 179.875173059162 681.196021661319</t>
  </si>
  <si>
    <t>-485.535949563907 106.061034612446 765.076628619085</t>
  </si>
  <si>
    <t>-639.186967677997 20.001288846888 -216.770062783593</t>
  </si>
  <si>
    <t>-495.669225348313 -106.071502987957 196.951928544216</t>
  </si>
  <si>
    <t>-497.654609472812 -24.576374246896 659.593748670555</t>
  </si>
  <si>
    <t>-487.458879660828 -175.155979166506 749.956124396316</t>
  </si>
  <si>
    <t>9763-20170724T160456.191315500.bin</t>
  </si>
  <si>
    <t>-597.822130879119 108.434816563404 -229.390302297528</t>
  </si>
  <si>
    <t>-633.316202409088 108.515945699655 -345.183071820968</t>
  </si>
  <si>
    <t>-644.721892213033 102.282940033146 -465.688726519537</t>
  </si>
  <si>
    <t>-645.126759447885 93.625340251632 -574.86631513816</t>
  </si>
  <si>
    <t>-635.802796023088 81.7752807108725 -683.344352507623</t>
  </si>
  <si>
    <t>-612.847272209557 61.7956522615439 -832.588764303086</t>
  </si>
  <si>
    <t>-569.751004580844 32.4403732206918 -920.13275949537</t>
  </si>
  <si>
    <t>-605.549651220254 97.1958344639359 -767.423579458699</t>
  </si>
  <si>
    <t>-512.61367306083 209.137615185824 -746.032471127363</t>
  </si>
  <si>
    <t>-445.036087688423 170.675811826293 -439.209758615061</t>
  </si>
  <si>
    <t>-243.053186775236 74.0806602515172 -306.868120847899</t>
  </si>
  <si>
    <t>-640.459054997626 44.076266913275 -765.681865440526</t>
  </si>
  <si>
    <t>-556.50178432341 197.472159715938 -241.387041659749</t>
  </si>
  <si>
    <t>-578.747048813248 194.913660977966 213.757153274452</t>
  </si>
  <si>
    <t>-621.644530847741 179.659805649553 681.30766234887</t>
  </si>
  <si>
    <t>-485.52611495786 106.12046978491 765.016990796537</t>
  </si>
  <si>
    <t>-639.062152362983 19.3189367205111 -216.63534089805</t>
  </si>
  <si>
    <t>-495.108936902098 -106.581076205447 196.987981523268</t>
  </si>
  <si>
    <t>-497.5485954546 -24.5665912366374 659.504240460257</t>
  </si>
  <si>
    <t>-487.336925048938 -175.106908078679 749.930245540197</t>
  </si>
  <si>
    <t>9763-20170724T160456.229417300.bin</t>
  </si>
  <si>
    <t>-597.58970859562 107.852754689642 -229.324834250513</t>
  </si>
  <si>
    <t>-633.08252659016 107.94554934904 -345.118054537902</t>
  </si>
  <si>
    <t>-644.560092733636 101.722314123932 -465.617404238798</t>
  </si>
  <si>
    <t>-645.061604211869 93.0677905463028 -574.794745493909</t>
  </si>
  <si>
    <t>-635.866114899179 81.2126027558222 -683.283196750116</t>
  </si>
  <si>
    <t>-613.122357778497 61.214726283177 -832.557517396045</t>
  </si>
  <si>
    <t>-570.16076921155 31.832318128312 -920.158701039945</t>
  </si>
  <si>
    <t>-605.65932489888 96.5753791155337 -767.389694403275</t>
  </si>
  <si>
    <t>-512.457429485389 208.313198210941 -746.097711305975</t>
  </si>
  <si>
    <t>-444.336521712301 169.011057120736 -439.501825913201</t>
  </si>
  <si>
    <t>-242.315815241655 72.5315895746664 -307.133421435066</t>
  </si>
  <si>
    <t>-640.71215739335 43.5510067625635 -765.626843200009</t>
  </si>
  <si>
    <t>-556.214124440212 196.758144121465 -241.309286165647</t>
  </si>
  <si>
    <t>-578.508103669 194.31764246238 213.83324168863</t>
  </si>
  <si>
    <t>-621.807860074387 179.567727151996 681.412904063949</t>
  </si>
  <si>
    <t>-485.547547534039 106.119695410894 764.971396585475</t>
  </si>
  <si>
    <t>-638.862640578468 18.9011406082504 -216.581774372019</t>
  </si>
  <si>
    <t>-494.963884867853 -106.979089750543 197.066549035526</t>
  </si>
  <si>
    <t>-497.508322885708 -24.5740381360865 659.508986636267</t>
  </si>
  <si>
    <t>-487.32761854414 -175.087841222113 749.98251587025</t>
  </si>
  <si>
    <t>9763-20170724T160456.296153300.bin</t>
  </si>
  <si>
    <t>-597.23318590537 106.773366523415 -229.007749244679</t>
  </si>
  <si>
    <t>-632.668436806399 106.890829767539 -344.818550475548</t>
  </si>
  <si>
    <t>-644.194209211738 100.682922930828 -465.314146306768</t>
  </si>
  <si>
    <t>-644.785752509364 92.0318345944947 -574.491357836587</t>
  </si>
  <si>
    <t>-635.727680412567 80.1661060997387 -682.990022717686</t>
  </si>
  <si>
    <t>-613.224900735341 60.135261105162 -832.296537592974</t>
  </si>
  <si>
    <t>-570.461549994986 30.7110686007427 -919.980554868792</t>
  </si>
  <si>
    <t>-605.541111327582 95.4344500068555 -767.120999258207</t>
  </si>
  <si>
    <t>-511.773833154372 206.697784184139 -745.840121160091</t>
  </si>
  <si>
    <t>-442.805404056944 166.530497944319 -439.545964942807</t>
  </si>
  <si>
    <t>-240.857025894499 70.5827422693153 -306.681694671464</t>
  </si>
  <si>
    <t>-640.822200650486 42.5621923126203 -765.345088606553</t>
  </si>
  <si>
    <t>-555.817158343512 195.470279327211 -240.945089576258</t>
  </si>
  <si>
    <t>-578.318622104556 193.308885309724 214.188649991073</t>
  </si>
  <si>
    <t>-622.410277441829 179.137344880438 681.799144868744</t>
  </si>
  <si>
    <t>-485.595636939237 106.137390890017 764.842937253567</t>
  </si>
  <si>
    <t>-638.557044187495 18.0779721904501 -216.315227061295</t>
  </si>
  <si>
    <t>-494.826064157013 -107.882987828987 197.366893129759</t>
  </si>
  <si>
    <t>-497.421525054944 -24.5952603008691 659.628568944174</t>
  </si>
  <si>
    <t>-487.327888932706 -175.053436454023 750.204272766465</t>
  </si>
  <si>
    <t>9763-20170724T160456.329240100.bin</t>
  </si>
  <si>
    <t>-597.188029087795 106.286702319671 -228.840382709136</t>
  </si>
  <si>
    <t>-632.583841377942 106.425496020417 -344.66316269194</t>
  </si>
  <si>
    <t>-644.089120929748 100.226606197044 -465.161160893351</t>
  </si>
  <si>
    <t>-644.671571354749 91.5753988138486 -574.338442882163</t>
  </si>
  <si>
    <t>-635.615030028069 79.6992103464972 -682.836310198718</t>
  </si>
  <si>
    <t>-613.126174096553 59.6415579530023 -832.141195391435</t>
  </si>
  <si>
    <t>-570.40528737767 30.1968639069109 -919.838989750732</t>
  </si>
  <si>
    <t>-605.393376314825 94.9241664039037 -766.962444062465</t>
  </si>
  <si>
    <t>-511.41138685268 205.999648700697 -745.672508876569</t>
  </si>
  <si>
    <t>-442.194655997293 165.599049152529 -439.465027339452</t>
  </si>
  <si>
    <t>-240.337782801059 69.7852824014342 -306.365265348578</t>
  </si>
  <si>
    <t>-640.760161970215 42.1087724167483 -765.194335086321</t>
  </si>
  <si>
    <t>-555.796779112031 194.924072035839 -240.786705429516</t>
  </si>
  <si>
    <t>-578.294747021667 192.851015391003 214.347565640608</t>
  </si>
  <si>
    <t>-622.639235535439 178.901088107984 681.889505095076</t>
  </si>
  <si>
    <t>-485.555334936061 106.240822788177 764.786993008767</t>
  </si>
  <si>
    <t>-638.467433351742 17.6919124404235 -216.176978064156</t>
  </si>
  <si>
    <t>-494.764091690851 -108.253462729674 197.519472799862</t>
  </si>
  <si>
    <t>-497.400485181992 -24.6136157330056 659.700261830716</t>
  </si>
  <si>
    <t>-487.334652726298 -175.038243474162 750.334719329638</t>
  </si>
  <si>
    <t>9763-20170724T160456.395108300.bin</t>
  </si>
  <si>
    <t>-597.085865078425 105.660816088293 -228.67368650904</t>
  </si>
  <si>
    <t>-632.418572153769 105.799811586666 -344.515842923619</t>
  </si>
  <si>
    <t>-643.889876690273 99.6372221974686 -465.018846817773</t>
  </si>
  <si>
    <t>-644.455485504528 91.0274889746729 -574.199440306187</t>
  </si>
  <si>
    <t>-635.397146956118 79.1976145424621 -682.702288665823</t>
  </si>
  <si>
    <t>-612.922296577992 59.2060106717784 -832.018071352658</t>
  </si>
  <si>
    <t>-570.236932112796 29.7418572301287 -919.726734088961</t>
  </si>
  <si>
    <t>-605.134424280264 94.4271382178767 -766.812863724299</t>
  </si>
  <si>
    <t>-510.921775527775 205.27286201526 -745.340152796926</t>
  </si>
  <si>
    <t>-440.981286784544 163.448494064975 -439.488403310688</t>
  </si>
  <si>
    <t>-239.108681738602 68.0643267280693 -306.104122275617</t>
  </si>
  <si>
    <t>-640.599189603246 41.6760111755648 -765.088107022427</t>
  </si>
  <si>
    <t>-555.755655724936 194.323610955888 -240.651730278049</t>
  </si>
  <si>
    <t>-578.255119500718 192.521734174628 214.48367037563</t>
  </si>
  <si>
    <t>-622.597560310325 179.012510739338 681.917890066026</t>
  </si>
  <si>
    <t>-485.527001905313 106.296187424932 764.788303480725</t>
  </si>
  <si>
    <t>-638.278039425296 17.0503778637517 -216.008671542379</t>
  </si>
  <si>
    <t>-494.508254883986 -108.627531989962 197.746066771111</t>
  </si>
  <si>
    <t>-497.339830321145 -24.6257817186724 659.833709213678</t>
  </si>
  <si>
    <t>-487.302820762026 -175.004037167075 750.548288100372</t>
  </si>
  <si>
    <t>9763-20170724T160456.428197600.bin</t>
  </si>
  <si>
    <t>-597.046848713393 105.425180152032 -228.674306872009</t>
  </si>
  <si>
    <t>-632.344147545229 105.552792446904 -344.527319323144</t>
  </si>
  <si>
    <t>-643.794016803985 99.3960401654949 -465.032803070778</t>
  </si>
  <si>
    <t>-644.346837651869 90.7964407388649 -574.214090790754</t>
  </si>
  <si>
    <t>-635.282832924335 78.980093166216 -682.717833904694</t>
  </si>
  <si>
    <t>-612.807539034925 59.0099304404228 -832.036599137741</t>
  </si>
  <si>
    <t>-570.120253379062 29.5481648743012 -919.745020755039</t>
  </si>
  <si>
    <t>-605.00729438655 94.213515488455 -766.823209441251</t>
  </si>
  <si>
    <t>-510.743758711128 205.000278858038 -745.282904550608</t>
  </si>
  <si>
    <t>-440.36430183153 162.28152162714 -439.655582074007</t>
  </si>
  <si>
    <t>-238.463420706137 67.157957937796 -306.128123797388</t>
  </si>
  <si>
    <t>-640.497030752084 41.4786996915232 -765.11215139718</t>
  </si>
  <si>
    <t>-555.76974370298 194.073801174128 -240.678311785943</t>
  </si>
  <si>
    <t>-578.263267536691 192.369211848593 214.457744110726</t>
  </si>
  <si>
    <t>-622.577647342154 178.944067887525 681.881172211035</t>
  </si>
  <si>
    <t>-485.454055952829 106.406189395819 764.820257113263</t>
  </si>
  <si>
    <t>-638.188041843275 16.7969349838206 -216.02493380425</t>
  </si>
  <si>
    <t>-494.353001992278 -108.747148601141 197.747716115033</t>
  </si>
  <si>
    <t>-497.33452973544 -24.6355807852406 659.849371857962</t>
  </si>
  <si>
    <t>-487.271326463312 -174.98892058198 750.602464463895</t>
  </si>
  <si>
    <t>9763-20170724T160456.491310100.bin</t>
  </si>
  <si>
    <t>-596.900627397238 105.174922641093 -228.773434329031</t>
  </si>
  <si>
    <t>-632.15878467959 105.30533797195 -344.638207219145</t>
  </si>
  <si>
    <t>-643.561899519599 99.2037070406457 -465.150824475222</t>
  </si>
  <si>
    <t>-644.06981360013 90.6719898951199 -574.337904309533</t>
  </si>
  <si>
    <t>-634.958149637757 78.9400440683469 -682.846839361993</t>
  </si>
  <si>
    <t>-612.414311444039 59.1021596822952 -832.172817264091</t>
  </si>
  <si>
    <t>-569.671262493101 29.6920762541656 -919.871497861295</t>
  </si>
  <si>
    <t>-604.64358199582 94.2477327473068 -766.924602025745</t>
  </si>
  <si>
    <t>-510.280691341209 204.908761340909 -745.18310046882</t>
  </si>
  <si>
    <t>-439.329839802012 159.925490361363 -440.013218775479</t>
  </si>
  <si>
    <t>-237.650830246919 65.0285550526089 -305.990050554044</t>
  </si>
  <si>
    <t>-640.134884763704 41.5119515352551 -765.276755520111</t>
  </si>
  <si>
    <t>-555.685924828521 193.869021449233 -240.783027833229</t>
  </si>
  <si>
    <t>-578.199561856547 192.339315768896 214.352577192259</t>
  </si>
  <si>
    <t>-622.407916804877 179.055775812583 681.799350763233</t>
  </si>
  <si>
    <t>-485.567730664884 106.17958514416 764.909700031478</t>
  </si>
  <si>
    <t>-638.007762393048 16.4852921259096 -216.093757310631</t>
  </si>
  <si>
    <t>-494.040259478745 -108.913254734451 197.676881296899</t>
  </si>
  <si>
    <t>-497.332349313457 -24.6673194202285 659.793240967162</t>
  </si>
  <si>
    <t>-487.203284511248 -174.963204968115 750.634044038875</t>
  </si>
  <si>
    <t>9763-20170724T160456.530416400.bin</t>
  </si>
  <si>
    <t>-596.827776063078 105.095771729299 -228.802454806297</t>
  </si>
  <si>
    <t>-632.068948088854 105.233048409491 -344.672448316352</t>
  </si>
  <si>
    <t>-643.441434503228 99.1494018649591 -465.188896286113</t>
  </si>
  <si>
    <t>-643.915990210904 90.6385982383276 -574.37765228979</t>
  </si>
  <si>
    <t>-634.765437248815 78.9321342333355 -682.886124664598</t>
  </si>
  <si>
    <t>-612.161861165427 59.1344891368169 -832.20833014156</t>
  </si>
  <si>
    <t>-569.379406778905 29.7440544069573 -919.894449953671</t>
  </si>
  <si>
    <t>-604.418543753306 94.2631846323129 -766.947870916876</t>
  </si>
  <si>
    <t>-509.990088919595 204.858251439018 -745.111870939326</t>
  </si>
  <si>
    <t>-438.754572049509 158.693308114611 -440.184923152968</t>
  </si>
  <si>
    <t>-237.183204377094 63.8081937384868 -305.991627131599</t>
  </si>
  <si>
    <t>-639.90796801023 41.5254537246519 -765.327899758938</t>
  </si>
  <si>
    <t>-555.637475021042 193.775166624317 -240.801428756474</t>
  </si>
  <si>
    <t>-578.15547242171 192.291774204446 214.334175471652</t>
  </si>
  <si>
    <t>-622.38938195055 179.061272559065 681.807679054437</t>
  </si>
  <si>
    <t>-485.531755421195 106.246864097889 764.943505477925</t>
  </si>
  <si>
    <t>-637.89725436011 16.3993997002542 -216.118919603547</t>
  </si>
  <si>
    <t>-493.883984120497 -109.012666331616 197.631817186261</t>
  </si>
  <si>
    <t>-497.334254908943 -24.6758891632883 659.743269758112</t>
  </si>
  <si>
    <t>-487.195270448717 -174.947906832423 750.622600422825</t>
  </si>
  <si>
    <t>9763-20170724T160456.590596900.bin</t>
  </si>
  <si>
    <t>-596.670697746337 104.880675630282 -228.804097625043</t>
  </si>
  <si>
    <t>-631.85538550848 105.004225742756 -344.691185656078</t>
  </si>
  <si>
    <t>-643.196082138049 98.9533077104381 -465.212353581558</t>
  </si>
  <si>
    <t>-643.652277902522 90.4898505056008 -574.404861856309</t>
  </si>
  <si>
    <t>-634.4935274396 78.8476950566965 -682.919466926405</t>
  </si>
  <si>
    <t>-611.888550426887 59.1563944511122 -832.255680306724</t>
  </si>
  <si>
    <t>-569.071054495461 29.8089486111871 -919.939064583396</t>
  </si>
  <si>
    <t>-604.128395473823 94.2270549874113 -766.965924456036</t>
  </si>
  <si>
    <t>-509.602580996129 204.705973792478 -745.036411544424</t>
  </si>
  <si>
    <t>-438.113585249031 156.366331620384 -440.505939182055</t>
  </si>
  <si>
    <t>-236.565175295108 61.6088217620461 -306.188009844752</t>
  </si>
  <si>
    <t>-639.652746807403 41.5112555082235 -765.392185819053</t>
  </si>
  <si>
    <t>-555.44247291035 193.472566491816 -240.760169150822</t>
  </si>
  <si>
    <t>-578.054504052753 192.140126720554 214.371187055634</t>
  </si>
  <si>
    <t>-622.468014353919 178.995201469739 681.876925438283</t>
  </si>
  <si>
    <t>-485.512595419964 106.297982941845 764.954284396822</t>
  </si>
  <si>
    <t>-637.806295910715 16.2489418551329 -216.123678699126</t>
  </si>
  <si>
    <t>-493.697334080161 -109.103643289533 197.611693659382</t>
  </si>
  <si>
    <t>-497.304100785353 -24.6453570972571 659.725541374606</t>
  </si>
  <si>
    <t>-487.156525042448 -174.908549444882 750.618300317804</t>
  </si>
  <si>
    <t>9763-20170724T160456.629722600.bin</t>
  </si>
  <si>
    <t>-596.563356385781 104.875467925682 -228.763491687146</t>
  </si>
  <si>
    <t>-631.715456755956 105.002786753391 -344.660363086207</t>
  </si>
  <si>
    <t>-643.007282312114 98.9470951239034 -465.185932320743</t>
  </si>
  <si>
    <t>-643.413682245673 90.4743707952912 -574.377999455772</t>
  </si>
  <si>
    <t>-634.200197363465 78.8173824231371 -682.886335383593</t>
  </si>
  <si>
    <t>-611.515241579777 59.0986273472663 -832.206712565856</t>
  </si>
  <si>
    <t>-568.650766255896 29.727275580851 -919.859143358897</t>
  </si>
  <si>
    <t>-603.778246673755 94.1733881892108 -766.916369724384</t>
  </si>
  <si>
    <t>-509.132217809477 204.55298883799 -744.938905094413</t>
  </si>
  <si>
    <t>-437.476388830324 155.238071290392 -440.604148522172</t>
  </si>
  <si>
    <t>-235.982401604417 60.5527176560101 -306.153878998499</t>
  </si>
  <si>
    <t>-639.327044031032 41.4737068739705 -765.357687369867</t>
  </si>
  <si>
    <t>-555.351593718761 193.487961131121 -240.698781226164</t>
  </si>
  <si>
    <t>-577.9943626055 192.171417094831 214.431122813027</t>
  </si>
  <si>
    <t>-622.478547806944 179.078261997658 681.943458171844</t>
  </si>
  <si>
    <t>-485.558012878059 106.235772311645 764.950995628611</t>
  </si>
  <si>
    <t>-637.673013683743 16.2585548970919 -216.103156904996</t>
  </si>
  <si>
    <t>-493.649570933921 -109.132407100381 197.650374670821</t>
  </si>
  <si>
    <t>-497.301938809773 -24.6132487279772 659.755280737683</t>
  </si>
  <si>
    <t>-487.143789397185 -174.890745203553 750.623254812322</t>
  </si>
  <si>
    <t>9763-20170724T160456.690867900.bin</t>
  </si>
  <si>
    <t>-596.410076578711 104.879814715135 -228.639380659194</t>
  </si>
  <si>
    <t>-631.524226670531 104.993422604966 -344.547934272211</t>
  </si>
  <si>
    <t>-642.755310518213 98.9168207464015 -465.078047855589</t>
  </si>
  <si>
    <t>-643.099639375557 90.4176442472058 -574.268217079581</t>
  </si>
  <si>
    <t>-633.818438585494 78.7243226106662 -682.76703588962</t>
  </si>
  <si>
    <t>-611.03524194536 58.9425599289668 -832.064016196348</t>
  </si>
  <si>
    <t>-568.123835512052 29.5349838765737 -919.681403484372</t>
  </si>
  <si>
    <t>-603.30585776104 94.0213753843973 -766.775094754523</t>
  </si>
  <si>
    <t>-508.532420136735 204.267476220709 -744.681162621427</t>
  </si>
  <si>
    <t>-436.167162317506 153.240024238331 -440.796853621738</t>
  </si>
  <si>
    <t>-234.836122306981 58.6993276575934 -306.001092659668</t>
  </si>
  <si>
    <t>-638.926206604685 41.3695360196091 -765.234384764391</t>
  </si>
  <si>
    <t>-555.208637405509 193.435601013243 -240.548977621887</t>
  </si>
  <si>
    <t>-577.932453351002 192.029889657867 214.576710495896</t>
  </si>
  <si>
    <t>-622.672317990666 178.93982036885 682.078493065008</t>
  </si>
  <si>
    <t>-485.506472514792 106.359789246912 764.910718390304</t>
  </si>
  <si>
    <t>-637.536393254785 16.3207287511382 -216.009443283764</t>
  </si>
  <si>
    <t>-493.542713806315 -109.091968910815 197.747858171957</t>
  </si>
  <si>
    <t>-497.306607718015 -24.5630046530357 659.820821316462</t>
  </si>
  <si>
    <t>-487.069549895842 -174.854145635934 750.65747156596</t>
  </si>
  <si>
    <t>9763-20170724T160456.727966800.bin</t>
  </si>
  <si>
    <t>-596.358747150063 104.932768411672 -228.568119717998</t>
  </si>
  <si>
    <t>-631.417861088992 105.026718737617 -344.493328100398</t>
  </si>
  <si>
    <t>-642.628077515724 98.9245274578018 -465.024034873595</t>
  </si>
  <si>
    <t>-642.969132702089 90.3977337701092 -574.212055936201</t>
  </si>
  <si>
    <t>-633.701143851735 78.6708473511549 -682.708371886343</t>
  </si>
  <si>
    <t>-610.954009476108 58.8350743466362 -832.003873207461</t>
  </si>
  <si>
    <t>-568.037131439464 29.3890628909348 -919.60548511133</t>
  </si>
  <si>
    <t>-603.189348297944 93.9243328905904 -766.724625507717</t>
  </si>
  <si>
    <t>-508.326758160122 204.107375723269 -744.645953489239</t>
  </si>
  <si>
    <t>-435.612541047666 152.269072828983 -440.982277737489</t>
  </si>
  <si>
    <t>-234.527125314808 57.7034860207316 -305.837540625971</t>
  </si>
  <si>
    <t>-638.848508767726 41.2992069487759 -765.165861752188</t>
  </si>
  <si>
    <t>-555.138215425394 193.463657849461 -240.463358657722</t>
  </si>
  <si>
    <t>-577.930237690526 192.030368682119 214.658788210575</t>
  </si>
  <si>
    <t>-622.746278085504 178.937237387284 682.154510256262</t>
  </si>
  <si>
    <t>-485.483226110881 106.426465195417 764.886331605659</t>
  </si>
  <si>
    <t>-637.481305931564 16.4173420381658 -215.971024399807</t>
  </si>
  <si>
    <t>-493.521104770015 -109.044292688055 197.783082289207</t>
  </si>
  <si>
    <t>-497.311109338057 -24.5539234314977 659.857678540539</t>
  </si>
  <si>
    <t>-487.033367439232 -174.838971827942 750.699665507723</t>
  </si>
  <si>
    <t>9763-20170724T160456.795170300.bin</t>
  </si>
  <si>
    <t>-596.27833159734 105.070307371271 -228.476297976695</t>
  </si>
  <si>
    <t>-631.239085241133 105.139698632761 -344.431223625627</t>
  </si>
  <si>
    <t>-642.394629458316 99.0015126102962 -464.965283512281</t>
  </si>
  <si>
    <t>-642.707575297367 90.4318265203269 -574.149940795698</t>
  </si>
  <si>
    <t>-633.434928094454 78.6480643193356 -682.639655085916</t>
  </si>
  <si>
    <t>-610.707342622247 58.7156434048829 -831.925149605135</t>
  </si>
  <si>
    <t>-567.792429950821 29.2175476564157 -919.510270878072</t>
  </si>
  <si>
    <t>-602.915296515418 93.8344809540822 -766.665174978336</t>
  </si>
  <si>
    <t>-507.908229280973 203.887090722453 -744.574438536747</t>
  </si>
  <si>
    <t>-434.977616248426 150.708954149785 -441.194367687509</t>
  </si>
  <si>
    <t>-234.481217054566 55.8516238854731 -305.380964416983</t>
  </si>
  <si>
    <t>-638.611922411487 41.2357229221611 -765.076788852132</t>
  </si>
  <si>
    <t>-555.174870651544 193.618674771001 -240.331951588111</t>
  </si>
  <si>
    <t>-578.061501007007 192.077884322357 214.785006979336</t>
  </si>
  <si>
    <t>-622.896239415941 178.799872596645 682.229241843029</t>
  </si>
  <si>
    <t>-485.414337755539 106.581934691129 764.853772355518</t>
  </si>
  <si>
    <t>-637.273455086287 16.5341771203803 -215.939170197541</t>
  </si>
  <si>
    <t>-493.440680721528 -108.8214896009 197.891454874929</t>
  </si>
  <si>
    <t>-497.324796047703 -24.5188828330236 659.986118492919</t>
  </si>
  <si>
    <t>-486.922533144834 -174.806601232789 750.809631281171</t>
  </si>
  <si>
    <t>9763-20170724T160456.825243000.bin</t>
  </si>
  <si>
    <t>-596.189755165389 105.173845862095 -228.469763634441</t>
  </si>
  <si>
    <t>-631.139079680193 105.248304944771 -344.428205800559</t>
  </si>
  <si>
    <t>-642.286768372587 99.1095775881938 -464.962771325878</t>
  </si>
  <si>
    <t>-642.59520359256 90.5345417462559 -574.147211259939</t>
  </si>
  <si>
    <t>-633.321158766226 78.7393339790092 -682.635595344631</t>
  </si>
  <si>
    <t>-610.595730502288 58.783235047893 -831.918237192162</t>
  </si>
  <si>
    <t>-567.687345377036 29.2610872070086 -919.498389052414</t>
  </si>
  <si>
    <t>-602.797828490845 93.9090432478449 -766.662669332393</t>
  </si>
  <si>
    <t>-507.766769965654 203.922088338795 -744.552867265271</t>
  </si>
  <si>
    <t>-434.722218501053 150.142591764878 -441.306515312816</t>
  </si>
  <si>
    <t>-234.474740955729 55.0287280822079 -305.305143035159</t>
  </si>
  <si>
    <t>-638.504210192709 41.3173477251171 -765.067883486478</t>
  </si>
  <si>
    <t>-555.126179716983 193.725793969497 -240.310121217993</t>
  </si>
  <si>
    <t>-577.996767756459 192.098863701508 214.807341114346</t>
  </si>
  <si>
    <t>-622.890977169101 178.835118099626 682.249999247146</t>
  </si>
  <si>
    <t>-485.373926612409 106.664086588029 764.856977381602</t>
  </si>
  <si>
    <t>-637.141401526866 16.6226347460708 -215.949059541565</t>
  </si>
  <si>
    <t>-493.333752932928 -108.691469393351 197.902871646693</t>
  </si>
  <si>
    <t>-497.322397518303 -24.5005739328424 660.03239837823</t>
  </si>
  <si>
    <t>-486.868911620737 -174.790185312698 750.846867195658</t>
  </si>
  <si>
    <t>9763-20170724T160456.896436800.bin</t>
  </si>
  <si>
    <t>-595.925290508538 105.439002909001 -228.41497922484</t>
  </si>
  <si>
    <t>-630.842381906134 105.506708023435 -344.383057678987</t>
  </si>
  <si>
    <t>-641.959730365504 99.3865175752726 -464.921579517258</t>
  </si>
  <si>
    <t>-642.241768420908 90.8369195171504 -574.108051550736</t>
  </si>
  <si>
    <t>-632.942862079017 79.0743695661142 -682.597612883109</t>
  </si>
  <si>
    <t>-610.184696438871 59.1700934953838 -831.882297222581</t>
  </si>
  <si>
    <t>-567.269737191695 29.648188800591 -919.459385843389</t>
  </si>
  <si>
    <t>-602.394005013238 94.268690317369 -766.611151378231</t>
  </si>
  <si>
    <t>-507.292393361739 204.215806272792 -744.453210491836</t>
  </si>
  <si>
    <t>-434.271637987268 148.815273973508 -441.492922043419</t>
  </si>
  <si>
    <t>-234.664884621357 53.3851601893468 -304.773316625004</t>
  </si>
  <si>
    <t>-638.114892432676 41.6856299222704 -765.045759490728</t>
  </si>
  <si>
    <t>-554.892779345505 194.002377633166 -240.244267076837</t>
  </si>
  <si>
    <t>-577.848341251042 192.251960391219 214.868488191056</t>
  </si>
  <si>
    <t>-622.874288489526 178.91894577244 682.282954947429</t>
  </si>
  <si>
    <t>-485.367297520329 106.707732436483 764.871601985519</t>
  </si>
  <si>
    <t>-636.862008737771 16.8747428186332 -215.890140772511</t>
  </si>
  <si>
    <t>-493.147184498495 -108.484835282842 197.980194881789</t>
  </si>
  <si>
    <t>-497.275466656955 -24.4375910325509 660.141986519444</t>
  </si>
  <si>
    <t>-486.843674187365 -174.759229871468 750.905919319111</t>
  </si>
  <si>
    <t>9763-20170724T160456.924511800.bin</t>
  </si>
  <si>
    <t>-595.824449382192 105.639232738635 -228.388630375899</t>
  </si>
  <si>
    <t>-630.744217201726 105.699665491743 -344.35588795963</t>
  </si>
  <si>
    <t>-641.854537168499 99.5812089813182 -464.895064263576</t>
  </si>
  <si>
    <t>-642.126454988478 91.0358732539585 -574.081871794903</t>
  </si>
  <si>
    <t>-632.813638540542 79.2800202033786 -682.571227398861</t>
  </si>
  <si>
    <t>-610.032076300495 59.3875167375788 -831.853717777492</t>
  </si>
  <si>
    <t>-567.100758545116 29.884822258641 -919.429281164535</t>
  </si>
  <si>
    <t>-602.247340296298 94.4779802590356 -766.577644581265</t>
  </si>
  <si>
    <t>-507.120105673002 204.405052476931 -744.414978104488</t>
  </si>
  <si>
    <t>-434.10175057624 147.900216585191 -441.658203144404</t>
  </si>
  <si>
    <t>-234.693214765259 52.479977253799 -304.64258758612</t>
  </si>
  <si>
    <t>-637.977055508151 41.9007084634343 -765.024059294874</t>
  </si>
  <si>
    <t>-554.770807978103 194.211776443616 -240.219430221157</t>
  </si>
  <si>
    <t>-577.755799121748 192.376637295276 214.891595470124</t>
  </si>
  <si>
    <t>-622.90680365113 178.901434156502 682.31371226561</t>
  </si>
  <si>
    <t>-485.46339432027 106.546277713358 764.882197339549</t>
  </si>
  <si>
    <t>-636.76832917923 17.0710021608049 -215.859412774037</t>
  </si>
  <si>
    <t>-493.054843712807 -108.3806304714 197.983587983442</t>
  </si>
  <si>
    <t>-497.263057544159 -24.4128966878427 660.178306960198</t>
  </si>
  <si>
    <t>-486.847985680093 -174.74495745203 750.926748165929</t>
  </si>
  <si>
    <t>9763-20170724T160456.993254200.bin</t>
  </si>
  <si>
    <t>-595.782758840187 105.96253133648 -228.325098517478</t>
  </si>
  <si>
    <t>-630.734355586633 106.063449966581 -344.282763229368</t>
  </si>
  <si>
    <t>-641.920494951135 100.022845144572 -464.818869305074</t>
  </si>
  <si>
    <t>-642.27817826661 91.5609438575359 -574.01192548454</t>
  </si>
  <si>
    <t>-633.067463304743 79.9002234982809 -682.520195699599</t>
  </si>
  <si>
    <t>-610.444047198488 60.1504620989492 -831.845729556729</t>
  </si>
  <si>
    <t>-567.559952575421 30.7348908572631 -919.473696713457</t>
  </si>
  <si>
    <t>-602.567323100125 95.1629958602848 -766.538956751507</t>
  </si>
  <si>
    <t>-507.454740427936 205.115010977285 -744.415607362455</t>
  </si>
  <si>
    <t>-434.611267743006 146.56653201385 -442.005174297891</t>
  </si>
  <si>
    <t>-236.446842092276 50.5185955558698 -303.629900176053</t>
  </si>
  <si>
    <t>-638.341179403157 42.6151414336518 -765.008861259485</t>
  </si>
  <si>
    <t>-554.747006951147 194.495965618391 -240.124811761557</t>
  </si>
  <si>
    <t>-577.781705309822 192.41972585487 214.982657044897</t>
  </si>
  <si>
    <t>-623.040017794546 178.835786559106 682.428061844698</t>
  </si>
  <si>
    <t>-485.394831384462 106.717799231453 764.86778904056</t>
  </si>
  <si>
    <t>-636.75631952895 17.4552996787961 -215.809711746807</t>
  </si>
  <si>
    <t>-493.045542584499 -108.173470873388 197.980466107596</t>
  </si>
  <si>
    <t>-497.249869080676 -24.4188481878841 660.204558177587</t>
  </si>
  <si>
    <t>-486.8292641373 -174.727872696662 750.990795651804</t>
  </si>
  <si>
    <t>9763-20170724T160457.025338900.bin</t>
  </si>
  <si>
    <t>-595.811304524251 106.109800159075 -228.289025880573</t>
  </si>
  <si>
    <t>-630.768546042508 106.207565072466 -344.245011277634</t>
  </si>
  <si>
    <t>-641.992049080762 100.208606254457 -464.779728814372</t>
  </si>
  <si>
    <t>-642.396123057688 91.8000722103277 -573.976620960681</t>
  </si>
  <si>
    <t>-633.244139375387 80.2065582681892 -682.497186456696</t>
  </si>
  <si>
    <t>-610.714744036133 60.5628330063057 -831.850858324739</t>
  </si>
  <si>
    <t>-567.868731461542 31.2013142788169 -919.515590870261</t>
  </si>
  <si>
    <t>-602.777652489316 95.5162044625065 -766.519581306665</t>
  </si>
  <si>
    <t>-507.658233645965 205.456241534535 -744.397278010305</t>
  </si>
  <si>
    <t>-435.193437036909 146.42124471107 -441.990448663117</t>
  </si>
  <si>
    <t>-238.005426690949 49.4094792002986 -302.894572008442</t>
  </si>
  <si>
    <t>-638.588957521536 42.992945195276 -765.013458279431</t>
  </si>
  <si>
    <t>-554.777745814124 194.590297602929 -240.067943380271</t>
  </si>
  <si>
    <t>-577.856078311421 192.424757706416 215.036876704129</t>
  </si>
  <si>
    <t>-623.151008487105 178.757408602264 682.499892429846</t>
  </si>
  <si>
    <t>-485.29879808518 106.925371203747 764.843297377796</t>
  </si>
  <si>
    <t>-636.766016049212 17.6048172153144 -215.79426817138</t>
  </si>
  <si>
    <t>-492.998972389447 -108.003708729554 197.982453064695</t>
  </si>
  <si>
    <t>-497.221200414484 -24.4378580547314 660.225554925383</t>
  </si>
  <si>
    <t>-486.879187878306 -174.723392131507 751.059447096255</t>
  </si>
  <si>
    <t>9763-20170724T160457.095135300.bin</t>
  </si>
  <si>
    <t>-595.936743222292 106.520572627505 -228.106022894318</t>
  </si>
  <si>
    <t>-630.923930887332 106.597990148391 -344.05301212335</t>
  </si>
  <si>
    <t>-642.215847512243 100.649083355667 -464.583873014661</t>
  </si>
  <si>
    <t>-642.697361646533 92.3089698092347 -573.785838563166</t>
  </si>
  <si>
    <t>-633.637841230887 80.8039102335379 -682.323415341213</t>
  </si>
  <si>
    <t>-611.252073601451 61.3008251453634 -831.717165613184</t>
  </si>
  <si>
    <t>-568.49427566472 32.0188435431483 -919.451500288331</t>
  </si>
  <si>
    <t>-603.21348149093 96.1664526792881 -766.351371992942</t>
  </si>
  <si>
    <t>-508.20539365845 206.249591590288 -744.41475385177</t>
  </si>
  <si>
    <t>-436.327815645779 148.070705214081 -441.701874829419</t>
  </si>
  <si>
    <t>-241.172748671378 48.747326343678 -301.375723372011</t>
  </si>
  <si>
    <t>-639.100635536581 43.6942761125779 -764.87866728489</t>
  </si>
  <si>
    <t>-554.850810927815 194.947313170006 -239.934697139364</t>
  </si>
  <si>
    <t>-577.937563235512 192.51231218506 215.168259340853</t>
  </si>
  <si>
    <t>-623.226982766827 178.82979201291 682.603465748516</t>
  </si>
  <si>
    <t>-485.409502719543 106.790932566689 764.824235939083</t>
  </si>
  <si>
    <t>-636.927202091745 18.0782391491755 -215.578984217112</t>
  </si>
  <si>
    <t>-492.802105209491 -107.814367590969 197.986835353224</t>
  </si>
  <si>
    <t>-497.1988387672 -24.4688589094162 660.280954781479</t>
  </si>
  <si>
    <t>-486.907195379989 -174.709611625869 751.194736790552</t>
  </si>
  <si>
    <t>9763-20170724T160457.127220300.bin</t>
  </si>
  <si>
    <t>-596.007723892987 106.756810974912 -227.983585340435</t>
  </si>
  <si>
    <t>-631.022298203745 106.798178915979 -343.922139779827</t>
  </si>
  <si>
    <t>-642.359814911276 100.827160390197 -464.447690784908</t>
  </si>
  <si>
    <t>-642.889269734548 92.4730503165233 -573.6482503866</t>
  </si>
  <si>
    <t>-633.884200097779 80.9596416427025 -682.189463214035</t>
  </si>
  <si>
    <t>-611.579986280027 61.4511595728429 -831.594893780528</t>
  </si>
  <si>
    <t>-568.872549004525 32.1834224748775 -919.358483940013</t>
  </si>
  <si>
    <t>-603.497625437073 96.3137632621833 -766.232877171586</t>
  </si>
  <si>
    <t>-508.672409161783 206.588930234612 -744.500309945207</t>
  </si>
  <si>
    <t>-437.097862234168 149.52711696967 -441.503302471392</t>
  </si>
  <si>
    <t>-243.416964411912 48.4934462348758 -300.358131808251</t>
  </si>
  <si>
    <t>-639.400178647119 43.8523746486565 -764.742548011728</t>
  </si>
  <si>
    <t>-554.860440207955 195.116031808712 -239.86297150641</t>
  </si>
  <si>
    <t>-577.979636736037 192.601199453604 215.237935906472</t>
  </si>
  <si>
    <t>-623.184426896627 178.974774136765 682.636017750134</t>
  </si>
  <si>
    <t>-485.44729490389 106.754481437366 764.832268085475</t>
  </si>
  <si>
    <t>-637.067675578599 18.3754417286109 -215.402580060404</t>
  </si>
  <si>
    <t>-492.722559074084 -107.8327296993 197.990307678711</t>
  </si>
  <si>
    <t>-497.185335533603 -24.4683312910586 660.302294674215</t>
  </si>
  <si>
    <t>-486.864214055305 -174.698927979491 751.229452817421</t>
  </si>
  <si>
    <t>9763-20170724T160457.192400200.bin</t>
  </si>
  <si>
    <t>-596.095611504277 107.246498093042 -227.79245811514</t>
  </si>
  <si>
    <t>-631.133787324014 107.218003432848 -343.724083837365</t>
  </si>
  <si>
    <t>-642.64398353484 101.233469731854 -464.232396934204</t>
  </si>
  <si>
    <t>-643.387869965133 92.895511910911 -573.432944583391</t>
  </si>
  <si>
    <t>-634.652154162435 81.4294847686988 -682.001212562886</t>
  </si>
  <si>
    <t>-612.775433533031 62.0213139532352 -831.48285779819</t>
  </si>
  <si>
    <t>-570.185915761948 32.7744725663752 -919.31077039269</t>
  </si>
  <si>
    <t>-604.506000576879 96.8398477118769 -766.120681775023</t>
  </si>
  <si>
    <t>-510.150849533493 207.569306269707 -744.705337823751</t>
  </si>
  <si>
    <t>-439.589564338201 151.987659671313 -441.19589773974</t>
  </si>
  <si>
    <t>-251.184794247321 45.7694430113002 -296.754181092434</t>
  </si>
  <si>
    <t>-640.404405458052 44.3778119164265 -764.562915588026</t>
  </si>
  <si>
    <t>-554.846944554446 195.45698473625 -239.752212227122</t>
  </si>
  <si>
    <t>-578.175619186752 192.890209455946 215.337733925908</t>
  </si>
  <si>
    <t>-623.30627909086 178.880165124352 682.722842931319</t>
  </si>
  <si>
    <t>-485.427223834101 106.853677224537 764.851196954652</t>
  </si>
  <si>
    <t>-637.250388695189 19.010036970016 -215.144782739374</t>
  </si>
  <si>
    <t>-492.856980339545 -107.915415139841 198.011562782839</t>
  </si>
  <si>
    <t>-497.127164565004 -24.4450972523434 660.350522204364</t>
  </si>
  <si>
    <t>-486.884183758126 -174.685970878478 751.269753172436</t>
  </si>
  <si>
    <t>9763-20170724T160457.225487700.bin</t>
  </si>
  <si>
    <t>-596.067243002484 107.584261548324 -227.723193537384</t>
  </si>
  <si>
    <t>-631.127453318625 107.514039307697 -343.648082320457</t>
  </si>
  <si>
    <t>-642.732958486764 101.517167949615 -464.146654838717</t>
  </si>
  <si>
    <t>-643.591313484485 93.1836597298875 -573.346732369466</t>
  </si>
  <si>
    <t>-634.996098450274 81.7400498744237 -681.928720970808</t>
  </si>
  <si>
    <t>-613.339738265928 62.3829227297599 -831.448875021074</t>
  </si>
  <si>
    <t>-570.815432965497 33.1482236946169 -919.312437148758</t>
  </si>
  <si>
    <t>-604.989036310961 97.1895259227147 -766.090835841798</t>
  </si>
  <si>
    <t>-510.766825697114 208.080899537647 -744.855993984864</t>
  </si>
  <si>
    <t>-440.850769151469 152.961472036428 -441.113044272321</t>
  </si>
  <si>
    <t>-252.894226422952 46.8661744959347 -295.99864355628</t>
  </si>
  <si>
    <t>-640.854842841974 44.7063300290088 -764.490928751645</t>
  </si>
  <si>
    <t>-554.745912477926 195.78945519952 -239.730075785332</t>
  </si>
  <si>
    <t>-578.14751256831 193.141056320362 215.355675223214</t>
  </si>
  <si>
    <t>-623.239845306134 179.058654882613 682.733949236392</t>
  </si>
  <si>
    <t>-485.449641286605 106.858494114945 764.85890623799</t>
  </si>
  <si>
    <t>-637.265663180819 19.3716175734739 -215.017515995369</t>
  </si>
  <si>
    <t>-492.904113969782 -107.920834555089 198.037045193422</t>
  </si>
  <si>
    <t>-497.098727993463 -24.4378673543688 660.370298494747</t>
  </si>
  <si>
    <t>-486.930247688973 -174.684889657214 751.287643731916</t>
  </si>
  <si>
    <t>9763-20170724T160457.294205400.bin</t>
  </si>
  <si>
    <t>-596.025323241885 108.423212615442 -227.61831492113</t>
  </si>
  <si>
    <t>-631.186702859798 108.30591498148 -343.512494796978</t>
  </si>
  <si>
    <t>-643.0449230212 102.293743983967 -463.985735416055</t>
  </si>
  <si>
    <t>-644.190150507349 93.9658636433371 -573.183745894125</t>
  </si>
  <si>
    <t>-635.936647793291 82.5505316290282 -681.795048689278</t>
  </si>
  <si>
    <t>-614.807977519319 63.2588914803093 -831.399162084297</t>
  </si>
  <si>
    <t>-572.473143297622 34.0521383352075 -919.363449995444</t>
  </si>
  <si>
    <t>-606.258398043426 98.0581469648077 -766.062921087322</t>
  </si>
  <si>
    <t>-512.280121685674 209.189690240071 -745.151275785003</t>
  </si>
  <si>
    <t>-443.667425345672 155.278160326069 -440.894871383175</t>
  </si>
  <si>
    <t>-254.882440842938 51.144076889477 -295.4356488596</t>
  </si>
  <si>
    <t>-642.055057369082 45.5316091434306 -764.345123288718</t>
  </si>
  <si>
    <t>-554.711125225575 196.678977503499 -239.704806072797</t>
  </si>
  <si>
    <t>-577.993889454505 193.64137677409 215.384522165191</t>
  </si>
  <si>
    <t>-623.215692609645 179.176339127428 682.739647934829</t>
  </si>
  <si>
    <t>-485.485338554183 106.868057392374 764.869917983446</t>
  </si>
  <si>
    <t>-637.208081866134 20.2035137087937 -214.85357127236</t>
  </si>
  <si>
    <t>-492.925454462727 -107.763483435797 198.020082033642</t>
  </si>
  <si>
    <t>-497.05974714472 -24.4437073817955 660.373004044957</t>
  </si>
  <si>
    <t>-486.995384609683 -174.679840636816 751.319837812103</t>
  </si>
  <si>
    <t>9763-20170724T160457.327295000.bin</t>
  </si>
  <si>
    <t>-596.031023750012 108.863976911561 -227.599185738477</t>
  </si>
  <si>
    <t>-631.268471583359 108.699714984055 -343.470256477206</t>
  </si>
  <si>
    <t>-643.282474389523 102.693069508444 -463.928414062013</t>
  </si>
  <si>
    <t>-644.598115604326 94.3953387935142 -573.126581851881</t>
  </si>
  <si>
    <t>-636.541960834657 83.0371182076929 -681.75889634816</t>
  </si>
  <si>
    <t>-615.712617872755 63.8542493690479 -831.418984417583</t>
  </si>
  <si>
    <t>-573.493809967292 34.7244986850658 -919.464425432004</t>
  </si>
  <si>
    <t>-607.071623561346 98.6324827946962 -766.083469588167</t>
  </si>
  <si>
    <t>-513.189847749124 209.893070052819 -745.323229384152</t>
  </si>
  <si>
    <t>-444.746060805138 156.07708270065 -441.011694825005</t>
  </si>
  <si>
    <t>-255.240067931615 54.5853236105336 -294.625379482943</t>
  </si>
  <si>
    <t>-642.78630694931 46.051646735069 -764.314550612726</t>
  </si>
  <si>
    <t>-554.783015551541 197.12040027795 -239.704273106936</t>
  </si>
  <si>
    <t>-578.006169221835 193.824643216473 215.386342008159</t>
  </si>
  <si>
    <t>-623.277765269335 179.108490577981 682.742816516459</t>
  </si>
  <si>
    <t>-485.453147181193 106.968635519145 764.862996912055</t>
  </si>
  <si>
    <t>-637.183292283376 20.6274274083967 -214.795265071007</t>
  </si>
  <si>
    <t>-492.901629446726 -107.505980417679 198.027136326208</t>
  </si>
  <si>
    <t>-497.04866685656 -24.4402732992914 660.410791014087</t>
  </si>
  <si>
    <t>-486.965277734464 -174.675642208184 751.356620560205</t>
  </si>
  <si>
    <t>9763-20170724T160457.391970300.bin</t>
  </si>
  <si>
    <t>-596.235466743022 109.975439582291 -227.537191691742</t>
  </si>
  <si>
    <t>-631.623001087013 109.722530775708 -343.362244723671</t>
  </si>
  <si>
    <t>-643.934579669097 103.655381262654 -463.787267714597</t>
  </si>
  <si>
    <t>-645.575428562886 95.321382904948 -572.978440358756</t>
  </si>
  <si>
    <t>-637.896965823101 83.948622099759 -681.636422552539</t>
  </si>
  <si>
    <t>-617.64270156226 64.7710928152749 -831.376001760414</t>
  </si>
  <si>
    <t>-575.629881382614 35.726124700346 -919.548026072017</t>
  </si>
  <si>
    <t>-608.830047959537 99.5999834300178 -766.090607372646</t>
  </si>
  <si>
    <t>-515.339821977637 211.272974623917 -745.822808642236</t>
  </si>
  <si>
    <t>-446.478970127849 157.277329216625 -441.637289253846</t>
  </si>
  <si>
    <t>-255.703204304914 63.5599837759894 -291.758241623385</t>
  </si>
  <si>
    <t>-644.379118608551 46.9131365733933 -764.151267932516</t>
  </si>
  <si>
    <t>-555.160169137965 198.384990025877 -239.721599307926</t>
  </si>
  <si>
    <t>-578.103274490829 194.47391276549 215.378283526601</t>
  </si>
  <si>
    <t>-623.307308798083 179.108924869479 682.718073286676</t>
  </si>
  <si>
    <t>-485.385472610482 107.163173979205 764.845329684223</t>
  </si>
  <si>
    <t>-637.214401541852 21.606086986887 -214.67200170026</t>
  </si>
  <si>
    <t>-492.681051482856 -106.858535332878 197.959393643014</t>
  </si>
  <si>
    <t>-497.055283561748 -24.4415260284586 660.468416854172</t>
  </si>
  <si>
    <t>-486.859608438029 -174.663361269136 751.424154022332</t>
  </si>
  <si>
    <t>9763-20170724T160457.427064200.bin</t>
  </si>
  <si>
    <t>-596.356742217073 110.609935188576 -227.472935507389</t>
  </si>
  <si>
    <t>-631.82457335955 110.304123963772 -343.273364870712</t>
  </si>
  <si>
    <t>-644.27231776347 104.198928090789 -463.682437877387</t>
  </si>
  <si>
    <t>-646.057100597869 95.8392785874114 -572.869298904595</t>
  </si>
  <si>
    <t>-638.542153577734 84.4504244790257 -681.537058131466</t>
  </si>
  <si>
    <t>-618.533629542351 65.2616059032025 -831.308339115025</t>
  </si>
  <si>
    <t>-576.650445796749 36.2572590784707 -919.555387748809</t>
  </si>
  <si>
    <t>-609.643618153167 100.115188490308 -766.046410476801</t>
  </si>
  <si>
    <t>-516.22988013059 211.918883016946 -746.017749627617</t>
  </si>
  <si>
    <t>-447.222051278053 158.484113838833 -441.766386662981</t>
  </si>
  <si>
    <t>-256.224330762137 69.3968122347512 -289.367789419504</t>
  </si>
  <si>
    <t>-645.129977362241 47.3888815786499 -764.031935798486</t>
  </si>
  <si>
    <t>-555.327528619449 199.07674374766 -239.714494685168</t>
  </si>
  <si>
    <t>-578.151909667755 194.94296538946 215.389486419646</t>
  </si>
  <si>
    <t>-623.255153342197 179.230438003392 682.711955721997</t>
  </si>
  <si>
    <t>-485.44840592841 107.082213933106 764.854829569491</t>
  </si>
  <si>
    <t>-637.288420591301 22.1684099109943 -214.534326182755</t>
  </si>
  <si>
    <t>-492.559981001934 -106.544110088249 197.951336032943</t>
  </si>
  <si>
    <t>-497.054906076418 -24.4345421812936 660.497655923119</t>
  </si>
  <si>
    <t>-486.795805427755 -174.656070169239 751.446915913917</t>
  </si>
  <si>
    <t>9763-20170724T160457.493245600.bin</t>
  </si>
  <si>
    <t>-596.737371569007 111.837051474217 -227.388120537609</t>
  </si>
  <si>
    <t>-632.303987224107 111.387599098896 -343.157827292421</t>
  </si>
  <si>
    <t>-645.007404254288 105.139168178931 -463.532843715192</t>
  </si>
  <si>
    <t>-647.083245330926 96.6628671891212 -572.705709276587</t>
  </si>
  <si>
    <t>-639.915198371481 85.1769378795225 -681.386590077599</t>
  </si>
  <si>
    <t>-620.442133235139 65.8792649277689 -831.214455003962</t>
  </si>
  <si>
    <t>-578.81394889304 36.9160373936409 -919.595449464666</t>
  </si>
  <si>
    <t>-611.402910978747 100.835768966181 -766.028063246173</t>
  </si>
  <si>
    <t>-518.375832907782 213.075881440736 -746.656690266545</t>
  </si>
  <si>
    <t>-449.883745550115 162.512090450098 -441.798836480381</t>
  </si>
  <si>
    <t>-260.806370717278 80.3843236178438 -283.221213090656</t>
  </si>
  <si>
    <t>-646.713789700749 48.0000394293643 -763.812395602123</t>
  </si>
  <si>
    <t>-555.700723619968 200.350628206547 -239.758088519056</t>
  </si>
  <si>
    <t>-578.399073108059 195.88338617263 215.349018408853</t>
  </si>
  <si>
    <t>-623.19528280849 179.286834061779 682.621211415856</t>
  </si>
  <si>
    <t>-485.559436897997 106.948193683301 764.883032428606</t>
  </si>
  <si>
    <t>-637.684517640349 23.2929443254986 -214.314327560123</t>
  </si>
  <si>
    <t>-492.619679484973 -105.992551566729 197.873857278603</t>
  </si>
  <si>
    <t>-497.029874665915 -24.4105315648294 660.521960063365</t>
  </si>
  <si>
    <t>-486.705992556133 -174.633892232182 751.46081121328</t>
  </si>
  <si>
    <t>9763-20170724T160457.525331300.bin</t>
  </si>
  <si>
    <t>-596.824401529435 112.42302308971 -227.418994430951</t>
  </si>
  <si>
    <t>-632.476120704573 111.942929987574 -343.162314845112</t>
  </si>
  <si>
    <t>-645.353892390361 105.596425744273 -463.513816415321</t>
  </si>
  <si>
    <t>-647.621645959906 97.0135105361635 -572.674441042445</t>
  </si>
  <si>
    <t>-640.677738999178 85.4082942370076 -681.357162437135</t>
  </si>
  <si>
    <t>-621.547235739012 65.9363839055661 -831.206680042902</t>
  </si>
  <si>
    <t>-580.062460992974 36.9535907841532 -919.648774509333</t>
  </si>
  <si>
    <t>-612.424556773404 101.011746079756 -766.095871500457</t>
  </si>
  <si>
    <t>-519.666122525607 213.534605782603 -747.125700472535</t>
  </si>
  <si>
    <t>-451.118953994823 165.515099100369 -441.869060722022</t>
  </si>
  <si>
    <t>-263.639971137728 85.4200669530542 -280.380840763845</t>
  </si>
  <si>
    <t>-647.599201093062 48.0924785459413 -763.709916356239</t>
  </si>
  <si>
    <t>-555.828200600476 201.031755933958 -239.826465320986</t>
  </si>
  <si>
    <t>-578.435995094164 196.327993194274 215.282823749134</t>
  </si>
  <si>
    <t>-623.115913771912 179.378777448941 682.558989832721</t>
  </si>
  <si>
    <t>-485.642562116304 106.825294158104 764.903248701094</t>
  </si>
  <si>
    <t>-637.738023287536 23.8150040768599 -214.293130016232</t>
  </si>
  <si>
    <t>-492.734948871575 -105.73243184196 197.834575179761</t>
  </si>
  <si>
    <t>-497.005769883014 -24.3969583475046 660.530171470596</t>
  </si>
  <si>
    <t>-486.737459559641 -174.624549896044 751.468303372892</t>
  </si>
  <si>
    <t>9763-20170724T160457.594538100.bin</t>
  </si>
  <si>
    <t>-597.093553572309 113.728315004297 -227.535839592009</t>
  </si>
  <si>
    <t>-632.912848094196 113.241362033104 -343.227502380795</t>
  </si>
  <si>
    <t>-646.120707611334 106.755557852078 -463.535601035185</t>
  </si>
  <si>
    <t>-648.748740943073 98.011665583266 -572.675430448667</t>
  </si>
  <si>
    <t>-642.222746095356 86.2210309424106 -681.364069625084</t>
  </si>
  <si>
    <t>-623.727927647237 66.4756786317989 -831.257641657817</t>
  </si>
  <si>
    <t>-582.434458344473 37.4689404617432 -919.78129258897</t>
  </si>
  <si>
    <t>-614.487255291517 101.772470034612 -766.283307896995</t>
  </si>
  <si>
    <t>-522.439110890246 214.987353522194 -748.083749753333</t>
  </si>
  <si>
    <t>-453.892078550399 173.213785880767 -441.909764167658</t>
  </si>
  <si>
    <t>-271.621036892481 93.4888072426172 -274.388913456414</t>
  </si>
  <si>
    <t>-649.335370360472 48.6523038983657 -763.58557619701</t>
  </si>
  <si>
    <t>-556.176670962092 202.60680153757 -239.996851917735</t>
  </si>
  <si>
    <t>-578.478265849694 197.210360331317 215.119869400292</t>
  </si>
  <si>
    <t>-622.903483746676 179.614913184057 682.389906884379</t>
  </si>
  <si>
    <t>-485.751745016994 106.675444377378 764.929304976646</t>
  </si>
  <si>
    <t>-637.901165980451 24.9095528346584 -214.392895513006</t>
  </si>
  <si>
    <t>-493.042653354691 -104.948684625138 197.687823975975</t>
  </si>
  <si>
    <t>-497.023454847182 -24.3966440547881 660.503901899533</t>
  </si>
  <si>
    <t>-486.730694948027 -174.602269849059 751.475552688535</t>
  </si>
  <si>
    <t>9763-20170724T160457.628622800.bin</t>
  </si>
  <si>
    <t>-597.200727446584 114.421113185961 -227.539294001081</t>
  </si>
  <si>
    <t>-633.119950009595 113.866021560673 -343.199593782964</t>
  </si>
  <si>
    <t>-646.495566195237 107.308572662404 -463.485297677712</t>
  </si>
  <si>
    <t>-649.299657537017 98.5065803377024 -572.616090663494</t>
  </si>
  <si>
    <t>-642.971655081714 86.6686436335237 -681.311440667481</t>
  </si>
  <si>
    <t>-624.771814529716 66.8727148173473 -831.23427926439</t>
  </si>
  <si>
    <t>-583.570567986872 37.8720041181323 -919.802994224208</t>
  </si>
  <si>
    <t>-615.48482631767 102.243717839169 -766.30687205631</t>
  </si>
  <si>
    <t>-523.873538475881 215.858643864398 -748.446610213073</t>
  </si>
  <si>
    <t>-454.847808538153 176.829495661411 -442.018273574242</t>
  </si>
  <si>
    <t>-274.096312566083 98.8188699601396 -272.061614389637</t>
  </si>
  <si>
    <t>-650.1645592969 49.0198436772719 -763.489211512828</t>
  </si>
  <si>
    <t>-556.385257600203 203.307724692628 -240.063366521883</t>
  </si>
  <si>
    <t>-578.578225934591 197.606129509796 215.054870426627</t>
  </si>
  <si>
    <t>-622.916442031265 179.512573051385 682.319251515437</t>
  </si>
  <si>
    <t>-485.735794457629 106.726700972021 764.946084101357</t>
  </si>
  <si>
    <t>-637.900657914273 25.538244648719 -214.320534948138</t>
  </si>
  <si>
    <t>-492.978141258211 -104.612564898759 197.645352875734</t>
  </si>
  <si>
    <t>-496.996251997062 -24.3676537922445 660.518325743304</t>
  </si>
  <si>
    <t>-486.718117266827 -174.582488610316 751.476314098597</t>
  </si>
  <si>
    <t>9763-20170724T160457.695638800.bin</t>
  </si>
  <si>
    <t>-597.333957362134 115.900328425019 -227.472699144886</t>
  </si>
  <si>
    <t>-633.492615193038 115.195583740868 -343.057628172807</t>
  </si>
  <si>
    <t>-647.267676115956 108.538549999959 -463.292732668151</t>
  </si>
  <si>
    <t>-650.492387348977 99.675928054334 -572.406981506091</t>
  </si>
  <si>
    <t>-644.639978953835 87.8108031495365 -681.125857857923</t>
  </si>
  <si>
    <t>-627.152808188506 68.0157979853577 -831.13377959747</t>
  </si>
  <si>
    <t>-586.204508576202 39.0597089029345 -919.83415397903</t>
  </si>
  <si>
    <t>-617.668944556622 103.457507404085 -766.273502578809</t>
  </si>
  <si>
    <t>-526.84136876727 217.810986775068 -748.976304340074</t>
  </si>
  <si>
    <t>-457.873427234646 182.006932259081 -442.141331418256</t>
  </si>
  <si>
    <t>-280.395926907485 108.617907142398 -266.762282698281</t>
  </si>
  <si>
    <t>-652.111657860757 50.0915341156569 -763.24647156547</t>
  </si>
  <si>
    <t>-556.739735561614 204.923206423172 -240.131470525706</t>
  </si>
  <si>
    <t>-578.539421672186 198.576060857162 214.997336157253</t>
  </si>
  <si>
    <t>-622.817509799417 179.651495537128 682.238453027234</t>
  </si>
  <si>
    <t>-485.828150131953 106.637644982482 764.981502719653</t>
  </si>
  <si>
    <t>-637.789154096422 26.8452555961705 -214.120589642404</t>
  </si>
  <si>
    <t>-492.482424752733 -103.860467160973 197.534162991105</t>
  </si>
  <si>
    <t>-496.926810453498 -24.2972330352577 660.523565197888</t>
  </si>
  <si>
    <t>-486.62624033327 -174.541165472948 751.431053486942</t>
  </si>
  <si>
    <t>9763-20170724T160457.724716300.bin</t>
  </si>
  <si>
    <t>-597.390024576693 116.676068960066 -227.451862486595</t>
  </si>
  <si>
    <t>-633.642729401312 115.867957179897 -343.006606719385</t>
  </si>
  <si>
    <t>-647.577749347274 109.152466927382 -463.2200330585</t>
  </si>
  <si>
    <t>-650.971695240409 100.258137499286 -572.326494737918</t>
  </si>
  <si>
    <t>-645.310754089616 88.3842257037836 -681.054594155249</t>
  </si>
  <si>
    <t>-628.110984483247 68.601430886991 -831.097367590471</t>
  </si>
  <si>
    <t>-587.281349553708 39.6915631975069 -919.86754387079</t>
  </si>
  <si>
    <t>-618.55387144247 104.070203352093 -766.262547727308</t>
  </si>
  <si>
    <t>-527.95564874203 218.602969949445 -749.175284785719</t>
  </si>
  <si>
    <t>-458.965807868308 183.561881226492 -442.257192767021</t>
  </si>
  <si>
    <t>-284.633903663559 111.679460615649 -263.139085168712</t>
  </si>
  <si>
    <t>-652.888717709495 50.6393321121245 -763.153763097246</t>
  </si>
  <si>
    <t>-556.933141881589 205.727682392534 -240.171048045925</t>
  </si>
  <si>
    <t>-578.583037150467 199.012814593386 214.959485495582</t>
  </si>
  <si>
    <t>-622.778704069737 179.680454334811 682.171802095571</t>
  </si>
  <si>
    <t>-485.785758173015 106.748850033863 764.98136347519</t>
  </si>
  <si>
    <t>-637.748837942576 27.5920550000687 -213.998499265367</t>
  </si>
  <si>
    <t>-492.30539347082 -103.482943014196 197.490537034314</t>
  </si>
  <si>
    <t>-496.907618064123 -24.248732994374 660.539457388573</t>
  </si>
  <si>
    <t>-486.563294429266 -174.517010389629 751.401609738709</t>
  </si>
  <si>
    <t>9763-20170724T160457.792753500.bin</t>
  </si>
  <si>
    <t>-597.445894869627 118.064508142814 -227.448006024042</t>
  </si>
  <si>
    <t>-633.854543645658 117.16265549074 -342.952982448478</t>
  </si>
  <si>
    <t>-648.03245847128 110.438019354836 -463.137538276037</t>
  </si>
  <si>
    <t>-651.676958956404 101.575033518917 -572.23857592755</t>
  </si>
  <si>
    <t>-646.293938773563 89.7745606036549 -680.98869128642</t>
  </si>
  <si>
    <t>-629.504933693811 70.1397911251115 -831.097332802676</t>
  </si>
  <si>
    <t>-588.884371781813 41.3366547291243 -919.998063642829</t>
  </si>
  <si>
    <t>-619.833482585837 105.584296959729 -766.266404517632</t>
  </si>
  <si>
    <t>-529.389828078963 220.310577837178 -749.428080798451</t>
  </si>
  <si>
    <t>-462.089796524561 186.439464187119 -442.003853074625</t>
  </si>
  <si>
    <t>-292.200345444998 118.611438576205 -257.128274640996</t>
  </si>
  <si>
    <t>-654.0335458018 52.070921229689 -763.091649613509</t>
  </si>
  <si>
    <t>-557.103099790014 207.212599202431 -240.285481118525</t>
  </si>
  <si>
    <t>-578.535669005969 199.816972216003 214.844791577549</t>
  </si>
  <si>
    <t>-622.590058822331 179.844760728047 681.993864548015</t>
  </si>
  <si>
    <t>-485.687142484117 106.972574377832 765.004399685066</t>
  </si>
  <si>
    <t>-637.675661072107 28.8911358018945 -213.91724738914</t>
  </si>
  <si>
    <t>-492.084868425578 -102.733633911451 197.344129522225</t>
  </si>
  <si>
    <t>-496.854601991227 -24.1592838247288 660.521843842724</t>
  </si>
  <si>
    <t>-486.53381380522 -174.474822512894 751.308666022045</t>
  </si>
  <si>
    <t>9763-20170724T160457.829848500.bin</t>
  </si>
  <si>
    <t>-597.445435771935 118.732920866891 -227.484865929957</t>
  </si>
  <si>
    <t>-633.922211546871 117.81337111183 -342.968213904388</t>
  </si>
  <si>
    <t>-648.163021224426 111.099307277917 -463.145942876785</t>
  </si>
  <si>
    <t>-651.859453489765 102.261870902012 -572.247255795769</t>
  </si>
  <si>
    <t>-646.521862507202 90.505184965939 -681.004550095555</t>
  </si>
  <si>
    <t>-629.78750839348 70.9524445078985 -831.12990111857</t>
  </si>
  <si>
    <t>-589.242600746444 42.2249705208374 -920.089582084232</t>
  </si>
  <si>
    <t>-620.125588951233 106.382178819156 -766.289482124584</t>
  </si>
  <si>
    <t>-529.729249384421 221.141969228713 -749.51312426142</t>
  </si>
  <si>
    <t>-463.348930944165 188.74740704911 -441.730049499733</t>
  </si>
  <si>
    <t>-294.546882615618 121.61609206917 -255.608127919253</t>
  </si>
  <si>
    <t>-654.258373697952 52.8255772081707 -763.118833024474</t>
  </si>
  <si>
    <t>-557.061894804683 207.917130219231 -240.349938013856</t>
  </si>
  <si>
    <t>-578.489920907156 200.271511136196 214.776443209872</t>
  </si>
  <si>
    <t>-622.491452071017 179.948659327579 681.922905122098</t>
  </si>
  <si>
    <t>-485.760241712553 106.866354983404 765.031702838047</t>
  </si>
  <si>
    <t>-637.76107472833 29.5473724175013 -213.883365442783</t>
  </si>
  <si>
    <t>-492.137595422841 -102.305730209579 197.293190089253</t>
  </si>
  <si>
    <t>-496.847435789566 -24.1013907663109 660.534398972971</t>
  </si>
  <si>
    <t>-486.530899380175 -174.452324929281 751.262930121513</t>
  </si>
  <si>
    <t>9763-20170724T160457.893018100.bin</t>
  </si>
  <si>
    <t>-597.561743376161 119.981349251597 -227.506513679853</t>
  </si>
  <si>
    <t>-634.145646746749 119.068427233406 -342.956101401983</t>
  </si>
  <si>
    <t>-648.501935365537 112.374801518474 -463.121130606597</t>
  </si>
  <si>
    <t>-652.301454647678 103.572125205571 -572.221644878066</t>
  </si>
  <si>
    <t>-647.062497210371 91.8724332035167 -680.989957408976</t>
  </si>
  <si>
    <t>-630.457046623906 72.4277958239279 -831.143744185297</t>
  </si>
  <si>
    <t>-590.009103907812 43.8314919233264 -920.18974336765</t>
  </si>
  <si>
    <t>-620.817162863905 107.859357065812 -766.300889273137</t>
  </si>
  <si>
    <t>-530.694075981354 222.840208458782 -749.627654927737</t>
  </si>
  <si>
    <t>-466.456207565908 194.075714993423 -441.030436104602</t>
  </si>
  <si>
    <t>-297.385200579133 125.04421478323 -255.850195975861</t>
  </si>
  <si>
    <t>-654.791667138217 54.2035961406393 -763.1096470426</t>
  </si>
  <si>
    <t>-557.089466715274 209.210244678883 -240.417929794337</t>
  </si>
  <si>
    <t>-578.409889127346 201.025972208548 214.704218008042</t>
  </si>
  <si>
    <t>-622.414789431984 180.094015077003 681.858512016977</t>
  </si>
  <si>
    <t>-485.88155287967 106.722050611218 765.037488640561</t>
  </si>
  <si>
    <t>-637.928611850501 30.7796363503671 -213.855727659641</t>
  </si>
  <si>
    <t>-492.516969609443 -101.644681168437 197.212357118801</t>
  </si>
  <si>
    <t>-496.832987346529 -23.9627154347281 660.572493238519</t>
  </si>
  <si>
    <t>-486.554366847659 -174.395517936496 751.169753848662</t>
  </si>
  <si>
    <t>9763-20170724T160457.926106000.bin</t>
  </si>
  <si>
    <t>-597.606595092841 120.544707443136 -227.515583646447</t>
  </si>
  <si>
    <t>-634.212953101727 119.641853505274 -342.958095839907</t>
  </si>
  <si>
    <t>-648.60136397785 112.99821032002 -463.122123166618</t>
  </si>
  <si>
    <t>-652.432277384242 104.259122004587 -572.226758207641</t>
  </si>
  <si>
    <t>-647.22551426178 92.6429442126471 -681.005270323585</t>
  </si>
  <si>
    <t>-630.664895485972 73.3354966928209 -831.181732650635</t>
  </si>
  <si>
    <t>-590.232742540508 44.8323910582269 -920.264887810638</t>
  </si>
  <si>
    <t>-621.039577196636 108.728873910015 -766.315932744572</t>
  </si>
  <si>
    <t>-531.072638545896 223.834456993098 -749.6252588861</t>
  </si>
  <si>
    <t>-468.29859013252 196.041215110311 -440.637845096777</t>
  </si>
  <si>
    <t>-298.385470079281 125.676305429201 -256.734815383523</t>
  </si>
  <si>
    <t>-654.945366323824 55.0279849430253 -763.1507926918</t>
  </si>
  <si>
    <t>-557.138668228157 209.805605006683 -240.41461671759</t>
  </si>
  <si>
    <t>-578.422645555838 201.391880048019 214.704955809169</t>
  </si>
  <si>
    <t>-622.402560401516 180.155136719454 681.849834444852</t>
  </si>
  <si>
    <t>-485.99877513054 106.549344523176 765.034586873685</t>
  </si>
  <si>
    <t>-637.950183212384 31.3054323523425 -213.869947913455</t>
  </si>
  <si>
    <t>-492.786668093267 -101.335043246785 197.216115915501</t>
  </si>
  <si>
    <t>-496.84249978758 -23.8930329316922 660.601410177931</t>
  </si>
  <si>
    <t>-486.571646630031 -174.366383127075 751.132029877807</t>
  </si>
  <si>
    <t>9763-20170724T160457.993865000.bin</t>
  </si>
  <si>
    <t>-597.8765420113 121.427999707632 -227.518611648514</t>
  </si>
  <si>
    <t>-634.490022838716 120.57355297596 -342.9591854225</t>
  </si>
  <si>
    <t>-648.908054964186 114.070185397612 -463.127434863754</t>
  </si>
  <si>
    <t>-652.772475614037 105.497452040281 -572.244001575928</t>
  </si>
  <si>
    <t>-647.604184147009 94.087916810267 -681.046373888917</t>
  </si>
  <si>
    <t>-631.099746520951 75.1107796125548 -831.271089210848</t>
  </si>
  <si>
    <t>-590.700713126946 46.806445293447 -920.432592226071</t>
  </si>
  <si>
    <t>-621.498186816936 110.391209626888 -766.340244707581</t>
  </si>
  <si>
    <t>-531.863338149132 225.735407519041 -749.513791162771</t>
  </si>
  <si>
    <t>-471.519620118486 198.911665339225 -439.957216154874</t>
  </si>
  <si>
    <t>-297.038013604564 128.325360270939 -260.469728212629</t>
  </si>
  <si>
    <t>-655.306709456322 56.6239437335337 -763.262409791028</t>
  </si>
  <si>
    <t>-557.455408837337 210.721694066378 -240.389747147539</t>
  </si>
  <si>
    <t>-578.692401733471 201.914332758411 214.724597593261</t>
  </si>
  <si>
    <t>-622.468065356541 180.096232351198 681.823787314754</t>
  </si>
  <si>
    <t>-485.974271512311 106.670089294604 765.019688388323</t>
  </si>
  <si>
    <t>-638.188466810472 32.1397268395967 -213.934037836628</t>
  </si>
  <si>
    <t>-493.416449152458 -100.839492932559 197.180634249737</t>
  </si>
  <si>
    <t>-496.889931988396 -23.7561037616811 660.64619185548</t>
  </si>
  <si>
    <t>-486.557361577042 -174.308341434428 751.038554290903</t>
  </si>
  <si>
    <t>9763-20170724T160458.026952500.bin</t>
  </si>
  <si>
    <t>-597.986979224474 121.84114384888 -227.52379991864</t>
  </si>
  <si>
    <t>-634.621958171399 121.010746239707 -342.957795076337</t>
  </si>
  <si>
    <t>-649.054631776937 114.564915849754 -463.127426242325</t>
  </si>
  <si>
    <t>-652.928596293857 106.05723099182 -572.248546336796</t>
  </si>
  <si>
    <t>-647.765854257517 94.7251207517702 -681.059334817478</t>
  </si>
  <si>
    <t>-631.264855043185 75.8676852046497 -831.299559014679</t>
  </si>
  <si>
    <t>-590.871783904023 47.6601591488836 -920.494495373908</t>
  </si>
  <si>
    <t>-621.669840297182 111.101351849631 -766.342174898602</t>
  </si>
  <si>
    <t>-532.068084197723 226.458471857 -749.40442870709</t>
  </si>
  <si>
    <t>-472.518333538781 200.231487725024 -439.642976453376</t>
  </si>
  <si>
    <t>-295.777489294799 129.118257671317 -262.590416785381</t>
  </si>
  <si>
    <t>-655.462152701887 57.3217731889681 -763.303703796876</t>
  </si>
  <si>
    <t>-557.589064717849 211.158842295165 -240.38334724483</t>
  </si>
  <si>
    <t>-578.762257532216 202.171404041381 214.730476253</t>
  </si>
  <si>
    <t>-622.486768852664 180.090426743334 681.824888041861</t>
  </si>
  <si>
    <t>-486.018718112713 106.626235247369 765.029436725579</t>
  </si>
  <si>
    <t>-638.28201162033 32.5352248175464 -213.945677917106</t>
  </si>
  <si>
    <t>-493.681946712707 -100.590486166893 197.182122051844</t>
  </si>
  <si>
    <t>-496.893412297035 -23.6839603293799 660.666544894359</t>
  </si>
  <si>
    <t>-486.59145701362 -174.282720138078 750.985016853156</t>
  </si>
  <si>
    <t>9763-20170724T160458.092832000.bin</t>
  </si>
  <si>
    <t>-598.211234783913 122.349519572037 -227.505954203829</t>
  </si>
  <si>
    <t>-634.861449550834 121.617257957876 -342.935764732982</t>
  </si>
  <si>
    <t>-649.260918782226 115.375989404968 -463.119980447804</t>
  </si>
  <si>
    <t>-653.084160396161 107.090461235069 -572.260270014667</t>
  </si>
  <si>
    <t>-647.849894335702 96.0140326690769 -681.093972490202</t>
  </si>
  <si>
    <t>-631.22769907737 77.5438422806642 -831.368900245556</t>
  </si>
  <si>
    <t>-590.811575935135 49.5687613525772 -920.626397749234</t>
  </si>
  <si>
    <t>-621.633960756877 112.578177422033 -766.303606689268</t>
  </si>
  <si>
    <t>-531.809822712413 227.724307479102 -749.104569040649</t>
  </si>
  <si>
    <t>-474.311118529312 202.233052515458 -438.89451940571</t>
  </si>
  <si>
    <t>-294.87464374712 127.728376595014 -265.996766536544</t>
  </si>
  <si>
    <t>-655.531071270093 58.8544479750756 -763.450018619886</t>
  </si>
  <si>
    <t>-557.74402701776 211.55239942928 -240.313437202964</t>
  </si>
  <si>
    <t>-579.016681764555 202.414416474665 214.792752949352</t>
  </si>
  <si>
    <t>-622.65606121711 179.962320276916 681.895731655609</t>
  </si>
  <si>
    <t>-485.946726849035 106.850258425047 765.014276992928</t>
  </si>
  <si>
    <t>-638.58956676222 33.1067458492919 -214.000871350498</t>
  </si>
  <si>
    <t>-494.093772986275 -100.147359286684 197.121916012898</t>
  </si>
  <si>
    <t>-496.862461926515 -23.5899065713947 660.649253972496</t>
  </si>
  <si>
    <t>-486.632275397117 -174.238258148584 750.893019322528</t>
  </si>
  <si>
    <t>9763-20170724T160458.125919500.bin</t>
  </si>
  <si>
    <t>-598.281826948239 122.553293112122 -227.507851194506</t>
  </si>
  <si>
    <t>-634.942931169278 121.892705821001 -342.934632425768</t>
  </si>
  <si>
    <t>-649.312199149603 115.725307045754 -463.126349655439</t>
  </si>
  <si>
    <t>-653.091722656443 107.504799960658 -572.273053040741</t>
  </si>
  <si>
    <t>-647.797391311454 96.4908871139269 -681.110013949345</t>
  </si>
  <si>
    <t>-631.075501960233 78.103806454862 -831.384222916148</t>
  </si>
  <si>
    <t>-590.632647787577 50.1906971448573 -920.649054578558</t>
  </si>
  <si>
    <t>-621.491659128365 113.081410326983 -766.287019905263</t>
  </si>
  <si>
    <t>-531.570306417978 228.15262139158 -749.011720841899</t>
  </si>
  <si>
    <t>-474.691667814447 202.71316281006 -438.683157572027</t>
  </si>
  <si>
    <t>-294.691517445355 126.07648072816 -267.309764097163</t>
  </si>
  <si>
    <t>-655.457227035623 59.3975737980684 -763.497991464819</t>
  </si>
  <si>
    <t>-557.720128626698 211.752782844721 -240.283731537134</t>
  </si>
  <si>
    <t>-578.998185387281 202.560335252496 214.821166810238</t>
  </si>
  <si>
    <t>-622.61464777519 180.125281333104 681.916185825132</t>
  </si>
  <si>
    <t>-486.064406976261 106.692206205451 765.013261389199</t>
  </si>
  <si>
    <t>-638.762657514903 33.3615624456306 -214.021692381709</t>
  </si>
  <si>
    <t>-494.328721484752 -99.9604304294364 197.100942846464</t>
  </si>
  <si>
    <t>-496.860870460197 -23.5426747573513 660.652245307277</t>
  </si>
  <si>
    <t>-486.642786818616 -174.213940387448 750.859063331262</t>
  </si>
  <si>
    <t>9763-20170724T160458.193123100.bin</t>
  </si>
  <si>
    <t>-598.424158648397 122.59460786109 -227.494600588203</t>
  </si>
  <si>
    <t>-635.030272717031 122.057781108451 -342.939397963474</t>
  </si>
  <si>
    <t>-649.26598532286 116.044504264474 -463.154939231347</t>
  </si>
  <si>
    <t>-652.893453540114 107.970881604976 -572.317628085449</t>
  </si>
  <si>
    <t>-647.417075787787 97.1086009745547 -681.160986388903</t>
  </si>
  <si>
    <t>-630.411827713208 78.9356281961302 -831.429308298221</t>
  </si>
  <si>
    <t>-589.833714090897 51.1654487657199 -920.67743053832</t>
  </si>
  <si>
    <t>-620.886321367879 113.780296317303 -766.252291103994</t>
  </si>
  <si>
    <t>-530.880632184235 228.713145774998 -748.630666393019</t>
  </si>
  <si>
    <t>-475.197308764233 203.146645419057 -438.095833166949</t>
  </si>
  <si>
    <t>-293.388243114063 122.436267559925 -270.544680773896</t>
  </si>
  <si>
    <t>-654.985865415775 60.1729839962429 -763.628204061079</t>
  </si>
  <si>
    <t>-557.703368275386 211.623525483458 -240.191297485604</t>
  </si>
  <si>
    <t>-579.015532403125 202.393531799511 214.911127447186</t>
  </si>
  <si>
    <t>-622.781423311586 180.077987345719 682.033886965283</t>
  </si>
  <si>
    <t>-486.159613129626 106.614781832727 764.986597536305</t>
  </si>
  <si>
    <t>-639.042097433844 33.5302507429999 -214.093386785409</t>
  </si>
  <si>
    <t>-495.005089008259 -99.7858848608309 197.170348946384</t>
  </si>
  <si>
    <t>-496.846641145035 -23.3975495623899 660.744865842927</t>
  </si>
  <si>
    <t>-486.731320506108 -174.157617374092 750.814769287909</t>
  </si>
  <si>
    <t>9763-20170724T160458.225207400.bin</t>
  </si>
  <si>
    <t>-598.442634838598 122.488001646948 -227.463556277789</t>
  </si>
  <si>
    <t>-634.95355674605 121.980819906877 -342.938611461867</t>
  </si>
  <si>
    <t>-649.110343303797 116.021000291165 -463.166035204536</t>
  </si>
  <si>
    <t>-652.67456007929 108.003248680941 -572.334986141859</t>
  </si>
  <si>
    <t>-647.143405040668 97.2034349354415 -681.18178345394</t>
  </si>
  <si>
    <t>-630.0715389253 79.1226702430467 -831.453706716256</t>
  </si>
  <si>
    <t>-589.44552584758 51.385056727712 -920.690124673446</t>
  </si>
  <si>
    <t>-620.551699147352 113.912709147791 -766.246567507236</t>
  </si>
  <si>
    <t>-530.443872097763 228.762774284396 -748.455314994874</t>
  </si>
  <si>
    <t>-474.389815282084 203.433062703534 -437.967929221297</t>
  </si>
  <si>
    <t>-290.998928685604 121.780899090113 -272.611420655792</t>
  </si>
  <si>
    <t>-654.69893325089 60.3329690450953 -763.679278842426</t>
  </si>
  <si>
    <t>-557.702261441674 211.469620271388 -240.107672517409</t>
  </si>
  <si>
    <t>-579.097792478184 202.268041381609 214.991534732424</t>
  </si>
  <si>
    <t>-622.927288538863 179.992316497029 682.123998097595</t>
  </si>
  <si>
    <t>-486.130613896373 106.7271986132 764.963646947702</t>
  </si>
  <si>
    <t>-639.067712001385 33.5057126790482 -214.106921003204</t>
  </si>
  <si>
    <t>-495.470854735554 -99.8810763194415 197.287792346447</t>
  </si>
  <si>
    <t>-496.843194133323 -23.3028572235021 660.839415041806</t>
  </si>
  <si>
    <t>-486.836206612686 -174.129104681409 750.810575340272</t>
  </si>
  <si>
    <t>9763-20170724T160458.298333500.bin</t>
  </si>
  <si>
    <t>-598.625558131569 122.264201253766 -227.459764979693</t>
  </si>
  <si>
    <t>-635.019600911043 121.831531826308 -342.972123777985</t>
  </si>
  <si>
    <t>-648.995584340222 115.938865774679 -463.224121234374</t>
  </si>
  <si>
    <t>-652.373538569695 107.971142890015 -572.402512494516</t>
  </si>
  <si>
    <t>-646.635984303213 97.2063785132975 -681.242104894754</t>
  </si>
  <si>
    <t>-629.259218661765 79.1549577959652 -831.482635047783</t>
  </si>
  <si>
    <t>-588.490969311557 51.4718940272867 -920.671106337977</t>
  </si>
  <si>
    <t>-619.834754712045 113.908802123502 -766.242567009093</t>
  </si>
  <si>
    <t>-529.516656933899 228.504168732074 -748.089321719835</t>
  </si>
  <si>
    <t>-472.455333986049 202.462890589941 -437.844208200955</t>
  </si>
  <si>
    <t>-286.376198714017 119.599251330147 -276.133921769599</t>
  </si>
  <si>
    <t>-654.061147397371 60.3753750100773 -763.769066434604</t>
  </si>
  <si>
    <t>-557.940406648038 211.288004877625 -240.03223856666</t>
  </si>
  <si>
    <t>-579.231057742094 202.062386178626 215.071343833499</t>
  </si>
  <si>
    <t>-623.06742348821 179.839310994034 682.143305540709</t>
  </si>
  <si>
    <t>-486.154597132178 106.756487782425 764.952016713405</t>
  </si>
  <si>
    <t>-639.203101530625 33.2918542695681 -214.22214399923</t>
  </si>
  <si>
    <t>-496.584710351645 -100.121013314241 197.504357323352</t>
  </si>
  <si>
    <t>-496.918955643312 -23.1403961084213 660.993113647924</t>
  </si>
  <si>
    <t>-487.058581471514 -174.086837574309 750.778906952013</t>
  </si>
  <si>
    <t>9763-20170724T160458.326404000.bin</t>
  </si>
  <si>
    <t>-598.720707309392 122.104139443204 -227.438115392912</t>
  </si>
  <si>
    <t>-635.054583790978 121.70232979148 -342.969457818969</t>
  </si>
  <si>
    <t>-648.905200321585 115.866376522341 -463.238705418609</t>
  </si>
  <si>
    <t>-652.144149548823 107.956540943956 -572.425566275785</t>
  </si>
  <si>
    <t>-646.243128502978 97.2540137088276 -681.262615463682</t>
  </si>
  <si>
    <t>-628.61527741204 79.2915127665765 -831.48439987092</t>
  </si>
  <si>
    <t>-587.762818351679 51.6402337360453 -920.64433376673</t>
  </si>
  <si>
    <t>-619.270010319853 113.988004861546 -766.202410425092</t>
  </si>
  <si>
    <t>-528.647860555506 228.294852029335 -747.696710172653</t>
  </si>
  <si>
    <t>-471.17512777845 201.456103856745 -437.595565344075</t>
  </si>
  <si>
    <t>-284.567198446757 118.697745953952 -276.441724276508</t>
  </si>
  <si>
    <t>-653.560064820356 60.4907623712945 -763.829467782022</t>
  </si>
  <si>
    <t>-558.004730213664 211.079503527113 -239.994111311843</t>
  </si>
  <si>
    <t>-579.339541817406 202.005628977351 215.110364285505</t>
  </si>
  <si>
    <t>-623.144669444873 179.741733109509 682.172128123776</t>
  </si>
  <si>
    <t>-486.082093137559 106.921374802783 764.964379840643</t>
  </si>
  <si>
    <t>-639.347034618291 33.1415116247415 -214.215338232718</t>
  </si>
  <si>
    <t>-496.977070428325 -100.310600946033 197.584336003979</t>
  </si>
  <si>
    <t>-496.889354926326 -23.067641637165 661.03563243832</t>
  </si>
  <si>
    <t>-487.160055506234 -174.072575885318 750.73729460697</t>
  </si>
  <si>
    <t>9763-20170724T160458.392208700.bin</t>
  </si>
  <si>
    <t>-598.876095389962 121.846668441365 -227.440145693438</t>
  </si>
  <si>
    <t>-635.180033486746 121.508173954056 -342.980983139191</t>
  </si>
  <si>
    <t>-648.783113824032 115.764528638985 -463.283004135228</t>
  </si>
  <si>
    <t>-651.710439013262 107.942476551935 -572.48497397708</t>
  </si>
  <si>
    <t>-645.412088545459 97.3286651006019 -681.308382566192</t>
  </si>
  <si>
    <t>-627.146240471287 79.4873614741832 -831.468548059232</t>
  </si>
  <si>
    <t>-586.111633982919 51.8716751558727 -920.555564694016</t>
  </si>
  <si>
    <t>-617.999674138646 114.081113458744 -766.103920889403</t>
  </si>
  <si>
    <t>-526.88946276268 227.894517463681 -746.908140069986</t>
  </si>
  <si>
    <t>-470.007813708575 198.193429624273 -436.958872704417</t>
  </si>
  <si>
    <t>-282.418887438478 117.398056127363 -275.947832736192</t>
  </si>
  <si>
    <t>-652.457029591881 60.6819595785967 -763.950751873118</t>
  </si>
  <si>
    <t>-558.015556481324 210.76751413055 -240.024909183719</t>
  </si>
  <si>
    <t>-579.35721136205 202.002014078191 215.085289726318</t>
  </si>
  <si>
    <t>-623.058628817147 179.89411207146 682.153267628004</t>
  </si>
  <si>
    <t>-486.178754510504 106.806324577155 765.012082834416</t>
  </si>
  <si>
    <t>-639.617493262925 32.9552428260672 -214.18392968985</t>
  </si>
  <si>
    <t>-497.297647329644 -100.677553528316 197.574500403062</t>
  </si>
  <si>
    <t>-496.718067673733 -22.9988291595307 660.938225311528</t>
  </si>
  <si>
    <t>-487.368374356364 -174.054531842707 750.594652277412</t>
  </si>
  <si>
    <t>9763-20170724T160458.425301200.bin</t>
  </si>
  <si>
    <t>-599.020369865664 121.607539661727 -227.497016177225</t>
  </si>
  <si>
    <t>-635.35050220715 121.310152368996 -343.02981680138</t>
  </si>
  <si>
    <t>-648.84874532926 115.626675410882 -463.34625567998</t>
  </si>
  <si>
    <t>-651.627294302997 107.864381398947 -572.556593494236</t>
  </si>
  <si>
    <t>-645.126670707876 97.3149362428583 -681.374346135447</t>
  </si>
  <si>
    <t>-626.525130100859 79.5674561058347 -831.50430241647</t>
  </si>
  <si>
    <t>-585.358426173088 51.9987814125177 -920.545033346979</t>
  </si>
  <si>
    <t>-617.497532527432 114.102985693021 -766.09243307095</t>
  </si>
  <si>
    <t>-526.146919231555 227.672314786118 -746.511291084949</t>
  </si>
  <si>
    <t>-470.013930209249 196.288396020601 -436.591427363485</t>
  </si>
  <si>
    <t>-280.775809741534 116.306236329563 -277.111455919222</t>
  </si>
  <si>
    <t>-652.013888082036 60.7374033769793 -764.060447522084</t>
  </si>
  <si>
    <t>-558.09383619014 210.441834828141 -240.076535737462</t>
  </si>
  <si>
    <t>-579.352442158214 201.746853227021 215.038997491205</t>
  </si>
  <si>
    <t>-623.070459985872 179.842051091667 682.114418362257</t>
  </si>
  <si>
    <t>-486.130271695381 106.926365364233 765.02519935034</t>
  </si>
  <si>
    <t>-639.883360435315 32.787759445491 -214.226509963844</t>
  </si>
  <si>
    <t>-497.444192851933 -100.763072633442 197.517258215525</t>
  </si>
  <si>
    <t>-496.648855269926 -22.9933478089536 660.854147668424</t>
  </si>
  <si>
    <t>-487.379418125086 -174.044667279633 750.526330091376</t>
  </si>
  <si>
    <t>9763-20170724T160458.496192800.bin</t>
  </si>
  <si>
    <t>-599.165228440279 121.030853665698 -227.738610875344</t>
  </si>
  <si>
    <t>-635.474343495694 120.784640948384 -343.278160245052</t>
  </si>
  <si>
    <t>-648.740161370218 115.115361918535 -463.621150052173</t>
  </si>
  <si>
    <t>-651.221920077606 107.352729616681 -572.838673485432</t>
  </si>
  <si>
    <t>-644.339088752584 96.7917082068095 -681.631744832071</t>
  </si>
  <si>
    <t>-625.120167138553 79.0179409726172 -831.680855304306</t>
  </si>
  <si>
    <t>-583.631840563869 51.4768705756835 -920.580771960381</t>
  </si>
  <si>
    <t>-616.372640739323 113.571862607771 -766.240588307438</t>
  </si>
  <si>
    <t>-524.763471474509 226.86240094115 -746.196164794804</t>
  </si>
  <si>
    <t>-467.055760781456 194.933143203471 -436.62151082307</t>
  </si>
  <si>
    <t>-275.22856481045 113.89277486369 -280.811129981083</t>
  </si>
  <si>
    <t>-650.875256159903 60.1926956820539 -764.336919278347</t>
  </si>
  <si>
    <t>-558.103130947404 209.848129478228 -240.289585159642</t>
  </si>
  <si>
    <t>-579.207029248637 201.377618453321 214.837360439212</t>
  </si>
  <si>
    <t>-622.906707048444 179.95947769684 681.933241262925</t>
  </si>
  <si>
    <t>-486.296477601351 106.667615153896 765.056395375408</t>
  </si>
  <si>
    <t>-640.057892181052 32.2340744635633 -214.53128569712</t>
  </si>
  <si>
    <t>-497.697238451687 -101.14043400413 197.296753766725</t>
  </si>
  <si>
    <t>-496.529370339975 -23.0538006884583 660.588125050488</t>
  </si>
  <si>
    <t>-487.455582530022 -174.036237168554 750.3962496547</t>
  </si>
  <si>
    <t>9763-20170724T160458.525268500.bin</t>
  </si>
  <si>
    <t>-599.271112728853 120.667856058878 -227.897958334077</t>
  </si>
  <si>
    <t>-635.594481492271 120.436020470135 -343.433084280761</t>
  </si>
  <si>
    <t>-648.805669109695 114.740733799598 -463.780891354197</t>
  </si>
  <si>
    <t>-651.210643181759 106.936308414372 -572.996900861436</t>
  </si>
  <si>
    <t>-644.225130636025 96.3140254364516 -681.777647237654</t>
  </si>
  <si>
    <t>-624.837818312542 78.4346537676211 -831.792554045633</t>
  </si>
  <si>
    <t>-583.225320780407 50.8843220951949 -920.631460896855</t>
  </si>
  <si>
    <t>-616.166224069639 113.036250176778 -766.367414275042</t>
  </si>
  <si>
    <t>-524.535240649949 226.290873990548 -746.275714323043</t>
  </si>
  <si>
    <t>-465.747741882549 194.561474369468 -436.883567227545</t>
  </si>
  <si>
    <t>-273.183495092249 112.115416957335 -282.728732181416</t>
  </si>
  <si>
    <t>-650.665994956663 59.6551810497524 -764.463798204074</t>
  </si>
  <si>
    <t>-558.284918768552 209.547221199856 -240.438265967898</t>
  </si>
  <si>
    <t>-579.295579073181 201.194340311711 214.695134712477</t>
  </si>
  <si>
    <t>-622.86387784055 179.873942080745 681.801250987242</t>
  </si>
  <si>
    <t>-486.212963745483 106.808988371172 765.0571745145</t>
  </si>
  <si>
    <t>-640.119283752757 31.8026035893281 -214.704139457365</t>
  </si>
  <si>
    <t>-497.702687558927 -101.254518256752 197.207238083013</t>
  </si>
  <si>
    <t>-496.512044366155 -23.0727706134257 660.480585497029</t>
  </si>
  <si>
    <t>-487.389666032019 -174.021209206116 750.3408659694</t>
  </si>
  <si>
    <t>9763-20170724T160458.596016600.bin</t>
  </si>
  <si>
    <t>-599.572549860523 119.989994132923 -228.149267039123</t>
  </si>
  <si>
    <t>-635.861283574092 119.710330943732 -343.695126494462</t>
  </si>
  <si>
    <t>-648.946729906273 113.932535362859 -464.05264392508</t>
  </si>
  <si>
    <t>-651.203125240591 106.034380831512 -573.265325767346</t>
  </si>
  <si>
    <t>-644.036737343316 95.2962769287381 -682.02268507741</t>
  </si>
  <si>
    <t>-624.367351744575 77.2306857775823 -831.978634906792</t>
  </si>
  <si>
    <t>-582.562223604868 49.6927924328716 -920.730985628174</t>
  </si>
  <si>
    <t>-615.817431127121 111.91263260492 -766.580039842625</t>
  </si>
  <si>
    <t>-524.136731686543 225.101308029151 -746.376304842037</t>
  </si>
  <si>
    <t>-463.90293362288 192.955216345073 -437.305661502972</t>
  </si>
  <si>
    <t>-270.840732025052 108.677613049907 -284.772593258627</t>
  </si>
  <si>
    <t>-650.32351055558 58.5356072574887 -764.675568966209</t>
  </si>
  <si>
    <t>-558.766565199079 208.892004530254 -240.661654653688</t>
  </si>
  <si>
    <t>-579.539928963576 200.876865228996 214.488809098874</t>
  </si>
  <si>
    <t>-622.841023162733 179.86326058081 681.729573167336</t>
  </si>
  <si>
    <t>-486.275972511947 106.731323748837 765.067571173213</t>
  </si>
  <si>
    <t>-640.250191175807 31.0923977649368 -214.949865365207</t>
  </si>
  <si>
    <t>-497.403571168679 -101.407415922034 196.992199908271</t>
  </si>
  <si>
    <t>-496.43021171056 -23.1291385176903 660.241406317714</t>
  </si>
  <si>
    <t>-487.28073604785 -173.998166658297 750.232307183044</t>
  </si>
  <si>
    <t>9763-20170724T160458.625087800.bin</t>
  </si>
  <si>
    <t>-599.820480844361 119.724779983304 -228.196869278644</t>
  </si>
  <si>
    <t>-636.115854629199 119.396962349669 -343.740649160836</t>
  </si>
  <si>
    <t>-649.166364215021 113.576662403038 -464.099938097695</t>
  </si>
  <si>
    <t>-651.3744953163 105.640667773576 -573.310694666121</t>
  </si>
  <si>
    <t>-644.143540122561 94.864638402667 -682.060098505137</t>
  </si>
  <si>
    <t>-624.368529679672 76.745156364902 -831.995575656223</t>
  </si>
  <si>
    <t>-582.498174376532 49.1983428542449 -920.71431091703</t>
  </si>
  <si>
    <t>-615.867238942435 111.452240741465 -766.60395896303</t>
  </si>
  <si>
    <t>-524.199502603085 224.646048222525 -746.352123451238</t>
  </si>
  <si>
    <t>-463.870773533751 191.609457268741 -437.393792025141</t>
  </si>
  <si>
    <t>-270.607496229526 106.697214670446 -285.46866086573</t>
  </si>
  <si>
    <t>-650.369452330852 58.0727199277389 -764.703594234043</t>
  </si>
  <si>
    <t>-559.067303728436 208.642686574482 -240.713175698833</t>
  </si>
  <si>
    <t>-579.747502523837 200.813911079346 214.444694641425</t>
  </si>
  <si>
    <t>-622.821677525759 179.922498768495 681.707596609654</t>
  </si>
  <si>
    <t>-486.300284014566 106.718585397384 765.053891410526</t>
  </si>
  <si>
    <t>-640.508067718291 30.8046192837269 -214.973476998104</t>
  </si>
  <si>
    <t>-497.238219729953 -101.415537153064 196.911540054155</t>
  </si>
  <si>
    <t>-496.40891213466 -23.1573494765228 660.145194177396</t>
  </si>
  <si>
    <t>-487.178328186474 -173.986064849354 750.195177182483</t>
  </si>
  <si>
    <t>9763-20170724T160458.695365500.bin</t>
  </si>
  <si>
    <t>-600.394338786875 119.148549900209 -228.289207711686</t>
  </si>
  <si>
    <t>-636.732089822393 118.761819462944 -343.819438875368</t>
  </si>
  <si>
    <t>-649.754631951196 112.898987310886 -464.17976638996</t>
  </si>
  <si>
    <t>-651.908209954735 104.929419783448 -573.389165967153</t>
  </si>
  <si>
    <t>-644.594029008476 94.1234701688245 -682.129995559104</t>
  </si>
  <si>
    <t>-624.674344148205 75.9654056998922 -832.041728806427</t>
  </si>
  <si>
    <t>-582.696202715593 48.4061259046625 -920.705767820595</t>
  </si>
  <si>
    <t>-616.236814656171 110.689741729946 -766.650993273703</t>
  </si>
  <si>
    <t>-524.587557897848 223.876657146451 -746.299010506828</t>
  </si>
  <si>
    <t>-463.974792862701 189.87334069948 -437.501234432031</t>
  </si>
  <si>
    <t>-269.851013337822 103.19139708286 -287.687088495177</t>
  </si>
  <si>
    <t>-650.739501066369 57.3099009762263 -764.769908828835</t>
  </si>
  <si>
    <t>-559.706811353811 208.004647577116 -240.798901110623</t>
  </si>
  <si>
    <t>-580.190952636588 200.463833896041 214.372762743527</t>
  </si>
  <si>
    <t>-623.049688892476 179.599438150828 681.71411892834</t>
  </si>
  <si>
    <t>-486.290252368721 106.786651307473 765.01279177001</t>
  </si>
  <si>
    <t>-640.990008682011 30.2631063031047 -215.043605810103</t>
  </si>
  <si>
    <t>-497.000412988917 -101.562765271447 196.716771867633</t>
  </si>
  <si>
    <t>-496.378507365184 -23.2513462360087 659.949791124989</t>
  </si>
  <si>
    <t>-486.971305378829 -173.968324178894 750.168407942979</t>
  </si>
  <si>
    <t>9763-20170724T160458.728448400.bin</t>
  </si>
  <si>
    <t>-600.617568569017 118.955271403044 -228.287929821902</t>
  </si>
  <si>
    <t>-636.957389316652 118.526691159688 -343.817311380938</t>
  </si>
  <si>
    <t>-649.97472237811 112.613276852338 -464.17573082314</t>
  </si>
  <si>
    <t>-652.120754345817 104.594603212758 -573.381629484659</t>
  </si>
  <si>
    <t>-644.796507724192 93.7361267020199 -682.116763433643</t>
  </si>
  <si>
    <t>-624.860345408191 75.5017105184108 -832.016823131803</t>
  </si>
  <si>
    <t>-582.846509138124 47.8970702967119 -920.649845868456</t>
  </si>
  <si>
    <t>-616.432377266914 110.260973816073 -766.643344972216</t>
  </si>
  <si>
    <t>-524.774975931397 223.445041994085 -746.315524796835</t>
  </si>
  <si>
    <t>-463.834731533696 189.231036689492 -437.605420934696</t>
  </si>
  <si>
    <t>-269.694932715138 101.154400562991 -288.627961444591</t>
  </si>
  <si>
    <t>-650.930464860347 56.8789128904261 -764.737930790322</t>
  </si>
  <si>
    <t>-559.931132489108 207.833370622119 -240.822986058282</t>
  </si>
  <si>
    <t>-580.34306667077 200.396952023897 214.353625041532</t>
  </si>
  <si>
    <t>-623.050355426446 179.649607336707 681.707006964618</t>
  </si>
  <si>
    <t>-486.393905980724 106.635760792926 764.99870791534</t>
  </si>
  <si>
    <t>-641.191556521426 30.0713561812959 -215.023329504406</t>
  </si>
  <si>
    <t>-496.966801363938 -101.655202049548 196.686575603138</t>
  </si>
  <si>
    <t>-496.382206345925 -23.2874334502064 659.887213688151</t>
  </si>
  <si>
    <t>-486.883112368046 -173.952746811344 750.182425524728</t>
  </si>
  <si>
    <t>9763-20170724T160458.795141800.bin</t>
  </si>
  <si>
    <t>-600.91223690793 118.560249623081 -228.30464437433</t>
  </si>
  <si>
    <t>-637.291148395153 118.076322156466 -343.821534365495</t>
  </si>
  <si>
    <t>-650.34510451851 112.093601278104 -464.17258365912</t>
  </si>
  <si>
    <t>-652.523201226032 104.006811575944 -573.372888869136</t>
  </si>
  <si>
    <t>-645.229864014117 93.0751054017599 -682.102589264754</t>
  </si>
  <si>
    <t>-625.335429917013 74.7339340342087 -831.995285854671</t>
  </si>
  <si>
    <t>-583.277106432867 47.0449857710769 -920.580887374532</t>
  </si>
  <si>
    <t>-616.894092474983 109.542767100619 -766.649998270492</t>
  </si>
  <si>
    <t>-525.153325252289 222.689806159211 -746.455898432682</t>
  </si>
  <si>
    <t>-463.754003484719 188.087044250847 -437.880146957632</t>
  </si>
  <si>
    <t>-268.866452080939 98.318779047981 -290.902042347131</t>
  </si>
  <si>
    <t>-651.382103001397 56.1559071457598 -764.6948469574</t>
  </si>
  <si>
    <t>-560.309618943357 207.447350116909 -240.879449491712</t>
  </si>
  <si>
    <t>-580.507796071512 200.185788910749 214.30949344044</t>
  </si>
  <si>
    <t>-623.041644101621 179.741430883772 681.702399146921</t>
  </si>
  <si>
    <t>-486.420674112201 106.638669345721 764.974282665192</t>
  </si>
  <si>
    <t>-641.401444037845 29.6412360028594 -214.99987499858</t>
  </si>
  <si>
    <t>-497.058081857285 -101.910127090999 196.724517753099</t>
  </si>
  <si>
    <t>-496.350441268584 -23.2887031855871 659.880514401345</t>
  </si>
  <si>
    <t>-486.840096279317 -173.918065824046 750.234679320118</t>
  </si>
  <si>
    <t>9763-20170724T160458.828229600.bin</t>
  </si>
  <si>
    <t>-601.11386212686 118.399785692865 -228.275171365306</t>
  </si>
  <si>
    <t>-637.505434727421 117.885101172398 -343.787996841015</t>
  </si>
  <si>
    <t>-650.600036408428 111.843924618816 -464.131555962077</t>
  </si>
  <si>
    <t>-652.826063448556 103.695425676195 -573.326358466753</t>
  </si>
  <si>
    <t>-645.591563787741 92.694433012402 -682.053044583386</t>
  </si>
  <si>
    <t>-625.79023144098 74.2497371063942 -831.945336676002</t>
  </si>
  <si>
    <t>-583.739312595907 46.4879241807478 -920.511673128848</t>
  </si>
  <si>
    <t>-617.308933247392 109.104012042276 -766.629312429623</t>
  </si>
  <si>
    <t>-525.607776585315 222.297155472052 -746.543084335719</t>
  </si>
  <si>
    <t>-463.77455554604 187.532202745483 -438.072370071076</t>
  </si>
  <si>
    <t>-268.640027471659 97.2755031202639 -291.722403905206</t>
  </si>
  <si>
    <t>-651.794462015042 55.7178917865667 -764.615741117889</t>
  </si>
  <si>
    <t>-560.507129236531 207.30343387259 -240.881069523647</t>
  </si>
  <si>
    <t>-580.617641867645 200.11918401244 214.312880617629</t>
  </si>
  <si>
    <t>-623.066355211805 179.767103995706 681.721856500625</t>
  </si>
  <si>
    <t>-486.471233822298 106.583798832567 764.965389330895</t>
  </si>
  <si>
    <t>-641.613965811413 29.5039577868058 -214.960201852852</t>
  </si>
  <si>
    <t>-497.131489161813 -102.018017022585 196.724768280581</t>
  </si>
  <si>
    <t>-496.320655276494 -23.3071324655143 659.861451240366</t>
  </si>
  <si>
    <t>-486.845104899652 -173.907682789022 750.267127776342</t>
  </si>
  <si>
    <t>9763-20170724T160458.893909600.bin</t>
  </si>
  <si>
    <t>-601.519467529174 118.272553283617 -228.322526316481</t>
  </si>
  <si>
    <t>-638.003146370363 117.698847710197 -343.806011943629</t>
  </si>
  <si>
    <t>-651.19078831615 111.532983052613 -464.133135059339</t>
  </si>
  <si>
    <t>-653.501417519098 103.245042477184 -573.315590400076</t>
  </si>
  <si>
    <t>-646.352616739937 92.0777601837144 -682.031068329248</t>
  </si>
  <si>
    <t>-626.67188583848 73.3744060965869 -831.907211558291</t>
  </si>
  <si>
    <t>-584.642812494963 45.4648138235621 -920.437409953952</t>
  </si>
  <si>
    <t>-618.12102370653 108.330490848328 -766.654872588003</t>
  </si>
  <si>
    <t>-526.394204855111 221.552339372058 -746.835985969965</t>
  </si>
  <si>
    <t>-463.390588151314 186.675806523693 -438.614695537688</t>
  </si>
  <si>
    <t>-267.581695758479 97.0345353541086 -292.788009956434</t>
  </si>
  <si>
    <t>-652.639015298473 54.9695846500667 -764.528497990428</t>
  </si>
  <si>
    <t>-560.902891947813 207.201493220816 -241.075392315372</t>
  </si>
  <si>
    <t>-580.656705346382 200.053758036878 214.134831397834</t>
  </si>
  <si>
    <t>-622.80555548229 179.938146712175 681.472681981621</t>
  </si>
  <si>
    <t>-486.55904831309 106.421948157305 764.993752440112</t>
  </si>
  <si>
    <t>-641.993864610657 29.3551444422783 -214.896560091843</t>
  </si>
  <si>
    <t>-497.243315330665 -102.150747777144 196.6992936452</t>
  </si>
  <si>
    <t>-496.315731605222 -23.3394244583371 659.793210794489</t>
  </si>
  <si>
    <t>-486.793782925098 -173.880220967448 750.293399537012</t>
  </si>
  <si>
    <t>9763-20170724T160458.927999900.bin</t>
  </si>
  <si>
    <t>-601.756922579506 118.262379942308 -228.397308245151</t>
  </si>
  <si>
    <t>-638.301758326746 117.683666103359 -343.861307092195</t>
  </si>
  <si>
    <t>-651.555006526319 111.452349379201 -464.177819969701</t>
  </si>
  <si>
    <t>-653.927127388903 103.080868964439 -573.352666175208</t>
  </si>
  <si>
    <t>-646.84227608942 91.8061190694464 -682.061086768951</t>
  </si>
  <si>
    <t>-627.25322022338 72.9291257275163 -831.927588466887</t>
  </si>
  <si>
    <t>-585.247872269666 44.9188255385995 -920.43714961165</t>
  </si>
  <si>
    <t>-618.639654209704 107.94620747982 -766.716194850472</t>
  </si>
  <si>
    <t>-526.837793623373 221.132901565181 -747.060473490216</t>
  </si>
  <si>
    <t>-463.18202398854 186.307474357611 -438.967439027807</t>
  </si>
  <si>
    <t>-267.221838940093 97.4266291715753 -292.878944113198</t>
  </si>
  <si>
    <t>-653.201909384128 54.6169875903415 -764.516471497905</t>
  </si>
  <si>
    <t>-561.083584351093 207.178116142809 -241.206633589066</t>
  </si>
  <si>
    <t>-580.626109219813 199.967613845774 214.011668115024</t>
  </si>
  <si>
    <t>-622.72682562863 179.930702955083 681.376048464187</t>
  </si>
  <si>
    <t>-486.515123355123 106.491159457505 765.021205008977</t>
  </si>
  <si>
    <t>-642.32229127527 29.3627282449502 -214.923634071394</t>
  </si>
  <si>
    <t>-497.279245573135 -102.129208295917 196.573687992331</t>
  </si>
  <si>
    <t>-496.335603877075 -23.3747548093543 659.703513619653</t>
  </si>
  <si>
    <t>-486.739678599128 -173.869034413914 750.273286733427</t>
  </si>
  <si>
    <t>9763-20170724T160458.994193900.bin</t>
  </si>
  <si>
    <t>-602.264056133881 118.401459453916 -228.614577366241</t>
  </si>
  <si>
    <t>-638.91165703784 117.709310640557 -344.045397381627</t>
  </si>
  <si>
    <t>-652.316004321459 111.272497165036 -464.334386310155</t>
  </si>
  <si>
    <t>-654.84566687264 102.677142207155 -573.488365673206</t>
  </si>
  <si>
    <t>-647.939555844344 91.1407200432698 -682.180853750183</t>
  </si>
  <si>
    <t>-628.621853641899 71.8602254646387 -832.031077852136</t>
  </si>
  <si>
    <t>-586.715227616952 43.6472470002911 -920.523200178414</t>
  </si>
  <si>
    <t>-619.857621841067 107.031820051586 -766.922922544482</t>
  </si>
  <si>
    <t>-527.917890586976 220.165678563072 -747.656943537573</t>
  </si>
  <si>
    <t>-462.529080515984 185.449796275881 -439.914632303728</t>
  </si>
  <si>
    <t>-266.346357528393 97.825767192438 -293.366340303915</t>
  </si>
  <si>
    <t>-654.481144336989 53.7505675848422 -764.531015836714</t>
  </si>
  <si>
    <t>-561.523052386459 207.330136182167 -241.627571024394</t>
  </si>
  <si>
    <t>-580.742106001479 200.058111810315 213.603594286882</t>
  </si>
  <si>
    <t>-622.242168431246 180.05619912096 680.832411800231</t>
  </si>
  <si>
    <t>-486.472568113187 106.534711909675 765.12187020954</t>
  </si>
  <si>
    <t>-642.869519959268 29.4913258971701 -214.945711328203</t>
  </si>
  <si>
    <t>-497.219094074733 -102.129575666055 196.295710061314</t>
  </si>
  <si>
    <t>-496.317003968536 -23.3942918697949 659.483490912627</t>
  </si>
  <si>
    <t>-486.616736546708 -173.839004732932 750.124419973264</t>
  </si>
  <si>
    <t>9763-20170724T160459.030277600.bin</t>
  </si>
  <si>
    <t>-602.429164282437 118.683001433775 -228.841044286799</t>
  </si>
  <si>
    <t>-639.143829283695 117.937235922523 -344.250312474734</t>
  </si>
  <si>
    <t>-652.607475556193 111.40936815846 -464.52779782517</t>
  </si>
  <si>
    <t>-655.187835393384 102.715169512614 -573.672583279387</t>
  </si>
  <si>
    <t>-648.330229091461 91.0624674685787 -682.355894948556</t>
  </si>
  <si>
    <t>-629.078179019246 71.6018347715128 -832.191241295824</t>
  </si>
  <si>
    <t>-587.191563632119 43.2863048105387 -920.660001001317</t>
  </si>
  <si>
    <t>-620.261960731787 106.836679596096 -767.124322761977</t>
  </si>
  <si>
    <t>-528.224917501086 219.895655358098 -748.002623617255</t>
  </si>
  <si>
    <t>-461.875437383287 185.199094164762 -440.463939695124</t>
  </si>
  <si>
    <t>-265.590094218911 97.7336491600204 -293.958293059639</t>
  </si>
  <si>
    <t>-654.931321925962 53.5883740235697 -764.663075012683</t>
  </si>
  <si>
    <t>-561.64493097217 207.677425038068 -241.985199373886</t>
  </si>
  <si>
    <t>-580.584532260343 200.279234887976 213.255714531293</t>
  </si>
  <si>
    <t>-621.836132386261 180.262256461811 680.521447881548</t>
  </si>
  <si>
    <t>-486.449108409679 106.505053104547 765.219418252095</t>
  </si>
  <si>
    <t>-643.053397623394 29.7006785989549 -215.062057404222</t>
  </si>
  <si>
    <t>-497.046332670408 -102.140446290033 195.982286567341</t>
  </si>
  <si>
    <t>-496.306695626995 -23.4157423923136 659.241086586094</t>
  </si>
  <si>
    <t>-486.596805920954 -173.827736135182 749.935488016086</t>
  </si>
  <si>
    <t>9763-20170724T160459.092981800.bin</t>
  </si>
  <si>
    <t>-602.659257607104 119.499481221708 -229.094916113885</t>
  </si>
  <si>
    <t>-639.536272035448 118.70510509666 -344.451934417563</t>
  </si>
  <si>
    <t>-653.144552243083 112.019852889316 -464.704518066519</t>
  </si>
  <si>
    <t>-655.84862636295 103.137996794082 -573.831358098959</t>
  </si>
  <si>
    <t>-649.108693875668 91.2518334001788 -682.49667250913</t>
  </si>
  <si>
    <t>-630.015252472054 71.4188090616096 -832.30345712275</t>
  </si>
  <si>
    <t>-588.219871714491 42.8507040710456 -920.734272559271</t>
  </si>
  <si>
    <t>-621.051393629024 106.764629947419 -767.316982294754</t>
  </si>
  <si>
    <t>-528.506994520923 219.474715840184 -748.452033278541</t>
  </si>
  <si>
    <t>-460.450579985898 184.509437569339 -441.316971644112</t>
  </si>
  <si>
    <t>-264.281943849702 96.2206566247087 -295.149170303044</t>
  </si>
  <si>
    <t>-655.875605604841 53.6240096126346 -764.720263770945</t>
  </si>
  <si>
    <t>-561.74607372103 208.618806669215 -242.342171849545</t>
  </si>
  <si>
    <t>-580.631379060199 201.061060361573 212.898235224647</t>
  </si>
  <si>
    <t>-621.425050378329 180.653052946049 680.290064572418</t>
  </si>
  <si>
    <t>-486.78165404691 105.952072302106 765.345517566496</t>
  </si>
  <si>
    <t>-643.481976961269 30.4050709236963 -215.119197981441</t>
  </si>
  <si>
    <t>-496.652402762016 -101.803906452139 195.513917135857</t>
  </si>
  <si>
    <t>-496.275390229001 -23.4244870408256 658.790816235155</t>
  </si>
  <si>
    <t>-486.509752266212 -173.789580378559 749.556991245659</t>
  </si>
  <si>
    <t>9763-20170724T160459.126070400.bin</t>
  </si>
  <si>
    <t>-602.844011069842 119.905884384631 -229.178471317433</t>
  </si>
  <si>
    <t>-639.784484037598 119.079184223111 -344.514950125104</t>
  </si>
  <si>
    <t>-653.470267233825 112.303884868287 -464.75370815341</t>
  </si>
  <si>
    <t>-656.251121675262 103.31529332179 -573.869761491113</t>
  </si>
  <si>
    <t>-649.59535805042 91.2963307209125 -682.52571620086</t>
  </si>
  <si>
    <t>-630.627260610982 71.2510717597324 -832.320251884839</t>
  </si>
  <si>
    <t>-588.905012600344 42.5438773699329 -920.740473518788</t>
  </si>
  <si>
    <t>-621.55043837073 106.651013772257 -767.378876551851</t>
  </si>
  <si>
    <t>-528.716349014564 219.150648516051 -748.669439641923</t>
  </si>
  <si>
    <t>-459.798989910572 183.747172328453 -441.77662260073</t>
  </si>
  <si>
    <t>-263.618449689149 94.7795449862913 -296.037160135937</t>
  </si>
  <si>
    <t>-656.489690019555 53.5899258402885 -764.70273914453</t>
  </si>
  <si>
    <t>-561.835126840247 208.988802916277 -242.483285989848</t>
  </si>
  <si>
    <t>-580.694885663795 201.359393800155 212.757061514329</t>
  </si>
  <si>
    <t>-621.314056895572 180.69764027629 680.161160196823</t>
  </si>
  <si>
    <t>-486.822761669798 105.875237451483 765.350449531838</t>
  </si>
  <si>
    <t>-643.726010311867 30.7847119012124 -215.144008413414</t>
  </si>
  <si>
    <t>-496.481047125918 -101.534802371153 195.304709545596</t>
  </si>
  <si>
    <t>-496.267462896783 -23.3956698606655 658.626296262336</t>
  </si>
  <si>
    <t>-486.42563554349 -173.760882097492 749.383958688135</t>
  </si>
  <si>
    <t>9763-20170724T160459.193337400.bin</t>
  </si>
  <si>
    <t>-603.33867561776 121.011583500796 -229.218724356518</t>
  </si>
  <si>
    <t>-640.415205569341 120.135516920667 -344.511123331164</t>
  </si>
  <si>
    <t>-654.281039453437 113.201792211667 -464.720295625483</t>
  </si>
  <si>
    <t>-657.243120986236 104.026760631889 -573.816057077657</t>
  </si>
  <si>
    <t>-650.786726126576 91.7799512482093 -682.458505656687</t>
  </si>
  <si>
    <t>-632.114999690074 71.3757053798379 -832.241863516184</t>
  </si>
  <si>
    <t>-590.564234419241 42.4138954677701 -920.659774065422</t>
  </si>
  <si>
    <t>-622.80173543431 106.860995770599 -767.380599037227</t>
  </si>
  <si>
    <t>-529.286467317607 218.864708218687 -749.026431063209</t>
  </si>
  <si>
    <t>-459.21724249602 181.989957466587 -442.567901505596</t>
  </si>
  <si>
    <t>-263.064515165489 91.5791580196894 -297.68159283047</t>
  </si>
  <si>
    <t>-657.951535112078 53.9469681872808 -764.554199417882</t>
  </si>
  <si>
    <t>-561.948540139769 210.027452780175 -242.660520850857</t>
  </si>
  <si>
    <t>-580.76691893577 202.135640739675 212.577089153858</t>
  </si>
  <si>
    <t>-621.036511826876 181.078325011579 680.023683551081</t>
  </si>
  <si>
    <t>-487.151511575009 105.331286426924 765.350737681351</t>
  </si>
  <si>
    <t>-644.644239503891 31.9664856703341 -215.000936577944</t>
  </si>
  <si>
    <t>-496.484170447804 -100.841187486044 194.960440506695</t>
  </si>
  <si>
    <t>-496.209821384635 -23.3146295772399 658.363562239904</t>
  </si>
  <si>
    <t>-486.352016458064 -173.701057467876 749.084419216247</t>
  </si>
  <si>
    <t>9763-20170724T160459.227427800.bin</t>
  </si>
  <si>
    <t>-603.668913314669 121.562643702459 -229.186487994163</t>
  </si>
  <si>
    <t>-640.764822660765 120.638156948088 -344.472445967995</t>
  </si>
  <si>
    <t>-654.711805856665 113.551127096412 -464.663188615059</t>
  </si>
  <si>
    <t>-657.773280312401 104.199783370793 -573.741276189826</t>
  </si>
  <si>
    <t>-651.442197898557 91.7422205598641 -682.367114578069</t>
  </si>
  <si>
    <t>-632.971160630141 71.0122213985831 -832.130620257705</t>
  </si>
  <si>
    <t>-591.518994090005 41.9017613838803 -920.545977348838</t>
  </si>
  <si>
    <t>-623.5424137566 106.619732735908 -767.353226659566</t>
  </si>
  <si>
    <t>-529.836286754561 218.51755423066 -749.288191380095</t>
  </si>
  <si>
    <t>-459.137870937399 180.737638344037 -443.084664497414</t>
  </si>
  <si>
    <t>-262.773719534394 89.69295792104 -298.883280603873</t>
  </si>
  <si>
    <t>-658.745712900326 53.7493837611933 -764.376718551248</t>
  </si>
  <si>
    <t>-562.10074725905 210.479785145811 -242.695690447099</t>
  </si>
  <si>
    <t>-580.925205702023 202.484989942095 212.539758795401</t>
  </si>
  <si>
    <t>-621.031890894158 181.099298129706 679.990960438901</t>
  </si>
  <si>
    <t>-487.202274873098 105.26983194948 765.331684063925</t>
  </si>
  <si>
    <t>-645.133571909266 32.6283989588737 -214.89968612298</t>
  </si>
  <si>
    <t>-496.727490590595 -100.585352976311 194.841004796493</t>
  </si>
  <si>
    <t>-496.215691204574 -23.2816736220361 658.257192116361</t>
  </si>
  <si>
    <t>-486.369293852428 -173.672429449355 748.971944119046</t>
  </si>
  <si>
    <t>9763-20170724T160459.296149700.bin</t>
  </si>
  <si>
    <t>-604.293078425178 122.6911947998 -229.253930025413</t>
  </si>
  <si>
    <t>-641.387817100057 121.707619424746 -344.539830414559</t>
  </si>
  <si>
    <t>-655.565636205917 114.345343801244 -464.686952972743</t>
  </si>
  <si>
    <t>-658.935802261653 104.658073187757 -573.726626577171</t>
  </si>
  <si>
    <t>-653.015539130962 91.7777930334266 -682.326324284561</t>
  </si>
  <si>
    <t>-635.222248080027 70.3707486223559 -832.076621699405</t>
  </si>
  <si>
    <t>-593.995306561426 40.9307742602325 -920.488160632598</t>
  </si>
  <si>
    <t>-625.393926129888 106.200755884089 -767.481489346076</t>
  </si>
  <si>
    <t>-531.273438754178 217.863098128313 -750.278375309975</t>
  </si>
  <si>
    <t>-459.507872300094 179.061401159207 -444.451048876531</t>
  </si>
  <si>
    <t>-263.144650104194 85.9819366569379 -301.553359643379</t>
  </si>
  <si>
    <t>-660.796443744027 53.4847531991866 -764.152105507173</t>
  </si>
  <si>
    <t>-562.461289909749 211.544878757695 -242.875809669409</t>
  </si>
  <si>
    <t>-581.278194607189 203.319555499553 212.355900828542</t>
  </si>
  <si>
    <t>-620.841582673051 181.195586264483 679.770013863011</t>
  </si>
  <si>
    <t>-487.312035442641 105.08390789049 765.329206972556</t>
  </si>
  <si>
    <t>-646.004847766447 33.8226634832265 -214.884650836326</t>
  </si>
  <si>
    <t>-497.441196575518 -99.985679999829 194.605047986462</t>
  </si>
  <si>
    <t>-496.224911284254 -23.2031271304008 658.084779899134</t>
  </si>
  <si>
    <t>-486.439813687666 -173.610487285559 748.778681523554</t>
  </si>
  <si>
    <t>9763-20170724T160459.329236200.bin</t>
  </si>
  <si>
    <t>-604.425070406002 123.268452607376 -229.316619929752</t>
  </si>
  <si>
    <t>-641.473944643696 122.277938028392 -344.616965828165</t>
  </si>
  <si>
    <t>-655.776083812717 114.8030556647 -464.742577979491</t>
  </si>
  <si>
    <t>-659.332647836398 104.968148350256 -573.763215014728</t>
  </si>
  <si>
    <t>-653.674304537935 91.8929651132476 -682.353523282629</t>
  </si>
  <si>
    <t>-636.324561748629 70.1641532831254 -832.109546085086</t>
  </si>
  <si>
    <t>-595.25443535113 40.5134069116873 -920.523655664688</t>
  </si>
  <si>
    <t>-626.221656478756 106.077743617542 -767.60314511203</t>
  </si>
  <si>
    <t>-531.687466402269 217.477665210955 -750.868947938206</t>
  </si>
  <si>
    <t>-459.507934931936 178.513492898073 -445.159761687937</t>
  </si>
  <si>
    <t>-263.326999667512 84.5228516701959 -302.608555221472</t>
  </si>
  <si>
    <t>-661.780962809079 53.4791505370276 -764.091053885949</t>
  </si>
  <si>
    <t>-562.458379266453 212.07318020266 -242.933893225924</t>
  </si>
  <si>
    <t>-581.391135959616 203.750072729933 212.291240262888</t>
  </si>
  <si>
    <t>-620.810530756675 181.265973713448 679.743484465372</t>
  </si>
  <si>
    <t>-487.341194950405 105.080341283898 765.330855125661</t>
  </si>
  <si>
    <t>-646.233486079622 34.4556188928407 -214.960473843313</t>
  </si>
  <si>
    <t>-497.725593321303 -99.5673758016524 194.479232644552</t>
  </si>
  <si>
    <t>-496.240676596865 -23.1714601282499 658.0109817502</t>
  </si>
  <si>
    <t>-486.525500096231 -173.580998853865 748.708849766801</t>
  </si>
  <si>
    <t>9763-20170724T160459.362326200.bin</t>
  </si>
  <si>
    <t>-604.482260805387 123.8546310271 -229.318057340711</t>
  </si>
  <si>
    <t>-641.503190235905 122.848559855114 -344.627430429163</t>
  </si>
  <si>
    <t>-655.946071467368 115.24330798393 -464.727836734438</t>
  </si>
  <si>
    <t>-659.703537633619 105.240410346616 -573.726356432158</t>
  </si>
  <si>
    <t>-654.321745431455 91.9451474935779 -682.304072313513</t>
  </si>
  <si>
    <t>-637.436202161191 69.8544902144897 -832.06021070725</t>
  </si>
  <si>
    <t>-596.560223694788 39.9841183822227 -920.490398582612</t>
  </si>
  <si>
    <t>-627.044890112318 105.864979918364 -767.653856800246</t>
  </si>
  <si>
    <t>-532.110401910771 216.981669446041 -751.38283498185</t>
  </si>
  <si>
    <t>-459.180922849624 177.880258126806 -445.869267611072</t>
  </si>
  <si>
    <t>-263.599023283901 82.8375814210015 -303.192395635728</t>
  </si>
  <si>
    <t>-662.770167949187 53.3928765106832 -763.941731438625</t>
  </si>
  <si>
    <t>-562.413729573356 212.661920704796 -242.945427329646</t>
  </si>
  <si>
    <t>-581.479059073661 204.162863362386 212.271039819247</t>
  </si>
  <si>
    <t>-620.79689311753 181.377967424933 679.7523622173</t>
  </si>
  <si>
    <t>-487.480035619276 104.898093715148 765.314908036935</t>
  </si>
  <si>
    <t>-646.373924069587 35.0419517449845 -214.964748661624</t>
  </si>
  <si>
    <t>-497.964072576883 -99.1412299795356 194.458102280397</t>
  </si>
  <si>
    <t>-496.257524879571 -23.1118547084827 658.013780805933</t>
  </si>
  <si>
    <t>-486.609055851739 -173.546116479022 748.677806762205</t>
  </si>
  <si>
    <t>9763-20170724T160459.428021600.bin</t>
  </si>
  <si>
    <t>-604.722323187289 125.097595937432 -229.080866243559</t>
  </si>
  <si>
    <t>-641.805011311144 123.995697596763 -344.369491883455</t>
  </si>
  <si>
    <t>-656.533778286438 116.120739721753 -464.417769796425</t>
  </si>
  <si>
    <t>-660.646145014052 105.802264374988 -573.374069651001</t>
  </si>
  <si>
    <t>-655.716502300435 92.1204305302608 -681.925327446192</t>
  </si>
  <si>
    <t>-639.561925165393 69.4174641870459 -831.670421915585</t>
  </si>
  <si>
    <t>-599.061154460003 39.1946628110495 -920.153548207219</t>
  </si>
  <si>
    <t>-628.733491584782 105.608557868276 -767.437577138989</t>
  </si>
  <si>
    <t>-533.030324807585 216.171678408447 -751.916286859989</t>
  </si>
  <si>
    <t>-458.259146590274 176.391732150787 -446.936056413455</t>
  </si>
  <si>
    <t>-263.16571162347 80.2780612873914 -304.307973356841</t>
  </si>
  <si>
    <t>-664.686197386565 53.3170434275066 -763.388114529429</t>
  </si>
  <si>
    <t>-562.550433148776 213.781367183228 -242.875487588753</t>
  </si>
  <si>
    <t>-581.669763855954 204.97289774811 212.332703659898</t>
  </si>
  <si>
    <t>-620.862275456149 181.352101787556 679.726771883896</t>
  </si>
  <si>
    <t>-487.468465261858 104.984892258554 765.27004329722</t>
  </si>
  <si>
    <t>-646.788831451504 36.4236137893051 -214.545044374442</t>
  </si>
  <si>
    <t>-498.361960169019 -98.7186251123155 194.55607368723</t>
  </si>
  <si>
    <t>-496.174126320222 -22.8471278658246 658.193212159477</t>
  </si>
  <si>
    <t>-486.802377717553 -173.453195059837 748.600508477265</t>
  </si>
  <si>
    <t>9763-20170724T160459.494198000.bin</t>
  </si>
  <si>
    <t>-604.651890790951 126.775888184529 -228.897591001939</t>
  </si>
  <si>
    <t>-641.804557619757 125.456126038109 -344.161408604626</t>
  </si>
  <si>
    <t>-656.727165991656 117.286944241386 -464.166162723248</t>
  </si>
  <si>
    <t>-661.063911142297 106.681864214033 -573.086121703058</t>
  </si>
  <si>
    <t>-656.406160590187 92.6984636683401 -681.610986873343</t>
  </si>
  <si>
    <t>-640.676056643029 69.5663759863164 -831.335538464059</t>
  </si>
  <si>
    <t>-600.381686435091 39.0953957546301 -919.827753169425</t>
  </si>
  <si>
    <t>-629.624776682959 105.913953992973 -767.229028728168</t>
  </si>
  <si>
    <t>-533.645085943461 216.291307530873 -752.20794395548</t>
  </si>
  <si>
    <t>-456.118072881232 175.01697495723 -448.115549656461</t>
  </si>
  <si>
    <t>-261.580686698835 78.5487754193723 -304.968213791065</t>
  </si>
  <si>
    <t>-665.647447170268 53.6893330080679 -762.945144020021</t>
  </si>
  <si>
    <t>-562.225409139125 215.36270177701 -243.089415714629</t>
  </si>
  <si>
    <t>-581.205886152407 206.11723254221 212.115977999276</t>
  </si>
  <si>
    <t>-620.223547658972 181.822832505143 679.275186012158</t>
  </si>
  <si>
    <t>-487.609974023549 104.723022537714 765.372603334959</t>
  </si>
  <si>
    <t>-646.866792546866 38.2022970792273 -214.030061892797</t>
  </si>
  <si>
    <t>-498.328162300297 -98.7946571184448 194.413063772019</t>
  </si>
  <si>
    <t>-495.899691236436 -22.6864301456455 658.002216325552</t>
  </si>
  <si>
    <t>-487.289814790503 -173.404521000351 748.298769300062</t>
  </si>
  <si>
    <t>9763-20170724T160459.526283700.bin</t>
  </si>
  <si>
    <t>-604.323135950155 127.559656369244 -228.998038553757</t>
  </si>
  <si>
    <t>-641.514345275849 126.175690515377 -344.248617723999</t>
  </si>
  <si>
    <t>-656.53799053079 117.961221047311 -464.237739487222</t>
  </si>
  <si>
    <t>-660.989606299127 107.327703552346 -573.150302396111</t>
  </si>
  <si>
    <t>-656.468311487836 93.3310590988895 -681.679239738502</t>
  </si>
  <si>
    <t>-640.948202393944 70.1984621214192 -831.425642452507</t>
  </si>
  <si>
    <t>-600.718759062657 39.6677422950065 -919.926714735943</t>
  </si>
  <si>
    <t>-629.790385417814 106.535008911895 -767.331383131143</t>
  </si>
  <si>
    <t>-533.620571146079 216.76121557953 -752.427491300972</t>
  </si>
  <si>
    <t>-454.919028994303 174.441699376614 -448.780822581982</t>
  </si>
  <si>
    <t>-260.449574502434 78.1884863589823 -305.396641876351</t>
  </si>
  <si>
    <t>-665.840345508468 54.3328392188405 -763.003596449596</t>
  </si>
  <si>
    <t>-561.857797861486 216.203918808058 -243.353902589539</t>
  </si>
  <si>
    <t>-580.609767201662 206.562819027804 211.852798170833</t>
  </si>
  <si>
    <t>-619.761750296367 182.151123591614 679.00102216153</t>
  </si>
  <si>
    <t>-487.625908121602 104.642253974407 765.464895866324</t>
  </si>
  <si>
    <t>-646.540359889575 38.9488316635513 -213.988094655967</t>
  </si>
  <si>
    <t>-497.851281316216 -98.9155852901167 194.108316971285</t>
  </si>
  <si>
    <t>-495.693807871877 -22.6789740015963 657.715366101132</t>
  </si>
  <si>
    <t>-487.762080308043 -173.395826186712 748.075805550063</t>
  </si>
  <si>
    <t>9763-20170724T160459.591190700.bin</t>
  </si>
  <si>
    <t>-603.910000951413 128.871071774902 -229.217497578888</t>
  </si>
  <si>
    <t>-641.249773302597 127.393856705787 -344.418823213365</t>
  </si>
  <si>
    <t>-656.512650833023 119.063865232151 -464.369885605935</t>
  </si>
  <si>
    <t>-661.215862134659 108.320282119625 -573.26107352486</t>
  </si>
  <si>
    <t>-656.979548633985 94.210251651388 -681.786692860369</t>
  </si>
  <si>
    <t>-641.88816318972 70.9183881020217 -831.552347380615</t>
  </si>
  <si>
    <t>-601.871083765957 40.2104354043161 -920.088345700078</t>
  </si>
  <si>
    <t>-630.481127106182 107.278606464801 -767.515391463351</t>
  </si>
  <si>
    <t>-533.85212871936 217.16498998403 -752.808507446757</t>
  </si>
  <si>
    <t>-452.973591651933 172.302818185336 -450.100259142087</t>
  </si>
  <si>
    <t>-259.013671735547 76.2116013820662 -305.919658397413</t>
  </si>
  <si>
    <t>-666.650186280282 55.1699622914932 -763.0559699381</t>
  </si>
  <si>
    <t>-561.413699536655 217.48799470048 -243.781850645871</t>
  </si>
  <si>
    <t>-579.585948842717 207.173458510859 211.433556896832</t>
  </si>
  <si>
    <t>-619.041329527555 182.714295640992 678.595091309569</t>
  </si>
  <si>
    <t>-487.664544533259 104.528877776154 765.604836175861</t>
  </si>
  <si>
    <t>-646.301336999793 40.2875975664765 -213.922586966776</t>
  </si>
  <si>
    <t>-496.852389991554 -98.8285494466734 193.470829189964</t>
  </si>
  <si>
    <t>-495.416342413473 -22.6471102703463 657.092925662793</t>
  </si>
  <si>
    <t>-488.421929970264 -173.348991484852 747.55590282691</t>
  </si>
  <si>
    <t>9763-20170724T160459.631296400.bin</t>
  </si>
  <si>
    <t>-604.047736349122 129.399044998956 -229.279272373229</t>
  </si>
  <si>
    <t>-641.450529417558 127.86544767426 -344.459486496087</t>
  </si>
  <si>
    <t>-656.782312707955 119.449109133159 -464.395647829692</t>
  </si>
  <si>
    <t>-661.54971434654 108.616813873278 -573.275218431536</t>
  </si>
  <si>
    <t>-657.379342381362 94.4083139312172 -681.790631597104</t>
  </si>
  <si>
    <t>-642.380930171437 70.9706866077145 -831.542881204213</t>
  </si>
  <si>
    <t>-602.453493749949 40.1928391251145 -920.095178229585</t>
  </si>
  <si>
    <t>-630.895315698826 107.367038892192 -767.540464952586</t>
  </si>
  <si>
    <t>-534.069261384323 217.053835154524 -752.947389953706</t>
  </si>
  <si>
    <t>-452.219853304223 171.13399258011 -450.659118898433</t>
  </si>
  <si>
    <t>-258.24539843933 75.0824355968846 -306.471441543464</t>
  </si>
  <si>
    <t>-667.139183129063 55.3152165127055 -763.023857615993</t>
  </si>
  <si>
    <t>-561.464735885114 217.894961181626 -243.926722975835</t>
  </si>
  <si>
    <t>-579.436584817175 207.306058405817 211.290334873283</t>
  </si>
  <si>
    <t>-619.034187518181 182.547196180693 678.482131101228</t>
  </si>
  <si>
    <t>-487.564604996346 104.673497862905 765.631165183589</t>
  </si>
  <si>
    <t>-646.654455280175 40.8797625181653 -213.925742731527</t>
  </si>
  <si>
    <t>-496.612797811091 -98.6498494196908 193.108167944222</t>
  </si>
  <si>
    <t>-495.354866095573 -22.6383067915694 656.777985029351</t>
  </si>
  <si>
    <t>-488.616082792906 -173.320578717639 747.292908477679</t>
  </si>
  <si>
    <t>9763-20170724T160459.691973300.bin</t>
  </si>
  <si>
    <t>-604.609358911185 130.338863956944 -229.457004547373</t>
  </si>
  <si>
    <t>-642.132842879088 128.735527350285 -344.597027126246</t>
  </si>
  <si>
    <t>-657.655923639109 120.258650228343 -464.504255374773</t>
  </si>
  <si>
    <t>-662.624153720041 109.375521204767 -573.369947235433</t>
  </si>
  <si>
    <t>-658.680787835694 95.1209549715713 -681.88766651386</t>
  </si>
  <si>
    <t>-644.024124608005 71.6238493006754 -831.664398726054</t>
  </si>
  <si>
    <t>-604.321570942109 40.7664933308722 -920.289980001045</t>
  </si>
  <si>
    <t>-632.299400325409 107.982104201045 -767.683702718255</t>
  </si>
  <si>
    <t>-535.08135660813 217.388326065761 -753.274393678818</t>
  </si>
  <si>
    <t>-451.603611870351 169.811234781627 -451.688610852734</t>
  </si>
  <si>
    <t>-257.798707086025 73.5198709495482 -307.4328292692</t>
  </si>
  <si>
    <t>-668.719179369564 56.0589634501873 -763.101899786396</t>
  </si>
  <si>
    <t>-561.572653157036 218.722336321165 -244.125138967563</t>
  </si>
  <si>
    <t>-579.623937677165 207.995036416902 211.085488477751</t>
  </si>
  <si>
    <t>-618.955346600608 182.614388287618 678.356860548783</t>
  </si>
  <si>
    <t>-487.773882780433 104.360597647735 765.59949288602</t>
  </si>
  <si>
    <t>-647.703588071093 41.98516728352 -214.013447184069</t>
  </si>
  <si>
    <t>-497.239496905752 -98.0449497460261 192.692491527911</t>
  </si>
  <si>
    <t>-495.519416695927 -22.6285194475099 656.361703634901</t>
  </si>
  <si>
    <t>-488.804482566776 -173.256121514491 746.969281317964</t>
  </si>
  <si>
    <t>9763-20170724T160459.724058700.bin</t>
  </si>
  <si>
    <t>-604.994925828939 130.592352263099 -229.529870932635</t>
  </si>
  <si>
    <t>-642.501099174199 128.952617416752 -344.675107978393</t>
  </si>
  <si>
    <t>-658.132115932474 120.445802834 -464.566104444885</t>
  </si>
  <si>
    <t>-663.250399244431 109.537320949086 -573.422268719681</t>
  </si>
  <si>
    <t>-659.509420865209 95.2583731706618 -681.944050260986</t>
  </si>
  <si>
    <t>-645.187429383089 71.727890868993 -831.747982292328</t>
  </si>
  <si>
    <t>-605.655329258981 40.8359872742785 -920.43775136768</t>
  </si>
  <si>
    <t>-633.272894757347 108.068377003467 -767.792178670929</t>
  </si>
  <si>
    <t>-535.976110696298 217.416149379246 -753.563556074622</t>
  </si>
  <si>
    <t>-451.981191016823 169.279161852944 -452.21004418183</t>
  </si>
  <si>
    <t>-257.994910873513 73.2354502593867 -308.033234772019</t>
  </si>
  <si>
    <t>-669.776035814364 56.2104202636021 -763.13647854082</t>
  </si>
  <si>
    <t>-561.741006739784 218.911564275614 -244.205614943256</t>
  </si>
  <si>
    <t>-579.977173807291 208.218202582506 210.998487224598</t>
  </si>
  <si>
    <t>-619.045410941467 182.516192850883 678.313944685167</t>
  </si>
  <si>
    <t>-487.835955940841 104.287810181578 765.537257635816</t>
  </si>
  <si>
    <t>-648.252374820469 42.2626344751714 -214.142897126613</t>
  </si>
  <si>
    <t>-498.005350822202 -97.7547819499362 192.647657074048</t>
  </si>
  <si>
    <t>-495.660201901962 -22.6088610762995 656.300997648062</t>
  </si>
  <si>
    <t>-488.854949267184 -173.217280085297 746.933885103608</t>
  </si>
  <si>
    <t>9763-20170724T160459.792749300.bin</t>
  </si>
  <si>
    <t>-605.428614268719 130.767689536873 -229.627738384723</t>
  </si>
  <si>
    <t>-642.917527848968 129.185160417585 -344.779251388014</t>
  </si>
  <si>
    <t>-658.779087545872 120.737696686647 -464.644214193758</t>
  </si>
  <si>
    <t>-664.208168172588 109.884688793495 -573.490872682547</t>
  </si>
  <si>
    <t>-660.879157713352 95.6632419439377 -682.033629130325</t>
  </si>
  <si>
    <t>-647.232810414085 72.2143749400168 -831.913323272394</t>
  </si>
  <si>
    <t>-608.066763433881 41.3059906344865 -920.759731024005</t>
  </si>
  <si>
    <t>-634.944669669803 108.461426369884 -767.975257753599</t>
  </si>
  <si>
    <t>-537.501268407661 217.721435192687 -754.090256894884</t>
  </si>
  <si>
    <t>-453.371400363073 169.413733372786 -452.801926753009</t>
  </si>
  <si>
    <t>-259.036188851989 74.146668856931 -308.579539770799</t>
  </si>
  <si>
    <t>-671.597112770678 56.7181237214907 -763.217073230157</t>
  </si>
  <si>
    <t>-561.833431485024 218.979400891399 -244.288835159323</t>
  </si>
  <si>
    <t>-580.489422005273 208.402206533124 210.90095401162</t>
  </si>
  <si>
    <t>-619.223149613417 182.367328858951 678.257964313991</t>
  </si>
  <si>
    <t>-487.995109274346 104.093289901947 765.412337792037</t>
  </si>
  <si>
    <t>-648.892473932512 42.5828293373668 -214.239348722945</t>
  </si>
  <si>
    <t>-499.437334541255 -97.7118951877392 192.747413445608</t>
  </si>
  <si>
    <t>-495.681186090739 -22.4678293312118 656.430656004664</t>
  </si>
  <si>
    <t>-489.10703409001 -173.135567645826 746.981854750983</t>
  </si>
  <si>
    <t>9763-20170724T160459.825837500.bin</t>
  </si>
  <si>
    <t>-605.43306377567 130.855064289903 -229.570030422261</t>
  </si>
  <si>
    <t>-642.947910387363 129.308481586497 -344.713634107718</t>
  </si>
  <si>
    <t>-658.904248017855 120.894592068006 -464.568407345125</t>
  </si>
  <si>
    <t>-664.446456036604 110.073047652556 -573.412491881134</t>
  </si>
  <si>
    <t>-661.25688623563 95.8855102910586 -681.963788391474</t>
  </si>
  <si>
    <t>-647.830673043201 72.4869537296995 -831.871351596776</t>
  </si>
  <si>
    <t>-608.806504328659 41.5747694417848 -920.778686829995</t>
  </si>
  <si>
    <t>-635.414063654725 108.688640707813 -767.932269122766</t>
  </si>
  <si>
    <t>-537.965045989045 217.933948779926 -754.135931339903</t>
  </si>
  <si>
    <t>-453.698037700055 170.181932330912 -452.797292912583</t>
  </si>
  <si>
    <t>-259.141782596244 75.3113911532446 -308.611614373969</t>
  </si>
  <si>
    <t>-672.128599082027 56.9915938560614 -763.151418080445</t>
  </si>
  <si>
    <t>-561.697296655597 218.962981210578 -244.275841482488</t>
  </si>
  <si>
    <t>-580.407659606853 208.430839031304 210.912731783759</t>
  </si>
  <si>
    <t>-619.23174109587 182.425036704519 678.264973156609</t>
  </si>
  <si>
    <t>-488.164686630435 103.846957144861 765.387988967016</t>
  </si>
  <si>
    <t>-649.010262625883 42.7850781968023 -214.108458945555</t>
  </si>
  <si>
    <t>-499.872071643279 -97.9022722230484 192.858948720717</t>
  </si>
  <si>
    <t>-495.587779577917 -22.3719753570319 656.493870680382</t>
  </si>
  <si>
    <t>-489.262565471864 -173.093464786566 746.973340921732</t>
  </si>
  <si>
    <t>9763-20170724T160459.897599400.bin</t>
  </si>
  <si>
    <t>-605.215708092147 130.663798706993 -229.387424063902</t>
  </si>
  <si>
    <t>-642.9111365793 129.270701981537 -344.473910814902</t>
  </si>
  <si>
    <t>-658.988720336679 121.033969139384 -464.324740219166</t>
  </si>
  <si>
    <t>-664.611828773572 110.385050428882 -573.181819278435</t>
  </si>
  <si>
    <t>-661.471493814842 96.3851880503048 -681.758824838443</t>
  </si>
  <si>
    <t>-648.078252840703 73.2655016277192 -831.712485711633</t>
  </si>
  <si>
    <t>-609.137404915911 42.4486566357061 -920.689613300029</t>
  </si>
  <si>
    <t>-635.601391779867 109.316165496638 -767.700101432827</t>
  </si>
  <si>
    <t>-537.866121181387 218.281017061656 -753.666466954096</t>
  </si>
  <si>
    <t>-453.331430458944 171.364403596356 -452.271560508435</t>
  </si>
  <si>
    <t>-258.292372996261 77.5634718208371 -308.038327567361</t>
  </si>
  <si>
    <t>-672.407298335087 57.6743366106521 -763.025413793686</t>
  </si>
  <si>
    <t>-561.300713941075 218.52567661742 -244.160507771473</t>
  </si>
  <si>
    <t>-580.09114098159 208.040578648399 211.025865973038</t>
  </si>
  <si>
    <t>-619.500741189428 182.147896099955 678.313921032403</t>
  </si>
  <si>
    <t>-488.337430923368 103.618838668277 765.336255434167</t>
  </si>
  <si>
    <t>-648.947151704981 42.8238542783806 -213.847760594527</t>
  </si>
  <si>
    <t>-500.398972054316 -98.3957046890723 193.15117883517</t>
  </si>
  <si>
    <t>-495.317325232665 -22.1892776279872 656.609609762861</t>
  </si>
  <si>
    <t>-489.588497673451 -173.005087691415 746.971629470809</t>
  </si>
  <si>
    <t>9763-20170724T160459.924666300.bin</t>
  </si>
  <si>
    <t>-605.205580854684 130.553215117609 -229.350012352686</t>
  </si>
  <si>
    <t>-642.972900388966 129.193892595966 -344.41330767116</t>
  </si>
  <si>
    <t>-659.100752382949 121.065994466177 -464.264915292915</t>
  </si>
  <si>
    <t>-664.758592452858 110.543781778976 -573.132304416366</t>
  </si>
  <si>
    <t>-661.641116283359 96.6977297299936 -681.729860169978</t>
  </si>
  <si>
    <t>-648.266603074364 73.8185063849062 -831.72209233924</t>
  </si>
  <si>
    <t>-609.301644785237 43.076231860497 -920.714345311366</t>
  </si>
  <si>
    <t>-635.761379891609 109.752216465025 -767.6494414093</t>
  </si>
  <si>
    <t>-537.873096778309 218.566326179772 -753.499080082965</t>
  </si>
  <si>
    <t>-452.977028535187 171.052110091124 -452.299412655698</t>
  </si>
  <si>
    <t>-258.170383020426 77.3962362958669 -307.658524207076</t>
  </si>
  <si>
    <t>-672.607421917212 58.1315085799715 -763.060859932736</t>
  </si>
  <si>
    <t>-561.348866325377 218.395196689197 -244.167186024429</t>
  </si>
  <si>
    <t>-579.932678658832 207.830299777542 211.02576773075</t>
  </si>
  <si>
    <t>-619.473249384369 182.159389570787 678.282676708772</t>
  </si>
  <si>
    <t>-488.324922391967 103.6328815631 765.329876203608</t>
  </si>
  <si>
    <t>-648.861274379064 42.7550956837163 -213.800637982647</t>
  </si>
  <si>
    <t>-500.402647528522 -98.6276676455852 193.174319717427</t>
  </si>
  <si>
    <t>-495.205531707946 -22.1396324869058 656.593456986678</t>
  </si>
  <si>
    <t>-489.671104690628 -172.96849412572 746.945715694738</t>
  </si>
  <si>
    <t>9763-20170724T160459.993847300.bin</t>
  </si>
  <si>
    <t>-605.470137310308 130.432751610496 -229.389021220018</t>
  </si>
  <si>
    <t>-643.326477354817 129.148538225355 -344.424037484813</t>
  </si>
  <si>
    <t>-659.481365159926 121.25323996272 -464.287465191437</t>
  </si>
  <si>
    <t>-665.136721470762 110.995232847814 -573.180206842955</t>
  </si>
  <si>
    <t>-661.989611477945 97.4610058267729 -681.816222615446</t>
  </si>
  <si>
    <t>-648.545533449474 75.0593795457071 -831.874349561292</t>
  </si>
  <si>
    <t>-609.484304225339 44.4909271552074 -920.884350896462</t>
  </si>
  <si>
    <t>-636.02375075985 110.75657136503 -767.672855996183</t>
  </si>
  <si>
    <t>-537.688308781621 219.110433441148 -753.147755712514</t>
  </si>
  <si>
    <t>-452.434080528036 170.07073763677 -452.29393841355</t>
  </si>
  <si>
    <t>-257.913428307319 76.2665057538575 -307.364527294532</t>
  </si>
  <si>
    <t>-672.964531998708 59.1861910140822 -763.283669433913</t>
  </si>
  <si>
    <t>-561.817675432806 218.311558864111 -244.211319641762</t>
  </si>
  <si>
    <t>-579.965215809881 207.610707601786 210.996099765869</t>
  </si>
  <si>
    <t>-619.383378549689 182.192298481463 678.227386387896</t>
  </si>
  <si>
    <t>-488.427211438434 103.457302919094 765.375485903889</t>
  </si>
  <si>
    <t>-649.001704412289 42.6330676970942 -213.852559714149</t>
  </si>
  <si>
    <t>-500.356063432148 -98.6456256882084 193.090291523313</t>
  </si>
  <si>
    <t>-495.09087074363 -22.0545578943095 656.495859901846</t>
  </si>
  <si>
    <t>-489.676595919912 -172.898096329764 746.830888890445</t>
  </si>
  <si>
    <t>9763-20170724T160500.025932700.bin</t>
  </si>
  <si>
    <t>-605.874901119115 130.39127615729 -229.468922203621</t>
  </si>
  <si>
    <t>-643.758201308459 129.134503237085 -344.495480158768</t>
  </si>
  <si>
    <t>-659.92004772179 121.374360716885 -464.366729229416</t>
  </si>
  <si>
    <t>-665.572580728164 111.277008313752 -573.274732136753</t>
  </si>
  <si>
    <t>-662.41290962064 97.9387844925318 -681.934543232401</t>
  </si>
  <si>
    <t>-648.94090486212 75.8433252043912 -832.035575305978</t>
  </si>
  <si>
    <t>-609.827673447139 45.4039770421396 -921.066917720921</t>
  </si>
  <si>
    <t>-636.41665146149 111.399487273555 -767.75631690051</t>
  </si>
  <si>
    <t>-537.953585942078 219.626807370538 -753.011316851984</t>
  </si>
  <si>
    <t>-452.559329552576 169.811215564291 -452.324767989896</t>
  </si>
  <si>
    <t>-258.113532918567 75.8792682128355 -307.377649661219</t>
  </si>
  <si>
    <t>-673.387076256933 59.8402480762561 -763.484760042049</t>
  </si>
  <si>
    <t>-562.334556173306 218.270430810265 -244.283096212677</t>
  </si>
  <si>
    <t>-580.153237126734 207.522929912577 210.936268913592</t>
  </si>
  <si>
    <t>-619.3786070928 182.135677195589 678.204860585422</t>
  </si>
  <si>
    <t>-488.394126496745 103.499073914806 765.399251653711</t>
  </si>
  <si>
    <t>-649.300244158381 42.5284970910636 -213.988208576111</t>
  </si>
  <si>
    <t>-500.437069486327 -98.3314019952209 193.020267533771</t>
  </si>
  <si>
    <t>-495.109409655937 -22.0131439328682 656.447784948664</t>
  </si>
  <si>
    <t>-489.537294758416 -172.858368186301 746.770447987397</t>
  </si>
  <si>
    <t>9763-20170724T160500.095686400.bin</t>
  </si>
  <si>
    <t>-606.370639592945 130.452604985197 -229.652130152494</t>
  </si>
  <si>
    <t>-644.397999991663 129.274305800949 -344.631829148972</t>
  </si>
  <si>
    <t>-660.580154877514 121.700515571055 -464.51241601393</t>
  </si>
  <si>
    <t>-666.197753626526 111.808501660779 -573.441069753177</t>
  </si>
  <si>
    <t>-662.94909513654 98.7086386348703 -682.127158925974</t>
  </si>
  <si>
    <t>-649.297029337984 76.9756495906597 -832.26483536088</t>
  </si>
  <si>
    <t>-610.070151564682 46.6955280719569 -921.300492681304</t>
  </si>
  <si>
    <t>-636.82131242291 112.356435243908 -767.879411094756</t>
  </si>
  <si>
    <t>-538.125105806143 220.309206004844 -752.783240394358</t>
  </si>
  <si>
    <t>-453.367221777032 169.005171695303 -452.166897880982</t>
  </si>
  <si>
    <t>-258.879296202325 75.197901548664 -307.19546053403</t>
  </si>
  <si>
    <t>-673.853932107006 60.8272655336059 -763.787731895108</t>
  </si>
  <si>
    <t>-563.04527411291 218.41544336525 -244.456558809994</t>
  </si>
  <si>
    <t>-580.134277475872 207.450764498163 210.785558043388</t>
  </si>
  <si>
    <t>-619.108420835247 182.416448696921 678.123335889896</t>
  </si>
  <si>
    <t>-488.36834844511 103.511174869029 765.44171998538</t>
  </si>
  <si>
    <t>-649.540430350214 42.4646977575558 -214.188165623813</t>
  </si>
  <si>
    <t>-500.052867445204 -98.1402153803738 192.679617015509</t>
  </si>
  <si>
    <t>-494.94002885729 -22.0300372195936 656.177214378129</t>
  </si>
  <si>
    <t>-489.711978163833 -172.805727092812 746.636220796298</t>
  </si>
  <si>
    <t>9763-20170724T160500.129778200.bin</t>
  </si>
  <si>
    <t>-606.689829411767 130.467391089848 -229.715685065721</t>
  </si>
  <si>
    <t>-644.805125134221 129.327970961092 -344.666686105476</t>
  </si>
  <si>
    <t>-660.993087617241 121.840782909732 -464.551872174325</t>
  </si>
  <si>
    <t>-666.580920698852 112.042449736645 -573.490572916977</t>
  </si>
  <si>
    <t>-663.267125423165 99.0496469248001 -682.187660764478</t>
  </si>
  <si>
    <t>-649.488319834888 77.4771412138441 -832.336738082963</t>
  </si>
  <si>
    <t>-610.158614837217 47.2543431989229 -921.346476001456</t>
  </si>
  <si>
    <t>-637.051262122273 112.777871136442 -767.899991436022</t>
  </si>
  <si>
    <t>-538.23732503669 220.626246665378 -752.708129809576</t>
  </si>
  <si>
    <t>-453.593897314212 168.531682163432 -452.195435547278</t>
  </si>
  <si>
    <t>-259.258810470721 74.3211360542089 -307.280655301755</t>
  </si>
  <si>
    <t>-674.118794488143 61.266710426178 -763.900756164428</t>
  </si>
  <si>
    <t>-563.466681616409 218.510930117076 -244.53384580024</t>
  </si>
  <si>
    <t>-580.082556573471 207.3364035187 210.720748036577</t>
  </si>
  <si>
    <t>-619.035275591765 182.452597090454 678.084564287854</t>
  </si>
  <si>
    <t>-488.294465365099 103.601326744758 765.450638992789</t>
  </si>
  <si>
    <t>-649.760383126068 42.4397959198286 -214.244078218871</t>
  </si>
  <si>
    <t>-499.948369045679 -98.0986173945907 192.527355243815</t>
  </si>
  <si>
    <t>-494.894847672304 -22.048154541696 656.020831484263</t>
  </si>
  <si>
    <t>-489.828225510711 -172.774474744842 746.571377104734</t>
  </si>
  <si>
    <t>9763-20170724T160500.193722100.bin</t>
  </si>
  <si>
    <t>-607.321136404781 130.673253698784 -229.892186150813</t>
  </si>
  <si>
    <t>-645.546474142104 129.55211283164 -344.806799374005</t>
  </si>
  <si>
    <t>-661.657924282581 122.227893497907 -464.712321689477</t>
  </si>
  <si>
    <t>-667.097655428621 112.626557763915 -573.675912724329</t>
  </si>
  <si>
    <t>-663.556667566823 99.8751771631544 -682.39453030571</t>
  </si>
  <si>
    <t>-649.380317658624 78.6802979289225 -832.560486264383</t>
  </si>
  <si>
    <t>-609.782062059612 48.6063038292946 -921.501623624206</t>
  </si>
  <si>
    <t>-637.095516973294 113.805921695614 -767.998805637908</t>
  </si>
  <si>
    <t>-537.994240867894 221.318379771961 -752.423057944154</t>
  </si>
  <si>
    <t>-453.107256084929 167.521562777886 -452.279294443418</t>
  </si>
  <si>
    <t>-258.086975169417 73.1062080489282 -308.422118779012</t>
  </si>
  <si>
    <t>-674.210228978595 62.3109242514988 -764.234492553986</t>
  </si>
  <si>
    <t>-564.338227100565 218.804032852529 -244.689420341869</t>
  </si>
  <si>
    <t>-580.11115175989 207.278741389129 210.586373075628</t>
  </si>
  <si>
    <t>-618.860807641676 182.584108335419 677.985652858179</t>
  </si>
  <si>
    <t>-488.143105433985 103.801583908941 765.448239931398</t>
  </si>
  <si>
    <t>-650.124814986122 42.5320296306993 -214.390842846306</t>
  </si>
  <si>
    <t>-499.839892519893 -97.9116146425251 192.238899348532</t>
  </si>
  <si>
    <t>-494.818882438282 -22.075746036837 655.733969995252</t>
  </si>
  <si>
    <t>-490.061159992596 -172.711714479434 746.451480978917</t>
  </si>
  <si>
    <t>9763-20170724T160500.227813900.bin</t>
  </si>
  <si>
    <t>-607.596100783155 130.823687375657 -229.985156279989</t>
  </si>
  <si>
    <t>-645.857537800337 129.731749133078 -344.888041429313</t>
  </si>
  <si>
    <t>-661.933839233333 122.472743822118 -464.80224864154</t>
  </si>
  <si>
    <t>-667.311646094843 112.942708357116 -573.775242213398</t>
  </si>
  <si>
    <t>-663.678450850641 100.273781185224 -682.500316430959</t>
  </si>
  <si>
    <t>-649.342856255319 79.2039428288815 -832.668780259447</t>
  </si>
  <si>
    <t>-609.64657882342 49.1709628428687 -921.580011084406</t>
  </si>
  <si>
    <t>-637.130901483781 114.278655734557 -768.065801753959</t>
  </si>
  <si>
    <t>-537.994709997338 221.774078859293 -752.352671338651</t>
  </si>
  <si>
    <t>-452.363019647746 166.374584611805 -452.712386748781</t>
  </si>
  <si>
    <t>-256.897039425452 71.8381827038302 -309.541292442264</t>
  </si>
  <si>
    <t>-674.240971482572 62.7746695745386 -764.381948822606</t>
  </si>
  <si>
    <t>-564.725195038496 219.095305294545 -244.77427865159</t>
  </si>
  <si>
    <t>-579.990087231283 207.22459031525 210.51003385158</t>
  </si>
  <si>
    <t>-618.764194174187 182.634151166195 677.933343545689</t>
  </si>
  <si>
    <t>-488.129225482859 103.782172149349 765.456933268413</t>
  </si>
  <si>
    <t>-650.278322678224 42.5558272066271 -214.51325044484</t>
  </si>
  <si>
    <t>-499.591264008101 -97.7378907794437 192.019301238971</t>
  </si>
  <si>
    <t>-494.818311341326 -22.1053979387891 655.555067604411</t>
  </si>
  <si>
    <t>-490.171784721434 -172.677829256531 746.383806922358</t>
  </si>
  <si>
    <t>9763-20170724T160500.295727300.bin</t>
  </si>
  <si>
    <t>-608.18356895544 131.392472944643 -230.118472514054</t>
  </si>
  <si>
    <t>-646.523615111145 130.307121571876 -344.995251792163</t>
  </si>
  <si>
    <t>-662.616124027013 123.151718164434 -464.913498905493</t>
  </si>
  <si>
    <t>-667.980963084631 113.750323887271 -573.898272157405</t>
  </si>
  <si>
    <t>-664.306525363051 101.242162578766 -682.640563711164</t>
  </si>
  <si>
    <t>-649.883851787228 80.4267246949914 -832.836119221049</t>
  </si>
  <si>
    <t>-610.101237147583 50.5171070177698 -921.75044608034</t>
  </si>
  <si>
    <t>-637.701333390352 115.386380485227 -768.165280410364</t>
  </si>
  <si>
    <t>-538.456959352053 222.714163184027 -752.25353766797</t>
  </si>
  <si>
    <t>-450.779446938757 164.526918627424 -453.735374727892</t>
  </si>
  <si>
    <t>-254.063788027494 70.3095629231445 -312.07347932125</t>
  </si>
  <si>
    <t>-674.829557022548 63.8874257720156 -764.593322641005</t>
  </si>
  <si>
    <t>-565.44123854445 219.724219289925 -244.884349030542</t>
  </si>
  <si>
    <t>-579.9062307082 207.215325309594 210.408851861937</t>
  </si>
  <si>
    <t>-618.631071603081 182.693198193545 677.872635466845</t>
  </si>
  <si>
    <t>-488.155951427467 103.651036703204 765.463142660785</t>
  </si>
  <si>
    <t>-650.861363289789 43.0948646494171 -214.615694244045</t>
  </si>
  <si>
    <t>-499.400709504755 -96.9117350347967 191.728441023506</t>
  </si>
  <si>
    <t>-494.864984579798 -22.083965853571 655.352071652559</t>
  </si>
  <si>
    <t>-490.179290162669 -172.591262975304 746.28673860275</t>
  </si>
  <si>
    <t>9763-20170724T160500.330821200.bin</t>
  </si>
  <si>
    <t>-608.429753237739 131.699344606512 -230.135383360241</t>
  </si>
  <si>
    <t>-646.779179403004 130.607198406716 -345.008919924772</t>
  </si>
  <si>
    <t>-662.882988771457 123.458901060206 -464.92621255995</t>
  </si>
  <si>
    <t>-668.258686605518 114.068948204716 -573.911374414278</t>
  </si>
  <si>
    <t>-664.595402675813 101.577147152628 -682.655997058874</t>
  </si>
  <si>
    <t>-650.188665927627 80.7889094449222 -832.856913502639</t>
  </si>
  <si>
    <t>-610.408016518277 50.9291920355233 -921.788762142836</t>
  </si>
  <si>
    <t>-637.993449995606 115.732719708896 -768.179778130787</t>
  </si>
  <si>
    <t>-538.646196976395 223.005810900272 -752.320145007479</t>
  </si>
  <si>
    <t>-449.728836606778 163.616689602207 -454.406099963035</t>
  </si>
  <si>
    <t>-252.953449535985 69.5518150306366 -312.725822137704</t>
  </si>
  <si>
    <t>-675.132981490259 64.2413668303677 -764.615552589572</t>
  </si>
  <si>
    <t>-565.683739141645 219.987153430755 -244.888281137841</t>
  </si>
  <si>
    <t>-580.081244573692 207.390328918525 210.404708179228</t>
  </si>
  <si>
    <t>-618.640773793371 182.660913818969 677.882452753158</t>
  </si>
  <si>
    <t>-488.100153505329 103.708987294974 765.456706530592</t>
  </si>
  <si>
    <t>-651.14024532873 43.4049906823307 -214.662820372635</t>
  </si>
  <si>
    <t>-499.53028594537 -96.456492914175 191.675609712366</t>
  </si>
  <si>
    <t>-494.895388613366 -22.0135089005794 655.360837257075</t>
  </si>
  <si>
    <t>-490.16604330654 -172.534753134973 746.270268819271</t>
  </si>
  <si>
    <t>9763-20170724T160500.397539600.bin</t>
  </si>
  <si>
    <t>-608.698907418803 132.297952601119 -230.060868581571</t>
  </si>
  <si>
    <t>-647.02214912904 131.202405095157 -344.943117747226</t>
  </si>
  <si>
    <t>-663.210739152613 124.044556429925 -464.848417723969</t>
  </si>
  <si>
    <t>-668.709028848103 114.645490770401 -573.82662982797</t>
  </si>
  <si>
    <t>-665.213650476991 102.145206612148 -682.575808105665</t>
  </si>
  <si>
    <t>-651.086265537835 81.3465791776732 -832.801775661277</t>
  </si>
  <si>
    <t>-611.423902277406 51.5233091773464 -921.798680119753</t>
  </si>
  <si>
    <t>-638.732559063796 116.267800269866 -768.142578093132</t>
  </si>
  <si>
    <t>-539.256958748523 223.418171602729 -752.443758111248</t>
  </si>
  <si>
    <t>-448.350132965485 162.618545664781 -455.415910342644</t>
  </si>
  <si>
    <t>-251.615468949319 68.9270258715189 -313.432006373679</t>
  </si>
  <si>
    <t>-675.941840862472 64.8308400272704 -764.520306727584</t>
  </si>
  <si>
    <t>-565.70926584447 220.527679447998 -244.85867646661</t>
  </si>
  <si>
    <t>-580.288618119076 207.939065197027 210.4287982986</t>
  </si>
  <si>
    <t>-618.608813587581 182.638413472942 677.874798760217</t>
  </si>
  <si>
    <t>-488.192088336718 103.496325736149 765.462025425021</t>
  </si>
  <si>
    <t>-651.630576633445 44.0379455795064 -214.556001919654</t>
  </si>
  <si>
    <t>-499.928233984364 -96.1736743401127 191.627201622306</t>
  </si>
  <si>
    <t>-494.949184689658 -21.872979999006 655.358721316949</t>
  </si>
  <si>
    <t>-490.237345313335 -172.428104716783 746.212685802315</t>
  </si>
  <si>
    <t>9763-20170724T160500.431639100.bin</t>
  </si>
  <si>
    <t>-608.605674927685 132.556288861616 -230.019605551823</t>
  </si>
  <si>
    <t>-646.897126610822 131.453351621371 -344.912437451661</t>
  </si>
  <si>
    <t>-663.128875993831 124.273680519608 -464.810564990915</t>
  </si>
  <si>
    <t>-668.697713738229 114.850122374112 -573.78314825127</t>
  </si>
  <si>
    <t>-665.304551385711 102.320937771648 -682.532325664882</t>
  </si>
  <si>
    <t>-651.351385792058 81.4783672144251 -832.768360359577</t>
  </si>
  <si>
    <t>-611.780630471386 51.6607412728949 -921.807897346945</t>
  </si>
  <si>
    <t>-638.888476285116 116.394142152127 -768.127140859025</t>
  </si>
  <si>
    <t>-539.284766414581 223.441847442878 -752.500911747821</t>
  </si>
  <si>
    <t>-447.844208812184 162.558916384849 -455.654013888918</t>
  </si>
  <si>
    <t>-251.279390113807 69.0468894162741 -313.316919543975</t>
  </si>
  <si>
    <t>-676.161942555123 65.0070207851111 -764.459858188645</t>
  </si>
  <si>
    <t>-565.475246699166 220.707146748003 -244.845454643779</t>
  </si>
  <si>
    <t>-580.348181616394 208.171889530607 210.433870701493</t>
  </si>
  <si>
    <t>-618.626399886487 182.531945371403 677.839135872822</t>
  </si>
  <si>
    <t>-488.236467119745 103.3907009205 765.466977478213</t>
  </si>
  <si>
    <t>-651.669605892372 44.3862038476714 -214.468388404481</t>
  </si>
  <si>
    <t>-500.168758631594 -96.1993581327276 191.660730470059</t>
  </si>
  <si>
    <t>-494.961670733464 -21.7938425868647 655.360249675133</t>
  </si>
  <si>
    <t>-490.335966893319 -172.376642882991 746.172910177937</t>
  </si>
  <si>
    <t>9763-20170724T160500.493935700.bin</t>
  </si>
  <si>
    <t>-608.055458905291 132.869490520485 -230.022652080891</t>
  </si>
  <si>
    <t>-646.224615487353 131.749595557103 -344.955997646934</t>
  </si>
  <si>
    <t>-662.489394850512 124.57625552156 -464.849948881973</t>
  </si>
  <si>
    <t>-668.15334779402 115.169631010565 -573.819133244257</t>
  </si>
  <si>
    <t>-664.919749298864 102.669860781913 -682.576404373797</t>
  </si>
  <si>
    <t>-651.254221948606 81.8814502457797 -832.846596027706</t>
  </si>
  <si>
    <t>-611.836931929742 52.0521748586591 -921.950373791292</t>
  </si>
  <si>
    <t>-638.619101948362 116.739497595693 -768.207541107684</t>
  </si>
  <si>
    <t>-538.686725257837 223.47845585997 -752.611528182933</t>
  </si>
  <si>
    <t>-446.887406901141 162.294597645572 -455.937208205994</t>
  </si>
  <si>
    <t>-250.93488211662 69.1003204393737 -312.551479169376</t>
  </si>
  <si>
    <t>-675.982352749571 65.4200175914998 -764.505783505221</t>
  </si>
  <si>
    <t>-564.600768968657 220.911089241927 -244.873292336376</t>
  </si>
  <si>
    <t>-580.198861643096 208.475785696873 210.384641058561</t>
  </si>
  <si>
    <t>-618.570945680076 182.473075740079 677.750939776146</t>
  </si>
  <si>
    <t>-488.390139818566 103.08757993841 765.468760276204</t>
  </si>
  <si>
    <t>-651.366135808172 44.8197420531089 -214.49886179353</t>
  </si>
  <si>
    <t>-500.653339197855 -96.3860658259828 191.708245449688</t>
  </si>
  <si>
    <t>-494.894800986795 -21.6951601012004 655.303149396652</t>
  </si>
  <si>
    <t>-490.649397867139 -172.277914304163 746.134458122366</t>
  </si>
  <si>
    <t>9763-20170724T160500.526020700.bin</t>
  </si>
  <si>
    <t>-607.859855415903 132.98636997582 -230.068017135405</t>
  </si>
  <si>
    <t>-645.992625246028 131.861694352465 -345.013391561439</t>
  </si>
  <si>
    <t>-662.259525651279 124.692838054441 -464.907255958776</t>
  </si>
  <si>
    <t>-667.941711884825 115.293348323123 -573.876099561583</t>
  </si>
  <si>
    <t>-664.743291329946 102.802637638316 -682.635539360281</t>
  </si>
  <si>
    <t>-651.14389677569 82.028630752654 -832.913546287979</t>
  </si>
  <si>
    <t>-611.795892555429 52.2008165318582 -922.048416341871</t>
  </si>
  <si>
    <t>-638.471330972454 116.873822139866 -768.27511943124</t>
  </si>
  <si>
    <t>-538.44889448903 223.512252906509 -752.577289328533</t>
  </si>
  <si>
    <t>-446.72505278918 161.592273575139 -456.032400132856</t>
  </si>
  <si>
    <t>-250.955742198201 68.7009574281576 -312.200482044306</t>
  </si>
  <si>
    <t>-675.851092222532 65.5671393992131 -764.565277728032</t>
  </si>
  <si>
    <t>-564.327003442093 221.014449393125 -244.902853537482</t>
  </si>
  <si>
    <t>-580.161520905755 208.508685172195 210.344901334918</t>
  </si>
  <si>
    <t>-618.59407346705 182.362394934885 677.704752694581</t>
  </si>
  <si>
    <t>-488.306835032602 103.181729302719 765.449636672797</t>
  </si>
  <si>
    <t>-651.292116654083 44.9955550872355 -214.576849624772</t>
  </si>
  <si>
    <t>-500.86230108364 -96.3234099058634 191.695751443417</t>
  </si>
  <si>
    <t>-494.945013357056 -21.6846542657756 655.274774177346</t>
  </si>
  <si>
    <t>-490.751689578502 -172.242916726585 746.14911365219</t>
  </si>
  <si>
    <t>9763-20170724T160500.591817000.bin</t>
  </si>
  <si>
    <t>-607.974013127997 133.198603795104 -230.199148940267</t>
  </si>
  <si>
    <t>-646.008702274483 132.01669384313 -345.176304444466</t>
  </si>
  <si>
    <t>-662.206717949121 124.892315985764 -465.082336524176</t>
  </si>
  <si>
    <t>-667.841442319735 115.563522246513 -574.059696015921</t>
  </si>
  <si>
    <t>-664.611816230956 103.167686153104 -682.829017912826</t>
  </si>
  <si>
    <t>-650.987922199003 82.5441625045573 -833.125605374082</t>
  </si>
  <si>
    <t>-611.680313612716 52.7517068210936 -922.289983649398</t>
  </si>
  <si>
    <t>-638.287322595295 117.296973533288 -768.442895111516</t>
  </si>
  <si>
    <t>-538.055911167392 223.723437448411 -752.51199380191</t>
  </si>
  <si>
    <t>-446.900965814441 159.995717590593 -456.174825920904</t>
  </si>
  <si>
    <t>-251.367740724637 67.0203233171897 -312.076147634608</t>
  </si>
  <si>
    <t>-675.744929965525 66.041765207372 -764.805142933624</t>
  </si>
  <si>
    <t>-564.297192514224 221.099571322853 -244.91147137144</t>
  </si>
  <si>
    <t>-580.635394466593 208.618296987674 210.31913599938</t>
  </si>
  <si>
    <t>-619.079774212812 181.640718632994 677.71686829623</t>
  </si>
  <si>
    <t>-488.333431358784 103.133400841311 765.383905684758</t>
  </si>
  <si>
    <t>-651.612876442649 45.3171469558779 -214.828239966091</t>
  </si>
  <si>
    <t>-501.429234221223 -95.9497797194445 191.553652816079</t>
  </si>
  <si>
    <t>-495.382952129756 -21.8263314782305 655.128148025598</t>
  </si>
  <si>
    <t>-490.601607496286 -172.180550187968 746.310727817107</t>
  </si>
  <si>
    <t>9763-20170724T160500.626879500.bin</t>
  </si>
  <si>
    <t>-608.287155263811 133.190978657688 -230.250883037726</t>
  </si>
  <si>
    <t>-646.287900149282 131.966582557014 -345.239000490486</t>
  </si>
  <si>
    <t>-662.466103021816 124.83604230383 -465.147162796</t>
  </si>
  <si>
    <t>-668.089873723988 115.511735128302 -574.125503287625</t>
  </si>
  <si>
    <t>-664.857211201633 103.127306112257 -682.896065025082</t>
  </si>
  <si>
    <t>-651.238251886586 82.523978189736 -833.19578324398</t>
  </si>
  <si>
    <t>-611.929337327671 52.7239023399989 -922.357210961491</t>
  </si>
  <si>
    <t>-638.528809044832 117.263320131156 -768.507677204942</t>
  </si>
  <si>
    <t>-538.389585007411 223.778964238168 -752.587827659376</t>
  </si>
  <si>
    <t>-447.487980403346 159.570402362421 -456.276620031763</t>
  </si>
  <si>
    <t>-252.039582121888 66.740774143477 -311.969117651076</t>
  </si>
  <si>
    <t>-675.99964169898 66.017291240531 -764.878117493082</t>
  </si>
  <si>
    <t>-564.510773766666 221.009136045201 -244.86392442918</t>
  </si>
  <si>
    <t>-581.215465881337 208.706773098494 210.358321485254</t>
  </si>
  <si>
    <t>-619.430620134552 181.313915706627 677.820792160307</t>
  </si>
  <si>
    <t>-488.367615365406 103.140332869523 765.312998684332</t>
  </si>
  <si>
    <t>-652.036081868347 45.3644049994866 -214.948149799371</t>
  </si>
  <si>
    <t>-501.80306277223 -95.6016309378683 191.519851348506</t>
  </si>
  <si>
    <t>-495.700975789136 -21.9559994966694 655.144274032943</t>
  </si>
  <si>
    <t>-490.462273389383 -172.179751425803 746.516571592387</t>
  </si>
  <si>
    <t>9763-20170724T160500.694072800.bin</t>
  </si>
  <si>
    <t>-608.636667944033 133.156946006766 -230.189028013281</t>
  </si>
  <si>
    <t>-646.466077755617 131.843720565607 -345.23258535768</t>
  </si>
  <si>
    <t>-662.555694905422 124.602881781456 -465.14615986496</t>
  </si>
  <si>
    <t>-668.13807218367 115.165100594517 -574.116945355352</t>
  </si>
  <si>
    <t>-664.905799741149 102.649656737727 -682.872443528737</t>
  </si>
  <si>
    <t>-651.332613273138 81.843528098128 -833.148383974586</t>
  </si>
  <si>
    <t>-611.956547028274 51.9867611236846 -922.261168632497</t>
  </si>
  <si>
    <t>-638.617469223269 116.680165564211 -768.513679710413</t>
  </si>
  <si>
    <t>-538.941426864545 223.684540795216 -752.89490717007</t>
  </si>
  <si>
    <t>-449.589729443179 160.254496807936 -455.94509453902</t>
  </si>
  <si>
    <t>-254.551899694505 68.3300838678279 -310.507226682615</t>
  </si>
  <si>
    <t>-676.059260545873 65.4189362520931 -764.798137257149</t>
  </si>
  <si>
    <t>-565.012961221677 221.097992541785 -244.696552576156</t>
  </si>
  <si>
    <t>-582.073679831246 209.02780944216 210.518781474379</t>
  </si>
  <si>
    <t>-619.766454393782 181.217375460059 677.993100766636</t>
  </si>
  <si>
    <t>-488.541480716978 102.993790843776 765.197364151714</t>
  </si>
  <si>
    <t>-652.025003156739 45.2275334155081 -215.000177101215</t>
  </si>
  <si>
    <t>-501.613479736756 -95.0312230269699 191.646530228361</t>
  </si>
  <si>
    <t>-495.69699210557 -21.9145563661268 655.5576837872</t>
  </si>
  <si>
    <t>-490.498922100366 -172.104085554622 746.988449014671</t>
  </si>
  <si>
    <t>9763-20170724T160500.727154300.bin</t>
  </si>
  <si>
    <t>-608.55013853205 133.073932905261 -230.154103771737</t>
  </si>
  <si>
    <t>-646.364329372525 131.785446766817 -345.202828823911</t>
  </si>
  <si>
    <t>-662.454663822347 124.5147309704 -465.114671453897</t>
  </si>
  <si>
    <t>-668.04581883368 115.02675533893 -574.080503798961</t>
  </si>
  <si>
    <t>-664.831596348806 102.4373478962 -682.827945314469</t>
  </si>
  <si>
    <t>-651.294722320775 81.5026442521671 -833.089459259115</t>
  </si>
  <si>
    <t>-611.868429192691 51.6189567000522 -922.170963771009</t>
  </si>
  <si>
    <t>-638.577660078701 116.404397178462 -768.490255814396</t>
  </si>
  <si>
    <t>-539.330302378958 223.818334840233 -753.042443160874</t>
  </si>
  <si>
    <t>-451.426725945755 162.051718069711 -455.310941321387</t>
  </si>
  <si>
    <t>-257.024888671753 70.8723818753817 -308.55840198669</t>
  </si>
  <si>
    <t>-675.991126908338 65.1267509456281 -764.716655359579</t>
  </si>
  <si>
    <t>-565.164230283279 221.064167179746 -244.635337405812</t>
  </si>
  <si>
    <t>-582.203919469286 208.949158712993 210.57950084253</t>
  </si>
  <si>
    <t>-619.814910731526 181.188113530512 677.995737389111</t>
  </si>
  <si>
    <t>-488.448472515173 103.174727343353 765.17533800569</t>
  </si>
  <si>
    <t>-651.692539881771 45.1342433411114 -214.940789873666</t>
  </si>
  <si>
    <t>-501.315071054361 -94.7459199075142 191.848881025144</t>
  </si>
  <si>
    <t>-495.568780099535 -21.8222570187115 655.785278701424</t>
  </si>
  <si>
    <t>-490.57012412974 -172.060256497405 747.14756472066</t>
  </si>
  <si>
    <t>9763-20170724T160500.795881900.bin</t>
  </si>
  <si>
    <t>-607.858996161302 132.731151102705 -230.042695352777</t>
  </si>
  <si>
    <t>-645.708618488133 131.551477909486 -345.081109313787</t>
  </si>
  <si>
    <t>-661.731518062154 124.252055668133 -464.999983468822</t>
  </si>
  <si>
    <t>-667.218291118597 114.692181565052 -573.965019992308</t>
  </si>
  <si>
    <t>-663.855402309696 101.991889088719 -682.69515598162</t>
  </si>
  <si>
    <t>-650.066036907634 80.8682740810293 -832.907121147624</t>
  </si>
  <si>
    <t>-610.461908899481 51.0082318411073 -921.917709668164</t>
  </si>
  <si>
    <t>-637.534307078404 115.906015962326 -768.345325664199</t>
  </si>
  <si>
    <t>-539.295345398014 224.204801621485 -752.784667144972</t>
  </si>
  <si>
    <t>-454.335864218426 168.057253136335 -453.092369028946</t>
  </si>
  <si>
    <t>-262.487138162989 79.4726876876161 -301.471555866133</t>
  </si>
  <si>
    <t>-674.800547085061 64.5235686597912 -764.540589254314</t>
  </si>
  <si>
    <t>-564.728306609646 220.76663530275 -244.578305873393</t>
  </si>
  <si>
    <t>-581.770181217578 208.571334018927 210.634231432666</t>
  </si>
  <si>
    <t>-619.77965715446 181.175829143736 678.010207893079</t>
  </si>
  <si>
    <t>-488.495712962601 103.076281040606 765.236916412343</t>
  </si>
  <si>
    <t>-650.799554454441 44.7429531739133 -214.779779909042</t>
  </si>
  <si>
    <t>-500.564713108117 -94.7509583777642 192.195192831264</t>
  </si>
  <si>
    <t>-495.152449692544 -21.5590379069477 656.15752247694</t>
  </si>
  <si>
    <t>-490.768936572002 -171.959578468093 747.283795781996</t>
  </si>
  <si>
    <t>9763-20170724T160500.832985400.bin</t>
  </si>
  <si>
    <t>-607.44256120106 132.64024384423 -229.892159890877</t>
  </si>
  <si>
    <t>-645.338488674856 131.458062571477 -344.915088136564</t>
  </si>
  <si>
    <t>-661.303780960752 124.140704516658 -464.840791170092</t>
  </si>
  <si>
    <t>-666.692149119305 114.567512027283 -573.809307616904</t>
  </si>
  <si>
    <t>-663.182690177208 101.862197500419 -682.534301494439</t>
  </si>
  <si>
    <t>-649.137868038843 80.7454078809233 -832.723592473451</t>
  </si>
  <si>
    <t>-609.374274924485 50.9458949837237 -921.683316885511</t>
  </si>
  <si>
    <t>-636.781246853767 115.82653427071 -768.151605762858</t>
  </si>
  <si>
    <t>-539.074654409307 224.566710888676 -752.442001031479</t>
  </si>
  <si>
    <t>-455.656672959953 172.00512967413 -451.667988666314</t>
  </si>
  <si>
    <t>-266.307999428703 84.2920976526316 -296.440650082702</t>
  </si>
  <si>
    <t>-673.923282855668 64.3513372967527 -764.387432189723</t>
  </si>
  <si>
    <t>-564.344664832015 220.585879061668 -244.506292501015</t>
  </si>
  <si>
    <t>-581.458994553872 208.511973547965 210.706790477022</t>
  </si>
  <si>
    <t>-619.71649969331 181.246500556614 678.029085464853</t>
  </si>
  <si>
    <t>-488.491474788242 103.08241109752 765.286648038237</t>
  </si>
  <si>
    <t>-650.445419159419 44.7521595123389 -214.534760047428</t>
  </si>
  <si>
    <t>-500.216101787492 -95.005377460529 192.351784450705</t>
  </si>
  <si>
    <t>-494.93783364853 -21.4238791729374 656.277266669537</t>
  </si>
  <si>
    <t>-490.769755851532 -171.911923020165 747.268992017879</t>
  </si>
  <si>
    <t>9763-20170724T160500.895652600.bin</t>
  </si>
  <si>
    <t>-606.766790323469 132.459540360509 -229.711534344186</t>
  </si>
  <si>
    <t>-644.764928768232 131.34049858688 -344.701459535881</t>
  </si>
  <si>
    <t>-660.565933713299 124.072247973916 -464.651818265344</t>
  </si>
  <si>
    <t>-665.687966013152 114.557336693073 -573.63839478962</t>
  </si>
  <si>
    <t>-661.790200811985 101.935955998342 -682.359823618372</t>
  </si>
  <si>
    <t>-647.075033554387 80.9742383660573 -832.506680506108</t>
  </si>
  <si>
    <t>-606.906457709057 51.3658199650329 -921.348255977651</t>
  </si>
  <si>
    <t>-635.144678144117 116.085724834238 -767.871056799911</t>
  </si>
  <si>
    <t>-538.1782559341 225.512331202197 -751.984591219263</t>
  </si>
  <si>
    <t>-458.994024286724 180.125857238691 -448.906951370281</t>
  </si>
  <si>
    <t>-273.965262185581 96.4019674572144 -286.436297838729</t>
  </si>
  <si>
    <t>-672.027414723352 64.4125506754954 -764.271778955471</t>
  </si>
  <si>
    <t>-563.6260181165 220.2491504663 -244.444254481958</t>
  </si>
  <si>
    <t>-580.906613395995 208.344648943579 210.766898357437</t>
  </si>
  <si>
    <t>-619.697536231864 181.170099699738 678.063742676555</t>
  </si>
  <si>
    <t>-488.644736659372 102.793100777364 765.38910215072</t>
  </si>
  <si>
    <t>-649.841662581432 44.7069954501758 -214.275936839657</t>
  </si>
  <si>
    <t>-499.671925053784 -95.6933587338851 192.411266192742</t>
  </si>
  <si>
    <t>-494.542169767082 -21.314584487769 656.194421062805</t>
  </si>
  <si>
    <t>-490.861803932667 -171.843201340513 747.139846554208</t>
  </si>
  <si>
    <t>9763-20170724T160500.929750300.bin</t>
  </si>
  <si>
    <t>-606.525302228633 132.265419808919 -229.672286948492</t>
  </si>
  <si>
    <t>-644.594211108141 131.175554509902 -344.639008714502</t>
  </si>
  <si>
    <t>-660.37368937284 123.933815946303 -464.593821386121</t>
  </si>
  <si>
    <t>-665.434073170156 114.451622851254 -573.586160951631</t>
  </si>
  <si>
    <t>-661.429877734754 101.877819830041 -682.309293482409</t>
  </si>
  <si>
    <t>-646.518212304832 81.0030597418627 -832.448767053526</t>
  </si>
  <si>
    <t>-606.188012061017 51.5057598370597 -921.254106606781</t>
  </si>
  <si>
    <t>-634.751242799554 116.132125312231 -767.792712919793</t>
  </si>
  <si>
    <t>-538.28568740918 225.974627116247 -751.833898359563</t>
  </si>
  <si>
    <t>-462.003114211079 184.025757205736 -447.519052361286</t>
  </si>
  <si>
    <t>-277.478747907479 104.568247906065 -282.354693478461</t>
  </si>
  <si>
    <t>-671.481038389355 64.3469199120395 -764.24076258702</t>
  </si>
  <si>
    <t>-563.378878826488 219.992456107565 -244.406059520951</t>
  </si>
  <si>
    <t>-580.748285289361 208.145514792082 210.803309266647</t>
  </si>
  <si>
    <t>-619.720321627319 181.131724550413 678.100518760453</t>
  </si>
  <si>
    <t>-488.60875098358 102.83364677508 765.408503878859</t>
  </si>
  <si>
    <t>-649.648477672172 44.5834943332056 -214.183149148933</t>
  </si>
  <si>
    <t>-499.498143805768 -95.9642750822818 192.460313431038</t>
  </si>
  <si>
    <t>-494.480335628557 -21.2677183052383 656.158471039429</t>
  </si>
  <si>
    <t>-490.793695539887 -171.810128249873 747.081024863952</t>
  </si>
  <si>
    <t>9763-20170724T160500.994874900.bin</t>
  </si>
  <si>
    <t>-606.25619559901 131.873568374615 -229.618059080328</t>
  </si>
  <si>
    <t>-644.308208492086 130.709772042371 -344.589736562887</t>
  </si>
  <si>
    <t>-659.993665361658 123.539038722764 -464.561052998689</t>
  </si>
  <si>
    <t>-664.930397748755 114.194111251942 -573.570838700387</t>
  </si>
  <si>
    <t>-660.759531242034 101.838095598197 -682.312809214633</t>
  </si>
  <si>
    <t>-645.566786756913 81.3569068495444 -832.478432293039</t>
  </si>
  <si>
    <t>-605.060136934204 52.2147428145513 -921.320477509443</t>
  </si>
  <si>
    <t>-634.072306312172 116.421099219596 -767.738086503989</t>
  </si>
  <si>
    <t>-538.689314919852 227.089214151879 -751.117949166974</t>
  </si>
  <si>
    <t>-468.332456562912 191.039065109371 -444.627288193876</t>
  </si>
  <si>
    <t>-283.999291165644 119.848499929813 -275.526018007256</t>
  </si>
  <si>
    <t>-670.505862874963 64.417341060765 -764.331293931394</t>
  </si>
  <si>
    <t>-563.082210377835 219.469497920794 -244.380933593261</t>
  </si>
  <si>
    <t>-580.621077389013 207.850906273626 210.82786568806</t>
  </si>
  <si>
    <t>-619.793070321423 180.998151092455 678.119013170816</t>
  </si>
  <si>
    <t>-488.627044840429 102.777116617357 765.414232481046</t>
  </si>
  <si>
    <t>-649.303925373389 44.2461806482877 -214.210535052737</t>
  </si>
  <si>
    <t>-499.520693947031 -96.302352055473 192.567954788889</t>
  </si>
  <si>
    <t>-494.438366602433 -21.1232109140688 656.214597918169</t>
  </si>
  <si>
    <t>-490.580066879127 -171.728066681584 747.026513997244</t>
  </si>
  <si>
    <t>9763-20170724T160501.027962400.bin</t>
  </si>
  <si>
    <t>-606.123266187099 131.833323423516 -229.606448850554</t>
  </si>
  <si>
    <t>-644.180319145228 130.623694799075 -344.576098266429</t>
  </si>
  <si>
    <t>-659.821384790721 123.508364714012 -464.556427414758</t>
  </si>
  <si>
    <t>-664.694407317847 114.259262265883 -573.577376379666</t>
  </si>
  <si>
    <t>-660.433965178721 102.047432722724 -682.331983666374</t>
  </si>
  <si>
    <t>-645.087883298202 81.8190610709773 -832.516345244903</t>
  </si>
  <si>
    <t>-604.530474655239 52.8894489801005 -921.404695295351</t>
  </si>
  <si>
    <t>-633.737518297502 116.827541442999 -767.720486826356</t>
  </si>
  <si>
    <t>-538.859632651568 227.902894012758 -750.863551738734</t>
  </si>
  <si>
    <t>-470.851575395162 195.005865400851 -443.489432107678</t>
  </si>
  <si>
    <t>-286.44507131985 127.204586873665 -273.080232765266</t>
  </si>
  <si>
    <t>-670.018618634468 64.7113814640131 -764.408157707293</t>
  </si>
  <si>
    <t>-562.95995814551 219.543984402187 -244.403273862753</t>
  </si>
  <si>
    <t>-580.519812410197 207.97495959671 210.80602617854</t>
  </si>
  <si>
    <t>-619.581825053041 181.281734170382 678.088886388904</t>
  </si>
  <si>
    <t>-488.753029102679 102.548555407156 765.429733518853</t>
  </si>
  <si>
    <t>-649.162482730125 44.1625850454302 -214.150207906437</t>
  </si>
  <si>
    <t>-499.417362606313 -96.4997041158442 192.603006115929</t>
  </si>
  <si>
    <t>-494.434352085832 -21.0585631255785 656.223837568562</t>
  </si>
  <si>
    <t>-490.430951192124 -171.6921947214 746.981788020336</t>
  </si>
  <si>
    <t>9763-20170724T160501.090659500.bin</t>
  </si>
  <si>
    <t>-606.004215662487 131.61936453298 -229.609417540671</t>
  </si>
  <si>
    <t>-644.076226202837 130.342296986907 -344.573354715083</t>
  </si>
  <si>
    <t>-659.549354249387 123.332868643835 -464.58168629996</t>
  </si>
  <si>
    <t>-664.189278111523 114.257980661601 -573.627495747652</t>
  </si>
  <si>
    <t>-659.611621126593 102.3027851236 -682.397619592181</t>
  </si>
  <si>
    <t>-643.734829686104 82.5207136716638 -832.586251331901</t>
  </si>
  <si>
    <t>-603.148571611875 53.9649858023924 -921.582359537664</t>
  </si>
  <si>
    <t>-632.754473808426 117.432391894113 -767.674545629644</t>
  </si>
  <si>
    <t>-538.478685539948 228.947068650532 -750.424991793561</t>
  </si>
  <si>
    <t>-475.443112186686 201.618951592678 -441.449518375839</t>
  </si>
  <si>
    <t>-291.966230737898 140.354861558845 -267.596067631906</t>
  </si>
  <si>
    <t>-668.765144692157 65.1149577581034 -764.590343960619</t>
  </si>
  <si>
    <t>-562.95354575015 219.376603973958 -244.434844338317</t>
  </si>
  <si>
    <t>-580.55595249138 207.974467240821 210.77700009463</t>
  </si>
  <si>
    <t>-619.534726333229 181.251688415461 678.042812915183</t>
  </si>
  <si>
    <t>-488.756576494262 102.511875600199 765.453498649425</t>
  </si>
  <si>
    <t>-648.905029061051 43.8476592198303 -214.10490382946</t>
  </si>
  <si>
    <t>-499.102571250771 -96.7932205677803 192.634665536516</t>
  </si>
  <si>
    <t>-494.423941489064 -20.9449962433025 656.182061586852</t>
  </si>
  <si>
    <t>-490.14980096444 -171.624095744739 746.852114125952</t>
  </si>
  <si>
    <t>9763-20170724T160501.122744500.bin</t>
  </si>
  <si>
    <t>-605.941907559956 131.477906011671 -229.655303352981</t>
  </si>
  <si>
    <t>-644.050931656119 130.171466825673 -344.606600394654</t>
  </si>
  <si>
    <t>-659.454205194067 123.19558168009 -464.62588914567</t>
  </si>
  <si>
    <t>-663.983681360044 114.182161799905 -573.681334822165</t>
  </si>
  <si>
    <t>-659.246758815436 102.32262775834 -682.455204948876</t>
  </si>
  <si>
    <t>-643.096596417394 82.7121032520538 -832.637172533293</t>
  </si>
  <si>
    <t>-602.598501066171 54.3439332640999 -921.733379011916</t>
  </si>
  <si>
    <t>-632.313012081992 117.602553476946 -767.681174213373</t>
  </si>
  <si>
    <t>-538.36225757433 229.380421751455 -750.232297753769</t>
  </si>
  <si>
    <t>-476.868025829295 203.811778464805 -440.795925467858</t>
  </si>
  <si>
    <t>-294.020210112844 145.234311823584 -265.360948417029</t>
  </si>
  <si>
    <t>-668.172122894687 65.1756931771274 -764.691477326347</t>
  </si>
  <si>
    <t>-562.993716819833 219.242813208185 -244.503605410343</t>
  </si>
  <si>
    <t>-580.430730920817 207.756190442774 210.712464059574</t>
  </si>
  <si>
    <t>-619.516912904505 181.181300634196 677.996487228543</t>
  </si>
  <si>
    <t>-488.665323225871 102.625757104772 765.463038351603</t>
  </si>
  <si>
    <t>-648.732683023559 43.6765399860255 -214.105526817594</t>
  </si>
  <si>
    <t>-498.838947014026 -97.0107972410506 192.584397629037</t>
  </si>
  <si>
    <t>-494.398971123567 -20.9050203975498 656.114166609074</t>
  </si>
  <si>
    <t>-490.081709629964 -171.591816003791 746.769319074085</t>
  </si>
  <si>
    <t>9763-20170724T160501.191459800.bin</t>
  </si>
  <si>
    <t>-605.788064318025 131.250159126027 -229.720608314447</t>
  </si>
  <si>
    <t>-644.042093007849 129.958725195857 -344.623830536181</t>
  </si>
  <si>
    <t>-659.375644595249 123.051416746658 -464.656026696855</t>
  </si>
  <si>
    <t>-663.748736478895 114.12819795454 -573.725370074455</t>
  </si>
  <si>
    <t>-658.75986762509 102.391414869815 -682.501265958636</t>
  </si>
  <si>
    <t>-642.159494215825 82.9890634856959 -832.661161410073</t>
  </si>
  <si>
    <t>-601.876292383976 54.9719205092931 -921.965647565813</t>
  </si>
  <si>
    <t>-631.680179042098 117.862917292186 -767.646353183142</t>
  </si>
  <si>
    <t>-538.260085086802 230.013533588044 -749.746104478178</t>
  </si>
  <si>
    <t>-478.207414853083 206.186077168122 -439.887916906186</t>
  </si>
  <si>
    <t>-295.370699623874 147.24627175912 -264.562955299255</t>
  </si>
  <si>
    <t>-667.329041745869 65.285170724389 -764.793863426212</t>
  </si>
  <si>
    <t>-563.004271896421 219.077002168372 -244.571397841454</t>
  </si>
  <si>
    <t>-580.174867780839 207.389190509702 210.649620639016</t>
  </si>
  <si>
    <t>-619.508698405742 181.090969371657 677.974984778092</t>
  </si>
  <si>
    <t>-488.652622057483 102.594335870908 765.487720516959</t>
  </si>
  <si>
    <t>-648.474799935537 43.398695338484 -214.139949826457</t>
  </si>
  <si>
    <t>-498.517668432975 -97.4329653820555 192.476507810115</t>
  </si>
  <si>
    <t>-494.392638803827 -20.858762029972 655.917494218113</t>
  </si>
  <si>
    <t>-489.960296569688 -171.534697708787 746.585152635052</t>
  </si>
  <si>
    <t>9763-20170724T160501.229535400.bin</t>
  </si>
  <si>
    <t>-605.679383407385 130.981922805295 -229.783957661477</t>
  </si>
  <si>
    <t>-643.960633759532 129.683948528167 -344.678127251227</t>
  </si>
  <si>
    <t>-659.290268502168 122.812712604562 -464.712929241163</t>
  </si>
  <si>
    <t>-663.646243929775 113.937834518151 -573.786860980089</t>
  </si>
  <si>
    <t>-658.626599620517 102.263885605031 -682.56817632237</t>
  </si>
  <si>
    <t>-641.968958225395 82.9633008661801 -832.734756468362</t>
  </si>
  <si>
    <t>-601.798866870464 55.0605426197135 -922.126053081721</t>
  </si>
  <si>
    <t>-631.540530849675 117.810503483119 -767.697603952396</t>
  </si>
  <si>
    <t>-538.262728271023 230.083087428429 -749.704580132353</t>
  </si>
  <si>
    <t>-479.311621899896 206.2941260857 -439.631922620251</t>
  </si>
  <si>
    <t>-295.474241377719 144.711861540804 -266.272392444968</t>
  </si>
  <si>
    <t>-667.138249599182 65.1960605451752 -764.883881611914</t>
  </si>
  <si>
    <t>-563.086530966782 218.876494399495 -244.583544197568</t>
  </si>
  <si>
    <t>-580.229356819249 207.198984169249 210.638818252898</t>
  </si>
  <si>
    <t>-619.582634694075 180.965674695339 677.974960863487</t>
  </si>
  <si>
    <t>-488.554233765402 102.741603652418 765.473921673051</t>
  </si>
  <si>
    <t>-648.117705918155 43.0443088253744 -214.263574846259</t>
  </si>
  <si>
    <t>-498.321881680371 -97.7002950234039 192.442470642139</t>
  </si>
  <si>
    <t>-494.402941768912 -20.8398565544126 655.845229457885</t>
  </si>
  <si>
    <t>-489.925408029887 -171.504944342551 746.528691491832</t>
  </si>
  <si>
    <t>9763-20170724T160501.291316400.bin</t>
  </si>
  <si>
    <t>-605.591842005231 130.693267951705 -229.853828383842</t>
  </si>
  <si>
    <t>-643.835582508263 129.382706903611 -344.760425328207</t>
  </si>
  <si>
    <t>-659.200370494613 122.542747187685 -464.792441055884</t>
  </si>
  <si>
    <t>-663.618671596942 113.710506864348 -573.867312942817</t>
  </si>
  <si>
    <t>-658.692173951602 102.090770504587 -682.658670711388</t>
  </si>
  <si>
    <t>-642.196019330611 82.8748732520478 -832.853931343559</t>
  </si>
  <si>
    <t>-602.177663167234 55.0169809328022 -922.327158946547</t>
  </si>
  <si>
    <t>-631.721208278252 117.700879638508 -767.812872713959</t>
  </si>
  <si>
    <t>-538.504806177662 229.98408746008 -749.720462196447</t>
  </si>
  <si>
    <t>-481.132666624107 206.201659473027 -439.351361193628</t>
  </si>
  <si>
    <t>-295.250325631865 138.932188423605 -270.340565557055</t>
  </si>
  <si>
    <t>-667.269005599915 65.0536261608002 -764.981522238084</t>
  </si>
  <si>
    <t>-563.215205154714 218.717830244146 -244.595090189347</t>
  </si>
  <si>
    <t>-580.388726822974 207.137847300121 210.628590887709</t>
  </si>
  <si>
    <t>-619.593748253025 180.937568351109 677.993194153161</t>
  </si>
  <si>
    <t>-488.710425019963 102.455865074056 765.478546752012</t>
  </si>
  <si>
    <t>-647.89459863233 42.6635284858376 -214.428791271058</t>
  </si>
  <si>
    <t>-498.149043641327 -97.9018035783133 192.357839698899</t>
  </si>
  <si>
    <t>-494.501494863685 -20.8390202871592 655.667030439402</t>
  </si>
  <si>
    <t>-489.849985251954 -171.44347765997 746.442323757573</t>
  </si>
  <si>
    <t>9763-20170724T160501.332426700.bin</t>
  </si>
  <si>
    <t>-605.631263494587 130.643089021637 -229.868881098375</t>
  </si>
  <si>
    <t>-643.854299033417 129.30771774154 -344.781888182696</t>
  </si>
  <si>
    <t>-659.220523581928 122.456735693477 -464.81321809041</t>
  </si>
  <si>
    <t>-663.649990456919 113.618278132552 -573.887059316449</t>
  </si>
  <si>
    <t>-658.744623551901 101.99514852292 -682.67906206177</t>
  </si>
  <si>
    <t>-642.288289748784 82.7764872431223 -832.878361932012</t>
  </si>
  <si>
    <t>-602.293416319368 54.8906756673455 -922.353386310716</t>
  </si>
  <si>
    <t>-631.804510066113 117.609378679675 -767.842305470728</t>
  </si>
  <si>
    <t>-538.547567683844 229.86499474714 -749.784115593103</t>
  </si>
  <si>
    <t>-482.285132503531 206.150943796429 -439.206610018412</t>
  </si>
  <si>
    <t>-295.212287836616 135.584039349647 -272.875202331319</t>
  </si>
  <si>
    <t>-667.334855983568 64.950977393331 -764.99736399545</t>
  </si>
  <si>
    <t>-563.29000742727 218.691215085628 -244.594392482139</t>
  </si>
  <si>
    <t>-580.54207381907 207.135824909559 210.626973166219</t>
  </si>
  <si>
    <t>-619.618811965293 180.897644688882 677.989332596882</t>
  </si>
  <si>
    <t>-488.589431665331 102.636675452977 765.453812369073</t>
  </si>
  <si>
    <t>-647.873947099142 42.6032320390304 -214.498050721599</t>
  </si>
  <si>
    <t>-498.217697474015 -97.9379673865012 192.329720914473</t>
  </si>
  <si>
    <t>-494.559678901334 -20.8491733134072 655.622042555799</t>
  </si>
  <si>
    <t>-489.842378512343 -171.424166796984 746.442953440185</t>
  </si>
  <si>
    <t>9763-20170724T160501.391590200.bin</t>
  </si>
  <si>
    <t>-605.843419894127 130.852012711622 -229.946963318686</t>
  </si>
  <si>
    <t>-644.084568033637 129.455703383148 -344.853451349925</t>
  </si>
  <si>
    <t>-659.576674644484 122.568718354497 -464.866430330176</t>
  </si>
  <si>
    <t>-664.161682152285 113.715282825066 -573.932638218339</t>
  </si>
  <si>
    <t>-659.451843182205 102.097747317473 -682.733828848006</t>
  </si>
  <si>
    <t>-643.305923286778 82.91147456268 -832.971089957725</t>
  </si>
  <si>
    <t>-603.269055607917 54.8967842155241 -922.386888178599</t>
  </si>
  <si>
    <t>-632.755400914867 117.775017646044 -767.962305795223</t>
  </si>
  <si>
    <t>-539.669793511463 230.18185166978 -750.065909909135</t>
  </si>
  <si>
    <t>-482.122207139587 206.741736356754 -439.703232104087</t>
  </si>
  <si>
    <t>-292.512701185107 130.160684467274 -278.999831998606</t>
  </si>
  <si>
    <t>-668.144565539087 65.0266117156307 -765.029197550092</t>
  </si>
  <si>
    <t>-563.381526136657 218.968801393793 -244.647454455137</t>
  </si>
  <si>
    <t>-580.629148570095 207.257599381098 210.5700454797</t>
  </si>
  <si>
    <t>-619.613436220288 180.933434041789 677.971516966547</t>
  </si>
  <si>
    <t>-488.820251393806 102.258617195847 765.418253167422</t>
  </si>
  <si>
    <t>-648.240287571725 42.7629247383388 -214.627946125113</t>
  </si>
  <si>
    <t>-498.666381050562 -97.8682418889107 192.199095475933</t>
  </si>
  <si>
    <t>-494.893239155143 -21.054935827314 655.396191494248</t>
  </si>
  <si>
    <t>-489.886449324236 -171.391922689021 746.595046689929</t>
  </si>
  <si>
    <t>9763-20170724T160501.429691200.bin</t>
  </si>
  <si>
    <t>-606.096061871157 130.884343911667 -230.038807755156</t>
  </si>
  <si>
    <t>-644.31068709349 129.400819265667 -344.952951578575</t>
  </si>
  <si>
    <t>-659.821746521905 122.432769068389 -464.958890799075</t>
  </si>
  <si>
    <t>-664.442580352323 113.51140802351 -574.018156636795</t>
  </si>
  <si>
    <t>-659.786195490269 101.833524828357 -682.815150959134</t>
  </si>
  <si>
    <t>-643.732422200839 82.5721989728963 -833.052491634953</t>
  </si>
  <si>
    <t>-603.610536536001 54.4677219004363 -922.402113427841</t>
  </si>
  <si>
    <t>-633.177005182257 117.491302226642 -768.074436146857</t>
  </si>
  <si>
    <t>-540.145142206666 229.974567599627 -750.29691042275</t>
  </si>
  <si>
    <t>-481.435559489061 206.281220122623 -440.171107874753</t>
  </si>
  <si>
    <t>-290.805770150308 127.01100526515 -281.998505509128</t>
  </si>
  <si>
    <t>-668.494429916958 64.6981796691596 -765.07994192407</t>
  </si>
  <si>
    <t>-563.557965653364 218.948066807335 -244.713603014824</t>
  </si>
  <si>
    <t>-580.820180369741 207.16725751224 210.501585374992</t>
  </si>
  <si>
    <t>-619.785987776678 180.664242817506 677.925845120784</t>
  </si>
  <si>
    <t>-488.660056574604 102.51824879588 765.348410195681</t>
  </si>
  <si>
    <t>-648.584574826499 42.773688937192 -214.777579963871</t>
  </si>
  <si>
    <t>-499.082315083187 -97.8959462237369 192.062373294771</t>
  </si>
  <si>
    <t>-495.268527390299 -21.3630173636811 655.094145504598</t>
  </si>
  <si>
    <t>-489.984405217355 -171.361287918508 746.833489286278</t>
  </si>
  <si>
    <t>9763-20170724T160501.496472000.bin</t>
  </si>
  <si>
    <t>-607.092288818719 130.883877460116 -230.429725977544</t>
  </si>
  <si>
    <t>-645.294293018619 129.227000272213 -345.345515954356</t>
  </si>
  <si>
    <t>-660.830207856598 122.079524383581 -465.337775988308</t>
  </si>
  <si>
    <t>-665.488755650151 112.996561044715 -574.38200444545</t>
  </si>
  <si>
    <t>-660.885632937939 101.158446688599 -683.163940292047</t>
  </si>
  <si>
    <t>-644.921095822199 81.6776629862507 -833.382664348386</t>
  </si>
  <si>
    <t>-604.645568478355 53.4086181169373 -922.611211778122</t>
  </si>
  <si>
    <t>-634.365729962767 116.717053741946 -768.469245041219</t>
  </si>
  <si>
    <t>-541.236518558389 229.167560089737 -750.910948387228</t>
  </si>
  <si>
    <t>-480.624152224904 204.325258006823 -441.2413226808</t>
  </si>
  <si>
    <t>-288.207795538341 121.414516355647 -287.151226491147</t>
  </si>
  <si>
    <t>-669.60399074755 63.8776801787576 -765.361904168049</t>
  </si>
  <si>
    <t>-564.134383963565 219.143518300639 -245.057323358605</t>
  </si>
  <si>
    <t>-581.317421694207 207.187556393665 210.156258633193</t>
  </si>
  <si>
    <t>-619.760264881273 180.70942441785 677.7173189763</t>
  </si>
  <si>
    <t>-488.700852012548 102.488627760591 765.172719354682</t>
  </si>
  <si>
    <t>-650.020230861903 42.5668554350982 -215.285803735895</t>
  </si>
  <si>
    <t>-500.457851778768 -98.1347306789764 191.521061695929</t>
  </si>
  <si>
    <t>-496.493826266471 -22.4631773035676 654.461902330164</t>
  </si>
  <si>
    <t>-490.123235187995 -171.472778360364 747.730659277283</t>
  </si>
  <si>
    <t>9763-20170724T160501.530562000.bin</t>
  </si>
  <si>
    <t>-607.596098766568 130.865075863845 -230.585159866458</t>
  </si>
  <si>
    <t>-645.850815782967 129.185376030477 -345.483155949654</t>
  </si>
  <si>
    <t>-661.403995242748 121.959404646576 -465.468375763837</t>
  </si>
  <si>
    <t>-666.062259388829 112.788548041372 -574.505336855113</t>
  </si>
  <si>
    <t>-661.442273534484 100.84924615766 -683.275495057037</t>
  </si>
  <si>
    <t>-645.436803741343 81.2170954882397 -833.47008377353</t>
  </si>
  <si>
    <t>-605.049912377249 52.8690685473173 -922.623131556783</t>
  </si>
  <si>
    <t>-634.925836551554 116.339335484038 -768.594278671843</t>
  </si>
  <si>
    <t>-541.740155126503 228.729079409746 -751.093163933317</t>
  </si>
  <si>
    <t>-479.936816558235 203.460112877591 -441.693724275151</t>
  </si>
  <si>
    <t>-287.131181841476 119.295182152466 -288.774335948593</t>
  </si>
  <si>
    <t>-670.111625559885 63.4680807132927 -765.433011480467</t>
  </si>
  <si>
    <t>-564.439373209846 219.216119557492 -245.216926453409</t>
  </si>
  <si>
    <t>-581.487950013289 207.127022362444 209.998200704803</t>
  </si>
  <si>
    <t>-619.720070789277 180.767348398504 677.600810874551</t>
  </si>
  <si>
    <t>-488.62839349343 102.637419847416 765.089075094839</t>
  </si>
  <si>
    <t>-650.629692345834 42.4922435921969 -215.349312643017</t>
  </si>
  <si>
    <t>-500.786192712863 -98.4970178151066 191.254497609059</t>
  </si>
  <si>
    <t>-496.835580842771 -22.9100547396324 654.401150888223</t>
  </si>
  <si>
    <t>-490.315530589712 -171.537934027592 748.266723028542</t>
  </si>
  <si>
    <t>9763-20170724T160501.599341100.bin</t>
  </si>
  <si>
    <t>-608.183490066154 131.261096110771 -230.530500740947</t>
  </si>
  <si>
    <t>-646.553303410691 129.512033099439 -345.389120855671</t>
  </si>
  <si>
    <t>-662.154112023323 122.106429501167 -465.357172685088</t>
  </si>
  <si>
    <t>-666.826321359622 112.734987501467 -574.376409467804</t>
  </si>
  <si>
    <t>-662.190849527611 100.561268110826 -683.120004436857</t>
  </si>
  <si>
    <t>-646.133421966622 80.5721655858895 -833.261876769664</t>
  </si>
  <si>
    <t>-605.519504485242 52.0712312948135 -922.262977081293</t>
  </si>
  <si>
    <t>-635.669284259295 115.86448030712 -768.470937330167</t>
  </si>
  <si>
    <t>-542.398781233884 228.228454014496 -751.28958401164</t>
  </si>
  <si>
    <t>-478.106251897049 202.235269706865 -442.457820042399</t>
  </si>
  <si>
    <t>-284.927475139726 115.740653660077 -291.319983979872</t>
  </si>
  <si>
    <t>-670.807344743059 62.9690143105213 -765.186610784822</t>
  </si>
  <si>
    <t>-564.904075798572 219.680542335341 -245.332863343911</t>
  </si>
  <si>
    <t>-581.435305205724 207.284369852104 209.893003411432</t>
  </si>
  <si>
    <t>-619.57856819638 180.948581102593 677.475980937895</t>
  </si>
  <si>
    <t>-488.766392597759 102.475112677594 765.075085024561</t>
  </si>
  <si>
    <t>-651.204813763153 42.934097583483 -214.913713042361</t>
  </si>
  <si>
    <t>-500.756341542446 -98.8111236107261 191.203514134165</t>
  </si>
  <si>
    <t>-496.919103748122 -23.1721410831951 654.661045775742</t>
  </si>
  <si>
    <t>-490.502864010917 -171.471432522957 749.052123444828</t>
  </si>
  <si>
    <t>9763-20170724T160501.626404800.bin</t>
  </si>
  <si>
    <t>-608.308502275842 131.532393125568 -230.376546851426</t>
  </si>
  <si>
    <t>-646.722427737729 129.737106802484 -345.219851416467</t>
  </si>
  <si>
    <t>-662.329032076344 122.2430641847 -465.181631940193</t>
  </si>
  <si>
    <t>-666.990550741076 112.775858571154 -574.193039784761</t>
  </si>
  <si>
    <t>-662.328642029043 100.491611062123 -682.923130897462</t>
  </si>
  <si>
    <t>-646.218772702143 80.3342577078531 -833.03682589593</t>
  </si>
  <si>
    <t>-605.495811440553 51.7496560854934 -921.961253659342</t>
  </si>
  <si>
    <t>-635.777890226836 115.699480434611 -768.281919698861</t>
  </si>
  <si>
    <t>-542.329818703465 227.957174587586 -751.23882018254</t>
  </si>
  <si>
    <t>-476.896886371893 201.461909000831 -442.689395525278</t>
  </si>
  <si>
    <t>-283.396205196836 114.260103189275 -292.37185471658</t>
  </si>
  <si>
    <t>-670.915924806295 62.8070014525938 -764.950382869783</t>
  </si>
  <si>
    <t>-565.080795403007 219.918760051244 -245.280332388028</t>
  </si>
  <si>
    <t>-581.331755515246 207.378362930959 209.951907654987</t>
  </si>
  <si>
    <t>-619.482659596321 181.138040648131 677.503711971908</t>
  </si>
  <si>
    <t>-488.810981212131 102.445965285246 765.116385766455</t>
  </si>
  <si>
    <t>-651.279281015893 43.1995961401742 -214.6443342155</t>
  </si>
  <si>
    <t>-500.620703380149 -98.7200361895941 191.334188031222</t>
  </si>
  <si>
    <t>-496.826656421503 -23.1301071451576 654.878487008742</t>
  </si>
  <si>
    <t>-490.531302708225 -171.417021707131 749.297082824564</t>
  </si>
  <si>
    <t>9763-20170724T160501.696094000.bin</t>
  </si>
  <si>
    <t>-608.608016115549 131.954723230785 -230.048151421578</t>
  </si>
  <si>
    <t>-647.098042527864 130.138120984107 -344.865611857081</t>
  </si>
  <si>
    <t>-662.751177290034 122.529079219427 -464.814039884995</t>
  </si>
  <si>
    <t>-667.442559351909 112.922121378406 -573.812073343659</t>
  </si>
  <si>
    <t>-662.798660981827 100.464008308874 -682.522995492873</t>
  </si>
  <si>
    <t>-646.702021963065 80.0312839118537 -832.60103756689</t>
  </si>
  <si>
    <t>-605.858245084233 51.2885396212464 -921.419039983097</t>
  </si>
  <si>
    <t>-636.263985466657 115.520882860386 -767.913702055307</t>
  </si>
  <si>
    <t>-542.744703663601 227.737573803533 -751.086762120108</t>
  </si>
  <si>
    <t>-474.834218076599 199.236652162911 -443.252196989505</t>
  </si>
  <si>
    <t>-280.758900145562 110.995699073384 -294.288022023224</t>
  </si>
  <si>
    <t>-671.384595630216 62.6233719746676 -764.478675072381</t>
  </si>
  <si>
    <t>-565.551313070294 220.276534895351 -245.100349973633</t>
  </si>
  <si>
    <t>-581.268761943367 207.356984444456 210.140036829879</t>
  </si>
  <si>
    <t>-619.604879324313 180.972545207461 677.587110699443</t>
  </si>
  <si>
    <t>-488.941721360788 102.276957918061 765.20935540291</t>
  </si>
  <si>
    <t>-651.530271136764 43.700582759546 -214.180206891928</t>
  </si>
  <si>
    <t>-500.583512082214 -98.3492784715695 191.645601543317</t>
  </si>
  <si>
    <t>-496.665340041611 -22.9407855034547 655.240102085519</t>
  </si>
  <si>
    <t>-490.523860745666 -171.300378170624 749.554492215876</t>
  </si>
  <si>
    <t>9763-20170724T160501.726174100.bin</t>
  </si>
  <si>
    <t>-608.879060139113 132.090767640569 -229.908885243088</t>
  </si>
  <si>
    <t>-647.375215845475 130.239953215441 -344.723524684308</t>
  </si>
  <si>
    <t>-663.012486652387 122.588703296497 -464.671476643977</t>
  </si>
  <si>
    <t>-667.680723595322 112.939785840903 -573.666728719367</t>
  </si>
  <si>
    <t>-663.005111432038 100.435783162937 -682.371040977958</t>
  </si>
  <si>
    <t>-646.856355689496 79.9345128819082 -832.434202500683</t>
  </si>
  <si>
    <t>-605.955572670159 51.1496182078035 -921.212237180641</t>
  </si>
  <si>
    <t>-636.440936362307 115.453803949267 -767.759386198644</t>
  </si>
  <si>
    <t>-542.785065700572 227.585936174512 -751.001376940013</t>
  </si>
  <si>
    <t>-473.777567979383 197.926600283313 -443.520560285088</t>
  </si>
  <si>
    <t>-279.117646705894 109.379435030134 -295.503656816555</t>
  </si>
  <si>
    <t>-671.562375327505 62.5576273813881 -764.312389075401</t>
  </si>
  <si>
    <t>-565.869465429892 220.384930636023 -245.017226432661</t>
  </si>
  <si>
    <t>-581.403897813437 207.426716471221 210.228277857879</t>
  </si>
  <si>
    <t>-619.548107660188 181.094520633892 677.637810421749</t>
  </si>
  <si>
    <t>-488.839892291129 102.457290526409 765.245250325749</t>
  </si>
  <si>
    <t>-651.790415875299 43.8186393379085 -214.05511654384</t>
  </si>
  <si>
    <t>-500.734490153404 -98.1610656030621 191.754657087979</t>
  </si>
  <si>
    <t>-496.690241649314 -22.9201049091489 655.3000764834</t>
  </si>
  <si>
    <t>-490.549702089935 -171.2668331038 749.634860743317</t>
  </si>
  <si>
    <t>9763-20170724T160501.802382100.bin</t>
  </si>
  <si>
    <t>-609.433901590001 132.129043430341 -229.691154633788</t>
  </si>
  <si>
    <t>-647.962952905372 130.2202245412 -344.493820654723</t>
  </si>
  <si>
    <t>-663.683239546502 122.515875783867 -464.427556720558</t>
  </si>
  <si>
    <t>-668.447094802666 112.819462156357 -573.414398371656</t>
  </si>
  <si>
    <t>-663.887960168866 100.266825649454 -682.118096241645</t>
  </si>
  <si>
    <t>-647.922200423353 79.6959929990312 -832.191248071277</t>
  </si>
  <si>
    <t>-607.038955531337 50.8551232540326 -920.959239494137</t>
  </si>
  <si>
    <t>-637.418353323176 115.238954542733 -767.543802648187</t>
  </si>
  <si>
    <t>-543.61208868916 227.258086475131 -750.941382933428</t>
  </si>
  <si>
    <t>-472.49820372957 195.069313895429 -444.195732000643</t>
  </si>
  <si>
    <t>-276.978704746394 105.859876330956 -297.717517643241</t>
  </si>
  <si>
    <t>-672.554677467254 62.3570333255777 -764.03322138297</t>
  </si>
  <si>
    <t>-566.528937813083 220.478339401415 -244.897129864823</t>
  </si>
  <si>
    <t>-581.724222118422 207.574635011715 210.361400905969</t>
  </si>
  <si>
    <t>-619.548933897815 181.166612851577 677.737184271483</t>
  </si>
  <si>
    <t>-489.069896047737 102.136908888203 765.33305310696</t>
  </si>
  <si>
    <t>-652.215421837338 43.7878899683228 -213.790143376751</t>
  </si>
  <si>
    <t>-500.863167025787 -98.1076800372898 191.938617142057</t>
  </si>
  <si>
    <t>-496.56661705209 -22.7363949507885 655.563476317653</t>
  </si>
  <si>
    <t>-490.518338959943 -171.184111725368 749.745240268646</t>
  </si>
  <si>
    <t>9763-20170724T160501.829456000.bin</t>
  </si>
  <si>
    <t>-609.547811267306 132.099872070199 -229.53398012371</t>
  </si>
  <si>
    <t>-648.119958701978 130.177215765792 -344.322095617054</t>
  </si>
  <si>
    <t>-663.879228577469 122.458967364103 -464.249609488191</t>
  </si>
  <si>
    <t>-668.676198324004 112.75023393901 -573.234015834207</t>
  </si>
  <si>
    <t>-664.147486702643 100.186088816127 -681.937591509619</t>
  </si>
  <si>
    <t>-648.22091019142 79.6004363963814 -832.012922193747</t>
  </si>
  <si>
    <t>-607.33187533116 50.7688885028276 -920.781099137089</t>
  </si>
  <si>
    <t>-637.702249104559 115.151039567782 -767.372167833848</t>
  </si>
  <si>
    <t>-543.844362685845 227.126273411667 -750.801758639701</t>
  </si>
  <si>
    <t>-471.518845343963 193.821111558359 -444.458750256623</t>
  </si>
  <si>
    <t>-275.6019199167 104.473390035408 -298.597187877247</t>
  </si>
  <si>
    <t>-672.833660955029 62.2667879177995 -763.846306499313</t>
  </si>
  <si>
    <t>-566.779500794386 220.412007703004 -244.813080031269</t>
  </si>
  <si>
    <t>-581.744836363388 207.505054899721 210.452828797107</t>
  </si>
  <si>
    <t>-619.54855322197 181.177832494723 677.800935273413</t>
  </si>
  <si>
    <t>-489.041324844443 102.187261523611 765.390108219518</t>
  </si>
  <si>
    <t>-652.140317889011 43.8039978750649 -213.515870784187</t>
  </si>
  <si>
    <t>-500.661307551711 -98.185878898392 192.132566876906</t>
  </si>
  <si>
    <t>-496.256034268056 -22.4284369299271 655.855476539669</t>
  </si>
  <si>
    <t>-490.401774884512 -171.118913250574 749.665907989807</t>
  </si>
  <si>
    <t>9763-20170724T160501.893640500.bin</t>
  </si>
  <si>
    <t>-609.288525812897 132.060012555195 -229.116693436616</t>
  </si>
  <si>
    <t>-648.003449182112 130.144763355693 -343.856809769005</t>
  </si>
  <si>
    <t>-663.844923253539 122.410025347842 -463.772495992993</t>
  </si>
  <si>
    <t>-668.68980833839 112.676294174718 -572.752418547285</t>
  </si>
  <si>
    <t>-664.181887814616 100.077615848682 -681.453080705791</t>
  </si>
  <si>
    <t>-648.256397722116 79.4339158408573 -831.520358575488</t>
  </si>
  <si>
    <t>-607.335586245194 50.5914254414747 -920.270562843394</t>
  </si>
  <si>
    <t>-637.725738287533 115.002210906175 -766.891207307746</t>
  </si>
  <si>
    <t>-543.738321969351 226.900632836311 -750.429502307029</t>
  </si>
  <si>
    <t>-469.474138795474 191.525727750384 -444.783158139777</t>
  </si>
  <si>
    <t>-272.910019820949 101.874872603858 -299.982192142474</t>
  </si>
  <si>
    <t>-672.880034010945 62.1341274844631 -763.349179686588</t>
  </si>
  <si>
    <t>-566.981930385017 220.165891275217 -244.576284692639</t>
  </si>
  <si>
    <t>-581.339606273112 207.120414625765 210.70525031056</t>
  </si>
  <si>
    <t>-619.620572538523 181.03819476477 677.96120602092</t>
  </si>
  <si>
    <t>-488.973019197546 102.279165220689 765.549683629286</t>
  </si>
  <si>
    <t>-651.340920046064 43.978428800192 -212.838128345914</t>
  </si>
  <si>
    <t>-499.6182633779 -98.1226710947117 192.680252671596</t>
  </si>
  <si>
    <t>-495.255647966325 -21.4611091564868 656.446886814286</t>
  </si>
  <si>
    <t>-490.095465568457 -170.902891284053 749.097076738747</t>
  </si>
  <si>
    <t>9763-20170724T160501.926726300.bin</t>
  </si>
  <si>
    <t>-609.051321682042 132.042011737164 -228.971449505058</t>
  </si>
  <si>
    <t>-647.845386243059 130.156091361565 -343.685324559869</t>
  </si>
  <si>
    <t>-663.752949964421 122.432271618814 -463.592981109826</t>
  </si>
  <si>
    <t>-668.651374370938 112.700568539304 -572.570715834278</t>
  </si>
  <si>
    <t>-664.190687424962 100.095764319745 -681.27251033574</t>
  </si>
  <si>
    <t>-648.324019275368 79.4352475692567 -831.343797888589</t>
  </si>
  <si>
    <t>-607.400788816654 50.6060136306078 -920.097098286664</t>
  </si>
  <si>
    <t>-637.755086445779 115.00230086848 -766.720352195607</t>
  </si>
  <si>
    <t>-543.738690587806 226.864333826351 -750.259993288337</t>
  </si>
  <si>
    <t>-468.656752798478 190.575632303371 -444.920725720582</t>
  </si>
  <si>
    <t>-271.987080337983 100.705846214776 -300.39912010198</t>
  </si>
  <si>
    <t>-672.933915524629 62.1515343672802 -763.163472685678</t>
  </si>
  <si>
    <t>-566.999395600433 220.042401828571 -244.485055873937</t>
  </si>
  <si>
    <t>-580.996140436994 206.89111497047 210.804716447594</t>
  </si>
  <si>
    <t>-619.584981437887 181.054269714165 678.034749549028</t>
  </si>
  <si>
    <t>-488.93671733624 102.303424453063 765.629565944384</t>
  </si>
  <si>
    <t>-650.91627094612 44.0696917280704 -212.636245930603</t>
  </si>
  <si>
    <t>-499.019914984253 -98.0668698505458 192.80472223605</t>
  </si>
  <si>
    <t>-494.847687575007 -21.1042412266297 656.472440926309</t>
  </si>
  <si>
    <t>-490.068111801612 -170.828373031413 748.686063978084</t>
  </si>
  <si>
    <t>9763-20170724T160501.992506000.bin</t>
  </si>
  <si>
    <t>-608.708712473863 131.872699824075 -228.894921752422</t>
  </si>
  <si>
    <t>-647.583166977191 130.019408284384 -343.582042640575</t>
  </si>
  <si>
    <t>-663.59581037836 122.331318926009 -463.478102660131</t>
  </si>
  <si>
    <t>-668.598852090176 112.630619987598 -572.453916125383</t>
  </si>
  <si>
    <t>-664.252163911742 100.053947339336 -681.163532466528</t>
  </si>
  <si>
    <t>-648.553442561517 79.4281241038946 -831.257289247931</t>
  </si>
  <si>
    <t>-607.703781366692 50.6277996864101 -920.053809546413</t>
  </si>
  <si>
    <t>-637.873881462298 114.955166397831 -766.629890279087</t>
  </si>
  <si>
    <t>-543.577948101901 226.601335032231 -750.171463576323</t>
  </si>
  <si>
    <t>-467.356491021943 188.595768099658 -445.323835228019</t>
  </si>
  <si>
    <t>-270.189064661261 98.9170014315152 -301.362860118507</t>
  </si>
  <si>
    <t>-673.12538063145 62.1536736937264 -763.060922436186</t>
  </si>
  <si>
    <t>-566.939860338949 219.758040277521 -244.43620907352</t>
  </si>
  <si>
    <t>-580.456031299193 206.459823226641 210.863816478277</t>
  </si>
  <si>
    <t>-619.484410382295 181.128545388191 678.113032208329</t>
  </si>
  <si>
    <t>-488.96820292575 102.172333927206 765.719823646796</t>
  </si>
  <si>
    <t>-650.405064100262 43.9459180181366 -212.675828860253</t>
  </si>
  <si>
    <t>-498.091642970625 -97.9872786678548 192.67980687592</t>
  </si>
  <si>
    <t>-494.371453546738 -20.7849245983266 656.122262299548</t>
  </si>
  <si>
    <t>-490.151643470904 -170.753238955465 747.965852121306</t>
  </si>
  <si>
    <t>9763-20170724T160502.024590300.bin</t>
  </si>
  <si>
    <t>-608.677604490256 131.603807777282 -228.938255867397</t>
  </si>
  <si>
    <t>-647.617976706912 129.755844998864 -343.603104713433</t>
  </si>
  <si>
    <t>-663.724314976096 122.091552283179 -463.488163411805</t>
  </si>
  <si>
    <t>-668.823320993274 112.416713208454 -572.461743667327</t>
  </si>
  <si>
    <t>-664.583571446486 99.868494333097 -681.178947687818</t>
  </si>
  <si>
    <t>-649.044585845353 79.2832630726609 -831.294749338532</t>
  </si>
  <si>
    <t>-608.280254520472 50.4913277507874 -920.13333328152</t>
  </si>
  <si>
    <t>-638.27418273008 114.778305387325 -766.664978359603</t>
  </si>
  <si>
    <t>-543.879824428627 226.333889199486 -750.219508884144</t>
  </si>
  <si>
    <t>-466.953056424091 187.508472779577 -445.652518751109</t>
  </si>
  <si>
    <t>-269.71164566763 97.7853356908927 -301.820358427528</t>
  </si>
  <si>
    <t>-673.566069277578 62.0048199327557 -763.081354348228</t>
  </si>
  <si>
    <t>-567.055157936682 219.477162625499 -244.466742859416</t>
  </si>
  <si>
    <t>-580.357875818191 206.149579192365 210.838820217389</t>
  </si>
  <si>
    <t>-619.528708542682 181.015733214585 678.127727124721</t>
  </si>
  <si>
    <t>-488.945041776243 102.166437428742 765.73029681617</t>
  </si>
  <si>
    <t>-650.24295748917 43.6670338604074 -212.776217632579</t>
  </si>
  <si>
    <t>-497.664248549938 -98.1373163408684 192.524850363198</t>
  </si>
  <si>
    <t>-494.270570958131 -20.7375573850838 655.884642494161</t>
  </si>
  <si>
    <t>-490.192124753446 -170.728200551969 747.697963753837</t>
  </si>
  <si>
    <t>9763-20170724T160502.095548500.bin</t>
  </si>
  <si>
    <t>-608.788734489779 131.167358721744 -229.073451035733</t>
  </si>
  <si>
    <t>-647.855327513013 129.323519902449 -343.695441933228</t>
  </si>
  <si>
    <t>-664.154394889008 121.702593381959 -463.557230776513</t>
  </si>
  <si>
    <t>-669.453656978502 112.079297057857 -572.525804947714</t>
  </si>
  <si>
    <t>-665.439358632365 99.5923864549538 -681.25849824208</t>
  </si>
  <si>
    <t>-650.238613409937 79.1004958540809 -831.421818188236</t>
  </si>
  <si>
    <t>-609.687005714245 50.3283967865414 -920.364027235926</t>
  </si>
  <si>
    <t>-639.284430887923 114.53026916137 -766.787223245282</t>
  </si>
  <si>
    <t>-544.617773645237 225.863037582541 -750.410951712217</t>
  </si>
  <si>
    <t>-466.486990535053 185.438516916767 -446.358934244756</t>
  </si>
  <si>
    <t>-269.136777939679 95.6415153992534 -302.722429670362</t>
  </si>
  <si>
    <t>-674.644561753238 61.8047136905855 -763.171350670563</t>
  </si>
  <si>
    <t>-567.289085509098 219.066835150934 -244.57354317692</t>
  </si>
  <si>
    <t>-580.26339159059 205.711420008294 210.740528434124</t>
  </si>
  <si>
    <t>-619.526079378179 180.925652144681 678.109956985548</t>
  </si>
  <si>
    <t>-488.870225957758 102.183396282346 765.701153294819</t>
  </si>
  <si>
    <t>-650.241434914408 43.2697519021035 -212.928462341651</t>
  </si>
  <si>
    <t>-497.085330764331 -98.5340831563915 192.154911615114</t>
  </si>
  <si>
    <t>-494.194382095854 -20.7090157610673 655.433657554041</t>
  </si>
  <si>
    <t>-490.199083885072 -170.683314289139 747.277434142133</t>
  </si>
  <si>
    <t>9763-20170724T160502.130639200.bin</t>
  </si>
  <si>
    <t>-608.884455163771 131.097207233263 -229.132844326871</t>
  </si>
  <si>
    <t>-648.017586168968 129.237273038357 -343.732018498081</t>
  </si>
  <si>
    <t>-664.426029027254 121.631281068779 -463.579720315421</t>
  </si>
  <si>
    <t>-669.841141328384 112.032065474758 -572.544712075665</t>
  </si>
  <si>
    <t>-665.958772712719 99.5788243367806 -681.286202023532</t>
  </si>
  <si>
    <t>-650.957812705273 79.1419077832193 -831.47711629209</t>
  </si>
  <si>
    <t>-610.51738865945 50.3860053740282 -920.475215746878</t>
  </si>
  <si>
    <t>-639.899444490907 114.536152534928 -766.840529459843</t>
  </si>
  <si>
    <t>-545.136493993383 225.79813658154 -750.521242714034</t>
  </si>
  <si>
    <t>-466.184984483774 184.682581598309 -446.774146389338</t>
  </si>
  <si>
    <t>-268.727862852839 94.7970121826215 -303.340081169143</t>
  </si>
  <si>
    <t>-675.29107932851 61.8330912206986 -763.204067480166</t>
  </si>
  <si>
    <t>-567.388728864273 219.004774860827 -244.638189623112</t>
  </si>
  <si>
    <t>-580.225475069973 205.626616833878 210.679266831326</t>
  </si>
  <si>
    <t>-619.514904646309 180.903676926162 678.08806454974</t>
  </si>
  <si>
    <t>-488.890035646554 102.110096360814 765.679311311208</t>
  </si>
  <si>
    <t>-650.318743697748 43.2004604176395 -212.952109999116</t>
  </si>
  <si>
    <t>-496.977665945067 -98.6383254369744 192.049046160878</t>
  </si>
  <si>
    <t>-494.164378583443 -20.673682404223 655.289313905726</t>
  </si>
  <si>
    <t>-490.217782441683 -170.653337253114 747.126393252273</t>
  </si>
  <si>
    <t>9763-20170724T160502.194379400.bin</t>
  </si>
  <si>
    <t>-609.132004259163 131.072155915144 -229.265312934323</t>
  </si>
  <si>
    <t>-648.375045285816 129.190830590378 -343.826524553577</t>
  </si>
  <si>
    <t>-665.020568321091 121.630117124343 -463.644321854499</t>
  </si>
  <si>
    <t>-670.700619792111 112.096993001611 -572.601669422083</t>
  </si>
  <si>
    <t>-667.132166064958 99.7333172243857 -681.364066915338</t>
  </si>
  <si>
    <t>-652.616059281053 79.4438290219418 -831.622644370168</t>
  </si>
  <si>
    <t>-612.414872459655 50.7352267648585 -920.744150643324</t>
  </si>
  <si>
    <t>-641.29746258236 114.740473490236 -766.977739645386</t>
  </si>
  <si>
    <t>-546.284779987132 225.782533233045 -750.740372805824</t>
  </si>
  <si>
    <t>-465.976587621564 183.498436188972 -447.509555151204</t>
  </si>
  <si>
    <t>-268.163681648527 93.7560870925674 -304.476777617031</t>
  </si>
  <si>
    <t>-676.78059422639 62.1020209717517 -763.297994008548</t>
  </si>
  <si>
    <t>-567.553327947688 218.925212725416 -244.776624501999</t>
  </si>
  <si>
    <t>-580.146913313932 205.40975558322 210.543445587899</t>
  </si>
  <si>
    <t>-619.519391460087 180.777123253255 678.01260320916</t>
  </si>
  <si>
    <t>-488.876331583902 102.031951466051 765.620248063872</t>
  </si>
  <si>
    <t>-650.631121790501 43.2246905858506 -213.054070731212</t>
  </si>
  <si>
    <t>-497.049265416172 -98.7369986933065 191.812832338574</t>
  </si>
  <si>
    <t>-494.238778893201 -20.6833700198786 654.973516943162</t>
  </si>
  <si>
    <t>-490.28097208316 -170.60265930398 746.908552911414</t>
  </si>
  <si>
    <t>9763-20170724T160502.228470500.bin</t>
  </si>
  <si>
    <t>-609.287274212303 131.085320172391 -229.349217760153</t>
  </si>
  <si>
    <t>-648.576221627375 129.206582366966 -343.89465435845</t>
  </si>
  <si>
    <t>-665.33516789978 121.683250263962 -463.699137714521</t>
  </si>
  <si>
    <t>-671.144517657439 112.197977384407 -572.653746339694</t>
  </si>
  <si>
    <t>-667.731203888869 99.8957942875807 -681.428107580913</t>
  </si>
  <si>
    <t>-653.455964783093 79.7059575732669 -831.723220278029</t>
  </si>
  <si>
    <t>-613.390118799528 51.0370759663256 -920.918552111476</t>
  </si>
  <si>
    <t>-642.018856999618 114.950005770579 -767.070420691298</t>
  </si>
  <si>
    <t>-546.844476684416 225.893518660907 -750.90814074624</t>
  </si>
  <si>
    <t>-465.977797652352 182.81510231614 -447.937937144383</t>
  </si>
  <si>
    <t>-267.990934281431 93.4061990703162 -304.936850167435</t>
  </si>
  <si>
    <t>-677.525774995041 62.328661504303 -763.374011456426</t>
  </si>
  <si>
    <t>-567.6221145315 218.955233667708 -244.864146051721</t>
  </si>
  <si>
    <t>-580.150711291985 205.352624168366 210.455047669563</t>
  </si>
  <si>
    <t>-619.494500002526 180.759421289955 677.960513498972</t>
  </si>
  <si>
    <t>-488.868282145756 102.001511358583 765.581815252954</t>
  </si>
  <si>
    <t>-650.865695737966 43.2241750715302 -213.13841377912</t>
  </si>
  <si>
    <t>-497.26626231244 -98.6962254320135 191.736152922908</t>
  </si>
  <si>
    <t>-494.32274467513 -20.7226217963564 654.868896996378</t>
  </si>
  <si>
    <t>-490.356580755636 -170.598465571914 746.874422867258</t>
  </si>
  <si>
    <t>9763-20170724T160502.295232900.bin</t>
  </si>
  <si>
    <t>-609.624390874522 131.33300560153 -229.431455050576</t>
  </si>
  <si>
    <t>-649.000449300868 129.45367607106 -343.946953473943</t>
  </si>
  <si>
    <t>-666.018134767443 122.017509001491 -463.720331862545</t>
  </si>
  <si>
    <t>-672.130849342691 112.643606223469 -572.668158589369</t>
  </si>
  <si>
    <t>-669.088299401448 100.483425445455 -681.469440998718</t>
  </si>
  <si>
    <t>-655.3961310982 80.5202853225578 -831.848925021756</t>
  </si>
  <si>
    <t>-615.656424035045 51.8959618766296 -921.204269051519</t>
  </si>
  <si>
    <t>-643.655260785117 115.631651994385 -767.178453464391</t>
  </si>
  <si>
    <t>-548.167970233502 226.300354682836 -751.125230089656</t>
  </si>
  <si>
    <t>-466.02889718392 181.978002233113 -448.677026941663</t>
  </si>
  <si>
    <t>-268.158299947697 92.4269902769981 -305.604018679897</t>
  </si>
  <si>
    <t>-679.253720513652 63.0750562369599 -763.442794391457</t>
  </si>
  <si>
    <t>-567.780968759314 219.223027391958 -244.973385233678</t>
  </si>
  <si>
    <t>-580.203548698098 205.502346777234 210.345352916963</t>
  </si>
  <si>
    <t>-619.37636322733 180.844571873215 677.870994515886</t>
  </si>
  <si>
    <t>-488.951679223624 101.794212307133 765.52919767131</t>
  </si>
  <si>
    <t>-651.330158414389 43.4988463882435 -213.184665333834</t>
  </si>
  <si>
    <t>-497.63212328668 -98.4282182854754 191.650269772635</t>
  </si>
  <si>
    <t>-494.38254170765 -20.6102604763746 654.910105784786</t>
  </si>
  <si>
    <t>-490.344615632872 -170.530710533657 746.839842901651</t>
  </si>
  <si>
    <t>9763-20170724T160502.327317900.bin</t>
  </si>
  <si>
    <t>-609.821565844755 131.517696929387 -229.425103103494</t>
  </si>
  <si>
    <t>-649.242734071722 129.637088875426 -343.925126505498</t>
  </si>
  <si>
    <t>-666.382326349735 122.249274030751 -463.684062704647</t>
  </si>
  <si>
    <t>-672.636465650551 112.936386408831 -572.629048121382</t>
  </si>
  <si>
    <t>-669.765808523873 100.852738722308 -681.443664417066</t>
  </si>
  <si>
    <t>-656.343374178972 81.0101508419152 -831.863339415937</t>
  </si>
  <si>
    <t>-616.770105081534 52.4098783327759 -921.300325631073</t>
  </si>
  <si>
    <t>-644.457105405712 116.050019862562 -767.180808199735</t>
  </si>
  <si>
    <t>-548.769420472855 226.563295860224 -751.203124039061</t>
  </si>
  <si>
    <t>-466.117636226956 181.602199318112 -448.989142978305</t>
  </si>
  <si>
    <t>-268.291370520351 92.0199466017975 -305.874236311639</t>
  </si>
  <si>
    <t>-680.107730907751 63.5296622551691 -763.433825580054</t>
  </si>
  <si>
    <t>-567.980314790605 219.363004195978 -244.988530449151</t>
  </si>
  <si>
    <t>-580.298811218238 205.572735280558 210.330835373904</t>
  </si>
  <si>
    <t>-619.417252180116 180.753750126456 677.861964141209</t>
  </si>
  <si>
    <t>-488.9225817219 101.809388399666 765.511487811376</t>
  </si>
  <si>
    <t>-651.49158324795 43.7018376946487 -213.140972447706</t>
  </si>
  <si>
    <t>-497.7804461472 -98.2463966572418 191.681498073106</t>
  </si>
  <si>
    <t>-494.344327175819 -20.5242744825423 654.953558386261</t>
  </si>
  <si>
    <t>-490.360138184103 -170.492390538213 746.807801084111</t>
  </si>
  <si>
    <t>9763-20170724T160502.396514500.bin</t>
  </si>
  <si>
    <t>-610.217292475714 131.981016991799 -229.359601711585</t>
  </si>
  <si>
    <t>-649.75654490654 130.141846141674 -343.819550731802</t>
  </si>
  <si>
    <t>-667.152732359048 122.872291276698 -463.548704701717</t>
  </si>
  <si>
    <t>-673.694389107461 113.693759187447 -572.488267453892</t>
  </si>
  <si>
    <t>-671.165169161126 101.769381620549 -681.328685404216</t>
  </si>
  <si>
    <t>-658.271092969629 82.1717752031475 -831.826781579827</t>
  </si>
  <si>
    <t>-619.002547191133 53.609878754894 -921.410204372336</t>
  </si>
  <si>
    <t>-646.102496799817 117.069525183857 -767.119978672453</t>
  </si>
  <si>
    <t>-550.053233468907 227.292115658734 -751.28186541368</t>
  </si>
  <si>
    <t>-466.338689445206 180.586411938243 -449.625196521761</t>
  </si>
  <si>
    <t>-268.611179264925 90.8229644180512 -306.487631807093</t>
  </si>
  <si>
    <t>-681.850220979729 64.616609089072 -763.352311500768</t>
  </si>
  <si>
    <t>-568.411894023003 219.800289421471 -244.975572416985</t>
  </si>
  <si>
    <t>-580.37156193684 205.711462512652 210.344163840985</t>
  </si>
  <si>
    <t>-619.398396079356 180.743226239826 677.867510868776</t>
  </si>
  <si>
    <t>-488.873333982901 101.824167524412 765.49456594416</t>
  </si>
  <si>
    <t>-651.875269014379 44.1966593968377 -213.036707578999</t>
  </si>
  <si>
    <t>-497.923104780132 -97.9154408387265 191.636739782478</t>
  </si>
  <si>
    <t>-494.361604474072 -20.4246738471979 654.920574431115</t>
  </si>
  <si>
    <t>-490.378836277673 -170.432325110262 746.71016336194</t>
  </si>
  <si>
    <t>9763-20170724T160502.429603100.bin</t>
  </si>
  <si>
    <t>-610.453500563057 132.315643568096 -229.335874934245</t>
  </si>
  <si>
    <t>-650.052533364371 130.493927873541 -343.775406391102</t>
  </si>
  <si>
    <t>-667.56896154668 123.278162442757 -463.490431304019</t>
  </si>
  <si>
    <t>-674.243282354603 114.1617649093 -572.427119649031</t>
  </si>
  <si>
    <t>-671.869979836101 102.311959011908 -681.279304742959</t>
  </si>
  <si>
    <t>-659.215549478427 82.8302398884687 -831.812786851897</t>
  </si>
  <si>
    <t>-620.086294694849 54.2948882384424 -921.46554354656</t>
  </si>
  <si>
    <t>-646.916770921208 117.660136215527 -767.093848099883</t>
  </si>
  <si>
    <t>-550.705762068153 227.741710673072 -751.338217139901</t>
  </si>
  <si>
    <t>-466.606134879591 180.227386759761 -449.915227601566</t>
  </si>
  <si>
    <t>-268.880101246272 90.3887240438823 -306.822692688859</t>
  </si>
  <si>
    <t>-682.712650011307 65.2405301996646 -763.318835847367</t>
  </si>
  <si>
    <t>-568.629339188743 220.092278960737 -244.958730177451</t>
  </si>
  <si>
    <t>-580.405800716402 205.849563643275 210.361049136335</t>
  </si>
  <si>
    <t>-619.390725839372 180.7434245512 677.877913589124</t>
  </si>
  <si>
    <t>-488.87744207628 101.786176715759 765.488107516657</t>
  </si>
  <si>
    <t>-652.142686018765 44.5757724546763 -212.975527772684</t>
  </si>
  <si>
    <t>-498.058559479332 -97.6444880135477 191.609627939868</t>
  </si>
  <si>
    <t>-494.370457250291 -20.3828335845185 654.906697336066</t>
  </si>
  <si>
    <t>-490.414587397082 -170.402767018401 746.677522649944</t>
  </si>
  <si>
    <t>9763-20170724T160502.494414900.bin</t>
  </si>
  <si>
    <t>-611.108189919924 133.019005438213 -229.248124432116</t>
  </si>
  <si>
    <t>-650.824382190596 131.289650324201 -343.648490428194</t>
  </si>
  <si>
    <t>-668.545992988624 124.195946783351 -463.340509653487</t>
  </si>
  <si>
    <t>-675.440363654345 115.201372578083 -572.273582517676</t>
  </si>
  <si>
    <t>-673.319860016195 103.484858015999 -681.145479627584</t>
  </si>
  <si>
    <t>-661.049157746032 84.1997382277639 -831.735964031872</t>
  </si>
  <si>
    <t>-622.146654174489 55.6911352340717 -921.495934216792</t>
  </si>
  <si>
    <t>-648.525138106414 118.904470605211 -766.993127661077</t>
  </si>
  <si>
    <t>-551.930479697103 228.681998522824 -751.404025963554</t>
  </si>
  <si>
    <t>-467.07382640734 179.817448207366 -450.40949171415</t>
  </si>
  <si>
    <t>-269.305314251448 89.6542262900707 -307.579927355643</t>
  </si>
  <si>
    <t>-684.43196857698 66.5611624259459 -763.21549018504</t>
  </si>
  <si>
    <t>-569.128000065623 220.682352808734 -244.914413503108</t>
  </si>
  <si>
    <t>-580.510899599351 206.119186334706 210.405118122697</t>
  </si>
  <si>
    <t>-619.431112911895 180.653660761358 677.905349107999</t>
  </si>
  <si>
    <t>-488.791418431829 101.860873440673 765.475195078157</t>
  </si>
  <si>
    <t>-652.995490592982 45.3417114272891 -212.866315456532</t>
  </si>
  <si>
    <t>-498.452803499451 -97.1506342202067 191.448113714171</t>
  </si>
  <si>
    <t>-494.451221843156 -20.3417474857649 654.826991070512</t>
  </si>
  <si>
    <t>-490.493161947094 -170.350088031 746.616547656961</t>
  </si>
  <si>
    <t>9763-20170724T160502.528505200.bin</t>
  </si>
  <si>
    <t>-611.502658281067 133.463769118694 -229.221067613595</t>
  </si>
  <si>
    <t>-651.257682083886 131.765973896194 -343.608323617476</t>
  </si>
  <si>
    <t>-669.073571111279 124.738373726497 -463.29035393807</t>
  </si>
  <si>
    <t>-676.075358227091 115.816731076794 -572.222553455846</t>
  </si>
  <si>
    <t>-674.083545303518 104.185962199318 -681.105975686657</t>
  </si>
  <si>
    <t>-662.012849841815 85.0327648520488 -831.729590585136</t>
  </si>
  <si>
    <t>-623.220194906364 56.5264433670609 -921.537705075648</t>
  </si>
  <si>
    <t>-649.361372227881 119.652796243711 -766.966047934921</t>
  </si>
  <si>
    <t>-552.552960334385 229.24289535406 -751.425413335557</t>
  </si>
  <si>
    <t>-467.380877128704 179.73224492832 -450.625405730403</t>
  </si>
  <si>
    <t>-269.540598599512 89.4661570464561 -307.960415902822</t>
  </si>
  <si>
    <t>-685.346192414274 67.3620684937996 -763.200531017827</t>
  </si>
  <si>
    <t>-569.30944931518 221.13017854515 -244.910330768487</t>
  </si>
  <si>
    <t>-580.522766730537 206.424811104864 210.408945937932</t>
  </si>
  <si>
    <t>-619.25739711887 180.893659230572 677.893870698535</t>
  </si>
  <si>
    <t>-488.8914302664 101.669723576698 765.482648815066</t>
  </si>
  <si>
    <t>-653.590322578572 45.8152420669776 -212.821230310025</t>
  </si>
  <si>
    <t>-498.752877096411 -96.8315994495322 191.325941542398</t>
  </si>
  <si>
    <t>-494.535680146359 -20.3749076679992 654.718436735816</t>
  </si>
  <si>
    <t>-490.543741958033 -170.33269060997 746.589227402229</t>
  </si>
  <si>
    <t>9763-20170724T160502.592239400.bin</t>
  </si>
  <si>
    <t>-612.274677434201 134.27054831134 -229.214275335426</t>
  </si>
  <si>
    <t>-652.111262747313 132.667674328084 -343.574485303346</t>
  </si>
  <si>
    <t>-670.095250349251 125.780658426974 -463.239534257322</t>
  </si>
  <si>
    <t>-677.2827627893 117.005629670989 -572.171511226016</t>
  </si>
  <si>
    <t>-675.508413045817 105.541894477849 -681.07645955262</t>
  </si>
  <si>
    <t>-663.770863997599 86.6424598429651 -831.758529143435</t>
  </si>
  <si>
    <t>-625.161840036579 58.1358572315728 -921.645502698571</t>
  </si>
  <si>
    <t>-650.904333240371 121.104608083798 -766.953195315935</t>
  </si>
  <si>
    <t>-553.637126685606 230.309990768745 -751.499717746279</t>
  </si>
  <si>
    <t>-467.844352633569 179.507353137451 -451.091834372685</t>
  </si>
  <si>
    <t>-269.96345132442 89.1545407936162 -308.538186993029</t>
  </si>
  <si>
    <t>-687.024401486635 68.9051312802574 -763.219513038975</t>
  </si>
  <si>
    <t>-569.714478944789 221.807172539088 -244.930299033129</t>
  </si>
  <si>
    <t>-580.666838653668 206.895981447611 210.388671389536</t>
  </si>
  <si>
    <t>-619.180058186462 180.99540918167 677.893831225082</t>
  </si>
  <si>
    <t>-488.899319988876 101.617191630445 765.469721773109</t>
  </si>
  <si>
    <t>-654.733362295932 46.7269767008916 -212.814726698995</t>
  </si>
  <si>
    <t>-499.613740391513 -96.192581454266 191.127888274692</t>
  </si>
  <si>
    <t>-494.741955112749 -20.4348028137208 654.579374373262</t>
  </si>
  <si>
    <t>-490.69789310489 -170.275578115994 746.638674792694</t>
  </si>
  <si>
    <t>9763-20170724T160502.624324400.bin</t>
  </si>
  <si>
    <t>-612.719263683224 134.627703233395 -229.235622086635</t>
  </si>
  <si>
    <t>-652.588423164739 133.076975349496 -343.585275982291</t>
  </si>
  <si>
    <t>-670.62619836929 126.221396120731 -463.243959112803</t>
  </si>
  <si>
    <t>-677.870878625002 117.467337623381 -572.173961701962</t>
  </si>
  <si>
    <t>-676.161646122922 106.01823298137 -681.08151253766</t>
  </si>
  <si>
    <t>-664.522424342933 87.1332795407145 -831.772840144957</t>
  </si>
  <si>
    <t>-625.977407366891 58.5843510406428 -921.674015774798</t>
  </si>
  <si>
    <t>-651.576600381097 121.564084938643 -766.966579522809</t>
  </si>
  <si>
    <t>-554.128864539759 230.615476334488 -751.595312942426</t>
  </si>
  <si>
    <t>-467.946240064095 179.306899006992 -451.385168108349</t>
  </si>
  <si>
    <t>-270.122261955615 88.9099847152347 -308.780315688504</t>
  </si>
  <si>
    <t>-687.768196492307 69.4145337141763 -763.226485069808</t>
  </si>
  <si>
    <t>-569.928621623307 222.105935580198 -244.955401322006</t>
  </si>
  <si>
    <t>-580.710148135322 207.041268326069 210.362568268637</t>
  </si>
  <si>
    <t>-619.197596576629 180.978305470666 677.895388505473</t>
  </si>
  <si>
    <t>-488.9432596451 101.537299564331 765.453669944247</t>
  </si>
  <si>
    <t>-655.402707583912 47.1323570289146 -212.853161336253</t>
  </si>
  <si>
    <t>-500.156197444973 -95.9903004278631 190.968713149779</t>
  </si>
  <si>
    <t>-494.962816093111 -20.5924741076415 654.423476356506</t>
  </si>
  <si>
    <t>-490.871368564166 -170.291531525532 746.71087846746</t>
  </si>
  <si>
    <t>9763-20170724T160502.700063400.bin</t>
  </si>
  <si>
    <t>-613.512231839104 135.213398318284 -229.280919969809</t>
  </si>
  <si>
    <t>-653.511848294946 133.813825170218 -343.587003080948</t>
  </si>
  <si>
    <t>-671.726657984642 127.052558064849 -463.224330649015</t>
  </si>
  <si>
    <t>-679.149966817173 118.360266964139 -572.147155768186</t>
  </si>
  <si>
    <t>-677.637314597673 106.949760542726 -681.061608890967</t>
  </si>
  <si>
    <t>-666.289363181979 88.094577951538 -831.778918097992</t>
  </si>
  <si>
    <t>-627.916628213046 59.486223501749 -921.734935440005</t>
  </si>
  <si>
    <t>-653.130279605652 122.452349983281 -766.976860215867</t>
  </si>
  <si>
    <t>-555.290018324973 231.172889142894 -751.777398990427</t>
  </si>
  <si>
    <t>-468.597706834395 179.289420976561 -451.812826043854</t>
  </si>
  <si>
    <t>-270.831810615637 88.7983939978142 -309.187029962889</t>
  </si>
  <si>
    <t>-689.490616346194 70.4225507831216 -763.20556911042</t>
  </si>
  <si>
    <t>-570.312526878343 222.585864755263 -244.995733169463</t>
  </si>
  <si>
    <t>-580.761609987439 207.269149772631 210.321538130981</t>
  </si>
  <si>
    <t>-619.136306697002 181.053300122022 677.852944307855</t>
  </si>
  <si>
    <t>-488.966821397336 101.470676351508 765.408789743432</t>
  </si>
  <si>
    <t>-656.633144244167 47.8197118821283 -212.879301304517</t>
  </si>
  <si>
    <t>-501.203850599956 -95.5710753517062 190.777054260655</t>
  </si>
  <si>
    <t>-495.323144711931 -20.7942332545233 654.300530002606</t>
  </si>
  <si>
    <t>-491.136722311633 -170.255483974842 746.968352150014</t>
  </si>
  <si>
    <t>9763-20170724T160502.727138100.bin</t>
  </si>
  <si>
    <t>-613.868821056313 135.502861961683 -229.329896920566</t>
  </si>
  <si>
    <t>-653.844159050191 134.143661045223 -343.644900463802</t>
  </si>
  <si>
    <t>-672.109757622378 127.418140093895 -463.276438738551</t>
  </si>
  <si>
    <t>-679.610402634096 118.756718320176 -572.196337679035</t>
  </si>
  <si>
    <t>-678.206118045859 107.376170381322 -681.115555115001</t>
  </si>
  <si>
    <t>-667.040561342332 88.5617477164813 -831.851555726729</t>
  </si>
  <si>
    <t>-628.767013490233 59.9174487454477 -921.838295732586</t>
  </si>
  <si>
    <t>-653.762975990326 122.874290841658 -767.049846467482</t>
  </si>
  <si>
    <t>-555.720848280015 231.436349442959 -751.954003008035</t>
  </si>
  <si>
    <t>-468.897951098386 179.348124319916 -452.062669718987</t>
  </si>
  <si>
    <t>-271.181671447848 88.8133373214869 -309.396073293096</t>
  </si>
  <si>
    <t>-690.198990790646 70.8987822106674 -763.261352784951</t>
  </si>
  <si>
    <t>-570.423292672391 222.875113642872 -245.033256847201</t>
  </si>
  <si>
    <t>-580.832013425974 207.442839360343 210.281148809384</t>
  </si>
  <si>
    <t>-619.025528371268 181.229394905722 677.821583065186</t>
  </si>
  <si>
    <t>-489.105623648534 101.248670072164 765.385371864765</t>
  </si>
  <si>
    <t>-657.189431725749 48.1450100592911 -212.975934812898</t>
  </si>
  <si>
    <t>-501.809422903166 -95.2668682072849 190.69188244224</t>
  </si>
  <si>
    <t>-495.552393638693 -20.9171377152934 654.267402953694</t>
  </si>
  <si>
    <t>-491.271837831282 -170.245000292186 747.145623649863</t>
  </si>
  <si>
    <t>9763-20170724T160502.795021200.bin</t>
  </si>
  <si>
    <t>-614.370333082793 135.985920596963 -229.374992736396</t>
  </si>
  <si>
    <t>-654.40713375976 134.768621791312 -343.670175424225</t>
  </si>
  <si>
    <t>-672.844705181215 128.153353556225 -463.281290691148</t>
  </si>
  <si>
    <t>-680.546322844326 119.578410820476 -572.194201213456</t>
  </si>
  <si>
    <t>-679.388086090279 108.270929451746 -681.123710206656</t>
  </si>
  <si>
    <t>-668.610252636229 89.5441919960892 -831.899008577387</t>
  </si>
  <si>
    <t>-630.514527034141 60.840080243401 -921.942097798402</t>
  </si>
  <si>
    <t>-655.101278749907 123.77428879559 -767.101417011814</t>
  </si>
  <si>
    <t>-556.767115293347 232.081159589299 -752.157143147827</t>
  </si>
  <si>
    <t>-469.51947344418 179.738867312826 -452.433529019464</t>
  </si>
  <si>
    <t>-271.864159409559 89.1535534303566 -309.71445200524</t>
  </si>
  <si>
    <t>-691.656936354645 71.8861030635392 -763.269821588353</t>
  </si>
  <si>
    <t>-570.650850220585 223.263905114686 -245.070107034923</t>
  </si>
  <si>
    <t>-580.905134435299 207.574123063597 210.238957319824</t>
  </si>
  <si>
    <t>-619.055483551631 181.185691220205 677.795701918773</t>
  </si>
  <si>
    <t>-489.334898340368 100.880088914243 765.357632320528</t>
  </si>
  <si>
    <t>-657.928721167231 48.7098477741158 -213.004210924564</t>
  </si>
  <si>
    <t>-502.675672816389 -94.800902280623 190.677420648677</t>
  </si>
  <si>
    <t>-495.755849254666 -20.9872238056025 654.421725640942</t>
  </si>
  <si>
    <t>-491.385065481462 -170.19278298324 747.492172782251</t>
  </si>
  <si>
    <t>9763-20170724T160502.829120300.bin</t>
  </si>
  <si>
    <t>-614.514425933823 136.197587261513 -229.356675670275</t>
  </si>
  <si>
    <t>-654.606961867741 135.062895412628 -343.633111549659</t>
  </si>
  <si>
    <t>-673.14528190853 128.515093371004 -463.232456734852</t>
  </si>
  <si>
    <t>-680.956186180257 119.994563770474 -572.141899407575</t>
  </si>
  <si>
    <t>-679.925015561094 108.734815177938 -681.077663787843</t>
  </si>
  <si>
    <t>-669.34190438103 90.0671402511559 -831.873868875477</t>
  </si>
  <si>
    <t>-631.348893000373 61.331321257026 -921.950348941404</t>
  </si>
  <si>
    <t>-655.715993133134 124.248770869475 -767.075270427671</t>
  </si>
  <si>
    <t>-557.198718244677 232.414669282146 -752.194433157829</t>
  </si>
  <si>
    <t>-469.880267534878 179.927319522779 -452.516669658424</t>
  </si>
  <si>
    <t>-272.292916605933 89.2853693597422 -309.739464612549</t>
  </si>
  <si>
    <t>-692.333201156379 72.4052590081674 -763.227220041741</t>
  </si>
  <si>
    <t>-570.698562963991 223.424003544972 -245.054876283559</t>
  </si>
  <si>
    <t>-580.851832054997 207.594421057101 210.251566475708</t>
  </si>
  <si>
    <t>-619.019941906162 181.23749067452 677.792386016451</t>
  </si>
  <si>
    <t>-489.274357251967 100.964929379215 765.347587708074</t>
  </si>
  <si>
    <t>-658.184368254728 48.9624069305805 -212.96704951162</t>
  </si>
  <si>
    <t>-502.959517038418 -94.6420580612958 190.69201381264</t>
  </si>
  <si>
    <t>-495.822617836439 -21.0230797597899 654.449522981865</t>
  </si>
  <si>
    <t>-491.442434809274 -170.163756483201 747.623458106487</t>
  </si>
  <si>
    <t>9763-20170724T160502.896292600.bin</t>
  </si>
  <si>
    <t>-614.627412435304 136.602803518734 -229.255466988272</t>
  </si>
  <si>
    <t>-654.82240667111 135.585210154855 -343.497092809642</t>
  </si>
  <si>
    <t>-673.514370894882 129.147019893632 -463.078472506764</t>
  </si>
  <si>
    <t>-681.484420419846 120.721970116241 -571.983707673731</t>
  </si>
  <si>
    <t>-680.631503279553 109.554382067106 -680.930521560354</t>
  </si>
  <si>
    <t>-670.31514587376 91.0111556728573 -831.760641274452</t>
  </si>
  <si>
    <t>-632.472403817626 62.238148307114 -921.888387852226</t>
  </si>
  <si>
    <t>-656.519299687364 125.100811656866 -766.949485376732</t>
  </si>
  <si>
    <t>-557.685471309899 232.964528762409 -752.105809995605</t>
  </si>
  <si>
    <t>-470.087327242898 180.057591746099 -452.583601964715</t>
  </si>
  <si>
    <t>-272.711227219995 89.300117612994 -309.58763185529</t>
  </si>
  <si>
    <t>-693.240408097294 73.3310110189523 -763.096549378368</t>
  </si>
  <si>
    <t>-570.602323903181 223.718491462156 -244.987354454061</t>
  </si>
  <si>
    <t>-580.672326168862 207.70094306169 210.314475088861</t>
  </si>
  <si>
    <t>-619.011694858636 181.231329254813 677.791156263909</t>
  </si>
  <si>
    <t>-489.344391553472 100.846390384504 765.359178053903</t>
  </si>
  <si>
    <t>-658.515776558742 49.479123105853 -212.836372176486</t>
  </si>
  <si>
    <t>-503.297967413823 -94.3959324497218 190.729171105752</t>
  </si>
  <si>
    <t>-495.897124823461 -21.0756975995728 654.522183678056</t>
  </si>
  <si>
    <t>-491.593917683488 -170.108021256861 747.872932803442</t>
  </si>
  <si>
    <t>9763-20170724T160502.924366200.bin</t>
  </si>
  <si>
    <t>-614.688679690917 136.796730593051 -229.248163672341</t>
  </si>
  <si>
    <t>-654.915727274934 135.815904334339 -343.478815094439</t>
  </si>
  <si>
    <t>-673.657293587435 129.415488699966 -463.054496487257</t>
  </si>
  <si>
    <t>-681.679031216233 121.02493299873 -571.958645439097</t>
  </si>
  <si>
    <t>-680.884302876111 109.892224831057 -680.909409168346</t>
  </si>
  <si>
    <t>-670.655203724883 91.3978762147201 -831.75135736694</t>
  </si>
  <si>
    <t>-632.846847943381 62.6266764662519 -921.894318806271</t>
  </si>
  <si>
    <t>-656.803828898664 125.4540148695 -766.934481400679</t>
  </si>
  <si>
    <t>-557.822442657305 233.183768478307 -752.108453082064</t>
  </si>
  <si>
    <t>-470.034500290375 179.750251567976 -452.735314350307</t>
  </si>
  <si>
    <t>-272.897093232743 88.9162175739625 -309.459114360683</t>
  </si>
  <si>
    <t>-693.558706130735 73.7080808873134 -763.082536428755</t>
  </si>
  <si>
    <t>-570.590365581836 223.874172926652 -244.979721263034</t>
  </si>
  <si>
    <t>-580.621642025529 207.701256562723 210.317400380634</t>
  </si>
  <si>
    <t>-619.080322101795 181.117402681128 677.788951145094</t>
  </si>
  <si>
    <t>-489.302377382242 100.906626872577 765.352781169536</t>
  </si>
  <si>
    <t>-658.672136961851 49.7220947711176 -212.841116371382</t>
  </si>
  <si>
    <t>-503.465789637327 -94.3000858349449 190.676247707464</t>
  </si>
  <si>
    <t>-496.041803449444 -21.1838371467284 654.455211072012</t>
  </si>
  <si>
    <t>-491.678118947044 -170.09278193806 747.999994125378</t>
  </si>
  <si>
    <t>9763-20170724T160502.996072000.bin</t>
  </si>
  <si>
    <t>-614.812551448116 137.229816285106 -229.334314341246</t>
  </si>
  <si>
    <t>-655.031832883978 136.300122164366 -343.568195916328</t>
  </si>
  <si>
    <t>-673.835836714621 129.993699445864 -463.138980734423</t>
  </si>
  <si>
    <t>-681.943270218518 121.702867479496 -572.044402453736</t>
  </si>
  <si>
    <t>-681.263402292877 110.682836347348 -681.007465479066</t>
  </si>
  <si>
    <t>-671.223706458386 92.3570694954992 -831.882832169825</t>
  </si>
  <si>
    <t>-633.487630010186 63.630204346415 -922.070046048919</t>
  </si>
  <si>
    <t>-657.257302203232 126.317195197397 -767.040140968169</t>
  </si>
  <si>
    <t>-558.004375595107 233.804627532396 -752.225382759142</t>
  </si>
  <si>
    <t>-469.649700678606 179.172447836808 -453.235597490378</t>
  </si>
  <si>
    <t>-272.939465776014 88.1499366699738 -309.492564680385</t>
  </si>
  <si>
    <t>-694.074603834603 74.6141284253101 -763.210153455214</t>
  </si>
  <si>
    <t>-570.540121245708 224.39136552757 -245.000211795007</t>
  </si>
  <si>
    <t>-580.64107562349 207.960216164232 210.286160710745</t>
  </si>
  <si>
    <t>-618.991448666901 181.277956929747 677.767760825468</t>
  </si>
  <si>
    <t>-489.481889288906 100.636544223885 765.33345042933</t>
  </si>
  <si>
    <t>-658.935520740508 50.081257968707 -213.026824050984</t>
  </si>
  <si>
    <t>-503.668465705151 -93.7867986930889 190.52216586027</t>
  </si>
  <si>
    <t>-496.397403205439 -21.5065476259622 654.326759122618</t>
  </si>
  <si>
    <t>-491.761052139853 -170.082711084143 748.386001005588</t>
  </si>
  <si>
    <t>9763-20170724T160503.029162000.bin</t>
  </si>
  <si>
    <t>-614.883814986637 137.493915885155 -229.397468241957</t>
  </si>
  <si>
    <t>-655.093550346005 136.572785771766 -343.634641523001</t>
  </si>
  <si>
    <t>-673.913459295266 130.287841161363 -463.204173093241</t>
  </si>
  <si>
    <t>-682.046572666183 122.018640787478 -572.109347750403</t>
  </si>
  <si>
    <t>-681.404187619656 111.02056856436 -681.074813806577</t>
  </si>
  <si>
    <t>-671.429242900596 92.7239700065679 -831.958037944515</t>
  </si>
  <si>
    <t>-633.733660301958 64.0069394322104 -922.165336473457</t>
  </si>
  <si>
    <t>-657.417233331949 126.659211539183 -767.112178668676</t>
  </si>
  <si>
    <t>-558.023192247353 234.028209467369 -752.309967683745</t>
  </si>
  <si>
    <t>-469.347523152273 178.74901875514 -453.53406369308</t>
  </si>
  <si>
    <t>-272.85954904607 87.6526365398108 -309.534166519004</t>
  </si>
  <si>
    <t>-694.268389377096 74.9801680561634 -763.281594660077</t>
  </si>
  <si>
    <t>-570.590634136817 224.709887760496 -245.022594855094</t>
  </si>
  <si>
    <t>-580.707678760592 208.114480768404 210.25747565168</t>
  </si>
  <si>
    <t>-618.969000971095 181.320215958494 677.750649257381</t>
  </si>
  <si>
    <t>-489.52611078876 100.567440070482 765.312283618266</t>
  </si>
  <si>
    <t>-659.044221622729 50.3239242882096 -213.122968194747</t>
  </si>
  <si>
    <t>-503.760782444685 -93.3794033972581 190.478364236291</t>
  </si>
  <si>
    <t>-496.528472904765 -21.6226666103648 654.382465846439</t>
  </si>
  <si>
    <t>-491.713622000074 -170.064185422917 748.645244561975</t>
  </si>
  <si>
    <t>9763-20170724T160503.095862700.bin</t>
  </si>
  <si>
    <t>-615.207098635546 137.91261536922 -229.525111139019</t>
  </si>
  <si>
    <t>-655.381517218647 136.99362544859 -343.774750298633</t>
  </si>
  <si>
    <t>-674.213214119351 130.734798450481 -463.343774470213</t>
  </si>
  <si>
    <t>-682.377742286319 122.494411574718 -572.24867699875</t>
  </si>
  <si>
    <t>-681.788395671079 111.527414554429 -681.217691258969</t>
  </si>
  <si>
    <t>-671.910495969832 93.2734034463037 -832.112370528006</t>
  </si>
  <si>
    <t>-634.271268807403 64.5464880069853 -922.340062061365</t>
  </si>
  <si>
    <t>-657.829199223386 127.170901352772 -767.261779673609</t>
  </si>
  <si>
    <t>-558.228234314647 234.33708039525 -752.476876146084</t>
  </si>
  <si>
    <t>-469.072017742782 177.801755875412 -454.07930019811</t>
  </si>
  <si>
    <t>-272.801721011507 86.7301490083255 -309.76719312289</t>
  </si>
  <si>
    <t>-694.733095044716 75.5296036033881 -763.430396444297</t>
  </si>
  <si>
    <t>-570.827212497975 225.123074069111 -245.071699118612</t>
  </si>
  <si>
    <t>-581.033510346746 208.324070256246 210.198866277739</t>
  </si>
  <si>
    <t>-619.112970832595 181.130930081617 677.716506497877</t>
  </si>
  <si>
    <t>-489.462724332824 100.679012459737 765.248284737976</t>
  </si>
  <si>
    <t>-659.499773209687 50.6898512425673 -213.34464521635</t>
  </si>
  <si>
    <t>-504.268149849171 -92.7653532240879 190.364969400004</t>
  </si>
  <si>
    <t>-497.039799361795 -22.0354569739386 654.30121057288</t>
  </si>
  <si>
    <t>-491.781309884352 -170.037648639772 749.228548057716</t>
  </si>
  <si>
    <t>9763-20170724T160503.129958000.bin</t>
  </si>
  <si>
    <t>-615.345922968398 138.123920466209 -229.594756504018</t>
  </si>
  <si>
    <t>-655.489831561123 137.182853428572 -343.854880571641</t>
  </si>
  <si>
    <t>-674.303885061303 130.903612332538 -463.425733430425</t>
  </si>
  <si>
    <t>-682.458672432159 122.644298315271 -572.329903367447</t>
  </si>
  <si>
    <t>-681.8661224076 111.657381743845 -681.296832746315</t>
  </si>
  <si>
    <t>-671.990740120999 93.3742827404517 -832.18827032777</t>
  </si>
  <si>
    <t>-634.358800911675 64.6364493533524 -922.415440670792</t>
  </si>
  <si>
    <t>-657.905580571989 127.28238078652 -767.34406009885</t>
  </si>
  <si>
    <t>-558.259085241082 234.408270322867 -752.568316642526</t>
  </si>
  <si>
    <t>-468.950577187322 177.319980600324 -454.32152072367</t>
  </si>
  <si>
    <t>-272.657073275082 86.1904638445469 -310.077476668059</t>
  </si>
  <si>
    <t>-694.814927174527 75.6456819523787 -763.502946363843</t>
  </si>
  <si>
    <t>-570.866599648448 225.413245893177 -245.107951858067</t>
  </si>
  <si>
    <t>-581.157520072239 208.509350382796 210.156829341343</t>
  </si>
  <si>
    <t>-619.093537165141 181.188570726625 677.689861889113</t>
  </si>
  <si>
    <t>-489.491889753395 100.648614824908 765.212656579672</t>
  </si>
  <si>
    <t>-659.735770242436 50.8190004747071 -213.44701004204</t>
  </si>
  <si>
    <t>-504.582064533406 -92.6792139116412 190.277190209777</t>
  </si>
  <si>
    <t>-497.316036928128 -22.3122774860919 654.302714696152</t>
  </si>
  <si>
    <t>-491.854100025822 -170.074191076603 749.592181300055</t>
  </si>
  <si>
    <t>9763-20170724T160503.193697100.bin</t>
  </si>
  <si>
    <t>-615.356727601087 138.546338262249 -229.569747302225</t>
  </si>
  <si>
    <t>-655.410698259632 137.606275537673 -343.861506751722</t>
  </si>
  <si>
    <t>-674.134473507758 131.274559836611 -463.443518903604</t>
  </si>
  <si>
    <t>-682.209425410905 122.945938895612 -572.348542192524</t>
  </si>
  <si>
    <t>-681.540298762095 111.867529950016 -681.305772781558</t>
  </si>
  <si>
    <t>-671.563173108302 93.4340480688575 -832.172047213053</t>
  </si>
  <si>
    <t>-633.87752234642 64.6391701969019 -922.358771100885</t>
  </si>
  <si>
    <t>-657.524766328355 127.408862281214 -767.352634790569</t>
  </si>
  <si>
    <t>-557.824285059932 234.48173176554 -752.537285798982</t>
  </si>
  <si>
    <t>-468.220647836905 176.188284034994 -454.6123894737</t>
  </si>
  <si>
    <t>-271.801024331491 85.0401726735388 -310.552026898732</t>
  </si>
  <si>
    <t>-694.430703072928 75.7717373140922 -763.484139040842</t>
  </si>
  <si>
    <t>-570.792024244451 225.8905731633 -245.056232493411</t>
  </si>
  <si>
    <t>-581.240298587885 208.751150927181 210.196154714697</t>
  </si>
  <si>
    <t>-619.207347123336 181.087776850062 677.700552723632</t>
  </si>
  <si>
    <t>-489.569442616797 100.571204595834 765.191166727819</t>
  </si>
  <si>
    <t>-659.733071086003 51.2392732509559 -213.37922929176</t>
  </si>
  <si>
    <t>-504.810610014569 -92.42666969471 190.3741901167</t>
  </si>
  <si>
    <t>-497.481376228114 -22.4594562347638 654.64368468442</t>
  </si>
  <si>
    <t>-491.767605298294 -170.011066175339 750.243883491737</t>
  </si>
  <si>
    <t>9763-20170724T160503.227787800.bin</t>
  </si>
  <si>
    <t>-615.215601925077 138.792784442779 -229.50268220812</t>
  </si>
  <si>
    <t>-655.228012899376 137.853358261736 -343.808921688854</t>
  </si>
  <si>
    <t>-673.894449979239 131.497194681833 -463.398693972063</t>
  </si>
  <si>
    <t>-681.912472867243 123.134612195081 -572.305243969099</t>
  </si>
  <si>
    <t>-681.182021480842 112.009848362627 -681.257376713465</t>
  </si>
  <si>
    <t>-671.116383547333 93.4979755875709 -832.108213651127</t>
  </si>
  <si>
    <t>-633.37234932273 64.6546940119174 -922.255109634737</t>
  </si>
  <si>
    <t>-657.111697933221 127.503366312874 -767.297532954582</t>
  </si>
  <si>
    <t>-557.371869698129 234.521677321841 -752.429200327811</t>
  </si>
  <si>
    <t>-467.521207387902 175.631962840095 -454.695946418525</t>
  </si>
  <si>
    <t>-271.106471289693 84.3755591352913 -310.697403243504</t>
  </si>
  <si>
    <t>-694.028534700643 75.8744415364638 -763.425191081019</t>
  </si>
  <si>
    <t>-570.68690585478 226.125247033437 -244.985972381759</t>
  </si>
  <si>
    <t>-581.254551390712 208.863394153545 210.259035195891</t>
  </si>
  <si>
    <t>-619.256098149477 181.023240815052 677.708841099827</t>
  </si>
  <si>
    <t>-489.519875444029 100.658213247086 765.193064623767</t>
  </si>
  <si>
    <t>-659.57523324795 51.4923192056426 -213.279004005462</t>
  </si>
  <si>
    <t>-504.7306103255 -92.1749882462 190.50380406411</t>
  </si>
  <si>
    <t>-497.507437533986 -22.4479427211602 654.835329230132</t>
  </si>
  <si>
    <t>-491.659750212183 -169.959213506738 750.489648667351</t>
  </si>
  <si>
    <t>9763-20170724T160503.290470100.bin</t>
  </si>
  <si>
    <t>-614.813339154531 139.344252839879 -229.333550251256</t>
  </si>
  <si>
    <t>-654.703400709379 138.388027035631 -343.682447326063</t>
  </si>
  <si>
    <t>-673.212867078762 131.938497789157 -463.291675387209</t>
  </si>
  <si>
    <t>-681.078554862382 123.456482384133 -572.20002182356</t>
  </si>
  <si>
    <t>-680.188115873159 112.175077921916 -681.134738546022</t>
  </si>
  <si>
    <t>-669.894838666086 93.4051324916943 -831.938479358864</t>
  </si>
  <si>
    <t>-632.046625057858 64.4114318657819 -921.993218973659</t>
  </si>
  <si>
    <t>-655.97650982146 127.513267769696 -767.163210624675</t>
  </si>
  <si>
    <t>-556.107772169368 234.406596112328 -752.198097658052</t>
  </si>
  <si>
    <t>-465.792485879031 174.316111760333 -454.845677477089</t>
  </si>
  <si>
    <t>-269.423291473132 83.0301940267377 -310.8037695905</t>
  </si>
  <si>
    <t>-692.922173985151 75.9071234227856 -763.261827179782</t>
  </si>
  <si>
    <t>-570.339152370521 226.67366122793 -244.823597128365</t>
  </si>
  <si>
    <t>-581.221004335034 209.224449043805 210.406906889558</t>
  </si>
  <si>
    <t>-619.270955632215 181.007514022249 677.751140686721</t>
  </si>
  <si>
    <t>-489.63648653778 100.505804028305 765.260512991456</t>
  </si>
  <si>
    <t>-659.153639879645 52.037494640068 -213.116014215806</t>
  </si>
  <si>
    <t>-504.488283667109 -91.6728238782891 190.720170168888</t>
  </si>
  <si>
    <t>-497.525030668861 -22.3799153197772 655.164768041212</t>
  </si>
  <si>
    <t>-491.536358963325 -169.878855367915 750.829197667719</t>
  </si>
  <si>
    <t>9763-20170724T160503.324561200.bin</t>
  </si>
  <si>
    <t>-614.652292802889 139.564760783496 -229.255673902202</t>
  </si>
  <si>
    <t>-654.476350715827 138.581132528518 -343.627406784656</t>
  </si>
  <si>
    <t>-672.893654585185 132.084217859277 -463.248228579678</t>
  </si>
  <si>
    <t>-680.666951319113 123.548902150638 -572.159113116104</t>
  </si>
  <si>
    <t>-679.676667631692 112.201986698326 -681.086189261609</t>
  </si>
  <si>
    <t>-669.237925808864 93.3274873516796 -831.86680253354</t>
  </si>
  <si>
    <t>-631.330772311514 64.2671113850879 -921.875300759276</t>
  </si>
  <si>
    <t>-655.374294178073 127.475264211083 -767.100731317774</t>
  </si>
  <si>
    <t>-555.429479181221 234.277228159081 -752.051130370247</t>
  </si>
  <si>
    <t>-464.842197313445 173.649205885158 -454.890581756684</t>
  </si>
  <si>
    <t>-268.630349398061 82.3095606875238 -310.668366942092</t>
  </si>
  <si>
    <t>-692.339087949218 75.8826042928511 -763.201452244813</t>
  </si>
  <si>
    <t>-570.211350500691 226.84476833611 -244.753921821585</t>
  </si>
  <si>
    <t>-581.297142245982 209.331846452718 210.46907464852</t>
  </si>
  <si>
    <t>-619.392253667576 180.816840770021 677.777223257265</t>
  </si>
  <si>
    <t>-489.595219919124 100.579323687965 765.288285452751</t>
  </si>
  <si>
    <t>-658.982885933267 52.2683757659631 -213.055652396951</t>
  </si>
  <si>
    <t>-504.423497013732 -91.4965063681329 190.801694678829</t>
  </si>
  <si>
    <t>-497.537356331234 -22.3795191079321 655.256229294055</t>
  </si>
  <si>
    <t>-491.468282630697 -169.852882957213 750.955196717433</t>
  </si>
  <si>
    <t>9763-20170724T160503.392248600.bin</t>
  </si>
  <si>
    <t>-614.288781912763 140.034510219733 -229.20726788537</t>
  </si>
  <si>
    <t>-653.962869906739 139.033753459458 -343.630862690102</t>
  </si>
  <si>
    <t>-672.130446312864 132.448958072721 -463.285145074447</t>
  </si>
  <si>
    <t>-679.641636604333 123.798556499283 -572.205433288756</t>
  </si>
  <si>
    <t>-678.356327439768 112.297526373658 -681.113275851981</t>
  </si>
  <si>
    <t>-667.477637405873 93.1646844308707 -831.830135321437</t>
  </si>
  <si>
    <t>-629.404660804262 63.9264135392102 -921.710939524871</t>
  </si>
  <si>
    <t>-653.766238578424 127.397294559489 -767.076454869794</t>
  </si>
  <si>
    <t>-553.564832685587 233.934212866957 -751.792195865853</t>
  </si>
  <si>
    <t>-462.805501801597 172.117465414608 -454.929120847168</t>
  </si>
  <si>
    <t>-266.744520499377 80.7515943424555 -310.518455496261</t>
  </si>
  <si>
    <t>-690.816005740667 75.8634472705653 -763.208631274873</t>
  </si>
  <si>
    <t>-569.765411093775 227.334779942078 -244.676146155108</t>
  </si>
  <si>
    <t>-581.296873938457 209.774543294441 210.534132566336</t>
  </si>
  <si>
    <t>-619.357736955025 180.871081103523 677.779702459089</t>
  </si>
  <si>
    <t>-489.839589565546 100.248533748897 765.350036993443</t>
  </si>
  <si>
    <t>-658.690420827218 52.7379465807444 -213.099327720802</t>
  </si>
  <si>
    <t>-504.365108772069 -91.1123662418622 190.817034414804</t>
  </si>
  <si>
    <t>-497.67842799611 -22.490352240713 655.251661525725</t>
  </si>
  <si>
    <t>-491.384623691609 -169.783321199626 751.213535891942</t>
  </si>
  <si>
    <t>9763-20170724T160503.424332200.bin</t>
  </si>
  <si>
    <t>-614.163608646934 140.131519461505 -229.271801647321</t>
  </si>
  <si>
    <t>-653.797710281632 139.125423785966 -343.709247999228</t>
  </si>
  <si>
    <t>-671.865399075211 132.494381164575 -463.376032743506</t>
  </si>
  <si>
    <t>-679.263285735057 123.783218120947 -572.299163289484</t>
  </si>
  <si>
    <t>-677.843238807264 112.201190533465 -681.196785394538</t>
  </si>
  <si>
    <t>-666.756542299727 92.933989011771 -831.881467488972</t>
  </si>
  <si>
    <t>-628.611728698423 63.6170427409984 -921.706169157912</t>
  </si>
  <si>
    <t>-653.120144666218 127.214286264735 -767.137082399608</t>
  </si>
  <si>
    <t>-552.833397185414 233.650938777418 -751.700875646675</t>
  </si>
  <si>
    <t>-461.855726798304 171.268121538603 -455.023190996316</t>
  </si>
  <si>
    <t>-265.854752157648 79.850228596287 -310.564074047652</t>
  </si>
  <si>
    <t>-690.20392985387 75.7040299796618 -763.279275799838</t>
  </si>
  <si>
    <t>-569.563661967606 227.399266928798 -244.700164865277</t>
  </si>
  <si>
    <t>-581.282128225574 209.790347786966 210.503419289269</t>
  </si>
  <si>
    <t>-619.448385306169 180.701033189579 677.75354354434</t>
  </si>
  <si>
    <t>-489.838972774523 100.262626923489 765.358215486016</t>
  </si>
  <si>
    <t>-658.661179913558 52.8159733017701 -213.2105678726</t>
  </si>
  <si>
    <t>-504.48131151388 -91.0581906424381 190.752817005627</t>
  </si>
  <si>
    <t>-497.855957999618 -22.6950088380074 655.165009147453</t>
  </si>
  <si>
    <t>-491.440756102984 -169.809627654009 751.392206364307</t>
  </si>
  <si>
    <t>9763-20170724T160503.497563400.bin</t>
  </si>
  <si>
    <t>-613.726150224642 140.246354168079 -229.380915860831</t>
  </si>
  <si>
    <t>-653.21724774905 139.2486646211 -343.867793922485</t>
  </si>
  <si>
    <t>-671.062584187326 132.541856581623 -463.563835209539</t>
  </si>
  <si>
    <t>-678.230774081763 123.724680548276 -572.493747911623</t>
  </si>
  <si>
    <t>-676.555237331582 111.997690217565 -681.37220019102</t>
  </si>
  <si>
    <t>-665.090064567285 92.4869948475393 -831.997207686851</t>
  </si>
  <si>
    <t>-626.765347862807 63.022276173466 -921.696908854667</t>
  </si>
  <si>
    <t>-651.582489262616 126.84782414815 -767.268614364803</t>
  </si>
  <si>
    <t>-551.142405764628 233.113252954798 -751.641272459797</t>
  </si>
  <si>
    <t>-459.670929219846 169.822478567632 -455.30799331689</t>
  </si>
  <si>
    <t>-263.709253446081 78.1865660702165 -310.933816699295</t>
  </si>
  <si>
    <t>-688.743662580508 75.3918575988353 -763.432154659729</t>
  </si>
  <si>
    <t>-568.9728286781 227.49226267139 -244.753381203523</t>
  </si>
  <si>
    <t>-581.209227645664 209.812310083051 210.433808173172</t>
  </si>
  <si>
    <t>-619.498330867583 180.520841300922 677.643982090066</t>
  </si>
  <si>
    <t>-489.913653978984 100.173549230936 765.368771720619</t>
  </si>
  <si>
    <t>-658.346170365081 52.9795435623555 -213.34811590035</t>
  </si>
  <si>
    <t>-504.509333701336 -91.0031388033763 190.707367385822</t>
  </si>
  <si>
    <t>-497.852389698996 -22.7504267136183 655.36000138022</t>
  </si>
  <si>
    <t>-491.377953842516 -169.751519780683 751.756251736173</t>
  </si>
  <si>
    <t>9763-20170724T160503.524627100.bin</t>
  </si>
  <si>
    <t>-613.420235742745 140.333186144529 -229.425553223088</t>
  </si>
  <si>
    <t>-652.814540905215 139.341498429184 -343.945955442251</t>
  </si>
  <si>
    <t>-670.57112892213 132.614177138795 -463.654004994651</t>
  </si>
  <si>
    <t>-677.665072223237 123.764614498063 -572.586087971677</t>
  </si>
  <si>
    <t>-675.922962843197 111.989648377506 -681.458364399363</t>
  </si>
  <si>
    <t>-664.374518397595 92.3948475139664 -832.066145601971</t>
  </si>
  <si>
    <t>-625.993651029542 62.8597899934302 -921.718563215902</t>
  </si>
  <si>
    <t>-650.881245672727 126.776589409679 -767.345626991406</t>
  </si>
  <si>
    <t>-550.362134297767 232.970106616744 -751.679337756536</t>
  </si>
  <si>
    <t>-458.821034624406 169.23549265045 -455.462647640611</t>
  </si>
  <si>
    <t>-262.811767962021 77.587132264784 -311.160939520713</t>
  </si>
  <si>
    <t>-688.087561023645 75.3531529124293 -763.508017498668</t>
  </si>
  <si>
    <t>-568.632650294956 227.538696179452 -244.765057431028</t>
  </si>
  <si>
    <t>-581.11892261885 209.880468556188 210.416159771318</t>
  </si>
  <si>
    <t>-619.512606008423 180.445311454974 677.604447156812</t>
  </si>
  <si>
    <t>-490.065045994671 99.9576695670794 765.402975795081</t>
  </si>
  <si>
    <t>-658.042117139125 53.1395226440516 -213.390808473154</t>
  </si>
  <si>
    <t>-504.515099611501 -90.9071464054166 190.759779362274</t>
  </si>
  <si>
    <t>-497.814429306505 -22.7129934689683 655.459034030048</t>
  </si>
  <si>
    <t>-491.30970292228 -169.71158626583 751.857314905775</t>
  </si>
  <si>
    <t>9763-20170724T160503.591447800.bin</t>
  </si>
  <si>
    <t>-612.866571142353 140.464332728776 -229.468261105228</t>
  </si>
  <si>
    <t>-652.143214455414 139.529597590474 -344.029475414033</t>
  </si>
  <si>
    <t>-669.75405823292 132.749067484271 -463.756102607056</t>
  </si>
  <si>
    <t>-676.708613982941 123.804131779166 -572.68950605211</t>
  </si>
  <si>
    <t>-674.822582327876 111.885041041332 -681.543499733201</t>
  </si>
  <si>
    <t>-663.072178385082 92.0384211699511 -832.102707074326</t>
  </si>
  <si>
    <t>-624.608952994906 62.3338710516068 -921.66393946047</t>
  </si>
  <si>
    <t>-649.640050673737 126.510134174919 -767.417314291313</t>
  </si>
  <si>
    <t>-549.021923264552 232.594993939794 -751.732527731114</t>
  </si>
  <si>
    <t>-457.520058494698 168.288057233915 -455.627441213856</t>
  </si>
  <si>
    <t>-261.552261868797 76.3277654936737 -311.467807189175</t>
  </si>
  <si>
    <t>-686.902650678832 75.1297754754403 -763.552520748156</t>
  </si>
  <si>
    <t>-568.060084754574 227.554325410854 -244.770173189337</t>
  </si>
  <si>
    <t>-580.998171459037 209.855432947236 210.396912412599</t>
  </si>
  <si>
    <t>-619.717556075484 179.971483698768 677.489494340482</t>
  </si>
  <si>
    <t>-490.074473769269 99.9758170581638 765.449005637446</t>
  </si>
  <si>
    <t>-657.562068319661 53.379528240856 -213.444353468083</t>
  </si>
  <si>
    <t>-504.506862698806 -90.8861796483111 190.807057985375</t>
  </si>
  <si>
    <t>-497.790158456991 -22.6792336969436 655.525630518451</t>
  </si>
  <si>
    <t>-491.271360438901 -169.658962961978 751.951629768563</t>
  </si>
  <si>
    <t>9763-20170724T160503.625538800.bin</t>
  </si>
  <si>
    <t>-612.679061752159 140.487222564587 -229.483374805388</t>
  </si>
  <si>
    <t>-651.90873357948 139.579869446192 -344.060888612543</t>
  </si>
  <si>
    <t>-669.445386198093 132.78902001347 -463.797675905195</t>
  </si>
  <si>
    <t>-676.323059909035 123.818537127741 -572.733875223171</t>
  </si>
  <si>
    <t>-674.351377222148 111.857329706418 -681.581891827121</t>
  </si>
  <si>
    <t>-662.473981261172 91.9346407714554 -832.121076056063</t>
  </si>
  <si>
    <t>-623.963211040677 62.1703931720808 -921.641948284444</t>
  </si>
  <si>
    <t>-649.084284202497 126.430451430531 -767.439676164133</t>
  </si>
  <si>
    <t>-548.402138249626 232.449267381764 -751.703831665106</t>
  </si>
  <si>
    <t>-457.06468274365 167.948211809479 -455.59021630942</t>
  </si>
  <si>
    <t>-261.102346787177 75.8405587231509 -311.517330298631</t>
  </si>
  <si>
    <t>-686.374474230611 75.0691284330344 -763.584524296859</t>
  </si>
  <si>
    <t>-567.806312467938 227.513416466607 -244.770222350288</t>
  </si>
  <si>
    <t>-580.903799685079 209.830329960138 210.392883655451</t>
  </si>
  <si>
    <t>-619.762725909018 179.868994392249 677.460417764495</t>
  </si>
  <si>
    <t>-490.09506468223 99.975890818115 765.476897187719</t>
  </si>
  <si>
    <t>-657.435394345976 53.4529765708301 -213.491381313559</t>
  </si>
  <si>
    <t>-504.47538846951 -90.930612339532 190.753955184248</t>
  </si>
  <si>
    <t>-497.800523655919 -22.7045567709495 655.464894138386</t>
  </si>
  <si>
    <t>-491.26464311349 -169.629333962344 751.973458525459</t>
  </si>
  <si>
    <t>9763-20170724T160503.692793200.bin</t>
  </si>
  <si>
    <t>-612.482818340055 140.531184697704 -229.530586491876</t>
  </si>
  <si>
    <t>-651.669788602927 139.661382823086 -344.123032675029</t>
  </si>
  <si>
    <t>-669.088877764284 132.874047434704 -463.877331458173</t>
  </si>
  <si>
    <t>-675.831895117527 123.887474189931 -572.820409006227</t>
  </si>
  <si>
    <t>-673.699224487211 111.888129065788 -681.66126833007</t>
  </si>
  <si>
    <t>-661.573043886462 91.8871821226969 -832.170092188026</t>
  </si>
  <si>
    <t>-622.960344295135 62.0565807391258 -921.624973514641</t>
  </si>
  <si>
    <t>-648.262623333095 126.397010066823 -767.479910951091</t>
  </si>
  <si>
    <t>-547.471760552524 232.273196897773 -751.551703708359</t>
  </si>
  <si>
    <t>-456.542221803503 167.263248932907 -455.423874022336</t>
  </si>
  <si>
    <t>-260.805566982739 74.9877186130564 -311.151700183003</t>
  </si>
  <si>
    <t>-685.614306764877 75.0770423719716 -763.66931567949</t>
  </si>
  <si>
    <t>-567.543603194203 227.512242394776 -244.768865822118</t>
  </si>
  <si>
    <t>-580.781447523174 209.684330307067 210.384475128262</t>
  </si>
  <si>
    <t>-619.967076014018 179.55775700619 677.420747457556</t>
  </si>
  <si>
    <t>-490.051600877216 100.131562587278 765.494318176991</t>
  </si>
  <si>
    <t>-657.275595813623 53.5759643397655 -213.600766929252</t>
  </si>
  <si>
    <t>-504.389804118736 -90.9725566658044 190.613618445941</t>
  </si>
  <si>
    <t>-497.819849089636 -22.804140984377 655.346399688852</t>
  </si>
  <si>
    <t>-491.222264845273 -169.604325779102 752.0402621198</t>
  </si>
  <si>
    <t>9763-20170724T160503.726887400.bin</t>
  </si>
  <si>
    <t>-612.377319949818 140.666499627418 -229.540691822633</t>
  </si>
  <si>
    <t>-651.55477633397 139.803692081009 -344.136512448506</t>
  </si>
  <si>
    <t>-668.920230214262 133.034757684111 -463.899488010375</t>
  </si>
  <si>
    <t>-675.596769525333 124.06778663433 -572.848421527794</t>
  </si>
  <si>
    <t>-673.380049097209 112.090038062819 -681.68993481274</t>
  </si>
  <si>
    <t>-661.119390976434 92.1203653468424 -832.19212518671</t>
  </si>
  <si>
    <t>-622.438403747759 62.2940754357426 -921.618830434295</t>
  </si>
  <si>
    <t>-647.863937590944 126.614455655908 -767.482167164567</t>
  </si>
  <si>
    <t>-547.029978668722 232.43810050449 -751.410864642704</t>
  </si>
  <si>
    <t>-456.263219345414 166.963358996165 -455.335399302562</t>
  </si>
  <si>
    <t>-260.784906940032 74.6922302677658 -310.710610191362</t>
  </si>
  <si>
    <t>-685.224885079046 75.2980539837124 -763.716786629481</t>
  </si>
  <si>
    <t>-567.442627646324 227.667785757994 -244.757253235052</t>
  </si>
  <si>
    <t>-580.727503428736 209.766703000291 210.39188104593</t>
  </si>
  <si>
    <t>-620.012316450763 179.504176060985 677.411906908371</t>
  </si>
  <si>
    <t>-490.195206609362 99.9523513249687 765.51715957784</t>
  </si>
  <si>
    <t>-657.156470928529 53.7071405197712 -213.612285907353</t>
  </si>
  <si>
    <t>-504.226054869513 -90.9454172184933 190.547976245432</t>
  </si>
  <si>
    <t>-497.721370231411 -22.8056682876702 655.326425058615</t>
  </si>
  <si>
    <t>-491.161024576066 -169.582743750584 752.057999621616</t>
  </si>
  <si>
    <t>9763-20170724T160503.793573300.bin</t>
  </si>
  <si>
    <t>-612.244530825361 141.030063536444 -229.494888248201</t>
  </si>
  <si>
    <t>-651.409309842527 140.165185168024 -344.095072187031</t>
  </si>
  <si>
    <t>-668.71097103214 133.460392326856 -463.870884066272</t>
  </si>
  <si>
    <t>-675.308590185289 124.574450487886 -572.831273315162</t>
  </si>
  <si>
    <t>-672.991692012015 112.698626781904 -681.681829798627</t>
  </si>
  <si>
    <t>-660.570450221806 92.8898405446923 -832.191970602852</t>
  </si>
  <si>
    <t>-621.777284589531 63.14512822401 -921.597462913576</t>
  </si>
  <si>
    <t>-647.380046248687 127.311923085721 -767.430575434862</t>
  </si>
  <si>
    <t>-546.607661629115 233.150614885001 -751.043483105033</t>
  </si>
  <si>
    <t>-456.26538943931 166.682382226151 -455.059665661608</t>
  </si>
  <si>
    <t>-262.424817892482 73.7377855720026 -308.672665371093</t>
  </si>
  <si>
    <t>-684.752976715186 75.997196077223 -763.761340182607</t>
  </si>
  <si>
    <t>-567.402347972855 228.095654318486 -244.704472089099</t>
  </si>
  <si>
    <t>-580.795237533354 210.154023751938 210.439957282665</t>
  </si>
  <si>
    <t>-620.016653968649 179.572149221628 677.421296129301</t>
  </si>
  <si>
    <t>-490.318210979108 99.8723560013609 765.567571370365</t>
  </si>
  <si>
    <t>-656.958589885303 54.0038877482689 -213.557656623506</t>
  </si>
  <si>
    <t>-503.841788507656 -90.8212260509085 190.470304485284</t>
  </si>
  <si>
    <t>-497.581185481509 -22.7795120632386 655.287945029866</t>
  </si>
  <si>
    <t>-491.060296255757 -169.536151224684 752.052987409096</t>
  </si>
  <si>
    <t>9763-20170724T160503.825659100.bin</t>
  </si>
  <si>
    <t>-612.225602521059 141.166530220188 -229.469740896476</t>
  </si>
  <si>
    <t>-651.374662278981 140.286807962793 -344.075060070046</t>
  </si>
  <si>
    <t>-668.64220668927 133.614117143003 -463.85773500164</t>
  </si>
  <si>
    <t>-675.201232346809 124.774254631582 -572.824140954577</t>
  </si>
  <si>
    <t>-672.838192551526 112.96003312577 -681.68037939063</t>
  </si>
  <si>
    <t>-660.344694926415 93.2522308341065 -832.197953856895</t>
  </si>
  <si>
    <t>-621.507981183112 63.5749124188249 -921.606857442787</t>
  </si>
  <si>
    <t>-647.173205008011 127.62207810883 -767.404932585242</t>
  </si>
  <si>
    <t>-546.448475316311 233.483278346161 -750.901263359547</t>
  </si>
  <si>
    <t>-456.526646103497 166.75281362661 -454.8483357378</t>
  </si>
  <si>
    <t>-264.774900869543 72.6088625709644 -306.489818241003</t>
  </si>
  <si>
    <t>-684.572239813362 76.3224665636524 -763.792334966875</t>
  </si>
  <si>
    <t>-567.410851686526 228.229897002159 -244.694012180848</t>
  </si>
  <si>
    <t>-580.895033604688 210.332978199007 210.449461130414</t>
  </si>
  <si>
    <t>-620.008660082297 179.611169043205 677.418422433847</t>
  </si>
  <si>
    <t>-490.3666206264 99.8519693269066 765.593933385794</t>
  </si>
  <si>
    <t>-656.917104282162 54.1147466465845 -213.533833058188</t>
  </si>
  <si>
    <t>-503.714156525652 -90.8050317142427 190.427512118145</t>
  </si>
  <si>
    <t>-497.545402251315 -22.7925038913797 655.244019338995</t>
  </si>
  <si>
    <t>-491.086054236888 -169.534857697224 752.034971253564</t>
  </si>
  <si>
    <t>9763-20170724T160503.894901800.bin</t>
  </si>
  <si>
    <t>-612.174448756571 141.282324269449 -229.416991069876</t>
  </si>
  <si>
    <t>-651.307424691336 140.430570210498 -344.02801462982</t>
  </si>
  <si>
    <t>-668.521585099154 133.870147578644 -463.824581413005</t>
  </si>
  <si>
    <t>-675.015553118069 125.165869165226 -572.805734134958</t>
  </si>
  <si>
    <t>-672.569242133374 113.52174710814 -681.67856490597</t>
  </si>
  <si>
    <t>-659.940096657657 94.0861991579061 -832.22011023283</t>
  </si>
  <si>
    <t>-621.025082085909 64.5517849800488 -921.642324958666</t>
  </si>
  <si>
    <t>-646.806955902552 128.324587105556 -767.34971976344</t>
  </si>
  <si>
    <t>-546.228863259892 234.311559988194 -750.711430506087</t>
  </si>
  <si>
    <t>-457.504513915794 167.54652857168 -454.305353795423</t>
  </si>
  <si>
    <t>-270.269143495208 71.9047796733635 -301.211840008896</t>
  </si>
  <si>
    <t>-684.249217738575 77.0470982391212 -763.870551023704</t>
  </si>
  <si>
    <t>-567.314563250974 228.30561153646 -244.652674074712</t>
  </si>
  <si>
    <t>-581.09826322499 210.639876093187 210.490795288202</t>
  </si>
  <si>
    <t>-620.049890150547 179.645736453557 677.453214699737</t>
  </si>
  <si>
    <t>-490.400243903117 99.8917767337698 765.622298282395</t>
  </si>
  <si>
    <t>-656.932367759449 54.2784195426266 -213.462887005141</t>
  </si>
  <si>
    <t>-503.557036407398 -90.8747673439793 190.349254935965</t>
  </si>
  <si>
    <t>-497.465066213775 -22.7645260123359 655.158988546023</t>
  </si>
  <si>
    <t>-491.16183439397 -169.49563988904 751.977319945233</t>
  </si>
  <si>
    <t>9763-20170724T160503.927990400.bin</t>
  </si>
  <si>
    <t>-612.169106141861 141.204987221414 -229.410158177443</t>
  </si>
  <si>
    <t>-651.298554237599 140.366925793195 -344.022616725422</t>
  </si>
  <si>
    <t>-668.51671098435 133.856229974428 -463.821113075943</t>
  </si>
  <si>
    <t>-675.016525457355 125.212476412736 -572.806837944747</t>
  </si>
  <si>
    <t>-672.577350497077 113.64519832082 -681.688015259838</t>
  </si>
  <si>
    <t>-659.958879816379 94.3335705513896 -832.246507943495</t>
  </si>
  <si>
    <t>-621.041196972043 64.8503805199282 -921.684361595405</t>
  </si>
  <si>
    <t>-646.799505040242 128.502829670737 -767.344923460042</t>
  </si>
  <si>
    <t>-546.322676568257 234.572792107618 -750.665779406495</t>
  </si>
  <si>
    <t>-458.420326322574 168.848543865131 -453.782447107762</t>
  </si>
  <si>
    <t>-273.375429469493 72.8272531663249 -298.282051816379</t>
  </si>
  <si>
    <t>-684.284847849131 77.2538678816688 -763.913085149847</t>
  </si>
  <si>
    <t>-567.234049665421 228.131414807913 -244.669073341715</t>
  </si>
  <si>
    <t>-581.226273418538 210.679516484121 210.476278851316</t>
  </si>
  <si>
    <t>-620.134024049544 179.545358846688 677.45906316488</t>
  </si>
  <si>
    <t>-490.364261656403 99.9911887710593 765.631926125444</t>
  </si>
  <si>
    <t>-657.049273849317 54.281938717651 -213.431641528977</t>
  </si>
  <si>
    <t>-503.636515859475 -90.972427102676 190.329857822234</t>
  </si>
  <si>
    <t>-497.45893467967 -22.7553348318781 655.105263660089</t>
  </si>
  <si>
    <t>-491.235735279923 -169.476614386935 751.943543237283</t>
  </si>
  <si>
    <t>9763-20170724T160503.990163200.bin</t>
  </si>
  <si>
    <t>-612.00179155729 140.676640166732 -229.449657468085</t>
  </si>
  <si>
    <t>-651.06477758427 139.896287452897 -344.085029604466</t>
  </si>
  <si>
    <t>-668.262838586001 133.526489239182 -463.89414337293</t>
  </si>
  <si>
    <t>-674.763253029114 125.043210921512 -572.892439694313</t>
  </si>
  <si>
    <t>-672.342296542225 113.669482114169 -681.794322013434</t>
  </si>
  <si>
    <t>-659.766020964592 94.6610518850455 -832.394785458344</t>
  </si>
  <si>
    <t>-620.916987635252 65.2759902009373 -921.894948246546</t>
  </si>
  <si>
    <t>-646.501511574213 128.636885690772 -767.4132236716</t>
  </si>
  <si>
    <t>-546.199954612503 234.855271167499 -750.519349857818</t>
  </si>
  <si>
    <t>-462.743372178988 173.026192548339 -451.523850712864</t>
  </si>
  <si>
    <t>-277.731261792259 82.0388744532386 -292.987183742851</t>
  </si>
  <si>
    <t>-684.159807948113 77.506435612928 -764.104326023505</t>
  </si>
  <si>
    <t>-566.700916344874 227.276343174728 -244.708858475082</t>
  </si>
  <si>
    <t>-581.258993933209 210.404029513298 210.440589848757</t>
  </si>
  <si>
    <t>-620.30595030975 179.385894346557 677.438502284613</t>
  </si>
  <si>
    <t>-490.488951123738 99.9261940238252 765.62701567186</t>
  </si>
  <si>
    <t>-657.167132390559 54.0168594178958 -213.51329886391</t>
  </si>
  <si>
    <t>-504.15598959979 -91.2804982393761 190.385098058859</t>
  </si>
  <si>
    <t>-497.435611736355 -22.7382227972375 655.0722638548</t>
  </si>
  <si>
    <t>-491.490602469229 -169.438356858923 751.960224203674</t>
  </si>
  <si>
    <t>9763-20170724T160504.028264200.bin</t>
  </si>
  <si>
    <t>-611.930832678017 140.321319404247 -229.480178221772</t>
  </si>
  <si>
    <t>-650.957727792304 139.593877459878 -344.128183078322</t>
  </si>
  <si>
    <t>-668.13053422211 133.304604462102 -463.945276710971</t>
  </si>
  <si>
    <t>-674.611835872223 124.907472022877 -572.951353319173</t>
  </si>
  <si>
    <t>-672.17480966942 113.634407689819 -681.863341103115</t>
  </si>
  <si>
    <t>-659.578289851032 94.7822721211612 -832.481889538085</t>
  </si>
  <si>
    <t>-620.743292825197 65.4688161538124 -922.011533764285</t>
  </si>
  <si>
    <t>-646.299548161046 128.673906099583 -767.45918286413</t>
  </si>
  <si>
    <t>-546.330448646115 235.155220287909 -750.415326159681</t>
  </si>
  <si>
    <t>-465.603299283957 175.869340490662 -450.15788521755</t>
  </si>
  <si>
    <t>-279.716606574915 89.087250368113 -290.292173103561</t>
  </si>
  <si>
    <t>-684.004134148457 77.5736528942055 -764.216482370736</t>
  </si>
  <si>
    <t>-566.477569029456 226.842629736886 -244.758857142692</t>
  </si>
  <si>
    <t>-581.144931352032 210.130548951002 210.393002936409</t>
  </si>
  <si>
    <t>-620.293510917989 179.425986443148 677.400190174907</t>
  </si>
  <si>
    <t>-490.602967265058 99.7853201634628 765.611521161995</t>
  </si>
  <si>
    <t>-657.254863245786 53.8090828197016 -213.535461972649</t>
  </si>
  <si>
    <t>-504.487540722347 -91.5714379453102 190.425228550341</t>
  </si>
  <si>
    <t>-497.391559962877 -22.7438698307426 655.059606493925</t>
  </si>
  <si>
    <t>-491.556398893338 -169.42897398317 751.97685288584</t>
  </si>
  <si>
    <t>9763-20170724T160504.091996600.bin</t>
  </si>
  <si>
    <t>-611.852548593786 139.458229343092 -229.495138095039</t>
  </si>
  <si>
    <t>-650.939931991033 138.879039622391 -344.123327892663</t>
  </si>
  <si>
    <t>-668.048016155623 132.75460519014 -463.958192183662</t>
  </si>
  <si>
    <t>-674.414454429523 124.523628738129 -572.983701484924</t>
  </si>
  <si>
    <t>-671.80326480957 113.44045810023 -681.911175759575</t>
  </si>
  <si>
    <t>-658.900344834969 94.8832292269285 -832.540421210116</t>
  </si>
  <si>
    <t>-619.996513184987 65.7739504908479 -922.106656402342</t>
  </si>
  <si>
    <t>-645.780534332575 128.666746673431 -767.429248702048</t>
  </si>
  <si>
    <t>-546.367343066866 235.628436582161 -750.018725971626</t>
  </si>
  <si>
    <t>-470.290298112915 183.693462177224 -447.196562784907</t>
  </si>
  <si>
    <t>-284.576646774799 106.819353385494 -282.142569489179</t>
  </si>
  <si>
    <t>-683.438445490882 77.5216978492765 -764.353985046104</t>
  </si>
  <si>
    <t>-566.242456972937 225.799716873157 -244.819319953979</t>
  </si>
  <si>
    <t>-580.93797081087 209.348053438275 210.341095098911</t>
  </si>
  <si>
    <t>-620.434378465517 179.224815187723 677.344167825663</t>
  </si>
  <si>
    <t>-490.607303574555 99.8509539747963 765.595112770699</t>
  </si>
  <si>
    <t>-657.31500790567 53.1759343757567 -213.512772210154</t>
  </si>
  <si>
    <t>-504.929407731801 -92.5167797507856 190.479690999138</t>
  </si>
  <si>
    <t>-497.245414381024 -22.7504730878525 655.001909289756</t>
  </si>
  <si>
    <t>-491.735514502232 -169.404468099187 751.985251008077</t>
  </si>
  <si>
    <t>9763-20170724T160504.126088700.bin</t>
  </si>
  <si>
    <t>-611.807642618196 138.985933719304 -229.556653420987</t>
  </si>
  <si>
    <t>-650.953217179469 138.444160471413 -344.165273938753</t>
  </si>
  <si>
    <t>-668.038400956692 132.337628856884 -464.004185639981</t>
  </si>
  <si>
    <t>-674.349391492224 124.117730666861 -573.033857766014</t>
  </si>
  <si>
    <t>-671.64697237669 113.043100707516 -681.959963256971</t>
  </si>
  <si>
    <t>-658.579982534352 94.4968949768056 -832.576272734952</t>
  </si>
  <si>
    <t>-619.601452777752 65.4633324050808 -922.134748346891</t>
  </si>
  <si>
    <t>-645.556062969284 128.293848167071 -767.452913969082</t>
  </si>
  <si>
    <t>-546.503012894572 235.558883149081 -749.944232473297</t>
  </si>
  <si>
    <t>-472.944235132393 187.894390638635 -445.800565164119</t>
  </si>
  <si>
    <t>-287.469190398724 116.071927733739 -278.221832244034</t>
  </si>
  <si>
    <t>-683.167353906021 77.1122144635247 -764.413574395392</t>
  </si>
  <si>
    <t>-566.212384594381 225.288226574692 -244.892800056286</t>
  </si>
  <si>
    <t>-580.78846704091 208.953728915777 210.275731956397</t>
  </si>
  <si>
    <t>-620.443360786223 179.170454586349 677.291980315583</t>
  </si>
  <si>
    <t>-490.646949653765 99.8217062924641 765.610609076594</t>
  </si>
  <si>
    <t>-657.249501193734 52.7201392993331 -213.55421176058</t>
  </si>
  <si>
    <t>-504.946011679803 -92.9535137441023 190.476148902275</t>
  </si>
  <si>
    <t>-497.162229627797 -22.7625871282917 654.944026636972</t>
  </si>
  <si>
    <t>-491.791875225951 -169.395099886011 751.967522888665</t>
  </si>
  <si>
    <t>9763-20170724T160504.192882600.bin</t>
  </si>
  <si>
    <t>-611.741750001755 138.177894514764 -229.682303989822</t>
  </si>
  <si>
    <t>-651.041737953451 137.67261446198 -344.238158242613</t>
  </si>
  <si>
    <t>-668.051281340399 131.626317771367 -464.090957966656</t>
  </si>
  <si>
    <t>-674.193324555567 123.478739516713 -573.135629889526</t>
  </si>
  <si>
    <t>-671.21919661061 112.499015116438 -682.064260646441</t>
  </si>
  <si>
    <t>-657.666426221802 94.1130111077123 -832.657347979868</t>
  </si>
  <si>
    <t>-618.459676072007 65.3180794607965 -922.193213699981</t>
  </si>
  <si>
    <t>-644.985395033491 127.936366439683 -767.480011154277</t>
  </si>
  <si>
    <t>-546.564063128313 235.742797090484 -749.704548095998</t>
  </si>
  <si>
    <t>-476.842083885019 195.793021100844 -443.552484461326</t>
  </si>
  <si>
    <t>-292.781584946646 137.351849031217 -269.344578445022</t>
  </si>
  <si>
    <t>-682.340737466127 76.5602291711737 -764.5692472144</t>
  </si>
  <si>
    <t>-566.412894802243 224.615307290384 -245.052760207921</t>
  </si>
  <si>
    <t>-580.36737912878 208.175383557701 210.13150802966</t>
  </si>
  <si>
    <t>-620.277070441796 179.330387324183 677.191851350199</t>
  </si>
  <si>
    <t>-490.751350031112 99.6956621656248 765.650386012328</t>
  </si>
  <si>
    <t>-656.931255767787 51.7793100612539 -213.610235961069</t>
  </si>
  <si>
    <t>-504.355397816941 -93.6773023389253 190.395534539862</t>
  </si>
  <si>
    <t>-496.986581383641 -22.7526793026425 654.792923597308</t>
  </si>
  <si>
    <t>-491.726168060025 -169.364561014253 751.853701266646</t>
  </si>
  <si>
    <t>9763-20170724T160504.224967600.bin</t>
  </si>
  <si>
    <t>-611.84285512564 137.83007277728 -229.715731421364</t>
  </si>
  <si>
    <t>-651.242364036378 137.310913061028 -344.237468404548</t>
  </si>
  <si>
    <t>-668.260708604175 131.25074289018 -464.088277918509</t>
  </si>
  <si>
    <t>-674.369069472931 123.099770979759 -573.134532664061</t>
  </si>
  <si>
    <t>-671.31779466856 112.130621033392 -682.062207472124</t>
  </si>
  <si>
    <t>-657.610777408901 93.7788049537849 -832.645513444492</t>
  </si>
  <si>
    <t>-618.291753573978 65.1285547298867 -922.17844887966</t>
  </si>
  <si>
    <t>-645.104274467549 127.664344428726 -767.466528569292</t>
  </si>
  <si>
    <t>-547.269040844095 235.969277909569 -749.611279360196</t>
  </si>
  <si>
    <t>-478.808120169398 198.310291702604 -442.884971426392</t>
  </si>
  <si>
    <t>-297.41298382523 146.08308686562 -263.971051209599</t>
  </si>
  <si>
    <t>-682.247009362372 76.1336384467993 -764.567484256957</t>
  </si>
  <si>
    <t>-566.700065929459 224.344653838522 -245.094765445379</t>
  </si>
  <si>
    <t>-580.239152613407 207.75652679029 210.096566369206</t>
  </si>
  <si>
    <t>-620.258227263137 179.371528566574 677.195709635461</t>
  </si>
  <si>
    <t>-490.598788832868 99.9539620889 765.653513349833</t>
  </si>
  <si>
    <t>-656.887178292993 51.3478953068834 -213.608147586858</t>
  </si>
  <si>
    <t>-503.935453282906 -93.9794260820622 190.30197624584</t>
  </si>
  <si>
    <t>-496.92889935085 -22.750269978025 654.694555201292</t>
  </si>
  <si>
    <t>-491.64442085568 -169.352586258196 751.768355111816</t>
  </si>
  <si>
    <t>9763-20170724T160504.289161200.bin</t>
  </si>
  <si>
    <t>-611.827931775237 137.459882239523 -229.57251098477</t>
  </si>
  <si>
    <t>-651.398246200252 136.80341283319 -344.034527839401</t>
  </si>
  <si>
    <t>-668.432684136842 130.738668267996 -463.882952803884</t>
  </si>
  <si>
    <t>-674.48268857475 122.65360581955 -572.937376366026</t>
  </si>
  <si>
    <t>-671.295074767699 111.829171242647 -681.875425097909</t>
  </si>
  <si>
    <t>-657.313264210774 93.7682954225384 -832.468837740198</t>
  </si>
  <si>
    <t>-617.842759511947 65.580401434217 -922.081887630594</t>
  </si>
  <si>
    <t>-645.155585537354 127.689459873847 -767.24249032285</t>
  </si>
  <si>
    <t>-548.267096013939 236.826921696907 -749.114115332074</t>
  </si>
  <si>
    <t>-481.892243357502 201.990197740623 -441.596721633064</t>
  </si>
  <si>
    <t>-305.302650931363 155.095455798243 -256.504724660351</t>
  </si>
  <si>
    <t>-681.844051787244 75.8297967130145 -764.429240291876</t>
  </si>
  <si>
    <t>-567.080927896775 224.300652921484 -245.033343278577</t>
  </si>
  <si>
    <t>-580.032134595136 207.529906402672 210.168356917245</t>
  </si>
  <si>
    <t>-620.147308755138 179.641749629607 677.276979953292</t>
  </si>
  <si>
    <t>-490.784620683487 99.6883056197341 765.686539291257</t>
  </si>
  <si>
    <t>-656.436655218338 50.6680316121995 -213.369161928336</t>
  </si>
  <si>
    <t>-502.643561866187 -94.5519046696822 190.259996790343</t>
  </si>
  <si>
    <t>-496.753526962145 -22.638594882274 654.560480604623</t>
  </si>
  <si>
    <t>-491.357461878529 -169.288156414816 751.556840076119</t>
  </si>
  <si>
    <t>9763-20170724T160504.328277800.bin</t>
  </si>
  <si>
    <t>-611.740884695596 137.331792694913 -229.455620489177</t>
  </si>
  <si>
    <t>-651.356096617812 136.581554920436 -343.901561305347</t>
  </si>
  <si>
    <t>-668.40667262546 130.492443290384 -463.746261707479</t>
  </si>
  <si>
    <t>-674.456166062312 122.419946197992 -572.801865141439</t>
  </si>
  <si>
    <t>-671.25093415581 111.645989935397 -681.744327584737</t>
  </si>
  <si>
    <t>-657.224791337689 93.6978679989725 -832.347051304683</t>
  </si>
  <si>
    <t>-617.735242981639 65.7261988676412 -922.0194383199</t>
  </si>
  <si>
    <t>-645.177798509319 127.633878006332 -767.107912894255</t>
  </si>
  <si>
    <t>-548.685971512015 237.103822500574 -748.921989355752</t>
  </si>
  <si>
    <t>-483.999899660201 203.866762672015 -440.868177041162</t>
  </si>
  <si>
    <t>-307.101229177776 156.07370082235 -256.301791882294</t>
  </si>
  <si>
    <t>-681.68409562819 75.6447783043661 -764.312041487162</t>
  </si>
  <si>
    <t>-567.195314338813 224.260489978398 -244.960921866991</t>
  </si>
  <si>
    <t>-580.079211179209 207.529055643265 210.244308803327</t>
  </si>
  <si>
    <t>-620.202254737515 179.62082770227 677.336996159982</t>
  </si>
  <si>
    <t>-490.710773746634 99.8117042802796 765.688411922425</t>
  </si>
  <si>
    <t>-656.151761180054 50.4245848903811 -213.211100453292</t>
  </si>
  <si>
    <t>-501.901810988808 -94.8894337872898 190.209878908859</t>
  </si>
  <si>
    <t>-496.61462357488 -22.5955267074746 654.461107000232</t>
  </si>
  <si>
    <t>-491.225970018241 -169.267775255714 751.423633294073</t>
  </si>
  <si>
    <t>9763-20170724T160504.395452100.bin</t>
  </si>
  <si>
    <t>-611.31717473964 137.166015011972 -229.189455369554</t>
  </si>
  <si>
    <t>-651.015446706198 136.203564427069 -343.60513739868</t>
  </si>
  <si>
    <t>-668.219154387157 130.028724246037 -463.423578279055</t>
  </si>
  <si>
    <t>-674.429284404994 121.945476819374 -572.469152073937</t>
  </si>
  <si>
    <t>-671.402402811388 111.235081990342 -681.423062103037</t>
  </si>
  <si>
    <t>-657.637064565903 93.4598452418782 -832.070254361834</t>
  </si>
  <si>
    <t>-618.249819102868 65.8209455557885 -921.890753158445</t>
  </si>
  <si>
    <t>-645.65191331722 127.441295886116 -766.843504287007</t>
  </si>
  <si>
    <t>-550.185129184147 237.802090777271 -748.790250405537</t>
  </si>
  <si>
    <t>-487.411500245863 207.336154318663 -440.055002238723</t>
  </si>
  <si>
    <t>-306.942128505502 156.347140754298 -259.852270707837</t>
  </si>
  <si>
    <t>-681.80367169672 75.2083954183272 -763.983693280138</t>
  </si>
  <si>
    <t>-567.098700150048 224.147225457264 -244.810394675772</t>
  </si>
  <si>
    <t>-580.264161293279 207.670720573735 210.3959464451</t>
  </si>
  <si>
    <t>-620.363606925911 179.456200279199 677.450285655712</t>
  </si>
  <si>
    <t>-490.770996570237 99.7180658097805 765.717498045546</t>
  </si>
  <si>
    <t>-655.446107714501 50.187003813433 -212.794076571692</t>
  </si>
  <si>
    <t>-500.390306589187 -95.2204655471253 190.284087772463</t>
  </si>
  <si>
    <t>-496.234341219349 -22.3071826100893 654.452051088521</t>
  </si>
  <si>
    <t>-490.773552902366 -169.163298934616 751.131733515287</t>
  </si>
  <si>
    <t>9763-20170724T160504.428539200.bin</t>
  </si>
  <si>
    <t>-610.973224845961 137.086050166577 -229.168732061022</t>
  </si>
  <si>
    <t>-650.657188587928 136.024977203109 -343.588371160773</t>
  </si>
  <si>
    <t>-667.905924997449 129.802581322137 -463.397968628266</t>
  </si>
  <si>
    <t>-674.179633328883 121.702832300734 -572.438596556932</t>
  </si>
  <si>
    <t>-671.23724552799 111.005838525877 -681.396356914206</t>
  </si>
  <si>
    <t>-657.609317015432 93.282655176899 -832.062133264434</t>
  </si>
  <si>
    <t>-618.27541251903 65.7773848430538 -921.946953679603</t>
  </si>
  <si>
    <t>-645.643746720988 127.295240104507 -766.847921517287</t>
  </si>
  <si>
    <t>-550.456030878514 237.920228258991 -748.831319077413</t>
  </si>
  <si>
    <t>-488.501033993281 208.115349439064 -439.866243471169</t>
  </si>
  <si>
    <t>-306.319988365433 155.502434712991 -261.866201100747</t>
  </si>
  <si>
    <t>-681.634843413887 74.9538864509836 -763.94635854227</t>
  </si>
  <si>
    <t>-566.880494112158 224.166023497447 -244.809436831458</t>
  </si>
  <si>
    <t>-580.211354819571 207.77892783173 210.395308384641</t>
  </si>
  <si>
    <t>-620.331054096235 179.520296928148 677.46048118714</t>
  </si>
  <si>
    <t>-490.838936575735 99.6106667031747 765.720058854549</t>
  </si>
  <si>
    <t>-654.899348840236 50.0136476161549 -212.809377308805</t>
  </si>
  <si>
    <t>-499.840233922756 -95.276252097301 190.309847416576</t>
  </si>
  <si>
    <t>-496.182429896756 -22.270907340499 654.340075844856</t>
  </si>
  <si>
    <t>-490.683082018067 -169.133978559607 751.006981115504</t>
  </si>
  <si>
    <t>9763-20170724T160504.494304500.bin</t>
  </si>
  <si>
    <t>-610.478598285606 136.720381262174 -229.123145772694</t>
  </si>
  <si>
    <t>-650.142863384237 135.446607222137 -343.547383185684</t>
  </si>
  <si>
    <t>-667.485916617984 129.074113333063 -463.335481208135</t>
  </si>
  <si>
    <t>-673.890325437242 120.869304758969 -572.360791264693</t>
  </si>
  <si>
    <t>-671.123183699596 110.099185945253 -681.3157745553</t>
  </si>
  <si>
    <t>-657.782745937932 92.3095891058856 -831.999451806755</t>
  </si>
  <si>
    <t>-618.636542284426 64.9323948478082 -922.005220528595</t>
  </si>
  <si>
    <t>-645.792695773172 126.418345564459 -766.840125836423</t>
  </si>
  <si>
    <t>-550.8984997648 237.353280489935 -749.117000699751</t>
  </si>
  <si>
    <t>-489.908740017877 208.196006506067 -439.898197141428</t>
  </si>
  <si>
    <t>-306.228321643666 152.70946099408 -264.328294423401</t>
  </si>
  <si>
    <t>-681.578273831013 73.9435033039226 -763.813095593212</t>
  </si>
  <si>
    <t>-566.750427985936 223.903753840262 -244.829082967334</t>
  </si>
  <si>
    <t>-580.168485867606 207.528758086901 210.373709773989</t>
  </si>
  <si>
    <t>-620.479126157092 179.297749895088 677.445827101397</t>
  </si>
  <si>
    <t>-490.746448296328 99.7564615929527 765.684826427016</t>
  </si>
  <si>
    <t>-654.063959281965 49.5026331761969 -212.797624690714</t>
  </si>
  <si>
    <t>-498.976830812026 -95.7870388238332 190.311085482325</t>
  </si>
  <si>
    <t>-496.106288026633 -22.2634246862162 654.208300923117</t>
  </si>
  <si>
    <t>-490.558715060962 -169.100147396385 750.91262492273</t>
  </si>
  <si>
    <t>9763-20170724T160504.529400900.bin</t>
  </si>
  <si>
    <t>-610.221249636193 136.478023267412 -229.151390997791</t>
  </si>
  <si>
    <t>-649.900059464549 135.123578893816 -343.569729768612</t>
  </si>
  <si>
    <t>-667.307843651284 128.705192812679 -463.345892920343</t>
  </si>
  <si>
    <t>-673.791063356969 120.473142780963 -572.364485213816</t>
  </si>
  <si>
    <t>-671.122260749838 109.690087936945 -681.320603740777</t>
  </si>
  <si>
    <t>-657.938387084842 91.8967055656294 -832.017655921079</t>
  </si>
  <si>
    <t>-618.905413768728 64.5313755903344 -922.076205423022</t>
  </si>
  <si>
    <t>-645.907817172325 126.025411915293 -766.876238563841</t>
  </si>
  <si>
    <t>-551.052811216953 236.995344426805 -749.247777520678</t>
  </si>
  <si>
    <t>-490.585897220419 208.128948113671 -439.898923133906</t>
  </si>
  <si>
    <t>-306.289653079537 150.659082878175 -265.617035317155</t>
  </si>
  <si>
    <t>-681.635907992296 73.5139942419032 -763.801696079435</t>
  </si>
  <si>
    <t>-566.618057869202 223.68239079708 -244.851640948425</t>
  </si>
  <si>
    <t>-580.119773353271 207.372989620669 210.350885333481</t>
  </si>
  <si>
    <t>-620.590073218842 179.114579910939 677.437619903105</t>
  </si>
  <si>
    <t>-490.809369270654 99.6561310845043 765.680672514725</t>
  </si>
  <si>
    <t>-653.688087110587 49.2401456778268 -212.80911576231</t>
  </si>
  <si>
    <t>-498.550790278935 -95.9670284814081 190.309878282805</t>
  </si>
  <si>
    <t>-496.054355177505 -22.2510962828301 654.175640007387</t>
  </si>
  <si>
    <t>-490.500246284615 -169.072643795442 750.902583403811</t>
  </si>
  <si>
    <t>9763-20170724T160504.594597700.bin</t>
  </si>
  <si>
    <t>-609.895338912952 136.051274522536 -229.248762182349</t>
  </si>
  <si>
    <t>-649.56430539316 134.55190746304 -343.668794268028</t>
  </si>
  <si>
    <t>-667.050043038548 128.027941787649 -463.42792671062</t>
  </si>
  <si>
    <t>-673.639629165782 119.717313781967 -572.434041891082</t>
  </si>
  <si>
    <t>-671.112720450292 108.872259599507 -681.387598550222</t>
  </si>
  <si>
    <t>-658.161941892361 91.0098331425961 -832.096690718728</t>
  </si>
  <si>
    <t>-619.316297759324 63.5963989245081 -922.221561926321</t>
  </si>
  <si>
    <t>-646.069289382364 125.194185977875 -766.995822025962</t>
  </si>
  <si>
    <t>-551.335019888638 236.330114685789 -749.62304183175</t>
  </si>
  <si>
    <t>-492.181327158148 207.423533619786 -440.024254154328</t>
  </si>
  <si>
    <t>-306.154275030174 146.31051704105 -268.848220967377</t>
  </si>
  <si>
    <t>-681.715321929038 72.632507312258 -763.829206930408</t>
  </si>
  <si>
    <t>-566.3885600045 223.275673295662 -244.952607837002</t>
  </si>
  <si>
    <t>-580.086953102557 207.117863475121 210.249485824612</t>
  </si>
  <si>
    <t>-620.718000443263 178.859453071825 677.357934694072</t>
  </si>
  <si>
    <t>-490.842543696421 99.5973472698349 765.638125588463</t>
  </si>
  <si>
    <t>-653.28349929247 48.8350439891603 -212.886000336559</t>
  </si>
  <si>
    <t>-498.026264296557 -96.1135168306928 190.279914594366</t>
  </si>
  <si>
    <t>-496.106090749654 -22.3071592292206 654.084599450528</t>
  </si>
  <si>
    <t>-490.415641377244 -169.033268261909 750.948198860468</t>
  </si>
  <si>
    <t>9763-20170724T160504.627683400.bin</t>
  </si>
  <si>
    <t>-609.900153725799 135.811802661444 -229.3299852519</t>
  </si>
  <si>
    <t>-649.547647209355 134.241451417234 -343.756365646293</t>
  </si>
  <si>
    <t>-667.085214634438 127.661850394106 -463.504997976802</t>
  </si>
  <si>
    <t>-673.751829957164 119.309173368318 -572.503363078656</t>
  </si>
  <si>
    <t>-671.331383077472 108.431494960399 -681.455946521666</t>
  </si>
  <si>
    <t>-658.558479525778 90.5340205047223 -832.17605050912</t>
  </si>
  <si>
    <t>-619.785185224801 63.1043338920204 -922.327075993273</t>
  </si>
  <si>
    <t>-646.421213531316 124.755079406916 -767.102806116895</t>
  </si>
  <si>
    <t>-551.852605148094 236.037483508008 -749.838387049201</t>
  </si>
  <si>
    <t>-492.934349193955 206.792591642548 -440.226412605571</t>
  </si>
  <si>
    <t>-306.237100472255 143.254389194803 -270.670759220849</t>
  </si>
  <si>
    <t>-681.998965375317 72.1511245856454 -763.871322675964</t>
  </si>
  <si>
    <t>-566.483530866539 222.976452387995 -245.017370452274</t>
  </si>
  <si>
    <t>-580.216463475409 206.891529161402 210.186227862605</t>
  </si>
  <si>
    <t>-620.873955813293 178.608695454551 677.326765211237</t>
  </si>
  <si>
    <t>-490.723407710469 99.7954302559908 765.603702858128</t>
  </si>
  <si>
    <t>-653.212125217222 48.6447536968321 -212.979761127584</t>
  </si>
  <si>
    <t>-498.01245645248 -96.1248060970374 190.272682293328</t>
  </si>
  <si>
    <t>-496.098365359983 -22.3117060811473 654.129112991188</t>
  </si>
  <si>
    <t>-490.347793272196 -169.01905064425 751.017690061028</t>
  </si>
  <si>
    <t>9763-20170724T160504.692444100.bin</t>
  </si>
  <si>
    <t>-609.817410839202 135.528588214688 -229.471174911392</t>
  </si>
  <si>
    <t>-649.478925650917 133.92405876234 -343.892382293856</t>
  </si>
  <si>
    <t>-667.090088129534 127.251584227868 -463.624935116854</t>
  </si>
  <si>
    <t>-673.847841896775 118.794453569221 -572.609623896611</t>
  </si>
  <si>
    <t>-671.543082207839 107.793464133092 -681.552344481536</t>
  </si>
  <si>
    <t>-658.956024187493 89.7066442003356 -832.265486384069</t>
  </si>
  <si>
    <t>-620.226442935981 62.234830731388 -922.422508697553</t>
  </si>
  <si>
    <t>-646.801954095435 124.051537768304 -767.260608260291</t>
  </si>
  <si>
    <t>-552.417379086107 235.549066849494 -750.360698494426</t>
  </si>
  <si>
    <t>-492.389767910018 206.601134511901 -440.934023630328</t>
  </si>
  <si>
    <t>-304.404362816853 137.554684320591 -274.99381242525</t>
  </si>
  <si>
    <t>-682.248901599698 71.3674147263546 -763.898438719674</t>
  </si>
  <si>
    <t>-566.630402281016 222.83724831717 -245.124790042374</t>
  </si>
  <si>
    <t>-580.201410968747 206.653874558723 210.080318709228</t>
  </si>
  <si>
    <t>-620.823588999227 178.678208657481 677.276131099279</t>
  </si>
  <si>
    <t>-490.731394061383 99.7848806575778 765.567541203459</t>
  </si>
  <si>
    <t>-652.836466815834 48.2758001638229 -213.103557038725</t>
  </si>
  <si>
    <t>-497.866367795634 -96.1957721061751 190.344023809093</t>
  </si>
  <si>
    <t>-496.046512324508 -22.2513148034222 654.261142466808</t>
  </si>
  <si>
    <t>-490.256376645153 -168.973642225299 751.124610254054</t>
  </si>
  <si>
    <t>9763-20170724T160504.725536500.bin</t>
  </si>
  <si>
    <t>-609.835008113136 135.401445707923 -229.447174117556</t>
  </si>
  <si>
    <t>-649.516865601418 133.778011330267 -343.86097792644</t>
  </si>
  <si>
    <t>-667.182906347277 127.044699177133 -463.58206402978</t>
  </si>
  <si>
    <t>-674.004753068523 118.516339632467 -572.557154055302</t>
  </si>
  <si>
    <t>-671.7788151497 107.42811993637 -681.492669487102</t>
  </si>
  <si>
    <t>-659.316767041974 89.2036082319694 -832.19967022859</t>
  </si>
  <si>
    <t>-620.620679378939 61.6896436392683 -922.358280807079</t>
  </si>
  <si>
    <t>-647.126245218861 123.619474213978 -767.239095643567</t>
  </si>
  <si>
    <t>-552.75953369903 235.1716041328 -750.57326062358</t>
  </si>
  <si>
    <t>-491.984590250516 206.416566534692 -441.274542408938</t>
  </si>
  <si>
    <t>-303.382078963482 134.374088024577 -277.320003407103</t>
  </si>
  <si>
    <t>-682.535374808005 70.9153690469616 -763.793821290694</t>
  </si>
  <si>
    <t>-566.76164421101 222.738530903128 -245.118405119974</t>
  </si>
  <si>
    <t>-580.219443890989 206.526272174748 210.088951126286</t>
  </si>
  <si>
    <t>-620.843097970483 178.659759890427 677.281279871794</t>
  </si>
  <si>
    <t>-490.749674766762 99.7612394199705 765.566256215785</t>
  </si>
  <si>
    <t>-652.74772211905 48.1193577698054 -213.037655246131</t>
  </si>
  <si>
    <t>-497.774639066988 -96.27950186148 190.434742839521</t>
  </si>
  <si>
    <t>-495.995063297992 -22.178378774162 654.338738288388</t>
  </si>
  <si>
    <t>-490.198841126861 -168.940400249453 751.141722930182</t>
  </si>
  <si>
    <t>9763-20170724T160504.796728600.bin</t>
  </si>
  <si>
    <t>-609.862472632844 135.300518641933 -229.313688743133</t>
  </si>
  <si>
    <t>-649.59121070896 133.635646698893 -343.710608740674</t>
  </si>
  <si>
    <t>-667.343397633562 126.802718874512 -463.413301641857</t>
  </si>
  <si>
    <t>-674.260589743953 118.157576117158 -572.373289902692</t>
  </si>
  <si>
    <t>-672.148445989366 106.923915436272 -681.296146940365</t>
  </si>
  <si>
    <t>-659.864343682323 88.4660932417171 -831.989279292193</t>
  </si>
  <si>
    <t>-621.253428044261 60.8300591099182 -922.147065370944</t>
  </si>
  <si>
    <t>-647.583391135597 122.973392470803 -767.09433197943</t>
  </si>
  <si>
    <t>-553.104901267689 234.45191641033 -750.748154719725</t>
  </si>
  <si>
    <t>-490.701905787592 205.892731101203 -441.755468182731</t>
  </si>
  <si>
    <t>-300.566180506706 128.399441655562 -282.114460727616</t>
  </si>
  <si>
    <t>-683.015863966888 70.2929445287293 -763.53005939438</t>
  </si>
  <si>
    <t>-567.033155184134 222.676561130472 -245.050835158145</t>
  </si>
  <si>
    <t>-580.161503334457 206.44199075378 210.165408349966</t>
  </si>
  <si>
    <t>-620.778772657525 178.788861450264 677.339116918104</t>
  </si>
  <si>
    <t>-490.946070381941 99.4448894848576 765.608665460525</t>
  </si>
  <si>
    <t>-652.549769369631 47.9389854195081 -212.841441263836</t>
  </si>
  <si>
    <t>-497.435386967912 -96.3316154470645 190.62258294001</t>
  </si>
  <si>
    <t>-495.747675035159 -21.8857345909551 654.577697555565</t>
  </si>
  <si>
    <t>-489.997696144069 -168.868305886202 751.048239991351</t>
  </si>
  <si>
    <t>9763-20170724T160504.828814600.bin</t>
  </si>
  <si>
    <t>-609.926349715285 135.253157533203 -229.191112809851</t>
  </si>
  <si>
    <t>-649.702429166042 133.59067500658 -343.571591902536</t>
  </si>
  <si>
    <t>-667.493386947788 126.721785836026 -463.266431824764</t>
  </si>
  <si>
    <t>-674.441930282472 118.028640355499 -572.220609490133</t>
  </si>
  <si>
    <t>-672.357725165035 106.731402053189 -681.137394958964</t>
  </si>
  <si>
    <t>-660.109255331186 88.1690318448934 -831.82062091825</t>
  </si>
  <si>
    <t>-621.533024740482 60.4548408790945 -921.969300157945</t>
  </si>
  <si>
    <t>-647.804282600491 122.715552634424 -766.951173559905</t>
  </si>
  <si>
    <t>-553.170162387799 234.089537945207 -750.705260775317</t>
  </si>
  <si>
    <t>-490.230953903629 205.486995485931 -441.825431528885</t>
  </si>
  <si>
    <t>-300.126484172193 125.073566997935 -283.597767783863</t>
  </si>
  <si>
    <t>-683.253389479565 70.0490289114309 -763.344873704545</t>
  </si>
  <si>
    <t>-567.199473046796 222.527934772583 -244.980793447664</t>
  </si>
  <si>
    <t>-580.174156301083 206.244855108141 210.237923719995</t>
  </si>
  <si>
    <t>-620.909763772337 178.589937913747 677.3898703754</t>
  </si>
  <si>
    <t>-490.734167862573 99.7678239629734 765.621923046021</t>
  </si>
  <si>
    <t>-652.535639549057 47.9985034318026 -212.65736714629</t>
  </si>
  <si>
    <t>-497.330621710447 -96.297817585865 190.762576322331</t>
  </si>
  <si>
    <t>-495.563579457373 -21.6665350461449 654.699396571442</t>
  </si>
  <si>
    <t>-489.871772286376 -168.80438803431 750.936482094711</t>
  </si>
  <si>
    <t>9763-20170724T160504.892552000.bin</t>
  </si>
  <si>
    <t>-610.093139482788 135.248086367619 -229.034450504074</t>
  </si>
  <si>
    <t>-649.967618326099 133.619166673146 -343.381215515913</t>
  </si>
  <si>
    <t>-667.871930542839 126.704192691849 -463.056429963407</t>
  </si>
  <si>
    <t>-674.928637488632 117.939073742558 -571.997984585732</t>
  </si>
  <si>
    <t>-672.957801710487 106.541344988938 -680.906400556693</t>
  </si>
  <si>
    <t>-660.872145800617 87.8110166382587 -831.582036425988</t>
  </si>
  <si>
    <t>-622.394401130243 59.9472122150428 -921.726554276768</t>
  </si>
  <si>
    <t>-648.458832453626 122.404355408033 -766.758081832264</t>
  </si>
  <si>
    <t>-553.49147852319 233.522478505798 -750.687520890735</t>
  </si>
  <si>
    <t>-490.145656280234 204.182393074658 -441.959920025784</t>
  </si>
  <si>
    <t>-299.741233138781 119.686079722161 -286.240392246179</t>
  </si>
  <si>
    <t>-683.980531765787 69.7928344152317 -763.067260604953</t>
  </si>
  <si>
    <t>-567.33374181505 222.408254991177 -244.904758667599</t>
  </si>
  <si>
    <t>-579.997316416903 206.10892800795 210.322300123993</t>
  </si>
  <si>
    <t>-620.853198202679 178.711550512021 677.460287868472</t>
  </si>
  <si>
    <t>-490.802410476119 99.6556459571902 765.667237998736</t>
  </si>
  <si>
    <t>-652.770993242617 48.0542605420444 -212.473402869069</t>
  </si>
  <si>
    <t>-497.330509345215 -96.4062401621638 190.797047422197</t>
  </si>
  <si>
    <t>-495.407120723214 -21.5464953038111 654.583937840013</t>
  </si>
  <si>
    <t>-489.906996131776 -168.770937794327 750.699559407783</t>
  </si>
  <si>
    <t>9763-20170724T160504.924638800.bin</t>
  </si>
  <si>
    <t>-610.258582745897 135.225929925865 -228.961662068302</t>
  </si>
  <si>
    <t>-650.163653820574 133.623770605017 -343.297992536475</t>
  </si>
  <si>
    <t>-668.080438610309 126.67594435138 -462.969647722889</t>
  </si>
  <si>
    <t>-675.140702574447 117.859431305719 -571.906646700769</t>
  </si>
  <si>
    <t>-673.165724662277 106.390338070873 -680.807600548105</t>
  </si>
  <si>
    <t>-661.066247597141 87.5418459750219 -831.467272616475</t>
  </si>
  <si>
    <t>-622.601819369125 59.5994093007341 -921.593277658051</t>
  </si>
  <si>
    <t>-648.635713979885 122.170703933125 -766.665679821603</t>
  </si>
  <si>
    <t>-553.485908241824 233.122520020421 -750.636532248303</t>
  </si>
  <si>
    <t>-490.030615576173 203.34439136593 -441.973416746614</t>
  </si>
  <si>
    <t>-299.917316552228 117.132005075699 -286.83985325444</t>
  </si>
  <si>
    <t>-684.204114864093 69.5926793608328 -762.944354425509</t>
  </si>
  <si>
    <t>-567.362529183599 222.318802000804 -244.871878999127</t>
  </si>
  <si>
    <t>-579.907770246135 206.019796622057 210.358429034338</t>
  </si>
  <si>
    <t>-620.878018668217 178.682897381134 677.498195901658</t>
  </si>
  <si>
    <t>-490.86530843476 99.5461672889992 765.68881097137</t>
  </si>
  <si>
    <t>-653.048533349128 48.0957766011793 -212.366240414317</t>
  </si>
  <si>
    <t>-497.355188583963 -96.547184047952 190.741298487544</t>
  </si>
  <si>
    <t>-495.32834414109 -21.4639319038979 654.557283936143</t>
  </si>
  <si>
    <t>-489.909705904838 -168.744011942079 750.592332622761</t>
  </si>
  <si>
    <t>9763-20170724T160504.994560300.bin</t>
  </si>
  <si>
    <t>-610.546118159106 135.4002859085 -228.780602409961</t>
  </si>
  <si>
    <t>-650.607301513018 133.876192256492 -343.063594861086</t>
  </si>
  <si>
    <t>-668.655831438234 126.891421001337 -462.713005818151</t>
  </si>
  <si>
    <t>-675.823520439787 118.000262724722 -571.637097974656</t>
  </si>
  <si>
    <t>-673.943054301902 106.419635163322 -680.527872387964</t>
  </si>
  <si>
    <t>-661.960708410528 87.3816189172323 -831.173082385706</t>
  </si>
  <si>
    <t>-623.580534413967 59.2981075844134 -921.29098889573</t>
  </si>
  <si>
    <t>-649.416565142767 122.049851517804 -766.414296774778</t>
  </si>
  <si>
    <t>-553.898012723878 232.725892364234 -750.491246030477</t>
  </si>
  <si>
    <t>-490.009153627758 202.200516786488 -441.990716120118</t>
  </si>
  <si>
    <t>-299.691540831873 114.305847142891 -288.056275865571</t>
  </si>
  <si>
    <t>-685.108504101432 69.5608239750502 -762.619962193803</t>
  </si>
  <si>
    <t>-567.287292637985 222.417756447108 -244.811312364505</t>
  </si>
  <si>
    <t>-579.678254960848 206.156512627434 210.424656698008</t>
  </si>
  <si>
    <t>-620.685743449981 179.001139008318 677.545638923689</t>
  </si>
  <si>
    <t>-491.075381489567 99.1950752976413 765.725296536379</t>
  </si>
  <si>
    <t>-653.672009052346 48.4377706603843 -212.007824955087</t>
  </si>
  <si>
    <t>-497.413385580321 -96.6596838684472 190.717426921882</t>
  </si>
  <si>
    <t>-495.212487008868 -21.3224590377697 654.440399253466</t>
  </si>
  <si>
    <t>-490.001135529634 -168.695739574858 750.343824135411</t>
  </si>
  <si>
    <t>9763-20170724T160505.027657300.bin</t>
  </si>
  <si>
    <t>-610.79182709243 135.40761581914 -228.699131337054</t>
  </si>
  <si>
    <t>-650.834777457186 133.847114767921 -342.987981167025</t>
  </si>
  <si>
    <t>-668.906919888081 126.806323702798 -462.630800955745</t>
  </si>
  <si>
    <t>-676.11391407437 117.856390213521 -571.547319793867</t>
  </si>
  <si>
    <t>-674.290993199773 106.20875203243 -680.431881751644</t>
  </si>
  <si>
    <t>-662.407813965139 87.0687033901647 -831.072113233985</t>
  </si>
  <si>
    <t>-624.075797745985 58.9103119458778 -921.187242090139</t>
  </si>
  <si>
    <t>-649.778843171442 121.752446049309 -766.338174225789</t>
  </si>
  <si>
    <t>-553.993913506824 232.209279873811 -750.53307505699</t>
  </si>
  <si>
    <t>-489.820075391522 201.48724580409 -442.111133028797</t>
  </si>
  <si>
    <t>-299.609258978605 112.938129426377 -288.420162771698</t>
  </si>
  <si>
    <t>-685.552776819913 69.3225758641199 -762.498677853825</t>
  </si>
  <si>
    <t>-567.490077476436 222.267246066038 -244.786501435895</t>
  </si>
  <si>
    <t>-579.792193898098 206.057600885145 210.453595084554</t>
  </si>
  <si>
    <t>-620.853328786493 178.775043954088 677.594241321662</t>
  </si>
  <si>
    <t>-490.875503454059 99.5054015103601 765.716872339998</t>
  </si>
  <si>
    <t>-653.923631538377 48.5389213583562 -211.898930870506</t>
  </si>
  <si>
    <t>-497.523263830348 -96.6337769436414 190.744214858772</t>
  </si>
  <si>
    <t>-495.11012056769 -21.1711089023893 654.502388970053</t>
  </si>
  <si>
    <t>-490.001001700724 -168.667862419837 750.2214503001</t>
  </si>
  <si>
    <t>9763-20170724T160505.094386700.bin</t>
  </si>
  <si>
    <t>-611.306254545924 135.633715272988 -228.624546433908</t>
  </si>
  <si>
    <t>-651.375671050402 134.097879285307 -342.904459828267</t>
  </si>
  <si>
    <t>-669.549718383486 127.039960792627 -462.530716029457</t>
  </si>
  <si>
    <t>-676.881625904916 118.053477207966 -571.435868759626</t>
  </si>
  <si>
    <t>-675.216951112084 106.346266736388 -680.31662362617</t>
  </si>
  <si>
    <t>-663.589244626428 87.0969760581504 -830.962733324068</t>
  </si>
  <si>
    <t>-625.359879823416 58.7892097020624 -921.074782873573</t>
  </si>
  <si>
    <t>-650.787073355288 121.785119130902 -766.265376902233</t>
  </si>
  <si>
    <t>-554.536512585372 231.873359830943 -750.680633808236</t>
  </si>
  <si>
    <t>-488.841175660102 200.081386010444 -442.687835324016</t>
  </si>
  <si>
    <t>-298.693480508005 111.192439513885 -289.114775848744</t>
  </si>
  <si>
    <t>-686.681180134857 69.4433028367343 -762.347712110923</t>
  </si>
  <si>
    <t>-567.93144552733 222.551478965745 -244.739897172758</t>
  </si>
  <si>
    <t>-579.847526271116 206.237081746815 210.506678347762</t>
  </si>
  <si>
    <t>-620.670064427957 179.13277788806 677.670641133206</t>
  </si>
  <si>
    <t>-491.016118244575 99.2623985678997 765.727935642422</t>
  </si>
  <si>
    <t>-654.537836557121 48.7751394829777 -211.842549304389</t>
  </si>
  <si>
    <t>-497.711984626345 -96.3853671634806 190.639424841389</t>
  </si>
  <si>
    <t>-495.129267588014 -21.0580555039194 654.328877965543</t>
  </si>
  <si>
    <t>-489.940851665775 -168.61202192909 749.955421826819</t>
  </si>
  <si>
    <t>9763-20170724T160505.127475600.bin</t>
  </si>
  <si>
    <t>-611.661516317468 135.716149614118 -228.627035223444</t>
  </si>
  <si>
    <t>-651.786509456841 134.179081632284 -342.887443560423</t>
  </si>
  <si>
    <t>-670.049382385831 127.119061841175 -462.500037098128</t>
  </si>
  <si>
    <t>-677.475388655491 118.12798227913 -571.398490695559</t>
  </si>
  <si>
    <t>-675.918642578747 106.412053608161 -680.279904318807</t>
  </si>
  <si>
    <t>-664.454945794328 87.1454600252771 -830.936355165606</t>
  </si>
  <si>
    <t>-626.289789209266 58.7629860175402 -921.052034755249</t>
  </si>
  <si>
    <t>-651.561462488393 121.827053078107 -766.2535145411</t>
  </si>
  <si>
    <t>-555.138371874242 231.794780269395 -750.830327030024</t>
  </si>
  <si>
    <t>-488.612691860562 199.171959800026 -443.102840425541</t>
  </si>
  <si>
    <t>-298.485290542746 109.867253277856 -289.746056988419</t>
  </si>
  <si>
    <t>-687.492963919796 69.5137590367044 -762.297607582128</t>
  </si>
  <si>
    <t>-568.311159639224 222.648813342191 -244.726805906519</t>
  </si>
  <si>
    <t>-579.966541016761 206.265661619694 210.524067972339</t>
  </si>
  <si>
    <t>-620.72470935115 179.071302538916 677.691668307017</t>
  </si>
  <si>
    <t>-491.124497557778 99.0852203090037 765.723024248525</t>
  </si>
  <si>
    <t>-654.90819641362 48.8153453231546 -211.834560413942</t>
  </si>
  <si>
    <t>-497.85490251019 -96.2395650135954 190.596813086555</t>
  </si>
  <si>
    <t>-495.171656109104 -21.0428390206523 654.263826560043</t>
  </si>
  <si>
    <t>-489.906176394369 -168.594537398046 749.889523697634</t>
  </si>
  <si>
    <t>9763-20170724T160505.199191200.bin</t>
  </si>
  <si>
    <t>-612.38341344845 135.827157506573 -228.664633426124</t>
  </si>
  <si>
    <t>-652.590331700492 134.281927745326 -342.896077443868</t>
  </si>
  <si>
    <t>-670.986904992745 127.234857914796 -462.489042651727</t>
  </si>
  <si>
    <t>-678.554708461944 118.260977653374 -571.379173760488</t>
  </si>
  <si>
    <t>-677.160545389158 106.565564298966 -680.264937285129</t>
  </si>
  <si>
    <t>-665.944130411145 87.3289474899661 -830.943902400451</t>
  </si>
  <si>
    <t>-627.867785541743 58.8962926098286 -921.081278249671</t>
  </si>
  <si>
    <t>-652.922188300968 121.982543708515 -766.271831306537</t>
  </si>
  <si>
    <t>-556.20343031705 231.696979174743 -751.035941293656</t>
  </si>
  <si>
    <t>-487.782959820604 197.646495775803 -443.878874236637</t>
  </si>
  <si>
    <t>-297.52210978072 107.835657385753 -290.983940226948</t>
  </si>
  <si>
    <t>-688.891874396346 69.6986027867526 -762.274498148082</t>
  </si>
  <si>
    <t>-569.089737005325 222.735001838024 -244.753631527419</t>
  </si>
  <si>
    <t>-580.397115366597 206.298804794328 210.504154575421</t>
  </si>
  <si>
    <t>-620.818173955844 178.968510829632 677.732753919298</t>
  </si>
  <si>
    <t>-491.045685534555 99.1782932687634 765.688039042821</t>
  </si>
  <si>
    <t>-655.55103768099 48.9033475676492 -211.909486489021</t>
  </si>
  <si>
    <t>-498.166749633145 -95.8836484224933 190.489058045751</t>
  </si>
  <si>
    <t>-495.260841352952 -21.0010586855046 654.205397471757</t>
  </si>
  <si>
    <t>-489.830379008227 -168.545465099738 749.833208014585</t>
  </si>
  <si>
    <t>9763-20170724T160505.226262700.bin</t>
  </si>
  <si>
    <t>-612.791538305566 135.979457433967 -228.671990049033</t>
  </si>
  <si>
    <t>-653.019210797674 134.428238338435 -342.896148138479</t>
  </si>
  <si>
    <t>-671.462829481412 127.382816455553 -462.481889360478</t>
  </si>
  <si>
    <t>-679.084147322922 118.412446440377 -571.368525701058</t>
  </si>
  <si>
    <t>-677.754104453239 106.722302202861 -680.25559841009</t>
  </si>
  <si>
    <t>-666.637818417238 87.4940673818069 -830.943120967231</t>
  </si>
  <si>
    <t>-628.572442493038 59.0573326978974 -921.084045915552</t>
  </si>
  <si>
    <t>-653.566094644871 122.139359835919 -766.27661863302</t>
  </si>
  <si>
    <t>-556.730651273258 231.763611242046 -751.091232406198</t>
  </si>
  <si>
    <t>-487.583954761262 196.940206081736 -444.183568904814</t>
  </si>
  <si>
    <t>-297.227616681326 107.044506103547 -291.457410194247</t>
  </si>
  <si>
    <t>-689.546728536284 69.8646161647605 -762.260555920454</t>
  </si>
  <si>
    <t>-569.498220228179 222.894389739427 -244.762065019915</t>
  </si>
  <si>
    <t>-580.606054528451 206.422672945389 210.499329036441</t>
  </si>
  <si>
    <t>-620.843587590603 178.968208860944 677.755680096631</t>
  </si>
  <si>
    <t>-491.11487172283 99.0646028268141 765.67261680728</t>
  </si>
  <si>
    <t>-655.978296716048 49.0754703803632 -211.910671559901</t>
  </si>
  <si>
    <t>-498.376103945585 -95.6630491559683 190.420000836228</t>
  </si>
  <si>
    <t>-495.342115807536 -20.9933706865747 654.168921205484</t>
  </si>
  <si>
    <t>-489.797053954447 -168.514813336244 749.825560399289</t>
  </si>
  <si>
    <t>9763-20170724T160505.295526700.bin</t>
  </si>
  <si>
    <t>-613.618609975681 136.29964039231 -228.665690407486</t>
  </si>
  <si>
    <t>-653.883655493453 134.711611324086 -342.876036768042</t>
  </si>
  <si>
    <t>-672.403924389607 127.69480388773 -462.451612045749</t>
  </si>
  <si>
    <t>-680.109514419379 118.775998916094 -571.336562523665</t>
  </si>
  <si>
    <t>-678.87820676871 107.16180766927 -680.233035663786</t>
  </si>
  <si>
    <t>-667.91311385254 88.0636912163368 -830.948141656615</t>
  </si>
  <si>
    <t>-629.838523102001 59.6908317948225 -921.105243125477</t>
  </si>
  <si>
    <t>-654.781722994204 122.656627525087 -766.265829471651</t>
  </si>
  <si>
    <t>-557.789083180938 232.142657046202 -751.128257530426</t>
  </si>
  <si>
    <t>-487.214440928236 195.889349760108 -444.711722903511</t>
  </si>
  <si>
    <t>-296.796469135639 105.829508782901 -292.159162927965</t>
  </si>
  <si>
    <t>-690.747957631157 70.3713752461817 -762.256977692489</t>
  </si>
  <si>
    <t>-570.34912403776 223.269360076888 -244.743807626925</t>
  </si>
  <si>
    <t>-581.07972996704 206.720779535767 210.523875635664</t>
  </si>
  <si>
    <t>-620.937427872786 178.962370792973 677.829363431517</t>
  </si>
  <si>
    <t>-491.07831404094 99.1370512496442 765.62482859775</t>
  </si>
  <si>
    <t>-656.757361144741 49.3218242292021 -211.891723510131</t>
  </si>
  <si>
    <t>-498.79142586751 -95.3486967213889 190.320724840639</t>
  </si>
  <si>
    <t>-495.505131342269 -21.0390041337023 654.111891729895</t>
  </si>
  <si>
    <t>-489.749415925235 -168.495679189403 749.855871617594</t>
  </si>
  <si>
    <t>9763-20170724T160505.328587000.bin</t>
  </si>
  <si>
    <t>-613.971282274257 136.478229300393 -228.619117666243</t>
  </si>
  <si>
    <t>-654.230247528595 134.864961973465 -342.831259625561</t>
  </si>
  <si>
    <t>-672.762526006956 127.860000988363 -462.405727007437</t>
  </si>
  <si>
    <t>-680.486342819403 118.965942401877 -571.291377797197</t>
  </si>
  <si>
    <t>-679.280526606222 107.389691896144 -680.192284942223</t>
  </si>
  <si>
    <t>-668.358023781492 88.3574506259824 -830.918629375696</t>
  </si>
  <si>
    <t>-630.270089866449 60.0080549652803 -921.077502976918</t>
  </si>
  <si>
    <t>-655.210369557511 122.923539112429 -766.225233754162</t>
  </si>
  <si>
    <t>-558.144039968657 232.352490388559 -751.116578433543</t>
  </si>
  <si>
    <t>-486.876678802666 195.361475332154 -444.948525286472</t>
  </si>
  <si>
    <t>-296.358774248363 105.341173046858 -292.497434276211</t>
  </si>
  <si>
    <t>-691.171386037102 70.6337516540821 -762.228549531351</t>
  </si>
  <si>
    <t>-570.742828124536 223.473645135881 -244.700093867801</t>
  </si>
  <si>
    <t>-581.310904467314 206.86799495537 210.569351371355</t>
  </si>
  <si>
    <t>-620.966687601774 179.002831033407 677.884463636311</t>
  </si>
  <si>
    <t>-491.064718082703 99.1662471454997 765.606215651789</t>
  </si>
  <si>
    <t>-657.0394701775 49.5022946193319 -211.826830467824</t>
  </si>
  <si>
    <t>-498.905291962615 -95.1625888364877 190.321565383513</t>
  </si>
  <si>
    <t>-495.505122686464 -20.9753746141296 654.179278809423</t>
  </si>
  <si>
    <t>-489.705978761686 -168.464827393773 749.869992021144</t>
  </si>
  <si>
    <t>9763-20170724T160505.390305600.bin</t>
  </si>
  <si>
    <t>-614.628209609812 136.95122584157 -228.509476234136</t>
  </si>
  <si>
    <t>-654.927064039901 135.339558986876 -342.70767877847</t>
  </si>
  <si>
    <t>-673.531875780701 128.35562823421 -462.272061106253</t>
  </si>
  <si>
    <t>-681.334541566696 119.486734171492 -571.154104865074</t>
  </si>
  <si>
    <t>-680.220532681962 107.940807821899 -680.059142096621</t>
  </si>
  <si>
    <t>-669.438757454642 88.9550854661015 -830.801620317263</t>
  </si>
  <si>
    <t>-631.365955652603 60.5964992439676 -920.963894962473</t>
  </si>
  <si>
    <t>-656.228982078847 123.500081592537 -766.109513908232</t>
  </si>
  <si>
    <t>-559.00368078628 232.820435213063 -751.190088612</t>
  </si>
  <si>
    <t>-486.463981205261 194.496659992487 -445.485173526913</t>
  </si>
  <si>
    <t>-295.878498017107 104.104378353155 -293.338925000248</t>
  </si>
  <si>
    <t>-692.189722270548 71.2112903599912 -762.095880478581</t>
  </si>
  <si>
    <t>-571.462150902445 223.944824431517 -244.593115067668</t>
  </si>
  <si>
    <t>-581.673029977954 207.164164585679 210.67795676893</t>
  </si>
  <si>
    <t>-621.037449557672 179.009938421563 677.992105795391</t>
  </si>
  <si>
    <t>-491.143898391915 99.0356531244558 765.600823875617</t>
  </si>
  <si>
    <t>-657.685015231043 49.9660604358337 -211.70007278452</t>
  </si>
  <si>
    <t>-499.174175545474 -94.546357263587 190.354831969299</t>
  </si>
  <si>
    <t>-495.523888019004 -20.8638623651907 654.241342092445</t>
  </si>
  <si>
    <t>-489.583186927831 -168.395639361229 749.858204914391</t>
  </si>
  <si>
    <t>9763-20170724T160505.428416200.bin</t>
  </si>
  <si>
    <t>-614.889156134627 137.157933618381 -228.483594971756</t>
  </si>
  <si>
    <t>-655.198222420781 135.527784802064 -342.677873883518</t>
  </si>
  <si>
    <t>-673.84532889012 128.5373746499 -462.235366362382</t>
  </si>
  <si>
    <t>-681.699302106302 119.667295865953 -571.113633492218</t>
  </si>
  <si>
    <t>-680.649599318629 108.124422099682 -680.019674939769</t>
  </si>
  <si>
    <t>-669.970390402028 89.1470598462895 -830.770502719092</t>
  </si>
  <si>
    <t>-631.919621200593 60.7793194368278 -920.939114886254</t>
  </si>
  <si>
    <t>-656.71881438047 123.690004999876 -766.085793736248</t>
  </si>
  <si>
    <t>-559.433636189253 232.956977816868 -751.255494522001</t>
  </si>
  <si>
    <t>-486.164179006982 194.124605388603 -445.788965053511</t>
  </si>
  <si>
    <t>-295.586830525133 103.288438803962 -293.897095727635</t>
  </si>
  <si>
    <t>-692.672345597599 71.397971254605 -762.049973897062</t>
  </si>
  <si>
    <t>-571.735658260988 224.179754768731 -244.563268623602</t>
  </si>
  <si>
    <t>-581.844888262776 207.334845995364 210.707713608435</t>
  </si>
  <si>
    <t>-620.987696076363 179.109436590107 678.010106559658</t>
  </si>
  <si>
    <t>-491.207632307749 98.927596934853 765.597292650067</t>
  </si>
  <si>
    <t>-657.928149724903 50.1187382806208 -211.703490403332</t>
  </si>
  <si>
    <t>-499.389633746487 -94.2749987399163 190.38310473227</t>
  </si>
  <si>
    <t>-495.591482580552 -20.8555745145954 654.262974311456</t>
  </si>
  <si>
    <t>-489.585880864619 -168.380233521652 749.886780619165</t>
  </si>
  <si>
    <t>9763-20170724T160505.498318300.bin</t>
  </si>
  <si>
    <t>-615.51168680497 137.305636882303 -228.616219519768</t>
  </si>
  <si>
    <t>-655.827091281086 135.655612031765 -342.807836843075</t>
  </si>
  <si>
    <t>-674.563992865277 128.636475284481 -462.349638806079</t>
  </si>
  <si>
    <t>-682.534004431334 119.736568264613 -571.217136218523</t>
  </si>
  <si>
    <t>-681.635052693918 108.159787425491 -680.120747739038</t>
  </si>
  <si>
    <t>-671.20110739145 89.1306207741425 -830.882389355985</t>
  </si>
  <si>
    <t>-633.222637444382 60.7248631398365 -921.069539732277</t>
  </si>
  <si>
    <t>-657.839908757494 123.692762548155 -766.230569881978</t>
  </si>
  <si>
    <t>-560.423951464597 232.884445909147 -751.668990814988</t>
  </si>
  <si>
    <t>-485.994610697272 193.021019118705 -446.61588645808</t>
  </si>
  <si>
    <t>-295.353987310339 101.347429141918 -295.307893513006</t>
  </si>
  <si>
    <t>-693.795716156298 71.408093429683 -762.119586700244</t>
  </si>
  <si>
    <t>-572.297101911279 224.433367472329 -244.648930556348</t>
  </si>
  <si>
    <t>-582.317766806698 207.521910091197 210.621620129534</t>
  </si>
  <si>
    <t>-621.018852784229 179.093359974277 677.990801648252</t>
  </si>
  <si>
    <t>-491.220456519746 98.8858420186814 765.527315611292</t>
  </si>
  <si>
    <t>-658.647455761016 50.1401189432531 -211.991539602406</t>
  </si>
  <si>
    <t>-500.220929140642 -94.0841935927933 190.200030671353</t>
  </si>
  <si>
    <t>-496.205234923726 -21.319016044132 653.870742081015</t>
  </si>
  <si>
    <t>-489.882422132557 -168.391501317694 750.168407752047</t>
  </si>
  <si>
    <t>9763-20170724T160505.525388800.bin</t>
  </si>
  <si>
    <t>-615.883664966773 137.240419048637 -228.749713134234</t>
  </si>
  <si>
    <t>-656.224528455076 135.574422654345 -342.932231361762</t>
  </si>
  <si>
    <t>-675.026436689042 128.551098926309 -462.463595661368</t>
  </si>
  <si>
    <t>-683.071587753423 119.650759829103 -571.325402436563</t>
  </si>
  <si>
    <t>-682.264136555851 108.075874163338 -680.230017126187</t>
  </si>
  <si>
    <t>-671.974158007059 89.0508739026218 -831.001880362415</t>
  </si>
  <si>
    <t>-634.044673252143 60.6233712456103 -921.20291614368</t>
  </si>
  <si>
    <t>-658.537451828588 123.601932939157 -766.359881805793</t>
  </si>
  <si>
    <t>-561.029253483978 232.725541763329 -751.927298968929</t>
  </si>
  <si>
    <t>-486.162646372195 192.386524074966 -447.043785572722</t>
  </si>
  <si>
    <t>-295.434924635713 100.401707669734 -296.034614153785</t>
  </si>
  <si>
    <t>-694.516830543095 71.3357938880961 -762.220181314815</t>
  </si>
  <si>
    <t>-572.619613389399 224.434834095192 -244.748393139415</t>
  </si>
  <si>
    <t>-582.594594338138 207.516919362656 210.522795954032</t>
  </si>
  <si>
    <t>-621.099618648656 178.966080042766 677.936388771797</t>
  </si>
  <si>
    <t>-491.142251200031 99.0027070131157 765.460402685781</t>
  </si>
  <si>
    <t>-659.079502590455 49.996173426078 -212.16585283763</t>
  </si>
  <si>
    <t>-500.738233965365 -94.1729790835595 190.079093704683</t>
  </si>
  <si>
    <t>-496.502099289398 -21.6057058134159 653.812117306652</t>
  </si>
  <si>
    <t>-490.128980804356 -168.443479021304 750.4638217457</t>
  </si>
  <si>
    <t>9763-20170724T160505.594099400.bin</t>
  </si>
  <si>
    <t>-616.327413433831 137.256949564963 -228.869071374692</t>
  </si>
  <si>
    <t>-656.711256778665 135.609836062904 -343.036681191019</t>
  </si>
  <si>
    <t>-675.621602936652 128.586177985437 -462.550930492251</t>
  </si>
  <si>
    <t>-683.792109846021 119.676816374095 -571.402638611885</t>
  </si>
  <si>
    <t>-683.137207327787 108.083772402819 -680.306366834601</t>
  </si>
  <si>
    <t>-673.087074576557 89.0237234684587 -831.090008808067</t>
  </si>
  <si>
    <t>-635.248858102034 60.5342328912677 -921.309923151184</t>
  </si>
  <si>
    <t>-659.528015807239 123.576522936511 -766.474442831776</t>
  </si>
  <si>
    <t>-561.859167506566 232.585743502252 -752.268394734841</t>
  </si>
  <si>
    <t>-486.250602474812 191.042529815047 -447.729870771742</t>
  </si>
  <si>
    <t>-295.315165652437 98.8841073932269 -297.089529716757</t>
  </si>
  <si>
    <t>-695.539947453588 71.3378006443118 -762.271350867388</t>
  </si>
  <si>
    <t>-572.989555207923 224.522074729419 -244.863320604222</t>
  </si>
  <si>
    <t>-582.859263020092 207.504331233071 210.406443753522</t>
  </si>
  <si>
    <t>-621.123945318513 178.911165083199 677.869302684133</t>
  </si>
  <si>
    <t>-491.244959043638 98.8330357502998 765.404757853296</t>
  </si>
  <si>
    <t>-659.507129701831 50.0238438491558 -212.215181275729</t>
  </si>
  <si>
    <t>-501.267061258911 -94.113724760937 190.08091415806</t>
  </si>
  <si>
    <t>-496.700767446646 -21.758240949978 654.029635685771</t>
  </si>
  <si>
    <t>-490.227761761636 -168.374099145976 751.011183464774</t>
  </si>
  <si>
    <t>9763-20170724T160505.629193300.bin</t>
  </si>
  <si>
    <t>-616.509577694161 137.292287132616 -228.884339568924</t>
  </si>
  <si>
    <t>-656.919016661379 135.651437923585 -343.043021798327</t>
  </si>
  <si>
    <t>-675.891077544752 128.642100559148 -462.548255545907</t>
  </si>
  <si>
    <t>-684.132041613868 119.748684471024 -571.395936084599</t>
  </si>
  <si>
    <t>-683.56190658863 108.174437201421 -680.302170617475</t>
  </si>
  <si>
    <t>-673.644143564329 89.1431347405346 -831.09826130472</t>
  </si>
  <si>
    <t>-635.850082057046 60.6315011177655 -921.329532130729</t>
  </si>
  <si>
    <t>-660.01770762265 123.676370120919 -766.486404768677</t>
  </si>
  <si>
    <t>-562.239458754967 232.604484513518 -752.393872997371</t>
  </si>
  <si>
    <t>-486.237765989965 190.478506887055 -448.033243830328</t>
  </si>
  <si>
    <t>-295.355619841044 98.1965367269167 -297.400853615958</t>
  </si>
  <si>
    <t>-696.047208402175 71.4513965414601 -762.265073901274</t>
  </si>
  <si>
    <t>-573.111745799225 224.557645271749 -244.886799172475</t>
  </si>
  <si>
    <t>-582.935903473451 207.498470175344 210.382507168468</t>
  </si>
  <si>
    <t>-621.14220132462 178.865749803402 677.845360692741</t>
  </si>
  <si>
    <t>-491.25907636243 98.8023886837516 765.388176133352</t>
  </si>
  <si>
    <t>-659.758717858534 50.0551779785976 -212.18149705379</t>
  </si>
  <si>
    <t>-501.484762176492 -94.1376402677188 190.081468675567</t>
  </si>
  <si>
    <t>-496.885389190574 -21.9497208868338 653.986161569401</t>
  </si>
  <si>
    <t>-490.383079209385 -168.38844708996 751.233023013278</t>
  </si>
  <si>
    <t>9763-20170724T160505.697488300.bin</t>
  </si>
  <si>
    <t>-616.681717781166 137.282709982421 -228.808997322868</t>
  </si>
  <si>
    <t>-657.135821527367 135.634505405082 -342.951705188402</t>
  </si>
  <si>
    <t>-676.191935915675 128.615278736464 -462.442886355304</t>
  </si>
  <si>
    <t>-684.525298166628 119.709536346229 -571.282761019711</t>
  </si>
  <si>
    <t>-684.064397189164 108.117743378051 -680.187560481653</t>
  </si>
  <si>
    <t>-674.315971536641 89.0552933045738 -830.990780190424</t>
  </si>
  <si>
    <t>-636.601114754817 60.4872341989112 -921.237210559599</t>
  </si>
  <si>
    <t>-660.586299775816 123.581070779241 -766.396766282609</t>
  </si>
  <si>
    <t>-562.645124821593 232.373678615165 -752.470464472743</t>
  </si>
  <si>
    <t>-485.827574504296 189.508972270317 -448.41806487737</t>
  </si>
  <si>
    <t>-294.750878716045 96.9096940708407 -298.227755402664</t>
  </si>
  <si>
    <t>-696.672371103602 71.3986286930028 -762.133199755891</t>
  </si>
  <si>
    <t>-573.29136734323 224.571411546141 -244.863875634548</t>
  </si>
  <si>
    <t>-583.049900143905 207.535531387285 210.407639447932</t>
  </si>
  <si>
    <t>-621.129725397462 178.873545250134 677.840733015915</t>
  </si>
  <si>
    <t>-491.327923389536 98.6876982662377 765.392055808756</t>
  </si>
  <si>
    <t>-659.899862708234 49.9988526874511 -212.02875595929</t>
  </si>
  <si>
    <t>-501.612369687669 -94.1697566985729 190.237483181361</t>
  </si>
  <si>
    <t>-496.844713864542 -21.9515225532116 654.322248616331</t>
  </si>
  <si>
    <t>-490.345073634069 -168.337939771215 751.647901575036</t>
  </si>
  <si>
    <t>9763-20170724T160505.724558000.bin</t>
  </si>
  <si>
    <t>-616.730101441904 137.30429242722 -228.709172267085</t>
  </si>
  <si>
    <t>-657.204526862536 135.679490610344 -342.844960301636</t>
  </si>
  <si>
    <t>-676.283988900826 128.680705144399 -462.33362539777</t>
  </si>
  <si>
    <t>-684.640130954753 119.79020659111 -571.172954033929</t>
  </si>
  <si>
    <t>-684.203586444079 108.209776783182 -680.079134718904</t>
  </si>
  <si>
    <t>-674.491271297593 89.1577303371516 -830.885867315468</t>
  </si>
  <si>
    <t>-636.803172068393 60.5665994391707 -921.136297628235</t>
  </si>
  <si>
    <t>-660.724271396713 123.66422243861 -766.28951023675</t>
  </si>
  <si>
    <t>-562.651328260331 232.362769405361 -752.452876029088</t>
  </si>
  <si>
    <t>-485.5040020852 189.156670293718 -448.532322229347</t>
  </si>
  <si>
    <t>-294.529345093462 96.3112582726692 -298.36420569791</t>
  </si>
  <si>
    <t>-696.853035601524 71.5111573825466 -762.027612696384</t>
  </si>
  <si>
    <t>-573.377662205144 224.541526608792 -244.800384134208</t>
  </si>
  <si>
    <t>-583.042429604813 207.460585823337 210.471459295815</t>
  </si>
  <si>
    <t>-621.201961058444 178.769471522987 677.888851364117</t>
  </si>
  <si>
    <t>-491.32704861952 98.6801935404635 765.420136389257</t>
  </si>
  <si>
    <t>-659.913616508079 50.1080386294061 -211.854755605964</t>
  </si>
  <si>
    <t>-501.557590774867 -94.1352048314836 190.3578231007</t>
  </si>
  <si>
    <t>-496.709291159614 -21.8275268917284 654.513980890969</t>
  </si>
  <si>
    <t>-490.246600540185 -168.288977035122 751.729162565547</t>
  </si>
  <si>
    <t>9763-20170724T160505.795257100.bin</t>
  </si>
  <si>
    <t>-616.696686369774 137.421075735216 -228.397719058335</t>
  </si>
  <si>
    <t>-657.207031105067 135.846993465724 -342.521516405471</t>
  </si>
  <si>
    <t>-676.360445600732 128.84775271592 -461.998300536881</t>
  </si>
  <si>
    <t>-684.80005835458 119.934313317838 -570.829265216902</t>
  </si>
  <si>
    <t>-684.464020586276 108.307716125559 -679.730929080635</t>
  </si>
  <si>
    <t>-674.909607239719 89.1665280076431 -830.536565834644</t>
  </si>
  <si>
    <t>-637.287217338092 60.510997324428 -920.79400208295</t>
  </si>
  <si>
    <t>-661.03787644163 123.685990430123 -765.969476447115</t>
  </si>
  <si>
    <t>-562.835608894541 232.271557175745 -752.269002333295</t>
  </si>
  <si>
    <t>-485.056124352763 188.462795649562 -448.595911371994</t>
  </si>
  <si>
    <t>-293.97622465279 95.4626647085079 -298.657640192596</t>
  </si>
  <si>
    <t>-697.236303288289 71.5859464660803 -761.649991387772</t>
  </si>
  <si>
    <t>-573.469201221083 224.493759965353 -244.561187257473</t>
  </si>
  <si>
    <t>-582.988190284754 207.30209312482 210.709670466768</t>
  </si>
  <si>
    <t>-621.322957333129 178.629540484331 678.037545810892</t>
  </si>
  <si>
    <t>-491.207648410526 98.8560083402799 765.50012279108</t>
  </si>
  <si>
    <t>-659.766272284495 50.3794087137155 -211.43968904203</t>
  </si>
  <si>
    <t>-501.361238906197 -93.8930129525299 190.743054766897</t>
  </si>
  <si>
    <t>-496.249377429651 -21.325583174699 655.020260472739</t>
  </si>
  <si>
    <t>-489.938867498299 -168.180510044595 751.650165682071</t>
  </si>
  <si>
    <t>9763-20170724T160505.829348500.bin</t>
  </si>
  <si>
    <t>-616.516582791787 137.597561904709 -228.187600476886</t>
  </si>
  <si>
    <t>-657.009046622223 136.043214099904 -342.31794145055</t>
  </si>
  <si>
    <t>-676.194568105531 129.062577508992 -461.790758961501</t>
  </si>
  <si>
    <t>-684.684538731963 120.164299189599 -570.618990135265</t>
  </si>
  <si>
    <t>-684.420674515339 108.550164482761 -679.522223928902</t>
  </si>
  <si>
    <t>-674.988966471762 89.4231180467239 -830.33735821262</t>
  </si>
  <si>
    <t>-637.421360880703 60.7501916504307 -920.612004479022</t>
  </si>
  <si>
    <t>-661.042705886002 123.92144019722 -765.775044985423</t>
  </si>
  <si>
    <t>-562.734150195583 232.434885121313 -752.13138353037</t>
  </si>
  <si>
    <t>-484.743244354293 188.38143795523 -448.547921633784</t>
  </si>
  <si>
    <t>-293.623929806052 95.3291363660451 -298.692226388546</t>
  </si>
  <si>
    <t>-697.281724262481 71.8510229209528 -761.437637266816</t>
  </si>
  <si>
    <t>-573.358067116877 224.598952913644 -244.400861268519</t>
  </si>
  <si>
    <t>-582.830141654069 207.384962743874 210.870062828608</t>
  </si>
  <si>
    <t>-621.249961090698 178.778702974204 678.144409509432</t>
  </si>
  <si>
    <t>-491.256797845743 98.7728397713804 765.576364040362</t>
  </si>
  <si>
    <t>-659.458898884496 50.6547000655974 -211.180409574722</t>
  </si>
  <si>
    <t>-501.083674137956 -93.5908688793988 191.023735446854</t>
  </si>
  <si>
    <t>-495.798521011747 -20.8324423543547 655.429051602813</t>
  </si>
  <si>
    <t>-489.670624516787 -168.088563575957 751.458239145972</t>
  </si>
  <si>
    <t>9763-20170724T160505.893026300.bin</t>
  </si>
  <si>
    <t>-616.197613895035 137.874350145182 -227.859241647892</t>
  </si>
  <si>
    <t>-656.705271905484 136.378792842404 -341.985110934106</t>
  </si>
  <si>
    <t>-675.971886533754 129.409907548875 -461.445485050792</t>
  </si>
  <si>
    <t>-684.563413749416 120.502225697031 -570.265050778278</t>
  </si>
  <si>
    <t>-684.429382005626 108.858708665209 -679.165229876994</t>
  </si>
  <si>
    <t>-675.208173827413 89.6691017987696 -829.985532368821</t>
  </si>
  <si>
    <t>-637.757017920529 60.9235262945087 -920.285370083993</t>
  </si>
  <si>
    <t>-661.133521337923 124.167850647635 -765.4512968533</t>
  </si>
  <si>
    <t>-562.667832700589 232.54355981293 -751.93646544097</t>
  </si>
  <si>
    <t>-484.293605173976 188.146212805574 -448.501809624438</t>
  </si>
  <si>
    <t>-293.090471536846 95.1461342394637 -298.720572271517</t>
  </si>
  <si>
    <t>-697.44311031347 72.1518610022251 -761.053127516024</t>
  </si>
  <si>
    <t>-573.1234245133 224.655528074175 -244.13993230127</t>
  </si>
  <si>
    <t>-582.596205033825 207.450744208507 211.131341533686</t>
  </si>
  <si>
    <t>-621.300025483108 178.686839084062 678.296630138376</t>
  </si>
  <si>
    <t>-491.368558309608 98.5540088121281 765.704026871906</t>
  </si>
  <si>
    <t>-659.180901682301 51.0664209428783 -210.856662172587</t>
  </si>
  <si>
    <t>-500.791919455559 -93.2996093022259 191.298810039605</t>
  </si>
  <si>
    <t>-495.513415449341 -20.4400063318672 655.364302049909</t>
  </si>
  <si>
    <t>-489.588248180348 -167.993684208082 750.948245403431</t>
  </si>
  <si>
    <t>9763-20170724T160505.924108400.bin</t>
  </si>
  <si>
    <t>-616.163673973841 137.877278056705 -227.819079656762</t>
  </si>
  <si>
    <t>-656.671213563475 136.374300848978 -341.944894125803</t>
  </si>
  <si>
    <t>-675.952890589237 129.402377023006 -461.402712849163</t>
  </si>
  <si>
    <t>-684.564620288099 120.49241196143 -570.220417283195</t>
  </si>
  <si>
    <t>-684.457798556353 108.846008008794 -679.120430388653</t>
  </si>
  <si>
    <t>-675.28155070489 89.6513557376197 -829.942704120531</t>
  </si>
  <si>
    <t>-637.874545308238 60.8837859249159 -920.254024286494</t>
  </si>
  <si>
    <t>-661.163066601231 124.135512233112 -765.410254864507</t>
  </si>
  <si>
    <t>-562.587551442305 232.411448268005 -751.913930743087</t>
  </si>
  <si>
    <t>-484.101734306708 187.885975176625 -448.52696386874</t>
  </si>
  <si>
    <t>-292.933869247389 94.8749036239763 -298.707571433558</t>
  </si>
  <si>
    <t>-697.520391259554 72.153337931408 -761.006600147258</t>
  </si>
  <si>
    <t>-573.054755816479 224.605086149765 -244.108477987648</t>
  </si>
  <si>
    <t>-582.574257498106 207.465695375244 211.164298184768</t>
  </si>
  <si>
    <t>-621.341344078195 178.622245155692 678.333563700725</t>
  </si>
  <si>
    <t>-491.405058392974 98.4852784220575 765.730000784256</t>
  </si>
  <si>
    <t>-659.207862852225 51.0685911522144 -210.883019460524</t>
  </si>
  <si>
    <t>-500.789385868891 -93.3452843909547 191.243633206376</t>
  </si>
  <si>
    <t>-495.477675822498 -20.3780839337269 655.276702014176</t>
  </si>
  <si>
    <t>-489.618246754482 -167.979768344565 750.790714037567</t>
  </si>
  <si>
    <t>9763-20170724T160505.995902700.bin</t>
  </si>
  <si>
    <t>-616.076629556208 137.868852911425 -227.89351368722</t>
  </si>
  <si>
    <t>-656.57556900252 136.380653493801 -342.022433048222</t>
  </si>
  <si>
    <t>-675.840839867735 129.389522511207 -461.481822328338</t>
  </si>
  <si>
    <t>-684.43574046267 120.446306860418 -570.298081281146</t>
  </si>
  <si>
    <t>-684.310930150178 108.749812532273 -679.192735070431</t>
  </si>
  <si>
    <t>-675.109357918646 89.4671745029157 -830.002260743513</t>
  </si>
  <si>
    <t>-637.704901527058 60.5997409739825 -920.282707918421</t>
  </si>
  <si>
    <t>-660.956611790052 123.957767778649 -765.480940316284</t>
  </si>
  <si>
    <t>-562.179380119807 232.065990147868 -751.995512184503</t>
  </si>
  <si>
    <t>-483.294624086896 187.03615778512 -448.786602295061</t>
  </si>
  <si>
    <t>-292.554889841276 93.7531013005992 -298.591040432607</t>
  </si>
  <si>
    <t>-697.405056120218 72.0403662758579 -761.066641493007</t>
  </si>
  <si>
    <t>-572.838641026333 224.586434525531 -244.149662790132</t>
  </si>
  <si>
    <t>-582.418029632629 207.447182005385 211.121781532325</t>
  </si>
  <si>
    <t>-621.256568248297 178.708786995084 678.335048346848</t>
  </si>
  <si>
    <t>-491.358681322671 98.5185323205276 765.739717842436</t>
  </si>
  <si>
    <t>-659.217580190009 51.1299606622777 -211.021265338116</t>
  </si>
  <si>
    <t>-500.764549793409 -93.4507916246346 191.031829461431</t>
  </si>
  <si>
    <t>-495.515175390642 -20.3956913806894 654.978517978753</t>
  </si>
  <si>
    <t>-489.647620090481 -167.943178781635 750.575838888336</t>
  </si>
  <si>
    <t>9763-20170724T160506.028998700.bin</t>
  </si>
  <si>
    <t>-616.102744329361 137.784844734483 -228.008455165761</t>
  </si>
  <si>
    <t>-656.587852848251 136.304558209544 -342.142449506538</t>
  </si>
  <si>
    <t>-675.832526813754 129.27434369585 -461.602948370912</t>
  </si>
  <si>
    <t>-684.406848213921 120.276825372084 -570.416401502887</t>
  </si>
  <si>
    <t>-684.260304063661 108.507031949864 -679.303061007681</t>
  </si>
  <si>
    <t>-675.027891538182 89.1030777257961 -830.095063532778</t>
  </si>
  <si>
    <t>-637.611321191461 60.1755545931255 -920.351252659313</t>
  </si>
  <si>
    <t>-660.877357863759 123.638216822527 -765.596990229608</t>
  </si>
  <si>
    <t>-562.050659020608 231.702951450533 -752.142774261491</t>
  </si>
  <si>
    <t>-483.026456164094 186.404274128775 -449.010125470548</t>
  </si>
  <si>
    <t>-292.376403353598 93.0624147941496 -298.737418800756</t>
  </si>
  <si>
    <t>-697.348450014465 71.7393398207689 -761.15156260723</t>
  </si>
  <si>
    <t>-572.796289299668 224.496147156956 -244.217359999589</t>
  </si>
  <si>
    <t>-582.397460822183 207.320547507733 211.05225062253</t>
  </si>
  <si>
    <t>-621.319749747085 178.587541064416 678.301988515569</t>
  </si>
  <si>
    <t>-491.308310680133 98.5811653001319 765.706328284174</t>
  </si>
  <si>
    <t>-659.31650956925 51.0519629820146 -211.202780487545</t>
  </si>
  <si>
    <t>-500.897736186849 -93.516233972558 190.868310195878</t>
  </si>
  <si>
    <t>-495.71701050905 -20.5867714785884 654.733593760451</t>
  </si>
  <si>
    <t>-489.768199325229 -167.976014984744 750.569605526884</t>
  </si>
  <si>
    <t>9763-20170724T160506.099190400.bin</t>
  </si>
  <si>
    <t>-616.108354128834 137.644960833443 -228.311457889194</t>
  </si>
  <si>
    <t>-656.522830144495 136.139516413599 -342.470092931131</t>
  </si>
  <si>
    <t>-675.680307722618 129.020056376113 -461.939157386298</t>
  </si>
  <si>
    <t>-684.171907188264 119.912468017536 -570.750125989826</t>
  </si>
  <si>
    <t>-683.940596171422 108.001661575912 -679.621276737597</t>
  </si>
  <si>
    <t>-674.59065990438 88.3675806409319 -830.376335396726</t>
  </si>
  <si>
    <t>-637.123557989942 59.3223368300503 -920.573624711845</t>
  </si>
  <si>
    <t>-660.470131313727 122.987019322539 -765.916903377354</t>
  </si>
  <si>
    <t>-561.505922432194 230.921105371224 -752.497902749474</t>
  </si>
  <si>
    <t>-482.232822925259 185.128343462024 -449.504596923264</t>
  </si>
  <si>
    <t>-292.002462473344 91.3140607440907 -298.994196679063</t>
  </si>
  <si>
    <t>-696.985307953561 71.1230772721972 -761.426802955674</t>
  </si>
  <si>
    <t>-572.675539629636 224.49064350862 -244.400929058638</t>
  </si>
  <si>
    <t>-582.442319238091 207.346796802752 210.86642338213</t>
  </si>
  <si>
    <t>-621.251287520409 178.64326504279 678.196016118332</t>
  </si>
  <si>
    <t>-491.476261234898 98.2912908179276 765.634642870545</t>
  </si>
  <si>
    <t>-659.406039426817 50.7990814059651 -211.61023862839</t>
  </si>
  <si>
    <t>-501.116482622884 -93.745198861933 190.520314680218</t>
  </si>
  <si>
    <t>-496.118097224781 -20.9635394600291 654.3727147163</t>
  </si>
  <si>
    <t>-490.04202497981 -167.978057807795 750.77450339922</t>
  </si>
  <si>
    <t>9763-20170724T160506.128266500.bin</t>
  </si>
  <si>
    <t>-616.169392920481 137.531658962474 -228.462889886754</t>
  </si>
  <si>
    <t>-656.51727823115 135.996234347261 -342.644684864822</t>
  </si>
  <si>
    <t>-675.626279752824 128.808199029259 -462.117556735598</t>
  </si>
  <si>
    <t>-684.083930213505 119.619932539614 -570.924198816731</t>
  </si>
  <si>
    <t>-683.830293896856 107.60779594216 -679.784248023924</t>
  </si>
  <si>
    <t>-674.462622377475 87.8101235367237 -830.516750326077</t>
  </si>
  <si>
    <t>-636.996797909278 58.6661981744926 -920.682873397335</t>
  </si>
  <si>
    <t>-660.330047216499 122.485879551155 -766.090148088439</t>
  </si>
  <si>
    <t>-561.261804487767 230.353547482615 -752.730952936451</t>
  </si>
  <si>
    <t>-481.955386435921 184.342034526317 -449.779411262892</t>
  </si>
  <si>
    <t>-292.017452195006 90.1605808288039 -299.12923666455</t>
  </si>
  <si>
    <t>-696.885055680703 70.6540168877168 -761.554231943886</t>
  </si>
  <si>
    <t>-572.713875677863 224.424362518529 -244.494494552461</t>
  </si>
  <si>
    <t>-582.633876374989 207.343546194046 210.771969127641</t>
  </si>
  <si>
    <t>-621.33757297719 178.492719146827 678.138339741713</t>
  </si>
  <si>
    <t>-491.461518474781 98.3069016072016 765.579481966405</t>
  </si>
  <si>
    <t>-659.535479922892 50.6346053903524 -211.786682708859</t>
  </si>
  <si>
    <t>-501.285450618082 -93.8973800190988 190.363950814138</t>
  </si>
  <si>
    <t>-496.379414823118 -21.2107528703773 654.244333236519</t>
  </si>
  <si>
    <t>-490.219221977467 -168.027513111588 750.94188336958</t>
  </si>
  <si>
    <t>9763-20170724T160506.196451800.bin</t>
  </si>
  <si>
    <t>-616.15258455314 137.460247404164 -228.576645279071</t>
  </si>
  <si>
    <t>-656.381723262687 135.87672386669 -342.799596969074</t>
  </si>
  <si>
    <t>-675.403666830694 128.492604094057 -462.274389441178</t>
  </si>
  <si>
    <t>-683.80197961375 119.060272336241 -571.064684277995</t>
  </si>
  <si>
    <t>-683.512363163003 106.733843328605 -679.889605576801</t>
  </si>
  <si>
    <t>-674.123377794981 86.4226400122195 -830.552402345864</t>
  </si>
  <si>
    <t>-636.685050542166 57.0002411329347 -920.639412646539</t>
  </si>
  <si>
    <t>-659.955578474537 121.287254980733 -766.235495376481</t>
  </si>
  <si>
    <t>-560.703508421044 228.9940205407 -753.04789434897</t>
  </si>
  <si>
    <t>-481.10469905624 182.656725322383 -450.222752546363</t>
  </si>
  <si>
    <t>-291.606302398121 87.9151516646239 -299.370414949282</t>
  </si>
  <si>
    <t>-696.599750271345 69.5322948697092 -761.542071302762</t>
  </si>
  <si>
    <t>-572.758653410785 224.368600532981 -244.563533337015</t>
  </si>
  <si>
    <t>-582.936114810414 207.33761767833 210.699102903144</t>
  </si>
  <si>
    <t>-621.472287981405 178.258263343979 678.085992394529</t>
  </si>
  <si>
    <t>-491.384924563709 98.4126916492537 765.524396967651</t>
  </si>
  <si>
    <t>-659.35232040876 50.5750547173111 -211.901653126586</t>
  </si>
  <si>
    <t>-501.279445896707 -93.8891941544359 190.342953633993</t>
  </si>
  <si>
    <t>-496.416514638781 -21.2323615459504 654.41230821499</t>
  </si>
  <si>
    <t>-490.169171363564 -167.968757203594 751.226169473752</t>
  </si>
  <si>
    <t>9763-20170724T160506.230542500.bin</t>
  </si>
  <si>
    <t>-616.016121950906 137.572552308299 -228.592707912229</t>
  </si>
  <si>
    <t>-656.193827764869 135.966426557014 -342.833521662799</t>
  </si>
  <si>
    <t>-675.180430087478 128.47482027109 -462.307169425015</t>
  </si>
  <si>
    <t>-683.556767767229 118.907001126904 -571.087471529709</t>
  </si>
  <si>
    <t>-683.257547974489 106.404544511955 -679.892181076713</t>
  </si>
  <si>
    <t>-673.870293454802 85.8047253340389 -830.515860152098</t>
  </si>
  <si>
    <t>-636.437498616969 56.2083747585223 -920.548214135492</t>
  </si>
  <si>
    <t>-659.673103177746 120.772453551662 -766.261633078408</t>
  </si>
  <si>
    <t>-560.314409070569 228.392474795477 -753.21126122591</t>
  </si>
  <si>
    <t>-480.586289934748 181.904731998183 -450.443290584174</t>
  </si>
  <si>
    <t>-291.398636139843 86.7667596788913 -299.450313816163</t>
  </si>
  <si>
    <t>-696.374671556464 69.0664996008059 -761.477474441356</t>
  </si>
  <si>
    <t>-572.65069743126 224.515413452512 -244.57626558477</t>
  </si>
  <si>
    <t>-582.887164972877 207.458465021467 210.684056925731</t>
  </si>
  <si>
    <t>-621.39123064562 178.35610024222 678.047164180748</t>
  </si>
  <si>
    <t>-491.50763583808 98.2187826219263 765.521551705817</t>
  </si>
  <si>
    <t>-659.206638920292 50.6682360485365 -211.90205403469</t>
  </si>
  <si>
    <t>-501.247825601185 -93.8195951997059 190.378881105847</t>
  </si>
  <si>
    <t>-496.424330017325 -21.2642586839561 654.429060262119</t>
  </si>
  <si>
    <t>-490.193373372478 -167.958997954536 751.30716065523</t>
  </si>
  <si>
    <t>9763-20170724T160506.295533700.bin</t>
  </si>
  <si>
    <t>-615.620128032287 137.60562244012 -228.586520348543</t>
  </si>
  <si>
    <t>-655.726216719632 135.989097904746 -342.852369507911</t>
  </si>
  <si>
    <t>-674.697470800113 128.311776925631 -462.316766080542</t>
  </si>
  <si>
    <t>-683.089163110373 118.499304280242 -571.073942487071</t>
  </si>
  <si>
    <t>-682.838630807924 105.672405679854 -679.840928761303</t>
  </si>
  <si>
    <t>-673.557499556006 84.5361469075201 -830.397098771755</t>
  </si>
  <si>
    <t>-636.169147290449 54.6068973984441 -920.337789466481</t>
  </si>
  <si>
    <t>-659.264266440533 119.697202038579 -766.269585114685</t>
  </si>
  <si>
    <t>-559.80761621014 227.266002965294 -753.55652860996</t>
  </si>
  <si>
    <t>-479.868793316457 180.798400877985 -450.840886100798</t>
  </si>
  <si>
    <t>-291.035206803364 84.9917559327332 -299.827521889187</t>
  </si>
  <si>
    <t>-696.063899730119 68.079440531586 -761.291717493371</t>
  </si>
  <si>
    <t>-572.386917613041 224.543999144054 -244.546593849729</t>
  </si>
  <si>
    <t>-582.750503403666 207.491873606851 210.711088423934</t>
  </si>
  <si>
    <t>-621.422664796826 178.268526964768 678.038212854201</t>
  </si>
  <si>
    <t>-491.498997553162 98.2185516580685 765.533096573542</t>
  </si>
  <si>
    <t>-658.719945169264 50.6579577480748 -211.899504781582</t>
  </si>
  <si>
    <t>-500.901003723697 -93.8305876819841 190.436062995349</t>
  </si>
  <si>
    <t>-496.380195384709 -21.2302698947988 654.539293557943</t>
  </si>
  <si>
    <t>-490.162846241874 -167.917443188839 751.429574482752</t>
  </si>
  <si>
    <t>9763-20170724T160506.329622700.bin</t>
  </si>
  <si>
    <t>-615.446386902091 137.599054986487 -228.55791479084</t>
  </si>
  <si>
    <t>-655.512084930368 136.001178144607 -342.838276281237</t>
  </si>
  <si>
    <t>-674.479126782305 128.24273010262 -462.298029382336</t>
  </si>
  <si>
    <t>-682.88441617342 118.315976202013 -571.043754677949</t>
  </si>
  <si>
    <t>-682.666591589409 105.333654137291 -679.792486087455</t>
  </si>
  <si>
    <t>-673.452463117679 83.9383029125031 -830.315920148025</t>
  </si>
  <si>
    <t>-636.094024986872 53.8422793248192 -920.213495905122</t>
  </si>
  <si>
    <t>-659.103979507923 119.191037947149 -766.251344326325</t>
  </si>
  <si>
    <t>-559.60349375085 226.748967818247 -753.726002605645</t>
  </si>
  <si>
    <t>-479.784515030494 180.547789641356 -450.938023751325</t>
  </si>
  <si>
    <t>-291.152966103838 84.4666055532807 -299.84663044992</t>
  </si>
  <si>
    <t>-695.954907945955 67.6190964019406 -761.176768500809</t>
  </si>
  <si>
    <t>-572.183500655576 224.510773405323 -244.511104672478</t>
  </si>
  <si>
    <t>-582.66076763956 207.468019221595 210.744212070494</t>
  </si>
  <si>
    <t>-621.450232233808 178.213287010399 678.048191525655</t>
  </si>
  <si>
    <t>-491.560259996596 98.1188919255233 765.552456932949</t>
  </si>
  <si>
    <t>-658.607231438072 50.6902979149795 -211.870694045417</t>
  </si>
  <si>
    <t>-500.802540878019 -93.8372595783424 190.456488480011</t>
  </si>
  <si>
    <t>-496.380482016295 -21.2350342232508 654.535051904897</t>
  </si>
  <si>
    <t>-490.164490656733 -167.898785265262 751.460924472125</t>
  </si>
  <si>
    <t>9763-20170724T160506.395805400.bin</t>
  </si>
  <si>
    <t>-615.011963065784 137.42117901812 -228.519696556335</t>
  </si>
  <si>
    <t>-655.009665862671 135.838431276862 -342.82412391561</t>
  </si>
  <si>
    <t>-674.020320184665 127.852354261867 -462.261890062105</t>
  </si>
  <si>
    <t>-682.516013550656 117.623922527938 -570.972777746676</t>
  </si>
  <si>
    <t>-682.442512340319 104.24604386135 -679.673698636408</t>
  </si>
  <si>
    <t>-673.487289770625 82.2053868441403 -830.119672465503</t>
  </si>
  <si>
    <t>-636.228009374186 51.7738396622426 -919.945357223084</t>
  </si>
  <si>
    <t>-658.984934837106 117.701783829245 -766.224401853514</t>
  </si>
  <si>
    <t>-559.490841300691 225.331500301841 -754.303919804956</t>
  </si>
  <si>
    <t>-479.708588317318 180.23047537918 -451.340404642762</t>
  </si>
  <si>
    <t>-291.022264250105 84.0484847543712 -300.381641873825</t>
  </si>
  <si>
    <t>-695.914506864367 66.2135505441688 -760.879589892744</t>
  </si>
  <si>
    <t>-571.622299363901 224.234077301067 -244.485594790378</t>
  </si>
  <si>
    <t>-582.494417999063 207.437849544969 210.769742290415</t>
  </si>
  <si>
    <t>-621.480417420332 178.075989325529 678.013240404451</t>
  </si>
  <si>
    <t>-491.670773201408 97.9289735687146 765.588475215832</t>
  </si>
  <si>
    <t>-658.300043777138 50.5528142352857 -211.868419352209</t>
  </si>
  <si>
    <t>-500.732365769241 -94.1058744420143 190.504579086413</t>
  </si>
  <si>
    <t>-496.317447536904 -21.2377377813323 654.561352988508</t>
  </si>
  <si>
    <t>-490.233408899724 -167.875619531937 751.534521823449</t>
  </si>
  <si>
    <t>9763-20170724T160506.428893300.bin</t>
  </si>
  <si>
    <t>-614.701714782514 137.219205753923 -228.511433772947</t>
  </si>
  <si>
    <t>-654.642723889305 135.660927988379 -342.835911422096</t>
  </si>
  <si>
    <t>-673.686752098631 127.572195285947 -462.261574850477</t>
  </si>
  <si>
    <t>-682.253091614103 117.199560630425 -570.953155925708</t>
  </si>
  <si>
    <t>-682.292704591907 103.626300141868 -679.62983761684</t>
  </si>
  <si>
    <t>-673.540124459161 81.2614265124203 -830.039922795965</t>
  </si>
  <si>
    <t>-636.373168810579 50.6431250649803 -919.840472689821</t>
  </si>
  <si>
    <t>-658.913358644578 116.868426882032 -766.234782669229</t>
  </si>
  <si>
    <t>-559.348629667912 224.460166322415 -754.619584056016</t>
  </si>
  <si>
    <t>-479.623371217603 180.147470919043 -451.524749937025</t>
  </si>
  <si>
    <t>-290.86234914739 84.0390870380977 -300.612424523139</t>
  </si>
  <si>
    <t>-695.912422775367 65.4459025412232 -760.741551742411</t>
  </si>
  <si>
    <t>-571.27844391987 223.978962349634 -244.484417707041</t>
  </si>
  <si>
    <t>-582.440315963712 207.327011536773 210.769152548177</t>
  </si>
  <si>
    <t>-621.492442677297 177.982309664798 677.987998583817</t>
  </si>
  <si>
    <t>-491.579103423481 98.0519297687924 765.607466460344</t>
  </si>
  <si>
    <t>-657.987292192837 50.4253479336371 -211.86578944504</t>
  </si>
  <si>
    <t>-500.616819733261 -94.3356164844906 190.547569544499</t>
  </si>
  <si>
    <t>-496.177177486475 -21.1382976545751 654.640864311113</t>
  </si>
  <si>
    <t>-490.233720773197 -167.844479045921 751.519526953617</t>
  </si>
  <si>
    <t>9763-20170724T160506.493587300.bin</t>
  </si>
  <si>
    <t>-613.865616081484 136.975629756019 -228.533969819516</t>
  </si>
  <si>
    <t>-653.697566608739 135.481751096932 -342.897430188719</t>
  </si>
  <si>
    <t>-672.752434909379 127.202743560583 -462.3081731351</t>
  </si>
  <si>
    <t>-681.384590869835 116.554369551528 -570.967997319109</t>
  </si>
  <si>
    <t>-681.549832390773 102.602266094623 -679.596585758101</t>
  </si>
  <si>
    <t>-673.038203828229 79.6032687368838 -829.924857263627</t>
  </si>
  <si>
    <t>-636.030189854747 48.5857013677914 -919.653903046305</t>
  </si>
  <si>
    <t>-658.242580369954 115.432182893676 -766.282906027175</t>
  </si>
  <si>
    <t>-558.375025698617 222.806349868205 -755.205687323415</t>
  </si>
  <si>
    <t>-478.500936500952 179.70743992213 -451.975120002539</t>
  </si>
  <si>
    <t>-289.788658116094 83.6566409219297 -300.965240934933</t>
  </si>
  <si>
    <t>-695.366056247139 64.1270817055092 -760.535645948247</t>
  </si>
  <si>
    <t>-570.413669555741 223.64304216209 -244.496537840042</t>
  </si>
  <si>
    <t>-581.984142799474 207.126065977647 210.751703740701</t>
  </si>
  <si>
    <t>-621.454311997711 177.916818058547 677.948762302003</t>
  </si>
  <si>
    <t>-491.782363578685 97.7114268137848 765.674437933211</t>
  </si>
  <si>
    <t>-657.167954844416 50.3355758548985 -211.873350599279</t>
  </si>
  <si>
    <t>-500.367797920421 -94.4454815081981 190.755306090295</t>
  </si>
  <si>
    <t>-495.896336536115 -20.8780445836837 654.776278680902</t>
  </si>
  <si>
    <t>-490.194068132669 -167.772130879277 751.384469198157</t>
  </si>
  <si>
    <t>9763-20170724T160506.522664100.bin</t>
  </si>
  <si>
    <t>-613.438265208474 136.857118193561 -228.582663737252</t>
  </si>
  <si>
    <t>-653.284623258658 135.416913328855 -342.941677177792</t>
  </si>
  <si>
    <t>-672.389916393856 127.069433485419 -462.339700827314</t>
  </si>
  <si>
    <t>-681.085028147389 116.308633628934 -570.983339950285</t>
  </si>
  <si>
    <t>-681.332431033027 102.193237435862 -679.590653754856</t>
  </si>
  <si>
    <t>-672.956209028132 78.914753429159 -829.883545607956</t>
  </si>
  <si>
    <t>-636.038612493261 47.7157130287942 -919.586919012648</t>
  </si>
  <si>
    <t>-658.075994236682 114.842635263746 -766.317098206938</t>
  </si>
  <si>
    <t>-558.115730637512 222.142642604923 -755.442418770266</t>
  </si>
  <si>
    <t>-477.951727090586 179.486941624526 -452.225714976754</t>
  </si>
  <si>
    <t>-289.40750926443 83.3423113450183 -301.065576140289</t>
  </si>
  <si>
    <t>-695.248815299592 63.5869411564481 -760.45007120963</t>
  </si>
  <si>
    <t>-570.011667001966 223.451293020713 -244.509691402047</t>
  </si>
  <si>
    <t>-581.702769731397 206.892375907476 210.733953559226</t>
  </si>
  <si>
    <t>-621.422598800873 177.887082897737 677.912191533162</t>
  </si>
  <si>
    <t>-491.610215644454 97.9540578839049 765.678717137769</t>
  </si>
  <si>
    <t>-656.749471777501 50.2751827219233 -211.944351884048</t>
  </si>
  <si>
    <t>-500.201861972847 -94.5026988634979 190.783649229461</t>
  </si>
  <si>
    <t>-495.799035628516 -20.8067236413506 654.760355157196</t>
  </si>
  <si>
    <t>-490.201484517422 -167.74836587227 751.302321175735</t>
  </si>
  <si>
    <t>9763-20170724T160506.594557100.bin</t>
  </si>
  <si>
    <t>-612.505341396881 136.598200011994 -228.691841559921</t>
  </si>
  <si>
    <t>-652.256112349575 135.156577723425 -343.084155922648</t>
  </si>
  <si>
    <t>-671.364251418022 126.685871958084 -462.472962853655</t>
  </si>
  <si>
    <t>-680.105495494075 115.766917339053 -571.097200440148</t>
  </si>
  <si>
    <t>-680.444017834835 101.448413590213 -679.677556103112</t>
  </si>
  <si>
    <t>-672.242677830699 77.8419146064143 -829.929083177959</t>
  </si>
  <si>
    <t>-635.479231080369 46.4307514591046 -919.621647460557</t>
  </si>
  <si>
    <t>-657.280354374342 113.902614810809 -766.457206405704</t>
  </si>
  <si>
    <t>-557.127091314121 221.048012773786 -755.820450861203</t>
  </si>
  <si>
    <t>-476.485756372051 178.820971928885 -452.670233082532</t>
  </si>
  <si>
    <t>-288.359991823956 82.3487305959579 -301.198027577247</t>
  </si>
  <si>
    <t>-694.462766843292 62.6713952332595 -760.437593108327</t>
  </si>
  <si>
    <t>-569.017707445131 223.135822933084 -244.573864564129</t>
  </si>
  <si>
    <t>-581.144964155316 206.595778265384 210.659024118047</t>
  </si>
  <si>
    <t>-621.373572576477 177.804915213932 677.811913963346</t>
  </si>
  <si>
    <t>-491.760685382509 97.6898132986116 765.707187444403</t>
  </si>
  <si>
    <t>-655.877874260485 50.0676604081684 -212.142811195795</t>
  </si>
  <si>
    <t>-499.789785287047 -94.8414193676069 190.716367493393</t>
  </si>
  <si>
    <t>-495.74978604389 -20.8364653049425 654.596080467982</t>
  </si>
  <si>
    <t>-490.300184135427 -167.73887599268 751.20603703482</t>
  </si>
  <si>
    <t>9763-20170724T160506.629651400.bin</t>
  </si>
  <si>
    <t>-612.071324730136 136.510603481155 -228.787585398058</t>
  </si>
  <si>
    <t>-651.785662620677 135.029604983594 -343.192063134567</t>
  </si>
  <si>
    <t>-670.874231300637 126.504534085947 -462.58010454948</t>
  </si>
  <si>
    <t>-679.605837549162 115.530018953518 -571.199534934923</t>
  </si>
  <si>
    <t>-679.943448981022 101.149252904787 -679.771804684619</t>
  </si>
  <si>
    <t>-671.750416209353 77.4490559949893 -830.008780357513</t>
  </si>
  <si>
    <t>-635.005153899694 46.0022446381247 -919.696417906792</t>
  </si>
  <si>
    <t>-656.804431338153 113.563370480346 -766.563666104328</t>
  </si>
  <si>
    <t>-556.620521264004 220.673335681009 -755.917097595526</t>
  </si>
  <si>
    <t>-475.821463081939 178.325501443391 -452.825889920025</t>
  </si>
  <si>
    <t>-287.981132092686 81.5889080559289 -301.167914155574</t>
  </si>
  <si>
    <t>-693.946720841365 62.3079577156077 -760.50356696203</t>
  </si>
  <si>
    <t>-568.590902056456 223.1124546558 -244.632315129477</t>
  </si>
  <si>
    <t>-580.935155317434 206.596329190408 210.595598275964</t>
  </si>
  <si>
    <t>-621.283827352796 177.861353281975 677.742140253517</t>
  </si>
  <si>
    <t>-491.810299138438 97.5971928063093 765.706799848023</t>
  </si>
  <si>
    <t>-655.408654704562 49.9367372776946 -212.269333792568</t>
  </si>
  <si>
    <t>-499.50555507043 -94.9940906919601 190.653654042954</t>
  </si>
  <si>
    <t>-495.76319196094 -20.8877816467218 654.507967951956</t>
  </si>
  <si>
    <t>-490.358209637732 -167.733157105989 751.207142256004</t>
  </si>
  <si>
    <t>9763-20170724T160506.690857300.bin</t>
  </si>
  <si>
    <t>-611.52384447671 136.233177728178 -228.995494085327</t>
  </si>
  <si>
    <t>-651.146270064277 134.628226627539 -343.430030802381</t>
  </si>
  <si>
    <t>-670.169490065999 125.99315140432 -462.820846923948</t>
  </si>
  <si>
    <t>-678.85461029742 114.923753908974 -571.434209387255</t>
  </si>
  <si>
    <t>-679.159699759235 100.451181829864 -679.994378043152</t>
  </si>
  <si>
    <t>-670.936888048443 76.6255120320918 -830.209904391714</t>
  </si>
  <si>
    <t>-634.192592573295 45.2319805489537 -919.916647285863</t>
  </si>
  <si>
    <t>-656.073797358525 112.842201384208 -766.80361295874</t>
  </si>
  <si>
    <t>-556.063433132779 220.117990391463 -756.187773003383</t>
  </si>
  <si>
    <t>-474.850427988227 177.213990269404 -453.285367047006</t>
  </si>
  <si>
    <t>-287.096244215395 80.1997782110634 -301.698121184807</t>
  </si>
  <si>
    <t>-693.076684174087 61.4930313721027 -760.68476112884</t>
  </si>
  <si>
    <t>-568.309724687147 222.905595093032 -244.752551460605</t>
  </si>
  <si>
    <t>-580.904049466174 206.349303890938 210.467119967391</t>
  </si>
  <si>
    <t>-621.535976880658 177.382161950464 677.649715528095</t>
  </si>
  <si>
    <t>-491.626960784347 97.8763471336201 765.660975499891</t>
  </si>
  <si>
    <t>-654.630609460784 49.5849506361678 -212.563145794373</t>
  </si>
  <si>
    <t>-498.849876665762 -95.3838339739837 190.393573747754</t>
  </si>
  <si>
    <t>-495.997114329333 -21.1850175086347 654.185368513595</t>
  </si>
  <si>
    <t>-490.518250919802 -167.765296935102 751.281856548675</t>
  </si>
  <si>
    <t>9763-20170724T160506.722940600.bin</t>
  </si>
  <si>
    <t>-611.329857791982 136.180699699563 -229.085968352502</t>
  </si>
  <si>
    <t>-650.918248073474 134.488307124274 -343.531105827728</t>
  </si>
  <si>
    <t>-669.898813563676 125.788669956507 -462.923791202697</t>
  </si>
  <si>
    <t>-678.542477220564 114.668960389454 -571.535419134264</t>
  </si>
  <si>
    <t>-678.80368827635 100.153183916454 -680.089835056751</t>
  </si>
  <si>
    <t>-670.51792191159 76.2739479278698 -830.293546687542</t>
  </si>
  <si>
    <t>-633.737782231262 44.9316554490872 -920.003403829996</t>
  </si>
  <si>
    <t>-655.72036792852 112.540401395257 -766.900353105867</t>
  </si>
  <si>
    <t>-555.805794194908 219.911629958286 -756.255760760316</t>
  </si>
  <si>
    <t>-474.485802273425 176.757645618801 -453.417457071321</t>
  </si>
  <si>
    <t>-286.95453080423 79.4147982965842 -301.765038200701</t>
  </si>
  <si>
    <t>-692.647957954569 61.1390259907539 -760.765752521373</t>
  </si>
  <si>
    <t>-568.237907377483 222.938350369098 -244.801067592772</t>
  </si>
  <si>
    <t>-580.935704871226 206.363573629006 210.415095469256</t>
  </si>
  <si>
    <t>-621.538124239686 177.365691366868 677.611942306354</t>
  </si>
  <si>
    <t>-491.473552126633 98.1215744677268 765.629479089636</t>
  </si>
  <si>
    <t>-654.321215827116 49.434663340161 -212.691064005967</t>
  </si>
  <si>
    <t>-498.493979055983 -95.3927467557216 190.298394376876</t>
  </si>
  <si>
    <t>-496.053736768932 -21.2983752361413 654.134399745715</t>
  </si>
  <si>
    <t>-490.49212356309 -167.775233506744 751.381997078315</t>
  </si>
  <si>
    <t>9763-20170724T160506.796692600.bin</t>
  </si>
  <si>
    <t>-610.947161875378 136.206395295164 -229.210786293724</t>
  </si>
  <si>
    <t>-650.439259265764 134.388543516894 -343.687381940844</t>
  </si>
  <si>
    <t>-669.279909545576 125.603139018477 -463.095935914313</t>
  </si>
  <si>
    <t>-677.779954690114 114.420792715974 -571.71239712453</t>
  </si>
  <si>
    <t>-677.881565950997 99.8557241292997 -680.260678950531</t>
  </si>
  <si>
    <t>-669.358229164863 75.9208658313776 -830.442010539267</t>
  </si>
  <si>
    <t>-632.449602230877 44.755865770225 -920.161051987357</t>
  </si>
  <si>
    <t>-654.736790326631 112.263792816007 -767.05186081471</t>
  </si>
  <si>
    <t>-555.02231197036 219.815161520235 -756.341262237482</t>
  </si>
  <si>
    <t>-473.516693685643 176.219777136541 -453.616085338592</t>
  </si>
  <si>
    <t>-286.365230840021 78.3826142929333 -301.812603268309</t>
  </si>
  <si>
    <t>-691.522263231251 60.7588402564288 -760.931060455615</t>
  </si>
  <si>
    <t>-568.006152034268 223.161673654033 -244.863367795382</t>
  </si>
  <si>
    <t>-580.891217091113 206.522939738646 210.345138825712</t>
  </si>
  <si>
    <t>-621.569575208545 177.321271313284 677.546414401646</t>
  </si>
  <si>
    <t>-491.592377728729 97.9647404884297 765.591755469823</t>
  </si>
  <si>
    <t>-653.755182646701 49.2814499526769 -212.858790240302</t>
  </si>
  <si>
    <t>-497.797170952604 -95.3330305576228 190.156638450644</t>
  </si>
  <si>
    <t>-496.218795042359 -21.5070642705653 654.051105995026</t>
  </si>
  <si>
    <t>-490.338532120192 -167.771059057238 751.599814373043</t>
  </si>
  <si>
    <t>9763-20170724T160506.827774400.bin</t>
  </si>
  <si>
    <t>-610.742125974911 136.192407930418 -229.230743768448</t>
  </si>
  <si>
    <t>-650.215271218622 134.331501705874 -343.713120745058</t>
  </si>
  <si>
    <t>-669.026338728483 125.50298279075 -463.123244250872</t>
  </si>
  <si>
    <t>-677.495077559253 114.282922297308 -571.738412520778</t>
  </si>
  <si>
    <t>-677.560898547259 99.6818456127337 -680.281689939522</t>
  </si>
  <si>
    <t>-668.983007509197 75.6994148374145 -830.452525773293</t>
  </si>
  <si>
    <t>-632.024242948696 44.6041080455529 -920.174898339624</t>
  </si>
  <si>
    <t>-654.42417528668 112.089840327425 -767.07503225151</t>
  </si>
  <si>
    <t>-554.818650191736 219.749580291008 -756.356063470422</t>
  </si>
  <si>
    <t>-473.233330342529 175.942462285455 -453.682995453811</t>
  </si>
  <si>
    <t>-286.306024104406 77.9742603762295 -301.688020271626</t>
  </si>
  <si>
    <t>-691.132798067149 60.531886324422 -760.938029257187</t>
  </si>
  <si>
    <t>-567.886704320684 223.19649442984 -244.864481849432</t>
  </si>
  <si>
    <t>-580.855399152669 206.527153052913 210.340546601155</t>
  </si>
  <si>
    <t>-621.586398956745 177.311159100478 677.535092101217</t>
  </si>
  <si>
    <t>-491.593954199462 97.9794542320512 765.58029278452</t>
  </si>
  <si>
    <t>-653.470942413417 49.1931804653573 -212.878296836918</t>
  </si>
  <si>
    <t>-497.507009065336 -95.3495231093061 190.160586384472</t>
  </si>
  <si>
    <t>-496.212788263061 -21.5593390916047 654.093270934313</t>
  </si>
  <si>
    <t>-490.252030448406 -167.773480284584 751.712063912445</t>
  </si>
  <si>
    <t>9763-20170724T160506.898984100.bin</t>
  </si>
  <si>
    <t>-610.388510287232 136.137308192476 -229.165758190037</t>
  </si>
  <si>
    <t>-649.783593581595 134.229670433153 -343.67428043773</t>
  </si>
  <si>
    <t>-668.500350161694 125.351047775789 -463.095395482911</t>
  </si>
  <si>
    <t>-676.877670310031 114.085993231011 -571.712904106436</t>
  </si>
  <si>
    <t>-676.846012631588 99.4413409084864 -680.250459937453</t>
  </si>
  <si>
    <t>-668.126496465875 75.4007279126747 -830.403808988523</t>
  </si>
  <si>
    <t>-631.047344572248 44.4273264007122 -920.118702424418</t>
  </si>
  <si>
    <t>-653.667190357206 111.843206898395 -767.03351646754</t>
  </si>
  <si>
    <t>-554.155737397223 219.595155760498 -756.298483312975</t>
  </si>
  <si>
    <t>-472.264719330722 175.443311853872 -453.758171107779</t>
  </si>
  <si>
    <t>-286.047128555878 77.1554598854036 -301.099772021446</t>
  </si>
  <si>
    <t>-690.301999042065 60.2327423243999 -760.897688640632</t>
  </si>
  <si>
    <t>-567.634984518079 223.149030493599 -244.810906103231</t>
  </si>
  <si>
    <t>-580.782077700806 206.469892991613 210.388621419362</t>
  </si>
  <si>
    <t>-621.712222821634 177.129688541321 677.52567562133</t>
  </si>
  <si>
    <t>-491.566556733058 98.0538587329106 765.574700313605</t>
  </si>
  <si>
    <t>-653.017728423192 49.1312787305951 -212.819191222654</t>
  </si>
  <si>
    <t>-497.142196327215 -95.4225481560588 190.249871266571</t>
  </si>
  <si>
    <t>-496.184123764098 -21.5567962196158 654.201421932002</t>
  </si>
  <si>
    <t>-490.126819424323 -167.739214075036 751.861713015935</t>
  </si>
  <si>
    <t>9763-20170724T160506.926055600.bin</t>
  </si>
  <si>
    <t>-610.208769931409 136.053912142099 -229.146238646593</t>
  </si>
  <si>
    <t>-649.569238102262 134.13630707254 -343.666417959875</t>
  </si>
  <si>
    <t>-668.272902103977 125.239220963351 -463.088272845557</t>
  </si>
  <si>
    <t>-676.648308875147 113.95324570258 -571.703871432485</t>
  </si>
  <si>
    <t>-676.624981607672 99.283267620842 -680.237829935144</t>
  </si>
  <si>
    <t>-667.928435304116 75.2020981089477 -830.386087396974</t>
  </si>
  <si>
    <t>-630.839922848814 44.2341956471639 -920.098998534863</t>
  </si>
  <si>
    <t>-653.45089056523 111.655836319317 -767.026359353007</t>
  </si>
  <si>
    <t>-553.966419403831 219.430891062603 -756.331389416664</t>
  </si>
  <si>
    <t>-472.160997907134 175.229788546585 -453.775154352573</t>
  </si>
  <si>
    <t>-286.061862724457 76.9197264344932 -300.986716066567</t>
  </si>
  <si>
    <t>-690.101820131974 60.0587781112895 -760.8739232262</t>
  </si>
  <si>
    <t>-567.435020356771 223.036071549012 -244.787034103068</t>
  </si>
  <si>
    <t>-580.726454369779 206.434327288271 210.411065912683</t>
  </si>
  <si>
    <t>-621.745384317929 177.072043200307 677.522384556846</t>
  </si>
  <si>
    <t>-491.609112646653 98.0007275047838 765.589363627285</t>
  </si>
  <si>
    <t>-652.854210873359 49.0780476454934 -212.774977341664</t>
  </si>
  <si>
    <t>-497.041310794913 -95.5006387176968 190.309343018372</t>
  </si>
  <si>
    <t>-496.17893212562 -21.5659198600445 654.230954728716</t>
  </si>
  <si>
    <t>-490.118810101676 -167.73255675425 751.914724887498</t>
  </si>
  <si>
    <t>9763-20170724T160506.990765500.bin</t>
  </si>
  <si>
    <t>-609.76905480916 135.797553569754 -229.08771783307</t>
  </si>
  <si>
    <t>-649.034935729758 133.890232165426 -343.640471331526</t>
  </si>
  <si>
    <t>-667.677480054949 124.967767889481 -463.070073592267</t>
  </si>
  <si>
    <t>-676.01350670816 113.643844634614 -571.684655649963</t>
  </si>
  <si>
    <t>-675.96822692987 98.9202407838916 -680.211474321853</t>
  </si>
  <si>
    <t>-667.259908648434 74.7483871444156 -830.344245036352</t>
  </si>
  <si>
    <t>-630.176581851839 43.7646065696833 -920.054021550368</t>
  </si>
  <si>
    <t>-652.7439705205 111.21038198052 -766.998278230904</t>
  </si>
  <si>
    <t>-553.234650571962 218.962251686846 -756.425669552654</t>
  </si>
  <si>
    <t>-471.702075761476 175.23947439919 -453.726181943997</t>
  </si>
  <si>
    <t>-285.903288191801 76.9212155992795 -300.57797709762</t>
  </si>
  <si>
    <t>-689.482105502176 59.6770597871728 -760.832132751585</t>
  </si>
  <si>
    <t>-566.890433641702 222.706489854568 -244.750733387949</t>
  </si>
  <si>
    <t>-580.585583877736 206.39315174698 210.445941252291</t>
  </si>
  <si>
    <t>-621.759734621801 177.025045751141 677.509020293544</t>
  </si>
  <si>
    <t>-491.725608422434 97.8456559001954 765.629737288421</t>
  </si>
  <si>
    <t>-652.525131852563 48.8757230741592 -212.741095025565</t>
  </si>
  <si>
    <t>-496.916072108342 -95.7543604902503 190.403590823192</t>
  </si>
  <si>
    <t>-496.091518810586 -21.5456739777576 654.299111111824</t>
  </si>
  <si>
    <t>-490.119595393551 -167.712364394522 751.988087352784</t>
  </si>
  <si>
    <t>9763-20170724T160507.022851200.bin</t>
  </si>
  <si>
    <t>-609.593584549677 135.571563538254 -229.086071932188</t>
  </si>
  <si>
    <t>-648.831281203916 133.681707865717 -343.648850407519</t>
  </si>
  <si>
    <t>-667.460493441145 124.737737310094 -463.078760052203</t>
  </si>
  <si>
    <t>-675.791719216846 113.378611543475 -571.690084689148</t>
  </si>
  <si>
    <t>-675.749346505947 98.6044663130899 -680.210069802167</t>
  </si>
  <si>
    <t>-667.054059831793 74.34612040461 -830.329888294398</t>
  </si>
  <si>
    <t>-629.994361632345 43.3121362257973 -920.031748890302</t>
  </si>
  <si>
    <t>-652.510677349532 110.829256430244 -767.002257565724</t>
  </si>
  <si>
    <t>-552.956604129553 218.561740130055 -756.536181762683</t>
  </si>
  <si>
    <t>-471.741524730497 175.028470762457 -453.724173137846</t>
  </si>
  <si>
    <t>-286.215828436648 76.6399275701237 -300.290168944188</t>
  </si>
  <si>
    <t>-689.292330258398 59.3299977344384 -760.810742433182</t>
  </si>
  <si>
    <t>-566.683144526895 222.393736825052 -244.745943070266</t>
  </si>
  <si>
    <t>-580.564764971914 206.175758906345 210.448504837834</t>
  </si>
  <si>
    <t>-621.877659827265 176.823764126487 677.502652158679</t>
  </si>
  <si>
    <t>-491.646875805914 97.9819026272407 765.635586119026</t>
  </si>
  <si>
    <t>-652.411335220286 48.7328829454768 -212.722951692553</t>
  </si>
  <si>
    <t>-496.925509607224 -95.958273578452 190.447324535624</t>
  </si>
  <si>
    <t>-496.039192120766 -21.5158001453271 654.347426581481</t>
  </si>
  <si>
    <t>-490.139970230972 -167.706197888841 752.005292126841</t>
  </si>
  <si>
    <t>9763-20170724T160507.091628500.bin</t>
  </si>
  <si>
    <t>-609.130545557674 135.210583474194 -229.038518911594</t>
  </si>
  <si>
    <t>-648.314745309232 133.37577959665 -343.620455278312</t>
  </si>
  <si>
    <t>-666.903918367815 124.418920445238 -463.055725692646</t>
  </si>
  <si>
    <t>-675.20681946563 113.019671340018 -571.665105666287</t>
  </si>
  <si>
    <t>-675.145085491784 98.1771521059961 -680.175667649585</t>
  </si>
  <si>
    <t>-666.433537284464 73.7942713718689 -830.274198291779</t>
  </si>
  <si>
    <t>-629.387063786601 42.6681436621561 -919.949766393286</t>
  </si>
  <si>
    <t>-651.845309805135 110.294111920414 -766.966502983078</t>
  </si>
  <si>
    <t>-552.303210367093 218.041055938134 -756.654920960737</t>
  </si>
  <si>
    <t>-471.605999223117 175.052273927595 -453.626735468097</t>
  </si>
  <si>
    <t>-286.312077710455 76.5108273345102 -300.011067968838</t>
  </si>
  <si>
    <t>-688.730964611886 58.8717455034202 -760.75392625349</t>
  </si>
  <si>
    <t>-566.077933475623 222.028428613541 -244.722129223242</t>
  </si>
  <si>
    <t>-580.254794861806 206.053152430307 210.471700822823</t>
  </si>
  <si>
    <t>-621.804491521857 176.892505733311 677.475264012837</t>
  </si>
  <si>
    <t>-491.825081569055 97.7150143072656 765.678378286094</t>
  </si>
  <si>
    <t>-652.013871293269 48.4174632952249 -212.675441358454</t>
  </si>
  <si>
    <t>-496.766380591554 -96.3167440604182 190.571169123145</t>
  </si>
  <si>
    <t>-495.881605087073 -21.4132115556092 654.405149149634</t>
  </si>
  <si>
    <t>-490.162880989737 -167.676656056145 751.964604996918</t>
  </si>
  <si>
    <t>9763-20170724T160507.125720200.bin</t>
  </si>
  <si>
    <t>-608.921662054285 134.99228966728 -229.037739709459</t>
  </si>
  <si>
    <t>-648.083046249954 133.160280688456 -343.627689135693</t>
  </si>
  <si>
    <t>-666.651509197654 124.190777827834 -463.065085088023</t>
  </si>
  <si>
    <t>-674.937549439895 112.77222455071 -571.673727696213</t>
  </si>
  <si>
    <t>-674.862206658885 97.9008756898777 -680.180273794245</t>
  </si>
  <si>
    <t>-666.135466668658 73.4677239282641 -830.269921910655</t>
  </si>
  <si>
    <t>-629.069320455121 42.2802554498317 -919.915845208609</t>
  </si>
  <si>
    <t>-651.517704831869 109.963660569908 -766.966706556237</t>
  </si>
  <si>
    <t>-551.939473495475 217.690763676113 -756.7411851605</t>
  </si>
  <si>
    <t>-471.851932504352 175.107603374111 -453.493890432138</t>
  </si>
  <si>
    <t>-286.597951017782 76.5826162267972 -299.819559633734</t>
  </si>
  <si>
    <t>-688.475832561688 58.5936369827027 -760.752997428193</t>
  </si>
  <si>
    <t>-565.875723600256 221.749531933687 -244.717377026735</t>
  </si>
  <si>
    <t>-580.219091005436 205.910670963679 210.476130789379</t>
  </si>
  <si>
    <t>-621.923827496443 176.673172414812 677.466568052434</t>
  </si>
  <si>
    <t>-491.851104633173 97.6727908617315 765.690910897668</t>
  </si>
  <si>
    <t>-651.856671767539 48.2568832348725 -212.647263073787</t>
  </si>
  <si>
    <t>-496.67535495971 -96.4409752273737 190.637915403325</t>
  </si>
  <si>
    <t>-495.763715232887 -21.3391604596006 654.455181006098</t>
  </si>
  <si>
    <t>-490.172149753549 -167.665494331077 751.927356771239</t>
  </si>
  <si>
    <t>9763-20170724T160507.193465800.bin</t>
  </si>
  <si>
    <t>-608.378175676886 134.524465063806 -228.936263155579</t>
  </si>
  <si>
    <t>-647.527532588965 132.743606055177 -343.530997148081</t>
  </si>
  <si>
    <t>-666.11735661704 123.795063095942 -462.966814376002</t>
  </si>
  <si>
    <t>-674.437551127519 112.38287501688 -571.573319307501</t>
  </si>
  <si>
    <t>-674.411009194606 97.506166714453 -680.079251158738</t>
  </si>
  <si>
    <t>-665.767840067829 73.0531261542581 -830.170503000103</t>
  </si>
  <si>
    <t>-628.7078302608 41.8233524391219 -919.804304989499</t>
  </si>
  <si>
    <t>-651.059644839364 109.518687203313 -766.870683526585</t>
  </si>
  <si>
    <t>-551.751440068087 217.504202149333 -756.87442370077</t>
  </si>
  <si>
    <t>-472.309262989732 176.607511791085 -453.225567803991</t>
  </si>
  <si>
    <t>-286.942325907052 78.2878507971043 -299.555797896748</t>
  </si>
  <si>
    <t>-688.12477460642 58.2269013631048 -760.648669836725</t>
  </si>
  <si>
    <t>-565.279758192561 221.162800480687 -244.676471836414</t>
  </si>
  <si>
    <t>-579.940826648104 205.627331143965 210.517309710322</t>
  </si>
  <si>
    <t>-622.015029834835 176.460292127432 677.464375459081</t>
  </si>
  <si>
    <t>-491.95915287166 97.4909799848929 765.741359365835</t>
  </si>
  <si>
    <t>-651.302567599407 47.8990238629879 -212.503024091131</t>
  </si>
  <si>
    <t>-496.220204751291 -96.5415029314338 190.912507512127</t>
  </si>
  <si>
    <t>-495.26831729457 -20.8957247090339 654.821171202724</t>
  </si>
  <si>
    <t>-489.991184831967 -167.602905772424 751.737001195535</t>
  </si>
  <si>
    <t>9763-20170724T160507.229561500.bin</t>
  </si>
  <si>
    <t>-608.035074239086 134.298870221843 -228.838707445615</t>
  </si>
  <si>
    <t>-647.216432986995 132.57474719576 -343.423383957224</t>
  </si>
  <si>
    <t>-665.795761784049 123.615478493998 -462.860039162446</t>
  </si>
  <si>
    <t>-674.08924674439 112.166896560351 -571.464756220166</t>
  </si>
  <si>
    <t>-674.01915510681 97.2279907990855 -679.962016566556</t>
  </si>
  <si>
    <t>-665.298714522924 72.6624091291328 -830.030373210669</t>
  </si>
  <si>
    <t>-628.19405180756 41.4177627596912 -919.640569633793</t>
  </si>
  <si>
    <t>-650.599537861742 109.159010718941 -766.746513381322</t>
  </si>
  <si>
    <t>-551.367076503044 217.227443584648 -756.817808188966</t>
  </si>
  <si>
    <t>-472.522923573228 177.684481914239 -452.833986677387</t>
  </si>
  <si>
    <t>-287.004095286283 79.5603677346605 -299.222437331067</t>
  </si>
  <si>
    <t>-687.714978838915 57.9047805013438 -760.513150929009</t>
  </si>
  <si>
    <t>-564.955424226888 220.78573924503 -244.625939892965</t>
  </si>
  <si>
    <t>-579.702744223532 205.347528867782 210.568359009476</t>
  </si>
  <si>
    <t>-622.098014111171 176.310764841167 677.497942735089</t>
  </si>
  <si>
    <t>-491.891342261382 97.5887260293855 765.773520544713</t>
  </si>
  <si>
    <t>-650.95908957292 47.8542180613804 -212.306041014331</t>
  </si>
  <si>
    <t>-495.957697558301 -96.5881840757502 191.13991754314</t>
  </si>
  <si>
    <t>-494.888986299342 -20.5682495041756 654.995595171367</t>
  </si>
  <si>
    <t>-489.86634455429 -167.527055629916 751.542853584231</t>
  </si>
  <si>
    <t>9763-20170724T160507.294738900.bin</t>
  </si>
  <si>
    <t>-607.515353796211 133.697831242089 -228.744450151464</t>
  </si>
  <si>
    <t>-646.749872429095 132.066319565206 -343.312302428865</t>
  </si>
  <si>
    <t>-665.278806704276 123.093392327563 -462.755761079591</t>
  </si>
  <si>
    <t>-673.48271616534 111.594394424564 -571.362010818767</t>
  </si>
  <si>
    <t>-673.278741796438 96.5705146628115 -679.847457580064</t>
  </si>
  <si>
    <t>-664.326112692268 71.8545230523653 -829.877370041325</t>
  </si>
  <si>
    <t>-627.066688297981 40.6569710718784 -919.439875464469</t>
  </si>
  <si>
    <t>-649.720477968239 108.411394059711 -766.606619035673</t>
  </si>
  <si>
    <t>-550.579960183157 216.569381391684 -756.672244445012</t>
  </si>
  <si>
    <t>-473.115154589794 180.290273444934 -451.927680353936</t>
  </si>
  <si>
    <t>-287.15552040995 82.4579124030072 -298.663535897464</t>
  </si>
  <si>
    <t>-686.854303485343 57.1697307030158 -760.380862742096</t>
  </si>
  <si>
    <t>-564.456414778459 219.938170029361 -244.561717087237</t>
  </si>
  <si>
    <t>-579.237925475885 204.610025765876 210.635121544624</t>
  </si>
  <si>
    <t>-622.261707984236 176.041648020338 677.544206338561</t>
  </si>
  <si>
    <t>-491.949491289707 97.488079559485 765.814094859923</t>
  </si>
  <si>
    <t>-650.496150976665 47.4575100911291 -212.210755814197</t>
  </si>
  <si>
    <t>-495.7973360511 -96.8937988952193 191.38387681301</t>
  </si>
  <si>
    <t>-494.50521617133 -20.2560344004864 655.008025797306</t>
  </si>
  <si>
    <t>-489.802694751927 -167.496691315117 751.141276029583</t>
  </si>
  <si>
    <t>9763-20170724T160507.323816100.bin</t>
  </si>
  <si>
    <t>-607.28661988597 133.406728484616 -228.76183067717</t>
  </si>
  <si>
    <t>-646.489519391615 131.758741079941 -343.3401600891</t>
  </si>
  <si>
    <t>-664.942996089567 122.742202667099 -462.792155095667</t>
  </si>
  <si>
    <t>-673.060070575179 111.196194068559 -571.39992488585</t>
  </si>
  <si>
    <t>-672.750369950475 96.1198778083071 -679.877767038938</t>
  </si>
  <si>
    <t>-663.630992961613 71.3273768505496 -829.88500282999</t>
  </si>
  <si>
    <t>-626.270840312724 40.185852158123 -919.425027118121</t>
  </si>
  <si>
    <t>-649.11548571546 107.93058574616 -766.620175532279</t>
  </si>
  <si>
    <t>-550.037225657566 216.114021685808 -756.629143056292</t>
  </si>
  <si>
    <t>-472.946973292341 181.149955970213 -451.63601749099</t>
  </si>
  <si>
    <t>-287.028362964635 83.4791597343581 -298.219091459779</t>
  </si>
  <si>
    <t>-686.216503480998 56.6640903630791 -760.402656831327</t>
  </si>
  <si>
    <t>-564.194272972896 219.632986988831 -244.603135657037</t>
  </si>
  <si>
    <t>-579.000443831484 204.395621663819 210.595891801429</t>
  </si>
  <si>
    <t>-622.117522375545 176.20512953449 677.510221689875</t>
  </si>
  <si>
    <t>-492.006759284886 97.3752343866611 765.83092949825</t>
  </si>
  <si>
    <t>-650.256499674667 47.1741666259761 -212.281489502736</t>
  </si>
  <si>
    <t>-495.814682402339 -97.1833166062329 191.409266971604</t>
  </si>
  <si>
    <t>-494.394220705639 -20.1937994437585 654.935107685067</t>
  </si>
  <si>
    <t>-489.832315442234 -167.491477752181 750.987681881708</t>
  </si>
  <si>
    <t>9763-20170724T160507.394605100.bin</t>
  </si>
  <si>
    <t>-607.134823768364 132.718048257127 -228.871037591124</t>
  </si>
  <si>
    <t>-646.39051065225 131.028550850459 -343.430869942149</t>
  </si>
  <si>
    <t>-664.841204883777 121.982732471482 -462.880781212513</t>
  </si>
  <si>
    <t>-672.931380362369 110.416636303077 -571.488511814142</t>
  </si>
  <si>
    <t>-672.569628783793 95.3274895757945 -679.964560645276</t>
  </si>
  <si>
    <t>-663.351169023778 70.5256802581148 -829.964157273194</t>
  </si>
  <si>
    <t>-625.859453562428 39.5299936854285 -919.499754262958</t>
  </si>
  <si>
    <t>-648.935965044964 107.173692663768 -766.702417035383</t>
  </si>
  <si>
    <t>-550.097167583287 215.581693576521 -756.629325878166</t>
  </si>
  <si>
    <t>-473.377301774146 180.909885965691 -451.509555587451</t>
  </si>
  <si>
    <t>-287.809144922883 83.2653077999862 -297.652168016186</t>
  </si>
  <si>
    <t>-685.924121490644 55.8257494458539 -760.485509674606</t>
  </si>
  <si>
    <t>-564.24490353548 219.003955895597 -244.70281565092</t>
  </si>
  <si>
    <t>-578.822906287149 203.757815583779 210.503420457103</t>
  </si>
  <si>
    <t>-622.140611004533 176.071884924241 677.471418580871</t>
  </si>
  <si>
    <t>-491.794898949913 97.6775653518416 765.833411732203</t>
  </si>
  <si>
    <t>-649.887523095857 46.5051039485024 -212.4112266262</t>
  </si>
  <si>
    <t>-495.615790461141 -97.8600660804332 191.341986192891</t>
  </si>
  <si>
    <t>-494.321053191941 -20.1564945829953 654.737097386512</t>
  </si>
  <si>
    <t>-489.807207789572 -167.493729509131 750.731195453366</t>
  </si>
  <si>
    <t>9763-20170724T160507.425688300.bin</t>
  </si>
  <si>
    <t>-607.15811065641 132.448499350509 -228.919174942803</t>
  </si>
  <si>
    <t>-646.417453622344 130.677491227434 -343.476462050792</t>
  </si>
  <si>
    <t>-664.846306399452 121.623138371555 -462.92924961232</t>
  </si>
  <si>
    <t>-672.905514357196 110.077254364603 -571.541488067151</t>
  </si>
  <si>
    <t>-672.501349836327 95.0348084709919 -680.023702235602</t>
  </si>
  <si>
    <t>-663.211943551682 70.3240760559147 -830.03398817585</t>
  </si>
  <si>
    <t>-625.660057264032 39.4416724131086 -919.583494575422</t>
  </si>
  <si>
    <t>-648.848266956639 106.948825810101 -766.747153855327</t>
  </si>
  <si>
    <t>-550.095641605085 215.414416845407 -756.542090236348</t>
  </si>
  <si>
    <t>-473.437791481325 180.314046122926 -451.455630908611</t>
  </si>
  <si>
    <t>-288.360134254612 82.0304148505579 -297.414609637237</t>
  </si>
  <si>
    <t>-685.796164754592 55.5667997906696 -760.571140977562</t>
  </si>
  <si>
    <t>-564.413311019297 218.737577320774 -244.756161650847</t>
  </si>
  <si>
    <t>-578.853567584912 203.573190208297 210.457316321337</t>
  </si>
  <si>
    <t>-622.138053167515 176.051124292433 677.453692114427</t>
  </si>
  <si>
    <t>-491.704935578574 97.8150727319539 765.826973375635</t>
  </si>
  <si>
    <t>-649.80594747162 46.1764250734707 -212.438614583115</t>
  </si>
  <si>
    <t>-495.385334498125 -98.1312146030368 191.278179342316</t>
  </si>
  <si>
    <t>-494.334034676695 -20.1751286476972 654.635618079203</t>
  </si>
  <si>
    <t>-489.790735311549 -167.509941855685 750.632090904334</t>
  </si>
  <si>
    <t>9763-20170724T160507.493944100.bin</t>
  </si>
  <si>
    <t>-607.225504522428 132.189597684269 -228.963220843317</t>
  </si>
  <si>
    <t>-646.57957776511 130.331281050714 -343.486537146669</t>
  </si>
  <si>
    <t>-665.025025701343 121.313394210784 -462.939512866943</t>
  </si>
  <si>
    <t>-673.063817797408 109.849261741082 -571.561791307499</t>
  </si>
  <si>
    <t>-672.602377266934 94.9358524674265 -680.061619388469</t>
  </si>
  <si>
    <t>-663.193768268679 70.4525273323513 -830.10178197161</t>
  </si>
  <si>
    <t>-625.558515797719 39.8218625313671 -919.702743754912</t>
  </si>
  <si>
    <t>-648.925182155137 107.012463708595 -766.756038644176</t>
  </si>
  <si>
    <t>-550.189878807043 215.487588989517 -756.310516526116</t>
  </si>
  <si>
    <t>-473.585731341518 179.079709729019 -451.363880953292</t>
  </si>
  <si>
    <t>-291.047024842275 77.5054522502137 -296.430498544208</t>
  </si>
  <si>
    <t>-685.788349776176 55.5588675805141 -760.671531141017</t>
  </si>
  <si>
    <t>-564.664542650727 218.635130760103 -244.821611816192</t>
  </si>
  <si>
    <t>-578.767707708259 203.534271536329 210.404438892956</t>
  </si>
  <si>
    <t>-621.865629220752 176.507159017616 677.4628676082</t>
  </si>
  <si>
    <t>-491.684238209551 97.8411726311617 765.825663592776</t>
  </si>
  <si>
    <t>-649.672992975503 45.8138350118868 -212.39867073044</t>
  </si>
  <si>
    <t>-494.73570903594 -98.4308897411554 191.142630379915</t>
  </si>
  <si>
    <t>-494.248664744051 -20.1067785309115 654.50898385046</t>
  </si>
  <si>
    <t>-489.565131494336 -167.508265628591 750.396321874917</t>
  </si>
  <si>
    <t>9763-20170724T160507.528042900.bin</t>
  </si>
  <si>
    <t>-607.176369935451 132.07574573293 -228.934117774291</t>
  </si>
  <si>
    <t>-646.570435391213 130.179175603943 -343.44306795422</t>
  </si>
  <si>
    <t>-665.036457860468 121.169545514435 -462.893449235106</t>
  </si>
  <si>
    <t>-673.08399126229 109.733290657123 -571.518057685336</t>
  </si>
  <si>
    <t>-672.620120667885 94.869072662829 -680.024669698566</t>
  </si>
  <si>
    <t>-663.195322466572 70.477032793852 -830.078744932785</t>
  </si>
  <si>
    <t>-625.546065610474 39.991859764473 -919.723334534631</t>
  </si>
  <si>
    <t>-648.957872984692 107.015317990249 -766.713424430836</t>
  </si>
  <si>
    <t>-550.271394550108 215.510938405383 -756.135840559496</t>
  </si>
  <si>
    <t>-473.556816422909 178.221513392073 -451.323536592795</t>
  </si>
  <si>
    <t>-293.226669230265 74.3107175751479 -295.356688262</t>
  </si>
  <si>
    <t>-685.773111453889 55.5242213287795 -760.655578625985</t>
  </si>
  <si>
    <t>-564.67915617881 218.499822156881 -244.808390052547</t>
  </si>
  <si>
    <t>-578.713070034671 203.460567780896 210.421800894213</t>
  </si>
  <si>
    <t>-621.879844702867 176.506591376331 677.492044944172</t>
  </si>
  <si>
    <t>-491.738651398627 97.7444491436461 765.82836453025</t>
  </si>
  <si>
    <t>-649.55019794462 45.6539179169106 -212.312308941248</t>
  </si>
  <si>
    <t>-494.425920173215 -98.5535763229263 191.170416447155</t>
  </si>
  <si>
    <t>-494.105400546537 -19.9810716331624 654.548972074998</t>
  </si>
  <si>
    <t>-489.435798063218 -167.498937285215 750.257920185427</t>
  </si>
  <si>
    <t>9763-20170724T160507.596745100.bin</t>
  </si>
  <si>
    <t>-606.884174277282 131.735375796495 -228.759527949695</t>
  </si>
  <si>
    <t>-646.341835175866 129.804150156898 -343.246044216062</t>
  </si>
  <si>
    <t>-664.843163337594 120.830852997557 -462.693757353504</t>
  </si>
  <si>
    <t>-672.908220814316 109.457994206163 -571.323699628672</t>
  </si>
  <si>
    <t>-672.445611072042 94.68870518943 -679.843336952359</t>
  </si>
  <si>
    <t>-663.004184642301 70.4619391659073 -829.923165257774</t>
  </si>
  <si>
    <t>-625.440890737128 40.2885960139186 -919.709206454301</t>
  </si>
  <si>
    <t>-648.801684986182 106.949896884404 -766.52081764954</t>
  </si>
  <si>
    <t>-549.999027865222 215.339175724457 -755.753605984434</t>
  </si>
  <si>
    <t>-472.540208809223 176.310016049208 -451.347583689227</t>
  </si>
  <si>
    <t>-295.825250435756 68.730957814015 -293.73851847262</t>
  </si>
  <si>
    <t>-685.561694810061 55.4132498756665 -760.514128323464</t>
  </si>
  <si>
    <t>-564.633872037062 218.042585993959 -244.722691387223</t>
  </si>
  <si>
    <t>-578.493680488875 203.060112219078 210.514691484512</t>
  </si>
  <si>
    <t>-622.023809048891 176.27615344472 677.563508949083</t>
  </si>
  <si>
    <t>-491.654617841899 97.8337049194938 765.848113124936</t>
  </si>
  <si>
    <t>-648.957962381264 45.4395705682466 -212.015108842379</t>
  </si>
  <si>
    <t>-493.89240579935 -98.8496038755518 191.461032643082</t>
  </si>
  <si>
    <t>-493.559582350781 -19.4211818673482 654.864646537342</t>
  </si>
  <si>
    <t>-489.301852259557 -167.426951564821 749.836639240589</t>
  </si>
  <si>
    <t>9763-20170724T160507.624818800.bin</t>
  </si>
  <si>
    <t>-606.64571900721 131.625064810632 -228.635716295452</t>
  </si>
  <si>
    <t>-646.125667502496 129.683268738193 -343.114414676041</t>
  </si>
  <si>
    <t>-664.657987242575 120.743478052799 -462.559785778165</t>
  </si>
  <si>
    <t>-672.753847915564 109.418189202872 -571.19237880486</t>
  </si>
  <si>
    <t>-672.324228050725 94.7132497595469 -679.720864795477</t>
  </si>
  <si>
    <t>-662.930351021903 70.5928123405461 -829.820687583573</t>
  </si>
  <si>
    <t>-625.460013634526 40.5836573412164 -919.700713068262</t>
  </si>
  <si>
    <t>-648.711134643289 107.038132990329 -766.397723342923</t>
  </si>
  <si>
    <t>-549.762237002418 215.266381716777 -755.505355265388</t>
  </si>
  <si>
    <t>-471.677009095295 175.390264238373 -451.369221508105</t>
  </si>
  <si>
    <t>-295.759328973795 67.2025810534406 -293.285529138637</t>
  </si>
  <si>
    <t>-685.462489953377 55.4926731507626 -760.414580068883</t>
  </si>
  <si>
    <t>-564.524426066081 217.856970362188 -244.64366629078</t>
  </si>
  <si>
    <t>-578.318455604697 202.904393303744 210.596736225248</t>
  </si>
  <si>
    <t>-622.004526106967 176.28720696297 677.603992363734</t>
  </si>
  <si>
    <t>-491.670927235446 97.7834848111254 765.886651164599</t>
  </si>
  <si>
    <t>-648.606111512112 45.4211726200956 -211.818696463941</t>
  </si>
  <si>
    <t>-493.563771499675 -98.7212823075199 191.718819627373</t>
  </si>
  <si>
    <t>-493.244290819548 -18.9868172832853 655.117001648264</t>
  </si>
  <si>
    <t>-489.231046347854 -167.363333920907 749.519454112813</t>
  </si>
  <si>
    <t>9763-20170724T160507.699544000.bin</t>
  </si>
  <si>
    <t>-606.414267707861 131.469081630686 -228.478105848396</t>
  </si>
  <si>
    <t>-645.869102439173 129.480089068974 -342.964593552211</t>
  </si>
  <si>
    <t>-664.410263010656 120.618453062527 -462.41449600972</t>
  </si>
  <si>
    <t>-672.528225945223 109.409154325235 -571.05745662196</t>
  </si>
  <si>
    <t>-672.134917497357 94.8615794992686 -679.607331317619</t>
  </si>
  <si>
    <t>-662.805723653027 70.9997420743603 -829.752504143006</t>
  </si>
  <si>
    <t>-625.59760175624 41.3620648806664 -919.86433560095</t>
  </si>
  <si>
    <t>-648.537238685961 107.32035449544 -766.269203566201</t>
  </si>
  <si>
    <t>-549.231138225961 215.221274101453 -755.231654294879</t>
  </si>
  <si>
    <t>-469.975070990059 173.732960107067 -451.614512500251</t>
  </si>
  <si>
    <t>-294.276494721833 66.5321736670689 -292.617457806315</t>
  </si>
  <si>
    <t>-685.330015240439 55.7953183930583 -760.36660635271</t>
  </si>
  <si>
    <t>-564.468297730237 217.591131312177 -244.542981264184</t>
  </si>
  <si>
    <t>-578.205486014917 202.877516332507 210.706951210589</t>
  </si>
  <si>
    <t>-621.963662823734 176.306066676732 677.675046244</t>
  </si>
  <si>
    <t>-491.675192619373 97.7289989546714 765.959106126504</t>
  </si>
  <si>
    <t>-648.250653844609 45.379467674634 -211.703824698402</t>
  </si>
  <si>
    <t>-493.250456029755 -98.4335394816565 191.967385369309</t>
  </si>
  <si>
    <t>-492.95870037224 -18.4668575812427 655.10124755486</t>
  </si>
  <si>
    <t>-489.087545956221 -167.291334388565 748.80188947573</t>
  </si>
  <si>
    <t>9763-20170724T160507.725614100.bin</t>
  </si>
  <si>
    <t>-606.486452822742 131.249188264059 -228.546334301388</t>
  </si>
  <si>
    <t>-645.943943843099 129.251803266379 -343.031791223049</t>
  </si>
  <si>
    <t>-664.486308029196 120.44129584807 -462.485221226933</t>
  </si>
  <si>
    <t>-672.604829119157 109.299124538588 -571.135054854279</t>
  </si>
  <si>
    <t>-672.211233258412 94.8379478793274 -679.696334530791</t>
  </si>
  <si>
    <t>-662.881124488213 71.1139653763944 -829.863354023728</t>
  </si>
  <si>
    <t>-625.826480050024 41.6427967900975 -920.093136252426</t>
  </si>
  <si>
    <t>-648.600306208333 107.367585705163 -766.344516073013</t>
  </si>
  <si>
    <t>-549.149456580224 215.11976084998 -755.231297204665</t>
  </si>
  <si>
    <t>-469.919955485313 173.115899453591 -451.677982147383</t>
  </si>
  <si>
    <t>-293.986276639049 66.6696593968725 -292.434121228396</t>
  </si>
  <si>
    <t>-685.418489813328 55.8546273118297 -760.493863816069</t>
  </si>
  <si>
    <t>-564.585463931666 217.336765578515 -244.571408985355</t>
  </si>
  <si>
    <t>-578.3283630178 202.775764842547 210.683183526248</t>
  </si>
  <si>
    <t>-622.009152711398 176.220967175257 677.680248140808</t>
  </si>
  <si>
    <t>-491.601111353134 97.8279653575853 765.951402115234</t>
  </si>
  <si>
    <t>-648.328842394823 45.106058494632 -211.877873085543</t>
  </si>
  <si>
    <t>-493.3419285782 -98.5312548481982 191.860988062381</t>
  </si>
  <si>
    <t>-492.997997634881 -18.5000820389193 654.878725356995</t>
  </si>
  <si>
    <t>-489.068439093708 -167.341327144637 748.550309992107</t>
  </si>
  <si>
    <t>9763-20170724T160507.889586500.bin</t>
  </si>
  <si>
    <t>-606.590715738749 130.931899160331 -228.656393441655</t>
  </si>
  <si>
    <t>-646.017958709838 128.928427251366 -343.152166659437</t>
  </si>
  <si>
    <t>-664.525661643266 120.157769383718 -462.613889686794</t>
  </si>
  <si>
    <t>-672.610389101293 109.070192086624 -571.271857240996</t>
  </si>
  <si>
    <t>-672.180713544981 94.6812093794979 -679.842635646564</t>
  </si>
  <si>
    <t>-662.797137429522 71.0761906889677 -830.025057351008</t>
  </si>
  <si>
    <t>-625.866686146226 41.7542650857831 -920.354209682685</t>
  </si>
  <si>
    <t>-648.539954558949 107.280198388648 -766.472537446616</t>
  </si>
  <si>
    <t>-548.959384966319 214.907033456042 -755.256570958974</t>
  </si>
  <si>
    <t>-469.869859744737 172.616993090076 -451.706529001443</t>
  </si>
  <si>
    <t>-293.914524219312 66.4871616934788 -292.275659199634</t>
  </si>
  <si>
    <t>-685.358167288821 55.7612058452605 -760.675496574995</t>
  </si>
  <si>
    <t>-564.643282113479 217.030022099862 -244.63691962133</t>
  </si>
  <si>
    <t>-578.406150529471 202.623819773428 210.621983657588</t>
  </si>
  <si>
    <t>-622.020624525458 176.180071605333 677.665198706987</t>
  </si>
  <si>
    <t>-491.645748223272 97.7323276105838 765.936671576092</t>
  </si>
  <si>
    <t>-648.453105885699 44.7501284208679 -212.070106319857</t>
  </si>
  <si>
    <t>-493.465179939988 -98.6846975265555 191.740322793807</t>
  </si>
  <si>
    <t>-493.039845847624 -18.4992844968931 654.740240195239</t>
  </si>
  <si>
    <t>-489.056145732422 -167.353925076388 748.388149031018</t>
  </si>
  <si>
    <t>9763-20170724T160507.927687500.bin</t>
  </si>
  <si>
    <t>-607.300422660459 129.424961805919 -229.273217742395</t>
  </si>
  <si>
    <t>-646.827845463662 127.512061470128 -343.736117650862</t>
  </si>
  <si>
    <t>-665.450058419406 119.03703390413 -463.201422945551</t>
  </si>
  <si>
    <t>-673.639660049915 108.297550972934 -571.886460658564</t>
  </si>
  <si>
    <t>-673.312898499365 94.3356249019807 -680.513307395371</t>
  </si>
  <si>
    <t>-664.067393402537 71.4040294767267 -830.808632484524</t>
  </si>
  <si>
    <t>-627.451999745947 42.3856518626351 -921.363642414382</t>
  </si>
  <si>
    <t>-649.812797995674 107.365260294149 -767.117773253312</t>
  </si>
  <si>
    <t>-550.235758383338 214.975409040075 -755.724602113663</t>
  </si>
  <si>
    <t>-470.821670965429 172.346568012288 -452.306653595986</t>
  </si>
  <si>
    <t>-286.938008384618 72.6923034545127 -297.717365562507</t>
  </si>
  <si>
    <t>-686.503699895586 55.7358209921408 -761.497448108208</t>
  </si>
  <si>
    <t>-565.570041841031 215.699850868441 -245.04576027827</t>
  </si>
  <si>
    <t>-578.547583670616 201.432393648121 210.24053399129</t>
  </si>
  <si>
    <t>-622.126530730377 175.858250445721 677.495477038521</t>
  </si>
  <si>
    <t>-491.53313510244 97.795529102111 765.785234948768</t>
  </si>
  <si>
    <t>-648.918063007746 43.1629960692044 -212.809047334214</t>
  </si>
  <si>
    <t>-494.288631744301 -99.1945699122653 191.519648036477</t>
  </si>
  <si>
    <t>-493.106717447402 -18.4538088822139 654.480823737299</t>
  </si>
  <si>
    <t>-489.148204255605 -167.395727642369 747.991017351578</t>
  </si>
  <si>
    <t>9763-20170724T160507.960776800.bin</t>
  </si>
  <si>
    <t>-607.480938291979 129.252211771951 -229.298308677191</t>
  </si>
  <si>
    <t>-647.050331353124 127.325986286668 -343.746282269935</t>
  </si>
  <si>
    <t>-665.7367637833 118.885124341405 -463.20406857724</t>
  </si>
  <si>
    <t>-673.992599088339 108.194786910643 -571.888969120855</t>
  </si>
  <si>
    <t>-673.739572041935 94.2994166674125 -680.524638658627</t>
  </si>
  <si>
    <t>-664.603820121021 71.4773933449892 -830.843239828325</t>
  </si>
  <si>
    <t>-628.035439848111 42.498983610195 -921.430082886414</t>
  </si>
  <si>
    <t>-650.319744117917 107.403853537482 -767.139488510547</t>
  </si>
  <si>
    <t>-550.85199493123 215.116494379174 -755.796438818618</t>
  </si>
  <si>
    <t>-471.008093343434 172.462960862595 -452.494927542974</t>
  </si>
  <si>
    <t>-282.819834041995 76.8225013088074 -300.573469932858</t>
  </si>
  <si>
    <t>-686.972541286332 55.7469184104145 -761.524222127182</t>
  </si>
  <si>
    <t>-565.88138596557 215.552665514628 -245.062199856867</t>
  </si>
  <si>
    <t>-578.57467648051 201.245947744658 210.23094286392</t>
  </si>
  <si>
    <t>-622.127865804677 175.832163638966 677.478092986952</t>
  </si>
  <si>
    <t>-491.395996679131 97.9932622673746 765.760579016141</t>
  </si>
  <si>
    <t>-648.951743907278 42.9970940471073 -212.805408760807</t>
  </si>
  <si>
    <t>-494.280017182095 -99.1705152058266 191.573985677709</t>
  </si>
  <si>
    <t>-493.0733949359 -18.3657256317856 654.540600355634</t>
  </si>
  <si>
    <t>-489.119507790693 -167.392367214391 747.915940444284</t>
  </si>
  <si>
    <t>9763-20170724T160508.045039300.bin</t>
  </si>
  <si>
    <t>-607.572314990627 129.123547814039 -229.300405277755</t>
  </si>
  <si>
    <t>-647.174859822264 127.189658522294 -343.736892338852</t>
  </si>
  <si>
    <t>-665.947023802351 118.761571943191 -463.181975993146</t>
  </si>
  <si>
    <t>-674.301459394346 108.091194350362 -571.861352657682</t>
  </si>
  <si>
    <t>-674.167816837463 94.2237405232042 -680.500740795161</t>
  </si>
  <si>
    <t>-665.218491865659 71.4490429864643 -830.837808398003</t>
  </si>
  <si>
    <t>-628.717774963295 42.478136745073 -921.454359589523</t>
  </si>
  <si>
    <t>-650.868412141394 107.364471612452 -767.142569710389</t>
  </si>
  <si>
    <t>-551.548442455085 215.244671960119 -755.936755805545</t>
  </si>
  <si>
    <t>-471.139505043398 172.572388196451 -452.787219285812</t>
  </si>
  <si>
    <t>-276.960610226488 82.7919807489943 -304.881503817609</t>
  </si>
  <si>
    <t>-687.48818946608 55.6877854724846 -761.493886413065</t>
  </si>
  <si>
    <t>-566.075980794646 215.459228021851 -245.071690752035</t>
  </si>
  <si>
    <t>-578.622830771264 201.129984824074 210.224765553509</t>
  </si>
  <si>
    <t>-622.137478354334 175.780505268391 677.46351623714</t>
  </si>
  <si>
    <t>-491.363407418706 98.0238968990016 765.755992013142</t>
  </si>
  <si>
    <t>-648.90742046921 42.8316079336498 -212.819534288096</t>
  </si>
  <si>
    <t>-494.264267569593 -99.0712346735124 191.663747190026</t>
  </si>
  <si>
    <t>-493.012106786911 -18.228410695335 654.650842738069</t>
  </si>
  <si>
    <t>-489.067137199299 -167.383245211881 747.821385206008</t>
  </si>
  <si>
    <t>9763-20170724T160508.091192600.bin</t>
  </si>
  <si>
    <t>-607.54106768481 128.652614819447 -229.282119937981</t>
  </si>
  <si>
    <t>-647.2292551944 126.688738557331 -343.688430162621</t>
  </si>
  <si>
    <t>-666.254317762659 118.229057295098 -463.091283248049</t>
  </si>
  <si>
    <t>-674.905272371138 107.532403579075 -571.744873424821</t>
  </si>
  <si>
    <t>-675.13449442029 93.6425856626465 -680.381177252993</t>
  </si>
  <si>
    <t>-666.756919866797 70.8414705218051 -830.747227117595</t>
  </si>
  <si>
    <t>-630.536732867115 41.8321268880964 -921.464100230917</t>
  </si>
  <si>
    <t>-652.161698363689 106.766108897995 -767.112950476536</t>
  </si>
  <si>
    <t>-553.038085818641 214.878659741163 -756.49583819003</t>
  </si>
  <si>
    <t>-470.267062651363 173.973097185228 -453.738689833597</t>
  </si>
  <si>
    <t>-264.294702426772 96.1733609059306 -315.302207329025</t>
  </si>
  <si>
    <t>-688.765782529123 55.0943952096814 -761.316975542134</t>
  </si>
  <si>
    <t>-566.187881237503 214.976958150959 -245.120274691304</t>
  </si>
  <si>
    <t>-578.559319303418 200.879122187172 210.188289542775</t>
  </si>
  <si>
    <t>-622.040723546566 175.833126969901 677.449633731335</t>
  </si>
  <si>
    <t>-491.368731978973 97.9315750298699 765.765486854364</t>
  </si>
  <si>
    <t>-648.749755802015 42.3038469090018 -212.749053102845</t>
  </si>
  <si>
    <t>-494.123001102726 -99.2095345674888 191.876981672462</t>
  </si>
  <si>
    <t>-492.882928766135 -17.9808532833711 654.709806594705</t>
  </si>
  <si>
    <t>-489.04037374553 -167.379236023333 747.493666459584</t>
  </si>
  <si>
    <t>9763-20170724T160508.126308400.bin</t>
  </si>
  <si>
    <t>-607.556619101718 128.374846532833 -229.315481922185</t>
  </si>
  <si>
    <t>-647.279756107032 126.4174174469 -343.709732010307</t>
  </si>
  <si>
    <t>-666.430266571931 117.913191285005 -463.089397927968</t>
  </si>
  <si>
    <t>-675.231548099901 107.159693295318 -571.725229129979</t>
  </si>
  <si>
    <t>-675.647327644921 93.1989258224728 -680.351938148894</t>
  </si>
  <si>
    <t>-667.565567809674 70.2868031106298 -830.717404052532</t>
  </si>
  <si>
    <t>-631.521106644699 41.1877324417142 -921.475429804122</t>
  </si>
  <si>
    <t>-652.841765743133 106.255978116562 -767.137824398343</t>
  </si>
  <si>
    <t>-553.705961762775 214.395795682686 -756.82884500408</t>
  </si>
  <si>
    <t>-469.87067983382 174.446413088765 -454.236936202226</t>
  </si>
  <si>
    <t>-261.655493916043 98.4939569546941 -318.149816123749</t>
  </si>
  <si>
    <t>-689.441157954041 54.5935157189549 -761.232764938467</t>
  </si>
  <si>
    <t>-566.216508636159 214.647649210089 -245.169515634106</t>
  </si>
  <si>
    <t>-578.576688999275 200.63704306141 210.141901726699</t>
  </si>
  <si>
    <t>-622.065731439871 175.749710352644 677.431284431113</t>
  </si>
  <si>
    <t>-491.219966290775 98.1377996969588 765.74486786035</t>
  </si>
  <si>
    <t>-648.763370113723 42.0808242507326 -212.800191511168</t>
  </si>
  <si>
    <t>-494.150892941183 -99.3326471063688 191.866177810876</t>
  </si>
  <si>
    <t>-492.830133023322 -18.004511608312 654.631122295662</t>
  </si>
  <si>
    <t>-489.101130584753 -167.394780748218 747.432737822873</t>
  </si>
  <si>
    <t>9763-20170724T160508.191498900.bin</t>
  </si>
  <si>
    <t>-607.612826540633 127.92288986208 -229.462969587808</t>
  </si>
  <si>
    <t>-647.428500833657 126.062414864714 -343.826724125886</t>
  </si>
  <si>
    <t>-666.885353111865 117.515451370917 -463.153711700482</t>
  </si>
  <si>
    <t>-676.052801904676 106.670417309547 -571.750199462587</t>
  </si>
  <si>
    <t>-676.923866278698 92.5677293103245 -680.355946752884</t>
  </si>
  <si>
    <t>-669.567120675527 69.4076397613346 -830.720448553245</t>
  </si>
  <si>
    <t>-633.930203942397 40.1096054148086 -921.575448650917</t>
  </si>
  <si>
    <t>-654.487578433027 105.44723056267 -767.264492665874</t>
  </si>
  <si>
    <t>-555.240194609268 213.528521461977 -757.691925604597</t>
  </si>
  <si>
    <t>-469.793136687559 175.485176723769 -455.305254651146</t>
  </si>
  <si>
    <t>-258.287535915804 101.360670787626 -323.346789068554</t>
  </si>
  <si>
    <t>-691.157012664762 53.8631864036802 -761.113193815762</t>
  </si>
  <si>
    <t>-566.239126086619 214.163090496472 -245.300581220039</t>
  </si>
  <si>
    <t>-578.418780658929 200.181694741202 210.016644053723</t>
  </si>
  <si>
    <t>-621.975332400281 175.82371200783 677.393421843899</t>
  </si>
  <si>
    <t>-491.244797908294 98.0215189397834 765.710218869924</t>
  </si>
  <si>
    <t>-648.879689558544 41.6895821855462 -212.963005533018</t>
  </si>
  <si>
    <t>-494.290048741581 -99.5238620682067 191.781995289615</t>
  </si>
  <si>
    <t>-492.855455899052 -18.1099432968892 654.491231915095</t>
  </si>
  <si>
    <t>-489.152542050874 -167.428025171846 747.410061973074</t>
  </si>
  <si>
    <t>9763-20170724T160508.224587800.bin</t>
  </si>
  <si>
    <t>-607.601087847571 127.725119423275 -229.503208967713</t>
  </si>
  <si>
    <t>-647.460008538678 125.909992925805 -343.852569683678</t>
  </si>
  <si>
    <t>-667.095337480038 117.345986607109 -463.149201643498</t>
  </si>
  <si>
    <t>-676.480951249 106.460936591517 -571.723038469585</t>
  </si>
  <si>
    <t>-677.627318891193 92.2940237465455 -680.317842473462</t>
  </si>
  <si>
    <t>-670.712131391455 69.0201541965055 -830.685763583524</t>
  </si>
  <si>
    <t>-635.318563810116 39.605091170333 -921.597947160574</t>
  </si>
  <si>
    <t>-655.395356778111 105.072379111427 -767.293753674785</t>
  </si>
  <si>
    <t>-556.049793318364 213.116915318591 -758.132660329189</t>
  </si>
  <si>
    <t>-470.589023729234 175.505192170905 -455.695792569994</t>
  </si>
  <si>
    <t>-259.18526972883 101.149770832381 -323.704305728376</t>
  </si>
  <si>
    <t>-692.148446469127 53.5638287929671 -761.01149609482</t>
  </si>
  <si>
    <t>-566.170267814993 213.912119568802 -245.338890863379</t>
  </si>
  <si>
    <t>-578.304223284167 199.954900846324 209.980423696303</t>
  </si>
  <si>
    <t>-621.978071895842 175.782995694467 677.378246176915</t>
  </si>
  <si>
    <t>-491.302255541906 97.8844545452489 765.691083894807</t>
  </si>
  <si>
    <t>-648.917087777524 41.5150511696922 -213.014924294696</t>
  </si>
  <si>
    <t>-494.375252981354 -99.5947097412809 191.784441733501</t>
  </si>
  <si>
    <t>-492.903721433547 -18.1517823071579 654.476070820551</t>
  </si>
  <si>
    <t>-489.170073924435 -167.440898197024 747.440148136348</t>
  </si>
  <si>
    <t>9763-20170724T160508.297287600.bin</t>
  </si>
  <si>
    <t>-607.519967090476 127.46735356719 -229.459308931212</t>
  </si>
  <si>
    <t>-647.524813447966 125.737506329778 -343.758979294859</t>
  </si>
  <si>
    <t>-667.552261408484 117.14019583444 -462.987947811668</t>
  </si>
  <si>
    <t>-677.394776802972 106.179399640066 -571.513669303723</t>
  </si>
  <si>
    <t>-679.099993145635 91.8932028936804 -680.085667222162</t>
  </si>
  <si>
    <t>-673.06686103342 68.4092830464895 -830.458814390106</t>
  </si>
  <si>
    <t>-638.176050584754 38.7607844442603 -921.489461853759</t>
  </si>
  <si>
    <t>-657.24410132581 104.456173650846 -767.18808643636</t>
  </si>
  <si>
    <t>-557.812908087702 212.489499378319 -758.983213299284</t>
  </si>
  <si>
    <t>-473.053540534622 176.578878388505 -456.14245037842</t>
  </si>
  <si>
    <t>-269.164233255815 95.8481082446997 -316.307804784892</t>
  </si>
  <si>
    <t>-694.228488671548 53.1442970867838 -760.65843002771</t>
  </si>
  <si>
    <t>-565.767144747814 213.518879707572 -245.386629260251</t>
  </si>
  <si>
    <t>-578.045199599108 199.755264154615 209.934704744754</t>
  </si>
  <si>
    <t>-621.871298573054 175.875685499172 677.344295913317</t>
  </si>
  <si>
    <t>-491.398986172135 97.6412699399332 765.661120287441</t>
  </si>
  <si>
    <t>-649.169380673614 41.4004621637755 -212.845269856045</t>
  </si>
  <si>
    <t>-494.236582019899 -99.7244389804455 191.799318750358</t>
  </si>
  <si>
    <t>-492.932759652977 -18.2335056578274 654.47103185135</t>
  </si>
  <si>
    <t>-489.224047288172 -167.462137171768 747.533169009846</t>
  </si>
  <si>
    <t>9763-20170724T160508.325361300.bin</t>
  </si>
  <si>
    <t>-607.506617187857 127.359719803419 -229.393857991941</t>
  </si>
  <si>
    <t>-647.593289573727 125.673159204204 -343.665579105661</t>
  </si>
  <si>
    <t>-667.800166700206 117.034126770587 -462.861234811262</t>
  </si>
  <si>
    <t>-677.84604263738 106.002160562039 -571.36125196491</t>
  </si>
  <si>
    <t>-679.795666079406 91.6127672128316 -679.915226110702</t>
  </si>
  <si>
    <t>-674.145147561241 67.9526621389575 -830.275712168759</t>
  </si>
  <si>
    <t>-639.488030195787 38.1889127520683 -921.35805922547</t>
  </si>
  <si>
    <t>-658.086996003115 104.021112048124 -767.076658996765</t>
  </si>
  <si>
    <t>-558.479984211177 211.924114960375 -759.349177368481</t>
  </si>
  <si>
    <t>-474.553438065295 177.422416645769 -456.113076494006</t>
  </si>
  <si>
    <t>-277.402973188111 91.1329020575363 -310.072496583521</t>
  </si>
  <si>
    <t>-695.203753159136 52.8218243158017 -760.415125047506</t>
  </si>
  <si>
    <t>-565.589139705487 213.302647460661 -245.398078071123</t>
  </si>
  <si>
    <t>-577.921681712972 199.615972862913 209.924075729247</t>
  </si>
  <si>
    <t>-621.848564455519 175.862208875577 677.340363630629</t>
  </si>
  <si>
    <t>-491.33359042177 97.6944643565323 765.653203946328</t>
  </si>
  <si>
    <t>-649.283667269036 41.4259838653593 -212.695404230599</t>
  </si>
  <si>
    <t>-494.206294383835 -99.9438298818516 191.808259125231</t>
  </si>
  <si>
    <t>-492.931960105951 -18.2786560454551 654.458009482552</t>
  </si>
  <si>
    <t>-489.287697107971 -167.47451172569 747.575373513841</t>
  </si>
  <si>
    <t>9763-20170724T160508.392549000.bin</t>
  </si>
  <si>
    <t>-607.504882444363 127.310359247106 -229.292647238932</t>
  </si>
  <si>
    <t>-647.73154028098 125.733466785109 -343.516580582919</t>
  </si>
  <si>
    <t>-668.240942285512 117.107463284475 -462.661663601981</t>
  </si>
  <si>
    <t>-678.626620063263 106.052265593339 -571.127125315567</t>
  </si>
  <si>
    <t>-680.98150469339 91.6073313748434 -679.665827118123</t>
  </si>
  <si>
    <t>-675.960883247279 67.8388392353127 -830.031591427752</t>
  </si>
  <si>
    <t>-641.736447051076 37.9727405554549 -921.243915799915</t>
  </si>
  <si>
    <t>-659.531599189814 103.877472986423 -766.910878673975</t>
  </si>
  <si>
    <t>-559.695449579233 211.606939202963 -759.805037396189</t>
  </si>
  <si>
    <t>-477.45365876517 179.012106429226 -455.897083893236</t>
  </si>
  <si>
    <t>-291.29486184116 83.9372176432187 -301.146594714683</t>
  </si>
  <si>
    <t>-696.833082122697 52.8338768264696 -760.087977397502</t>
  </si>
  <si>
    <t>-565.245511253318 213.043038156377 -245.415965781013</t>
  </si>
  <si>
    <t>-577.605672605738 199.405276341243 209.906936488067</t>
  </si>
  <si>
    <t>-621.734226137773 175.920325241072 677.311032655848</t>
  </si>
  <si>
    <t>-491.376645026149 97.5251347221549 765.654686022376</t>
  </si>
  <si>
    <t>-649.620820749652 41.6046178143363 -212.450647199854</t>
  </si>
  <si>
    <t>-494.375258988257 -100.21440578761 191.831276101765</t>
  </si>
  <si>
    <t>-492.96596816667 -18.3357976942211 654.453888071099</t>
  </si>
  <si>
    <t>-489.478925336177 -167.492618170497 747.639563757928</t>
  </si>
  <si>
    <t>9763-20170724T160508.422628300.bin</t>
  </si>
  <si>
    <t>-607.58326711683 127.351452878159 -229.240084108262</t>
  </si>
  <si>
    <t>-647.8621331525 125.831705728439 -343.446482849261</t>
  </si>
  <si>
    <t>-668.472714452001 117.23488144263 -462.576035901449</t>
  </si>
  <si>
    <t>-678.968424378106 106.199166355334 -571.032996823708</t>
  </si>
  <si>
    <t>-681.450496226604 91.7696444141309 -679.570929528586</t>
  </si>
  <si>
    <t>-676.623131921977 68.0206018007777 -829.946054948866</t>
  </si>
  <si>
    <t>-642.574991760661 38.1629666590752 -921.227078402347</t>
  </si>
  <si>
    <t>-660.096262795147 104.039183375791 -766.839503208055</t>
  </si>
  <si>
    <t>-560.182983796963 211.700856100782 -759.819740120179</t>
  </si>
  <si>
    <t>-478.19456140797 179.706795031637 -455.779534749538</t>
  </si>
  <si>
    <t>-295.833215080111 81.7875567371352 -298.305097267667</t>
  </si>
  <si>
    <t>-697.422024958644 53.0183212892543 -759.979898558608</t>
  </si>
  <si>
    <t>-565.179778016678 212.98092595908 -245.422244519618</t>
  </si>
  <si>
    <t>-577.488339102248 199.336249711786 209.90183367144</t>
  </si>
  <si>
    <t>-621.670739914213 175.953031302233 677.298050461955</t>
  </si>
  <si>
    <t>-491.391537487753 97.4537437827646 765.664911987443</t>
  </si>
  <si>
    <t>-649.837991835633 41.7702833810324 -212.359499074827</t>
  </si>
  <si>
    <t>-494.476346150753 -100.35839612124 191.769107832946</t>
  </si>
  <si>
    <t>-493.003560703449 -18.3818058911436 654.40555853756</t>
  </si>
  <si>
    <t>-489.607807991612 -167.505658308753 747.647451559361</t>
  </si>
  <si>
    <t>9763-20170724T160508.492363700.bin</t>
  </si>
  <si>
    <t>-608.020023620986 127.533395141787 -229.164569441836</t>
  </si>
  <si>
    <t>-648.405850857629 126.083189563631 -343.334167816817</t>
  </si>
  <si>
    <t>-669.185989149503 117.593556237183 -462.441963540218</t>
  </si>
  <si>
    <t>-679.857513239717 106.674159335111 -570.893543583618</t>
  </si>
  <si>
    <t>-682.535683301599 92.3824662665811 -679.444972018809</t>
  </si>
  <si>
    <t>-677.998981830644 68.8497996071619 -829.863240369088</t>
  </si>
  <si>
    <t>-644.270368403699 39.1469465020166 -921.313184749814</t>
  </si>
  <si>
    <t>-661.338342154105 104.769363016935 -766.735364687316</t>
  </si>
  <si>
    <t>-561.402007745535 212.422759098337 -759.846205914606</t>
  </si>
  <si>
    <t>-479.115764912166 180.904195463641 -455.836812113307</t>
  </si>
  <si>
    <t>-303.341631336326 77.2134453543667 -294.611041811296</t>
  </si>
  <si>
    <t>-698.674232088325 53.7552923415001 -759.880214825824</t>
  </si>
  <si>
    <t>-565.471815743961 213.040580919844 -245.407631611143</t>
  </si>
  <si>
    <t>-577.565834890638 199.463347315285 209.924225619616</t>
  </si>
  <si>
    <t>-621.542473953837 176.055350341945 677.309489507597</t>
  </si>
  <si>
    <t>-491.416894511795 97.3212469048983 765.693792386759</t>
  </si>
  <si>
    <t>-650.427992378906 42.0850645536639 -212.221515080152</t>
  </si>
  <si>
    <t>-494.623540559088 -100.452486526159 191.592360027673</t>
  </si>
  <si>
    <t>-493.122022100938 -18.4913752330358 654.245396875435</t>
  </si>
  <si>
    <t>-489.754193887812 -167.538980847196 747.610032537793</t>
  </si>
  <si>
    <t>9763-20170724T160508.525451900.bin</t>
  </si>
  <si>
    <t>-608.311335956453 127.654776787889 -229.160346898939</t>
  </si>
  <si>
    <t>-648.712780886153 126.221410319019 -343.324617933567</t>
  </si>
  <si>
    <t>-669.543914564828 117.797702367619 -462.428209157354</t>
  </si>
  <si>
    <t>-680.275470719539 106.957656925356 -570.881827936678</t>
  </si>
  <si>
    <t>-683.026472199711 92.7653887296442 -679.444501489864</t>
  </si>
  <si>
    <t>-678.603637395846 69.391332486744 -829.8907647533</t>
  </si>
  <si>
    <t>-645.009282043366 39.809602522088 -921.429510945975</t>
  </si>
  <si>
    <t>-661.894097778753 105.243370545029 -766.737535632796</t>
  </si>
  <si>
    <t>-561.98774928629 212.910447356042 -759.80221166352</t>
  </si>
  <si>
    <t>-479.662809202507 181.228151227049 -455.820351714923</t>
  </si>
  <si>
    <t>-305.229055710528 76.1942778892781 -294.009248792512</t>
  </si>
  <si>
    <t>-699.227175951752 54.2238055893949 -759.908374480564</t>
  </si>
  <si>
    <t>-565.760439711143 213.130891207694 -245.403538663629</t>
  </si>
  <si>
    <t>-577.740135690755 199.613769163259 209.932997412704</t>
  </si>
  <si>
    <t>-621.474332120891 176.161139023549 677.339431557799</t>
  </si>
  <si>
    <t>-491.359126278517 97.3799814758981 765.697053263008</t>
  </si>
  <si>
    <t>-650.724981153746 42.2100797671917 -212.220176330185</t>
  </si>
  <si>
    <t>-494.670596410734 -100.423589973284 191.463237003468</t>
  </si>
  <si>
    <t>-493.214143725456 -18.5589286435797 654.142073544873</t>
  </si>
  <si>
    <t>-489.806575056754 -167.559701941605 747.580131978144</t>
  </si>
  <si>
    <t>9763-20170724T160508.590695300.bin</t>
  </si>
  <si>
    <t>-608.947194522031 127.890243726806 -229.170390003541</t>
  </si>
  <si>
    <t>-649.366513189678 126.517007286149 -343.329150971841</t>
  </si>
  <si>
    <t>-670.222721324893 118.296033974699 -462.442435565099</t>
  </si>
  <si>
    <t>-680.976820974267 107.697524791638 -570.917657508247</t>
  </si>
  <si>
    <t>-683.748000043114 93.8049024008492 -679.518585941794</t>
  </si>
  <si>
    <t>-679.34849333347 70.9074533407415 -830.038958936917</t>
  </si>
  <si>
    <t>-645.918231446756 41.6783857626522 -921.750656737291</t>
  </si>
  <si>
    <t>-662.645710437625 106.57113670027 -766.777285943313</t>
  </si>
  <si>
    <t>-562.712934274577 214.21084344329 -759.524790607686</t>
  </si>
  <si>
    <t>-480.864784611074 181.615177785574 -455.510693018549</t>
  </si>
  <si>
    <t>-309.333327118399 72.5599273824528 -293.257842937334</t>
  </si>
  <si>
    <t>-699.944571884151 55.5065851730901 -760.099482461623</t>
  </si>
  <si>
    <t>-566.412054265651 213.350833123584 -245.369644446915</t>
  </si>
  <si>
    <t>-578.000814302532 199.781345034218 209.975585979194</t>
  </si>
  <si>
    <t>-621.34462584482 176.391096642696 677.434720230061</t>
  </si>
  <si>
    <t>-491.315239660041 97.3843530593556 765.717236690758</t>
  </si>
  <si>
    <t>-651.386824065967 42.4262077859426 -212.283209987331</t>
  </si>
  <si>
    <t>-494.705535831358 -100.020846517414 191.223214902132</t>
  </si>
  <si>
    <t>-493.390924593451 -18.6656049214357 653.976212215801</t>
  </si>
  <si>
    <t>-489.843914848276 -167.59215279002 747.52728176174</t>
  </si>
  <si>
    <t>9763-20170724T160508.629796300.bin</t>
  </si>
  <si>
    <t>-609.180183831478 127.891318518775 -229.158792854588</t>
  </si>
  <si>
    <t>-649.610967496152 126.530587342046 -343.31348760089</t>
  </si>
  <si>
    <t>-670.459599035969 118.393013013038 -462.433960138678</t>
  </si>
  <si>
    <t>-681.197132416444 107.899438139696 -570.920997488608</t>
  </si>
  <si>
    <t>-683.941000573919 94.1412990300341 -679.539725375314</t>
  </si>
  <si>
    <t>-679.490941557551 71.4619839383599 -830.091626156525</t>
  </si>
  <si>
    <t>-646.110552948193 42.4121091151681 -921.878409178691</t>
  </si>
  <si>
    <t>-662.826478363976 107.046153341159 -766.775112617369</t>
  </si>
  <si>
    <t>-562.979849716043 214.741311903574 -759.326204007932</t>
  </si>
  <si>
    <t>-481.465364612204 181.714617278103 -455.268909824702</t>
  </si>
  <si>
    <t>-311.469062868851 70.2130907065923 -293.06324464129</t>
  </si>
  <si>
    <t>-700.093467853216 55.9475590216528 -760.179086594213</t>
  </si>
  <si>
    <t>-566.615912447624 213.350177718028 -245.340145984767</t>
  </si>
  <si>
    <t>-578.210331004636 199.777923034497 210.004860978092</t>
  </si>
  <si>
    <t>-621.412517696847 176.266391978279 677.459731658987</t>
  </si>
  <si>
    <t>-491.22894441208 97.4755790815884 765.708015768453</t>
  </si>
  <si>
    <t>-651.624906319 42.412683168061 -212.299607775116</t>
  </si>
  <si>
    <t>-494.772140516761 -99.8122706607553 191.218617720737</t>
  </si>
  <si>
    <t>-493.443520997793 -18.6667352776926 653.993579393566</t>
  </si>
  <si>
    <t>-489.915049933091 -167.598590905349 747.536816347516</t>
  </si>
  <si>
    <t>9763-20170724T160508.695979800.bin</t>
  </si>
  <si>
    <t>-609.411169827521 127.652357402138 -229.147514958238</t>
  </si>
  <si>
    <t>-649.791103675256 126.1859840653 -343.3189405613</t>
  </si>
  <si>
    <t>-670.528520882512 118.116421564312 -462.463531058452</t>
  </si>
  <si>
    <t>-681.138081001393 107.754495237738 -570.975725848528</t>
  </si>
  <si>
    <t>-683.724988924472 94.1973424798034 -679.623660733595</t>
  </si>
  <si>
    <t>-679.025018981819 71.8688258781244 -830.220226366658</t>
  </si>
  <si>
    <t>-645.685243060932 43.1637521235159 -922.130324098896</t>
  </si>
  <si>
    <t>-662.504258630435 107.332726221511 -766.798621439583</t>
  </si>
  <si>
    <t>-562.712535841584 215.061412378409 -758.882247282216</t>
  </si>
  <si>
    <t>-481.951343060455 181.327993965955 -454.701594214545</t>
  </si>
  <si>
    <t>-316.06842495498 63.9274998944659 -292.399281733275</t>
  </si>
  <si>
    <t>-699.704928666689 56.1643142420239 -760.373162371474</t>
  </si>
  <si>
    <t>-566.732490857005 213.192984296947 -245.352517080374</t>
  </si>
  <si>
    <t>-578.502266098464 199.872025751135 209.995414934384</t>
  </si>
  <si>
    <t>-621.409071014342 176.165665466649 677.425415832041</t>
  </si>
  <si>
    <t>-491.383403045497 97.155302770838 765.710171328763</t>
  </si>
  <si>
    <t>-651.955599530184 42.0697133191204 -212.31676186574</t>
  </si>
  <si>
    <t>-495.047956030442 -99.981637243299 191.241248144377</t>
  </si>
  <si>
    <t>-493.733960653293 -18.784242781684 653.903246704613</t>
  </si>
  <si>
    <t>-490.162793123009 -167.625687158247 747.58888272093</t>
  </si>
  <si>
    <t>9763-20170724T160508.732076200.bin</t>
  </si>
  <si>
    <t>-609.498500207592 127.526552814152 -229.149028573198</t>
  </si>
  <si>
    <t>-649.86159790646 125.966734112595 -343.325053595212</t>
  </si>
  <si>
    <t>-670.543245012284 117.900033911139 -462.479482307159</t>
  </si>
  <si>
    <t>-681.085405613685 107.578348089764 -571.002101070161</t>
  </si>
  <si>
    <t>-683.587052616553 94.0983455285325 -679.661740734516</t>
  </si>
  <si>
    <t>-678.749748503276 71.9141536980767 -830.27530331225</t>
  </si>
  <si>
    <t>-645.412551898944 43.3837218523959 -922.240768216651</t>
  </si>
  <si>
    <t>-662.309155920146 107.333032342914 -766.807767726987</t>
  </si>
  <si>
    <t>-562.613520091788 215.120307752682 -758.633985542632</t>
  </si>
  <si>
    <t>-482.047380516965 181.017246940243 -454.44262465468</t>
  </si>
  <si>
    <t>-317.579880526888 61.4163792617583 -292.306547437559</t>
  </si>
  <si>
    <t>-699.471166112848 56.12677141827 -760.458976596561</t>
  </si>
  <si>
    <t>-566.816452179735 213.210427308146 -245.3884961511</t>
  </si>
  <si>
    <t>-578.736944035612 200.101661624087 209.961538168978</t>
  </si>
  <si>
    <t>-621.362553986243 176.161155403212 677.383298185999</t>
  </si>
  <si>
    <t>-491.450137037923 97.0047113952626 765.703962286216</t>
  </si>
  <si>
    <t>-652.069595444158 41.8251650099385 -212.287870522583</t>
  </si>
  <si>
    <t>-495.137540711393 -100.232888256603 191.258331640877</t>
  </si>
  <si>
    <t>-493.811469811119 -18.8106368277688 653.934181800228</t>
  </si>
  <si>
    <t>-490.316153503308 -167.639022245792 747.643324970386</t>
  </si>
  <si>
    <t>9763-20170724T160508.794248600.bin</t>
  </si>
  <si>
    <t>-609.831003399275 127.226038644761 -229.153838109093</t>
  </si>
  <si>
    <t>-650.155218205853 125.51495892068 -343.341641104336</t>
  </si>
  <si>
    <t>-670.685283439975 117.507533328468 -462.526150087932</t>
  </si>
  <si>
    <t>-681.041433171844 107.32171185917 -571.079600439674</t>
  </si>
  <si>
    <t>-683.306866770958 94.0572215126551 -679.770837925974</t>
  </si>
  <si>
    <t>-678.087817898013 72.2533948016464 -830.427185054741</t>
  </si>
  <si>
    <t>-644.643847972018 44.0416404271236 -922.452177699232</t>
  </si>
  <si>
    <t>-661.861745413911 107.549902960853 -766.836393062281</t>
  </si>
  <si>
    <t>-562.451870111336 215.567970297782 -758.12286199849</t>
  </si>
  <si>
    <t>-482.044357198223 180.916853355305 -453.951677013443</t>
  </si>
  <si>
    <t>-320.349323089456 57.3494166635971 -292.001507126949</t>
  </si>
  <si>
    <t>-698.932315818353 56.2520508190928 -760.696513453545</t>
  </si>
  <si>
    <t>-567.207715730893 213.037973218936 -245.435126099971</t>
  </si>
  <si>
    <t>-579.272005958115 200.286310320064 209.921356261013</t>
  </si>
  <si>
    <t>-621.392002839035 176.049108128855 677.385344350519</t>
  </si>
  <si>
    <t>-491.308643656674 97.1641002073588 765.697193703988</t>
  </si>
  <si>
    <t>-652.314923144175 41.4769956457849 -212.170243488575</t>
  </si>
  <si>
    <t>-495.171909426312 -100.439856928618 191.343514159522</t>
  </si>
  <si>
    <t>-493.781076435819 -18.7027665689213 654.08276997134</t>
  </si>
  <si>
    <t>-490.35049102014 -167.631131913137 747.635416781465</t>
  </si>
  <si>
    <t>9763-20170724T160508.828338900.bin</t>
  </si>
  <si>
    <t>-609.923708342579 126.913729962886 -229.180911874525</t>
  </si>
  <si>
    <t>-650.27546206266 125.15490390433 -343.358095407965</t>
  </si>
  <si>
    <t>-670.754061013033 117.170298483626 -462.553145979461</t>
  </si>
  <si>
    <t>-681.029700969121 107.03214430822 -571.118637162617</t>
  </si>
  <si>
    <t>-683.179974376939 93.8413402634435 -679.821073447621</t>
  </si>
  <si>
    <t>-677.764549547884 72.1660599613356 -830.489131076695</t>
  </si>
  <si>
    <t>-644.212460602557 44.0860209354471 -922.514885890843</t>
  </si>
  <si>
    <t>-661.665468143711 107.439280457299 -766.853135596612</t>
  </si>
  <si>
    <t>-562.449577724792 215.608018791668 -757.883589432613</t>
  </si>
  <si>
    <t>-482.124942924619 180.753512363574 -453.713706881747</t>
  </si>
  <si>
    <t>-321.118987932786 56.1677531878188 -291.857184777029</t>
  </si>
  <si>
    <t>-698.655987036204 56.0740684426887 -760.793215630536</t>
  </si>
  <si>
    <t>-567.465528542121 212.678417538106 -245.454238643927</t>
  </si>
  <si>
    <t>-579.474035489675 200.032581245636 209.906569184092</t>
  </si>
  <si>
    <t>-621.524253686572 175.804802234925 677.383680907591</t>
  </si>
  <si>
    <t>-491.197696116786 97.3138624308767 765.688100222278</t>
  </si>
  <si>
    <t>-652.244226460735 41.1420428981883 -212.154579105952</t>
  </si>
  <si>
    <t>-495.062032259369 -100.426216878195 191.466349109959</t>
  </si>
  <si>
    <t>-493.75430579303 -18.599344522228 654.192892438282</t>
  </si>
  <si>
    <t>-490.283741289289 -167.622652289341 747.592637773033</t>
  </si>
  <si>
    <t>9763-20170724T160508.891025200.bin</t>
  </si>
  <si>
    <t>-610.135958910279 126.27624361681 -229.287628165725</t>
  </si>
  <si>
    <t>-650.471847035865 124.448826722403 -343.46937305263</t>
  </si>
  <si>
    <t>-670.816737346745 116.543949779383 -462.692545967408</t>
  </si>
  <si>
    <t>-680.919828401961 106.538064745196 -571.286600041498</t>
  </si>
  <si>
    <t>-682.844547152905 93.5387978434749 -680.016255348571</t>
  </si>
  <si>
    <t>-677.058869083633 72.191429919096 -830.71747372403</t>
  </si>
  <si>
    <t>-643.24771618636 44.3804179784663 -922.730135847093</t>
  </si>
  <si>
    <t>-661.230162248576 107.406033975031 -766.981163121384</t>
  </si>
  <si>
    <t>-562.509861175735 215.972976568308 -757.551461868992</t>
  </si>
  <si>
    <t>-482.279067886772 180.596334688277 -453.417114233917</t>
  </si>
  <si>
    <t>-322.003219155696 55.0463815634178 -291.581063384784</t>
  </si>
  <si>
    <t>-698.00741668818 55.8680706968871 -761.092599179141</t>
  </si>
  <si>
    <t>-568.074269573363 212.171819593607 -245.510159339507</t>
  </si>
  <si>
    <t>-579.622979581762 199.393762929759 209.85894717525</t>
  </si>
  <si>
    <t>-621.558934949095 175.676984968979 677.384210169737</t>
  </si>
  <si>
    <t>-491.116699635321 97.3768459170262 765.687204101695</t>
  </si>
  <si>
    <t>-652.032781241687 40.4394481418783 -212.336029151721</t>
  </si>
  <si>
    <t>-494.942810351056 -100.457855250699 191.555507791344</t>
  </si>
  <si>
    <t>-493.781931866059 -18.4916052701906 654.266231567863</t>
  </si>
  <si>
    <t>-490.124127792212 -167.628982515405 747.476736521797</t>
  </si>
  <si>
    <t>9763-20170724T160508.929127600.bin</t>
  </si>
  <si>
    <t>-610.240081609388 126.07118890411 -229.303664616728</t>
  </si>
  <si>
    <t>-650.55377753989 124.19078353011 -343.492344438943</t>
  </si>
  <si>
    <t>-670.8207791297 116.348370979426 -462.732959437481</t>
  </si>
  <si>
    <t>-680.828611297006 106.445642760129 -571.345200675707</t>
  </si>
  <si>
    <t>-682.631882254687 93.5960072514442 -680.094970618005</t>
  </si>
  <si>
    <t>-676.64922538734 72.5044459672517 -830.824345007886</t>
  </si>
  <si>
    <t>-642.69823596679 44.8620881379991 -922.836358273051</t>
  </si>
  <si>
    <t>-660.9637939439 107.652533972755 -767.016037284364</t>
  </si>
  <si>
    <t>-562.493783851868 216.431508927727 -757.312868242348</t>
  </si>
  <si>
    <t>-482.310334111962 180.636314468016 -453.215154434569</t>
  </si>
  <si>
    <t>-322.936631129732 53.7178205607322 -291.555723428427</t>
  </si>
  <si>
    <t>-697.628806467075 56.0212400909973 -761.246533040693</t>
  </si>
  <si>
    <t>-568.347365711512 212.017655822972 -245.512003669498</t>
  </si>
  <si>
    <t>-579.764777366354 199.348029465637 209.863491131574</t>
  </si>
  <si>
    <t>-621.459372131283 175.810669355164 677.384813809493</t>
  </si>
  <si>
    <t>-491.063045739391 97.4325972430713 765.68651118409</t>
  </si>
  <si>
    <t>-652.006943920198 40.1857760919893 -212.358779853379</t>
  </si>
  <si>
    <t>-494.919238582762 -100.619178251908 191.565831074071</t>
  </si>
  <si>
    <t>-493.825193449997 -18.4910927252665 654.239980326759</t>
  </si>
  <si>
    <t>-490.027211236267 -167.645652848766 747.417232918072</t>
  </si>
  <si>
    <t>9763-20170724T160508.994348700.bin</t>
  </si>
  <si>
    <t>-610.675215278801 125.699998494174 -229.304201166246</t>
  </si>
  <si>
    <t>-650.977827767372 123.752698837027 -343.495789393769</t>
  </si>
  <si>
    <t>-671.079079496927 116.043345243331 -462.773057307862</t>
  </si>
  <si>
    <t>-680.869614810657 106.341029584552 -571.42319763055</t>
  </si>
  <si>
    <t>-682.385823760174 93.7712759350018 -680.209990655795</t>
  </si>
  <si>
    <t>-675.930142592968 73.1505083586158 -830.984980887094</t>
  </si>
  <si>
    <t>-641.881759022517 45.905717206414 -923.079501723209</t>
  </si>
  <si>
    <t>-660.503413570809 108.139298560871 -767.02616866397</t>
  </si>
  <si>
    <t>-562.421160442671 217.202757211883 -756.697425555974</t>
  </si>
  <si>
    <t>-482.508226033906 180.385038919221 -452.650457477212</t>
  </si>
  <si>
    <t>-324.076429559633 51.6502969903424 -291.502199763405</t>
  </si>
  <si>
    <t>-697.069818783065 56.409731418097 -761.517101537476</t>
  </si>
  <si>
    <t>-568.897528640932 211.643593602526 -245.532642573797</t>
  </si>
  <si>
    <t>-580.198760237903 199.316018264137 209.855122982209</t>
  </si>
  <si>
    <t>-621.428004234112 175.847221844256 677.435936033044</t>
  </si>
  <si>
    <t>-490.942780878731 97.5758347710018 765.700943104662</t>
  </si>
  <si>
    <t>-652.383043926935 39.7633187673353 -212.386518777235</t>
  </si>
  <si>
    <t>-494.923405273602 -100.932261285381 191.431339756542</t>
  </si>
  <si>
    <t>-493.904304204445 -18.5669699813059 654.065403041592</t>
  </si>
  <si>
    <t>-489.872394993836 -167.679575546573 747.299901081988</t>
  </si>
  <si>
    <t>9763-20170724T160509.030445800.bin</t>
  </si>
  <si>
    <t>-610.920446847091 125.517093655399 -229.289028886504</t>
  </si>
  <si>
    <t>-651.254462643869 123.541570571859 -343.468995225203</t>
  </si>
  <si>
    <t>-671.321177093455 115.892318295913 -462.755901489281</t>
  </si>
  <si>
    <t>-681.05116190207 106.279587451983 -571.419508146586</t>
  </si>
  <si>
    <t>-682.476814996028 93.8336245761022 -680.221773191843</t>
  </si>
  <si>
    <t>-675.862927853154 73.4203819111654 -831.018231796127</t>
  </si>
  <si>
    <t>-641.942371383558 46.4314007160765 -923.23512372578</t>
  </si>
  <si>
    <t>-660.511052870945 108.326402582811 -766.996258625337</t>
  </si>
  <si>
    <t>-562.4735808343 217.445247628379 -756.448232041112</t>
  </si>
  <si>
    <t>-483.076073107838 179.972319512866 -452.346243399925</t>
  </si>
  <si>
    <t>-325.33603035031 50.0610090301705 -291.463739925103</t>
  </si>
  <si>
    <t>-697.067778354809 56.5786957409041 -761.594484141179</t>
  </si>
  <si>
    <t>-569.149698495151 211.415511450735 -245.541721928067</t>
  </si>
  <si>
    <t>-580.369679714248 199.206596953963 209.851181888567</t>
  </si>
  <si>
    <t>-621.447372181852 175.820434433773 677.459992432493</t>
  </si>
  <si>
    <t>-490.884996897381 97.6437654141057 765.694823938168</t>
  </si>
  <si>
    <t>-652.61487446214 39.5975360157079 -212.344986352282</t>
  </si>
  <si>
    <t>-494.98796890256 -101.077095121605 191.414894512305</t>
  </si>
  <si>
    <t>-493.944507670559 -18.6202620870117 653.980092575846</t>
  </si>
  <si>
    <t>-489.864518081713 -167.69856446084 747.267459398684</t>
  </si>
  <si>
    <t>9763-20170724T160509.091642900.bin</t>
  </si>
  <si>
    <t>-611.409814203807 125.126396452639 -229.334600462384</t>
  </si>
  <si>
    <t>-651.795242586234 123.230402662563 -343.497728622322</t>
  </si>
  <si>
    <t>-671.870671561371 115.740970182199 -462.793363541746</t>
  </si>
  <si>
    <t>-681.587687564249 106.308354110486 -571.473794113791</t>
  </si>
  <si>
    <t>-682.97696884255 94.0804565137225 -680.301225071142</t>
  </si>
  <si>
    <t>-676.286404354824 74.0111457269634 -831.140404027981</t>
  </si>
  <si>
    <t>-642.713003421271 47.4281066299798 -923.602003547127</t>
  </si>
  <si>
    <t>-660.957528180852 108.764393113222 -767.030081413859</t>
  </si>
  <si>
    <t>-563.060795615112 217.957913126591 -756.17216313429</t>
  </si>
  <si>
    <t>-484.244249801716 179.931219930293 -451.987849696472</t>
  </si>
  <si>
    <t>-326.475232278722 50.4928711315081 -290.752949588142</t>
  </si>
  <si>
    <t>-697.536083037682 57.0179140485145 -761.767471557037</t>
  </si>
  <si>
    <t>-569.473318850108 211.018187208508 -245.580460856148</t>
  </si>
  <si>
    <t>-580.482618226106 198.975408246588 209.8220406391</t>
  </si>
  <si>
    <t>-621.327680163025 175.992477486133 677.468234420164</t>
  </si>
  <si>
    <t>-490.955406858688 97.4798597026208 765.685887847104</t>
  </si>
  <si>
    <t>-653.237505911042 39.2732283158223 -212.368156351007</t>
  </si>
  <si>
    <t>-495.230260460589 -101.321460075126 191.270918394946</t>
  </si>
  <si>
    <t>-494.073673043173 -18.7396513285357 653.829265342776</t>
  </si>
  <si>
    <t>-489.840713416111 -167.735626763184 747.241198519317</t>
  </si>
  <si>
    <t>9763-20170724T160509.125734700.bin</t>
  </si>
  <si>
    <t>-611.642870911942 124.931847092502 -229.314193362984</t>
  </si>
  <si>
    <t>-652.028819851338 123.074473239385 -343.477818497176</t>
  </si>
  <si>
    <t>-672.117557546 115.648929980077 -462.775158959581</t>
  </si>
  <si>
    <t>-681.850015250703 106.289449437904 -571.46062297584</t>
  </si>
  <si>
    <t>-683.256423061534 94.1533453002382 -680.298004689348</t>
  </si>
  <si>
    <t>-676.589669391798 74.2338382245348 -831.158213668943</t>
  </si>
  <si>
    <t>-643.189808345472 47.8262210276703 -923.732759818119</t>
  </si>
  <si>
    <t>-661.250784676034 108.923610448546 -767.015657194964</t>
  </si>
  <si>
    <t>-563.441463004766 218.184862319744 -756.04894080745</t>
  </si>
  <si>
    <t>-484.92598146466 179.921798911848 -451.816325655725</t>
  </si>
  <si>
    <t>-326.937566140896 50.5511896035403 -290.741883614373</t>
  </si>
  <si>
    <t>-697.82825946333 57.1715421961014 -761.798888749807</t>
  </si>
  <si>
    <t>-569.542587474906 210.71102245165 -245.585814514213</t>
  </si>
  <si>
    <t>-580.631205980958 198.957253195862 209.822360987975</t>
  </si>
  <si>
    <t>-621.332516642569 175.987691851482 677.487710324922</t>
  </si>
  <si>
    <t>-490.916692521844 97.5216750451093 765.682404137082</t>
  </si>
  <si>
    <t>-653.634830657902 39.1375557141648 -212.328051804712</t>
  </si>
  <si>
    <t>-495.251485435038 -101.501682525664 191.148136002365</t>
  </si>
  <si>
    <t>-494.149436544899 -18.8404271498202 653.702753213972</t>
  </si>
  <si>
    <t>-489.901077075601 -167.767997253964 747.222987396924</t>
  </si>
  <si>
    <t>9763-20170724T160509.190909300.bin</t>
  </si>
  <si>
    <t>-612.028036561956 124.832831426357 -229.265023163826</t>
  </si>
  <si>
    <t>-652.380907970581 123.130161382953 -343.442683266564</t>
  </si>
  <si>
    <t>-672.462170871317 115.836699466218 -462.749496190545</t>
  </si>
  <si>
    <t>-682.195699390358 106.598719717043 -571.445341942997</t>
  </si>
  <si>
    <t>-683.60842798087 94.5933798830902 -680.297180066872</t>
  </si>
  <si>
    <t>-676.953269253417 74.8714526305148 -831.183799858424</t>
  </si>
  <si>
    <t>-643.803273406525 48.7452198320618 -923.927904478137</t>
  </si>
  <si>
    <t>-661.603858254361 109.473318220392 -766.996335254895</t>
  </si>
  <si>
    <t>-563.804508392526 218.724986199734 -755.850041065854</t>
  </si>
  <si>
    <t>-485.986087673175 180.683578963919 -451.410565375013</t>
  </si>
  <si>
    <t>-327.439468989382 50.9993113671721 -291.138849893659</t>
  </si>
  <si>
    <t>-698.192107118724 57.72223761844 -761.845925360288</t>
  </si>
  <si>
    <t>-569.514696965198 210.537948597794 -245.590750100805</t>
  </si>
  <si>
    <t>-580.768719847938 199.092156799157 209.821062602106</t>
  </si>
  <si>
    <t>-621.20848763519 176.146016867887 677.503680341549</t>
  </si>
  <si>
    <t>-491.031537975685 97.2774525644204 765.692252177579</t>
  </si>
  <si>
    <t>-654.411940197689 39.1537221480412 -212.260117278979</t>
  </si>
  <si>
    <t>-495.093862011896 -101.808390649566 190.735066274297</t>
  </si>
  <si>
    <t>-494.416558694039 -19.14801143969 653.269541636094</t>
  </si>
  <si>
    <t>-489.934496358092 -167.834247315448 747.16208934871</t>
  </si>
  <si>
    <t>9763-20170724T160509.227528300.bin</t>
  </si>
  <si>
    <t>-612.244622891329 124.847855118439 -229.266191271496</t>
  </si>
  <si>
    <t>-652.566662577956 123.178358403237 -343.455207584965</t>
  </si>
  <si>
    <t>-672.662084681627 115.928076939455 -462.762335519101</t>
  </si>
  <si>
    <t>-682.425826149218 106.738205979414 -571.459399628351</t>
  </si>
  <si>
    <t>-683.885016733359 94.7930191353514 -680.317313961302</t>
  </si>
  <si>
    <t>-677.310018162004 75.1696870686267 -831.220156321928</t>
  </si>
  <si>
    <t>-644.265582637162 49.1656851169118 -924.036498478857</t>
  </si>
  <si>
    <t>-661.920289390301 109.725297798152 -767.017576512096</t>
  </si>
  <si>
    <t>-564.05500466328 218.915700490964 -755.831893028579</t>
  </si>
  <si>
    <t>-486.483851464491 181.178992540963 -451.291515753764</t>
  </si>
  <si>
    <t>-328.212950248078 50.5336631366874 -291.528700002801</t>
  </si>
  <si>
    <t>-698.518280277907 57.9794284663517 -761.883203519791</t>
  </si>
  <si>
    <t>-569.513767186036 210.449710091477 -245.59766989875</t>
  </si>
  <si>
    <t>-580.82154199888 199.112922461358 209.815681439619</t>
  </si>
  <si>
    <t>-621.168154768739 176.191457278377 677.500978438818</t>
  </si>
  <si>
    <t>-490.993037640598 97.3099364248419 765.680653428791</t>
  </si>
  <si>
    <t>-654.82502937999 39.2256629976123 -212.251959856785</t>
  </si>
  <si>
    <t>-494.95954571933 -101.83608928035 190.491512952699</t>
  </si>
  <si>
    <t>-494.562470976987 -19.3269337226868 653.027207964648</t>
  </si>
  <si>
    <t>-489.853749768993 -167.865189839398 747.142650604482</t>
  </si>
  <si>
    <t>9763-20170724T160509.291199300.bin</t>
  </si>
  <si>
    <t>-612.590266591581 124.878509828282 -229.256022693993</t>
  </si>
  <si>
    <t>-652.909067464901 123.279583356667 -343.447302589015</t>
  </si>
  <si>
    <t>-673.12238656167 116.112705916515 -462.739395783359</t>
  </si>
  <si>
    <t>-683.04098692223 107.010560695916 -571.429891426595</t>
  </si>
  <si>
    <t>-684.701223770577 95.1698726294458 -680.296282953302</t>
  </si>
  <si>
    <t>-678.451065946591 75.7130764905296 -831.234603488083</t>
  </si>
  <si>
    <t>-645.612275174369 49.8914817224636 -924.174670368907</t>
  </si>
  <si>
    <t>-662.898136025665 110.180512741386 -767.023844406113</t>
  </si>
  <si>
    <t>-564.92192494647 219.254565438967 -755.786414343556</t>
  </si>
  <si>
    <t>-487.225668957145 181.897494625106 -451.231085859158</t>
  </si>
  <si>
    <t>-330.290469404433 48.934122693888 -292.064129440814</t>
  </si>
  <si>
    <t>-699.53494753012 58.4637580012306 -761.874286118732</t>
  </si>
  <si>
    <t>-569.514582647578 210.390070118521 -245.626975113242</t>
  </si>
  <si>
    <t>-580.830715784923 199.258111271763 209.791198093618</t>
  </si>
  <si>
    <t>-620.938518851278 176.450779075944 677.474245294838</t>
  </si>
  <si>
    <t>-491.127960905213 97.0255402432272 765.703265024822</t>
  </si>
  <si>
    <t>-655.549122427797 39.3376307948226 -212.198968523307</t>
  </si>
  <si>
    <t>-494.732575040152 -101.711985829281 190.16996788954</t>
  </si>
  <si>
    <t>-494.776923505081 -19.5437642132622 652.752716328204</t>
  </si>
  <si>
    <t>-489.674942943054 -167.896628863109 747.139697769441</t>
  </si>
  <si>
    <t>9763-20170724T160509.325337300.bin</t>
  </si>
  <si>
    <t>-612.731878067214 124.917637692741 -229.221850889267</t>
  </si>
  <si>
    <t>-653.068296152444 123.289682997213 -343.406552762418</t>
  </si>
  <si>
    <t>-673.348300052986 116.137850605369 -462.688252607285</t>
  </si>
  <si>
    <t>-683.346302709873 107.069023921452 -571.374221312126</t>
  </si>
  <si>
    <t>-685.104198006514 95.2821708802419 -680.24486806259</t>
  </si>
  <si>
    <t>-679.007206958107 75.922740091291 -831.202083901032</t>
  </si>
  <si>
    <t>-646.248419929839 50.1602025790023 -924.186614905247</t>
  </si>
  <si>
    <t>-663.377164212238 110.340492043437 -766.983398479719</t>
  </si>
  <si>
    <t>-565.298166002816 219.327980981838 -755.716901552197</t>
  </si>
  <si>
    <t>-487.447743824099 181.872591450952 -451.213187941047</t>
  </si>
  <si>
    <t>-331.555206894834 47.4229504147336 -292.27017105241</t>
  </si>
  <si>
    <t>-700.032712281128 58.6368844369827 -761.833139897397</t>
  </si>
  <si>
    <t>-569.533299929262 210.451558294697 -245.636008284707</t>
  </si>
  <si>
    <t>-580.905837585072 199.451052137599 209.783920224071</t>
  </si>
  <si>
    <t>-620.83363215342 176.605090575711 677.470387008398</t>
  </si>
  <si>
    <t>-491.113862437256 97.0302006153179 765.698117871215</t>
  </si>
  <si>
    <t>-655.811614210697 39.3739206776352 -212.121039065297</t>
  </si>
  <si>
    <t>-494.596914686166 -101.538321427574 190.136612908139</t>
  </si>
  <si>
    <t>-494.825910318649 -19.5422489373254 652.753932878316</t>
  </si>
  <si>
    <t>-489.616490351125 -167.888491960152 747.145325881513</t>
  </si>
  <si>
    <t>9763-20170724T160509.391013300.bin</t>
  </si>
  <si>
    <t>-612.969681728226 124.971404147952 -229.136963508888</t>
  </si>
  <si>
    <t>-653.305998969223 123.301046393801 -343.321061387636</t>
  </si>
  <si>
    <t>-673.631162942195 116.160422052262 -462.595714326401</t>
  </si>
  <si>
    <t>-683.687935693678 107.124287039137 -571.279083541525</t>
  </si>
  <si>
    <t>-685.521646363445 95.3932060109908 -680.15455169076</t>
  </si>
  <si>
    <t>-679.54718983239 76.135066267841 -831.12938541161</t>
  </si>
  <si>
    <t>-646.85187189756 50.4177958948451 -924.148969342165</t>
  </si>
  <si>
    <t>-663.848758956733 110.498403774479 -766.898321336917</t>
  </si>
  <si>
    <t>-565.677474081528 219.395558327996 -755.575418727915</t>
  </si>
  <si>
    <t>-487.827928967903 181.638004840173 -451.108649741829</t>
  </si>
  <si>
    <t>-333.179874291588 45.3475155224107 -292.518160193568</t>
  </si>
  <si>
    <t>-700.532636171351 58.8139992328222 -761.757193964758</t>
  </si>
  <si>
    <t>-569.657464623852 210.453986327564 -245.613523943477</t>
  </si>
  <si>
    <t>-581.108300863677 199.5491753442 209.806682200434</t>
  </si>
  <si>
    <t>-620.92000609536 176.486571785821 677.509798979664</t>
  </si>
  <si>
    <t>-491.030644175507 97.1415213214109 765.695019103044</t>
  </si>
  <si>
    <t>-656.148488018494 39.5086992291829 -211.971255590937</t>
  </si>
  <si>
    <t>-494.557669665588 -101.366689045501 190.148401389326</t>
  </si>
  <si>
    <t>-494.842080500961 -19.4996535475589 652.806393044241</t>
  </si>
  <si>
    <t>-489.572080811652 -167.88207160412 747.137630490286</t>
  </si>
  <si>
    <t>9763-20170724T160509.425136500.bin</t>
  </si>
  <si>
    <t>-613.316868540684 125.374137317851 -228.966847724471</t>
  </si>
  <si>
    <t>-653.636075272397 123.625534922144 -343.155803511031</t>
  </si>
  <si>
    <t>-673.99302265019 116.522298740198 -462.427448419657</t>
  </si>
  <si>
    <t>-684.096707602398 107.569653673969 -571.113293659705</t>
  </si>
  <si>
    <t>-685.993878817973 95.9730455927211 -680.002045237367</t>
  </si>
  <si>
    <t>-680.122750443314 76.9560540816992 -831.011655564949</t>
  </si>
  <si>
    <t>-647.51475404266 51.3478314414624 -924.091818758704</t>
  </si>
  <si>
    <t>-664.358213304437 111.201392128997 -766.733591939424</t>
  </si>
  <si>
    <t>-565.954291754267 219.862214231378 -755.183103894829</t>
  </si>
  <si>
    <t>-488.284009739315 181.199688398053 -450.784135212391</t>
  </si>
  <si>
    <t>-335.47520720958 42.5796765929485 -292.430133104368</t>
  </si>
  <si>
    <t>-701.082722636021 59.5397538436935 -761.655623482214</t>
  </si>
  <si>
    <t>-569.779140173204 210.798258240021 -245.552065452736</t>
  </si>
  <si>
    <t>-581.366047808522 200.161427140249 209.870996266886</t>
  </si>
  <si>
    <t>-620.808496040826 176.648809361399 677.525377838378</t>
  </si>
  <si>
    <t>-491.214440374631 96.8339891081459 765.721126008247</t>
  </si>
  <si>
    <t>-656.722643786246 39.9842826100989 -211.666574984974</t>
  </si>
  <si>
    <t>-494.242073486824 -101.267840298367 189.962074220704</t>
  </si>
  <si>
    <t>-494.890184686545 -19.5193642682334 652.686786308366</t>
  </si>
  <si>
    <t>-489.579325542617 -167.897995918827 747.02168483404</t>
  </si>
  <si>
    <t>9763-20170724T160509.490349200.bin</t>
  </si>
  <si>
    <t>-613.858072529699 125.935286376228 -228.898651214702</t>
  </si>
  <si>
    <t>-654.088663066141 124.136000285534 -343.117995470575</t>
  </si>
  <si>
    <t>-674.382306826388 117.040562377709 -462.400839781022</t>
  </si>
  <si>
    <t>-684.438425675522 108.12308721927 -571.093970738848</t>
  </si>
  <si>
    <t>-686.296320087452 96.5927514097621 -679.990477662939</t>
  </si>
  <si>
    <t>-680.377968706954 77.7024036566413 -831.014115500996</t>
  </si>
  <si>
    <t>-647.713871263094 52.177370412782 -924.097414572834</t>
  </si>
  <si>
    <t>-664.630369274844 111.891433567051 -766.702073960528</t>
  </si>
  <si>
    <t>-566.109141427926 220.420532321461 -754.91592650747</t>
  </si>
  <si>
    <t>-488.822139403137 180.794082545387 -450.543323402511</t>
  </si>
  <si>
    <t>-337.364825295044 40.2827666832118 -292.558259540123</t>
  </si>
  <si>
    <t>-701.362996216023 60.2300972700368 -761.679666015753</t>
  </si>
  <si>
    <t>-570.022888469584 211.199579679025 -245.54222693933</t>
  </si>
  <si>
    <t>-581.707221404877 200.669642058122 209.880957559739</t>
  </si>
  <si>
    <t>-620.794958808852 176.678931977671 677.540954091131</t>
  </si>
  <si>
    <t>-491.216496452691 96.8357564373939 765.733922639414</t>
  </si>
  <si>
    <t>-657.596080235359 40.6832766076666 -211.538818461884</t>
  </si>
  <si>
    <t>-494.41945551642 -100.819620357228 189.719138181534</t>
  </si>
  <si>
    <t>-494.965909379185 -19.5967351903371 652.498519242913</t>
  </si>
  <si>
    <t>-489.572129028495 -167.917956875631 746.918929580328</t>
  </si>
  <si>
    <t>9763-20170724T160509.526177600.bin</t>
  </si>
  <si>
    <t>-614.115125768845 126.243996872516 -228.914066441591</t>
  </si>
  <si>
    <t>-654.230914633443 124.409692661258 -343.173221630533</t>
  </si>
  <si>
    <t>-674.362451055403 117.276633879427 -462.481216218196</t>
  </si>
  <si>
    <t>-684.252734579864 108.327374927985 -571.186941192658</t>
  </si>
  <si>
    <t>-685.925734505915 96.7692667590234 -680.083488289336</t>
  </si>
  <si>
    <t>-679.73045812736 77.846539366941 -831.092064607647</t>
  </si>
  <si>
    <t>-646.89488638022 52.3287761318009 -924.117021241694</t>
  </si>
  <si>
    <t>-664.119106861719 112.062085676421 -766.760881259784</t>
  </si>
  <si>
    <t>-565.593164653006 220.552215969715 -754.793607841513</t>
  </si>
  <si>
    <t>-488.350812707279 180.582830827263 -450.45444705469</t>
  </si>
  <si>
    <t>-337.336771299299 39.3473906987658 -292.690964390983</t>
  </si>
  <si>
    <t>-700.824316326141 60.3763479395661 -761.790029562221</t>
  </si>
  <si>
    <t>-570.049096665318 211.467071076155 -245.573377077355</t>
  </si>
  <si>
    <t>-581.629179868681 200.957019815603 209.852948986713</t>
  </si>
  <si>
    <t>-620.644875703009 176.876277889538 677.499987969443</t>
  </si>
  <si>
    <t>-491.380716883175 96.5832246011164 765.745747495234</t>
  </si>
  <si>
    <t>-658.004070558033 41.0044310699157 -211.57809811113</t>
  </si>
  <si>
    <t>-494.519639942277 -100.482023580676 189.560449131331</t>
  </si>
  <si>
    <t>-495.047099738918 -19.6237455137891 652.42791274401</t>
  </si>
  <si>
    <t>-489.522033624953 -167.923509600949 746.8745321806</t>
  </si>
  <si>
    <t>9763-20170724T160509.595900300.bin</t>
  </si>
  <si>
    <t>-614.398079983202 126.706590936283 -228.9158998957</t>
  </si>
  <si>
    <t>-654.510400007913 124.941061418289 -343.177527232868</t>
  </si>
  <si>
    <t>-674.470794869142 117.816584761274 -462.514803678499</t>
  </si>
  <si>
    <t>-684.135249597826 108.858117510035 -571.240046448335</t>
  </si>
  <si>
    <t>-685.510200519279 97.2789974946063 -680.138553395129</t>
  </si>
  <si>
    <t>-678.825128139947 78.3194841693623 -831.12143823643</t>
  </si>
  <si>
    <t>-645.631713171207 52.79601000254 -924.017884506902</t>
  </si>
  <si>
    <t>-663.440347349382 112.563276808865 -766.750893865014</t>
  </si>
  <si>
    <t>-564.959298048505 221.085759503042 -754.410677760621</t>
  </si>
  <si>
    <t>-487.88954800074 180.968629763682 -450.047339506198</t>
  </si>
  <si>
    <t>-336.329557510466 39.8782116498389 -292.678026868282</t>
  </si>
  <si>
    <t>-700.125721925345 60.8537635181528 -761.881687376974</t>
  </si>
  <si>
    <t>-569.967545175639 211.80066408814 -245.575573386469</t>
  </si>
  <si>
    <t>-581.308711026752 201.209002194701 209.854843097806</t>
  </si>
  <si>
    <t>-620.488397634097 177.089840643745 677.492933953043</t>
  </si>
  <si>
    <t>-491.444662969873 96.4848486859448 765.7769225872</t>
  </si>
  <si>
    <t>-658.760669751071 41.6050853499287 -211.516962767883</t>
  </si>
  <si>
    <t>-494.829588329979 -100.02201362621 189.389606921693</t>
  </si>
  <si>
    <t>-495.178252920686 -19.6325588480026 652.345610820514</t>
  </si>
  <si>
    <t>-489.370385789858 -167.928156788797 746.781685514093</t>
  </si>
  <si>
    <t>9763-20170724T160509.623971400.bin</t>
  </si>
  <si>
    <t>-614.457823091841 126.711083038744 -228.896144626909</t>
  </si>
  <si>
    <t>-654.539695408757 124.926251239311 -343.16795589216</t>
  </si>
  <si>
    <t>-674.438777164494 117.787763624719 -462.514730144297</t>
  </si>
  <si>
    <t>-684.034605248013 108.821176782598 -571.245349392221</t>
  </si>
  <si>
    <t>-685.327351526448 97.240027772167 -680.14472434221</t>
  </si>
  <si>
    <t>-678.51370849285 78.2852806512899 -831.122443621698</t>
  </si>
  <si>
    <t>-645.178754117339 52.7408166185996 -923.962354822623</t>
  </si>
  <si>
    <t>-663.185063313372 112.527858719797 -766.737812147798</t>
  </si>
  <si>
    <t>-564.711988466399 221.035856850817 -754.251568216941</t>
  </si>
  <si>
    <t>-487.803809689139 180.826659771376 -449.85932153563</t>
  </si>
  <si>
    <t>-335.994339292406 39.7336592202196 -292.733006763867</t>
  </si>
  <si>
    <t>-699.872008834278 60.8164751442378 -761.901249659865</t>
  </si>
  <si>
    <t>-569.861971340841 211.709053697594 -245.576415080403</t>
  </si>
  <si>
    <t>-581.289731818164 201.197057003185 209.85361625758</t>
  </si>
  <si>
    <t>-620.479584704151 177.077904885247 677.473001856716</t>
  </si>
  <si>
    <t>-491.428137474375 96.5127106931923 765.782061346941</t>
  </si>
  <si>
    <t>-658.965482416478 41.6626611973652 -211.491235039669</t>
  </si>
  <si>
    <t>-495.094399361523 -99.8592535775676 189.476931391873</t>
  </si>
  <si>
    <t>-495.216182884998 -19.5637176499631 652.423726471293</t>
  </si>
  <si>
    <t>-489.333795465218 -167.916105478758 746.766054288791</t>
  </si>
  <si>
    <t>9763-20170724T160509.689146100.bin</t>
  </si>
  <si>
    <t>-614.321921740812 126.625874794342 -228.898813235736</t>
  </si>
  <si>
    <t>-654.323731972874 124.813257061569 -343.198279614962</t>
  </si>
  <si>
    <t>-674.115976265516 117.698147885644 -462.564141672366</t>
  </si>
  <si>
    <t>-683.604120571705 108.773818147552 -571.30786356632</t>
  </si>
  <si>
    <t>-684.777942088982 97.2562149183234 -680.215266776963</t>
  </si>
  <si>
    <t>-677.787354334749 78.4118585015333 -831.19880929522</t>
  </si>
  <si>
    <t>-644.178339400987 52.8232930740273 -923.927604884403</t>
  </si>
  <si>
    <t>-662.534143703872 112.60737908684 -766.77105084106</t>
  </si>
  <si>
    <t>-564.115769715066 221.111176074249 -753.983326946892</t>
  </si>
  <si>
    <t>-487.404646205287 180.555766391616 -449.587350062772</t>
  </si>
  <si>
    <t>-333.390423709128 42.2620438069496 -292.118297614904</t>
  </si>
  <si>
    <t>-699.226785181008 60.8924408181022 -762.01533083393</t>
  </si>
  <si>
    <t>-569.606087488482 211.680574415201 -245.602743865856</t>
  </si>
  <si>
    <t>-581.393854131287 201.319929109915 209.821693691227</t>
  </si>
  <si>
    <t>-620.345087264692 177.311605909289 677.442544042529</t>
  </si>
  <si>
    <t>-491.566764705486 96.3388568181383 765.777516738011</t>
  </si>
  <si>
    <t>-658.875167347997 41.6202172261562 -211.513697884008</t>
  </si>
  <si>
    <t>-495.429183556076 -99.7792479507705 189.671108927002</t>
  </si>
  <si>
    <t>-495.23013697944 -19.3675539952887 652.642986249935</t>
  </si>
  <si>
    <t>-489.280019597018 -167.892264628677 746.709577692185</t>
  </si>
  <si>
    <t>9763-20170724T160509.725746300.bin</t>
  </si>
  <si>
    <t>-614.239136453437 126.524237479375 -228.904356376463</t>
  </si>
  <si>
    <t>-654.257285075551 124.706638427843 -343.197998638187</t>
  </si>
  <si>
    <t>-674.010606673666 117.619705103972 -462.572017643668</t>
  </si>
  <si>
    <t>-683.44023000377 108.733758775298 -571.323975219116</t>
  </si>
  <si>
    <t>-684.531607201221 97.2676200569204 -680.237470499433</t>
  </si>
  <si>
    <t>-677.401457089187 78.5083021490414 -831.225155483348</t>
  </si>
  <si>
    <t>-643.669365743739 52.918020378469 -923.908848579483</t>
  </si>
  <si>
    <t>-662.222345858548 112.677625634482 -766.766066616921</t>
  </si>
  <si>
    <t>-563.855623152747 221.213322174808 -753.793433993158</t>
  </si>
  <si>
    <t>-487.17478953588 180.383929165574 -449.426608877656</t>
  </si>
  <si>
    <t>-331.749430337438 43.8683489941634 -291.792593358773</t>
  </si>
  <si>
    <t>-698.890370073853 60.9397389274127 -762.069537894538</t>
  </si>
  <si>
    <t>-569.59648804362 211.531871489765 -245.610445432089</t>
  </si>
  <si>
    <t>-581.481792929159 201.206630357065 209.812320809013</t>
  </si>
  <si>
    <t>-620.49159017241 177.090999927715 677.444007290186</t>
  </si>
  <si>
    <t>-491.503733594959 96.439593851399 765.767211819279</t>
  </si>
  <si>
    <t>-658.743035481547 41.5277952818778 -211.48991190736</t>
  </si>
  <si>
    <t>-495.387398807237 -99.8603732109577 189.735774419326</t>
  </si>
  <si>
    <t>-495.212550507903 -19.304280248841 652.683712670076</t>
  </si>
  <si>
    <t>-489.274654585942 -167.890497135685 746.653922648773</t>
  </si>
  <si>
    <t>9763-20170724T160509.791427000.bin</t>
  </si>
  <si>
    <t>-613.943084739652 126.308746256419 -228.87950615705</t>
  </si>
  <si>
    <t>-653.938452094319 124.496352614548 -343.181280216636</t>
  </si>
  <si>
    <t>-673.590863021986 117.472551337832 -462.575639128479</t>
  </si>
  <si>
    <t>-682.895004133844 108.67043112779 -571.345146229607</t>
  </si>
  <si>
    <t>-683.826111554316 97.3159550710052 -680.271977092609</t>
  </si>
  <si>
    <t>-676.43609206161 78.7425298659666 -831.270103897653</t>
  </si>
  <si>
    <t>-642.471779916069 53.1762115694532 -923.875625561395</t>
  </si>
  <si>
    <t>-661.420652802811 112.869116400851 -766.750004189032</t>
  </si>
  <si>
    <t>-563.340440890866 221.626111141316 -753.482826655094</t>
  </si>
  <si>
    <t>-486.385074505984 180.631344818959 -449.207450622297</t>
  </si>
  <si>
    <t>-328.702823052223 46.4294503226834 -291.828394039041</t>
  </si>
  <si>
    <t>-697.991276943508 61.0522302441182 -762.166257351619</t>
  </si>
  <si>
    <t>-569.395721603804 211.336949768042 -245.585333660269</t>
  </si>
  <si>
    <t>-581.416834097779 201.048617621704 209.834557041764</t>
  </si>
  <si>
    <t>-620.557819163242 176.997451841015 677.44352705604</t>
  </si>
  <si>
    <t>-491.543600517746 96.3938703781453 765.771896476584</t>
  </si>
  <si>
    <t>-658.35468430795 41.3144328852709 -211.456731619097</t>
  </si>
  <si>
    <t>-495.150214197291 -100.163140927092 189.798839665763</t>
  </si>
  <si>
    <t>-495.189199200402 -19.2205299094139 652.691375039277</t>
  </si>
  <si>
    <t>-489.313125611375 -167.897611453833 746.521472775342</t>
  </si>
  <si>
    <t>9763-20170724T160509.829555100.bin</t>
  </si>
  <si>
    <t>-613.723744362805 126.222836019117 -228.874687796549</t>
  </si>
  <si>
    <t>-653.68771789581 124.350872535145 -343.186490001323</t>
  </si>
  <si>
    <t>-673.295165960135 117.320970452521 -462.587769245077</t>
  </si>
  <si>
    <t>-682.552524772058 108.536302906163 -571.362758166194</t>
  </si>
  <si>
    <t>-683.429815257518 97.2233739362366 -680.294316499731</t>
  </si>
  <si>
    <t>-675.957355564933 78.7330982960266 -831.298575645603</t>
  </si>
  <si>
    <t>-641.916280754093 53.2368530331703 -923.895172478154</t>
  </si>
  <si>
    <t>-661.010065596277 112.846981376512 -766.756113345931</t>
  </si>
  <si>
    <t>-563.072105609178 221.714107124823 -753.360929305466</t>
  </si>
  <si>
    <t>-485.865915703057 180.76090369624 -449.143471686752</t>
  </si>
  <si>
    <t>-327.776703694323 46.7496323915395 -292.010301439947</t>
  </si>
  <si>
    <t>-697.517279649445 60.9820000085351 -762.211772987842</t>
  </si>
  <si>
    <t>-569.270616221357 211.204647661613 -245.565582387949</t>
  </si>
  <si>
    <t>-581.461755207138 200.946425287294 209.850534099997</t>
  </si>
  <si>
    <t>-620.722718009439 176.755653801479 677.457895112174</t>
  </si>
  <si>
    <t>-491.483176852289 96.4944591143621 765.768669705569</t>
  </si>
  <si>
    <t>-658.052806763924 41.2424158602282 -211.450554682297</t>
  </si>
  <si>
    <t>-494.977438230574 -100.253126600353 189.851202527155</t>
  </si>
  <si>
    <t>-495.159314801652 -19.1656475428415 652.719750111429</t>
  </si>
  <si>
    <t>-489.29272566992 -167.898588063083 746.461884837079</t>
  </si>
  <si>
    <t>9763-20170724T160509.898848300.bin</t>
  </si>
  <si>
    <t>-613.194180462238 126.122531849208 -228.861542128768</t>
  </si>
  <si>
    <t>-653.07027702745 124.168876971103 -343.202644553174</t>
  </si>
  <si>
    <t>-672.608419174347 117.172362540606 -462.617423801064</t>
  </si>
  <si>
    <t>-681.808878243076 108.469301024463 -571.403723993009</t>
  </si>
  <si>
    <t>-682.633900350918 97.291204841682 -680.349563865927</t>
  </si>
  <si>
    <t>-675.091803389621 79.0457426737273 -831.380193377886</t>
  </si>
  <si>
    <t>-640.978308858261 53.8080749294679 -924.020821356434</t>
  </si>
  <si>
    <t>-660.248867467232 113.106341519722 -766.785377613798</t>
  </si>
  <si>
    <t>-562.633261844261 222.242208494206 -753.200019279794</t>
  </si>
  <si>
    <t>-485.312175680381 181.365521125121 -449.001517730934</t>
  </si>
  <si>
    <t>-323.374993666147 53.1316762709969 -290.968339889085</t>
  </si>
  <si>
    <t>-696.60906730019 61.1311955086492 -762.322169601338</t>
  </si>
  <si>
    <t>-568.799559487737 211.218926177571 -245.547691398732</t>
  </si>
  <si>
    <t>-581.42856660666 201.061783458908 209.858654195304</t>
  </si>
  <si>
    <t>-620.687833581401 176.8377434925 677.462888856273</t>
  </si>
  <si>
    <t>-491.546589305847 96.4082199480124 765.764294920006</t>
  </si>
  <si>
    <t>-657.452180794573 41.0776128193415 -211.497208858212</t>
  </si>
  <si>
    <t>-494.584350505396 -100.421883703232 189.887404735503</t>
  </si>
  <si>
    <t>-495.108429936328 -19.1109659401145 652.715338994739</t>
  </si>
  <si>
    <t>-489.266952137375 -167.907362596099 746.358421188043</t>
  </si>
  <si>
    <t>9763-20170724T160509.925916300.bin</t>
  </si>
  <si>
    <t>-612.9276883306 126.044490526841 -228.862961986746</t>
  </si>
  <si>
    <t>-652.775404325941 124.033049989268 -343.212931191257</t>
  </si>
  <si>
    <t>-672.310433691559 117.036456453381 -462.62818381978</t>
  </si>
  <si>
    <t>-681.517670282023 108.358880761667 -571.415968983946</t>
  </si>
  <si>
    <t>-682.358353989965 97.2327578709132 -680.367051087337</t>
  </si>
  <si>
    <t>-674.846250409122 79.088051832973 -831.411310351549</t>
  </si>
  <si>
    <t>-640.725412416139 53.996063108912 -924.08898455035</t>
  </si>
  <si>
    <t>-660.036868111681 113.137459030571 -766.802830811917</t>
  </si>
  <si>
    <t>-562.579505253525 222.420119323001 -753.156757494772</t>
  </si>
  <si>
    <t>-485.056973843967 181.471660109215 -449.019135260354</t>
  </si>
  <si>
    <t>-322.213096333572 54.038420696339 -291.270305802821</t>
  </si>
  <si>
    <t>-696.303362050872 61.0956054891587 -762.354952927467</t>
  </si>
  <si>
    <t>-568.633579151084 211.134238426898 -245.541038349762</t>
  </si>
  <si>
    <t>-581.46837414725 201.04503134211 209.861187212523</t>
  </si>
  <si>
    <t>-620.750205417028 176.754392345829 677.457328575465</t>
  </si>
  <si>
    <t>-491.475606130312 96.5326509835797 765.752665988795</t>
  </si>
  <si>
    <t>-657.116336573923 40.9895339333473 -211.466107561867</t>
  </si>
  <si>
    <t>-494.393572815864 -100.524540410615 189.972131359994</t>
  </si>
  <si>
    <t>-495.069875213659 -19.0623445996121 652.756133336468</t>
  </si>
  <si>
    <t>-489.265691993002 -167.910689213199 746.318982396716</t>
  </si>
  <si>
    <t>9763-20170724T160509.992095900.bin</t>
  </si>
  <si>
    <t>-612.199397001637 125.750178863353 -228.907738805437</t>
  </si>
  <si>
    <t>-652.001620964324 123.648696178235 -343.271883407092</t>
  </si>
  <si>
    <t>-671.607976719664 116.659773225596 -462.675789564864</t>
  </si>
  <si>
    <t>-680.926089047812 108.034215267693 -571.45828233808</t>
  </si>
  <si>
    <t>-681.922424741256 97.0075958074049 -680.418206245967</t>
  </si>
  <si>
    <t>-674.670907488298 79.0527918450944 -831.497949145574</t>
  </si>
  <si>
    <t>-640.592808817103 54.2248016419378 -924.262313908177</t>
  </si>
  <si>
    <t>-659.849204195346 113.088630881839 -766.885170381603</t>
  </si>
  <si>
    <t>-562.81088483316 222.731621355838 -753.236672173174</t>
  </si>
  <si>
    <t>-484.747528804356 181.46928454936 -449.27987269557</t>
  </si>
  <si>
    <t>-320.1410021385 55.9676566044236 -291.81206489991</t>
  </si>
  <si>
    <t>-695.909757928589 60.9058378937252 -762.414534604083</t>
  </si>
  <si>
    <t>-568.156572984711 210.892054711082 -245.560468751029</t>
  </si>
  <si>
    <t>-581.324705240291 200.82536534685 209.8325726617</t>
  </si>
  <si>
    <t>-620.866215152201 176.539963206351 677.419707002801</t>
  </si>
  <si>
    <t>-491.51948069792 96.4783527003074 765.754704665699</t>
  </si>
  <si>
    <t>-656.103427322026 40.5931820690228 -211.570509964698</t>
  </si>
  <si>
    <t>-493.793589898174 -100.922748618517 190.034318487092</t>
  </si>
  <si>
    <t>-494.964318898246 -19.0098592650404 652.755134542031</t>
  </si>
  <si>
    <t>-489.32736889667 -167.926241734805 746.219809033474</t>
  </si>
  <si>
    <t>9763-20170724T160510.027193600.bin</t>
  </si>
  <si>
    <t>-611.807922962477 125.570158128666 -228.955326968728</t>
  </si>
  <si>
    <t>-651.607170696853 123.433050504263 -343.319866604825</t>
  </si>
  <si>
    <t>-671.266178998016 116.437339822614 -462.714802922641</t>
  </si>
  <si>
    <t>-680.65439467523 107.818440024519 -571.491709760159</t>
  </si>
  <si>
    <t>-681.742896724634 96.8116109240746 -680.452928251711</t>
  </si>
  <si>
    <t>-674.641823832654 78.8981403760608 -831.54455120526</t>
  </si>
  <si>
    <t>-640.575381019144 54.1713548630089 -924.340180610049</t>
  </si>
  <si>
    <t>-659.798309755688 112.945252324649 -766.942828615824</t>
  </si>
  <si>
    <t>-562.923533524014 222.741165969139 -753.311775801285</t>
  </si>
  <si>
    <t>-484.607819069915 181.309885853748 -449.442875442919</t>
  </si>
  <si>
    <t>-319.478053740997 56.1515573917534 -292.250003715767</t>
  </si>
  <si>
    <t>-695.769307037514 60.70338345815 -762.439547084511</t>
  </si>
  <si>
    <t>-567.927542135083 210.746353836093 -245.58140923326</t>
  </si>
  <si>
    <t>-581.213781389396 200.626384749777 209.807102041853</t>
  </si>
  <si>
    <t>-620.984990706334 176.357955372371 677.415097326336</t>
  </si>
  <si>
    <t>-491.470390920205 96.5594156168968 765.742200015553</t>
  </si>
  <si>
    <t>-655.555673352541 40.3882426670018 -211.648608659848</t>
  </si>
  <si>
    <t>-493.403337038086 -101.137905051641 190.01616003535</t>
  </si>
  <si>
    <t>-494.906111364132 -19.0439876401865 652.693209739451</t>
  </si>
  <si>
    <t>-489.3693735405 -167.945921927645 746.18693558647</t>
  </si>
  <si>
    <t>9763-20170724T160510.093392300.bin</t>
  </si>
  <si>
    <t>-611.133414152262 125.295060471113 -229.010789483916</t>
  </si>
  <si>
    <t>-650.922274134806 123.121566443129 -343.378347075034</t>
  </si>
  <si>
    <t>-670.702606866166 116.125465836309 -462.753150946945</t>
  </si>
  <si>
    <t>-680.254034384151 107.52358741893 -571.517317236964</t>
  </si>
  <si>
    <t>-681.558705496221 96.5518218535781 -680.479535636923</t>
  </si>
  <si>
    <t>-674.811922200895 78.7065416465912 -831.59550950309</t>
  </si>
  <si>
    <t>-640.848820654006 54.1462554539426 -924.47320953778</t>
  </si>
  <si>
    <t>-659.894055036411 112.776417114625 -767.022843108249</t>
  </si>
  <si>
    <t>-563.35756104957 222.878950933515 -753.536271800089</t>
  </si>
  <si>
    <t>-484.489835264094 181.463823056793 -449.807891563844</t>
  </si>
  <si>
    <t>-318.531957125882 57.5156602534105 -292.528347747526</t>
  </si>
  <si>
    <t>-695.700329773397 60.4285622180726 -762.439769031207</t>
  </si>
  <si>
    <t>-567.520059959392 210.595407385296 -245.570703212948</t>
  </si>
  <si>
    <t>-580.912584762295 200.351386367567 209.811904574045</t>
  </si>
  <si>
    <t>-621.051742671047 176.257259533311 677.394901966013</t>
  </si>
  <si>
    <t>-491.39737648495 96.6888301173356 765.724516617712</t>
  </si>
  <si>
    <t>-654.648875244312 40.0126846381281 -211.739120048299</t>
  </si>
  <si>
    <t>-492.301995205303 -101.514357668911 189.846785762064</t>
  </si>
  <si>
    <t>-494.841344644495 -19.2015601735463 652.465260743187</t>
  </si>
  <si>
    <t>-489.340708490965 -167.993629655837 746.135870340437</t>
  </si>
  <si>
    <t>9763-20170724T160510.126479100.bin</t>
  </si>
  <si>
    <t>-610.816551120234 125.200619327139 -229.040815468622</t>
  </si>
  <si>
    <t>-650.576052197435 122.976147127016 -343.417562392254</t>
  </si>
  <si>
    <t>-670.387171017332 115.950094399142 -462.785549897055</t>
  </si>
  <si>
    <t>-679.991576163629 107.32992911597 -571.543508797605</t>
  </si>
  <si>
    <t>-681.374214367214 96.3487501702564 -680.503750482025</t>
  </si>
  <si>
    <t>-674.761439479667 78.4995686750628 -831.625209740566</t>
  </si>
  <si>
    <t>-640.859974980063 54.0014313506374 -924.541982091686</t>
  </si>
  <si>
    <t>-659.819601614071 112.593484220243 -767.070950993848</t>
  </si>
  <si>
    <t>-563.428154249405 222.836263916792 -753.656899071944</t>
  </si>
  <si>
    <t>-484.220291922584 181.60749066215 -449.991870942006</t>
  </si>
  <si>
    <t>-317.064527895547 59.334650975243 -292.669235967309</t>
  </si>
  <si>
    <t>-695.555196826465 60.2010447710072 -762.446494821664</t>
  </si>
  <si>
    <t>-567.352081228146 210.540722677743 -245.573160752119</t>
  </si>
  <si>
    <t>-580.840783024933 200.290620780829 209.806541634259</t>
  </si>
  <si>
    <t>-621.093454782032 176.202176441097 677.383340267864</t>
  </si>
  <si>
    <t>-491.362146809554 96.7565587262436 765.710541396976</t>
  </si>
  <si>
    <t>-654.178003223466 39.8578106237433 -211.802558938999</t>
  </si>
  <si>
    <t>-491.776597067978 -101.561576358674 189.79921774327</t>
  </si>
  <si>
    <t>-494.800411586861 -19.2711984849548 652.386418165096</t>
  </si>
  <si>
    <t>-489.313593952478 -168.012488682074 746.138426356181</t>
  </si>
  <si>
    <t>9763-20170724T160510.191154400.bin</t>
  </si>
  <si>
    <t>-610.215746718885 125.264929977764 -229.090564336299</t>
  </si>
  <si>
    <t>-649.915486154279 122.939043060223 -343.486045074211</t>
  </si>
  <si>
    <t>-669.746288622416 115.84909277903 -462.847019838112</t>
  </si>
  <si>
    <t>-679.401107534962 107.188990662318 -571.597354964143</t>
  </si>
  <si>
    <t>-680.866533685825 96.1865691597993 -680.554429617127</t>
  </si>
  <si>
    <t>-674.401757440792 78.3281481769463 -831.681243821973</t>
  </si>
  <si>
    <t>-640.613917951983 53.9786098863708 -924.678313028727</t>
  </si>
  <si>
    <t>-659.478112486029 112.480581222989 -767.153558135687</t>
  </si>
  <si>
    <t>-563.364709154976 222.981375435797 -753.89920121682</t>
  </si>
  <si>
    <t>-483.381838759693 182.028767604111 -450.399951248637</t>
  </si>
  <si>
    <t>-315.640392830338 60.2650938005145 -293.306189892733</t>
  </si>
  <si>
    <t>-695.046282238364 59.9793665682635 -762.471084020696</t>
  </si>
  <si>
    <t>-566.899536101808 210.727607975253 -245.585105582964</t>
  </si>
  <si>
    <t>-580.50749733521 200.283778346439 209.786571254541</t>
  </si>
  <si>
    <t>-621.035694713169 176.310605323505 677.366044522358</t>
  </si>
  <si>
    <t>-491.302859217009 96.8661974409281 765.692105110675</t>
  </si>
  <si>
    <t>-653.430089950222 39.8273397440848 -211.888550876004</t>
  </si>
  <si>
    <t>-490.914023739733 -101.375635409968 189.743034180441</t>
  </si>
  <si>
    <t>-494.804139468732 -19.3280632314707 652.384271185674</t>
  </si>
  <si>
    <t>-489.10059396126 -168.034708238573 746.178145785392</t>
  </si>
  <si>
    <t>9763-20170724T160510.228758200.bin</t>
  </si>
  <si>
    <t>-610.007518172316 125.382029248114 -229.083532556533</t>
  </si>
  <si>
    <t>-649.707920673123 123.029192021862 -343.478271118224</t>
  </si>
  <si>
    <t>-669.551002255049 115.894824956575 -462.834555797632</t>
  </si>
  <si>
    <t>-679.221589581482 107.188308444557 -571.579785785962</t>
  </si>
  <si>
    <t>-680.707931434958 96.1329784562422 -680.531172544825</t>
  </si>
  <si>
    <t>-674.277353343274 78.1948214684292 -831.649958003282</t>
  </si>
  <si>
    <t>-640.551209594075 53.8836326468479 -924.679529602982</t>
  </si>
  <si>
    <t>-659.364063700502 112.397896647661 -767.146849907756</t>
  </si>
  <si>
    <t>-563.402446727102 223.044565962238 -753.953184902603</t>
  </si>
  <si>
    <t>-483.011277757338 182.298156846324 -450.53395970018</t>
  </si>
  <si>
    <t>-315.129739183401 60.4657616604982 -293.643182082832</t>
  </si>
  <si>
    <t>-694.881295354564 59.8659195108928 -762.422396948176</t>
  </si>
  <si>
    <t>-566.735215309654 210.840120715863 -245.5669585503</t>
  </si>
  <si>
    <t>-580.375973927139 200.266183132507 209.800793303075</t>
  </si>
  <si>
    <t>-621.075273043451 176.262025964935 677.360564732788</t>
  </si>
  <si>
    <t>-491.278790600975 96.9254188308796 765.689975867945</t>
  </si>
  <si>
    <t>-653.181134727756 39.9418001919739 -211.880983959798</t>
  </si>
  <si>
    <t>-490.616358922982 -101.271123922839 189.7273326019</t>
  </si>
  <si>
    <t>-494.79324612739 -19.3414614813296 652.399184818134</t>
  </si>
  <si>
    <t>-488.988529476163 -168.047596580672 746.187713445417</t>
  </si>
  <si>
    <t>9763-20170724T160510.295449800.bin</t>
  </si>
  <si>
    <t>-609.462664931248 125.740251361087 -229.084741669258</t>
  </si>
  <si>
    <t>-649.17971929055 123.385560400683 -343.473660420745</t>
  </si>
  <si>
    <t>-668.946927676893 116.122257464422 -462.834702478443</t>
  </si>
  <si>
    <t>-678.512428581475 107.246324507943 -571.575558820571</t>
  </si>
  <si>
    <t>-679.858499878125 95.968545485001 -680.506012255138</t>
  </si>
  <si>
    <t>-673.198536683785 77.6654909462773 -831.57112278275</t>
  </si>
  <si>
    <t>-639.581812432326 53.3896292099207 -924.649416036308</t>
  </si>
  <si>
    <t>-658.4040345065 112.038186448256 -767.13068369957</t>
  </si>
  <si>
    <t>-562.457184581165 222.696043717082 -753.979294863111</t>
  </si>
  <si>
    <t>-481.89362619489 182.524339462762 -450.529173644459</t>
  </si>
  <si>
    <t>-314.189365679327 60.3106881846588 -293.745441892447</t>
  </si>
  <si>
    <t>-693.886578538611 59.4900017304342 -762.328240301153</t>
  </si>
  <si>
    <t>-566.233382562743 211.229014188374 -245.535951527452</t>
  </si>
  <si>
    <t>-580.066809255089 200.444693992769 209.821126105883</t>
  </si>
  <si>
    <t>-621.048358351639 176.325633239354 677.333146516427</t>
  </si>
  <si>
    <t>-491.416537562155 96.7546058669755 765.6935076298</t>
  </si>
  <si>
    <t>-652.553667414623 40.2609873845458 -211.907646757544</t>
  </si>
  <si>
    <t>-490.084021104426 -100.987107074176 189.72684505878</t>
  </si>
  <si>
    <t>-494.765775116853 -19.3611468528634 652.442369967959</t>
  </si>
  <si>
    <t>-488.897983534398 -168.070469039468 746.222082986185</t>
  </si>
  <si>
    <t>9763-20170724T160510.322513900.bin</t>
  </si>
  <si>
    <t>-609.319206024654 125.939149323189 -229.087156966391</t>
  </si>
  <si>
    <t>-649.062224671699 123.614882037687 -343.467725032682</t>
  </si>
  <si>
    <t>-668.79555240061 116.296873716806 -462.831059108581</t>
  </si>
  <si>
    <t>-678.306583803453 107.335899948283 -571.569665636575</t>
  </si>
  <si>
    <t>-679.575356400317 95.9369917628271 -680.488500201441</t>
  </si>
  <si>
    <t>-672.785407492651 77.4277889004848 -831.522574926959</t>
  </si>
  <si>
    <t>-639.215480937236 53.1630592249819 -924.620764232842</t>
  </si>
  <si>
    <t>-658.043990394619 111.886800577154 -767.116232268806</t>
  </si>
  <si>
    <t>-561.970166990053 222.435877690541 -753.898936274802</t>
  </si>
  <si>
    <t>-481.302704076156 182.274652807412 -450.475060714542</t>
  </si>
  <si>
    <t>-313.693795831938 60.2191379087135 -293.466311156315</t>
  </si>
  <si>
    <t>-693.535498867266 59.3482857514687 -762.27314754925</t>
  </si>
  <si>
    <t>-566.115243240023 211.430338732264 -245.525445399046</t>
  </si>
  <si>
    <t>-579.972374295304 200.493001101517 209.827215701471</t>
  </si>
  <si>
    <t>-621.100969411321 176.261041703561 677.33071991248</t>
  </si>
  <si>
    <t>-491.360094478906 96.8641102417994 765.687624086425</t>
  </si>
  <si>
    <t>-652.407115773938 40.4566023558364 -211.914183046247</t>
  </si>
  <si>
    <t>-489.929852419125 -100.868413954426 189.690153342429</t>
  </si>
  <si>
    <t>-494.760744767733 -19.3740276685862 652.449793695823</t>
  </si>
  <si>
    <t>-488.870193323419 -168.086819378151 746.222568705827</t>
  </si>
  <si>
    <t>9763-20170724T160510.392204500.bin</t>
  </si>
  <si>
    <t>-609.138838416138 126.40218054182 -229.117225549464</t>
  </si>
  <si>
    <t>-648.769596112712 124.067690796499 -343.536410550278</t>
  </si>
  <si>
    <t>-668.442410651033 116.645909488489 -462.903235576579</t>
  </si>
  <si>
    <t>-677.924241089095 107.547479787638 -571.633153435841</t>
  </si>
  <si>
    <t>-679.192161490634 95.9638975200642 -680.532481194215</t>
  </si>
  <si>
    <t>-672.433080297315 77.1457247185986 -831.529710839726</t>
  </si>
  <si>
    <t>-639.008887679344 52.8700373053593 -924.677521859585</t>
  </si>
  <si>
    <t>-657.659692412768 111.723863867704 -767.194593121928</t>
  </si>
  <si>
    <t>-561.594875914428 222.29406659565 -754.157226611952</t>
  </si>
  <si>
    <t>-480.024437799615 181.28185106546 -451.088679552467</t>
  </si>
  <si>
    <t>-311.96868504785 60.070175734774 -293.903915161296</t>
  </si>
  <si>
    <t>-693.187873218001 59.2204528311715 -762.241609622701</t>
  </si>
  <si>
    <t>-566.053396156053 212.017112317674 -245.471921123105</t>
  </si>
  <si>
    <t>-580.02101300839 200.816525770619 209.870928311179</t>
  </si>
  <si>
    <t>-621.129678049538 176.292682220822 677.348689825641</t>
  </si>
  <si>
    <t>-491.41536912683 96.8379675472509 765.6926526163</t>
  </si>
  <si>
    <t>-652.093225295947 40.8030647657092 -212.055179322478</t>
  </si>
  <si>
    <t>-489.932643150977 -100.390640156342 189.723305649245</t>
  </si>
  <si>
    <t>-494.803307859609 -19.3452454938747 652.548934152315</t>
  </si>
  <si>
    <t>-488.803986499172 -168.100012654423 746.248175021541</t>
  </si>
  <si>
    <t>9763-20170724T160510.424796200.bin</t>
  </si>
  <si>
    <t>-609.065024828298 126.666248439369 -229.129183606942</t>
  </si>
  <si>
    <t>-648.620903063417 124.330845318595 -343.574299385585</t>
  </si>
  <si>
    <t>-668.215503807048 116.835931149406 -462.949525111949</t>
  </si>
  <si>
    <t>-677.628445399139 107.636769033895 -571.676825213431</t>
  </si>
  <si>
    <t>-678.831951006485 95.9143043034207 -680.561939973055</t>
  </si>
  <si>
    <t>-671.989919564469 76.8610909807226 -831.526151501946</t>
  </si>
  <si>
    <t>-638.601520863907 52.5597482387464 -924.679905084609</t>
  </si>
  <si>
    <t>-657.218872318156 111.517611181801 -767.2325743275</t>
  </si>
  <si>
    <t>-561.057852958308 221.994191281654 -754.168793088299</t>
  </si>
  <si>
    <t>-479.147432760873 180.695633945214 -451.231104385137</t>
  </si>
  <si>
    <t>-310.819919364566 59.9053973180903 -294.012731066528</t>
  </si>
  <si>
    <t>-692.815622473838 59.0656269726333 -762.225790208018</t>
  </si>
  <si>
    <t>-566.041639415889 212.304826947531 -245.430971942659</t>
  </si>
  <si>
    <t>-580.208700486237 201.029426775624 209.903934113808</t>
  </si>
  <si>
    <t>-621.213195225916 176.220003624411 677.378918229887</t>
  </si>
  <si>
    <t>-491.388287756492 96.9116240083652 765.691938516611</t>
  </si>
  <si>
    <t>-651.975938656285 41.0223987972777 -212.128899325571</t>
  </si>
  <si>
    <t>-489.945784615321 -100.193169682617 189.694507922885</t>
  </si>
  <si>
    <t>-494.837073930583 -19.338300803407 652.582780673778</t>
  </si>
  <si>
    <t>-488.810550523302 -168.111572050087 746.250985108216</t>
  </si>
  <si>
    <t>9763-20170724T160510.494990300.bin</t>
  </si>
  <si>
    <t>-609.018705894693 127.312200122647 -229.045405211332</t>
  </si>
  <si>
    <t>-648.502785224141 124.992988758219 -343.515662069123</t>
  </si>
  <si>
    <t>-668.002061189052 117.423729216312 -462.901689513045</t>
  </si>
  <si>
    <t>-677.324559238474 108.108654968613 -571.6269988232</t>
  </si>
  <si>
    <t>-678.436875499905 96.2152377791424 -680.49463218147</t>
  </si>
  <si>
    <t>-671.471682659691 76.8607003587247 -831.414738419496</t>
  </si>
  <si>
    <t>-638.269388814077 52.5421398922683 -924.630601069404</t>
  </si>
  <si>
    <t>-656.661542481629 111.58418241442 -767.166436616572</t>
  </si>
  <si>
    <t>-560.012382753054 221.664989989899 -754.084148125632</t>
  </si>
  <si>
    <t>-477.27366589211 179.639015083067 -451.471527690574</t>
  </si>
  <si>
    <t>-306.709566764282 61.4331191020572 -294.700092937326</t>
  </si>
  <si>
    <t>-692.445540715503 59.2648393604391 -762.10820827172</t>
  </si>
  <si>
    <t>-566.025533123126 213.013713098882 -245.327269958156</t>
  </si>
  <si>
    <t>-580.33783659221 201.506146574686 209.997241580076</t>
  </si>
  <si>
    <t>-621.284308538733 176.188964846954 677.42290824684</t>
  </si>
  <si>
    <t>-491.353560842897 97.0150761374161 765.700932190594</t>
  </si>
  <si>
    <t>-651.887251976262 41.6165930941643 -212.085840906237</t>
  </si>
  <si>
    <t>-489.926022324667 -99.7167669050245 189.723973293014</t>
  </si>
  <si>
    <t>-494.877102801483 -19.2935849854289 652.659282995221</t>
  </si>
  <si>
    <t>-488.774852820959 -168.126753116172 746.227256650447</t>
  </si>
  <si>
    <t>9763-20170724T160510.527073200.bin</t>
  </si>
  <si>
    <t>-608.96692448043 127.613745948768 -228.992752314736</t>
  </si>
  <si>
    <t>-648.412186138627 125.28654219204 -343.476266380981</t>
  </si>
  <si>
    <t>-667.849469383088 117.66034655486 -462.868934764148</t>
  </si>
  <si>
    <t>-677.1090948479 108.268289020098 -571.592851130149</t>
  </si>
  <si>
    <t>-678.153802608447 96.2691227973257 -680.449635568989</t>
  </si>
  <si>
    <t>-671.091653311501 76.7350589790108 -831.342111577852</t>
  </si>
  <si>
    <t>-637.966458680885 52.2986461882815 -924.554602415715</t>
  </si>
  <si>
    <t>-656.266240870179 111.497022508006 -767.118008538882</t>
  </si>
  <si>
    <t>-559.387202522958 221.336727600901 -754.029191870872</t>
  </si>
  <si>
    <t>-476.1746149962 178.999082549775 -451.59009911671</t>
  </si>
  <si>
    <t>-305.573703644791 60.5476492271025 -295.0442680502</t>
  </si>
  <si>
    <t>-692.166560582409 59.2596137501951 -762.035723221577</t>
  </si>
  <si>
    <t>-565.97217248853 213.254724612686 -245.268429402124</t>
  </si>
  <si>
    <t>-580.45798075421 201.711250730447 210.049642564678</t>
  </si>
  <si>
    <t>-621.380648484451 176.0800099592 677.449735774823</t>
  </si>
  <si>
    <t>-491.218086415711 97.2572086946338 765.700423651909</t>
  </si>
  <si>
    <t>-651.878774659797 41.9576373408215 -212.015961372518</t>
  </si>
  <si>
    <t>-489.996047842194 -99.4577276694538 189.796581844444</t>
  </si>
  <si>
    <t>-494.853843478471 -19.20029265588 652.778160127156</t>
  </si>
  <si>
    <t>-488.784262892304 -168.121865533335 746.207386435144</t>
  </si>
  <si>
    <t>9763-20170724T160510.593251400.bin</t>
  </si>
  <si>
    <t>-608.624020948973 128.301084378614 -228.862739245447</t>
  </si>
  <si>
    <t>-648.024088214148 125.97111322016 -343.361632518963</t>
  </si>
  <si>
    <t>-667.42494309982 118.299987138975 -462.757287114672</t>
  </si>
  <si>
    <t>-676.65858311987 108.843088949125 -571.477840587587</t>
  </si>
  <si>
    <t>-677.686094199781 96.7514411085253 -680.324537740789</t>
  </si>
  <si>
    <t>-670.61166720023 77.0562246532618 -831.195425860097</t>
  </si>
  <si>
    <t>-637.810150204236 52.2601864893145 -924.427414045884</t>
  </si>
  <si>
    <t>-655.668639843272 111.803414656545 -766.990588930634</t>
  </si>
  <si>
    <t>-558.307891177093 221.233669840425 -753.861446912218</t>
  </si>
  <si>
    <t>-474.458824794908 177.819542565221 -451.750892115539</t>
  </si>
  <si>
    <t>-303.00790745564 59.8656916329153 -295.758970686089</t>
  </si>
  <si>
    <t>-691.815142100244 59.7380587938442 -761.888873293212</t>
  </si>
  <si>
    <t>-565.373756089332 213.885414427335 -245.182188381709</t>
  </si>
  <si>
    <t>-580.272873051759 202.337920040961 210.122505369954</t>
  </si>
  <si>
    <t>-621.273279628567 176.294398841601 677.461803676231</t>
  </si>
  <si>
    <t>-491.513670028041 96.8562189149882 765.754129485348</t>
  </si>
  <si>
    <t>-651.792271385328 42.6786351378182 -211.827472104655</t>
  </si>
  <si>
    <t>-490.440704854861 -98.9787257132741 190.113576078475</t>
  </si>
  <si>
    <t>-494.771440600365 -18.8486513639859 653.176369852569</t>
  </si>
  <si>
    <t>-488.918253151674 -168.091117945022 746.1060319749</t>
  </si>
  <si>
    <t>9763-20170724T160510.626932700.bin</t>
  </si>
  <si>
    <t>-608.461790331369 128.529722778092 -228.786996567909</t>
  </si>
  <si>
    <t>-647.811760581814 126.204561763222 -343.303274788693</t>
  </si>
  <si>
    <t>-667.197932686338 118.526634921507 -462.700864770668</t>
  </si>
  <si>
    <t>-676.433901614145 109.058214886754 -571.420200324007</t>
  </si>
  <si>
    <t>-677.480023917647 96.9491192832852 -680.264721586112</t>
  </si>
  <si>
    <t>-670.448696645897 77.2231563086934 -831.133597466053</t>
  </si>
  <si>
    <t>-637.746056864554 52.20504715574 -924.341070205777</t>
  </si>
  <si>
    <t>-655.431664416827 111.9453911557 -766.932692138375</t>
  </si>
  <si>
    <t>-557.851265264635 221.167919013175 -753.800167293274</t>
  </si>
  <si>
    <t>-474.027645551111 177.508438888044 -451.718044077505</t>
  </si>
  <si>
    <t>-302.744720187784 59.1710560829354 -295.831849080238</t>
  </si>
  <si>
    <t>-691.688090769101 59.957088119477 -761.824984531841</t>
  </si>
  <si>
    <t>-564.954544887109 214.056412827053 -245.151772101313</t>
  </si>
  <si>
    <t>-580.154927300345 202.580795851664 210.14477183524</t>
  </si>
  <si>
    <t>-621.163104954603 176.45203341991 677.433075260238</t>
  </si>
  <si>
    <t>-491.522667957078 96.871055365674 765.771827563595</t>
  </si>
  <si>
    <t>-651.897170208563 42.9593433692003 -211.739817695302</t>
  </si>
  <si>
    <t>-490.934268878721 -99.0356777255179 190.237777274417</t>
  </si>
  <si>
    <t>-494.76526046424 -18.7041775545893 653.294716501948</t>
  </si>
  <si>
    <t>-489.006943509249 -168.08411715701 746.009451213511</t>
  </si>
  <si>
    <t>9763-20170724T160510.690607700.bin</t>
  </si>
  <si>
    <t>-608.07064287606 128.668170333484 -228.720166674155</t>
  </si>
  <si>
    <t>-647.22312307527 126.362999996702 -343.304496648802</t>
  </si>
  <si>
    <t>-666.644022439601 118.701754407101 -462.69761496564</t>
  </si>
  <si>
    <t>-676.010449058602 109.247037013839 -571.406984001132</t>
  </si>
  <si>
    <t>-677.286531496371 97.1508829470793 -680.250505781363</t>
  </si>
  <si>
    <t>-670.678211132997 77.4417934007688 -831.140689567468</t>
  </si>
  <si>
    <t>-638.262701178249 52.0036004295227 -924.334716251497</t>
  </si>
  <si>
    <t>-655.360215670397 112.073738092879 -766.962025111392</t>
  </si>
  <si>
    <t>-557.29592889625 220.882130767659 -753.970331277088</t>
  </si>
  <si>
    <t>-473.683224090567 177.395729477032 -451.804790386422</t>
  </si>
  <si>
    <t>-302.626866414136 59.1998768727869 -295.562862785085</t>
  </si>
  <si>
    <t>-691.844197392511 60.2511263234937 -761.790908821167</t>
  </si>
  <si>
    <t>-564.165143795722 213.962212250668 -245.126473088389</t>
  </si>
  <si>
    <t>-580.003509452752 202.65178909205 210.15253173895</t>
  </si>
  <si>
    <t>-621.260493227204 176.291572197221 677.397525146174</t>
  </si>
  <si>
    <t>-491.621816565937 96.7828790821018 765.803897814802</t>
  </si>
  <si>
    <t>-651.874146950858 43.3500831044357 -211.65962476518</t>
  </si>
  <si>
    <t>-492.256635567612 -99.6615943493027 190.494020817173</t>
  </si>
  <si>
    <t>-494.741061449344 -18.5192290724563 653.403518948302</t>
  </si>
  <si>
    <t>-489.324674861736 -168.098313055705 745.817079005632</t>
  </si>
  <si>
    <t>9763-20170724T160510.728211800.bin</t>
  </si>
  <si>
    <t>-607.793131810449 128.593522322338 -228.753821500535</t>
  </si>
  <si>
    <t>-646.861488178955 126.32155995184 -343.367559693434</t>
  </si>
  <si>
    <t>-666.284213377903 118.682638709692 -462.761770103451</t>
  </si>
  <si>
    <t>-675.689153304796 109.243650201669 -571.469199916022</t>
  </si>
  <si>
    <t>-677.041174697821 97.1587147601001 -680.31303005782</t>
  </si>
  <si>
    <t>-670.577174459877 77.4607438278747 -831.211027030296</t>
  </si>
  <si>
    <t>-638.328692830241 51.8109052488533 -924.404924717586</t>
  </si>
  <si>
    <t>-655.14466470819 112.051175721427 -767.037427648025</t>
  </si>
  <si>
    <t>-556.895361886177 220.693015614124 -754.093339840979</t>
  </si>
  <si>
    <t>-473.564725729107 177.495212716991 -451.808427270431</t>
  </si>
  <si>
    <t>-302.823066940602 59.1856069296084 -295.308608388213</t>
  </si>
  <si>
    <t>-691.729975229401 60.3017324677346 -761.849284238424</t>
  </si>
  <si>
    <t>-563.740914008182 213.757083813477 -245.146674489491</t>
  </si>
  <si>
    <t>-579.820660573582 202.505174799935 210.12528549243</t>
  </si>
  <si>
    <t>-621.275594749404 176.271347951604 677.375889580583</t>
  </si>
  <si>
    <t>-491.632578597989 96.7956232582785 765.80555874481</t>
  </si>
  <si>
    <t>-651.699048826926 43.3830458604955 -211.727821672436</t>
  </si>
  <si>
    <t>-492.720923858037 -100.049330611302 190.529300919369</t>
  </si>
  <si>
    <t>-494.640649229392 -18.5062638548027 653.357327470024</t>
  </si>
  <si>
    <t>-489.53618842643 -168.121587098478 745.730034497178</t>
  </si>
  <si>
    <t>9763-20170724T160510.796344900.bin</t>
  </si>
  <si>
    <t>-607.315475741116 128.316510203283 -228.943539085957</t>
  </si>
  <si>
    <t>-646.383459022915 126.207419295979 -343.560472189629</t>
  </si>
  <si>
    <t>-665.801056878717 118.647962253903 -462.960589274085</t>
  </si>
  <si>
    <t>-675.200811706333 109.245688762081 -571.671540184599</t>
  </si>
  <si>
    <t>-676.548060888539 97.1620089780481 -680.515567732641</t>
  </si>
  <si>
    <t>-670.078732378645 77.4287909261238 -831.408858449949</t>
  </si>
  <si>
    <t>-638.458975933671 51.0658869426522 -924.619094029748</t>
  </si>
  <si>
    <t>-654.587882849179 111.992155919812 -767.234681942835</t>
  </si>
  <si>
    <t>-556.06123033561 220.374058147139 -754.150865632473</t>
  </si>
  <si>
    <t>-473.483970131014 177.464352524575 -451.618304742801</t>
  </si>
  <si>
    <t>-303.189169620297 58.9631047620653 -294.776978854511</t>
  </si>
  <si>
    <t>-691.294478188006 60.3281693284057 -762.051961958596</t>
  </si>
  <si>
    <t>-563.136862370108 213.440035478543 -245.238604186836</t>
  </si>
  <si>
    <t>-579.234158021149 201.956296693345 210.026860548699</t>
  </si>
  <si>
    <t>-621.257380922217 176.289592235438 677.296252912223</t>
  </si>
  <si>
    <t>-491.763747293681 96.6441961373148 765.792118209625</t>
  </si>
  <si>
    <t>-651.342018550728 43.2901780088932 -211.942866799057</t>
  </si>
  <si>
    <t>-493.041602811144 -100.499156561498 190.453986915821</t>
  </si>
  <si>
    <t>-494.490938397918 -18.5698118748787 653.198813476194</t>
  </si>
  <si>
    <t>-489.831338270426 -168.169490443403 745.620248572217</t>
  </si>
  <si>
    <t>9763-20170724T160510.829429600.bin</t>
  </si>
  <si>
    <t>-607.197914574711 128.169039105967 -229.0540710033</t>
  </si>
  <si>
    <t>-646.256223996379 126.107361996552 -343.675248687107</t>
  </si>
  <si>
    <t>-665.610597561951 118.59959004452 -463.088855587077</t>
  </si>
  <si>
    <t>-674.931955772197 109.242205552113 -571.810483854126</t>
  </si>
  <si>
    <t>-676.179996710597 97.1999830363172 -680.660211859075</t>
  </si>
  <si>
    <t>-669.552399028444 77.518729421862 -831.553337134052</t>
  </si>
  <si>
    <t>-638.448663887346 50.56368199139 -924.767984832579</t>
  </si>
  <si>
    <t>-654.116595844363 112.051198129769 -767.349358707409</t>
  </si>
  <si>
    <t>-555.530357784723 220.334841409428 -754.038090971564</t>
  </si>
  <si>
    <t>-473.239638141376 177.422437783047 -451.427885599336</t>
  </si>
  <si>
    <t>-302.894004672263 58.8983849927497 -294.659133016389</t>
  </si>
  <si>
    <t>-690.853323469827 60.4028228518307 -762.226324425505</t>
  </si>
  <si>
    <t>-563.068275924699 213.271953828625 -245.276362037692</t>
  </si>
  <si>
    <t>-579.124037626679 201.702839132849 209.988391620296</t>
  </si>
  <si>
    <t>-621.341332297591 176.16755843814 677.272223475315</t>
  </si>
  <si>
    <t>-491.743549198555 96.7028268781391 765.7780379241</t>
  </si>
  <si>
    <t>-651.18590807846 43.1498931167391 -212.087665706414</t>
  </si>
  <si>
    <t>-492.889379136469 -100.530695607029 190.349615774149</t>
  </si>
  <si>
    <t>-494.473943970666 -18.6082103063891 653.121663639151</t>
  </si>
  <si>
    <t>-489.834272975886 -168.190294361684 745.572528702958</t>
  </si>
  <si>
    <t>9763-20170724T160510.894606000.bin</t>
  </si>
  <si>
    <t>-607.065858507035 128.022208742278 -229.176182445026</t>
  </si>
  <si>
    <t>-646.085406157344 125.977728699321 -343.81086377079</t>
  </si>
  <si>
    <t>-665.267734664802 118.630340138074 -463.262132787002</t>
  </si>
  <si>
    <t>-674.379926968618 109.462854961641 -572.01782048028</t>
  </si>
  <si>
    <t>-675.366779237708 97.6473309933017 -680.895160479242</t>
  </si>
  <si>
    <t>-668.323565123751 78.3129917187327 -831.814209714695</t>
  </si>
  <si>
    <t>-639.159426512993 49.3691297288078 -925.059637867291</t>
  </si>
  <si>
    <t>-653.056631261814 112.692227621654 -767.487694433691</t>
  </si>
  <si>
    <t>-554.560568830879 220.986322837772 -753.545764098065</t>
  </si>
  <si>
    <t>-472.982988587803 177.550872952754 -450.816987227284</t>
  </si>
  <si>
    <t>-301.652637054965 59.5658982245814 -294.715994781783</t>
  </si>
  <si>
    <t>-689.82323051608 61.043535714098 -762.586711429632</t>
  </si>
  <si>
    <t>-563.23599230441 213.257954054646 -245.282866686839</t>
  </si>
  <si>
    <t>-579.222508446541 201.635653280743 209.983026100596</t>
  </si>
  <si>
    <t>-621.406576971721 176.137241938199 677.275640467359</t>
  </si>
  <si>
    <t>-491.79347527173 96.6954350987066 765.779630734462</t>
  </si>
  <si>
    <t>-650.775316449725 42.8221950761078 -212.370447835609</t>
  </si>
  <si>
    <t>-492.252573575372 -100.371650388436 190.151267221255</t>
  </si>
  <si>
    <t>-494.503102915354 -18.6671159183863 652.996884136505</t>
  </si>
  <si>
    <t>-489.608382582868 -168.229492364553 745.466778430162</t>
  </si>
  <si>
    <t>9763-20170724T160510.927700900.bin</t>
  </si>
  <si>
    <t>-607.002698020778 127.9978610079 -229.248721209821</t>
  </si>
  <si>
    <t>-645.966439653475 125.946019904558 -343.902217108111</t>
  </si>
  <si>
    <t>-664.991372669761 118.67074542229 -463.383105528757</t>
  </si>
  <si>
    <t>-673.920832377235 109.591363847029 -572.161257807269</t>
  </si>
  <si>
    <t>-674.685970785065 97.8812262258677 -681.051727917976</t>
  </si>
  <si>
    <t>-667.296252318182 78.7059585490031 -831.974550047116</t>
  </si>
  <si>
    <t>-639.521283550896 48.4608858497002 -925.231063244971</t>
  </si>
  <si>
    <t>-652.171099912423 113.013129119649 -767.576076557989</t>
  </si>
  <si>
    <t>-553.774255855428 221.362076713242 -753.305183753835</t>
  </si>
  <si>
    <t>-472.777551866239 177.786422872404 -450.440768997508</t>
  </si>
  <si>
    <t>-300.821833633704 60.1271684230944 -294.782185738873</t>
  </si>
  <si>
    <t>-688.960880598005 61.3676714163298 -762.815726092214</t>
  </si>
  <si>
    <t>-563.372031130153 213.309204561438 -245.271300334524</t>
  </si>
  <si>
    <t>-579.392343876437 201.66697849108 209.993022009762</t>
  </si>
  <si>
    <t>-621.478352205277 176.080067343768 677.288066365744</t>
  </si>
  <si>
    <t>-491.750689385588 96.8043789400799 765.773151824397</t>
  </si>
  <si>
    <t>-650.491873366535 42.7069528955276 -212.546148722954</t>
  </si>
  <si>
    <t>-492.014634893051 -100.199472300413 190.095558767272</t>
  </si>
  <si>
    <t>-494.530530262133 -18.6853858423092 652.959160008983</t>
  </si>
  <si>
    <t>-489.463325047656 -168.246789831495 745.421319704419</t>
  </si>
  <si>
    <t>9763-20170724T160510.994375900.bin</t>
  </si>
  <si>
    <t>-606.663996955088 128.067524172569 -229.447055899002</t>
  </si>
  <si>
    <t>-645.58065215536 126.122809995069 -344.118435517768</t>
  </si>
  <si>
    <t>-664.273581865644 118.89258814974 -463.654299472091</t>
  </si>
  <si>
    <t>-672.791031592402 109.809304930114 -572.465324688962</t>
  </si>
  <si>
    <t>-673.038031822909 98.0391337860276 -681.3516634841</t>
  </si>
  <si>
    <t>-664.824215354559 78.7127005416439 -832.212598369885</t>
  </si>
  <si>
    <t>-640.155168153127 45.7256944865183 -925.412772957483</t>
  </si>
  <si>
    <t>-650.007899448993 113.054249973509 -767.760676139214</t>
  </si>
  <si>
    <t>-551.562000846387 221.322818891765 -753.081083587348</t>
  </si>
  <si>
    <t>-472.681818166718 178.238840487004 -449.588405540809</t>
  </si>
  <si>
    <t>-299.672446116892 60.8121678900698 -294.924963890538</t>
  </si>
  <si>
    <t>-686.909203764134 61.4739014155546 -763.161863153413</t>
  </si>
  <si>
    <t>-563.395069287934 213.53416204562 -245.265357271836</t>
  </si>
  <si>
    <t>-579.291281377734 201.581047544799 209.995131653144</t>
  </si>
  <si>
    <t>-621.56958750737 176.029967527098 677.29841082292</t>
  </si>
  <si>
    <t>-491.863383376661 96.7034719345606 765.769429139924</t>
  </si>
  <si>
    <t>-649.803279003257 42.5595125457494 -212.943967081949</t>
  </si>
  <si>
    <t>-491.590252942462 -99.8336149732042 189.983461447633</t>
  </si>
  <si>
    <t>-494.543984241287 -18.7484663936525 652.879537772968</t>
  </si>
  <si>
    <t>-489.319357785993 -168.29072705104 745.363857842784</t>
  </si>
  <si>
    <t>9763-20170724T160511.023568700.bin</t>
  </si>
  <si>
    <t>-606.452733706452 128.108207864762 -229.532160907046</t>
  </si>
  <si>
    <t>-645.38454558755 126.276957712509 -344.200282668837</t>
  </si>
  <si>
    <t>-663.981260480875 118.812966316397 -463.736978487017</t>
  </si>
  <si>
    <t>-672.370391741175 109.379772626986 -572.527939650822</t>
  </si>
  <si>
    <t>-672.451671879996 97.1232231498534 -681.361033621247</t>
  </si>
  <si>
    <t>-663.972842044155 76.981287349184 -832.100502203297</t>
  </si>
  <si>
    <t>-640.689579568004 42.5452310093353 -925.13294106731</t>
  </si>
  <si>
    <t>-649.291858740836 111.686649489405 -767.812667723947</t>
  </si>
  <si>
    <t>-550.504932011086 219.736588270637 -753.151750230888</t>
  </si>
  <si>
    <t>-472.925579446918 177.29676880025 -449.233109798088</t>
  </si>
  <si>
    <t>-299.42384412774 60.2488137219957 -294.834493312056</t>
  </si>
  <si>
    <t>-686.156937591951 60.1004360994184 -762.993218568685</t>
  </si>
  <si>
    <t>-563.258873306105 213.564928797198 -245.262192519017</t>
  </si>
  <si>
    <t>-579.110296903652 201.419759210233 209.994761000219</t>
  </si>
  <si>
    <t>-621.599867424591 175.98658337368 677.279367731713</t>
  </si>
  <si>
    <t>-491.714240842223 96.9565467098557 765.752477510168</t>
  </si>
  <si>
    <t>-649.568822650656 42.5674724793714 -213.11461046665</t>
  </si>
  <si>
    <t>-491.426033446562 -99.7237541813176 189.876318890686</t>
  </si>
  <si>
    <t>-494.524876227324 -18.8059407781909 652.797281615912</t>
  </si>
  <si>
    <t>-489.355269922718 -168.317035307096 745.334984383177</t>
  </si>
  <si>
    <t>9763-20170724T160511.093758600.bin</t>
  </si>
  <si>
    <t>-605.875108951306 128.533480598947 -229.639883795228</t>
  </si>
  <si>
    <t>-644.938062890719 126.954596434055 -344.267125986222</t>
  </si>
  <si>
    <t>-663.760507734698 119.097369019605 -463.743204532581</t>
  </si>
  <si>
    <t>-672.399130643426 109.057612447889 -572.460423845353</t>
  </si>
  <si>
    <t>-672.779535699065 95.9517373214221 -681.193788106775</t>
  </si>
  <si>
    <t>-664.77262278108 74.3841294966269 -831.761736682281</t>
  </si>
  <si>
    <t>-643.845092716058 37.745967377655 -924.512340034043</t>
  </si>
  <si>
    <t>-649.860020603769 109.674412121331 -767.84681248492</t>
  </si>
  <si>
    <t>-550.199324580858 216.896892597411 -754.032678788099</t>
  </si>
  <si>
    <t>-475.03526797226 176.314802955388 -449.254668910383</t>
  </si>
  <si>
    <t>-301.854999276705 59.3927339562761 -294.400343155444</t>
  </si>
  <si>
    <t>-686.770809952373 58.1798889876291 -762.433470933616</t>
  </si>
  <si>
    <t>-562.425916924334 213.972276595125 -245.28816895399</t>
  </si>
  <si>
    <t>-578.356352053637 201.412670282127 209.954843974404</t>
  </si>
  <si>
    <t>-621.51116916107 176.110021120209 677.210537890675</t>
  </si>
  <si>
    <t>-491.940940821771 96.6411431560234 765.752987338373</t>
  </si>
  <si>
    <t>-649.234101102504 43.0632481344242 -213.267066205043</t>
  </si>
  <si>
    <t>-491.389584086788 -99.3790899014184 189.787457853271</t>
  </si>
  <si>
    <t>-494.497419751342 -18.8847793330201 652.743631863592</t>
  </si>
  <si>
    <t>-489.536409345991 -168.358804828153 745.352631110564</t>
  </si>
  <si>
    <t>9763-20170724T160511.125846100.bin</t>
  </si>
  <si>
    <t>-605.579203247752 128.844559662549 -229.637230074893</t>
  </si>
  <si>
    <t>-644.651199836261 127.360733209229 -344.262750336417</t>
  </si>
  <si>
    <t>-663.723315957887 119.334979794657 -463.687992317608</t>
  </si>
  <si>
    <t>-672.690281169055 109.041797410294 -572.354807302721</t>
  </si>
  <si>
    <t>-673.503162533098 95.5853348650307 -681.04311945483</t>
  </si>
  <si>
    <t>-666.206295608543 73.4327927128047 -831.562203233295</t>
  </si>
  <si>
    <t>-646.22055829242 36.0085502569559 -924.206581803425</t>
  </si>
  <si>
    <t>-650.923706762052 108.922477082718 -767.845414514316</t>
  </si>
  <si>
    <t>-550.673948356307 215.707196559067 -754.746407054852</t>
  </si>
  <si>
    <t>-475.79216768271 176.433145022927 -449.727776360461</t>
  </si>
  <si>
    <t>-303.248833392559 59.3998954007436 -294.247593434723</t>
  </si>
  <si>
    <t>-687.946237087776 57.5466363856308 -762.078817475192</t>
  </si>
  <si>
    <t>-561.929021909245 214.166243057883 -245.290473498959</t>
  </si>
  <si>
    <t>-578.010951637582 201.383930888863 209.940971705982</t>
  </si>
  <si>
    <t>-621.584516406035 175.984974424351 677.179774050856</t>
  </si>
  <si>
    <t>-491.922754687211 96.6859364214613 765.740479698211</t>
  </si>
  <si>
    <t>-649.147691090635 43.4609815000319 -213.271181362238</t>
  </si>
  <si>
    <t>-491.519734242713 -99.212439675435 189.786287876999</t>
  </si>
  <si>
    <t>-494.455788376629 -18.8951729291821 652.765080223121</t>
  </si>
  <si>
    <t>-489.723977478933 -168.371645687543 745.382022012765</t>
  </si>
  <si>
    <t>9763-20170724T160511.193530000.bin</t>
  </si>
  <si>
    <t>-604.943399110778 129.80502739645 -229.528701161084</t>
  </si>
  <si>
    <t>-644.108356471294 128.450817064609 -344.123958612036</t>
  </si>
  <si>
    <t>-663.674189916181 120.215530319589 -463.455113375059</t>
  </si>
  <si>
    <t>-673.267232492092 109.574813697563 -572.035119892357</t>
  </si>
  <si>
    <t>-674.894562578018 95.6022869592045 -680.649019465557</t>
  </si>
  <si>
    <t>-668.933945492262 72.5467055466256 -831.091302225528</t>
  </si>
  <si>
    <t>-650.273225012291 34.0878846151563 -923.588250580469</t>
  </si>
  <si>
    <t>-652.669418080707 108.119437036572 -767.664622504402</t>
  </si>
  <si>
    <t>-551.469261334339 214.162850006149 -756.344045877204</t>
  </si>
  <si>
    <t>-476.139933885678 177.340218629455 -451.129778159</t>
  </si>
  <si>
    <t>-305.196102697563 59.9853163318198 -294.132751855623</t>
  </si>
  <si>
    <t>-690.473288306516 57.3766873183909 -761.38584681414</t>
  </si>
  <si>
    <t>-560.801239042763 215.041199338985 -245.291616235198</t>
  </si>
  <si>
    <t>-577.143875679665 201.694266096332 209.914277531841</t>
  </si>
  <si>
    <t>-621.442754405386 176.186125212987 677.088987891832</t>
  </si>
  <si>
    <t>-492.1074060367 96.4431439573609 765.72836642406</t>
  </si>
  <si>
    <t>-648.947155438744 44.6005466916833 -213.111067836242</t>
  </si>
  <si>
    <t>-491.97024628674 -98.7184099276012 189.971591821192</t>
  </si>
  <si>
    <t>-494.397852507555 -18.8494550664682 652.970655691124</t>
  </si>
  <si>
    <t>-490.092416645058 -168.38468738933 745.513680655241</t>
  </si>
  <si>
    <t>9763-20170724T160511.229129200.bin</t>
  </si>
  <si>
    <t>-604.752165237857 130.373700732617 -229.41755462797</t>
  </si>
  <si>
    <t>-644.018773957994 129.074260552503 -343.978707906212</t>
  </si>
  <si>
    <t>-663.692080258452 120.66894137335 -463.280208188154</t>
  </si>
  <si>
    <t>-673.392130250583 109.772268424023 -571.82530218605</t>
  </si>
  <si>
    <t>-675.141614172693 95.4363697756489 -680.389897068424</t>
  </si>
  <si>
    <t>-669.372284258629 71.759359328234 -830.743247870533</t>
  </si>
  <si>
    <t>-650.967144821935 32.9132817994296 -923.129442846293</t>
  </si>
  <si>
    <t>-652.848354579665 107.463149681483 -767.457244141624</t>
  </si>
  <si>
    <t>-551.073496859701 213.091099967219 -757.022034634033</t>
  </si>
  <si>
    <t>-475.011442271277 177.667465339762 -451.823904141532</t>
  </si>
  <si>
    <t>-304.810403950991 60.1050398165792 -294.176398238665</t>
  </si>
  <si>
    <t>-691.001746466997 57.0082123401201 -760.975836680399</t>
  </si>
  <si>
    <t>-560.461292455544 215.504431774195 -245.265808692518</t>
  </si>
  <si>
    <t>-576.690120055305 201.72805147214 209.931319409943</t>
  </si>
  <si>
    <t>-621.530972160365 176.023645103769 677.054777886659</t>
  </si>
  <si>
    <t>-492.003953669125 96.6176665955172 765.716829442692</t>
  </si>
  <si>
    <t>-648.907603135575 45.2726368678073 -212.90654847698</t>
  </si>
  <si>
    <t>-492.039783724269 -98.6011375793978 190.020886486567</t>
  </si>
  <si>
    <t>-494.331027378328 -18.8260547922207 653.05590310933</t>
  </si>
  <si>
    <t>-490.313275961426 -168.390883448639 745.56387742191</t>
  </si>
  <si>
    <t>9763-20170724T160511.292799900.bin</t>
  </si>
  <si>
    <t>-604.457164723492 131.658808707999 -229.222020277856</t>
  </si>
  <si>
    <t>-644.063130377566 130.430260237482 -343.666931870176</t>
  </si>
  <si>
    <t>-664.229397842645 121.849358243781 -462.873733989091</t>
  </si>
  <si>
    <t>-674.442948446718 110.687120960354 -571.344796441035</t>
  </si>
  <si>
    <t>-676.777338946122 95.9755629394649 -679.84801546247</t>
  </si>
  <si>
    <t>-671.898648384992 71.659190328101 -830.13081155109</t>
  </si>
  <si>
    <t>-653.501486799755 32.670387799039 -922.458506369615</t>
  </si>
  <si>
    <t>-654.810829501544 107.491223481182 -767.067408393188</t>
  </si>
  <si>
    <t>-552.416700582185 212.643264055518 -758.042415831714</t>
  </si>
  <si>
    <t>-474.853152314551 179.296098760354 -452.988250954464</t>
  </si>
  <si>
    <t>-305.612913484003 61.6351779797392 -294.382666642919</t>
  </si>
  <si>
    <t>-693.30379203589 57.3456575118005 -760.203292880356</t>
  </si>
  <si>
    <t>-559.947016802673 216.721820767657 -245.211232279548</t>
  </si>
  <si>
    <t>-575.801426825282 202.133574998235 209.973877363969</t>
  </si>
  <si>
    <t>-621.366152780352 176.248073750185 676.988405642646</t>
  </si>
  <si>
    <t>-492.131990249176 96.4510166354369 765.726633553614</t>
  </si>
  <si>
    <t>-648.833165421256 46.6563435003977 -212.501182866619</t>
  </si>
  <si>
    <t>-491.769962831572 -97.9781345839501 190.077683140677</t>
  </si>
  <si>
    <t>-494.221516284478 -18.8204838170282 653.162102107907</t>
  </si>
  <si>
    <t>-490.688038747629 -168.410350760799 745.649362869114</t>
  </si>
  <si>
    <t>9763-20170724T160511.325423700.bin</t>
  </si>
  <si>
    <t>-604.508889737825 132.207947470048 -229.211442685956</t>
  </si>
  <si>
    <t>-644.245938885814 131.03354116923 -343.611615122438</t>
  </si>
  <si>
    <t>-664.653931477596 122.428466473064 -462.775414295099</t>
  </si>
  <si>
    <t>-675.13139374217 111.215028040314 -571.215967376408</t>
  </si>
  <si>
    <t>-677.774622789334 96.4246441709743 -679.701461073111</t>
  </si>
  <si>
    <t>-673.371495747512 71.9711182623735 -829.97663187611</t>
  </si>
  <si>
    <t>-654.547305834511 33.2083439823275 -922.313525304436</t>
  </si>
  <si>
    <t>-656.051393040321 107.83613568564 -766.995459204921</t>
  </si>
  <si>
    <t>-553.464808524572 212.840224720198 -758.511421157175</t>
  </si>
  <si>
    <t>-475.353770923406 180.20641088281 -453.519825983947</t>
  </si>
  <si>
    <t>-306.415826183431 62.6428073853749 -294.52032857841</t>
  </si>
  <si>
    <t>-694.588032487737 57.7460286923854 -759.973679874573</t>
  </si>
  <si>
    <t>-559.882861097564 217.216433388285 -245.213330508259</t>
  </si>
  <si>
    <t>-575.690705828865 202.294239562335 209.962665249011</t>
  </si>
  <si>
    <t>-621.465102509181 176.091841351971 676.965819148225</t>
  </si>
  <si>
    <t>-492.10881539022 96.5025488099277 765.712668362182</t>
  </si>
  <si>
    <t>-649.080071522925 47.2618248086517 -212.453576780012</t>
  </si>
  <si>
    <t>-491.866865247616 -97.4062607419846 190.054645970955</t>
  </si>
  <si>
    <t>-494.326808036843 -18.8800825176945 653.162242043608</t>
  </si>
  <si>
    <t>-490.836956089006 -168.405011260519 745.756106058033</t>
  </si>
  <si>
    <t>9763-20170724T160511.391621600.bin</t>
  </si>
  <si>
    <t>-605.166934041148 133.187565206739 -229.398384431555</t>
  </si>
  <si>
    <t>-645.090101734519 132.06912405353 -343.734222885956</t>
  </si>
  <si>
    <t>-665.845974359724 123.481817017547 -462.839382450735</t>
  </si>
  <si>
    <t>-676.701519497793 112.275972530132 -571.2433288006</t>
  </si>
  <si>
    <t>-679.783522485968 97.4891935005887 -679.717732809743</t>
  </si>
  <si>
    <t>-676.050550513472 73.0398023127948 -830.011740171045</t>
  </si>
  <si>
    <t>-655.533768832408 35.5714478827333 -922.522093239856</t>
  </si>
  <si>
    <t>-658.456755651401 108.908214251916 -767.108390936438</t>
  </si>
  <si>
    <t>-555.449563621816 213.551698922908 -759.189592155322</t>
  </si>
  <si>
    <t>-476.366729249206 181.925868383723 -454.342210058482</t>
  </si>
  <si>
    <t>-308.66575705227 63.7049172855031 -294.522864746768</t>
  </si>
  <si>
    <t>-696.947813577639 58.8075636354015 -759.914327517462</t>
  </si>
  <si>
    <t>-560.15669247635 218.292278157966 -245.379697825143</t>
  </si>
  <si>
    <t>-575.859038510612 202.855929048498 209.782620787102</t>
  </si>
  <si>
    <t>-621.378594049501 176.270385558591 676.851315339146</t>
  </si>
  <si>
    <t>-492.224047787956 96.3871586080274 765.627902655096</t>
  </si>
  <si>
    <t>-650.131115514193 48.1158255910086 -212.734476776009</t>
  </si>
  <si>
    <t>-492.915105623177 -96.2998420498811 189.863153779081</t>
  </si>
  <si>
    <t>-494.950014291229 -19.3023372501657 653.070159981631</t>
  </si>
  <si>
    <t>-491.207034896455 -168.469888484079 746.228770125741</t>
  </si>
  <si>
    <t>9763-20170724T160511.430299500.bin</t>
  </si>
  <si>
    <t>-605.885192188515 133.491287140401 -229.538437110233</t>
  </si>
  <si>
    <t>-645.899461874266 132.400038189693 -343.842676941038</t>
  </si>
  <si>
    <t>-666.785912759881 123.85571846072 -462.928073098603</t>
  </si>
  <si>
    <t>-677.772538591075 112.699974371171 -571.324019341351</t>
  </si>
  <si>
    <t>-680.996775182874 97.9767206485849 -679.802945924058</t>
  </si>
  <si>
    <t>-677.470685458161 73.632001718036 -830.118915080207</t>
  </si>
  <si>
    <t>-655.847148475915 37.2694784374148 -922.818339670973</t>
  </si>
  <si>
    <t>-659.843422459525 109.496268764097 -767.222620996051</t>
  </si>
  <si>
    <t>-556.865080633309 214.179036358772 -759.439516367732</t>
  </si>
  <si>
    <t>-476.995237471706 182.621773069239 -454.790284729328</t>
  </si>
  <si>
    <t>-308.444178036314 65.8479911188956 -294.80138433916</t>
  </si>
  <si>
    <t>-698.218304567269 59.311321614116 -759.995004466527</t>
  </si>
  <si>
    <t>-560.735032315576 218.694867900942 -245.497974061826</t>
  </si>
  <si>
    <t>-576.181413438248 202.974527305031 209.663555172262</t>
  </si>
  <si>
    <t>-621.455188695958 176.18790890352 676.785896106784</t>
  </si>
  <si>
    <t>-492.214567353859 96.4370086409267 765.556203359914</t>
  </si>
  <si>
    <t>-650.94792088843 48.3192047577113 -212.959050439622</t>
  </si>
  <si>
    <t>-493.828973205722 -96.0250000999904 189.702172992995</t>
  </si>
  <si>
    <t>-495.438848195671 -19.7154020657438 652.891877254558</t>
  </si>
  <si>
    <t>-491.381177301506 -168.538413658602 746.586981689143</t>
  </si>
  <si>
    <t>9763-20170724T160511.496493900.bin</t>
  </si>
  <si>
    <t>-607.558967347383 133.838335354008 -229.838594671563</t>
  </si>
  <si>
    <t>-647.650206064217 132.684395730877 -344.115277994669</t>
  </si>
  <si>
    <t>-668.502839197229 124.183460485988 -463.209634903043</t>
  </si>
  <si>
    <t>-679.405216701918 113.120816661143 -571.62362679568</t>
  </si>
  <si>
    <t>-682.486538088476 98.5501771523068 -680.127400752517</t>
  </si>
  <si>
    <t>-678.696245600029 74.4844598400452 -830.481894186353</t>
  </si>
  <si>
    <t>-654.562275924911 40.9033622731235 -923.610015145934</t>
  </si>
  <si>
    <t>-661.378102925634 110.378443159286 -767.516632793051</t>
  </si>
  <si>
    <t>-559.005529133477 215.648981787378 -759.661342995743</t>
  </si>
  <si>
    <t>-477.123794018122 183.276010138483 -455.632473714773</t>
  </si>
  <si>
    <t>-303.696180678805 71.6688669815837 -297.174986229812</t>
  </si>
  <si>
    <t>-699.368595118269 59.8871044653602 -760.392713033545</t>
  </si>
  <si>
    <t>-562.289832830988 219.340041548089 -245.715242936929</t>
  </si>
  <si>
    <t>-577.346444905325 203.392504452559 209.451408733465</t>
  </si>
  <si>
    <t>-621.488181400639 176.273817366219 676.674270881208</t>
  </si>
  <si>
    <t>-492.271569060071 96.4564715323993 765.419798480141</t>
  </si>
  <si>
    <t>-652.696213721167 48.3977694356113 -213.287131875047</t>
  </si>
  <si>
    <t>-495.57612699577 -96.029897170446 189.343711234881</t>
  </si>
  <si>
    <t>-496.480798182981 -20.6378192643219 652.64771817112</t>
  </si>
  <si>
    <t>-491.396046092565 -168.67456726118 747.530795252377</t>
  </si>
  <si>
    <t>9763-20170724T160511.528578600.bin</t>
  </si>
  <si>
    <t>-608.36883658972 133.833968971614 -229.909950156118</t>
  </si>
  <si>
    <t>-648.447914962298 132.583391942472 -344.190014139931</t>
  </si>
  <si>
    <t>-669.184280263243 124.099578720292 -463.305834901982</t>
  </si>
  <si>
    <t>-679.934054175178 113.104061570436 -571.741948316333</t>
  </si>
  <si>
    <t>-682.812606323036 98.6546535221094 -680.267496451622</t>
  </si>
  <si>
    <t>-678.685319881668 74.8166255395392 -830.64934254334</t>
  </si>
  <si>
    <t>-653.314287434154 42.706570140271 -923.967297057033</t>
  </si>
  <si>
    <t>-661.646898912785 110.716143163822 -767.610907882268</t>
  </si>
  <si>
    <t>-559.765065026297 216.44435948393 -759.539003020443</t>
  </si>
  <si>
    <t>-477.178925399231 183.267763937982 -455.787348768958</t>
  </si>
  <si>
    <t>-302.778239105142 72.1982657164197 -298.021737939632</t>
  </si>
  <si>
    <t>-699.376090766773 60.0123311071559 -760.608958660267</t>
  </si>
  <si>
    <t>-563.206954098263 219.586989855111 -245.779028151443</t>
  </si>
  <si>
    <t>-578.038232937498 203.644049821867 209.395154599952</t>
  </si>
  <si>
    <t>-621.536230030806 176.296725765045 676.664470633806</t>
  </si>
  <si>
    <t>-492.310399443199 96.4516269306464 765.371600254499</t>
  </si>
  <si>
    <t>-653.320161977621 48.1062857869167 -213.389741835113</t>
  </si>
  <si>
    <t>-496.067074080628 -96.059790606422 189.282850150687</t>
  </si>
  <si>
    <t>-496.763599123319 -20.9244808244587 652.779127541891</t>
  </si>
  <si>
    <t>-491.420580706082 -168.693611601858 748.064216414136</t>
  </si>
  <si>
    <t>9763-20170724T160511.593263000.bin</t>
  </si>
  <si>
    <t>-609.74386031405 133.712500406409 -229.858693741047</t>
  </si>
  <si>
    <t>-649.744425212131 132.234336899069 -344.163558234166</t>
  </si>
  <si>
    <t>-670.044726011361 123.760048170059 -463.355083995996</t>
  </si>
  <si>
    <t>-680.244497792387 112.877820433735 -571.855822717038</t>
  </si>
  <si>
    <t>-682.41281565488 98.6501937418052 -680.426997196879</t>
  </si>
  <si>
    <t>-677.128167762865 75.2371518124532 -830.839499322262</t>
  </si>
  <si>
    <t>-649.470983711658 45.7330079782951 -924.367908964899</t>
  </si>
  <si>
    <t>-660.889895397208 111.183263146482 -767.616751427096</t>
  </si>
  <si>
    <t>-560.333891224359 218.111024928311 -758.726660480751</t>
  </si>
  <si>
    <t>-476.180875039644 183.417613058284 -455.575165531788</t>
  </si>
  <si>
    <t>-298.628271947663 75.0225708011653 -299.473757279782</t>
  </si>
  <si>
    <t>-698.043012124235 60.0101484028755 -760.956540823243</t>
  </si>
  <si>
    <t>-565.069624472753 219.831444022901 -245.725163287059</t>
  </si>
  <si>
    <t>-579.584385398024 204.07340837722 209.465640355248</t>
  </si>
  <si>
    <t>-621.779227524155 176.150285019222 676.756114626279</t>
  </si>
  <si>
    <t>-492.240199291555 96.6831012369753 765.345744902683</t>
  </si>
  <si>
    <t>-654.219652028691 47.6842512923674 -213.216602793711</t>
  </si>
  <si>
    <t>-496.643761286079 -95.9972350677276 189.503072824583</t>
  </si>
  <si>
    <t>-497.156225070733 -21.1782679049056 653.23145676232</t>
  </si>
  <si>
    <t>-491.235691408754 -168.690556540085 748.879662726103</t>
  </si>
  <si>
    <t>9763-20170724T160511.626884800.bin</t>
  </si>
  <si>
    <t>-610.26752930711 133.584225970249 -229.728461664436</t>
  </si>
  <si>
    <t>-650.08787763046 131.889209346168 -344.093159736409</t>
  </si>
  <si>
    <t>-670.024383030155 123.34146472301 -463.341055581908</t>
  </si>
  <si>
    <t>-679.818184430211 112.451909286992 -571.878282362241</t>
  </si>
  <si>
    <t>-681.503298593337 98.2755088535282 -680.464781556345</t>
  </si>
  <si>
    <t>-675.466656976432 74.9945789231131 -830.869520098263</t>
  </si>
  <si>
    <t>-646.770895623277 46.5308754627504 -924.407448296084</t>
  </si>
  <si>
    <t>-659.691278649625 110.988114038032 -767.556613844405</t>
  </si>
  <si>
    <t>-559.779938966251 218.468927053823 -758.116846295333</t>
  </si>
  <si>
    <t>-475.229925948462 183.249097349741 -455.13669291461</t>
  </si>
  <si>
    <t>-297.298862556177 74.9351541285689 -299.410312323018</t>
  </si>
  <si>
    <t>-696.584173136665 59.603121052385 -761.083473192541</t>
  </si>
  <si>
    <t>-565.925198137239 219.843998462417 -245.634972049304</t>
  </si>
  <si>
    <t>-580.415093255768 204.371601223098 209.566377920847</t>
  </si>
  <si>
    <t>-621.915476394234 176.062258605034 676.836356022809</t>
  </si>
  <si>
    <t>-492.247580060814 96.7396021933137 765.366932053512</t>
  </si>
  <si>
    <t>-654.395399372926 47.3603814452315 -213.111408223854</t>
  </si>
  <si>
    <t>-496.749991362979 -95.9731014668982 189.705106539089</t>
  </si>
  <si>
    <t>-497.249370168114 -21.2162291444206 653.435480758588</t>
  </si>
  <si>
    <t>-491.038368371679 -168.662698144015 749.166616823296</t>
  </si>
  <si>
    <t>9763-20170724T160511.692075600.bin</t>
  </si>
  <si>
    <t>-610.805753110006 132.900366643345 -229.60095786317</t>
  </si>
  <si>
    <t>-650.374996720464 130.878884283282 -344.047466515741</t>
  </si>
  <si>
    <t>-669.581721358378 122.17150117138 -463.403469842748</t>
  </si>
  <si>
    <t>-678.517221626694 111.203438891265 -572.006891788361</t>
  </si>
  <si>
    <t>-679.146990298279 97.0118964568283 -680.602651321657</t>
  </si>
  <si>
    <t>-671.440821565081 73.7750560060683 -830.937780296781</t>
  </si>
  <si>
    <t>-640.940561071361 46.839333353611 -924.357237094047</t>
  </si>
  <si>
    <t>-656.659168785134 109.950458441989 -767.489148251604</t>
  </si>
  <si>
    <t>-557.965149155898 218.47217308707 -757.034890427275</t>
  </si>
  <si>
    <t>-473.263253087114 182.151342411926 -454.227067853393</t>
  </si>
  <si>
    <t>-294.235979694179 75.0292613547476 -298.93328702522</t>
  </si>
  <si>
    <t>-693.042082477574 58.1626699162059 -761.349362891256</t>
  </si>
  <si>
    <t>-567.327912348083 219.630987745058 -245.47470443047</t>
  </si>
  <si>
    <t>-581.654517441848 204.573728165549 209.745749166812</t>
  </si>
  <si>
    <t>-622.018064682822 176.134226085043 677.022203924941</t>
  </si>
  <si>
    <t>-492.255295011865 96.853755103808 765.451516711402</t>
  </si>
  <si>
    <t>-654.10926445869 46.2224222001141 -213.006083590937</t>
  </si>
  <si>
    <t>-496.404289478772 -96.2754508328981 190.083506897289</t>
  </si>
  <si>
    <t>-497.216732960067 -21.181854354023 653.875598420151</t>
  </si>
  <si>
    <t>-490.725073399557 -168.641548145357 749.568041519969</t>
  </si>
  <si>
    <t>9763-20170724T160511.724655700.bin</t>
  </si>
  <si>
    <t>-610.967489561763 132.371705344713 -229.474148095244</t>
  </si>
  <si>
    <t>-650.462089783018 130.195867224666 -343.943566496528</t>
  </si>
  <si>
    <t>-669.373579624867 121.448608154298 -463.343856410425</t>
  </si>
  <si>
    <t>-677.949614090927 110.490142367866 -571.977178615984</t>
  </si>
  <si>
    <t>-678.127543449004 96.3525033146 -680.581734116481</t>
  </si>
  <si>
    <t>-669.697784990461 73.2361922648001 -830.89670575976</t>
  </si>
  <si>
    <t>-638.50160026986 46.8631014678131 -924.246817720576</t>
  </si>
  <si>
    <t>-655.357124035562 109.452957140283 -767.370139912914</t>
  </si>
  <si>
    <t>-557.322187912312 218.522752956041 -756.389650007784</t>
  </si>
  <si>
    <t>-472.682466231475 181.632560482037 -453.633443891134</t>
  </si>
  <si>
    <t>-292.819733815128 75.4467324308848 -298.662343340457</t>
  </si>
  <si>
    <t>-691.498316147695 57.475857624737 -761.403644672263</t>
  </si>
  <si>
    <t>-567.962591415986 219.179804871813 -245.35268709885</t>
  </si>
  <si>
    <t>-582.107434207969 204.327168476231 209.880184205155</t>
  </si>
  <si>
    <t>-622.261429226238 175.844233036225 677.13002619406</t>
  </si>
  <si>
    <t>-492.109018276874 97.1392034804512 765.50076622965</t>
  </si>
  <si>
    <t>-653.821983442172 45.5849106648327 -212.83769135384</t>
  </si>
  <si>
    <t>-495.936399872944 -96.4857818868129 190.331988373106</t>
  </si>
  <si>
    <t>-497.0486649369 -21.0235708398557 654.137699463063</t>
  </si>
  <si>
    <t>-490.412316855858 -168.610286716101 749.624026778238</t>
  </si>
  <si>
    <t>9763-20170724T160511.793865700.bin</t>
  </si>
  <si>
    <t>-610.731637820031 131.047636505792 -229.145590450183</t>
  </si>
  <si>
    <t>-650.097274006195 128.579027012323 -343.653543029952</t>
  </si>
  <si>
    <t>-668.458601672087 119.802210277902 -463.137335782692</t>
  </si>
  <si>
    <t>-676.35997092404 108.922249848642 -571.829870951906</t>
  </si>
  <si>
    <t>-675.685165297673 94.9666198137047 -680.455959527515</t>
  </si>
  <si>
    <t>-665.885633586568 72.2098573589883 -830.742655912354</t>
  </si>
  <si>
    <t>-633.617221184694 46.6392112688748 -923.951401409485</t>
  </si>
  <si>
    <t>-652.363129014103 108.434408865017 -767.041440895179</t>
  </si>
  <si>
    <t>-555.443180208758 218.370250198457 -754.996406662589</t>
  </si>
  <si>
    <t>-471.210315448545 180.177559691529 -452.288144417442</t>
  </si>
  <si>
    <t>-291.194850752895 73.4264454147483 -297.883809723592</t>
  </si>
  <si>
    <t>-688.080095643357 56.1236531729344 -761.449389149445</t>
  </si>
  <si>
    <t>-568.56086164357 218.034228222697 -245.10673779154</t>
  </si>
  <si>
    <t>-582.526165610985 203.830000835615 210.15241462549</t>
  </si>
  <si>
    <t>-622.370624276767 175.78951590017 677.323718306671</t>
  </si>
  <si>
    <t>-492.121367069602 97.2051386331661 765.659097516612</t>
  </si>
  <si>
    <t>-652.783294976428 44.0113303785788 -212.495602062293</t>
  </si>
  <si>
    <t>-494.450904765308 -97.0726157606023 190.845261156625</t>
  </si>
  <si>
    <t>-496.518841355755 -20.5614574749636 654.560097376415</t>
  </si>
  <si>
    <t>-489.900805378061 -168.517638563975 749.474280252902</t>
  </si>
  <si>
    <t>9763-20170724T160511.826456700.bin</t>
  </si>
  <si>
    <t>-610.517401420287 130.218140991654 -229.022313727265</t>
  </si>
  <si>
    <t>-649.863117717876 127.624720058738 -343.534329945571</t>
  </si>
  <si>
    <t>-668.046247404475 118.873354011155 -463.047452018052</t>
  </si>
  <si>
    <t>-675.718252558869 108.078230995971 -571.764734544856</t>
  </si>
  <si>
    <t>-674.744541052409 94.2691816022091 -680.407289612799</t>
  </si>
  <si>
    <t>-664.456481045596 71.7804342419531 -830.70171567624</t>
  </si>
  <si>
    <t>-631.821253158399 46.5235971311538 -923.868260450581</t>
  </si>
  <si>
    <t>-651.24357926675 107.959225656569 -766.909514055448</t>
  </si>
  <si>
    <t>-554.716146376912 218.205272357296 -754.409443563296</t>
  </si>
  <si>
    <t>-470.759070680335 179.554639762073 -451.682564448892</t>
  </si>
  <si>
    <t>-293.45759126717 68.9366820497944 -296.860397254904</t>
  </si>
  <si>
    <t>-686.773658786294 55.5028125576823 -761.492590042857</t>
  </si>
  <si>
    <t>-568.660146349284 217.215734495421 -245.032215575808</t>
  </si>
  <si>
    <t>-582.619723941893 203.375277968454 210.238321642394</t>
  </si>
  <si>
    <t>-622.52469716535 175.552678138582 677.385527817924</t>
  </si>
  <si>
    <t>-492.067248729913 97.3196690393115 765.725576300182</t>
  </si>
  <si>
    <t>-652.319531681761 43.1839531667308 -212.33387312207</t>
  </si>
  <si>
    <t>-493.734276284342 -97.4843990499801 191.052825900794</t>
  </si>
  <si>
    <t>-496.296025440571 -20.3633854431303 654.656629853658</t>
  </si>
  <si>
    <t>-489.665317681003 -168.488433145646 749.30616725558</t>
  </si>
  <si>
    <t>9763-20170724T160511.899668900.bin</t>
  </si>
  <si>
    <t>-609.806096864198 128.333646962934 -228.855646054532</t>
  </si>
  <si>
    <t>-649.036210640491 125.518545875311 -343.402089089405</t>
  </si>
  <si>
    <t>-666.990570184765 116.83485467774 -462.954547071706</t>
  </si>
  <si>
    <t>-674.404559056336 106.221354912802 -571.707638303268</t>
  </si>
  <si>
    <t>-673.118840277318 92.7149212595264 -680.385099834116</t>
  </si>
  <si>
    <t>-662.338196232809 70.7732475680141 -830.725854649441</t>
  </si>
  <si>
    <t>-629.273931306677 46.0263802047009 -923.878054571586</t>
  </si>
  <si>
    <t>-649.476052107763 106.81235154601 -766.783098608862</t>
  </si>
  <si>
    <t>-553.567596912945 217.494673161656 -753.557045792872</t>
  </si>
  <si>
    <t>-469.905758676518 178.013564472747 -450.855779929351</t>
  </si>
  <si>
    <t>-296.331775346632 62.3793051716837 -295.476063803171</t>
  </si>
  <si>
    <t>-684.740645608752 54.1510363305638 -761.626174388753</t>
  </si>
  <si>
    <t>-568.488927304878 215.27759693183 -244.935536114892</t>
  </si>
  <si>
    <t>-582.362844022495 202.084473181611 210.35689140476</t>
  </si>
  <si>
    <t>-622.786334316994 175.16233813659 677.507709479683</t>
  </si>
  <si>
    <t>-492.0446334309 97.4047338043147 765.847256911355</t>
  </si>
  <si>
    <t>-651.00609959125 41.3007447667292 -212.130546065275</t>
  </si>
  <si>
    <t>-492.362911446588 -98.5860602229718 191.505069713054</t>
  </si>
  <si>
    <t>-495.681597988233 -19.8077233107701 654.962037823759</t>
  </si>
  <si>
    <t>-489.323522319779 -168.424656674491 748.856194054611</t>
  </si>
  <si>
    <t>9763-20170724T160511.927742800.bin</t>
  </si>
  <si>
    <t>-609.20256517622 127.331338823652 -228.813107333296</t>
  </si>
  <si>
    <t>-648.44527153687 124.45431690212 -343.353627840232</t>
  </si>
  <si>
    <t>-666.374874972216 115.830062672966 -462.914266545495</t>
  </si>
  <si>
    <t>-673.74864988548 105.320149549932 -571.680210955492</t>
  </si>
  <si>
    <t>-672.403531457485 91.9669074597705 -680.375705917216</t>
  </si>
  <si>
    <t>-661.518637406278 70.2900791378124 -830.747339742947</t>
  </si>
  <si>
    <t>-628.332465025064 45.7814808876788 -923.919268399997</t>
  </si>
  <si>
    <t>-648.747756703006 106.247132852581 -766.740256023337</t>
  </si>
  <si>
    <t>-552.972651778973 217.016737940958 -753.204388785756</t>
  </si>
  <si>
    <t>-469.314661982474 177.130865669825 -450.554930942624</t>
  </si>
  <si>
    <t>-297.126526683408 59.6242084751727 -295.038072719957</t>
  </si>
  <si>
    <t>-683.92204939212 53.5155840827381 -761.684838950581</t>
  </si>
  <si>
    <t>-568.177655620269 214.255982677181 -244.908399477299</t>
  </si>
  <si>
    <t>-581.993046582062 201.332405136292 210.39336342012</t>
  </si>
  <si>
    <t>-622.829153597493 175.093921452868 677.547950239079</t>
  </si>
  <si>
    <t>-492.017540211266 97.4611721712213 765.893817294659</t>
  </si>
  <si>
    <t>-650.077987151141 40.4071620883458 -212.018370225103</t>
  </si>
  <si>
    <t>-491.637792575648 -99.1871130374225 191.798147648729</t>
  </si>
  <si>
    <t>-495.281949547445 -19.4484631777059 655.143207865859</t>
  </si>
  <si>
    <t>-489.231990404129 -168.383536472004 748.552308211996</t>
  </si>
  <si>
    <t>9763-20170724T160511.994924200.bin</t>
  </si>
  <si>
    <t>-608.394742921825 125.52600446137 -228.745152186277</t>
  </si>
  <si>
    <t>-647.765173353442 122.600512879477 -343.240500841337</t>
  </si>
  <si>
    <t>-665.819078607435 114.123080915613 -462.792927337668</t>
  </si>
  <si>
    <t>-673.298718262058 103.825761490854 -571.571847481328</t>
  </si>
  <si>
    <t>-672.049691425775 90.7646655729948 -680.304227791313</t>
  </si>
  <si>
    <t>-661.284990045611 69.5762278841171 -830.754083008721</t>
  </si>
  <si>
    <t>-628.116041543316 45.5059373249981 -924.046195102658</t>
  </si>
  <si>
    <t>-648.501579431329 105.350485012709 -766.647062437549</t>
  </si>
  <si>
    <t>-552.76824031549 216.107045975942 -752.764133408074</t>
  </si>
  <si>
    <t>-468.76374406433 175.286264363663 -450.335493455967</t>
  </si>
  <si>
    <t>-301.292100076295 51.6256322184076 -294.440063028783</t>
  </si>
  <si>
    <t>-683.594516734901 52.5523952365302 -761.722131377009</t>
  </si>
  <si>
    <t>-567.846722076773 212.262987620138 -244.916516738223</t>
  </si>
  <si>
    <t>-581.059659937387 199.673795284216 210.412540660041</t>
  </si>
  <si>
    <t>-622.937502879684 174.905280105862 677.611819265485</t>
  </si>
  <si>
    <t>-492.032849799476 97.44416478786 765.970518801368</t>
  </si>
  <si>
    <t>-648.833526873419 38.8098941971898 -211.85382428536</t>
  </si>
  <si>
    <t>-490.334227782183 -100.501798263005 192.037118504887</t>
  </si>
  <si>
    <t>-494.632610121899 -19.045278233606 655.016672573735</t>
  </si>
  <si>
    <t>-489.167251444376 -168.365357711465 747.845380633794</t>
  </si>
  <si>
    <t>9763-20170724T160512.028668300.bin</t>
  </si>
  <si>
    <t>-608.215201233067 124.709618603066 -228.772609998026</t>
  </si>
  <si>
    <t>-647.718902508121 121.830061676449 -343.223309245777</t>
  </si>
  <si>
    <t>-665.912582238268 113.493920638941 -462.764404224807</t>
  </si>
  <si>
    <t>-673.517677454422 103.364261283969 -571.550486643068</t>
  </si>
  <si>
    <t>-672.390500599099 90.5117010284121 -680.308869347014</t>
  </si>
  <si>
    <t>-661.789244368334 69.6558999090294 -830.816970567919</t>
  </si>
  <si>
    <t>-628.706976435335 45.8132743684469 -924.198238074965</t>
  </si>
  <si>
    <t>-648.933202609612 105.28636785212 -766.644343864645</t>
  </si>
  <si>
    <t>-553.118547976108 215.964951463716 -752.734617478647</t>
  </si>
  <si>
    <t>-468.930885305062 174.592055744869 -450.431832592799</t>
  </si>
  <si>
    <t>-304.345041802956 46.8980445284349 -294.714763424793</t>
  </si>
  <si>
    <t>-684.026836700892 52.4814024351749 -761.799127085001</t>
  </si>
  <si>
    <t>-567.769391809707 211.318860857812 -244.955184132058</t>
  </si>
  <si>
    <t>-580.586432094281 198.86137255109 210.388958082509</t>
  </si>
  <si>
    <t>-622.897534707163 174.96953784613 677.61290125616</t>
  </si>
  <si>
    <t>-491.924779747884 97.6227890487664 765.970853498823</t>
  </si>
  <si>
    <t>-648.576012617405 38.1399936819976 -211.856670849054</t>
  </si>
  <si>
    <t>-489.678303022342 -101.132243355543 191.8913414422</t>
  </si>
  <si>
    <t>-494.449842535161 -19.069055900615 654.698648007526</t>
  </si>
  <si>
    <t>-489.074475237045 -168.398536603198 747.517355075329</t>
  </si>
  <si>
    <t>9763-20170724T160512.092365100.bin</t>
  </si>
  <si>
    <t>-608.257691353487 123.172191542794 -228.978444344105</t>
  </si>
  <si>
    <t>-648.039468565663 120.574389158916 -343.339556556496</t>
  </si>
  <si>
    <t>-666.572987358318 112.612980964977 -462.853977264617</t>
  </si>
  <si>
    <t>-674.502942729283 102.869415977695 -571.652062331272</t>
  </si>
  <si>
    <t>-673.712090611844 90.4567647031697 -680.464535866658</t>
  </si>
  <si>
    <t>-663.584314974921 70.2736889110081 -831.096773450032</t>
  </si>
  <si>
    <t>-630.760003716588 46.9138333320798 -924.69096438468</t>
  </si>
  <si>
    <t>-650.500382695732 105.600513534217 -766.802516044143</t>
  </si>
  <si>
    <t>-554.382114452994 216.042313365668 -753.001716603164</t>
  </si>
  <si>
    <t>-469.950189723636 173.844780293754 -450.881237121257</t>
  </si>
  <si>
    <t>-310.596103492755 39.9856057013478 -294.90037322687</t>
  </si>
  <si>
    <t>-685.630570664966 52.8077895186907 -762.090842277007</t>
  </si>
  <si>
    <t>-567.673823640518 209.452806735888 -245.094041500435</t>
  </si>
  <si>
    <t>-579.835866740015 197.334495896785 210.27703055981</t>
  </si>
  <si>
    <t>-622.926732047545 174.923294648431 677.616799099914</t>
  </si>
  <si>
    <t>-491.912165942398 97.6212639027169 765.951919482448</t>
  </si>
  <si>
    <t>-648.814649651915 36.90977216172 -212.09510127381</t>
  </si>
  <si>
    <t>-488.714651358737 -102.05510638158 191.283709769022</t>
  </si>
  <si>
    <t>-494.396620838912 -19.3493773178063 653.916662729035</t>
  </si>
  <si>
    <t>-488.772991645692 -168.486521774488 747.029476081585</t>
  </si>
  <si>
    <t>9763-20170724T160512.124944100.bin</t>
  </si>
  <si>
    <t>-608.37132230256 122.496662025932 -229.095069891611</t>
  </si>
  <si>
    <t>-648.258056851969 120.056641232815 -343.423133155974</t>
  </si>
  <si>
    <t>-666.963760220101 112.292881095244 -462.923655492811</t>
  </si>
  <si>
    <t>-675.073542392491 102.749658803513 -571.72621246811</t>
  </si>
  <si>
    <t>-674.483911610931 90.5623096895272 -680.565500982927</t>
  </si>
  <si>
    <t>-664.65520054641 70.7210242912502 -831.262832003838</t>
  </si>
  <si>
    <t>-632.012148143358 47.6028198568633 -924.980480237526</t>
  </si>
  <si>
    <t>-651.419918616206 105.886235605728 -766.911270836198</t>
  </si>
  <si>
    <t>-555.148194185708 216.193213557378 -753.206621727642</t>
  </si>
  <si>
    <t>-470.793033321581 173.96185705289 -451.069316475082</t>
  </si>
  <si>
    <t>-311.798324215233 39.8399205267335 -294.94754365809</t>
  </si>
  <si>
    <t>-686.588383442182 53.1139989229664 -762.256673591141</t>
  </si>
  <si>
    <t>-567.56497973768 208.658518442616 -245.172778301341</t>
  </si>
  <si>
    <t>-579.634899232048 196.764277670042 210.20677113998</t>
  </si>
  <si>
    <t>-622.89484344615 174.982754075254 677.601419548313</t>
  </si>
  <si>
    <t>-491.978176557232 97.5017489637478 765.924868763506</t>
  </si>
  <si>
    <t>-649.138405280144 36.3733392453312 -212.230139351174</t>
  </si>
  <si>
    <t>-488.551021563562 -102.255496529564 191.070472159185</t>
  </si>
  <si>
    <t>-494.422110074915 -19.4503482977939 653.66731712852</t>
  </si>
  <si>
    <t>-488.653137266472 -168.515883283989 746.88586306242</t>
  </si>
  <si>
    <t>9763-20170724T160512.192140300.bin</t>
  </si>
  <si>
    <t>-608.49882551527 121.321923216233 -229.248079642995</t>
  </si>
  <si>
    <t>-648.440468964076 119.081288259952 -343.560947800361</t>
  </si>
  <si>
    <t>-667.416559559063 111.636690081155 -463.039287150127</t>
  </si>
  <si>
    <t>-675.85442174363 102.442022571888 -571.846953144301</t>
  </si>
  <si>
    <t>-675.671670127803 90.6696967690821 -680.733227651623</t>
  </si>
  <si>
    <t>-666.484285224141 71.4802250441635 -831.555528283637</t>
  </si>
  <si>
    <t>-634.161811139093 48.8171960879308 -925.494967538533</t>
  </si>
  <si>
    <t>-652.943169820107 106.346317971166 -767.10459720122</t>
  </si>
  <si>
    <t>-556.404891053643 216.429173635189 -753.502879762267</t>
  </si>
  <si>
    <t>-472.012431364057 174.263864438642 -451.366779647389</t>
  </si>
  <si>
    <t>-315.423803231002 36.8342962621803 -295.690358519492</t>
  </si>
  <si>
    <t>-688.155575802994 53.5957301186161 -762.538063103798</t>
  </si>
  <si>
    <t>-567.360513098225 207.31860934298 -245.325963770908</t>
  </si>
  <si>
    <t>-579.449609177011 195.958865639309 210.066743357398</t>
  </si>
  <si>
    <t>-622.868291602428 175.023716633815 677.56470068965</t>
  </si>
  <si>
    <t>-492.151467578477 97.1900714126789 765.874059247629</t>
  </si>
  <si>
    <t>-649.465058545847 35.2953943187299 -212.526575732368</t>
  </si>
  <si>
    <t>-488.569102330759 -102.944635866793 190.784612630495</t>
  </si>
  <si>
    <t>-494.477457213638 -19.6264419187046 653.288664005202</t>
  </si>
  <si>
    <t>-488.748667676602 -168.571715942762 746.701538422747</t>
  </si>
  <si>
    <t>9763-20170724T160512.225230600.bin</t>
  </si>
  <si>
    <t>-608.508128378601 120.864161347836 -229.298403267224</t>
  </si>
  <si>
    <t>-648.461507797264 118.682048995918 -343.608380209509</t>
  </si>
  <si>
    <t>-667.549454917845 111.373147070467 -463.077204435326</t>
  </si>
  <si>
    <t>-676.127773767327 102.336336831111 -571.886992879833</t>
  </si>
  <si>
    <t>-676.122510983665 90.7595873573814 -680.794565632653</t>
  </si>
  <si>
    <t>-667.217618268852 71.8832378390273 -831.673286247538</t>
  </si>
  <si>
    <t>-634.978645288003 49.3886549564174 -925.681852631527</t>
  </si>
  <si>
    <t>-653.539680873818 106.604823517948 -767.173391867565</t>
  </si>
  <si>
    <t>-556.840735981935 216.555573312184 -753.611695302494</t>
  </si>
  <si>
    <t>-472.55084274724 174.348231839203 -451.45278016818</t>
  </si>
  <si>
    <t>-315.532224350959 37.7331586632122 -295.492741304357</t>
  </si>
  <si>
    <t>-688.775889887223 53.8659826538947 -762.654818723262</t>
  </si>
  <si>
    <t>-567.274869579118 206.802194992422 -245.376462684366</t>
  </si>
  <si>
    <t>-579.411450804509 195.731298268651 210.022092967269</t>
  </si>
  <si>
    <t>-622.83346276812 175.082938431858 677.552110729947</t>
  </si>
  <si>
    <t>-492.154079010677 97.1722813673407 765.848987838999</t>
  </si>
  <si>
    <t>-649.56276428726 34.9033077324118 -212.563500956447</t>
  </si>
  <si>
    <t>-488.665853240724 -103.431797894752 190.714603598006</t>
  </si>
  <si>
    <t>-494.552731143494 -19.7318614325632 653.109893505717</t>
  </si>
  <si>
    <t>-488.886729711706 -168.606824541718 746.638786827323</t>
  </si>
  <si>
    <t>9763-20170724T160512.295421200.bin</t>
  </si>
  <si>
    <t>-608.793280584094 120.280532621206 -229.35568651061</t>
  </si>
  <si>
    <t>-648.844695654064 118.17096335884 -343.632730404412</t>
  </si>
  <si>
    <t>-668.163416618936 111.052141472926 -463.075894122287</t>
  </si>
  <si>
    <t>-677.000781544013 102.242252680748 -571.883758863044</t>
  </si>
  <si>
    <t>-677.300926956745 90.9520940052464 -680.820767304204</t>
  </si>
  <si>
    <t>-668.864943362213 72.5391721954022 -831.783730792107</t>
  </si>
  <si>
    <t>-636.704392791323 50.2154048763741 -925.859826894446</t>
  </si>
  <si>
    <t>-654.983559274552 107.060745406457 -767.219840410103</t>
  </si>
  <si>
    <t>-558.227669908426 216.968117584973 -753.695484668174</t>
  </si>
  <si>
    <t>-473.953177806871 174.354950004924 -451.589291928686</t>
  </si>
  <si>
    <t>-317.50587582363 36.7566794565246 -295.919819849561</t>
  </si>
  <si>
    <t>-690.211629001409 54.3119199262994 -762.754701092596</t>
  </si>
  <si>
    <t>-567.432486352334 206.196425859056 -245.477370712352</t>
  </si>
  <si>
    <t>-579.443509950793 195.398475163873 209.931027408053</t>
  </si>
  <si>
    <t>-622.789305079663 175.12907718764 677.518109571099</t>
  </si>
  <si>
    <t>-492.224761206575 97.0148430914546 765.804984382706</t>
  </si>
  <si>
    <t>-650.029397379235 34.4030676311952 -212.539870921494</t>
  </si>
  <si>
    <t>-489.117521296658 -104.003978640181 190.707638755439</t>
  </si>
  <si>
    <t>-494.69743643032 -19.845529204277 652.951268191774</t>
  </si>
  <si>
    <t>-489.011405112527 -168.644880110453 746.599052376332</t>
  </si>
  <si>
    <t>9763-20170724T160512.327508000.bin</t>
  </si>
  <si>
    <t>-609.069692607296 120.006749799096 -229.368545643694</t>
  </si>
  <si>
    <t>-649.18061180273 117.886734177959 -343.624561579883</t>
  </si>
  <si>
    <t>-668.571364984539 110.844402256956 -463.060722182082</t>
  </si>
  <si>
    <t>-677.476646004134 102.140633517715 -571.871370195103</t>
  </si>
  <si>
    <t>-677.846206554833 90.9939839990716 -680.823140764208</t>
  </si>
  <si>
    <t>-669.505972932708 72.8208338049128 -831.820501147336</t>
  </si>
  <si>
    <t>-637.288311007617 50.52895640317 -925.884587444952</t>
  </si>
  <si>
    <t>-655.592328729388 107.245563813483 -767.211877364931</t>
  </si>
  <si>
    <t>-558.796636028396 217.10578048675 -753.673466084669</t>
  </si>
  <si>
    <t>-474.592581204578 174.586831611469 -451.534367627956</t>
  </si>
  <si>
    <t>-318.289393668754 36.7932002491641 -295.892844622485</t>
  </si>
  <si>
    <t>-690.800244843189 54.4781659444634 -762.805758009082</t>
  </si>
  <si>
    <t>-567.70893912588 205.887646239771 -245.514054666597</t>
  </si>
  <si>
    <t>-579.613284319075 195.198582185667 209.899687074043</t>
  </si>
  <si>
    <t>-622.889159741745 174.954590948097 677.509188242669</t>
  </si>
  <si>
    <t>-492.104826305035 97.1842853122021 765.774439221431</t>
  </si>
  <si>
    <t>-650.316459739076 34.1130020319165 -212.520559849057</t>
  </si>
  <si>
    <t>-489.267329907267 -104.06580844152 190.750365192776</t>
  </si>
  <si>
    <t>-494.737973483014 -19.8394532892603 652.970283143717</t>
  </si>
  <si>
    <t>-489.037582748536 -168.652478011352 746.595742593137</t>
  </si>
  <si>
    <t>9763-20170724T160512.396224300.bin</t>
  </si>
  <si>
    <t>-609.576692022918 119.852569425468 -229.396366042019</t>
  </si>
  <si>
    <t>-649.796513903437 117.781617321853 -343.615013857446</t>
  </si>
  <si>
    <t>-669.293951801772 110.911945294518 -463.043719864802</t>
  </si>
  <si>
    <t>-678.290159520275 102.420258174598 -571.863821104493</t>
  </si>
  <si>
    <t>-678.741766094526 91.5451553289558 -680.842568255728</t>
  </si>
  <si>
    <t>-670.503388085034 73.8139921501431 -831.897986791534</t>
  </si>
  <si>
    <t>-638.00759388287 51.428796633596 -925.84427793133</t>
  </si>
  <si>
    <t>-656.609304361522 108.090894500728 -767.206630414183</t>
  </si>
  <si>
    <t>-559.98901364346 218.114971402662 -753.633834517601</t>
  </si>
  <si>
    <t>-475.953667540661 175.375476218814 -451.478936235182</t>
  </si>
  <si>
    <t>-320.543868017194 35.8651495346342 -296.473549345759</t>
  </si>
  <si>
    <t>-691.687899974961 55.2281010676177 -762.914618962568</t>
  </si>
  <si>
    <t>-568.245860948366 205.843414466049 -245.555181890422</t>
  </si>
  <si>
    <t>-579.838354194445 195.152106744074 209.866472551</t>
  </si>
  <si>
    <t>-622.833637690753 175.040834980131 677.512427809103</t>
  </si>
  <si>
    <t>-492.119011905127 97.1235709272323 765.751306936298</t>
  </si>
  <si>
    <t>-650.752865076591 33.936529751086 -212.517191690741</t>
  </si>
  <si>
    <t>-489.336708329837 -104.08848051976 190.659691063945</t>
  </si>
  <si>
    <t>-494.853712054184 -19.8757371482927 652.924706468736</t>
  </si>
  <si>
    <t>-489.087427762173 -168.683243909258 746.554620509322</t>
  </si>
  <si>
    <t>9763-20170724T160512.428815700.bin</t>
  </si>
  <si>
    <t>-609.87389390267 119.940655208494 -229.380372936387</t>
  </si>
  <si>
    <t>-650.127563642672 117.86408856151 -343.586887927751</t>
  </si>
  <si>
    <t>-669.649955899887 111.048758766406 -463.014582407824</t>
  </si>
  <si>
    <t>-678.663161964021 102.633284424478 -571.839249096523</t>
  </si>
  <si>
    <t>-679.124785488178 91.8631158085973 -680.828394044396</t>
  </si>
  <si>
    <t>-670.892187080176 74.3085654429906 -831.904783134936</t>
  </si>
  <si>
    <t>-638.154305733222 51.7645504963486 -925.729076586289</t>
  </si>
  <si>
    <t>-657.039115168197 108.538125966089 -767.179559608097</t>
  </si>
  <si>
    <t>-560.542568582782 218.664993337745 -753.591509199457</t>
  </si>
  <si>
    <t>-476.653611102128 175.805656287214 -451.41293094304</t>
  </si>
  <si>
    <t>-321.918108405474 35.1595653660825 -296.759698127303</t>
  </si>
  <si>
    <t>-692.030647621273 55.613634556137 -762.93673482736</t>
  </si>
  <si>
    <t>-568.553849122165 205.937567136117 -245.543663965658</t>
  </si>
  <si>
    <t>-579.973563795714 195.261988832205 209.882809841013</t>
  </si>
  <si>
    <t>-622.813975059159 175.078511851189 677.529774324756</t>
  </si>
  <si>
    <t>-492.06847614898 97.1830667625516 765.742159062753</t>
  </si>
  <si>
    <t>-651.036018109786 33.984521609588 -212.495518006225</t>
  </si>
  <si>
    <t>-489.38335512929 -104.018952988773 190.59395132539</t>
  </si>
  <si>
    <t>-494.933685217309 -19.9201619887776 652.860072352768</t>
  </si>
  <si>
    <t>-489.086422140516 -168.706208511217 746.51910636328</t>
  </si>
  <si>
    <t>9763-20170724T160512.496505900.bin</t>
  </si>
  <si>
    <t>-610.37874189895 120.145192242869 -229.371574202818</t>
  </si>
  <si>
    <t>-650.656714351051 118.074421605374 -343.56962298697</t>
  </si>
  <si>
    <t>-670.104416898547 111.299392138827 -463.011785253701</t>
  </si>
  <si>
    <t>-679.007368820548 102.937235648775 -571.849670058286</t>
  </si>
  <si>
    <t>-679.315402645551 92.2386061119523 -680.84641696232</t>
  </si>
  <si>
    <t>-670.823475184922 74.8044327122725 -831.922343841833</t>
  </si>
  <si>
    <t>-637.623206029205 51.9301954626974 -925.503772713922</t>
  </si>
  <si>
    <t>-657.15322162761 109.028981601414 -767.155543850887</t>
  </si>
  <si>
    <t>-561.027942864714 219.474069712372 -753.513782974478</t>
  </si>
  <si>
    <t>-477.557837205416 176.7323983456 -451.202482128821</t>
  </si>
  <si>
    <t>-324.137038892183 33.9349941260023 -297.212224962074</t>
  </si>
  <si>
    <t>-692.008495139832 56.0081198441042 -762.996255972029</t>
  </si>
  <si>
    <t>-569.132661959803 206.256686383838 -245.509725331332</t>
  </si>
  <si>
    <t>-580.302776053303 195.558478597075 209.922385718965</t>
  </si>
  <si>
    <t>-622.730400056402 175.223327263758 677.571954480886</t>
  </si>
  <si>
    <t>-492.185707634952 96.9598381592771 765.755973628365</t>
  </si>
  <si>
    <t>-651.495491522283 34.0272827928932 -212.537015547159</t>
  </si>
  <si>
    <t>-489.598589716401 -103.758029900329 190.529063530723</t>
  </si>
  <si>
    <t>-495.082482180412 -19.9502462253902 652.827656498794</t>
  </si>
  <si>
    <t>-489.066077780335 -168.729559257789 746.486782243251</t>
  </si>
  <si>
    <t>9763-20170724T160512.591759100.bin</t>
  </si>
  <si>
    <t>-610.913761551608 120.183923738213 -229.36500438733</t>
  </si>
  <si>
    <t>-651.163680045095 118.093017040716 -343.572644377025</t>
  </si>
  <si>
    <t>-670.378392637586 111.144890706482 -463.042547539858</t>
  </si>
  <si>
    <t>-678.987330925881 102.567246824775 -571.887278104315</t>
  </si>
  <si>
    <t>-678.919303757247 91.5968627813018 -680.857542471635</t>
  </si>
  <si>
    <t>-669.821860293306 73.7288112039143 -831.84751254208</t>
  </si>
  <si>
    <t>-636.175957369125 50.5771792772935 -925.201320604016</t>
  </si>
  <si>
    <t>-656.460180962223 108.170902979002 -767.131810781192</t>
  </si>
  <si>
    <t>-560.632149381254 218.887463657147 -753.59112203012</t>
  </si>
  <si>
    <t>-477.997416493339 177.259975642026 -450.895159473106</t>
  </si>
  <si>
    <t>-325.937800547852 32.6868135339621 -297.211933087613</t>
  </si>
  <si>
    <t>-691.234211067219 55.0988373305524 -762.94637662533</t>
  </si>
  <si>
    <t>-569.6679029927 206.303435424883 -245.490697756298</t>
  </si>
  <si>
    <t>-580.854239321237 195.701199002271 209.943302701143</t>
  </si>
  <si>
    <t>-622.857612632129 175.018520754619 677.607507968714</t>
  </si>
  <si>
    <t>-491.940135460985 97.3181785851637 765.736841720947</t>
  </si>
  <si>
    <t>-652.032738815478 34.0000947234892 -212.568223164724</t>
  </si>
  <si>
    <t>-489.883431365364 -103.334177143212 190.55029548821</t>
  </si>
  <si>
    <t>-495.16837883602 -19.9201810989459 652.884096056128</t>
  </si>
  <si>
    <t>-489.154374014068 -168.741150881286 746.477195488604</t>
  </si>
  <si>
    <t>9763-20170724T160512.634376100.bin</t>
  </si>
  <si>
    <t>-611.217427862366 120.377176543973 -229.486790572178</t>
  </si>
  <si>
    <t>-651.24342688365 118.240987849248 -343.772136683138</t>
  </si>
  <si>
    <t>-670.126179333344 111.067142540688 -463.281851057904</t>
  </si>
  <si>
    <t>-678.394498766514 102.214668357476 -572.130797026183</t>
  </si>
  <si>
    <t>-677.948762171713 90.9000231719838 -681.064924634848</t>
  </si>
  <si>
    <t>-668.291216249302 72.482881161633 -831.954030869412</t>
  </si>
  <si>
    <t>-634.254878179444 49.1291198684319 -925.115803635182</t>
  </si>
  <si>
    <t>-655.200720436212 107.180349033144 -767.319514758976</t>
  </si>
  <si>
    <t>-559.589886220954 218.107664757132 -754.002294552096</t>
  </si>
  <si>
    <t>-477.889133930037 177.832534560591 -450.870034973815</t>
  </si>
  <si>
    <t>-326.313777617471 33.3603651945639 -296.614595821528</t>
  </si>
  <si>
    <t>-689.928010333659 54.0834821972935 -763.06118876896</t>
  </si>
  <si>
    <t>-569.905651775194 206.641560722163 -245.535607275492</t>
  </si>
  <si>
    <t>-581.331319861505 196.16321155296 209.895362256225</t>
  </si>
  <si>
    <t>-622.80609923336 175.117731373964 677.617879024959</t>
  </si>
  <si>
    <t>-492.116758935734 97.0103139579267 765.725999260942</t>
  </si>
  <si>
    <t>-652.372961403272 34.1122072996927 -212.762747851493</t>
  </si>
  <si>
    <t>-490.255219256633 -102.726641152864 190.536909265306</t>
  </si>
  <si>
    <t>-495.261188650492 -19.9209872266033 652.95484855811</t>
  </si>
  <si>
    <t>-489.286534850347 -168.756512422141 746.527296281519</t>
  </si>
  <si>
    <t>9763-20170724T160512.695053100.bin</t>
  </si>
  <si>
    <t>-611.391014594381 120.595846226179 -229.598592078244</t>
  </si>
  <si>
    <t>-651.306399578221 118.494870553892 -343.923362394544</t>
  </si>
  <si>
    <t>-669.935971456847 111.115967624532 -463.460132037295</t>
  </si>
  <si>
    <t>-677.919946179078 101.983621450809 -572.307416356637</t>
  </si>
  <si>
    <t>-677.137479217216 90.2968236549877 -681.200239875502</t>
  </si>
  <si>
    <t>-666.960681241886 71.2691986980501 -831.979569256277</t>
  </si>
  <si>
    <t>-632.609779653309 47.652772832558 -924.959472980853</t>
  </si>
  <si>
    <t>-654.135720061897 106.255831139754 -767.447420924744</t>
  </si>
  <si>
    <t>-558.814813053867 217.440778546468 -754.212008292783</t>
  </si>
  <si>
    <t>-477.831068712618 178.07735271227 -450.767833062255</t>
  </si>
  <si>
    <t>-326.537290886957 33.2234522708532 -296.593913236973</t>
  </si>
  <si>
    <t>-688.791445986047 53.1208689391981 -763.081191247031</t>
  </si>
  <si>
    <t>-570.079769094127 207.001265669587 -245.558219905027</t>
  </si>
  <si>
    <t>-581.684755730831 196.551390756805 209.86885130207</t>
  </si>
  <si>
    <t>-622.714098798862 175.284881406081 677.619968840975</t>
  </si>
  <si>
    <t>-492.156560426037 96.9219489469433 765.696589795446</t>
  </si>
  <si>
    <t>-652.589370249455 34.2340105570447 -212.964095819628</t>
  </si>
  <si>
    <t>-490.443762965583 -101.972587017705 190.538407071168</t>
  </si>
  <si>
    <t>-495.35258475611 -19.915145694443 653.082539614653</t>
  </si>
  <si>
    <t>-489.383713033582 -168.765388105481 746.631872240179</t>
  </si>
  <si>
    <t>9763-20170724T160512.728645600.bin</t>
  </si>
  <si>
    <t>-611.481949408678 120.685362004092 -229.607618723094</t>
  </si>
  <si>
    <t>-651.357278754251 118.559577554577 -343.946012067384</t>
  </si>
  <si>
    <t>-669.861839612701 111.07313917824 -463.495521031841</t>
  </si>
  <si>
    <t>-677.6992011628 101.810184456269 -572.342296312836</t>
  </si>
  <si>
    <t>-676.737782828494 89.959906508059 -681.216000222215</t>
  </si>
  <si>
    <t>-666.280386666455 70.671316239331 -831.942926870512</t>
  </si>
  <si>
    <t>-631.791003922782 46.9391976985169 -924.842128511851</t>
  </si>
  <si>
    <t>-653.594336050068 105.781598243159 -767.450729174536</t>
  </si>
  <si>
    <t>-558.340173807839 217.038132374074 -754.270813056843</t>
  </si>
  <si>
    <t>-477.737069078848 178.125830220147 -450.667347469835</t>
  </si>
  <si>
    <t>-326.639466945719 32.6718591701106 -296.866324513273</t>
  </si>
  <si>
    <t>-688.220551676161 52.6302844171557 -763.051287299504</t>
  </si>
  <si>
    <t>-570.183843705033 207.084164376361 -245.550986687167</t>
  </si>
  <si>
    <t>-581.848678460592 196.631351234274 209.874398783698</t>
  </si>
  <si>
    <t>-622.796666476354 175.130982673267 677.623037168971</t>
  </si>
  <si>
    <t>-492.050343658603 97.0635923219593 765.682083894273</t>
  </si>
  <si>
    <t>-652.70106988766 34.3063170390074 -212.952549968911</t>
  </si>
  <si>
    <t>-490.480408145432 -101.706204512188 190.585233733655</t>
  </si>
  <si>
    <t>-495.377938800955 -19.8865160159255 653.176821399238</t>
  </si>
  <si>
    <t>-489.389743453202 -168.764227507637 746.681285995963</t>
  </si>
  <si>
    <t>9763-20170724T160512.794321600.bin</t>
  </si>
  <si>
    <t>-611.285621758949 120.889480010639 -229.64487554971</t>
  </si>
  <si>
    <t>-651.030972692586 118.738021862679 -344.027992417348</t>
  </si>
  <si>
    <t>-669.255945799562 111.046594686236 -463.607435960734</t>
  </si>
  <si>
    <t>-676.782439411539 101.526105353845 -572.454021684819</t>
  </si>
  <si>
    <t>-675.45500087644 89.3471244700438 -681.287528216931</t>
  </si>
  <si>
    <t>-664.435476943466 69.5284015480906 -831.905571918886</t>
  </si>
  <si>
    <t>-629.667630728536 45.5620303589885 -924.64078604664</t>
  </si>
  <si>
    <t>-652.024112802016 104.887364135767 -767.495862374197</t>
  </si>
  <si>
    <t>-557.003544339868 216.33977136893 -754.410310532535</t>
  </si>
  <si>
    <t>-476.946263210957 178.617442329793 -450.512102574624</t>
  </si>
  <si>
    <t>-326.06159300651 32.3050360477248 -297.317658433865</t>
  </si>
  <si>
    <t>-686.598339554186 51.7079021313261 -763.027906699552</t>
  </si>
  <si>
    <t>-569.960765584142 207.357696187596 -245.515853554069</t>
  </si>
  <si>
    <t>-582.127558548319 197.063673594263 209.900041823546</t>
  </si>
  <si>
    <t>-622.79339295831 175.113287817758 677.626134375963</t>
  </si>
  <si>
    <t>-492.138267498044 96.8944809636264 765.686163205698</t>
  </si>
  <si>
    <t>-652.483258603117 34.438234900869 -213.057277461748</t>
  </si>
  <si>
    <t>-490.387987398661 -101.244158156561 190.641956368471</t>
  </si>
  <si>
    <t>-495.414414890201 -19.8359068348473 653.332504006289</t>
  </si>
  <si>
    <t>-489.413881521473 -168.761488232808 746.760033238366</t>
  </si>
  <si>
    <t>9763-20170724T160512.826911600.bin</t>
  </si>
  <si>
    <t>-611.063485195323 121.0044407586 -229.624287801784</t>
  </si>
  <si>
    <t>-650.699134472398 118.811217513693 -344.044673425877</t>
  </si>
  <si>
    <t>-668.771740254921 111.00817761901 -463.639911913722</t>
  </si>
  <si>
    <t>-676.144518584507 101.36054696825 -572.48583268289</t>
  </si>
  <si>
    <t>-674.648994185563 89.0290821312149 -681.300108379195</t>
  </si>
  <si>
    <t>-663.382012402836 68.9735973325717 -831.868481093694</t>
  </si>
  <si>
    <t>-628.510389661766 44.9537592103441 -924.550668119703</t>
  </si>
  <si>
    <t>-651.102127663172 104.450026626603 -767.49822000483</t>
  </si>
  <si>
    <t>-556.179357500896 216.006123655014 -754.469207289522</t>
  </si>
  <si>
    <t>-476.386062217312 178.818441504691 -450.435906944196</t>
  </si>
  <si>
    <t>-325.726870235659 31.7333159968093 -297.760381310255</t>
  </si>
  <si>
    <t>-685.632487677095 51.245019323952 -762.995252264935</t>
  </si>
  <si>
    <t>-569.722477954038 207.449622556322 -245.497955829921</t>
  </si>
  <si>
    <t>-582.289597501026 197.26821553341 209.909629770809</t>
  </si>
  <si>
    <t>-622.86277541094 174.967832242845 677.62395406995</t>
  </si>
  <si>
    <t>-492.078754807649 96.9686898776256 765.687485780622</t>
  </si>
  <si>
    <t>-652.272319802394 34.5850961125072 -213.034939026644</t>
  </si>
  <si>
    <t>-490.320509958815 -101.075190040418 190.729308785055</t>
  </si>
  <si>
    <t>-495.427290737397 -19.7836423818601 653.438479635263</t>
  </si>
  <si>
    <t>-489.380705794203 -168.755669031308 746.788757956487</t>
  </si>
  <si>
    <t>9763-20170724T160512.892590800.bin</t>
  </si>
  <si>
    <t>-610.489103577456 121.246082787124 -229.605416648871</t>
  </si>
  <si>
    <t>-649.895349372924 118.926469084046 -344.102453069596</t>
  </si>
  <si>
    <t>-667.704672295999 110.928571413515 -463.724493557026</t>
  </si>
  <si>
    <t>-674.828719774351 101.079386668664 -572.568809247563</t>
  </si>
  <si>
    <t>-673.076133837283 88.521962960863 -681.353440062567</t>
  </si>
  <si>
    <t>-661.445243503128 68.1282495406513 -831.84868670109</t>
  </si>
  <si>
    <t>-626.441713915688 44.0883774403299 -924.475980305889</t>
  </si>
  <si>
    <t>-649.382608977902 103.788402089717 -767.538731462714</t>
  </si>
  <si>
    <t>-554.662775187222 215.533476551123 -754.581527148262</t>
  </si>
  <si>
    <t>-475.289596592043 179.303943546139 -450.322593956127</t>
  </si>
  <si>
    <t>-325.650887793075 29.8887613554652 -298.911227875203</t>
  </si>
  <si>
    <t>-683.800380102259 50.5154062563863 -762.979635513688</t>
  </si>
  <si>
    <t>-569.129609099607 207.706930656805 -245.465940095817</t>
  </si>
  <si>
    <t>-582.40650734604 197.781282751889 209.927092193567</t>
  </si>
  <si>
    <t>-622.8774296776 174.907603300892 677.611480889328</t>
  </si>
  <si>
    <t>-492.153614546299 96.840944559757 765.70457150377</t>
  </si>
  <si>
    <t>-651.701963181677 34.7685739355541 -213.079752052654</t>
  </si>
  <si>
    <t>-490.063153655694 -100.757789326715 190.854847625869</t>
  </si>
  <si>
    <t>-495.449644388463 -19.6842283177759 653.622839352452</t>
  </si>
  <si>
    <t>-489.265565291766 -168.751278079714 746.812202229434</t>
  </si>
  <si>
    <t>9763-20170724T160512.925028000.bin</t>
  </si>
  <si>
    <t>-610.196620545314 121.358245720159 -229.60371313654</t>
  </si>
  <si>
    <t>-649.505674853272 118.993719488986 -344.133350182263</t>
  </si>
  <si>
    <t>-667.20335244248 110.905791244253 -463.765768851735</t>
  </si>
  <si>
    <t>-674.222584407868 100.956246976567 -572.607753805125</t>
  </si>
  <si>
    <t>-672.362771686864 88.2790070203373 -681.376834135482</t>
  </si>
  <si>
    <t>-660.58168784594 67.6982531286474 -831.83488667759</t>
  </si>
  <si>
    <t>-625.54534050182 43.6806685889512 -924.455562785867</t>
  </si>
  <si>
    <t>-648.609594142927 103.455024399255 -767.56163601041</t>
  </si>
  <si>
    <t>-553.990692731191 215.27984431298 -754.67237271032</t>
  </si>
  <si>
    <t>-474.6312185089 179.58678647187 -450.346395080086</t>
  </si>
  <si>
    <t>-325.495756440427 28.7881521131217 -299.812614542949</t>
  </si>
  <si>
    <t>-682.979194336232 50.1543036697358 -762.961882672033</t>
  </si>
  <si>
    <t>-568.926388871951 207.831207718483 -245.435755209076</t>
  </si>
  <si>
    <t>-582.381755250971 197.857254090881 209.951069249255</t>
  </si>
  <si>
    <t>-622.909727929404 174.850262454098 677.618415444918</t>
  </si>
  <si>
    <t>-492.064990209431 96.9808192691291 765.706569826347</t>
  </si>
  <si>
    <t>-651.354363439938 34.902863218007 -213.080270245455</t>
  </si>
  <si>
    <t>-489.886298361892 -100.686865557972 190.901429254769</t>
  </si>
  <si>
    <t>-495.471685513362 -19.6401569385951 653.691504908616</t>
  </si>
  <si>
    <t>-489.18174355178 -168.753873151627 746.799252877733</t>
  </si>
  <si>
    <t>9763-20170724T160512.991708300.bin</t>
  </si>
  <si>
    <t>-609.6431123259 121.59261618549 -229.630058487947</t>
  </si>
  <si>
    <t>-648.790599692064 119.132893821708 -344.212928138896</t>
  </si>
  <si>
    <t>-666.362358066302 110.88757463688 -463.853235347309</t>
  </si>
  <si>
    <t>-673.28530864058 100.771609466594 -572.686091409804</t>
  </si>
  <si>
    <t>-671.348270169526 87.9043779748563 -681.431361659304</t>
  </si>
  <si>
    <t>-659.481188236045 67.0351702534649 -831.842980531421</t>
  </si>
  <si>
    <t>-624.470512611126 43.0482793658534 -924.481347355164</t>
  </si>
  <si>
    <t>-647.600641602425 102.949495809936 -767.640753577977</t>
  </si>
  <si>
    <t>-553.196414313194 214.991011809091 -754.958453205559</t>
  </si>
  <si>
    <t>-473.49685575773 180.242566002305 -450.612070963567</t>
  </si>
  <si>
    <t>-324.243189741647 27.8967517550573 -301.762639966823</t>
  </si>
  <si>
    <t>-681.863399928639 49.5887697028497 -762.940392159785</t>
  </si>
  <si>
    <t>-568.383554313775 208.070835072359 -245.378956012211</t>
  </si>
  <si>
    <t>-582.302342779828 198.075452835814 209.993428486581</t>
  </si>
  <si>
    <t>-622.917869861696 174.830317103184 677.606518195313</t>
  </si>
  <si>
    <t>-492.066136965699 96.9952671519752 765.714664783159</t>
  </si>
  <si>
    <t>-650.833896945174 35.1114771381324 -213.172520625067</t>
  </si>
  <si>
    <t>-489.685783314171 -100.251230917524 191.012933444357</t>
  </si>
  <si>
    <t>-495.58932925092 -19.5296166166081 653.872156899439</t>
  </si>
  <si>
    <t>-488.816877690834 -168.753574817653 746.769180916076</t>
  </si>
  <si>
    <t>9763-20170724T160513.093998100.bin</t>
  </si>
  <si>
    <t>-609.298224835896 121.621202821955 -229.648794451346</t>
  </si>
  <si>
    <t>-648.364033807384 119.122828370436 -344.258621702704</t>
  </si>
  <si>
    <t>-665.898545772147 110.812415170615 -463.899985297221</t>
  </si>
  <si>
    <t>-672.807230185292 100.628610524751 -572.72752958408</t>
  </si>
  <si>
    <t>-670.87579569065 87.6853457065695 -681.463783549457</t>
  </si>
  <si>
    <t>-659.037130868765 66.702889036269 -831.861870307859</t>
  </si>
  <si>
    <t>-624.060603035322 42.7307384426638 -924.516997853111</t>
  </si>
  <si>
    <t>-647.175824726166 102.685259567477 -767.694109809468</t>
  </si>
  <si>
    <t>-552.892502232246 214.829457133385 -755.132516928654</t>
  </si>
  <si>
    <t>-472.926140753025 180.486475696094 -450.809998605931</t>
  </si>
  <si>
    <t>-322.895198930956 28.5914513976927 -302.281703893683</t>
  </si>
  <si>
    <t>-681.374901194113 49.2887128640955 -762.936574358335</t>
  </si>
  <si>
    <t>-568.04520505505 208.095153326683 -245.371334726124</t>
  </si>
  <si>
    <t>-582.192369253786 198.064268522198 209.993279845218</t>
  </si>
  <si>
    <t>-622.961473383419 174.760458024869 677.601690904492</t>
  </si>
  <si>
    <t>-492.050517473766 97.0291144781754 765.71338148374</t>
  </si>
  <si>
    <t>-650.458012754503 35.114937748973 -213.233206811759</t>
  </si>
  <si>
    <t>-489.520120888107 -100.043245754925 191.104394132524</t>
  </si>
  <si>
    <t>-495.595709337791 -19.46140229924 653.984877593895</t>
  </si>
  <si>
    <t>-488.635872287666 -168.744632069691 746.772671954115</t>
  </si>
  <si>
    <t>9763-20170724T160513.125583400.bin</t>
  </si>
  <si>
    <t>-608.095700179373 121.673233994267 -229.648037531363</t>
  </si>
  <si>
    <t>-646.957197903457 119.05881358838 -344.324788830314</t>
  </si>
  <si>
    <t>-664.45884449586 110.562808586534 -463.957760689558</t>
  </si>
  <si>
    <t>-671.410085420915 100.190853309803 -572.764807397671</t>
  </si>
  <si>
    <t>-669.594147885855 87.0423284919184 -681.478452654939</t>
  </si>
  <si>
    <t>-657.991132951376 65.7600322725534 -831.852921520818</t>
  </si>
  <si>
    <t>-623.172779198236 41.8180621652771 -924.575223546519</t>
  </si>
  <si>
    <t>-646.131510004071 101.933887430442 -767.792531124257</t>
  </si>
  <si>
    <t>-552.2155820533 214.428974558225 -755.671650336642</t>
  </si>
  <si>
    <t>-471.162362346043 180.815069016291 -451.555312892022</t>
  </si>
  <si>
    <t>-320.148512625769 29.1895919282968 -303.749347983467</t>
  </si>
  <si>
    <t>-680.118612407461 48.4197985278138 -762.84111090583</t>
  </si>
  <si>
    <t>-566.840659165 208.121085776656 -245.306171650115</t>
  </si>
  <si>
    <t>-581.710047330196 198.072321428282 210.034998869957</t>
  </si>
  <si>
    <t>-623.090545201772 174.577997986641 677.567739113733</t>
  </si>
  <si>
    <t>-491.915088562609 97.3067185107807 765.690750985954</t>
  </si>
  <si>
    <t>-649.231483278332 35.2267496083869 -213.284536880398</t>
  </si>
  <si>
    <t>-488.842400900187 -99.9907901672341 191.251341250338</t>
  </si>
  <si>
    <t>-495.673921821088 -19.4302321592925 654.134184805075</t>
  </si>
  <si>
    <t>-488.246506272811 -168.777807953606 746.782227952742</t>
  </si>
  <si>
    <t>9763-20170724T160513.193767300.bin</t>
  </si>
  <si>
    <t>-607.070491967618 121.566240398915 -229.663471539062</t>
  </si>
  <si>
    <t>-645.816318561112 118.861458066194 -344.377185823233</t>
  </si>
  <si>
    <t>-663.263040549596 110.250140318424 -464.010117113864</t>
  </si>
  <si>
    <t>-670.191931111592 99.7630677512263 -572.807437119022</t>
  </si>
  <si>
    <t>-668.382237674919 86.4876360123035 -681.505792360524</t>
  </si>
  <si>
    <t>-656.818484174928 65.0159014042301 -831.85618191405</t>
  </si>
  <si>
    <t>-622.104700428267 41.0906696700404 -924.622156190181</t>
  </si>
  <si>
    <t>-644.989458747669 101.299534312153 -767.852505984043</t>
  </si>
  <si>
    <t>-551.212129430378 213.942962552988 -755.968412448083</t>
  </si>
  <si>
    <t>-469.995977978869 180.659332525534 -451.859355394971</t>
  </si>
  <si>
    <t>-318.996033044759 28.6226551694328 -304.462192050495</t>
  </si>
  <si>
    <t>-678.880822223672 47.7332951517537 -762.809200706973</t>
  </si>
  <si>
    <t>-565.930407964834 208.011810532664 -245.261268651125</t>
  </si>
  <si>
    <t>-581.233520591291 197.891407520044 210.064000493329</t>
  </si>
  <si>
    <t>-623.254694990579 174.342809944327 677.541859483844</t>
  </si>
  <si>
    <t>-491.910208853767 97.3784158955511 765.681631997062</t>
  </si>
  <si>
    <t>-648.053236801147 35.1326084197535 -213.353588284901</t>
  </si>
  <si>
    <t>-487.933722111223 -100.026123560282 191.308606033423</t>
  </si>
  <si>
    <t>-495.647758915089 -19.4407666553871 654.217786960315</t>
  </si>
  <si>
    <t>-488.08583701818 -168.807632443547 746.823659966064</t>
  </si>
  <si>
    <t>9763-20170724T160513.227863300.bin</t>
  </si>
  <si>
    <t>-606.599008505004 121.52035527262 -229.653412501657</t>
  </si>
  <si>
    <t>-645.287150003523 118.765109965348 -344.385504620376</t>
  </si>
  <si>
    <t>-662.683809334639 110.101744430278 -464.021846970845</t>
  </si>
  <si>
    <t>-669.5715388139 99.5668526670895 -572.817116432168</t>
  </si>
  <si>
    <t>-667.725153506326 86.2427986225989 -681.508969018256</t>
  </si>
  <si>
    <t>-656.115677525833 64.7022030316316 -831.846079614905</t>
  </si>
  <si>
    <t>-621.399689174386 40.7752058253361 -924.610621652415</t>
  </si>
  <si>
    <t>-644.342720649324 101.037728315596 -767.861260303572</t>
  </si>
  <si>
    <t>-550.664984978815 213.769122415103 -756.043155977988</t>
  </si>
  <si>
    <t>-469.402324661698 180.564879482541 -451.937906436362</t>
  </si>
  <si>
    <t>-318.285533243123 28.6054599467752 -304.580800574851</t>
  </si>
  <si>
    <t>-678.162347032998 47.428707004691 -762.791804349721</t>
  </si>
  <si>
    <t>-565.530011175459 207.986039535379 -245.244573815384</t>
  </si>
  <si>
    <t>-581.00854212201 197.839916040376 210.074073936785</t>
  </si>
  <si>
    <t>-623.274561186551 174.30399298186 677.503044029407</t>
  </si>
  <si>
    <t>-491.942997544117 97.3596929288792 765.679591303755</t>
  </si>
  <si>
    <t>-647.552513172048 35.0812496945452 -213.352175852357</t>
  </si>
  <si>
    <t>-487.490749741074 -99.9752212282908 191.366965164793</t>
  </si>
  <si>
    <t>-495.675144335991 -19.4398474332311 654.265425182563</t>
  </si>
  <si>
    <t>-487.902867742694 -168.821509007747 746.830071619984</t>
  </si>
  <si>
    <t>9763-20170724T160513.295075000.bin</t>
  </si>
  <si>
    <t>-605.95142089738 121.38520182053 -229.706891057788</t>
  </si>
  <si>
    <t>-644.562813192388 118.553875446301 -344.462838825682</t>
  </si>
  <si>
    <t>-661.944835756592 109.80208154479 -464.094968085218</t>
  </si>
  <si>
    <t>-668.846630085814 99.1804114426395 -572.880907671381</t>
  </si>
  <si>
    <t>-667.043158720112 85.7605027277718 -681.561712025623</t>
  </si>
  <si>
    <t>-655.523860982938 64.0759724653608 -831.884949119686</t>
  </si>
  <si>
    <t>-620.855511514919 40.1032751261528 -924.655630120068</t>
  </si>
  <si>
    <t>-643.756831418873 100.499939953318 -767.949488052348</t>
  </si>
  <si>
    <t>-550.298708611478 213.443087797453 -756.246173197633</t>
  </si>
  <si>
    <t>-468.761660951206 180.287716079566 -452.209007447589</t>
  </si>
  <si>
    <t>-317.784093890019 27.5818125863166 -305.482238259708</t>
  </si>
  <si>
    <t>-677.484802525986 46.8414060861728 -762.793689072397</t>
  </si>
  <si>
    <t>-565.040768268714 207.900972557808 -245.225259596943</t>
  </si>
  <si>
    <t>-580.735919159487 197.628671581565 210.08320577608</t>
  </si>
  <si>
    <t>-623.46162861894 174.041617413071 677.488915032608</t>
  </si>
  <si>
    <t>-491.770790800786 97.7193652049439 765.670278368151</t>
  </si>
  <si>
    <t>-646.779550945787 34.8979890038909 -213.471356567393</t>
  </si>
  <si>
    <t>-486.905997800656 -99.838973700025 191.428794281704</t>
  </si>
  <si>
    <t>-495.794887934814 -19.4417875763393 654.385224787591</t>
  </si>
  <si>
    <t>-487.424830385159 -168.850114456957 746.854767730529</t>
  </si>
  <si>
    <t>9763-20170724T160513.327170600.bin</t>
  </si>
  <si>
    <t>-605.601786286118 121.360685084741 -229.700732291486</t>
  </si>
  <si>
    <t>-644.162584149293 118.469046841417 -344.472309343899</t>
  </si>
  <si>
    <t>-661.586299427821 109.658876087674 -464.093981417052</t>
  </si>
  <si>
    <t>-668.565018593473 98.9842028750113 -572.869952259115</t>
  </si>
  <si>
    <t>-666.878100776075 85.5100630822312 -681.545848767869</t>
  </si>
  <si>
    <t>-655.561935853894 63.7479453174494 -831.873411562108</t>
  </si>
  <si>
    <t>-620.938939014117 39.7347843433593 -924.650561428413</t>
  </si>
  <si>
    <t>-643.729181488771 100.217640876227 -767.976062854456</t>
  </si>
  <si>
    <t>-550.369339791522 213.243088595721 -756.420994855373</t>
  </si>
  <si>
    <t>-468.576082954704 180.232351294031 -452.436876678955</t>
  </si>
  <si>
    <t>-317.429370004175 27.7966641181513 -305.603365633013</t>
  </si>
  <si>
    <t>-677.408802392349 46.536372825708 -762.740147888194</t>
  </si>
  <si>
    <t>-564.701737269598 207.917431496198 -245.19621074766</t>
  </si>
  <si>
    <t>-580.616118913816 197.620910542441 210.104072988487</t>
  </si>
  <si>
    <t>-623.479142986165 174.056517892934 677.470095377307</t>
  </si>
  <si>
    <t>-491.843121974093 97.6563345018317 765.665779426995</t>
  </si>
  <si>
    <t>-646.416270311021 34.8263334290889 -213.496229874666</t>
  </si>
  <si>
    <t>-486.654090218731 -99.7680923055329 191.495113584166</t>
  </si>
  <si>
    <t>-495.839775681511 -19.4450088159756 654.451078113309</t>
  </si>
  <si>
    <t>-487.157019513902 -168.864660660332 746.873312892979</t>
  </si>
  <si>
    <t>9763-20170724T160513.390339800.bin</t>
  </si>
  <si>
    <t>-605.084538180761 121.104566370032 -229.81909577009</t>
  </si>
  <si>
    <t>-643.505131039597 118.163847660612 -344.636404089091</t>
  </si>
  <si>
    <t>-661.008271994454 109.238984713651 -464.23796138487</t>
  </si>
  <si>
    <t>-668.153912785612 98.429173727103 -572.989772277858</t>
  </si>
  <si>
    <t>-666.731168723776 84.7850595093769 -681.648134290701</t>
  </si>
  <si>
    <t>-655.884741954973 62.7469099686118 -831.970138811828</t>
  </si>
  <si>
    <t>-621.455815256313 38.6274810823052 -924.791917224447</t>
  </si>
  <si>
    <t>-643.863095963979 99.3402998490294 -768.178811031456</t>
  </si>
  <si>
    <t>-550.636921091415 212.514650046877 -756.95137473775</t>
  </si>
  <si>
    <t>-468.115381578777 179.633197103779 -453.150175483319</t>
  </si>
  <si>
    <t>-316.922657898161 27.3948599216365 -306.159244980919</t>
  </si>
  <si>
    <t>-677.504780747372 45.6559457591479 -762.735827434243</t>
  </si>
  <si>
    <t>-564.356497662876 207.726662017457 -245.214613475705</t>
  </si>
  <si>
    <t>-580.546212942247 197.453225493692 210.076461474979</t>
  </si>
  <si>
    <t>-623.622791297164 173.900677048387 677.438179443982</t>
  </si>
  <si>
    <t>-491.781738757964 97.8774269846203 765.653341352793</t>
  </si>
  <si>
    <t>-645.67060222415 34.4817476903793 -213.729767375617</t>
  </si>
  <si>
    <t>-486.256668975468 -99.8184675956682 191.496507306111</t>
  </si>
  <si>
    <t>-495.893404455296 -19.5263960630157 654.475877673956</t>
  </si>
  <si>
    <t>-486.826820722455 -168.913088685794 746.914540521745</t>
  </si>
  <si>
    <t>9763-20170724T160513.429003300.bin</t>
  </si>
  <si>
    <t>-604.7921053095 121.074930207277 -229.876424539055</t>
  </si>
  <si>
    <t>-643.199102433947 118.168096569883 -344.699128204901</t>
  </si>
  <si>
    <t>-660.729063600925 109.144604017815 -464.289520975568</t>
  </si>
  <si>
    <t>-667.918848413071 98.1881008224461 -573.023623627237</t>
  </si>
  <si>
    <t>-666.562492469199 84.3376251643767 -681.656911868621</t>
  </si>
  <si>
    <t>-655.833704504201 61.9487416755148 -831.93533177571</t>
  </si>
  <si>
    <t>-621.551750828097 37.7415465815166 -924.788685628418</t>
  </si>
  <si>
    <t>-643.745964888177 98.6809634726244 -768.236451286633</t>
  </si>
  <si>
    <t>-550.510138184911 211.869455635474 -757.271898255462</t>
  </si>
  <si>
    <t>-467.632133592907 179.355588367929 -453.528171793619</t>
  </si>
  <si>
    <t>-316.416056046966 27.2880602436096 -306.384613464057</t>
  </si>
  <si>
    <t>-677.415794512196 45.029246259865 -762.647152311007</t>
  </si>
  <si>
    <t>-564.166714615101 207.782427142181 -245.207700214125</t>
  </si>
  <si>
    <t>-580.440379191797 197.46429400506 210.079396410114</t>
  </si>
  <si>
    <t>-623.561473192171 174.06459712352 677.427430484317</t>
  </si>
  <si>
    <t>-491.827845285734 97.8662089977092 765.652009484138</t>
  </si>
  <si>
    <t>-645.262847181676 34.4187880252141 -213.831731699755</t>
  </si>
  <si>
    <t>-485.998469555302 -99.8069020631917 191.478100341886</t>
  </si>
  <si>
    <t>-495.919469237225 -19.5918728758636 654.454943365622</t>
  </si>
  <si>
    <t>-486.709623745377 -168.942251472739 746.938128787681</t>
  </si>
  <si>
    <t>9763-20170724T160513.494178300.bin</t>
  </si>
  <si>
    <t>-604.41018513569 121.01710760341 -229.946699702635</t>
  </si>
  <si>
    <t>-642.76471784331 118.176690343704 -344.78868043563</t>
  </si>
  <si>
    <t>-660.376750373283 108.923254243154 -464.34933247849</t>
  </si>
  <si>
    <t>-667.703192083519 97.633322546742 -573.040219346703</t>
  </si>
  <si>
    <t>-666.550577766315 83.3210819413005 -681.615895497551</t>
  </si>
  <si>
    <t>-656.178918604611 60.1545288569139 -831.801639047966</t>
  </si>
  <si>
    <t>-622.236334915397 35.6766824494407 -924.708736341438</t>
  </si>
  <si>
    <t>-643.885765250724 97.1827055379322 -768.313750620399</t>
  </si>
  <si>
    <t>-550.472839003992 210.292521630655 -758.051974915454</t>
  </si>
  <si>
    <t>-466.725880733802 178.921415375674 -454.426500115379</t>
  </si>
  <si>
    <t>-315.802624046502 26.0559649102249 -307.810010395838</t>
  </si>
  <si>
    <t>-677.65036151248 43.6272932720219 -762.384438563718</t>
  </si>
  <si>
    <t>-563.926553012535 207.758536148923 -245.191561316786</t>
  </si>
  <si>
    <t>-580.267323000564 197.3159729366 210.090410169831</t>
  </si>
  <si>
    <t>-623.633342145477 174.049275805183 677.426138722493</t>
  </si>
  <si>
    <t>-491.837744200093 97.9703430267441 765.661193264866</t>
  </si>
  <si>
    <t>-644.780231800017 34.2270062415744 -214.038242794273</t>
  </si>
  <si>
    <t>-485.634185230421 -99.6807141648408 191.423192848803</t>
  </si>
  <si>
    <t>-495.933485804458 -19.7093129702307 654.427663185411</t>
  </si>
  <si>
    <t>-486.578150464179 -168.998081099565 746.995690472615</t>
  </si>
  <si>
    <t>9763-20170724T160513.525788600.bin</t>
  </si>
  <si>
    <t>-604.021466078252 121.159896394787 -229.988204531188</t>
  </si>
  <si>
    <t>-642.41229161002 118.416398646606 -344.820531180058</t>
  </si>
  <si>
    <t>-660.080537710094 109.016280684914 -464.36134295802</t>
  </si>
  <si>
    <t>-667.469337059638 97.494671433516 -573.023746519665</t>
  </si>
  <si>
    <t>-666.392919686055 82.8524535394276 -681.556204498572</t>
  </si>
  <si>
    <t>-656.144362865304 59.1254208643913 -831.662873425298</t>
  </si>
  <si>
    <t>-622.337357362109 34.4218196131217 -924.559599925962</t>
  </si>
  <si>
    <t>-643.771014647353 96.3730846684998 -768.319132999847</t>
  </si>
  <si>
    <t>-550.287958766654 209.458845273252 -758.541469584941</t>
  </si>
  <si>
    <t>-465.982530323613 179.187183347299 -454.958927906087</t>
  </si>
  <si>
    <t>-315.505627510093 25.0867047038405 -309.178961862088</t>
  </si>
  <si>
    <t>-677.587112247119 42.8746391505581 -762.171563036369</t>
  </si>
  <si>
    <t>-563.58419201987 207.996679124237 -245.174882767037</t>
  </si>
  <si>
    <t>-579.969098145877 197.399025410073 210.101909467269</t>
  </si>
  <si>
    <t>-623.565484247396 174.216918132565 677.423416878279</t>
  </si>
  <si>
    <t>-491.999356806229 97.7609586952378 765.675063744755</t>
  </si>
  <si>
    <t>-644.316996067979 34.3279414521803 -214.102833565868</t>
  </si>
  <si>
    <t>-485.305422630482 -99.733999300501 191.360345796894</t>
  </si>
  <si>
    <t>-495.87437864126 -19.7843652181391 654.373716133572</t>
  </si>
  <si>
    <t>-486.706603462739 -169.035183632726 747.02176385461</t>
  </si>
  <si>
    <t>9763-20170724T160513.591466500.bin</t>
  </si>
  <si>
    <t>-603.26972840278 121.665534491849 -229.936768336164</t>
  </si>
  <si>
    <t>-641.61602857464 119.002236988735 -344.785682060392</t>
  </si>
  <si>
    <t>-659.443344142339 109.19814747772 -464.270509575379</t>
  </si>
  <si>
    <t>-667.067198374978 97.1182664087066 -572.855967387423</t>
  </si>
  <si>
    <t>-666.321841857419 81.7275036970859 -681.287596395715</t>
  </si>
  <si>
    <t>-656.637358483957 56.764872907007 -831.231251769005</t>
  </si>
  <si>
    <t>-623.083606634872 31.3801695288751 -924.03615738445</t>
  </si>
  <si>
    <t>-643.961779603904 94.4931331318958 -768.232607072813</t>
  </si>
  <si>
    <t>-550.296023868453 207.529395872717 -759.702212953395</t>
  </si>
  <si>
    <t>-464.288683199497 179.44815507871 -456.386561578576</t>
  </si>
  <si>
    <t>-314.189245213486 23.6253331335549 -312.055409844738</t>
  </si>
  <si>
    <t>-677.883099677329 41.1270057478555 -761.539173859354</t>
  </si>
  <si>
    <t>-562.829209960179 208.506065124026 -245.068303368413</t>
  </si>
  <si>
    <t>-579.607760872944 197.692597691479 210.189086304935</t>
  </si>
  <si>
    <t>-623.68222791811 174.160221001457 677.456577235017</t>
  </si>
  <si>
    <t>-491.972377925447 97.9183822959451 765.67906643098</t>
  </si>
  <si>
    <t>-643.585253880706 34.7951336379745 -214.115004868287</t>
  </si>
  <si>
    <t>-484.83983266748 -99.7465963876296 191.29361818071</t>
  </si>
  <si>
    <t>-495.826421750219 -19.923847174199 654.280587065924</t>
  </si>
  <si>
    <t>-486.913605665233 -169.10296180397 747.06882179702</t>
  </si>
  <si>
    <t>9763-20170724T160513.626562800.bin</t>
  </si>
  <si>
    <t>-602.834768051516 122.047853473937 -229.915482244139</t>
  </si>
  <si>
    <t>-641.14608711053 119.3809706393 -344.776038348972</t>
  </si>
  <si>
    <t>-659.06616292179 109.345858527741 -464.227792950315</t>
  </si>
  <si>
    <t>-666.830422511491 96.9662789670701 -572.769505610808</t>
  </si>
  <si>
    <t>-666.28470624051 81.1857967420383 -681.146402078207</t>
  </si>
  <si>
    <t>-656.941276147305 55.5889725961622 -831.004744276273</t>
  </si>
  <si>
    <t>-623.542841479013 29.8539673518108 -923.769157771591</t>
  </si>
  <si>
    <t>-644.089026362936 93.5627301043974 -768.189686195658</t>
  </si>
  <si>
    <t>-550.229516412811 206.471217079473 -760.26101981342</t>
  </si>
  <si>
    <t>-463.035744026567 179.347054479082 -457.197126866852</t>
  </si>
  <si>
    <t>-312.506551208388 24.8528022466103 -311.888691769718</t>
  </si>
  <si>
    <t>-678.061823671387 40.2668884751492 -761.204401462801</t>
  </si>
  <si>
    <t>-562.331738505366 208.899854884006 -245.031765328237</t>
  </si>
  <si>
    <t>-579.423923400577 198.002398417359 210.211876177646</t>
  </si>
  <si>
    <t>-623.685845300537 174.213833713969 677.455822464792</t>
  </si>
  <si>
    <t>-492.143212331091 97.6962789184322 765.689115758316</t>
  </si>
  <si>
    <t>-643.207563821999 35.1465837371727 -214.11588898918</t>
  </si>
  <si>
    <t>-484.665739228901 -99.5242821027311 191.329391850813</t>
  </si>
  <si>
    <t>-495.837437064282 -19.9431688577924 654.333538644865</t>
  </si>
  <si>
    <t>-486.922763804439 -169.119287528861 747.126419499712</t>
  </si>
  <si>
    <t>9763-20170724T160513.703782500.bin</t>
  </si>
  <si>
    <t>-602.091160304885 123.207598665771 -229.749240688734</t>
  </si>
  <si>
    <t>-640.375585682318 120.527966126634 -344.618489233535</t>
  </si>
  <si>
    <t>-658.477753991558 110.056371091103 -464.005452727401</t>
  </si>
  <si>
    <t>-666.499129241802 97.1144280379024 -572.462751110655</t>
  </si>
  <si>
    <t>-666.307366903535 80.6066253615302 -680.732427742251</t>
  </si>
  <si>
    <t>-657.560169858556 53.8301288171867 -830.42042268898</t>
  </si>
  <si>
    <t>-624.289129298082 27.3339846387414 -923.016163696397</t>
  </si>
  <si>
    <t>-644.405295415051 92.2644886878645 -767.949008556512</t>
  </si>
  <si>
    <t>-550.205843179994 204.977727777736 -761.223485533534</t>
  </si>
  <si>
    <t>-460.872900487124 179.034695659573 -458.679567890155</t>
  </si>
  <si>
    <t>-306.519388346042 33.427229515416 -308.295033868795</t>
  </si>
  <si>
    <t>-678.455773547178 39.0913045048162 -760.427139789615</t>
  </si>
  <si>
    <t>-561.42691815735 210.120718510344 -244.907104063352</t>
  </si>
  <si>
    <t>-578.980035992519 198.72431294387 210.306787979713</t>
  </si>
  <si>
    <t>-623.688782005903 174.341169828162 677.465805909548</t>
  </si>
  <si>
    <t>-492.171904757871 97.7653566818476 765.686955328375</t>
  </si>
  <si>
    <t>-642.637273303777 36.334481180332 -213.91055655892</t>
  </si>
  <si>
    <t>-484.184040690811 -98.9391636116641 191.368652424274</t>
  </si>
  <si>
    <t>-495.897861926619 -19.9552457293823 654.446411902731</t>
  </si>
  <si>
    <t>-486.82109859677 -169.146883391437 747.198483609615</t>
  </si>
  <si>
    <t>9763-20170724T160513.728845800.bin</t>
  </si>
  <si>
    <t>-601.624400671301 123.828723406069 -229.639472032716</t>
  </si>
  <si>
    <t>-639.845805313249 121.064053896504 -344.527540455487</t>
  </si>
  <si>
    <t>-657.993774871947 110.376754550793 -463.888333098976</t>
  </si>
  <si>
    <t>-666.103715700956 97.1902413403186 -572.309808610486</t>
  </si>
  <si>
    <t>-666.04854278933 80.3907574343705 -680.534602973745</t>
  </si>
  <si>
    <t>-657.541818609929 53.1617597958386 -830.15488709474</t>
  </si>
  <si>
    <t>-624.341975453983 26.3039047590742 -922.671988309762</t>
  </si>
  <si>
    <t>-644.280530385949 91.7810438208178 -767.820118128141</t>
  </si>
  <si>
    <t>-550.061504212133 204.49889745346 -761.576541122171</t>
  </si>
  <si>
    <t>-459.542558254715 179.203864911166 -459.330459173689</t>
  </si>
  <si>
    <t>-303.269126796534 37.5117485776627 -307.198780523318</t>
  </si>
  <si>
    <t>-678.331042714168 38.6384367631708 -760.084811049816</t>
  </si>
  <si>
    <t>-560.853918039105 210.700814470154 -244.836211733198</t>
  </si>
  <si>
    <t>-578.774000224874 199.204792991127 210.360801153236</t>
  </si>
  <si>
    <t>-623.703464762508 174.389574381211 677.46865000785</t>
  </si>
  <si>
    <t>-492.22771900518 97.7365309574307 765.684013800782</t>
  </si>
  <si>
    <t>-642.267401354452 36.9487486644409 -213.760947202109</t>
  </si>
  <si>
    <t>-483.954841564824 -98.5870653975189 191.485714332409</t>
  </si>
  <si>
    <t>-495.906595234864 -19.9153268146413 654.585655257022</t>
  </si>
  <si>
    <t>-486.688028958452 -169.14858977883 747.256985870056</t>
  </si>
  <si>
    <t>9763-20170724T160513.790013300.bin</t>
  </si>
  <si>
    <t>-600.660618618185 124.868028690486 -229.443162079164</t>
  </si>
  <si>
    <t>-638.81382554302 121.98241714972 -344.351065290956</t>
  </si>
  <si>
    <t>-657.039192718303 110.968756312309 -463.670396613819</t>
  </si>
  <si>
    <t>-665.280054280202 97.4137909073656 -572.03639456198</t>
  </si>
  <si>
    <t>-665.417271227785 80.1780337864423 -680.192622049447</t>
  </si>
  <si>
    <t>-657.241866749703 52.2770598072802 -829.707461759147</t>
  </si>
  <si>
    <t>-624.061484440213 24.8285490470532 -922.058081298758</t>
  </si>
  <si>
    <t>-643.872312814207 91.1941453450324 -767.581557153098</t>
  </si>
  <si>
    <t>-549.847926224329 204.135884171197 -762.179572304642</t>
  </si>
  <si>
    <t>-457.661551444095 179.989797678633 -460.343827193473</t>
  </si>
  <si>
    <t>-298.774694546592 42.8879518685576 -306.720629699083</t>
  </si>
  <si>
    <t>-677.846102631645 38.0506592969041 -759.522074891208</t>
  </si>
  <si>
    <t>-559.708444139841 211.606114802787 -244.717265331227</t>
  </si>
  <si>
    <t>-578.292937258277 199.773240280688 210.444476133165</t>
  </si>
  <si>
    <t>-623.857050308058 174.252828003858 677.44793983423</t>
  </si>
  <si>
    <t>-492.186105252383 97.9416625335984 765.668583138094</t>
  </si>
  <si>
    <t>-641.529261546938 38.0855978910854 -213.510078276724</t>
  </si>
  <si>
    <t>-483.550035413918 -98.2282340260704 191.605639311525</t>
  </si>
  <si>
    <t>-495.986556675952 -19.8849931579291 654.790101886271</t>
  </si>
  <si>
    <t>-486.353866402918 -169.1640366641 747.345588682887</t>
  </si>
  <si>
    <t>9763-20170724T160513.827111800.bin</t>
  </si>
  <si>
    <t>-600.170313288255 125.192787490867 -229.419044724982</t>
  </si>
  <si>
    <t>-638.297366991669 122.278690774086 -344.334802731599</t>
  </si>
  <si>
    <t>-656.550030043954 111.17150096914 -463.641366890032</t>
  </si>
  <si>
    <t>-664.83788614758 97.5088122373334 -571.990263946674</t>
  </si>
  <si>
    <t>-665.044417980254 80.144062063968 -680.125647750396</t>
  </si>
  <si>
    <t>-656.988758984496 52.0429395174376 -829.609546760606</t>
  </si>
  <si>
    <t>-623.800053980102 24.4434099574091 -921.912174290721</t>
  </si>
  <si>
    <t>-643.600550359458 91.0621114427397 -767.55166434498</t>
  </si>
  <si>
    <t>-549.751267247136 204.14605608603 -762.369035670515</t>
  </si>
  <si>
    <t>-457.308529173047 180.093208433029 -460.604149099596</t>
  </si>
  <si>
    <t>-297.785422905055 44.1886028740091 -306.57704183167</t>
  </si>
  <si>
    <t>-677.505744297732 37.8914922956851 -759.383464846646</t>
  </si>
  <si>
    <t>-559.187117959385 211.955190213813 -244.685600867063</t>
  </si>
  <si>
    <t>-577.972649216077 199.867118098975 210.461293637861</t>
  </si>
  <si>
    <t>-623.909608789412 174.226053945001 677.433042065504</t>
  </si>
  <si>
    <t>-492.247088646257 97.9072835825091 765.659675015526</t>
  </si>
  <si>
    <t>-641.088975938569 38.4018330775589 -213.45645317793</t>
  </si>
  <si>
    <t>-483.451593421256 -98.1579644160788 191.709652933609</t>
  </si>
  <si>
    <t>-496.01964379291 -19.8915212034167 654.889116505357</t>
  </si>
  <si>
    <t>-486.175587088449 -169.179080168558 747.40859076259</t>
  </si>
  <si>
    <t>9763-20170724T160513.893791400.bin</t>
  </si>
  <si>
    <t>-599.104306578972 125.542548010911 -229.342650908613</t>
  </si>
  <si>
    <t>-637.077223960508 122.525703363275 -344.306982270138</t>
  </si>
  <si>
    <t>-655.31932774823 111.272624779222 -463.601312522738</t>
  </si>
  <si>
    <t>-663.659021146182 97.4630833899985 -571.927707896235</t>
  </si>
  <si>
    <t>-663.980032581845 79.9369993191556 -680.036825808673</t>
  </si>
  <si>
    <t>-656.14853935473 51.5976391012528 -829.48764919989</t>
  </si>
  <si>
    <t>-623.021935666898 23.9583807639647 -921.800576816462</t>
  </si>
  <si>
    <t>-642.724682856295 90.7506922517073 -767.521884636343</t>
  </si>
  <si>
    <t>-549.15296332335 204.089537673194 -762.573300065757</t>
  </si>
  <si>
    <t>-456.514875174963 179.945626840282 -460.875695392051</t>
  </si>
  <si>
    <t>-296.770722061357 45.6260770069712 -305.691522340361</t>
  </si>
  <si>
    <t>-676.502817021079 37.5231211504874 -759.198754360076</t>
  </si>
  <si>
    <t>-558.253255700735 212.314833659883 -244.575018657297</t>
  </si>
  <si>
    <t>-577.374808312833 199.7844444463 210.545970373328</t>
  </si>
  <si>
    <t>-624.074410803262 174.077426358 677.40492700417</t>
  </si>
  <si>
    <t>-492.17913405483 98.1671991384042 765.636339480402</t>
  </si>
  <si>
    <t>-639.798979660208 38.7954833374015 -213.417853401754</t>
  </si>
  <si>
    <t>-482.767172184666 -98.1799832483107 191.842972423787</t>
  </si>
  <si>
    <t>-496.059677594993 -19.9130511268254 655.05737535381</t>
  </si>
  <si>
    <t>-485.963370984551 -169.215977604296 747.524623856138</t>
  </si>
  <si>
    <t>9763-20170724T160513.925379600.bin</t>
  </si>
  <si>
    <t>-598.630275567307 125.534050908205 -229.293396011734</t>
  </si>
  <si>
    <t>-636.562298141962 122.451843750525 -344.269290087365</t>
  </si>
  <si>
    <t>-654.748139014232 111.213617799073 -463.573768485385</t>
  </si>
  <si>
    <t>-663.031433301197 97.4465477304088 -571.909769184828</t>
  </si>
  <si>
    <t>-663.291033398715 79.9895376475808 -680.030294441925</t>
  </si>
  <si>
    <t>-655.369755021864 51.7712822394064 -829.499307519131</t>
  </si>
  <si>
    <t>-622.197865387212 24.2791391818614 -921.839890280712</t>
  </si>
  <si>
    <t>-642.007459212827 90.8888533024267 -767.497781125883</t>
  </si>
  <si>
    <t>-548.505480951772 204.259622588262 -762.488403273424</t>
  </si>
  <si>
    <t>-455.930696329255 179.888136750052 -460.789628792262</t>
  </si>
  <si>
    <t>-296.289340107207 45.6460703494326 -305.43282386256</t>
  </si>
  <si>
    <t>-675.741954847431 37.6250380774707 -759.22990586705</t>
  </si>
  <si>
    <t>-557.891223205351 212.347056420811 -244.520034149706</t>
  </si>
  <si>
    <t>-577.116820918421 199.683614187644 210.592749219248</t>
  </si>
  <si>
    <t>-624.158838900582 174.005454528506 677.407411952465</t>
  </si>
  <si>
    <t>-492.110508615612 98.3600301239642 765.637281836995</t>
  </si>
  <si>
    <t>-639.229474371387 38.7564029675923 -213.377480337429</t>
  </si>
  <si>
    <t>-482.244300764097 -98.2103292874576 191.904432933365</t>
  </si>
  <si>
    <t>-496.065213105149 -19.9253686393151 655.118501876033</t>
  </si>
  <si>
    <t>-485.809257797557 -169.235404101655 747.556844620887</t>
  </si>
  <si>
    <t>9763-20170724T160513.992104300.bin</t>
  </si>
  <si>
    <t>-597.783943206922 125.222474273246 -229.272538192902</t>
  </si>
  <si>
    <t>-635.670717016401 122.047018605238 -344.260871445273</t>
  </si>
  <si>
    <t>-653.710654929263 110.939774172724 -463.599670189029</t>
  </si>
  <si>
    <t>-661.81994145293 97.3759546774518 -571.974692431313</t>
  </si>
  <si>
    <t>-661.863146564529 80.2026465854815 -680.140861052592</t>
  </si>
  <si>
    <t>-653.596724844962 52.458679713418 -829.679941563581</t>
  </si>
  <si>
    <t>-620.326375393515 25.4464867195425 -922.126706358504</t>
  </si>
  <si>
    <t>-640.450481650742 91.4233748913111 -767.536277697613</t>
  </si>
  <si>
    <t>-547.402809192527 205.162498830101 -762.03349224917</t>
  </si>
  <si>
    <t>-454.662342588963 181.042907347756 -460.365350121346</t>
  </si>
  <si>
    <t>-292.336555870761 49.7752863595817 -305.248511679108</t>
  </si>
  <si>
    <t>-674.058301329914 38.0456007007538 -759.49082817509</t>
  </si>
  <si>
    <t>-557.361238898817 212.08253021505 -244.424453845723</t>
  </si>
  <si>
    <t>-576.863892550855 199.40125702286 210.676086685419</t>
  </si>
  <si>
    <t>-624.421341741599 173.757098265286 677.45603337835</t>
  </si>
  <si>
    <t>-492.077915958881 98.5917872468171 765.654171229236</t>
  </si>
  <si>
    <t>-638.15451062045 38.4169077937904 -213.363685550633</t>
  </si>
  <si>
    <t>-481.289527287645 -98.4276464714651 192.006010183096</t>
  </si>
  <si>
    <t>-496.128404229659 -19.947287944836 655.221464124775</t>
  </si>
  <si>
    <t>-485.3029677697 -169.270016086879 747.574289453216</t>
  </si>
  <si>
    <t>9763-20170724T160514.029704600.bin</t>
  </si>
  <si>
    <t>-597.361690099259 124.898639658628 -229.253973564668</t>
  </si>
  <si>
    <t>-635.137620770247 121.631607787301 -344.276200199845</t>
  </si>
  <si>
    <t>-653.073863132802 110.634865255924 -463.64086890377</t>
  </si>
  <si>
    <t>-661.09194899917 97.2493085049025 -572.044689231586</t>
  </si>
  <si>
    <t>-661.045968871524 80.3295423542254 -680.250831195209</t>
  </si>
  <si>
    <t>-652.656857231784 53.0133616495127 -829.861822782594</t>
  </si>
  <si>
    <t>-619.265811993932 26.3078469098148 -922.354135861237</t>
  </si>
  <si>
    <t>-639.604816789386 91.8261830248341 -767.603273701066</t>
  </si>
  <si>
    <t>-546.790485499237 205.740211074535 -761.747532957964</t>
  </si>
  <si>
    <t>-454.393106271183 182.398982355253 -459.912906813378</t>
  </si>
  <si>
    <t>-291.750029301741 53.264417768878 -303.344914607645</t>
  </si>
  <si>
    <t>-673.132807643909 38.3735890676585 -759.723976006862</t>
  </si>
  <si>
    <t>-557.131506016828 211.79530101698 -244.333222608652</t>
  </si>
  <si>
    <t>-576.849836177641 199.24268058143 210.761572460482</t>
  </si>
  <si>
    <t>-624.664703908067 173.585517307505 677.574954606735</t>
  </si>
  <si>
    <t>-492.066603230459 98.72540243194 765.649976686832</t>
  </si>
  <si>
    <t>-637.510290697399 38.0117468742326 -213.412837486164</t>
  </si>
  <si>
    <t>-480.839996759682 -98.6231174536401 192.102960313483</t>
  </si>
  <si>
    <t>-496.129865082885 -19.9569104379661 655.280549759633</t>
  </si>
  <si>
    <t>-485.107956834814 -169.287665749948 747.59704254325</t>
  </si>
  <si>
    <t>9763-20170724T160514.093872500.bin</t>
  </si>
  <si>
    <t>-596.582079822173 123.559794575138 -229.058722487544</t>
  </si>
  <si>
    <t>-634.168073478712 120.255119966658 -344.141954024949</t>
  </si>
  <si>
    <t>-651.884733428458 109.666924737581 -463.576440378467</t>
  </si>
  <si>
    <t>-659.690715656696 96.8210362966954 -572.061081938513</t>
  </si>
  <si>
    <t>-659.417987150718 80.6029094084925 -680.374259172455</t>
  </si>
  <si>
    <t>-650.696644175024 54.4232556838494 -830.169267369293</t>
  </si>
  <si>
    <t>-617.044707593151 28.5295532483335 -922.797789825008</t>
  </si>
  <si>
    <t>-637.901011221084 92.8331954308981 -767.608341075325</t>
  </si>
  <si>
    <t>-545.708898027761 207.167463249158 -760.586261155236</t>
  </si>
  <si>
    <t>-456.25313719648 184.256923519312 -457.834027912442</t>
  </si>
  <si>
    <t>-297.40967290914 58.1388474399078 -295.030282833148</t>
  </si>
  <si>
    <t>-671.210113789992 39.1806929078043 -760.170808575313</t>
  </si>
  <si>
    <t>-557.10930939317 210.619007650257 -243.773672075014</t>
  </si>
  <si>
    <t>-577.07530870685 198.241665265149 211.315173936372</t>
  </si>
  <si>
    <t>-625.732364683586 173.132210683534 678.371572588978</t>
  </si>
  <si>
    <t>-492.051757861467 99.0859015642318 765.493010034</t>
  </si>
  <si>
    <t>-635.946913875346 36.5270489165796 -213.54863708851</t>
  </si>
  <si>
    <t>-480.268235119109 -99.3350923656117 192.60814731944</t>
  </si>
  <si>
    <t>-496.131078198332 -19.9880054201819 655.611179284565</t>
  </si>
  <si>
    <t>-484.794563169814 -169.337939890272 747.858637630554</t>
  </si>
  <si>
    <t>9763-20170724T160514.127969900.bin</t>
  </si>
  <si>
    <t>-596.33839742578 122.844091810547 -228.682244544964</t>
  </si>
  <si>
    <t>-633.831509905237 119.524681659124 -343.795363889928</t>
  </si>
  <si>
    <t>-651.333317794981 109.208692462101 -463.285300088448</t>
  </si>
  <si>
    <t>-658.893892179632 96.7164576657381 -571.828569685374</t>
  </si>
  <si>
    <t>-658.324103520548 80.9536255867222 -680.207837811113</t>
  </si>
  <si>
    <t>-649.135660193327 55.5075156866585 -830.101342364657</t>
  </si>
  <si>
    <t>-615.290006778173 30.1618316243616 -922.810858321322</t>
  </si>
  <si>
    <t>-636.585259840595 93.6405435126749 -767.321655375231</t>
  </si>
  <si>
    <t>-544.469850219862 207.976828845787 -759.337089309558</t>
  </si>
  <si>
    <t>-458.004136286821 184.518158991159 -455.759199897597</t>
  </si>
  <si>
    <t>-301.090706981702 59.4440389720014 -290.300167074171</t>
  </si>
  <si>
    <t>-669.817177448523 39.8928209144096 -760.234422216167</t>
  </si>
  <si>
    <t>-557.371982365117 209.917284471469 -243.170912311542</t>
  </si>
  <si>
    <t>-577.480506309723 197.671316146406 211.915247120779</t>
  </si>
  <si>
    <t>-626.556870450385 172.855386419777 679.051340915609</t>
  </si>
  <si>
    <t>-492.050789645087 99.333349261643 765.342310192812</t>
  </si>
  <si>
    <t>-635.222865151135 35.8012561746982 -213.344906629172</t>
  </si>
  <si>
    <t>-480.060347066344 -99.9644945254756 193.041560905134</t>
  </si>
  <si>
    <t>-496.087634107276 -20.0190679992575 655.875247208426</t>
  </si>
  <si>
    <t>-484.702481902868 -169.367656496246 748.11892284019</t>
  </si>
  <si>
    <t>9763-20170724T160514.193147700.bin</t>
  </si>
  <si>
    <t>-596.036878992952 121.748712075356 -227.676555594801</t>
  </si>
  <si>
    <t>-633.344358165083 118.296308849285 -342.846124668005</t>
  </si>
  <si>
    <t>-650.357978855311 108.511779073604 -462.451131520877</t>
  </si>
  <si>
    <t>-657.345692234698 96.760780165351 -571.11547451145</t>
  </si>
  <si>
    <t>-656.067491169975 81.9928482963971 -679.628699937005</t>
  </si>
  <si>
    <t>-645.749662253991 58.1875102275117 -829.718283708136</t>
  </si>
  <si>
    <t>-611.340265433679 34.0767313120741 -922.549487537144</t>
  </si>
  <si>
    <t>-633.859086140026 95.7410524672287 -766.462641761014</t>
  </si>
  <si>
    <t>-542.474677855912 210.525866323868 -756.439429188546</t>
  </si>
  <si>
    <t>-460.7186598013 184.670535022622 -451.753383220385</t>
  </si>
  <si>
    <t>-308.428855282914 56.0468717004881 -284.702999823655</t>
  </si>
  <si>
    <t>-666.770903970912 41.700183824169 -760.153943706411</t>
  </si>
  <si>
    <t>-557.888648055168 209.131992970951 -242.036440135872</t>
  </si>
  <si>
    <t>-578.182107981818 197.2042461192 213.049879103754</t>
  </si>
  <si>
    <t>-627.526604458321 172.856682100883 679.943715380954</t>
  </si>
  <si>
    <t>-492.210477899505 99.4501470203627 765.058579350892</t>
  </si>
  <si>
    <t>-634.046909173303 34.4645275027367 -212.545258764688</t>
  </si>
  <si>
    <t>-479.356615929531 -101.213669191395 194.050389947518</t>
  </si>
  <si>
    <t>-495.987753698443 -20.0648340147779 656.551689998878</t>
  </si>
  <si>
    <t>-484.518974707101 -169.431972012403 748.755004905744</t>
  </si>
  <si>
    <t>9763-20170724T160514.225146700.bin</t>
  </si>
  <si>
    <t>-596.024946761086 121.335916402263 -227.29662528133</t>
  </si>
  <si>
    <t>-633.283308062219 117.755684503377 -342.478291092844</t>
  </si>
  <si>
    <t>-650.101457620475 108.196069265726 -462.129096489182</t>
  </si>
  <si>
    <t>-656.848217719941 96.7859484154353 -570.845002200304</t>
  </si>
  <si>
    <t>-655.262920070183 82.4917174152217 -679.417543316131</t>
  </si>
  <si>
    <t>-644.447844615309 59.4788541691296 -829.595652983939</t>
  </si>
  <si>
    <t>-609.619223930621 36.0056202007697 -922.433977173496</t>
  </si>
  <si>
    <t>-632.878050663806 96.7631841965406 -766.121730767121</t>
  </si>
  <si>
    <t>-542.018241389535 211.850722085077 -755.180871185944</t>
  </si>
  <si>
    <t>-461.809490004693 184.203164555701 -450.240860168</t>
  </si>
  <si>
    <t>-310.736420704999 52.5371090443944 -284.46081221907</t>
  </si>
  <si>
    <t>-665.588298944426 42.5595005889577 -760.17140418994</t>
  </si>
  <si>
    <t>-558.263225550549 208.88096292201 -241.723560856934</t>
  </si>
  <si>
    <t>-578.589379490497 197.105653800211 213.365249969363</t>
  </si>
  <si>
    <t>-627.846028036685 172.705963487992 680.097751091681</t>
  </si>
  <si>
    <t>-492.091261723713 99.8698159445803 765.003848815482</t>
  </si>
  <si>
    <t>-633.644486397226 33.8969872091832 -212.154730157018</t>
  </si>
  <si>
    <t>-478.845945289857 -101.693184650905 194.429061439925</t>
  </si>
  <si>
    <t>-495.986722435554 -20.0492258173178 656.847020064997</t>
  </si>
  <si>
    <t>-484.325687373023 -169.450747104872 748.970452839461</t>
  </si>
  <si>
    <t>9763-20170724T160514.292326300.bin</t>
  </si>
  <si>
    <t>-595.958901504549 120.781564952178 -226.964430219893</t>
  </si>
  <si>
    <t>-633.017454028693 116.947767207516 -342.202235808631</t>
  </si>
  <si>
    <t>-649.505202751539 107.808843940106 -461.932037030577</t>
  </si>
  <si>
    <t>-655.893809688288 97.040192915237 -570.73488633199</t>
  </si>
  <si>
    <t>-653.887518569804 83.6387409713161 -679.414431238161</t>
  </si>
  <si>
    <t>-642.418387989158 62.1196376797172 -829.765245304641</t>
  </si>
  <si>
    <t>-606.944676558228 39.9204336196271 -922.672729451738</t>
  </si>
  <si>
    <t>-631.320080125103 98.8840725867146 -765.905143062022</t>
  </si>
  <si>
    <t>-541.48796397026 214.679193202578 -753.614971989373</t>
  </si>
  <si>
    <t>-462.403401283385 182.858635149406 -448.788310236965</t>
  </si>
  <si>
    <t>-313.709817223308 40.0412274250939 -290.246691457404</t>
  </si>
  <si>
    <t>-663.666158884564 44.3982788892174 -760.574126139918</t>
  </si>
  <si>
    <t>-558.970481613723 208.643522301759 -241.439525222897</t>
  </si>
  <si>
    <t>-579.226873190251 197.207467035298 213.660986241124</t>
  </si>
  <si>
    <t>-628.047035798685 172.698740903971 680.325373567368</t>
  </si>
  <si>
    <t>-492.030453954108 100.22966641796 765.12651671299</t>
  </si>
  <si>
    <t>-632.77094594452 32.9478876913065 -211.888459507103</t>
  </si>
  <si>
    <t>-478.081220243968 -102.154817510073 194.898974181754</t>
  </si>
  <si>
    <t>-495.980974236229 -19.9764820659127 657.277816674496</t>
  </si>
  <si>
    <t>-483.963776694029 -169.494113558997 749.166794877659</t>
  </si>
  <si>
    <t>9763-20170724T160514.338978700.bin</t>
  </si>
  <si>
    <t>-595.936531928643 120.487722592181 -226.923339078919</t>
  </si>
  <si>
    <t>-632.971759904016 116.545707039388 -342.164938183076</t>
  </si>
  <si>
    <t>-649.348164457193 107.560199962785 -461.92155771592</t>
  </si>
  <si>
    <t>-655.596580051918 97.0318909904822 -570.756065908212</t>
  </si>
  <si>
    <t>-653.409037002107 83.9686131676776 -679.473292021514</t>
  </si>
  <si>
    <t>-641.643971232696 63.0179767988825 -829.881557603934</t>
  </si>
  <si>
    <t>-605.880311160086 41.3628765607841 -922.8062248108</t>
  </si>
  <si>
    <t>-630.761511418324 99.5924731314897 -765.875487906782</t>
  </si>
  <si>
    <t>-541.397632648508 215.689518560137 -753.113748242336</t>
  </si>
  <si>
    <t>-462.060928304278 182.246083122792 -448.526543650745</t>
  </si>
  <si>
    <t>-314.21970802271 32.7271269188416 -295.46074735995</t>
  </si>
  <si>
    <t>-662.937922387265 44.9833274494913 -760.78576374484</t>
  </si>
  <si>
    <t>-559.297035636815 208.51284341358 -241.399999499545</t>
  </si>
  <si>
    <t>-579.479780385949 197.227542946734 213.707637141444</t>
  </si>
  <si>
    <t>-628.057773362818 172.721892806067 680.38493779851</t>
  </si>
  <si>
    <t>-491.976640126551 100.412549219903 765.218864537485</t>
  </si>
  <si>
    <t>-632.443632028851 32.4294376581377 -211.862865016318</t>
  </si>
  <si>
    <t>-477.712066006972 -102.176440411514 195.073295691303</t>
  </si>
  <si>
    <t>-495.997347307061 -19.9399170113797 657.422517555863</t>
  </si>
  <si>
    <t>-483.757074382922 -169.512810188198 749.191883531569</t>
  </si>
  <si>
    <t>9763-20170724T160514.395636500.bin</t>
  </si>
  <si>
    <t>-595.807489225276 119.861067637038 -226.978650127871</t>
  </si>
  <si>
    <t>-632.794909542408 115.85642194331 -342.233464194199</t>
  </si>
  <si>
    <t>-648.904428732019 107.131326657898 -462.045475466137</t>
  </si>
  <si>
    <t>-654.81675154263 96.9669833271357 -570.933479509377</t>
  </si>
  <si>
    <t>-652.195467018656 84.3946114038333 -679.698860880218</t>
  </si>
  <si>
    <t>-639.724449024973 64.256380621398 -830.161279107341</t>
  </si>
  <si>
    <t>-603.432016555448 43.4128404961004 -923.066565398129</t>
  </si>
  <si>
    <t>-629.250555987211 100.546477392797 -765.925427015309</t>
  </si>
  <si>
    <t>-540.612836538205 217.092517882067 -752.430727108565</t>
  </si>
  <si>
    <t>-459.667733845004 182.901052635782 -448.350027628551</t>
  </si>
  <si>
    <t>-311.094436585826 23.0812522192314 -306.837953304121</t>
  </si>
  <si>
    <t>-661.234368474041 45.7874364651984 -761.247347243569</t>
  </si>
  <si>
    <t>-559.397712394589 208.119579829917 -241.463610940233</t>
  </si>
  <si>
    <t>-579.49526077467 197.182960108818 213.656361988205</t>
  </si>
  <si>
    <t>-627.790742517312 172.911503379089 680.332735563757</t>
  </si>
  <si>
    <t>-492.055755123956 100.263326502964 765.43127502853</t>
  </si>
  <si>
    <t>-632.083293919837 31.5395069234557 -211.955691127587</t>
  </si>
  <si>
    <t>-477.188589194764 -102.581596560123 195.078518068618</t>
  </si>
  <si>
    <t>-495.937463954656 -20.0057751556112 657.400704577137</t>
  </si>
  <si>
    <t>-483.595964571129 -169.594509889305 749.130838553301</t>
  </si>
  <si>
    <t>9763-20170724T160514.425725700.bin</t>
  </si>
  <si>
    <t>-595.743994426767 119.573013454067 -227.070604233298</t>
  </si>
  <si>
    <t>-632.804973156069 115.587755654014 -342.302550490619</t>
  </si>
  <si>
    <t>-648.871385049035 106.997915307652 -462.130121851787</t>
  </si>
  <si>
    <t>-654.692672740788 97.0068266145029 -571.038976343133</t>
  </si>
  <si>
    <t>-651.926031890456 84.6609498552245 -679.826695462192</t>
  </si>
  <si>
    <t>-639.194524264649 64.8952062401545 -830.316717025468</t>
  </si>
  <si>
    <t>-602.622471238178 44.3475090215932 -923.178272093621</t>
  </si>
  <si>
    <t>-628.88042047221 101.053687869641 -765.980799159443</t>
  </si>
  <si>
    <t>-540.446942428738 217.732257156017 -752.140334989354</t>
  </si>
  <si>
    <t>-458.421569765171 183.322719307897 -448.374053301216</t>
  </si>
  <si>
    <t>-310.27192660336 18.153877198238 -312.679522824983</t>
  </si>
  <si>
    <t>-660.775207926932 46.2282009959445 -761.478194021183</t>
  </si>
  <si>
    <t>-559.364093339239 207.927415500526 -241.54824822431</t>
  </si>
  <si>
    <t>-579.402484697572 197.107712618579 213.577127721112</t>
  </si>
  <si>
    <t>-627.74687171719 172.940231439419 680.293213131487</t>
  </si>
  <si>
    <t>-492.054488407238 100.331009783031 765.492912217308</t>
  </si>
  <si>
    <t>-632.053314501224 31.1923652041792 -211.970501158499</t>
  </si>
  <si>
    <t>-477.01887521734 -102.865740531058 195.031262864998</t>
  </si>
  <si>
    <t>-495.8431114744 -20.0737198872787 657.304070497332</t>
  </si>
  <si>
    <t>-483.731416598433 -169.648248887918 749.087938461744</t>
  </si>
  <si>
    <t>9763-20170724T160514.490402100.bin</t>
  </si>
  <si>
    <t>-595.487528898959 118.943926144107 -227.198668730849</t>
  </si>
  <si>
    <t>-632.552313612806 114.951101424527 -342.429136551427</t>
  </si>
  <si>
    <t>-648.468456681791 106.437160270625 -462.282260899497</t>
  </si>
  <si>
    <t>-654.087026856266 96.5568910991203 -571.211900496668</t>
  </si>
  <si>
    <t>-651.048440133497 84.3696136741473 -680.010183671548</t>
  </si>
  <si>
    <t>-637.865114837218 64.8790973851781 -830.497175908119</t>
  </si>
  <si>
    <t>-600.723278551614 44.6569401134138 -923.20380475014</t>
  </si>
  <si>
    <t>-627.77680302551 100.938365890415 -766.069818009858</t>
  </si>
  <si>
    <t>-539.764131977476 217.874905357577 -751.879939806954</t>
  </si>
  <si>
    <t>-455.790299972059 183.145799136005 -448.682825275702</t>
  </si>
  <si>
    <t>-308.979302762416 10.2896865843159 -321.36677239836</t>
  </si>
  <si>
    <t>-659.619807571393 46.0677719342834 -761.752903406022</t>
  </si>
  <si>
    <t>-558.930180840323 207.226067804049 -241.722412898603</t>
  </si>
  <si>
    <t>-579.050937272751 196.793109789902 213.408251363643</t>
  </si>
  <si>
    <t>-627.60290095599 173.131036986073 680.162679649391</t>
  </si>
  <si>
    <t>-492.049679606243 100.46858118264 765.538349863961</t>
  </si>
  <si>
    <t>-631.930631046885 30.6068489369895 -211.978271637298</t>
  </si>
  <si>
    <t>-476.866215128147 -103.798303660295 194.897556372829</t>
  </si>
  <si>
    <t>-495.6806084102 -20.2005312264862 657.097430173964</t>
  </si>
  <si>
    <t>-484.037695379313 -169.745437858193 748.990137615099</t>
  </si>
  <si>
    <t>9763-20170724T160514.528005200.bin</t>
  </si>
  <si>
    <t>-595.300260819859 118.65775798885 -227.247648624497</t>
  </si>
  <si>
    <t>-632.376953949561 114.683653418936 -342.474919534949</t>
  </si>
  <si>
    <t>-648.226625028125 106.205588019087 -462.339306341917</t>
  </si>
  <si>
    <t>-653.752160872001 96.3649457982845 -571.27731832989</t>
  </si>
  <si>
    <t>-650.587711000911 84.2246073665008 -680.07735774359</t>
  </si>
  <si>
    <t>-637.19551143592 64.8072904546539 -830.555352711592</t>
  </si>
  <si>
    <t>-599.76857744395 44.6522200779666 -923.161907733966</t>
  </si>
  <si>
    <t>-627.160082985057 100.814357082258 -766.090661850124</t>
  </si>
  <si>
    <t>-538.8905445873 217.567224675682 -751.747661698424</t>
  </si>
  <si>
    <t>-454.672574199376 182.707039782191 -448.633463083753</t>
  </si>
  <si>
    <t>-308.273020744364 6.90556948061476 -324.927843806145</t>
  </si>
  <si>
    <t>-659.082302335148 45.983238578666 -761.856370148396</t>
  </si>
  <si>
    <t>-558.560371093894 206.928850152525 -241.864433402565</t>
  </si>
  <si>
    <t>-578.77602528997 196.733359723367 213.267476240473</t>
  </si>
  <si>
    <t>-627.318371908057 173.385725604467 679.951839584038</t>
  </si>
  <si>
    <t>-492.150836254156 100.305320878444 765.581918286757</t>
  </si>
  <si>
    <t>-631.877771172579 30.394147161142 -211.944136520676</t>
  </si>
  <si>
    <t>-476.738010743116 -104.308619061601 194.804551790751</t>
  </si>
  <si>
    <t>-495.58487192877 -20.2565083414859 656.939708632842</t>
  </si>
  <si>
    <t>-484.212078701973 -169.790765086473 748.88339215307</t>
  </si>
  <si>
    <t>9763-20170724T160514.591180100.bin</t>
  </si>
  <si>
    <t>-594.869101213127 118.340405941275 -227.441537775938</t>
  </si>
  <si>
    <t>-632.003037635537 114.414236140813 -342.652095106669</t>
  </si>
  <si>
    <t>-647.811339183603 105.960132793382 -462.523521861652</t>
  </si>
  <si>
    <t>-653.258914922482 96.1301838557556 -571.466473914104</t>
  </si>
  <si>
    <t>-649.976098239704 83.9898309978066 -680.263073773564</t>
  </si>
  <si>
    <t>-636.378259840194 64.5612844315278 -830.720978095381</t>
  </si>
  <si>
    <t>-598.49080272842 44.3029822510239 -923.117635481252</t>
  </si>
  <si>
    <t>-626.33338103009 100.517318084436 -766.229347038537</t>
  </si>
  <si>
    <t>-537.524427758318 216.797659647539 -751.541045151991</t>
  </si>
  <si>
    <t>-452.12669645604 180.76575504957 -448.894224318472</t>
  </si>
  <si>
    <t>-304.13957382704 5.69775847234246 -326.04040051815</t>
  </si>
  <si>
    <t>-658.456422350052 45.7982656839281 -762.066770581088</t>
  </si>
  <si>
    <t>-557.864313061061 206.494596612564 -242.212503050007</t>
  </si>
  <si>
    <t>-578.145814256234 196.56301922593 212.922351258013</t>
  </si>
  <si>
    <t>-626.941125914742 173.559249594933 679.603929171946</t>
  </si>
  <si>
    <t>-492.366469183971 99.9599704555694 765.721992177323</t>
  </si>
  <si>
    <t>-631.80375853223 30.2352035301606 -211.985239403249</t>
  </si>
  <si>
    <t>-476.425960188998 -105.12941260171 194.45276220852</t>
  </si>
  <si>
    <t>-495.454340362731 -20.3874629183442 656.498973342642</t>
  </si>
  <si>
    <t>-484.43003495532 -169.885020739851 748.544993498066</t>
  </si>
  <si>
    <t>9763-20170724T160514.627815000.bin</t>
  </si>
  <si>
    <t>-594.763827535847 118.323395953443 -227.599848938521</t>
  </si>
  <si>
    <t>-631.90692879391 114.42617053761 -342.808349000283</t>
  </si>
  <si>
    <t>-647.717472170067 106.00280957978 -462.681791902536</t>
  </si>
  <si>
    <t>-653.165034888933 96.196940287675 -571.626798421117</t>
  </si>
  <si>
    <t>-649.880895414314 84.0744833389904 -680.425347554735</t>
  </si>
  <si>
    <t>-636.280570939247 64.662223662147 -830.885202519004</t>
  </si>
  <si>
    <t>-598.220771663247 44.2913061803004 -923.186166040575</t>
  </si>
  <si>
    <t>-626.153037543605 100.563036603902 -766.375806935753</t>
  </si>
  <si>
    <t>-536.890794698712 216.456128525667 -751.441464217991</t>
  </si>
  <si>
    <t>-450.689305655309 179.420997221598 -449.143766012496</t>
  </si>
  <si>
    <t>-301.676820674867 7.35965155680651 -323.317638886466</t>
  </si>
  <si>
    <t>-658.443616413301 45.9399771988506 -762.247107136481</t>
  </si>
  <si>
    <t>-557.579761480347 206.485972956337 -242.401658496964</t>
  </si>
  <si>
    <t>-577.9411298453 196.680474819536 212.732297789498</t>
  </si>
  <si>
    <t>-626.653026331313 173.809450483596 679.400672039438</t>
  </si>
  <si>
    <t>-492.391468237261 99.9269406347396 765.764573134499</t>
  </si>
  <si>
    <t>-631.863407886987 30.1843732582083 -212.110937531708</t>
  </si>
  <si>
    <t>-476.296569556987 -105.200917680076 194.247837848374</t>
  </si>
  <si>
    <t>-495.402382647527 -20.4189680586587 656.281650997302</t>
  </si>
  <si>
    <t>-484.479267820504 -169.918244322289 748.336899831982</t>
  </si>
  <si>
    <t>9763-20170724T160514.693486400.bin</t>
  </si>
  <si>
    <t>-594.717349763947 118.348447914274 -227.848462867705</t>
  </si>
  <si>
    <t>-631.723220043817 114.516678305328 -343.103370370193</t>
  </si>
  <si>
    <t>-647.374326625323 106.103972718169 -462.998405879844</t>
  </si>
  <si>
    <t>-652.672534409554 96.2802983917977 -571.949174019141</t>
  </si>
  <si>
    <t>-649.235819802396 84.1108049792415 -680.737733227779</t>
  </si>
  <si>
    <t>-635.422239104754 64.6008642861841 -831.165634392786</t>
  </si>
  <si>
    <t>-597.051035316047 43.911822633183 -923.266647960887</t>
  </si>
  <si>
    <t>-625.208932408989 100.440195345089 -766.635375880757</t>
  </si>
  <si>
    <t>-534.966233850729 215.535228656542 -751.26606149845</t>
  </si>
  <si>
    <t>-448.29676617649 175.983918481119 -449.421178371664</t>
  </si>
  <si>
    <t>-295.845345776323 12.4356689265594 -316.558203731582</t>
  </si>
  <si>
    <t>-657.859767257173 46.0265547100928 -762.576418711288</t>
  </si>
  <si>
    <t>-557.061834093589 206.349825481706 -242.647477074946</t>
  </si>
  <si>
    <t>-577.935494147206 197.024899043495 212.473465695579</t>
  </si>
  <si>
    <t>-626.406433592684 174.090515510951 679.227122186176</t>
  </si>
  <si>
    <t>-492.442277015241 99.9365407677803 765.819890095829</t>
  </si>
  <si>
    <t>-632.323186964719 30.3648062831644 -212.312543692237</t>
  </si>
  <si>
    <t>-476.325549820515 -105.185949411986 193.825860453397</t>
  </si>
  <si>
    <t>-495.470807280572 -20.4529143384118 655.918334786663</t>
  </si>
  <si>
    <t>-484.34947953046 -169.972132838756 747.917359400402</t>
  </si>
  <si>
    <t>9763-20170724T160514.728101800.bin</t>
  </si>
  <si>
    <t>-594.732324751341 118.274976857236 -227.899111546339</t>
  </si>
  <si>
    <t>-631.703645741106 114.483090304436 -343.166402046817</t>
  </si>
  <si>
    <t>-647.262834376541 106.050956073835 -463.072116876617</t>
  </si>
  <si>
    <t>-652.457112182412 96.1798780203319 -572.023648821178</t>
  </si>
  <si>
    <t>-648.897472445993 83.9306529168502 -680.799162086018</t>
  </si>
  <si>
    <t>-634.895870360588 64.273510901387 -831.190575160985</t>
  </si>
  <si>
    <t>-596.416191756912 43.4021320459194 -923.205156681043</t>
  </si>
  <si>
    <t>-624.653955911705 100.111494866653 -766.664215737046</t>
  </si>
  <si>
    <t>-533.907720730076 214.782116007477 -751.140000937131</t>
  </si>
  <si>
    <t>-447.090247077408 174.607179050473 -449.42007558117</t>
  </si>
  <si>
    <t>-293.641584762225 13.8797322225794 -314.282308441946</t>
  </si>
  <si>
    <t>-657.528380768075 45.8308268783394 -762.6300154123</t>
  </si>
  <si>
    <t>-556.806129540316 206.121475292679 -242.707346279958</t>
  </si>
  <si>
    <t>-577.873151474316 196.997033005876 212.408677719187</t>
  </si>
  <si>
    <t>-626.411431358492 174.105913233989 679.192908747993</t>
  </si>
  <si>
    <t>-492.556763235796 99.7961767631296 765.821427609482</t>
  </si>
  <si>
    <t>-632.589978684063 30.3986982475981 -212.328546028275</t>
  </si>
  <si>
    <t>-476.430297848612 -105.329817300583 193.68812588718</t>
  </si>
  <si>
    <t>-495.473525966586 -20.456606808292 655.750658285889</t>
  </si>
  <si>
    <t>-484.282448542281 -169.996568449124 747.707504821563</t>
  </si>
  <si>
    <t>9763-20170724T160514.795281800.bin</t>
  </si>
  <si>
    <t>-594.598990871887 117.774662776519 -227.998831849651</t>
  </si>
  <si>
    <t>-631.33273810861 114.058829134831 -343.344579653108</t>
  </si>
  <si>
    <t>-646.691143831027 105.536050150664 -463.269637055059</t>
  </si>
  <si>
    <t>-651.72577657801 95.5115339110973 -572.214693310244</t>
  </si>
  <si>
    <t>-648.032022797241 83.036257807755 -680.960173151621</t>
  </si>
  <si>
    <t>-633.87425532842 62.9878810804087 -831.285179738669</t>
  </si>
  <si>
    <t>-595.269240251817 41.6474712733489 -923.13959775333</t>
  </si>
  <si>
    <t>-623.543603904472 98.9007739003678 -766.814577057105</t>
  </si>
  <si>
    <t>-532.099059766088 213.015848058967 -751.228625167131</t>
  </si>
  <si>
    <t>-444.508753465742 171.53791214327 -449.908681599839</t>
  </si>
  <si>
    <t>-291.689373554886 11.9267833230476 -312.7496808568</t>
  </si>
  <si>
    <t>-656.733772469404 44.8164178705911 -762.727463069854</t>
  </si>
  <si>
    <t>-556.305887602369 205.380341335017 -242.675882515605</t>
  </si>
  <si>
    <t>-577.770313769369 196.603114766889 212.428323927351</t>
  </si>
  <si>
    <t>-626.620533069154 174.072124682457 679.294798899974</t>
  </si>
  <si>
    <t>-492.777573369889 99.5613556926883 765.768590575444</t>
  </si>
  <si>
    <t>-632.786787528206 30.1252044598546 -212.535590535187</t>
  </si>
  <si>
    <t>-477.050049992107 -105.88191297768 193.550373096785</t>
  </si>
  <si>
    <t>-495.440952952162 -20.4962299291412 655.504445083009</t>
  </si>
  <si>
    <t>-484.39680225877 -170.064771098303 747.432637660064</t>
  </si>
  <si>
    <t>9763-20170724T160514.863596800.bin</t>
  </si>
  <si>
    <t>-594.349717202712 116.997115912068 -227.973043447991</t>
  </si>
  <si>
    <t>-630.851693023449 113.368666390684 -343.39512316534</t>
  </si>
  <si>
    <t>-646.031651953733 104.687713134431 -463.331718144498</t>
  </si>
  <si>
    <t>-650.93453661455 94.4183638324764 -572.259761900837</t>
  </si>
  <si>
    <t>-647.143255856299 81.5958205678864 -680.961440591632</t>
  </si>
  <si>
    <t>-632.889418339344 60.9581345788192 -831.197710548026</t>
  </si>
  <si>
    <t>-594.13603666533 39.1243896176325 -922.873482750402</t>
  </si>
  <si>
    <t>-622.499574335904 97.0631905569976 -766.844074733898</t>
  </si>
  <si>
    <t>-530.781101497172 210.970445815647 -751.485479707764</t>
  </si>
  <si>
    <t>-442.794513512446 168.823797328866 -450.373943135959</t>
  </si>
  <si>
    <t>-290.134745114198 9.64904528801253 -312.531649441478</t>
  </si>
  <si>
    <t>-655.89296680066 43.1162208839153 -762.601708866846</t>
  </si>
  <si>
    <t>-555.865717660781 204.417144325644 -242.516794558573</t>
  </si>
  <si>
    <t>-577.587900366259 195.846594222004 212.579277173532</t>
  </si>
  <si>
    <t>-627.039247623568 173.777993809948 679.437325192865</t>
  </si>
  <si>
    <t>-492.801131097953 99.6695711268933 765.643974171392</t>
  </si>
  <si>
    <t>-632.714038466923 29.5836671655045 -212.673606918077</t>
  </si>
  <si>
    <t>-477.7620676414 -106.53403936729 193.675355420635</t>
  </si>
  <si>
    <t>-495.434186083725 -20.4961125481955 655.499257429389</t>
  </si>
  <si>
    <t>-484.511102676774 -170.122693017227 747.347394818191</t>
  </si>
  <si>
    <t>9763-20170724T160514.892680000.bin</t>
  </si>
  <si>
    <t>-594.204206941379 116.539405964292 -227.916859952428</t>
  </si>
  <si>
    <t>-630.612935193168 112.945245807993 -343.369303999184</t>
  </si>
  <si>
    <t>-645.710706828021 104.219907760215 -463.313063246469</t>
  </si>
  <si>
    <t>-650.546908394449 93.8760971460613 -572.237220788784</t>
  </si>
  <si>
    <t>-646.698441869261 80.9436803138101 -680.92392024024</t>
  </si>
  <si>
    <t>-632.377128817501 60.1150821096965 -831.127342080985</t>
  </si>
  <si>
    <t>-593.535688904613 38.0877362970527 -922.719359293791</t>
  </si>
  <si>
    <t>-621.970770302542 96.2743018764654 -766.806761777925</t>
  </si>
  <si>
    <t>-530.090490087636 210.074374820154 -751.575706746767</t>
  </si>
  <si>
    <t>-442.473561388691 167.998545309064 -450.346440240106</t>
  </si>
  <si>
    <t>-289.758999727985 8.93256325438779 -312.439561937392</t>
  </si>
  <si>
    <t>-655.457012653324 42.3878164411085 -762.527073342143</t>
  </si>
  <si>
    <t>-555.66007647901 203.804294524245 -242.400644467513</t>
  </si>
  <si>
    <t>-577.523008080593 195.369914994127 212.691095369567</t>
  </si>
  <si>
    <t>-627.355566992075 173.498051301083 679.563625059462</t>
  </si>
  <si>
    <t>-492.724795583221 99.8809053150717 765.578635677666</t>
  </si>
  <si>
    <t>-632.622730839857 29.2625862426719 -212.671891487025</t>
  </si>
  <si>
    <t>-478.044956267558 -106.922081455586 193.797223206207</t>
  </si>
  <si>
    <t>-495.442649525661 -20.5027107871276 655.547181620844</t>
  </si>
  <si>
    <t>-484.506761162241 -170.156452639709 747.349617435229</t>
  </si>
  <si>
    <t>9763-20170724T160514.925804200.bin</t>
  </si>
  <si>
    <t>-594.101460052628 116.200141331715 -227.784977398793</t>
  </si>
  <si>
    <t>-630.381336621856 112.593430534988 -343.277660895778</t>
  </si>
  <si>
    <t>-645.383756401299 103.779682065272 -463.226870020352</t>
  </si>
  <si>
    <t>-650.150956696788 93.3235336259404 -572.14336535442</t>
  </si>
  <si>
    <t>-646.252588509068 80.2456805390045 -680.810908349255</t>
  </si>
  <si>
    <t>-631.883727596783 59.1795578265837 -830.976593314134</t>
  </si>
  <si>
    <t>-592.96856099108 36.9614800837333 -922.491389120384</t>
  </si>
  <si>
    <t>-621.460716765554 95.4178525473965 -766.703365763688</t>
  </si>
  <si>
    <t>-529.483030244003 209.163202024179 -751.604379182874</t>
  </si>
  <si>
    <t>-442.185343089936 167.458523939658 -450.230799341482</t>
  </si>
  <si>
    <t>-289.407408739967 8.54132830045364 -312.222614765862</t>
  </si>
  <si>
    <t>-655.022396123716 41.5833523611218 -762.362563859783</t>
  </si>
  <si>
    <t>-555.534537228123 203.377398643788 -242.220562588964</t>
  </si>
  <si>
    <t>-577.514084262979 195.038515017761 212.867422662553</t>
  </si>
  <si>
    <t>-627.60950019366 173.484234409049 679.793632042596</t>
  </si>
  <si>
    <t>-492.722127960694 99.9891807345409 765.510506529843</t>
  </si>
  <si>
    <t>-632.56967151868 29.0266343306414 -212.60206866926</t>
  </si>
  <si>
    <t>-478.290473561298 -107.246349048449 193.950866627225</t>
  </si>
  <si>
    <t>-495.440316078705 -20.5178304398992 655.625237496169</t>
  </si>
  <si>
    <t>-484.507564987309 -170.193269583812 747.392799895885</t>
  </si>
  <si>
    <t>9763-20170724T160514.990456900.bin</t>
  </si>
  <si>
    <t>-594.069433424246 115.624296678056 -227.457361275337</t>
  </si>
  <si>
    <t>-630.202855181912 112.016925403493 -342.99601574039</t>
  </si>
  <si>
    <t>-645.093109758789 103.062925303809 -462.948774872429</t>
  </si>
  <si>
    <t>-649.777548818827 92.4224771759489 -571.850956086682</t>
  </si>
  <si>
    <t>-645.81808604898 79.1022986766509 -680.486860875492</t>
  </si>
  <si>
    <t>-631.389039082684 57.6392492981388 -830.590588418956</t>
  </si>
  <si>
    <t>-592.346380840304 35.1017088891178 -921.97277264438</t>
  </si>
  <si>
    <t>-620.95545410161 94.0252642325449 -766.402587002513</t>
  </si>
  <si>
    <t>-528.956963459559 207.764840283726 -751.517636911847</t>
  </si>
  <si>
    <t>-442.319983748303 166.761713673887 -449.857202249566</t>
  </si>
  <si>
    <t>-289.729360508719 7.74148287584467 -311.760661671787</t>
  </si>
  <si>
    <t>-654.591463691556 40.2466623574292 -761.946068671241</t>
  </si>
  <si>
    <t>-555.56173307672 202.723481759705 -241.810347594213</t>
  </si>
  <si>
    <t>-577.678827058286 194.53482877371 213.273644818523</t>
  </si>
  <si>
    <t>-628.160108298274 173.347229918041 680.12218076735</t>
  </si>
  <si>
    <t>-492.858109021214 100.059658681552 765.361904022948</t>
  </si>
  <si>
    <t>-632.481884769715 28.603376585356 -212.372372700685</t>
  </si>
  <si>
    <t>-478.603432310832 -107.710716537985 194.318605643418</t>
  </si>
  <si>
    <t>-495.438520553039 -20.559756558032 655.886856495042</t>
  </si>
  <si>
    <t>-484.413965039771 -170.26723225336 747.590925433103</t>
  </si>
  <si>
    <t>9763-20170724T160515.023567000.bin</t>
  </si>
  <si>
    <t>-594.113172520341 115.504833053007 -227.362013770016</t>
  </si>
  <si>
    <t>-630.193418598985 111.884637013176 -342.916874983356</t>
  </si>
  <si>
    <t>-645.033334840598 102.878894440274 -462.871962631061</t>
  </si>
  <si>
    <t>-649.67479058637 92.1764805481384 -571.76997890844</t>
  </si>
  <si>
    <t>-645.67530575014 78.7799805632201 -680.39491141194</t>
  </si>
  <si>
    <t>-631.194430091119 57.1963155037374 -830.476490324188</t>
  </si>
  <si>
    <t>-592.074879658248 34.554205275392 -921.799917254742</t>
  </si>
  <si>
    <t>-620.796697927713 93.6423102436747 -766.316557665045</t>
  </si>
  <si>
    <t>-528.8755577284 207.462644729172 -751.481337068374</t>
  </si>
  <si>
    <t>-442.618963007493 166.669797590502 -449.683476531335</t>
  </si>
  <si>
    <t>-289.871634582005 7.87003025348849 -311.506279932575</t>
  </si>
  <si>
    <t>-654.40689369331 39.8504596226999 -761.823597010505</t>
  </si>
  <si>
    <t>-555.60655556745 202.645111141724 -241.761294613323</t>
  </si>
  <si>
    <t>-577.713155547086 194.48197190836 213.323663164529</t>
  </si>
  <si>
    <t>-628.14123766136 173.397127277881 680.078937317266</t>
  </si>
  <si>
    <t>-492.827373168602 100.160525382704 765.343618100594</t>
  </si>
  <si>
    <t>-632.48348160555 28.4704029380225 -212.308713230678</t>
  </si>
  <si>
    <t>-478.631946568243 -107.827526614337 194.397839368976</t>
  </si>
  <si>
    <t>-495.463116893942 -20.6239651552455 655.939194429095</t>
  </si>
  <si>
    <t>-484.370802103458 -170.311436120499 747.667856091454</t>
  </si>
  <si>
    <t>9763-20170724T160515.097773200.bin</t>
  </si>
  <si>
    <t>-594.072458512221 115.469733034467 -227.42666356735</t>
  </si>
  <si>
    <t>-630.132261441183 111.793998294964 -342.986075992081</t>
  </si>
  <si>
    <t>-644.909795869294 102.686124082191 -462.941338880962</t>
  </si>
  <si>
    <t>-649.478131836239 91.8739894513153 -571.831534206346</t>
  </si>
  <si>
    <t>-645.39007003403 78.3505126738314 -680.437523945317</t>
  </si>
  <si>
    <t>-630.771011520269 56.5730421445144 -830.477536314736</t>
  </si>
  <si>
    <t>-591.449640700801 33.7917147225619 -921.679625425412</t>
  </si>
  <si>
    <t>-620.482802662532 93.1327193985908 -766.364569076257</t>
  </si>
  <si>
    <t>-528.747843752162 207.098998464609 -751.542777948357</t>
  </si>
  <si>
    <t>-442.802939127828 166.535617855163 -449.625144225066</t>
  </si>
  <si>
    <t>-289.987353127848 7.95256380708247 -311.274550687078</t>
  </si>
  <si>
    <t>-653.996133887285 39.2851241415824 -761.814374397234</t>
  </si>
  <si>
    <t>-555.624766081457 202.778293001497 -241.89519321112</t>
  </si>
  <si>
    <t>-577.542929343026 194.612138667502 213.19889291434</t>
  </si>
  <si>
    <t>-627.867870858825 173.640186142373 679.925623616903</t>
  </si>
  <si>
    <t>-492.663696112259 100.481388782716 765.430765064482</t>
  </si>
  <si>
    <t>-632.35898799994 28.2426502790963 -212.332672719716</t>
  </si>
  <si>
    <t>-478.2661258735 -107.897590818077 194.335328841039</t>
  </si>
  <si>
    <t>-495.499061277254 -20.8216508292142 655.873021475496</t>
  </si>
  <si>
    <t>-484.296702994234 -170.40586085027 747.756489339299</t>
  </si>
  <si>
    <t>9763-20170724T160515.123891600.bin</t>
  </si>
  <si>
    <t>-594.027942092587 115.538770496909 -227.544693636979</t>
  </si>
  <si>
    <t>-630.090024687465 111.824126823328 -343.102160192921</t>
  </si>
  <si>
    <t>-644.855275593626 102.662031676941 -463.054695928513</t>
  </si>
  <si>
    <t>-649.406746501399 91.7948239023503 -571.940104125685</t>
  </si>
  <si>
    <t>-645.296461155706 78.21008675602 -680.537555315425</t>
  </si>
  <si>
    <t>-630.641252296454 56.3412106193912 -830.560838085488</t>
  </si>
  <si>
    <t>-591.217384288204 33.4971861243218 -921.703032280539</t>
  </si>
  <si>
    <t>-620.397441348839 92.9573333276114 -766.473111113105</t>
  </si>
  <si>
    <t>-528.717183652135 206.989416842176 -751.704163825117</t>
  </si>
  <si>
    <t>-442.749541820744 166.234633270458 -449.818695469515</t>
  </si>
  <si>
    <t>-289.826201799785 7.79531466859157 -311.422593762782</t>
  </si>
  <si>
    <t>-653.854072319446 39.0776385461616 -761.887337532453</t>
  </si>
  <si>
    <t>-555.649341358371 203.002680722328 -242.048567850335</t>
  </si>
  <si>
    <t>-577.45629551694 194.822519550843 213.05058806293</t>
  </si>
  <si>
    <t>-627.588741394984 173.85076594217 679.707717792198</t>
  </si>
  <si>
    <t>-492.732396861162 100.371448036773 765.486911714118</t>
  </si>
  <si>
    <t>-632.265498263902 28.1398781132575 -212.412298525618</t>
  </si>
  <si>
    <t>-477.952063860041 -107.801087846857 194.238732425603</t>
  </si>
  <si>
    <t>-495.510626520283 -20.9003889292799 655.812913192265</t>
  </si>
  <si>
    <t>-484.217750305238 -170.444094708836 747.751273382327</t>
  </si>
  <si>
    <t>9763-20170724T160515.195086100.bin</t>
  </si>
  <si>
    <t>-594.008286421979 115.818310593973 -227.88056650995</t>
  </si>
  <si>
    <t>-630.10472443569 112.008134867805 -343.424176146314</t>
  </si>
  <si>
    <t>-644.837540584795 102.730513962304 -463.371848283933</t>
  </si>
  <si>
    <t>-649.330840765599 91.7559126826845 -572.248969985093</t>
  </si>
  <si>
    <t>-645.133219063218 78.0634371544709 -680.829493067455</t>
  </si>
  <si>
    <t>-630.325679897529 56.0475717058823 -830.816267599864</t>
  </si>
  <si>
    <t>-590.657350234719 33.1595135829332 -921.841181969776</t>
  </si>
  <si>
    <t>-620.251740814983 92.7896854281105 -766.773819978693</t>
  </si>
  <si>
    <t>-528.912594599231 207.082878140611 -752.056386262859</t>
  </si>
  <si>
    <t>-442.179138494812 165.487468168377 -450.504845679431</t>
  </si>
  <si>
    <t>-289.876252436424 6.2907958621638 -312.29363279339</t>
  </si>
  <si>
    <t>-653.50336932296 38.7881365261519 -762.129800392084</t>
  </si>
  <si>
    <t>-555.801542503066 203.529951353638 -242.455837065898</t>
  </si>
  <si>
    <t>-577.393192136996 195.254075662648 212.651816465997</t>
  </si>
  <si>
    <t>-627.136004682432 174.114646240216 679.338202022715</t>
  </si>
  <si>
    <t>-492.631499709384 100.566267185986 765.609216038637</t>
  </si>
  <si>
    <t>-632.13132618025 28.1508280771677 -212.649948160759</t>
  </si>
  <si>
    <t>-477.387478137464 -107.691424738129 193.870493512265</t>
  </si>
  <si>
    <t>-495.544134254239 -21.0501695212183 655.552729576488</t>
  </si>
  <si>
    <t>-484.033532309384 -170.517100454181 747.588924703831</t>
  </si>
  <si>
    <t>9763-20170724T160515.227976800.bin</t>
  </si>
  <si>
    <t>-594.021549896434 116.00867695043 -228.014079070749</t>
  </si>
  <si>
    <t>-630.129390817579 112.158933157707 -343.552842154436</t>
  </si>
  <si>
    <t>-644.831541540146 102.837675712252 -463.500887097336</t>
  </si>
  <si>
    <t>-649.278466704527 91.8266489625159 -572.376174226094</t>
  </si>
  <si>
    <t>-645.015016784541 78.1035421682377 -680.950430138588</t>
  </si>
  <si>
    <t>-630.095383399579 56.0533080918069 -830.920977883719</t>
  </si>
  <si>
    <t>-590.291184585512 33.1980594233808 -921.894870933124</t>
  </si>
  <si>
    <t>-620.128217036265 92.8453179546109 -766.890434810712</t>
  </si>
  <si>
    <t>-528.975525154655 207.299115895211 -752.229053602518</t>
  </si>
  <si>
    <t>-441.87406036102 165.004278708673 -450.880883382554</t>
  </si>
  <si>
    <t>-290.048374520439 4.8004054663279 -313.310056626953</t>
  </si>
  <si>
    <t>-653.265507690598 38.7743693540021 -762.236864699945</t>
  </si>
  <si>
    <t>-555.849921844067 203.792666602703 -242.612797754662</t>
  </si>
  <si>
    <t>-577.44390423275 195.560804915664 212.495451165596</t>
  </si>
  <si>
    <t>-626.987927988195 174.210517113404 679.214447336387</t>
  </si>
  <si>
    <t>-492.652341849458 100.56672213348 765.667029991236</t>
  </si>
  <si>
    <t>-632.113921200211 28.2511590310621 -212.710797322008</t>
  </si>
  <si>
    <t>-477.180740169211 -107.716737118425 193.695521869255</t>
  </si>
  <si>
    <t>-495.53187434517 -21.0986743217832 655.397398863523</t>
  </si>
  <si>
    <t>-483.998759522324 -170.547313933158 747.460451015667</t>
  </si>
  <si>
    <t>9763-20170724T160515.295669800.bin</t>
  </si>
  <si>
    <t>-594.040148759109 116.26933949816 -228.160911766809</t>
  </si>
  <si>
    <t>-630.162296995671 112.296522564247 -343.691038821865</t>
  </si>
  <si>
    <t>-644.880793573531 102.939344594396 -463.634336809528</t>
  </si>
  <si>
    <t>-649.340648636468 91.9354493329133 -572.509834955579</t>
  </si>
  <si>
    <t>-645.086718781157 78.2607166681828 -681.090437284792</t>
  </si>
  <si>
    <t>-630.174765918268 56.3224907364317 -831.078234939592</t>
  </si>
  <si>
    <t>-590.240005541173 33.611150174165 -922.031001950988</t>
  </si>
  <si>
    <t>-620.280874955995 93.1122462086153 -767.035057552769</t>
  </si>
  <si>
    <t>-529.305539000083 207.720010537063 -752.396895791506</t>
  </si>
  <si>
    <t>-441.501286846627 163.900737922967 -451.470788435455</t>
  </si>
  <si>
    <t>-290.098195484257 3.06229871072355 -314.174912561097</t>
  </si>
  <si>
    <t>-653.264748800821 38.9467773839535 -762.391749446773</t>
  </si>
  <si>
    <t>-556.045768953086 204.153843967962 -242.735791945461</t>
  </si>
  <si>
    <t>-577.636739543393 195.933978568733 212.372914147358</t>
  </si>
  <si>
    <t>-627.05977734005 174.223426100353 679.235168512202</t>
  </si>
  <si>
    <t>-492.755765072199 100.518273012656 765.684500036529</t>
  </si>
  <si>
    <t>-631.967275568213 28.3411337395298 -212.800529156704</t>
  </si>
  <si>
    <t>-476.904590926982 -107.57493396081 193.573791752049</t>
  </si>
  <si>
    <t>-495.552499262249 -21.1072148861572 655.258140436027</t>
  </si>
  <si>
    <t>-483.87671595637 -170.580409796943 747.26348622539</t>
  </si>
  <si>
    <t>9763-20170724T160515.327151200.bin</t>
  </si>
  <si>
    <t>-594.086806363007 116.366165101719 -228.139347099568</t>
  </si>
  <si>
    <t>-630.167774621955 112.337648079909 -343.68048853681</t>
  </si>
  <si>
    <t>-644.89601754436 102.948219316639 -463.619970664523</t>
  </si>
  <si>
    <t>-649.385429861134 91.9266765240052 -572.492416836629</t>
  </si>
  <si>
    <t>-645.18092068681 78.2471506545633 -681.074474163343</t>
  </si>
  <si>
    <t>-630.357692369204 56.3161494264202 -831.072054774099</t>
  </si>
  <si>
    <t>-590.426649802093 33.6755018956712 -922.044133916903</t>
  </si>
  <si>
    <t>-620.45442672192 93.1197012176194 -767.038216622875</t>
  </si>
  <si>
    <t>-529.552978535267 207.795215131742 -752.475123637525</t>
  </si>
  <si>
    <t>-441.374977914728 162.849587837342 -451.824637247984</t>
  </si>
  <si>
    <t>-290.209001075426 1.86495393113273 -314.438833308905</t>
  </si>
  <si>
    <t>-653.378610896704 38.9201612909628 -762.367327717624</t>
  </si>
  <si>
    <t>-556.161410418897 204.281167735548 -242.715738048699</t>
  </si>
  <si>
    <t>-577.825960523096 196.072775580129 212.389638674207</t>
  </si>
  <si>
    <t>-627.140778358345 174.181175410756 679.221795141364</t>
  </si>
  <si>
    <t>-492.808197722086 100.514083010157 765.659228142732</t>
  </si>
  <si>
    <t>-631.92640461767 28.4178960126098 -212.804564312408</t>
  </si>
  <si>
    <t>-476.836316543958 -107.577835084335 193.532562199583</t>
  </si>
  <si>
    <t>-495.597137424555 -21.1178494957244 655.21336297885</t>
  </si>
  <si>
    <t>-483.780147709905 -170.599806076913 747.186314525496</t>
  </si>
  <si>
    <t>9763-20170724T160515.389804200.bin</t>
  </si>
  <si>
    <t>-594.119340012898 116.53774376742 -228.130730606279</t>
  </si>
  <si>
    <t>-630.154912621461 112.395130152286 -343.681852506551</t>
  </si>
  <si>
    <t>-644.853810543703 102.959200649935 -463.621469197996</t>
  </si>
  <si>
    <t>-649.323763358012 91.9195454381734 -572.492809176493</t>
  </si>
  <si>
    <t>-645.107262787213 78.2432200124338 -681.074752736418</t>
  </si>
  <si>
    <t>-630.275309098771 56.3366239566192 -831.07506673474</t>
  </si>
  <si>
    <t>-590.385839969289 33.8648974966152 -922.107242079289</t>
  </si>
  <si>
    <t>-620.398164876959 93.1430284274286 -767.038797121302</t>
  </si>
  <si>
    <t>-529.468354868774 207.786645739062 -752.468219088846</t>
  </si>
  <si>
    <t>-440.471442147126 160.862406422686 -452.361911281864</t>
  </si>
  <si>
    <t>-653.277751487218 38.9162711045799 -762.370512665035</t>
  </si>
  <si>
    <t>-556.385900128856 204.564082880949 -242.722558908247</t>
  </si>
  <si>
    <t>-578.048570352527 196.302008646507 212.381924454671</t>
  </si>
  <si>
    <t>-627.205179674572 174.152278180564 679.190586021552</t>
  </si>
  <si>
    <t>-492.753706930171 100.701351201577 765.627132607944</t>
  </si>
  <si>
    <t>-631.750724379566 28.4918530368084 -212.782085360917</t>
  </si>
  <si>
    <t>-476.62211235914 -107.511678376034 193.537818629408</t>
  </si>
  <si>
    <t>-495.677226098706 -21.1147773055395 655.180547032089</t>
  </si>
  <si>
    <t>-483.55221733543 -170.633388429771 747.053770023733</t>
  </si>
  <si>
    <t>9763-20170724T160515.431116500.bin</t>
  </si>
  <si>
    <t>-594.161429276001 116.613818688559 -228.086459846166</t>
  </si>
  <si>
    <t>-630.190014643865 112.42187017871 -343.638148788815</t>
  </si>
  <si>
    <t>-644.897094515786 102.975696520308 -463.575641145143</t>
  </si>
  <si>
    <t>-649.381109251684 91.9390379657993 -572.446929463737</t>
  </si>
  <si>
    <t>-645.185774363528 78.2754952530154 -681.031255663128</t>
  </si>
  <si>
    <t>-630.390832637072 56.3948072078915 -831.039094981105</t>
  </si>
  <si>
    <t>-590.570399292699 33.9958697236411 -922.119263084946</t>
  </si>
  <si>
    <t>-620.478510369575 93.1787522139716 -766.995197971886</t>
  </si>
  <si>
    <t>-529.41919314452 207.73726117511 -752.444906009197</t>
  </si>
  <si>
    <t>-440.128699576096 160.036617879362 -452.548240641716</t>
  </si>
  <si>
    <t>-653.395671757935 38.9740281336292 -762.335302026716</t>
  </si>
  <si>
    <t>-556.472343457327 204.655830871515 -242.712003642232</t>
  </si>
  <si>
    <t>-578.10756028505 196.382976741254 212.393616309408</t>
  </si>
  <si>
    <t>-627.217913269105 174.197673321054 679.197375820075</t>
  </si>
  <si>
    <t>-492.787949519921 100.697226890612 765.625272193107</t>
  </si>
  <si>
    <t>-631.74697054644 28.5396944144845 -212.748868265324</t>
  </si>
  <si>
    <t>-476.535851198497 -107.460540421523 193.540581476998</t>
  </si>
  <si>
    <t>-495.711148991836 -21.102173929786 655.174949104426</t>
  </si>
  <si>
    <t>-483.448152108014 -170.646676758527 746.987618826862</t>
  </si>
  <si>
    <t>9763-20170724T160515.493284700.bin</t>
  </si>
  <si>
    <t>-594.10773714267 116.611945239373 -228.026955305573</t>
  </si>
  <si>
    <t>-630.112475774322 112.36141621908 -343.583912128425</t>
  </si>
  <si>
    <t>-644.960024920636 102.919843945847 -463.504634716521</t>
  </si>
  <si>
    <t>-649.638962600269 91.9096096089154 -572.370245742401</t>
  </si>
  <si>
    <t>-645.705602441736 78.292827083561 -680.97026255957</t>
  </si>
  <si>
    <t>-631.343661840213 56.4954640678729 -831.032327711364</t>
  </si>
  <si>
    <t>-591.775752064775 34.1614805955978 -922.238435149767</t>
  </si>
  <si>
    <t>-621.174216723903 93.2007664848295 -766.983765981439</t>
  </si>
  <si>
    <t>-529.831177751949 207.529227913789 -752.536738730792</t>
  </si>
  <si>
    <t>-440.683934299577 157.969859369445 -452.898932778554</t>
  </si>
  <si>
    <t>-654.222663361537 39.0793194729883 -762.285272139328</t>
  </si>
  <si>
    <t>-556.355547086773 204.613880244071 -242.66887621147</t>
  </si>
  <si>
    <t>-578.185324722913 196.426451913692 212.428994266612</t>
  </si>
  <si>
    <t>-627.357408089423 174.174804554757 679.245564161195</t>
  </si>
  <si>
    <t>-492.853553965635 100.723146703237 765.599946960841</t>
  </si>
  <si>
    <t>-631.787388345344 28.6024693112101 -212.656375122493</t>
  </si>
  <si>
    <t>-476.546761918459 -107.475210009758 193.595813638496</t>
  </si>
  <si>
    <t>-495.709187695203 -21.0763571758164 655.214875563288</t>
  </si>
  <si>
    <t>-483.387830337983 -170.686796375033 746.912231025543</t>
  </si>
  <si>
    <t>9763-20170724T160515.531388600.bin</t>
  </si>
  <si>
    <t>-594.032436877385 116.572179357733 -227.963248790551</t>
  </si>
  <si>
    <t>-630.035198787724 112.320606830521 -343.520737935275</t>
  </si>
  <si>
    <t>-644.957149328502 102.928283605467 -463.436031053906</t>
  </si>
  <si>
    <t>-649.734259863655 91.9816612428092 -572.303796563755</t>
  </si>
  <si>
    <t>-645.929489210964 78.446381409361 -680.918659529948</t>
  </si>
  <si>
    <t>-631.776706052768 56.7801647049475 -831.01950335982</t>
  </si>
  <si>
    <t>-592.348980150816 34.5125532880927 -922.302483554783</t>
  </si>
  <si>
    <t>-621.479174011581 93.4065112907431 -766.946121238902</t>
  </si>
  <si>
    <t>-529.910425141045 207.561831077967 -752.566899190558</t>
  </si>
  <si>
    <t>-441.266494752825 156.587043262824 -453.017094514632</t>
  </si>
  <si>
    <t>-654.598462593718 39.3272029069449 -762.262919519308</t>
  </si>
  <si>
    <t>-556.22096528092 204.587085887753 -242.650871024807</t>
  </si>
  <si>
    <t>-578.037249810985 196.383942372917 212.447339247084</t>
  </si>
  <si>
    <t>-627.344771105581 174.299549864508 679.265841520856</t>
  </si>
  <si>
    <t>-492.948433997371 100.615268612145 765.589430980812</t>
  </si>
  <si>
    <t>-631.72819953611 28.5584362206662 -212.605624660501</t>
  </si>
  <si>
    <t>-476.616558345488 -107.636204866762 193.656675535178</t>
  </si>
  <si>
    <t>-495.680658632018 -21.0748635072816 655.233039937962</t>
  </si>
  <si>
    <t>-483.420443684159 -170.71258112704 746.894054005179</t>
  </si>
  <si>
    <t>9763-20170724T160515.596566700.bin</t>
  </si>
  <si>
    <t>-594.007630981755 116.268329462134 -227.845146525633</t>
  </si>
  <si>
    <t>-630.107572153038 112.09068753 -343.375020208181</t>
  </si>
  <si>
    <t>-645.244877071813 102.854764586012 -463.275365720339</t>
  </si>
  <si>
    <t>-650.262260140216 92.084670941899 -572.1500412721</t>
  </si>
  <si>
    <t>-646.740538832283 78.7621896873909 -680.800650638995</t>
  </si>
  <si>
    <t>-633.022677336146 57.4300010733152 -830.989752894554</t>
  </si>
  <si>
    <t>-593.87542812473 35.3046933396765 -922.428052158877</t>
  </si>
  <si>
    <t>-622.47003396177 93.8720460152849 -766.852853061854</t>
  </si>
  <si>
    <t>-530.576894201256 207.74192423448 -752.299124560166</t>
  </si>
  <si>
    <t>-443.449333430159 154.027728595877 -452.783163080778</t>
  </si>
  <si>
    <t>-655.714839917728 39.8655458570879 -762.218603312592</t>
  </si>
  <si>
    <t>-556.027376244603 204.153877614739 -242.543511403711</t>
  </si>
  <si>
    <t>-577.775394184882 195.965047580217 212.558256370378</t>
  </si>
  <si>
    <t>-627.536265964242 174.255506095136 679.373666764287</t>
  </si>
  <si>
    <t>-493.077063972894 100.52084264968 765.556206902087</t>
  </si>
  <si>
    <t>-631.902131408392 28.4093205019169 -212.422837194469</t>
  </si>
  <si>
    <t>-476.976917445363 -108.155724480522 193.78629270496</t>
  </si>
  <si>
    <t>-495.623682259841 -21.1221045921154 655.242923698092</t>
  </si>
  <si>
    <t>-483.575309385147 -170.771623091578 746.912926312746</t>
  </si>
  <si>
    <t>9763-20170724T160515.629253600.bin</t>
  </si>
  <si>
    <t>-594.052009365653 116.098788265794 -227.77024133373</t>
  </si>
  <si>
    <t>-630.20367959832 111.936554388071 -343.28444951424</t>
  </si>
  <si>
    <t>-645.399085649466 102.777278950369 -463.183414151956</t>
  </si>
  <si>
    <t>-650.470315153022 92.0995919016532 -572.064695263767</t>
  </si>
  <si>
    <t>-647.00303482531 78.8914930076958 -680.73110075503</t>
  </si>
  <si>
    <t>-633.360316808053 57.7405705334611 -830.952547707289</t>
  </si>
  <si>
    <t>-594.295450897176 35.7426694889518 -922.456689855601</t>
  </si>
  <si>
    <t>-622.730637076233 94.0782183953411 -766.769240131268</t>
  </si>
  <si>
    <t>-530.601310939716 207.72115576774 -752.033608709087</t>
  </si>
  <si>
    <t>-444.29441626008 152.890562409935 -452.482488188109</t>
  </si>
  <si>
    <t>-656.063008798361 40.1201138973915 -762.199212068912</t>
  </si>
  <si>
    <t>-555.974509605097 203.902884777819 -242.501843971624</t>
  </si>
  <si>
    <t>-577.728791688979 195.798003834496 212.601086743044</t>
  </si>
  <si>
    <t>-627.627744557673 174.198333970433 679.39085124647</t>
  </si>
  <si>
    <t>-493.056417621417 100.624289129212 765.535688658345</t>
  </si>
  <si>
    <t>-632.042037132989 28.2952734285554 -212.332569937571</t>
  </si>
  <si>
    <t>-477.086335945681 -108.386502207876 193.82562314538</t>
  </si>
  <si>
    <t>-495.599445077766 -21.1552682414181 655.257517582502</t>
  </si>
  <si>
    <t>-483.666990397652 -170.803303762166 746.945092753891</t>
  </si>
  <si>
    <t>9763-20170724T160515.697939600.bin</t>
  </si>
  <si>
    <t>-594.389157150083 115.887592325707 -227.796984559975</t>
  </si>
  <si>
    <t>-630.623279571119 111.794874322929 -343.287832812176</t>
  </si>
  <si>
    <t>-645.891084448579 102.841277533815 -463.193198522103</t>
  </si>
  <si>
    <t>-651.022245063279 92.3971433956817 -572.09421494712</t>
  </si>
  <si>
    <t>-647.607988236279 79.4664726160026 -680.795719044413</t>
  </si>
  <si>
    <t>-634.031315034696 58.7424957277219 -831.082706055465</t>
  </si>
  <si>
    <t>-595.067538340011 37.0080742868001 -922.692868912541</t>
  </si>
  <si>
    <t>-623.282573122922 94.8426880551815 -766.785110965127</t>
  </si>
  <si>
    <t>-530.741404409803 208.116649637071 -751.585931542313</t>
  </si>
  <si>
    <t>-445.653700268615 151.422532376637 -452.032976650568</t>
  </si>
  <si>
    <t>-656.794556356805 40.9817586043525 -762.38540942129</t>
  </si>
  <si>
    <t>-556.198103781063 203.658202192433 -242.57413442167</t>
  </si>
  <si>
    <t>-577.68991035881 195.540509305962 212.541074856528</t>
  </si>
  <si>
    <t>-627.560965544429 174.316336102381 679.32147674877</t>
  </si>
  <si>
    <t>-493.086361565641 100.649597975513 765.538062482343</t>
  </si>
  <si>
    <t>-632.461715703022 28.2017428943116 -212.309207530581</t>
  </si>
  <si>
    <t>-477.28370088716 -108.560515824198 193.737067796207</t>
  </si>
  <si>
    <t>-495.615102836123 -21.2835969451289 655.182711368182</t>
  </si>
  <si>
    <t>-483.752630389237 -170.875043164383 746.971630608767</t>
  </si>
  <si>
    <t>9763-20170724T160515.726525600.bin</t>
  </si>
  <si>
    <t>-594.627166109684 115.801230763526 -227.840380461245</t>
  </si>
  <si>
    <t>-630.905486838709 111.737214502704 -343.318472324859</t>
  </si>
  <si>
    <t>-646.195873630159 102.902795170838 -463.229745967319</t>
  </si>
  <si>
    <t>-651.337463705655 92.5986777453593 -572.143590570692</t>
  </si>
  <si>
    <t>-647.923006605083 79.8377623502856 -680.865129320142</t>
  </si>
  <si>
    <t>-634.33471809831 59.3781113335317 -831.187321005284</t>
  </si>
  <si>
    <t>-595.390417708647 37.7931231838647 -922.841015453064</t>
  </si>
  <si>
    <t>-623.555458652369 95.3435271341466 -766.819447175347</t>
  </si>
  <si>
    <t>-530.90722123509 208.478230928978 -751.358042098076</t>
  </si>
  <si>
    <t>-446.014176823194 151.459569254906 -451.811255445954</t>
  </si>
  <si>
    <t>-657.138788927079 41.518193921464 -762.529306426398</t>
  </si>
  <si>
    <t>-556.415368740483 203.583109388929 -242.63044292798</t>
  </si>
  <si>
    <t>-577.743991446906 195.486316795704 212.492910365191</t>
  </si>
  <si>
    <t>-627.485156359024 174.42171535615 679.279165629803</t>
  </si>
  <si>
    <t>-493.135843419526 100.592174332387 765.551803054259</t>
  </si>
  <si>
    <t>-632.688423641195 28.0914346324832 -212.364754022836</t>
  </si>
  <si>
    <t>-477.34265755615 -108.527014665796 193.665734442759</t>
  </si>
  <si>
    <t>-495.63577335967 -21.35848639595 655.117802591841</t>
  </si>
  <si>
    <t>-483.777086180324 -170.908241007058 746.974998487206</t>
  </si>
  <si>
    <t>9763-20170724T160515.758610600.bin</t>
  </si>
  <si>
    <t>-594.898356477694 115.732886201033 -227.940176448376</t>
  </si>
  <si>
    <t>-631.222522257493 111.715985675066 -343.405476274261</t>
  </si>
  <si>
    <t>-646.538107062525 102.991999735616 -463.321619887383</t>
  </si>
  <si>
    <t>-651.692762867347 92.8110886468055 -572.246568361401</t>
  </si>
  <si>
    <t>-648.281040655365 80.1953243303578 -680.984994932601</t>
  </si>
  <si>
    <t>-634.685034121897 59.9592970915335 -831.336740780482</t>
  </si>
  <si>
    <t>-595.748746802667 38.4929982408942 -923.021887452863</t>
  </si>
  <si>
    <t>-623.887928008704 95.816079413032 -766.911368328291</t>
  </si>
  <si>
    <t>-531.094331002703 208.816803814519 -751.225980961054</t>
  </si>
  <si>
    <t>-446.36223080298 151.448759679082 -451.700351677505</t>
  </si>
  <si>
    <t>-657.513664952212 42.0102641874414 -762.710269776485</t>
  </si>
  <si>
    <t>-556.64204178209 203.492845941618 -242.724356137022</t>
  </si>
  <si>
    <t>-577.854345487914 195.484867124666 212.405899016328</t>
  </si>
  <si>
    <t>-627.370754412866 174.543538216169 679.18884371811</t>
  </si>
  <si>
    <t>-493.163513469314 100.588022342908 765.574657701509</t>
  </si>
  <si>
    <t>-633.013605029527 28.002294798845 -212.467470651861</t>
  </si>
  <si>
    <t>-477.43612639927 -108.471693187284 193.522865283132</t>
  </si>
  <si>
    <t>-495.663578297554 -21.4462530128396 655.025203076648</t>
  </si>
  <si>
    <t>-483.809435415051 -170.943149050167 746.968951438954</t>
  </si>
  <si>
    <t>9763-20170724T160515.844458900.bin</t>
  </si>
  <si>
    <t>-595.242506332597 115.77911174883 -228.088481517125</t>
  </si>
  <si>
    <t>-631.607285679844 111.802500726011 -343.54222727449</t>
  </si>
  <si>
    <t>-646.957985427325 103.158251501633 -463.459823520564</t>
  </si>
  <si>
    <t>-652.141253671904 93.0636267080215 -572.391376795995</t>
  </si>
  <si>
    <t>-648.754493047298 80.5473504584008 -681.142111812643</t>
  </si>
  <si>
    <t>-635.189178619773 60.4621536207917 -831.516871558656</t>
  </si>
  <si>
    <t>-596.239762399892 39.0707104972691 -923.213712330047</t>
  </si>
  <si>
    <t>-624.356646277014 96.2404047429166 -767.053798975749</t>
  </si>
  <si>
    <t>-531.490971421375 209.165919287769 -751.220155315963</t>
  </si>
  <si>
    <t>-446.476744040426 151.315299196282 -451.867444750142</t>
  </si>
  <si>
    <t>-658.026331271739 42.4578710076187 -762.90744773112</t>
  </si>
  <si>
    <t>-556.955418950673 203.594236819829 -242.908316462355</t>
  </si>
  <si>
    <t>-577.931329783126 195.509600651165 212.231555644962</t>
  </si>
  <si>
    <t>-627.149985018079 174.698416522914 679.000178250317</t>
  </si>
  <si>
    <t>-493.184936839038 100.556431513268 765.601810714322</t>
  </si>
  <si>
    <t>-633.406641779901 28.0177646696568 -212.594256416589</t>
  </si>
  <si>
    <t>-477.565998513098 -108.354269783994 193.329474552122</t>
  </si>
  <si>
    <t>-495.691663823093 -21.5312056977421 654.900533207953</t>
  </si>
  <si>
    <t>-483.843109917092 -170.978288198698 746.92605763062</t>
  </si>
  <si>
    <t>9763-20170724T160515.896606400.bin</t>
  </si>
  <si>
    <t>-595.999264672089 116.274405114517 -228.403285750942</t>
  </si>
  <si>
    <t>-632.46163023827 112.377649938172 -343.829179930991</t>
  </si>
  <si>
    <t>-648.087238301119 104.073928008246 -463.735097823127</t>
  </si>
  <si>
    <t>-653.586116867706 94.3943712693092 -572.688970038735</t>
  </si>
  <si>
    <t>-650.57648742012 82.4015637152609 -681.50968253054</t>
  </si>
  <si>
    <t>-637.593640658631 63.1568313574417 -832.04564177219</t>
  </si>
  <si>
    <t>-598.798799260236 42.0522695463089 -923.874452018506</t>
  </si>
  <si>
    <t>-626.439861367185 98.5307626571923 -767.414458747626</t>
  </si>
  <si>
    <t>-533.13576077114 210.95940001408 -751.173109664056</t>
  </si>
  <si>
    <t>-444.979398693387 154.301142103973 -452.501907790932</t>
  </si>
  <si>
    <t>-291.619325339413 6.46188707000533 -303.283100349026</t>
  </si>
  <si>
    <t>-660.23651117914 44.8132106933651 -763.461846870717</t>
  </si>
  <si>
    <t>-557.473556104911 204.10474328862 -243.220283977726</t>
  </si>
  <si>
    <t>-578.479840005415 196.212607535155 211.921509322787</t>
  </si>
  <si>
    <t>-626.906799170308 175.017846138034 678.89220106528</t>
  </si>
  <si>
    <t>-493.333965135048 100.396600523756 765.687800544615</t>
  </si>
  <si>
    <t>-634.4331673312 28.3596519327864 -212.868642935532</t>
  </si>
  <si>
    <t>-478.114624124408 -107.87994555373 192.915723863335</t>
  </si>
  <si>
    <t>-495.789542218647 -21.6982363238617 654.604135820202</t>
  </si>
  <si>
    <t>-484.017492657582 -171.05537134906 746.78530774984</t>
  </si>
  <si>
    <t>9763-20170724T160515.923680000.bin</t>
  </si>
  <si>
    <t>-596.047346345119 116.29281091189 -228.319399430207</t>
  </si>
  <si>
    <t>-632.580082800233 112.434340305344 -343.724159211774</t>
  </si>
  <si>
    <t>-648.45115811913 104.216464434689 -463.603802213508</t>
  </si>
  <si>
    <t>-654.241337427523 94.6386445708638 -572.551445454644</t>
  </si>
  <si>
    <t>-651.590069824094 82.7741576428448 -681.395635216696</t>
  </si>
  <si>
    <t>-639.171540099087 63.7379707910909 -832.005792580791</t>
  </si>
  <si>
    <t>-600.616751597649 42.6071171492147 -923.929793470869</t>
  </si>
  <si>
    <t>-627.703971156118 98.9781937966604 -767.356407624284</t>
  </si>
  <si>
    <t>-534.006945511824 211.162987755405 -751.098032785252</t>
  </si>
  <si>
    <t>-443.309104882822 158.828279639681 -452.398936332786</t>
  </si>
  <si>
    <t>-287.305794810806 18.148746855092 -299.055228628431</t>
  </si>
  <si>
    <t>-661.628721538255 45.3436201244424 -763.374587605291</t>
  </si>
  <si>
    <t>-557.221313761417 203.993932141653 -243.184912302402</t>
  </si>
  <si>
    <t>-578.635911707132 196.41791383025 211.943332578107</t>
  </si>
  <si>
    <t>-627.03518077382 174.971644809413 678.963494922327</t>
  </si>
  <si>
    <t>-493.393220570987 100.360138119386 765.661024410053</t>
  </si>
  <si>
    <t>-634.803019378586 28.4720232923203 -212.727240056362</t>
  </si>
  <si>
    <t>-478.241455173289 -107.847516742852 192.936530448565</t>
  </si>
  <si>
    <t>-495.763708689299 -21.739843254252 654.575215551723</t>
  </si>
  <si>
    <t>-484.122944872849 -171.076632421174 746.806086179136</t>
  </si>
  <si>
    <t>9763-20170724T160515.997394300.bin</t>
  </si>
  <si>
    <t>-595.60918375716 116.092630956625 -228.062796159879</t>
  </si>
  <si>
    <t>-632.117353571238 112.592323544632 -343.486871316646</t>
  </si>
  <si>
    <t>-648.314213184792 104.617097934873 -463.339305989522</t>
  </si>
  <si>
    <t>-654.538189025003 95.2432090252901 -572.280801687353</t>
  </si>
  <si>
    <t>-652.453344377542 83.5874717822512 -681.159900818241</t>
  </si>
  <si>
    <t>-640.951916577503 64.8639451168879 -831.881877085059</t>
  </si>
  <si>
    <t>-602.863452773544 43.8009013102594 -924.01556342985</t>
  </si>
  <si>
    <t>-628.976696098006 99.898800571242 -767.213083611724</t>
  </si>
  <si>
    <t>-535.265523711349 212.101925416887 -751.137700519143</t>
  </si>
  <si>
    <t>-450.282335320168 166.983177359816 -449.594281040959</t>
  </si>
  <si>
    <t>-287.747130803128 47.8484879466039 -285.182399956028</t>
  </si>
  <si>
    <t>-663.105203564108 46.3982287031097 -763.171211761731</t>
  </si>
  <si>
    <t>-555.618030676232 203.094332879001 -242.832636960139</t>
  </si>
  <si>
    <t>-578.54605915657 196.334248119018 212.234675975789</t>
  </si>
  <si>
    <t>-627.597144677544 174.992400352048 679.473976176112</t>
  </si>
  <si>
    <t>-493.758120635195 99.9631262240955 765.504399870605</t>
  </si>
  <si>
    <t>-635.57289063168 29.0305635297198 -212.426054144923</t>
  </si>
  <si>
    <t>-479.188957777514 -107.550767019541 193.218241569467</t>
  </si>
  <si>
    <t>-495.794661103231 -21.8105981807621 654.834024462904</t>
  </si>
  <si>
    <t>-484.348204175188 -171.112520701661 747.145585443165</t>
  </si>
  <si>
    <t>9763-20170724T160516.026964100.bin</t>
  </si>
  <si>
    <t>-595.382591935298 116.048136697018 -227.760448214039</t>
  </si>
  <si>
    <t>-631.881556591238 112.735839879882 -343.192916938274</t>
  </si>
  <si>
    <t>-648.088682584475 104.918684769268 -463.054472061318</t>
  </si>
  <si>
    <t>-654.326923653068 95.6903123941327 -572.007574357471</t>
  </si>
  <si>
    <t>-652.258133740362 84.1926031929854 -680.903654599068</t>
  </si>
  <si>
    <t>-640.777660458921 65.710343922814 -831.657179662783</t>
  </si>
  <si>
    <t>-602.798685146139 44.7387589220657 -923.856839100426</t>
  </si>
  <si>
    <t>-628.759155681198 100.620203504797 -766.928688993457</t>
  </si>
  <si>
    <t>-535.057052239015 212.779120519043 -750.604615133092</t>
  </si>
  <si>
    <t>-455.414239355081 172.683149495945 -446.901677709225</t>
  </si>
  <si>
    <t>-292.376878176156 61.9641053306657 -277.189588399411</t>
  </si>
  <si>
    <t>-662.955605574143 47.1562235778783 -762.978194037471</t>
  </si>
  <si>
    <t>-554.835820330011 202.789515980535 -242.568517971532</t>
  </si>
  <si>
    <t>-578.155109576254 196.029085179207 212.47887521427</t>
  </si>
  <si>
    <t>-627.864043461061 174.9960636173 679.652723938147</t>
  </si>
  <si>
    <t>-494.043048303713 99.6091342072116 765.398070304264</t>
  </si>
  <si>
    <t>-635.866601923566 29.3483779207893 -212.112476464151</t>
  </si>
  <si>
    <t>-479.879850423593 -107.569712695765 193.57120744139</t>
  </si>
  <si>
    <t>-495.774110471686 -21.7629306252568 655.176296482151</t>
  </si>
  <si>
    <t>-484.462811377986 -171.116283995944 747.421321234827</t>
  </si>
  <si>
    <t>9763-20170724T160516.094650400.bin</t>
  </si>
  <si>
    <t>-594.856428210855 115.912846298653 -227.262003530622</t>
  </si>
  <si>
    <t>-631.52424358138 112.899475570416 -342.649074253798</t>
  </si>
  <si>
    <t>-647.610520501793 105.243872425468 -462.537489700191</t>
  </si>
  <si>
    <t>-653.614137669224 96.128850472398 -571.513286862123</t>
  </si>
  <si>
    <t>-651.181556780637 84.7271110061577 -680.411959216859</t>
  </si>
  <si>
    <t>-639.059061414444 66.3734998022696 -831.130823395305</t>
  </si>
  <si>
    <t>-601.0236846241 45.4526907992774 -923.318787093105</t>
  </si>
  <si>
    <t>-627.410607649448 101.286911857329 -766.336706689418</t>
  </si>
  <si>
    <t>-533.94051417232 213.657012506165 -749.951156509096</t>
  </si>
  <si>
    <t>-464.788671510789 183.605636664626 -442.540832295672</t>
  </si>
  <si>
    <t>-303.286359399477 90.5141178957192 -261.176574071491</t>
  </si>
  <si>
    <t>-661.43528684698 47.7017617082693 -762.548091301467</t>
  </si>
  <si>
    <t>-553.748520514923 202.497167998215 -242.305650556787</t>
  </si>
  <si>
    <t>-577.053121520014 195.364535670998 212.736875718353</t>
  </si>
  <si>
    <t>-627.742338980167 175.029008150004 679.461722581941</t>
  </si>
  <si>
    <t>-494.048550812099 99.5606100299592 765.333770012131</t>
  </si>
  <si>
    <t>-635.703180721517 29.4682679111461 -211.599522217658</t>
  </si>
  <si>
    <t>-480.74396250021 -108.578530170581 194.09538804137</t>
  </si>
  <si>
    <t>-495.648920056249 -21.7102364341474 655.606990373786</t>
  </si>
  <si>
    <t>-484.787886374308 -171.149644524456 747.766739857883</t>
  </si>
  <si>
    <t>9763-20170724T160516.126121900.bin</t>
  </si>
  <si>
    <t>-594.65065953502 115.988441299216 -227.316123886564</t>
  </si>
  <si>
    <t>-631.460421627931 113.048877177619 -342.65996100139</t>
  </si>
  <si>
    <t>-647.572158108923 105.421802699678 -462.546717101424</t>
  </si>
  <si>
    <t>-653.54861992811 96.3188245749764 -571.524978966543</t>
  </si>
  <si>
    <t>-651.037745458077 84.9184516931825 -680.422144113853</t>
  </si>
  <si>
    <t>-638.752880654898 66.5585492665264 -831.127101495983</t>
  </si>
  <si>
    <t>-600.631999259524 45.6413805912443 -923.280510008094</t>
  </si>
  <si>
    <t>-627.264098629599 101.530560169324 -766.335922498113</t>
  </si>
  <si>
    <t>-534.373665673963 214.373605789689 -750.0361092084</t>
  </si>
  <si>
    <t>-469.810627709683 187.778420952874 -441.312118892101</t>
  </si>
  <si>
    <t>-310.598800994534 99.6468648936932 -255.499118015462</t>
  </si>
  <si>
    <t>-661.11302758035 47.8338762507831 -762.553535640687</t>
  </si>
  <si>
    <t>-553.658036128875 202.712486190685 -242.423604106601</t>
  </si>
  <si>
    <t>-576.579846327267 195.191587264624 212.632130315454</t>
  </si>
  <si>
    <t>-627.491355629492 175.072712378389 679.241321730155</t>
  </si>
  <si>
    <t>-493.985080811228 99.6147098666866 765.413698429898</t>
  </si>
  <si>
    <t>-635.400771190753 29.4465713020388 -211.61756236004</t>
  </si>
  <si>
    <t>-480.772268820789 -108.830471606927 194.125192185632</t>
  </si>
  <si>
    <t>-495.656259351717 -21.7388150060349 655.618818616095</t>
  </si>
  <si>
    <t>-484.860796420385 -171.170254791866 747.799056863433</t>
  </si>
  <si>
    <t>9763-20170724T160516.191799700.bin</t>
  </si>
  <si>
    <t>-594.665778260279 116.634172577755 -227.772372219099</t>
  </si>
  <si>
    <t>-631.561624767816 113.541033064366 -343.0847105323</t>
  </si>
  <si>
    <t>-647.564778998546 106.02840653846 -462.993082974839</t>
  </si>
  <si>
    <t>-653.358606114756 97.1350035215569 -571.998481928239</t>
  </si>
  <si>
    <t>-650.579331741092 86.0471144647713 -680.92132891528</t>
  </si>
  <si>
    <t>-637.831181741897 68.2265668186158 -831.652586941578</t>
  </si>
  <si>
    <t>-599.391574177503 47.5113455604701 -923.719185982187</t>
  </si>
  <si>
    <t>-626.776261651538 103.110446013756 -766.73865390274</t>
  </si>
  <si>
    <t>-535.04007863309 216.842155512995 -750.247438346319</t>
  </si>
  <si>
    <t>-478.629065587941 192.74602312877 -439.726276673455</t>
  </si>
  <si>
    <t>-320.616995589834 109.861768968951 -250.505681299115</t>
  </si>
  <si>
    <t>-660.167425426843 49.1127675523269 -763.178731582492</t>
  </si>
  <si>
    <t>-554.258865714142 203.740006418395 -242.92784224138</t>
  </si>
  <si>
    <t>-576.144867481655 195.39482860403 212.164419921771</t>
  </si>
  <si>
    <t>-626.780434278988 175.331182251318 678.705799095818</t>
  </si>
  <si>
    <t>-493.777127168213 99.8617501562971 765.642552818231</t>
  </si>
  <si>
    <t>-634.872391880181 29.6115827624353 -212.016676959023</t>
  </si>
  <si>
    <t>-480.147698430569 -108.052166886135 193.897858473721</t>
  </si>
  <si>
    <t>-495.807476243728 -21.701722519256 655.578157969965</t>
  </si>
  <si>
    <t>-484.620674444135 -171.175302258246 747.64337805794</t>
  </si>
  <si>
    <t>9763-20170724T160516.227397500.bin</t>
  </si>
  <si>
    <t>-594.728159532407 117.166750304672 -228.061583630725</t>
  </si>
  <si>
    <t>-631.80430757554 114.034949600824 -343.31493423561</t>
  </si>
  <si>
    <t>-647.897050774843 106.616142079729 -463.21721275658</t>
  </si>
  <si>
    <t>-653.729624990375 97.8639930515599 -572.232036981317</t>
  </si>
  <si>
    <t>-650.945052669219 86.9739328488499 -681.174682450771</t>
  </si>
  <si>
    <t>-638.141772442144 69.4882172815851 -831.940477085396</t>
  </si>
  <si>
    <t>-599.608705980992 48.9151594117689 -923.999883681328</t>
  </si>
  <si>
    <t>-627.2720626443 104.325614285698 -766.970187324624</t>
  </si>
  <si>
    <t>-536.294008075791 218.656379747608 -750.30814747091</t>
  </si>
  <si>
    <t>-482.344106313223 194.884363402516 -439.325007655823</t>
  </si>
  <si>
    <t>-321.352431538538 113.951238503397 -251.778902211273</t>
  </si>
  <si>
    <t>-660.341479063601 50.1247273488086 -763.492299205838</t>
  </si>
  <si>
    <t>-554.699802910084 204.610528318665 -243.167418719958</t>
  </si>
  <si>
    <t>-576.197729574145 195.881642365444 211.936167306551</t>
  </si>
  <si>
    <t>-626.469835944963 175.575099828958 678.540022075948</t>
  </si>
  <si>
    <t>-493.714250792953 99.9696554445623 765.736815248294</t>
  </si>
  <si>
    <t>-634.676396837384 29.8182703646355 -212.275499334183</t>
  </si>
  <si>
    <t>-479.515766976196 -107.34344604553 193.642581675285</t>
  </si>
  <si>
    <t>-495.867487140874 -21.6673198282733 655.486419919275</t>
  </si>
  <si>
    <t>-484.404390494064 -171.168724062343 747.472567215984</t>
  </si>
  <si>
    <t>9763-20170724T160516.291570300.bin</t>
  </si>
  <si>
    <t>-595.212366940064 118.39665714292 -228.40769371168</t>
  </si>
  <si>
    <t>-632.494116419475 115.14219470833 -343.591302334333</t>
  </si>
  <si>
    <t>-648.598006577461 107.828918387892 -463.498577769017</t>
  </si>
  <si>
    <t>-654.352194273582 99.2773515759131 -572.533500145653</t>
  </si>
  <si>
    <t>-651.39670841393 88.6988922367971 -681.502431462816</t>
  </si>
  <si>
    <t>-638.256189031987 71.7676378078861 -832.302464913608</t>
  </si>
  <si>
    <t>-599.466003445898 51.589656076774 -924.341402598344</t>
  </si>
  <si>
    <t>-627.883212362755 106.573674689631 -767.234390380705</t>
  </si>
  <si>
    <t>-538.248953753035 221.890574968131 -750.109616519657</t>
  </si>
  <si>
    <t>-486.294188480358 197.565837339467 -438.829573697518</t>
  </si>
  <si>
    <t>-318.333115981697 114.927814048117 -258.269118259623</t>
  </si>
  <si>
    <t>-660.257732383637 51.9446843712622 -763.92183735356</t>
  </si>
  <si>
    <t>-555.834424023115 206.193515017508 -243.400882087566</t>
  </si>
  <si>
    <t>-576.710108309959 196.83791825875 211.719291789805</t>
  </si>
  <si>
    <t>-626.365505723923 175.636850410426 678.475939551285</t>
  </si>
  <si>
    <t>-493.769305496152 99.9410931244904 765.836749740263</t>
  </si>
  <si>
    <t>-634.532153407556 30.6003989882538 -212.666115428567</t>
  </si>
  <si>
    <t>-478.642404267492 -106.026859088112 193.152839184233</t>
  </si>
  <si>
    <t>-495.975999917077 -21.6339784691734 655.236604870662</t>
  </si>
  <si>
    <t>-484.012055881057 -171.166642813487 747.108002247997</t>
  </si>
  <si>
    <t>9763-20170724T160516.327334500.bin</t>
  </si>
  <si>
    <t>-595.441043312386 118.868415796089 -228.461680680555</t>
  </si>
  <si>
    <t>-632.780987324813 115.490710345191 -343.623019664653</t>
  </si>
  <si>
    <t>-648.939101242417 108.209501186649 -463.524906876379</t>
  </si>
  <si>
    <t>-654.737339641412 99.7533762378316 -572.56501848043</t>
  </si>
  <si>
    <t>-651.818768335721 89.338135879944 -681.550573099114</t>
  </si>
  <si>
    <t>-638.720137355627 72.7053204681381 -832.387462434494</t>
  </si>
  <si>
    <t>-599.867991634478 52.7436685052139 -924.447408355461</t>
  </si>
  <si>
    <t>-628.47705838226 107.468281135469 -767.275799028274</t>
  </si>
  <si>
    <t>-539.532097197467 223.288714343412 -750.035744314733</t>
  </si>
  <si>
    <t>-487.572311104517 197.458993901101 -438.877972488447</t>
  </si>
  <si>
    <t>-316.066154467987 113.636133474464 -262.238691762233</t>
  </si>
  <si>
    <t>-660.554699293423 52.6613625560938 -764.017781991789</t>
  </si>
  <si>
    <t>-556.397260627382 206.787700422517 -243.404089967526</t>
  </si>
  <si>
    <t>-577.055892705359 197.151432948397 211.720116424233</t>
  </si>
  <si>
    <t>-626.523003474322 175.484130043526 678.526911292562</t>
  </si>
  <si>
    <t>-493.64239714221 100.203536279538 765.814288812295</t>
  </si>
  <si>
    <t>-634.366618100447 30.8632451564858 -212.765003829606</t>
  </si>
  <si>
    <t>-478.412906201867 -105.637052607014 193.07213625764</t>
  </si>
  <si>
    <t>-496.000613278133 -21.6079922018455 655.168393818739</t>
  </si>
  <si>
    <t>-483.907474389374 -171.165209856155 746.982964130015</t>
  </si>
  <si>
    <t>9763-20170724T160516.393013000.bin</t>
  </si>
  <si>
    <t>-595.640104040671 119.83261341392 -228.398784352421</t>
  </si>
  <si>
    <t>-632.929076287392 116.211851863906 -343.569227536504</t>
  </si>
  <si>
    <t>-649.108096169217 108.929324789967 -463.468152807939</t>
  </si>
  <si>
    <t>-654.951858252096 100.572901404905 -572.513383977328</t>
  </si>
  <si>
    <t>-652.103403625149 90.3582672924174 -681.519835141477</t>
  </si>
  <si>
    <t>-639.125141583187 74.1094998868161 -832.409055874251</t>
  </si>
  <si>
    <t>-600.164238836766 54.521315193248 -924.503178716869</t>
  </si>
  <si>
    <t>-629.030964231749 108.821431093026 -767.246958517348</t>
  </si>
  <si>
    <t>-540.977938228235 225.345980551325 -750.113519212715</t>
  </si>
  <si>
    <t>-488.243777842142 196.706749178396 -439.332079147218</t>
  </si>
  <si>
    <t>-310.961996954743 111.346436035347 -269.253264105788</t>
  </si>
  <si>
    <t>-660.704353555524 53.7766279047999 -764.043566404447</t>
  </si>
  <si>
    <t>-557.20505364136 208.04995857194 -243.254684821815</t>
  </si>
  <si>
    <t>-577.831945065751 198.004970931524 211.862079049066</t>
  </si>
  <si>
    <t>-626.84853804629 175.329972182512 678.696761503373</t>
  </si>
  <si>
    <t>-493.677721259607 100.273184827335 765.734256188209</t>
  </si>
  <si>
    <t>-633.981472457059 31.5735112811967 -212.763545110104</t>
  </si>
  <si>
    <t>-478.307502026734 -105.146262377179 193.107115992624</t>
  </si>
  <si>
    <t>-496.05459256926 -21.4911638455162 655.235116313101</t>
  </si>
  <si>
    <t>-483.805221219021 -171.150789656752 746.861936117394</t>
  </si>
  <si>
    <t>9763-20170724T160516.426604100.bin</t>
  </si>
  <si>
    <t>-595.798373029165 120.281571592027 -228.335975923994</t>
  </si>
  <si>
    <t>-633.072343229176 116.571421234364 -343.508487664124</t>
  </si>
  <si>
    <t>-649.297133210049 109.254818484047 -463.399239237944</t>
  </si>
  <si>
    <t>-655.206858248485 100.889579600736 -572.440239756183</t>
  </si>
  <si>
    <t>-652.448663349969 90.6871335628798 -681.450187979756</t>
  </si>
  <si>
    <t>-639.6206712108 74.476105302874 -832.356216545961</t>
  </si>
  <si>
    <t>-600.671145719075 54.9894719546187 -924.476734982103</t>
  </si>
  <si>
    <t>-629.522697065937 109.206286941429 -767.204349703303</t>
  </si>
  <si>
    <t>-541.712063180254 225.958534645526 -750.299776892294</t>
  </si>
  <si>
    <t>-488.120614540854 196.733671262706 -439.719589214352</t>
  </si>
  <si>
    <t>-309.888522129368 109.586503488598 -271.550924986824</t>
  </si>
  <si>
    <t>-661.070631716437 54.0916655348572 -763.965516349315</t>
  </si>
  <si>
    <t>-557.586481019865 208.58218984528 -243.171755279906</t>
  </si>
  <si>
    <t>-578.224124631578 198.367636891667 211.940726718987</t>
  </si>
  <si>
    <t>-627.063522203614 175.137243569946 678.753666272195</t>
  </si>
  <si>
    <t>-493.734025253274 100.24776962194 765.692263180169</t>
  </si>
  <si>
    <t>-633.933588878616 31.9277319447901 -212.721633143431</t>
  </si>
  <si>
    <t>-478.307879919577 -104.748341457276 193.182208793919</t>
  </si>
  <si>
    <t>-496.079154044667 -21.428648239706 655.314522885115</t>
  </si>
  <si>
    <t>-483.773056956926 -171.14539840282 746.840184716539</t>
  </si>
  <si>
    <t>9763-20170724T160516.491277300.bin</t>
  </si>
  <si>
    <t>-596.101141069503 121.055663053945 -228.238423764328</t>
  </si>
  <si>
    <t>-633.353636814227 117.296558546615 -343.416172220251</t>
  </si>
  <si>
    <t>-649.635301103777 109.853016085301 -463.291452187855</t>
  </si>
  <si>
    <t>-655.630440268493 101.33934599892 -572.316314461288</t>
  </si>
  <si>
    <t>-652.992792139129 90.9530948023184 -681.311820878063</t>
  </si>
  <si>
    <t>-640.369133811458 74.4490063937401 -832.203310907352</t>
  </si>
  <si>
    <t>-601.407667930152 54.9170305477867 -924.309333188942</t>
  </si>
  <si>
    <t>-630.227374302637 109.330693613339 -767.139389263916</t>
  </si>
  <si>
    <t>-542.461777896844 226.184043607381 -750.800187815969</t>
  </si>
  <si>
    <t>-487.744648481581 198.24654224432 -440.297725887533</t>
  </si>
  <si>
    <t>-314.729116041831 101.553575983101 -271.899096942419</t>
  </si>
  <si>
    <t>-661.682004123273 54.1724682943454 -763.737684998526</t>
  </si>
  <si>
    <t>-558.156629411549 209.475607862958 -243.038205372041</t>
  </si>
  <si>
    <t>-578.635573876274 198.769510975897 212.070223377458</t>
  </si>
  <si>
    <t>-627.300615881202 175.03305436289 678.884987933038</t>
  </si>
  <si>
    <t>-493.566855845096 100.625259734052 765.616047193895</t>
  </si>
  <si>
    <t>-633.945463881935 32.6199590008514 -212.708488059921</t>
  </si>
  <si>
    <t>-478.520033338058 -104.078811993954 193.264485504088</t>
  </si>
  <si>
    <t>-496.082406960206 -21.3468565424655 655.461960483142</t>
  </si>
  <si>
    <t>-483.959393372456 -171.158171937333 746.857362456134</t>
  </si>
  <si>
    <t>9763-20170724T160516.525874700.bin</t>
  </si>
  <si>
    <t>-596.207865305158 121.430190421963 -228.175477235889</t>
  </si>
  <si>
    <t>-633.485778454883 117.686997419463 -343.345700562977</t>
  </si>
  <si>
    <t>-649.761703049654 110.185319461378 -463.218051337788</t>
  </si>
  <si>
    <t>-655.73967758651 101.587392966657 -572.237302341651</t>
  </si>
  <si>
    <t>-653.073884200981 91.0841704791521 -681.22079565998</t>
  </si>
  <si>
    <t>-640.401026779181 74.3824064748003 -832.086575615769</t>
  </si>
  <si>
    <t>-601.400145190396 54.7551601892462 -924.15548379522</t>
  </si>
  <si>
    <t>-630.271822573341 109.344353282568 -767.063639086874</t>
  </si>
  <si>
    <t>-542.360069053163 226.118595122891 -750.993968452705</t>
  </si>
  <si>
    <t>-488.126369497954 199.662979188757 -440.277180003381</t>
  </si>
  <si>
    <t>-318.598730318345 96.7347319600551 -272.026716543584</t>
  </si>
  <si>
    <t>-661.744943283207 54.2004605794568 -763.602625094989</t>
  </si>
  <si>
    <t>-558.281228158339 209.89295463333 -242.936276156197</t>
  </si>
  <si>
    <t>-578.717594182716 198.972303520497 212.168877122407</t>
  </si>
  <si>
    <t>-627.410836871116 175.078276859569 679.002410000698</t>
  </si>
  <si>
    <t>-493.695095527409 100.479194939685 765.596823708171</t>
  </si>
  <si>
    <t>-634.04029101336 32.9758978619429 -212.682096716432</t>
  </si>
  <si>
    <t>-478.730702043675 -103.691431077813 193.345778609031</t>
  </si>
  <si>
    <t>-496.113312392871 -21.2997209672374 655.586224314049</t>
  </si>
  <si>
    <t>-484.013443765064 -171.155290564284 746.912047030358</t>
  </si>
  <si>
    <t>9763-20170724T160516.590596900.bin</t>
  </si>
  <si>
    <t>-596.437062036275 122.220454517873 -228.072826693308</t>
  </si>
  <si>
    <t>-633.705664912241 118.484439226149 -343.246177463111</t>
  </si>
  <si>
    <t>-649.951121332941 110.824987971818 -463.112686748239</t>
  </si>
  <si>
    <t>-655.894812230436 102.018813479633 -572.117177791251</t>
  </si>
  <si>
    <t>-653.189464407692 91.2428021774031 -681.073156891955</t>
  </si>
  <si>
    <t>-640.458110668486 74.0953174017475 -831.883915348639</t>
  </si>
  <si>
    <t>-601.36579637534 54.1791088884856 -923.851952367742</t>
  </si>
  <si>
    <t>-630.356940324158 109.250941879745 -766.96100609959</t>
  </si>
  <si>
    <t>-542.418804180501 226.055174891737 -751.266008568585</t>
  </si>
  <si>
    <t>-488.930246318549 201.828175604498 -440.238413573329</t>
  </si>
  <si>
    <t>-322.283498028045 88.5529324329621 -275.801069167219</t>
  </si>
  <si>
    <t>-661.825762455518 54.1141227386872 -763.348565992545</t>
  </si>
  <si>
    <t>-558.430471363732 210.76689273327 -242.880614554848</t>
  </si>
  <si>
    <t>-578.785986711307 199.490073012409 212.219534339041</t>
  </si>
  <si>
    <t>-627.308147113796 175.246295574236 678.917066295723</t>
  </si>
  <si>
    <t>-493.744635387213 100.446069646439 765.572874921709</t>
  </si>
  <si>
    <t>-634.301687507823 33.7312669637085 -212.576980445883</t>
  </si>
  <si>
    <t>-479.15813777498 -103.189681980682 193.428921763712</t>
  </si>
  <si>
    <t>-496.110115391376 -21.232462614515 655.770995489887</t>
  </si>
  <si>
    <t>-484.17415879942 -171.163353146399 746.994745949852</t>
  </si>
  <si>
    <t>9763-20170724T160516.626552200.bin</t>
  </si>
  <si>
    <t>-596.597508405784 122.685363343543 -228.108748495814</t>
  </si>
  <si>
    <t>-633.859273565577 118.977538564496 -343.285225645835</t>
  </si>
  <si>
    <t>-650.025007208795 111.250329338526 -463.158120310675</t>
  </si>
  <si>
    <t>-655.867772903419 102.344041206506 -572.159906319692</t>
  </si>
  <si>
    <t>-653.034142641437 91.4289513581002 -681.098767719967</t>
  </si>
  <si>
    <t>-640.097210856783 74.0483545572854 -831.865445232017</t>
  </si>
  <si>
    <t>-600.853070126317 53.9763333109904 -923.734795160274</t>
  </si>
  <si>
    <t>-630.082755732911 109.303250499197 -766.982982243074</t>
  </si>
  <si>
    <t>-541.910798415003 225.91643108383 -751.322891550061</t>
  </si>
  <si>
    <t>-488.373197873982 203.254761792627 -440.1855514664</t>
  </si>
  <si>
    <t>-322.533650050053 84.8705540111753 -278.554874591037</t>
  </si>
  <si>
    <t>-661.560072154092 54.1741768149318 -763.328770632977</t>
  </si>
  <si>
    <t>-558.546491993656 211.255875953045 -242.936209408189</t>
  </si>
  <si>
    <t>-578.867564213946 199.826281641414 212.161639366485</t>
  </si>
  <si>
    <t>-627.202230694696 175.318554146319 678.818308371183</t>
  </si>
  <si>
    <t>-493.717740991955 100.521952089628 765.598887869793</t>
  </si>
  <si>
    <t>-634.501994870997 34.1914789362097 -212.609073303902</t>
  </si>
  <si>
    <t>-479.416001664828 -103.019315736405 193.320938851019</t>
  </si>
  <si>
    <t>-496.125010508863 -21.2497064684078 655.739864368506</t>
  </si>
  <si>
    <t>-484.260999301505 -171.17907531198 746.975350671716</t>
  </si>
  <si>
    <t>9763-20170724T160516.694734300.bin</t>
  </si>
  <si>
    <t>-597.083610839812 123.644841609707 -228.352278392037</t>
  </si>
  <si>
    <t>-634.38436891325 119.960848411122 -343.516795238418</t>
  </si>
  <si>
    <t>-650.477908886498 112.089061921957 -463.390149252984</t>
  </si>
  <si>
    <t>-656.212016285078 102.981267504751 -572.381038346502</t>
  </si>
  <si>
    <t>-653.228205534384 91.7933558213381 -681.288186315004</t>
  </si>
  <si>
    <t>-640.042562099911 73.9581688617163 -831.980125633807</t>
  </si>
  <si>
    <t>-600.510211912838 53.5272195193484 -923.646619371587</t>
  </si>
  <si>
    <t>-630.133987172557 109.408001831734 -767.18779183614</t>
  </si>
  <si>
    <t>-541.801820587583 225.981607805019 -751.877250560133</t>
  </si>
  <si>
    <t>-487.576098251189 204.332625576918 -440.787088727867</t>
  </si>
  <si>
    <t>-320.981835812186 78.6104303651118 -285.602162659728</t>
  </si>
  <si>
    <t>-661.619625018066 54.2913623206646 -763.419475798002</t>
  </si>
  <si>
    <t>-559.063570258562 212.331703789976 -243.223710872222</t>
  </si>
  <si>
    <t>-578.91455043314 200.445922504297 211.883204537812</t>
  </si>
  <si>
    <t>-626.807739113415 175.564508269041 678.510294220855</t>
  </si>
  <si>
    <t>-493.685421920286 100.585255769718 765.688651816434</t>
  </si>
  <si>
    <t>-634.969752038774 35.0290894901191 -212.808483213129</t>
  </si>
  <si>
    <t>-479.811741635192 -102.421410424901 193.012946274611</t>
  </si>
  <si>
    <t>-496.17470729296 -21.2832996216353 655.580011674784</t>
  </si>
  <si>
    <t>-484.355586315313 -171.194763014035 746.85070271302</t>
  </si>
  <si>
    <t>9763-20170724T160516.725699100.bin</t>
  </si>
  <si>
    <t>-597.325815571773 124.231477400332 -228.493818409214</t>
  </si>
  <si>
    <t>-634.586961059552 120.547442734235 -343.671264524729</t>
  </si>
  <si>
    <t>-650.602902277039 112.570034350062 -463.547928278819</t>
  </si>
  <si>
    <t>-656.253206154256 103.322866430326 -572.531501115518</t>
  </si>
  <si>
    <t>-653.173846115411 91.9508720115809 -681.416967512597</t>
  </si>
  <si>
    <t>-639.844568011638 73.813425241854 -832.060118113576</t>
  </si>
  <si>
    <t>-600.166512227058 53.1600953669408 -923.613745519299</t>
  </si>
  <si>
    <t>-629.989374175882 109.388531009841 -767.328235095708</t>
  </si>
  <si>
    <t>-541.702595662139 225.994133598553 -752.214455889968</t>
  </si>
  <si>
    <t>-486.437223623511 204.475515385773 -441.29832592441</t>
  </si>
  <si>
    <t>-319.567442262427 75.3337054623159 -289.249245876413</t>
  </si>
  <si>
    <t>-661.495387395389 54.2887881391268 -763.482156721</t>
  </si>
  <si>
    <t>-559.309045462538 212.990415650919 -243.357732559967</t>
  </si>
  <si>
    <t>-579.018499280967 200.911120771896 211.750305654871</t>
  </si>
  <si>
    <t>-626.622283042381 175.736720185874 678.409317976788</t>
  </si>
  <si>
    <t>-493.776618131487 100.448165122368 765.74304291047</t>
  </si>
  <si>
    <t>-635.218750730748 35.5520907162449 -212.948049100659</t>
  </si>
  <si>
    <t>-480.011275460223 -102.035438926369 192.807919703723</t>
  </si>
  <si>
    <t>-496.197190423375 -21.2875509061791 655.473977287606</t>
  </si>
  <si>
    <t>-484.422643532512 -171.201117338303 746.747174462642</t>
  </si>
  <si>
    <t>9763-20170724T160516.790875100.bin</t>
  </si>
  <si>
    <t>-597.78753335669 125.17455742699 -228.6542281356</t>
  </si>
  <si>
    <t>-634.975764945674 121.464197358943 -343.854411269926</t>
  </si>
  <si>
    <t>-650.842117852862 113.250282664145 -463.735049072425</t>
  </si>
  <si>
    <t>-656.329679216349 103.702960718805 -572.700975382166</t>
  </si>
  <si>
    <t>-653.063155507553 91.9444389603257 -681.540049264107</t>
  </si>
  <si>
    <t>-639.451590743865 73.1801298258508 -832.08111527068</t>
  </si>
  <si>
    <t>-599.509899108804 52.0590168181025 -923.413097786756</t>
  </si>
  <si>
    <t>-629.676663748997 109.001635551074 -767.473035500861</t>
  </si>
  <si>
    <t>-541.246835971482 225.584448323632 -752.728531381866</t>
  </si>
  <si>
    <t>-483.19857964789 203.338360923466 -442.371077668562</t>
  </si>
  <si>
    <t>-314.352861187492 70.9891914269203 -295.34428534366</t>
  </si>
  <si>
    <t>-661.271749820164 53.9640647582091 -763.46958147987</t>
  </si>
  <si>
    <t>-559.645257315208 213.890516550679 -243.483174766075</t>
  </si>
  <si>
    <t>-579.304410067314 201.69605683659 211.623901243398</t>
  </si>
  <si>
    <t>-626.492993437248 175.951130837779 678.37442726704</t>
  </si>
  <si>
    <t>-493.949602581067 100.253395290215 765.813653672655</t>
  </si>
  <si>
    <t>-635.840879201262 36.3919364984138 -213.1182941348</t>
  </si>
  <si>
    <t>-480.439126266684 -101.417871854826 192.48792342263</t>
  </si>
  <si>
    <t>-496.245530354616 -21.2711741439252 655.302166454797</t>
  </si>
  <si>
    <t>-484.49874339608 -171.200119527384 746.553712279797</t>
  </si>
  <si>
    <t>9763-20170724T160516.826999000.bin</t>
  </si>
  <si>
    <t>-598.035484536592 125.403303941903 -228.65915117978</t>
  </si>
  <si>
    <t>-635.192779111546 121.687582191876 -343.869142573595</t>
  </si>
  <si>
    <t>-651.002401858886 113.336258706077 -463.747675129809</t>
  </si>
  <si>
    <t>-656.430345209698 103.610831649544 -572.700951303486</t>
  </si>
  <si>
    <t>-653.097597353404 91.6204444014238 -681.512487003686</t>
  </si>
  <si>
    <t>-639.388913495901 72.4781949188348 -831.997259415794</t>
  </si>
  <si>
    <t>-599.355062696555 51.1106441622237 -923.231633533037</t>
  </si>
  <si>
    <t>-629.627025977203 108.445503554519 -767.468402247081</t>
  </si>
  <si>
    <t>-541.161270328342 225.003309047751 -752.891686879534</t>
  </si>
  <si>
    <t>-481.726494171337 202.322855818723 -442.828291668021</t>
  </si>
  <si>
    <t>-312.126896936705 69.2136260365482 -297.363797872893</t>
  </si>
  <si>
    <t>-661.282085233047 53.4506481103774 -763.356498151557</t>
  </si>
  <si>
    <t>-559.815448268684 214.044638003315 -243.486855012621</t>
  </si>
  <si>
    <t>-579.485562093186 201.785185746213 211.618036455843</t>
  </si>
  <si>
    <t>-626.543740127964 175.910779371494 678.363188171488</t>
  </si>
  <si>
    <t>-493.92419490068 100.349684590503 765.805124214173</t>
  </si>
  <si>
    <t>-636.169908390639 36.7043327231402 -213.117722211706</t>
  </si>
  <si>
    <t>-480.710237796169 -101.243716343963 192.419347791225</t>
  </si>
  <si>
    <t>-496.277285329635 -21.2518801743813 655.24133264838</t>
  </si>
  <si>
    <t>-484.556677580793 -171.200466336708 746.463887787634</t>
  </si>
  <si>
    <t>9763-20170724T160516.892658100.bin</t>
  </si>
  <si>
    <t>-598.264939487611 125.667342286985 -228.664848992522</t>
  </si>
  <si>
    <t>-635.295621661329 121.863688454921 -343.912733729179</t>
  </si>
  <si>
    <t>-651.017329576749 113.253930567073 -463.784608221184</t>
  </si>
  <si>
    <t>-656.38718744768 103.220201750955 -572.712716552805</t>
  </si>
  <si>
    <t>-653.021307282217 90.8438682971278 -681.480189100111</t>
  </si>
  <si>
    <t>-639.295771735573 71.0818141131147 -831.883097733298</t>
  </si>
  <si>
    <t>-599.200896728503 49.267879111226 -922.984937449399</t>
  </si>
  <si>
    <t>-629.452531281058 107.264572840206 -767.487334175444</t>
  </si>
  <si>
    <t>-540.55561920895 223.555282800365 -753.233291850423</t>
  </si>
  <si>
    <t>-478.14747487864 198.94413156957 -443.902322704094</t>
  </si>
  <si>
    <t>-308.224307201069 65.3508014457159 -299.261307040809</t>
  </si>
  <si>
    <t>-661.285295436067 52.3872034292817 -763.181730477912</t>
  </si>
  <si>
    <t>-559.989555444574 214.235735640662 -243.51225515565</t>
  </si>
  <si>
    <t>-579.795407685331 201.973799669309 211.586626949902</t>
  </si>
  <si>
    <t>-626.674909538112 175.759925417171 678.330729726089</t>
  </si>
  <si>
    <t>-493.830125203853 100.593900015022 765.771262526774</t>
  </si>
  <si>
    <t>-636.451335326828 37.0661722705381 -213.095217874648</t>
  </si>
  <si>
    <t>-481.293372316664 -101.203403163684 192.447903409998</t>
  </si>
  <si>
    <t>-496.254393763163 -21.1148090035447 655.286074286851</t>
  </si>
  <si>
    <t>-484.794429122949 -171.190136019245 746.333343977804</t>
  </si>
  <si>
    <t>9763-20170724T160516.926251300.bin</t>
  </si>
  <si>
    <t>-598.278196997201 125.77623888358 -228.684516054168</t>
  </si>
  <si>
    <t>-635.267469826908 121.955130246512 -343.945151016904</t>
  </si>
  <si>
    <t>-650.970355025993 113.241231968364 -463.811964214464</t>
  </si>
  <si>
    <t>-656.334997077043 103.075299585402 -572.728108194432</t>
  </si>
  <si>
    <t>-652.977273883597 90.5272402614301 -681.47595304587</t>
  </si>
  <si>
    <t>-639.278592266883 70.4839457687824 -831.844299965989</t>
  </si>
  <si>
    <t>-599.194432394376 48.4426719868625 -922.895985848033</t>
  </si>
  <si>
    <t>-629.380651353485 106.762547408698 -767.510701384032</t>
  </si>
  <si>
    <t>-540.32517012696 222.930191793404 -753.40129224395</t>
  </si>
  <si>
    <t>-476.833904253872 196.927126630388 -444.40469039408</t>
  </si>
  <si>
    <t>-306.862283008717 63.4615130160591 -299.702874377952</t>
  </si>
  <si>
    <t>-661.299068093768 51.9423596395745 -763.111253927896</t>
  </si>
  <si>
    <t>-559.979871624255 214.403230190548 -243.542462668348</t>
  </si>
  <si>
    <t>-579.823740587983 202.101426580982 211.553650574639</t>
  </si>
  <si>
    <t>-626.597523837113 175.89439874858 678.279535858392</t>
  </si>
  <si>
    <t>-493.881025016114 100.552424028489 765.76338948843</t>
  </si>
  <si>
    <t>-636.466717432947 37.163593487119 -213.121494884342</t>
  </si>
  <si>
    <t>-481.452346414845 -101.261327023015 192.423594031532</t>
  </si>
  <si>
    <t>-496.223202215996 -21.075894170413 655.259720329324</t>
  </si>
  <si>
    <t>-484.930726294791 -171.195228227448 746.255120935647</t>
  </si>
  <si>
    <t>9763-20170724T160516.990934000.bin</t>
  </si>
  <si>
    <t>-598.102282358957 125.984024032026 -228.647840427226</t>
  </si>
  <si>
    <t>-635.066300048522 122.136807439033 -343.915684840415</t>
  </si>
  <si>
    <t>-650.707244312211 113.253877848099 -463.778214538516</t>
  </si>
  <si>
    <t>-656.004286447801 102.872996630893 -572.677300237398</t>
  </si>
  <si>
    <t>-652.570040957351 90.0458482919441 -681.390338318107</t>
  </si>
  <si>
    <t>-638.758625225242 69.5461712994781 -831.686727129745</t>
  </si>
  <si>
    <t>-598.722643834375 47.1546969529545 -922.674298476762</t>
  </si>
  <si>
    <t>-628.834468962062 105.977613303105 -767.443546921127</t>
  </si>
  <si>
    <t>-539.501942286196 221.957438071562 -753.543764604615</t>
  </si>
  <si>
    <t>-473.360628663285 193.317320048975 -445.33730742076</t>
  </si>
  <si>
    <t>-301.839588327898 61.74862661 -300.726532005179</t>
  </si>
  <si>
    <t>-660.904955888103 51.2557549637252 -762.926946810476</t>
  </si>
  <si>
    <t>-559.74158326853 214.622636583839 -243.55223545114</t>
  </si>
  <si>
    <t>-579.623397265803 202.282511796276 211.541374124669</t>
  </si>
  <si>
    <t>-626.553108870063 176.050857469375 678.278944724655</t>
  </si>
  <si>
    <t>-494.054417296582 100.335657579215 765.770751922336</t>
  </si>
  <si>
    <t>-636.339301223113 37.4070503054234 -213.02986917285</t>
  </si>
  <si>
    <t>-481.421670153601 -101.457694721583 192.401780033446</t>
  </si>
  <si>
    <t>-496.102643640706 -21.0451257585003 655.143907732622</t>
  </si>
  <si>
    <t>-485.202172852459 -171.210998431765 746.110378316351</t>
  </si>
  <si>
    <t>9763-20170724T160517.028533600.bin</t>
  </si>
  <si>
    <t>-597.933726810352 125.997803677186 -228.653150208727</t>
  </si>
  <si>
    <t>-634.895271401086 122.128454240076 -343.921090541781</t>
  </si>
  <si>
    <t>-650.53416825246 113.177682937752 -463.778736724409</t>
  </si>
  <si>
    <t>-655.831213238188 102.713950999671 -572.670057240354</t>
  </si>
  <si>
    <t>-652.399712216081 89.7811854165257 -681.370524398726</t>
  </si>
  <si>
    <t>-638.596185932848 69.10956332966 -831.644234981695</t>
  </si>
  <si>
    <t>-598.564120754794 46.5559276362987 -922.593377864641</t>
  </si>
  <si>
    <t>-628.62703675315 105.590530193786 -767.436091774164</t>
  </si>
  <si>
    <t>-539.149251307397 221.465957388382 -753.5966282722</t>
  </si>
  <si>
    <t>-472.083648900508 191.496399554206 -445.71635934623</t>
  </si>
  <si>
    <t>-299.958972535593 60.487231848241 -301.315054784524</t>
  </si>
  <si>
    <t>-660.780618797168 50.9216839040359 -762.869498516272</t>
  </si>
  <si>
    <t>-559.574385610271 214.574195848013 -243.548403615966</t>
  </si>
  <si>
    <t>-579.581386067539 202.315571672099 211.541787070265</t>
  </si>
  <si>
    <t>-626.5982502745 176.018980817636 678.263690897076</t>
  </si>
  <si>
    <t>-494.066690646876 100.359498481519 765.753894319271</t>
  </si>
  <si>
    <t>-636.178972867543 37.4405790660346 -213.032624519235</t>
  </si>
  <si>
    <t>-481.281833965814 -101.555679049692 192.361715117685</t>
  </si>
  <si>
    <t>-496.046300279729 -21.0472281101045 655.083068415077</t>
  </si>
  <si>
    <t>-485.294656222764 -171.217795504387 746.05962286554</t>
  </si>
  <si>
    <t>9763-20170724T160517.092738500.bin</t>
  </si>
  <si>
    <t>-597.616155965631 125.760098865212 -228.680497721502</t>
  </si>
  <si>
    <t>-634.534545464542 121.861641655586 -343.961270259642</t>
  </si>
  <si>
    <t>-650.157668317884 112.793921724669 -463.812214129109</t>
  </si>
  <si>
    <t>-655.454830046919 102.184252276844 -572.689338148356</t>
  </si>
  <si>
    <t>-652.039731354763 89.0630504237006 -681.367893204823</t>
  </si>
  <si>
    <t>-638.278147467261 68.0827627504373 -831.602424262346</t>
  </si>
  <si>
    <t>-598.260639029883 45.2575178334844 -922.49017948177</t>
  </si>
  <si>
    <t>-628.215755803568 104.652207733486 -767.459323529959</t>
  </si>
  <si>
    <t>-538.221933004929 220.170856549381 -753.763703360837</t>
  </si>
  <si>
    <t>-468.661312713393 188.458751880953 -446.612535983842</t>
  </si>
  <si>
    <t>-296.131190615274 58.5058551327784 -301.741322629105</t>
  </si>
  <si>
    <t>-660.518785519467 50.0794525094727 -762.797240676415</t>
  </si>
  <si>
    <t>-559.175473520155 214.259073536183 -243.570777675295</t>
  </si>
  <si>
    <t>-579.349217270402 202.060668538722 211.513689406277</t>
  </si>
  <si>
    <t>-626.718388512664 175.909818701864 678.257235966643</t>
  </si>
  <si>
    <t>-494.189405860123 100.221759965142 765.726625800633</t>
  </si>
  <si>
    <t>-635.972521936178 37.2820755745447 -213.047392944946</t>
  </si>
  <si>
    <t>-481.083457340025 -101.700650093523 192.354718065494</t>
  </si>
  <si>
    <t>-496.019154852963 -21.0508875896655 655.037002193744</t>
  </si>
  <si>
    <t>-485.295018223017 -171.223834003434 746.012621000459</t>
  </si>
  <si>
    <t>9763-20170724T160517.123823900.bin</t>
  </si>
  <si>
    <t>-597.470411426278 125.499327866683 -228.66242449223</t>
  </si>
  <si>
    <t>-634.351195781444 121.578245625957 -343.954283028309</t>
  </si>
  <si>
    <t>-649.981302507255 112.434402656867 -463.798603829781</t>
  </si>
  <si>
    <t>-655.304753465418 101.732775536096 -572.665477841315</t>
  </si>
  <si>
    <t>-651.937244634273 88.4951953235682 -681.331342799933</t>
  </si>
  <si>
    <t>-638.26456685793 67.3271537292007 -831.547676190474</t>
  </si>
  <si>
    <t>-598.287840529183 44.3697841766391 -922.42027334843</t>
  </si>
  <si>
    <t>-628.133594441656 103.959070635729 -767.451138141512</t>
  </si>
  <si>
    <t>-538.027470150808 219.360162490502 -753.853339717994</t>
  </si>
  <si>
    <t>-467.0858399335 186.972768619305 -447.088634855999</t>
  </si>
  <si>
    <t>-294.440403281672 57.6529159495253 -301.788988751452</t>
  </si>
  <si>
    <t>-660.495027530391 49.4276200342972 -762.71214836662</t>
  </si>
  <si>
    <t>-559.050900961383 213.959284998822 -243.55027905339</t>
  </si>
  <si>
    <t>-579.305018251065 201.840546469182 211.532791293192</t>
  </si>
  <si>
    <t>-626.855745957914 175.750143666129 678.272645923544</t>
  </si>
  <si>
    <t>-494.138612562045 100.34479645576 765.700962977414</t>
  </si>
  <si>
    <t>-635.775479326999 37.0409592207018 -213.054012253285</t>
  </si>
  <si>
    <t>-481.023264882948 -101.911788184157 192.410551399102</t>
  </si>
  <si>
    <t>-495.998978271399 -21.0443183616524 655.049347642436</t>
  </si>
  <si>
    <t>-485.276276472276 -171.224140227071 746.013936127695</t>
  </si>
  <si>
    <t>9763-20170724T160517.192510600.bin</t>
  </si>
  <si>
    <t>-597.161440038397 124.983213703141 -228.659399421409</t>
  </si>
  <si>
    <t>-633.940694252852 121.006850835644 -343.981924360238</t>
  </si>
  <si>
    <t>-649.521491771205 111.780403312214 -463.826318131707</t>
  </si>
  <si>
    <t>-654.824718899931 100.989064172759 -572.685233144252</t>
  </si>
  <si>
    <t>-651.463014354787 87.6442983699167 -681.338259794972</t>
  </si>
  <si>
    <t>-637.826723592748 66.3069951405278 -831.53403921941</t>
  </si>
  <si>
    <t>-597.918963070807 43.1958091936528 -922.397905739274</t>
  </si>
  <si>
    <t>-627.63611928065 102.98554782326 -767.473467889472</t>
  </si>
  <si>
    <t>-537.184936727683 218.149592308192 -753.922626133574</t>
  </si>
  <si>
    <t>-463.719036364173 184.509265116681 -447.887901578371</t>
  </si>
  <si>
    <t>-290.378772274073 56.5191700870819 -302.238500068565</t>
  </si>
  <si>
    <t>-660.084608719554 48.5106253156796 -762.680644770536</t>
  </si>
  <si>
    <t>-558.774290748292 213.464272254778 -243.566004048806</t>
  </si>
  <si>
    <t>-579.257999044892 201.627992545959 211.514283536584</t>
  </si>
  <si>
    <t>-626.866772813662 175.787765596706 678.241231506969</t>
  </si>
  <si>
    <t>-494.241301289042 100.239166561056 765.684912909245</t>
  </si>
  <si>
    <t>-635.424870665875 36.5429615824717 -213.053006537505</t>
  </si>
  <si>
    <t>-480.824813576982 -102.415598793022 192.467659867831</t>
  </si>
  <si>
    <t>-495.987129088615 -21.0718034283893 655.015378576587</t>
  </si>
  <si>
    <t>-485.249502147678 -171.23082663077 746.012537617855</t>
  </si>
  <si>
    <t>9763-20170724T160517.229111500.bin</t>
  </si>
  <si>
    <t>-597.081439915092 124.674366932343 -228.653250109649</t>
  </si>
  <si>
    <t>-633.834804897835 120.667864321771 -343.982969321421</t>
  </si>
  <si>
    <t>-649.404137643647 111.388828181413 -463.824769360077</t>
  </si>
  <si>
    <t>-654.704190015348 100.539410189187 -572.678101133013</t>
  </si>
  <si>
    <t>-651.346943238204 87.125583065246 -681.322688296481</t>
  </si>
  <si>
    <t>-637.725476487326 65.6800979385675 -831.504434651305</t>
  </si>
  <si>
    <t>-597.84885043827 42.4972623861847 -922.363631413191</t>
  </si>
  <si>
    <t>-627.515137040575 102.397017170722 -767.468948310516</t>
  </si>
  <si>
    <t>-536.994645949247 217.48723072578 -753.929844476323</t>
  </si>
  <si>
    <t>-462.31938667415 183.196152319959 -448.260177818837</t>
  </si>
  <si>
    <t>-287.946192827637 56.5401512251406 -302.677482712562</t>
  </si>
  <si>
    <t>-659.989999606466 47.9410672065001 -762.638279376158</t>
  </si>
  <si>
    <t>-558.744534499856 213.139231440975 -243.587821414883</t>
  </si>
  <si>
    <t>-579.262498035383 201.414914491104 211.493740042166</t>
  </si>
  <si>
    <t>-626.946720481022 175.651539854104 678.213865373665</t>
  </si>
  <si>
    <t>-494.135949732689 100.445108069651 765.671309295499</t>
  </si>
  <si>
    <t>-635.308508001376 36.2352674100007 -213.034716033047</t>
  </si>
  <si>
    <t>-480.72725063714 -102.596932583724 192.53636589682</t>
  </si>
  <si>
    <t>-495.979171849238 -21.0730613286278 655.017941405696</t>
  </si>
  <si>
    <t>-485.201190644437 -171.231277556589 746.01173867936</t>
  </si>
  <si>
    <t>9763-20170724T160517.294284000.bin</t>
  </si>
  <si>
    <t>-596.774399101056 124.192215451781 -228.709083824886</t>
  </si>
  <si>
    <t>-633.495261748841 120.133572486039 -344.047401840569</t>
  </si>
  <si>
    <t>-649.059763988896 110.775959065953 -463.883786989551</t>
  </si>
  <si>
    <t>-654.36756860853 99.8452690516035 -572.728632611267</t>
  </si>
  <si>
    <t>-651.030699118284 86.3399848766778 -681.36245547927</t>
  </si>
  <si>
    <t>-637.450846748157 64.7570616921562 -831.528274072821</t>
  </si>
  <si>
    <t>-597.578969422436 41.4941584734704 -922.369100180031</t>
  </si>
  <si>
    <t>-627.224638279208 101.533735584714 -767.529622608386</t>
  </si>
  <si>
    <t>-536.547443376093 216.520076338153 -753.984417223782</t>
  </si>
  <si>
    <t>-459.613049530911 180.969212992812 -449.019782108559</t>
  </si>
  <si>
    <t>-285.003569338582 54.2599975871183 -303.766969157224</t>
  </si>
  <si>
    <t>-659.694326229536 47.0799955376679 -762.639441850155</t>
  </si>
  <si>
    <t>-558.508710838541 212.706440195784 -243.645914872134</t>
  </si>
  <si>
    <t>-579.069989412904 201.148841022181 211.437977417371</t>
  </si>
  <si>
    <t>-626.909592133051 175.73476311956 678.182915775405</t>
  </si>
  <si>
    <t>-494.228085455905 100.346973130999 765.680389417694</t>
  </si>
  <si>
    <t>-634.912810449032 35.7295448095492 -213.086779881745</t>
  </si>
  <si>
    <t>-480.401510219016 -103.030942243594 192.535517761923</t>
  </si>
  <si>
    <t>-495.904171323823 -21.1097415273844 654.977133447797</t>
  </si>
  <si>
    <t>-485.224245199464 -171.249534414201 746.012718863381</t>
  </si>
  <si>
    <t>9763-20170724T160517.331386400.bin</t>
  </si>
  <si>
    <t>-596.612723373131 123.951295069924 -228.710928857232</t>
  </si>
  <si>
    <t>-633.294630991644 119.852828501666 -344.060143455868</t>
  </si>
  <si>
    <t>-648.844709299791 110.446485473491 -463.894621203956</t>
  </si>
  <si>
    <t>-654.150475871297 99.4678635998237 -572.734580301768</t>
  </si>
  <si>
    <t>-650.822601551052 85.9110356563504 -681.362309856252</t>
  </si>
  <si>
    <t>-637.267297735794 64.252130740439 -831.519428903972</t>
  </si>
  <si>
    <t>-597.385764958972 40.9648463042379 -922.349733979917</t>
  </si>
  <si>
    <t>-627.032911424547 101.06241208776 -767.541554792319</t>
  </si>
  <si>
    <t>-536.365598103378 216.0121293145 -753.972262182944</t>
  </si>
  <si>
    <t>-458.206161730068 179.900863801055 -449.385213102129</t>
  </si>
  <si>
    <t>-283.565962135734 53.302265897617 -304.073006320937</t>
  </si>
  <si>
    <t>-659.497317747731 46.608610564233 -762.617712905429</t>
  </si>
  <si>
    <t>-558.379332846388 212.498554353534 -243.653791207794</t>
  </si>
  <si>
    <t>-579.017561019518 201.065577596924 211.42968649271</t>
  </si>
  <si>
    <t>-626.886158613878 175.797061086475 678.171847802811</t>
  </si>
  <si>
    <t>-494.194229627997 100.432803269766 765.673784535151</t>
  </si>
  <si>
    <t>-634.725143281912 35.4495233036578 -213.074283379104</t>
  </si>
  <si>
    <t>-480.173862687039 -103.270572585187 192.546608663362</t>
  </si>
  <si>
    <t>-495.888362456879 -21.1455157956123 654.927482281606</t>
  </si>
  <si>
    <t>-485.210419841728 -171.258322800651 746.007860885233</t>
  </si>
  <si>
    <t>9763-20170724T160517.391545800.bin</t>
  </si>
  <si>
    <t>-596.320067148239 123.396949528715 -228.689356110234</t>
  </si>
  <si>
    <t>-632.927458840332 119.152124539683 -344.056845080632</t>
  </si>
  <si>
    <t>-648.435025276957 109.668418066091 -463.890675324187</t>
  </si>
  <si>
    <t>-653.715992587721 98.6452005930116 -572.727479944857</t>
  </si>
  <si>
    <t>-650.378215410493 85.0657770937949 -681.352071574531</t>
  </si>
  <si>
    <t>-636.824260241998 63.3969220681877 -831.50792314379</t>
  </si>
  <si>
    <t>-596.934713577849 40.1286610609945 -922.339583554487</t>
  </si>
  <si>
    <t>-626.609718785415 100.223302849697 -767.536102046698</t>
  </si>
  <si>
    <t>-535.93275469052 215.194462589444 -753.888618908491</t>
  </si>
  <si>
    <t>-455.940281382127 176.676255065926 -450.073304327131</t>
  </si>
  <si>
    <t>-280.922962942917 50.959987913822 -304.449064524226</t>
  </si>
  <si>
    <t>-659.033228440374 45.7461121068543 -762.601144454744</t>
  </si>
  <si>
    <t>-558.288479848442 211.956469665389 -243.641594183303</t>
  </si>
  <si>
    <t>-579.009898123391 200.717571751959 211.442923750065</t>
  </si>
  <si>
    <t>-627.07273362075 175.615760831086 678.222471466573</t>
  </si>
  <si>
    <t>-494.245433619005 100.418642721881 765.662843172099</t>
  </si>
  <si>
    <t>-634.218013598197 34.8497244923126 -213.034353567072</t>
  </si>
  <si>
    <t>-479.73180997482 -103.710792273072 192.665922856</t>
  </si>
  <si>
    <t>-495.888860428939 -21.1461726030227 654.963895156176</t>
  </si>
  <si>
    <t>-485.06547205999 -171.253069080348 746.036836520294</t>
  </si>
  <si>
    <t>9763-20170724T160517.427173500.bin</t>
  </si>
  <si>
    <t>-596.199084297601 123.114553979937 -228.626087797725</t>
  </si>
  <si>
    <t>-632.77027288682 118.789817748116 -344.00217675262</t>
  </si>
  <si>
    <t>-648.229108303675 109.263325892584 -463.83886455409</t>
  </si>
  <si>
    <t>-653.461661537957 98.2139965417298 -572.675379441301</t>
  </si>
  <si>
    <t>-650.07124203364 84.6199019212011 -681.296565123569</t>
  </si>
  <si>
    <t>-636.440491245021 62.9408286338953 -831.443854367528</t>
  </si>
  <si>
    <t>-596.50841984291 39.6953576939532 -922.2626509524</t>
  </si>
  <si>
    <t>-626.263308293908 99.7743269910773 -767.470168540427</t>
  </si>
  <si>
    <t>-535.614165152367 214.7272415777 -753.732442162165</t>
  </si>
  <si>
    <t>-454.86696285198 175.00269613672 -450.27228547058</t>
  </si>
  <si>
    <t>-279.521152064448 49.6591509091368 -304.722016135444</t>
  </si>
  <si>
    <t>-658.680034041451 45.2919798071373 -762.546440600374</t>
  </si>
  <si>
    <t>-558.268756504015 211.712890689455 -243.592168576717</t>
  </si>
  <si>
    <t>-579.09133675718 200.636036351837 211.491806184578</t>
  </si>
  <si>
    <t>-627.140395610453 175.586444705111 678.254386169022</t>
  </si>
  <si>
    <t>-494.268801362677 100.419342636204 765.65319230528</t>
  </si>
  <si>
    <t>-634.007705613463 34.5273461972045 -212.94525094371</t>
  </si>
  <si>
    <t>-479.423828818986 -103.983247651735 192.734815710376</t>
  </si>
  <si>
    <t>-495.871692226776 -21.1532327384232 654.969133761365</t>
  </si>
  <si>
    <t>-485.005807177094 -171.254491807596 746.046385987086</t>
  </si>
  <si>
    <t>9763-20170724T160517.493853900.bin</t>
  </si>
  <si>
    <t>-596.065486753485 122.54414415836 -228.547248894895</t>
  </si>
  <si>
    <t>-632.564203385849 118.069080667397 -343.940588643975</t>
  </si>
  <si>
    <t>-647.933162280757 108.474162098975 -463.783389390913</t>
  </si>
  <si>
    <t>-653.078088769594 97.3923177832421 -572.620828419031</t>
  </si>
  <si>
    <t>-649.594360116828 83.7922560375966 -681.238286738635</t>
  </si>
  <si>
    <t>-635.828712599349 62.1299527315168 -831.375670718348</t>
  </si>
  <si>
    <t>-595.829682498055 38.9330887228914 -922.177467173861</t>
  </si>
  <si>
    <t>-625.719305458824 98.9622686478899 -767.390546364685</t>
  </si>
  <si>
    <t>-535.082364691675 213.962174660781 -753.578277175694</t>
  </si>
  <si>
    <t>-453.177211157591 172.695559341057 -450.634708615933</t>
  </si>
  <si>
    <t>-277.209559002794 47.6022587048431 -305.620550603218</t>
  </si>
  <si>
    <t>-658.119794306731 44.4675149622001 -762.498605651077</t>
  </si>
  <si>
    <t>-558.298178220655 211.165266309493 -243.547470862348</t>
  </si>
  <si>
    <t>-579.334011784483 200.502096089427 211.536544541743</t>
  </si>
  <si>
    <t>-627.262217031527 175.52273366592 678.306245262721</t>
  </si>
  <si>
    <t>-494.261911799634 100.50927236889 765.641290007501</t>
  </si>
  <si>
    <t>-633.734773145728 33.9279676203321 -212.832697397974</t>
  </si>
  <si>
    <t>-478.91744922368 -104.315227258461 192.849545236002</t>
  </si>
  <si>
    <t>-495.864096039337 -21.173280755763 654.983836215414</t>
  </si>
  <si>
    <t>-484.822274714195 -171.254720051737 746.072631394593</t>
  </si>
  <si>
    <t>9763-20170724T160517.525028400.bin</t>
  </si>
  <si>
    <t>-596.082005060268 122.240974217675 -228.549778236897</t>
  </si>
  <si>
    <t>-632.530207392453 117.705137793001 -343.956717225771</t>
  </si>
  <si>
    <t>-647.850246194473 108.040329581572 -463.800132107431</t>
  </si>
  <si>
    <t>-652.952483561346 96.8918625251604 -572.632793507163</t>
  </si>
  <si>
    <t>-649.427844651351 83.2221704642786 -681.240207010232</t>
  </si>
  <si>
    <t>-635.607612857056 61.4600504404555 -831.358123473947</t>
  </si>
  <si>
    <t>-595.569637837953 38.2740829631398 -922.145541037966</t>
  </si>
  <si>
    <t>-625.528151804235 98.338662818896 -767.394953355979</t>
  </si>
  <si>
    <t>-535.001140947366 213.389002956106 -753.571399289402</t>
  </si>
  <si>
    <t>-452.607068991102 171.923377360503 -450.78777349244</t>
  </si>
  <si>
    <t>-276.302392901378 47.2145472338514 -305.851836305924</t>
  </si>
  <si>
    <t>-657.91713056066 43.8395503089107 -762.476184207696</t>
  </si>
  <si>
    <t>-558.361089444679 210.857974138331 -243.580839766948</t>
  </si>
  <si>
    <t>-579.425505831673 200.36658346775 211.505845569688</t>
  </si>
  <si>
    <t>-627.291330691217 175.478843205307 678.281087630681</t>
  </si>
  <si>
    <t>-494.250030953628 100.554974648883 765.630611808079</t>
  </si>
  <si>
    <t>-633.694745010542 33.6418445879194 -212.835663866911</t>
  </si>
  <si>
    <t>-478.806951244313 -104.47078559336 192.864143423929</t>
  </si>
  <si>
    <t>-495.842722562807 -21.2124016758617 654.970375383976</t>
  </si>
  <si>
    <t>-484.777725114502 -171.267060234572 746.100287088979</t>
  </si>
  <si>
    <t>9763-20170724T160517.596219700.bin</t>
  </si>
  <si>
    <t>-596.023714817112 121.550721163573 -228.649020554501</t>
  </si>
  <si>
    <t>-632.448827806849 116.992061880037 -344.062379334422</t>
  </si>
  <si>
    <t>-647.740630288846 107.299125208619 -463.907193815758</t>
  </si>
  <si>
    <t>-652.8154093286 96.1238209846811 -572.73820462449</t>
  </si>
  <si>
    <t>-649.261444811855 82.4263574091369 -681.341199807807</t>
  </si>
  <si>
    <t>-635.398943819283 60.6246488465067 -831.449607963476</t>
  </si>
  <si>
    <t>-595.305090560064 37.5184809991006 -922.232617817913</t>
  </si>
  <si>
    <t>-625.35119769637 97.5279927979959 -767.495707892223</t>
  </si>
  <si>
    <t>-534.965071750731 212.710999578339 -753.690507353151</t>
  </si>
  <si>
    <t>-451.941076613901 170.88991313656 -451.127923020211</t>
  </si>
  <si>
    <t>-275.315993808498 47.1734889034842 -305.73233039973</t>
  </si>
  <si>
    <t>-657.7141962721 43.0143973921172 -762.566863235581</t>
  </si>
  <si>
    <t>-558.336391817196 210.181699475972 -243.663793602072</t>
  </si>
  <si>
    <t>-579.410130778131 199.950909397604 211.428401772549</t>
  </si>
  <si>
    <t>-627.303064639998 175.504160893235 678.26751601906</t>
  </si>
  <si>
    <t>-494.279265749126 100.564074268368 765.629762711403</t>
  </si>
  <si>
    <t>-633.625090055389 32.9387265768248 -212.944275001819</t>
  </si>
  <si>
    <t>-478.575763625308 -104.734029037969 192.843370157352</t>
  </si>
  <si>
    <t>-495.846648388847 -21.3469449090373 654.894211306807</t>
  </si>
  <si>
    <t>-484.672841050598 -171.294670648742 746.186614456285</t>
  </si>
  <si>
    <t>9763-20170724T160517.625353000.bin</t>
  </si>
  <si>
    <t>-596.015950134411 121.113590264339 -228.678085056479</t>
  </si>
  <si>
    <t>-632.40243797153 116.533033050524 -344.10276649785</t>
  </si>
  <si>
    <t>-647.673554877034 106.809265907604 -463.947795506994</t>
  </si>
  <si>
    <t>-652.737096148986 95.6044860870963 -572.776280165986</t>
  </si>
  <si>
    <t>-649.179482145994 81.8767974663597 -681.375366120074</t>
  </si>
  <si>
    <t>-635.319330456063 60.0335886995333 -831.477791827388</t>
  </si>
  <si>
    <t>-595.206197442633 36.9594000032223 -922.260667690787</t>
  </si>
  <si>
    <t>-625.28269223085 96.9616224783799 -767.536446648865</t>
  </si>
  <si>
    <t>-535.12567609736 212.328800595544 -753.804710603848</t>
  </si>
  <si>
    <t>-451.611288094057 170.608895858999 -451.36289788141</t>
  </si>
  <si>
    <t>-278.086215122251 42.6172686580301 -305.935199850371</t>
  </si>
  <si>
    <t>-657.621425820801 42.4353431320858 -762.587735974459</t>
  </si>
  <si>
    <t>-558.343931976608 209.704984422872 -243.677855960345</t>
  </si>
  <si>
    <t>-579.460093164642 199.677110543589 211.416793906169</t>
  </si>
  <si>
    <t>-627.39555333524 175.42523549151 678.287878464459</t>
  </si>
  <si>
    <t>-494.305936989676 100.558548296877 765.612859396044</t>
  </si>
  <si>
    <t>-633.56682812593 32.5221551212239 -213.002546849684</t>
  </si>
  <si>
    <t>-478.442774976924 -104.928412541919 192.831800233836</t>
  </si>
  <si>
    <t>-495.829491715183 -21.4360876343278 654.859041997138</t>
  </si>
  <si>
    <t>-484.662066627096 -171.312620808393 746.2691980926</t>
  </si>
  <si>
    <t>9763-20170724T160517.695041100.bin</t>
  </si>
  <si>
    <t>-595.875226562392 120.344008764503 -228.66030530759</t>
  </si>
  <si>
    <t>-632.270294707883 115.711011804191 -344.080230051687</t>
  </si>
  <si>
    <t>-647.568768116577 105.916989944874 -463.915868120442</t>
  </si>
  <si>
    <t>-652.665454472856 94.6400795498794 -572.735446864793</t>
  </si>
  <si>
    <t>-649.149937837989 80.830708317568 -681.325569627591</t>
  </si>
  <si>
    <t>-635.357988055453 58.8632993002395 -831.416226768832</t>
  </si>
  <si>
    <t>-595.228284545127 35.8433881560738 -922.205405202977</t>
  </si>
  <si>
    <t>-625.272524305406 95.8330652379918 -767.506441202741</t>
  </si>
  <si>
    <t>-535.31476895373 211.415664512977 -754.335401272422</t>
  </si>
  <si>
    <t>-451.847404005541 170.621219102113 -451.754480633502</t>
  </si>
  <si>
    <t>-286.926253499167 30.6555491652703 -307.349917615368</t>
  </si>
  <si>
    <t>-657.648361050321 41.3334576980328 -762.504913814903</t>
  </si>
  <si>
    <t>-558.266424751155 208.935120193506 -243.65285094605</t>
  </si>
  <si>
    <t>-579.499875640151 199.294875425153 211.444864931541</t>
  </si>
  <si>
    <t>-627.525275684935 175.392334394633 678.348776355277</t>
  </si>
  <si>
    <t>-494.390309071692 100.495386143946 765.578596111404</t>
  </si>
  <si>
    <t>-633.384416841426 31.7553600941042 -212.918542344113</t>
  </si>
  <si>
    <t>-477.911225118535 -105.400475411892 192.881992533322</t>
  </si>
  <si>
    <t>-495.837370113145 -21.6121340528716 654.820240657926</t>
  </si>
  <si>
    <t>-484.584846644445 -171.341040589653 746.461610575565</t>
  </si>
  <si>
    <t>9763-20170724T160517.722116800.bin</t>
  </si>
  <si>
    <t>-595.886354810284 119.894607288558 -228.589076809679</t>
  </si>
  <si>
    <t>-632.265133054638 115.256336011233 -344.013840527305</t>
  </si>
  <si>
    <t>-647.561937603594 105.49515254947 -463.852415647588</t>
  </si>
  <si>
    <t>-652.663287250383 94.2613931414178 -572.676305928248</t>
  </si>
  <si>
    <t>-649.158395348051 80.507641026076 -681.273646461011</t>
  </si>
  <si>
    <t>-635.387344183883 58.629333977517 -831.379310636997</t>
  </si>
  <si>
    <t>-595.254285820755 35.7041281514569 -922.190955973829</t>
  </si>
  <si>
    <t>-625.2749910067 95.550515933445 -767.445819829444</t>
  </si>
  <si>
    <t>-535.431152514817 211.221791942858 -754.331000206902</t>
  </si>
  <si>
    <t>-452.603782515975 170.419041257002 -451.575398265178</t>
  </si>
  <si>
    <t>-290.140676161376 27.1205790251308 -307.65407676949</t>
  </si>
  <si>
    <t>-657.686298715382 41.0690066204309 -762.478438627316</t>
  </si>
  <si>
    <t>-558.258355634226 208.506977633646 -243.610486261189</t>
  </si>
  <si>
    <t>-579.559758086641 199.057619398969 211.488059670599</t>
  </si>
  <si>
    <t>-627.65986574886 175.261558199671 678.391012343122</t>
  </si>
  <si>
    <t>-494.395163761793 100.526388426113 765.561489637701</t>
  </si>
  <si>
    <t>-633.392230944003 31.3482685728968 -212.843941827109</t>
  </si>
  <si>
    <t>-477.723247054594 -105.553298690049 192.967369663962</t>
  </si>
  <si>
    <t>-495.892309263921 -21.6436999440718 654.886740071326</t>
  </si>
  <si>
    <t>-484.423484155342 -171.335479958069 746.56209966778</t>
  </si>
  <si>
    <t>9763-20170724T160517.794317400.bin</t>
  </si>
  <si>
    <t>-595.823556420031 119.375343754385 -228.457818697043</t>
  </si>
  <si>
    <t>-632.187576188142 114.69242238982 -343.885490268306</t>
  </si>
  <si>
    <t>-647.396133218028 105.035245930382 -463.743616668138</t>
  </si>
  <si>
    <t>-652.385697645462 93.9539003161165 -572.588329323553</t>
  </si>
  <si>
    <t>-648.736022495469 80.4096450318684 -681.207328250618</t>
  </si>
  <si>
    <t>-634.728761917207 58.8805938877774 -831.341623848558</t>
  </si>
  <si>
    <t>-594.538137328573 36.2739122112966 -922.207530511046</t>
  </si>
  <si>
    <t>-624.722379234544 95.6560976701962 -767.307649619394</t>
  </si>
  <si>
    <t>-534.87932580369 211.26816885984 -753.800744079481</t>
  </si>
  <si>
    <t>-453.722710950491 170.660143024851 -450.566813766513</t>
  </si>
  <si>
    <t>-296.190339903005 21.98386254614 -306.61902261862</t>
  </si>
  <si>
    <t>-657.130630407777 41.1570398986685 -762.516009873635</t>
  </si>
  <si>
    <t>-558.235017402158 207.929152917067 -243.517594755726</t>
  </si>
  <si>
    <t>-579.620398931597 198.77425487872 211.582989519841</t>
  </si>
  <si>
    <t>-627.775166869967 175.21386419402 678.466100825215</t>
  </si>
  <si>
    <t>-494.419779598855 100.552174718465 765.560784826279</t>
  </si>
  <si>
    <t>-633.306843323476 30.8590008821623 -212.683110197933</t>
  </si>
  <si>
    <t>-477.392029244069 -105.853834466186 193.097409927688</t>
  </si>
  <si>
    <t>-495.941794921027 -21.6959220636802 654.985564653889</t>
  </si>
  <si>
    <t>-484.194178480217 -171.33886252327 746.705441464257</t>
  </si>
  <si>
    <t>9763-20170724T160517.829414800.bin</t>
  </si>
  <si>
    <t>-595.794242570067 119.167041488451 -228.417592254719</t>
  </si>
  <si>
    <t>-632.188659099332 114.5176086345 -343.83695525974</t>
  </si>
  <si>
    <t>-647.386087145598 104.989173783872 -463.706921719343</t>
  </si>
  <si>
    <t>-652.346931856577 94.061246460049 -572.568479126503</t>
  </si>
  <si>
    <t>-648.648932741319 80.7064667313368 -681.209186955037</t>
  </si>
  <si>
    <t>-634.553315938452 59.4774735962146 -831.378086885904</t>
  </si>
  <si>
    <t>-594.315903381074 37.0592561616056 -922.269900430499</t>
  </si>
  <si>
    <t>-624.590044533139 96.1279451521511 -767.265634328207</t>
  </si>
  <si>
    <t>-534.708511687976 211.702023421543 -753.481550270296</t>
  </si>
  <si>
    <t>-454.638302179025 170.4058579691 -450.051862198199</t>
  </si>
  <si>
    <t>-297.748589815357 21.7013971283609 -305.432878151162</t>
  </si>
  <si>
    <t>-656.990310797766 41.613370841874 -762.600352301506</t>
  </si>
  <si>
    <t>-558.227950119356 207.73707352716 -243.468067774795</t>
  </si>
  <si>
    <t>-579.516009367771 198.617517532206 211.637783172195</t>
  </si>
  <si>
    <t>-627.821897226668 175.233624191865 678.522064836994</t>
  </si>
  <si>
    <t>-494.491810573791 100.468099793373 765.566385125012</t>
  </si>
  <si>
    <t>-633.225662430057 30.6629719067894 -212.659779656997</t>
  </si>
  <si>
    <t>-477.249381268619 -106.026771957413 193.104833377188</t>
  </si>
  <si>
    <t>-495.966025704836 -21.7552566727472 654.97414499115</t>
  </si>
  <si>
    <t>-484.109345246743 -171.349726602437 746.758934275578</t>
  </si>
  <si>
    <t>9763-20170724T160517.890574500.bin</t>
  </si>
  <si>
    <t>-595.868185365693 118.649899861332 -228.370555750259</t>
  </si>
  <si>
    <t>-632.316547860468 114.04635709199 -343.774797741562</t>
  </si>
  <si>
    <t>-647.507144703526 104.815657870007 -463.668887921492</t>
  </si>
  <si>
    <t>-652.432390543318 94.2560606797028 -572.568293934513</t>
  </si>
  <si>
    <t>-648.667064630411 81.3661002094489 -681.263021374236</t>
  </si>
  <si>
    <t>-634.442390426356 60.8815903582147 -831.523026818981</t>
  </si>
  <si>
    <t>-594.093113422885 38.9255028769428 -922.478170172896</t>
  </si>
  <si>
    <t>-624.565385846974 97.2318965916927 -767.226612759985</t>
  </si>
  <si>
    <t>-534.769361151098 212.777794452679 -752.803388681813</t>
  </si>
  <si>
    <t>-456.245147507549 169.599711845331 -449.231585432885</t>
  </si>
  <si>
    <t>-301.314194141021 18.7664245785124 -304.705638626583</t>
  </si>
  <si>
    <t>-656.907288116455 42.6588828073645 -762.848580478321</t>
  </si>
  <si>
    <t>-558.457544841309 207.199119030815 -243.396268419695</t>
  </si>
  <si>
    <t>-579.557322809662 198.196989766913 211.720663301829</t>
  </si>
  <si>
    <t>-627.959360302319 175.057585142279 678.548362637264</t>
  </si>
  <si>
    <t>-494.469791991413 100.55317977917 765.572136295537</t>
  </si>
  <si>
    <t>-633.18154035846 30.1179782192187 -212.634332603498</t>
  </si>
  <si>
    <t>-477.126562188494 -106.195150771601 193.226772340785</t>
  </si>
  <si>
    <t>-496.022680957778 -21.8024747979703 655.048615888897</t>
  </si>
  <si>
    <t>-483.974746767852 -171.357738120002 746.872148196562</t>
  </si>
  <si>
    <t>9763-20170724T160517.928683600.bin</t>
  </si>
  <si>
    <t>-595.938877060128 118.414318242709 -228.4200651378</t>
  </si>
  <si>
    <t>-632.421429841341 113.873702523832 -343.816034852172</t>
  </si>
  <si>
    <t>-647.589402272059 104.818267870466 -463.726312665388</t>
  </si>
  <si>
    <t>-652.468365561854 94.4625873433286 -572.647464424746</t>
  </si>
  <si>
    <t>-648.629590638531 81.8217319946903 -681.368678009729</t>
  </si>
  <si>
    <t>-634.273565087085 61.7301549972653 -831.669256684277</t>
  </si>
  <si>
    <t>-593.85137042612 40.0564177407582 -922.659743159465</t>
  </si>
  <si>
    <t>-624.48120839357 97.9286364269356 -767.274420389569</t>
  </si>
  <si>
    <t>-534.688412571777 213.452103686199 -752.547770994209</t>
  </si>
  <si>
    <t>-456.82773550129 169.756439828724 -448.879178434278</t>
  </si>
  <si>
    <t>-302.983856567296 16.9982368417466 -305.216136544551</t>
  </si>
  <si>
    <t>-656.770129084413 43.3114638910063 -763.057585264725</t>
  </si>
  <si>
    <t>-558.556464259459 206.96902875303 -243.403200650571</t>
  </si>
  <si>
    <t>-579.603145540088 198.073869976834 211.718305761242</t>
  </si>
  <si>
    <t>-627.986333942889 175.040392486212 678.567502232412</t>
  </si>
  <si>
    <t>-494.591289497128 100.374263131372 765.597607605933</t>
  </si>
  <si>
    <t>-633.217735588014 29.8430051789826 -212.756172635296</t>
  </si>
  <si>
    <t>-477.107450491144 -106.210621049757 193.170767585852</t>
  </si>
  <si>
    <t>-496.068133724736 -21.8505386775446 655.029491766476</t>
  </si>
  <si>
    <t>-483.944753874466 -171.366257302855 746.907519583554</t>
  </si>
  <si>
    <t>9763-20170724T160517.992853300.bin</t>
  </si>
  <si>
    <t>-596.310337012205 117.971437263773 -228.584188327062</t>
  </si>
  <si>
    <t>-632.85213656053 113.605001821489 -343.96816692292</t>
  </si>
  <si>
    <t>-647.991892020733 104.898565682256 -463.907866059599</t>
  </si>
  <si>
    <t>-652.806082420212 94.9269160139154 -572.867658220904</t>
  </si>
  <si>
    <t>-648.861080525884 82.7374853085212 -681.636837186227</t>
  </si>
  <si>
    <t>-634.313010969988 63.3419221408317 -832.010234413273</t>
  </si>
  <si>
    <t>-593.726481840348 42.1848672782592 -923.049133064326</t>
  </si>
  <si>
    <t>-624.647976161454 99.267835249962 -767.443749139447</t>
  </si>
  <si>
    <t>-534.903098934249 214.769870649476 -752.313537043527</t>
  </si>
  <si>
    <t>-457.939978994682 170.36285345398 -448.519363959437</t>
  </si>
  <si>
    <t>-306.87306748908 12.374901788166 -307.59157899838</t>
  </si>
  <si>
    <t>-656.852173317803 44.5798951911061 -763.505498104331</t>
  </si>
  <si>
    <t>-558.990657720112 206.623614512798 -243.445818719362</t>
  </si>
  <si>
    <t>-579.710409178358 197.671423851647 211.689603735403</t>
  </si>
  <si>
    <t>-628.016329379174 175.005672514921 678.563044518135</t>
  </si>
  <si>
    <t>-494.534982073965 100.517187068823 765.613077383469</t>
  </si>
  <si>
    <t>-633.514881548299 29.3647300400635 -213.010182196273</t>
  </si>
  <si>
    <t>-477.455978856076 -106.161460840706 193.112896838576</t>
  </si>
  <si>
    <t>-496.197348810014 -21.939045603968 654.996580815668</t>
  </si>
  <si>
    <t>-483.828208195069 -171.383578948629 746.957698485065</t>
  </si>
  <si>
    <t>9763-20170724T160518.028474000.bin</t>
  </si>
  <si>
    <t>-596.446257509745 117.839348256891 -228.667361488486</t>
  </si>
  <si>
    <t>-632.994394006865 113.541225652179 -344.051931054606</t>
  </si>
  <si>
    <t>-648.120131174506 104.989716051538 -464.004576986054</t>
  </si>
  <si>
    <t>-652.911802048013 95.1922663824537 -572.981260214121</t>
  </si>
  <si>
    <t>-648.933739600359 83.2101660578694 -681.772050615143</t>
  </si>
  <si>
    <t>-634.327817138428 64.1367502667329 -832.181113918819</t>
  </si>
  <si>
    <t>-593.67749331819 43.2094197358351 -923.244710792157</t>
  </si>
  <si>
    <t>-624.70882027284 99.9366548818266 -767.537612573733</t>
  </si>
  <si>
    <t>-534.998818200759 215.457279874395 -752.280544710402</t>
  </si>
  <si>
    <t>-458.416268288038 170.471215065882 -448.47543219305</t>
  </si>
  <si>
    <t>-308.866897487161 9.74688607786629 -309.031080758702</t>
  </si>
  <si>
    <t>-656.871993592318 45.2158233733578 -763.721928856933</t>
  </si>
  <si>
    <t>-559.186336952726 206.557015759052 -243.446763328692</t>
  </si>
  <si>
    <t>-579.755865286176 197.5879053807 211.695124762571</t>
  </si>
  <si>
    <t>-628.016066488198 175.086792756664 678.604268956662</t>
  </si>
  <si>
    <t>-494.615997583693 100.414662143387 765.621539154377</t>
  </si>
  <si>
    <t>-633.544258343292 29.1426399764678 -213.194580960092</t>
  </si>
  <si>
    <t>-477.684278815718 -106.051097985666 193.115675290512</t>
  </si>
  <si>
    <t>-496.240062139483 -21.9578919142757 655.021671462256</t>
  </si>
  <si>
    <t>-483.81311793908 -171.386039229188 747.001499016141</t>
  </si>
  <si>
    <t>9763-20170724T160518.096660000.bin</t>
  </si>
  <si>
    <t>-596.713518843631 117.643098764141 -228.686159654302</t>
  </si>
  <si>
    <t>-633.312106638865 113.485958862047 -344.059762275863</t>
  </si>
  <si>
    <t>-648.474880562622 105.262625815024 -464.030732775026</t>
  </si>
  <si>
    <t>-653.29074719559 95.836994056064 -573.039106221268</t>
  </si>
  <si>
    <t>-649.32522080223 84.3009183260297 -681.878589728571</t>
  </si>
  <si>
    <t>-634.72218830494 65.9238867174793 -832.374684309163</t>
  </si>
  <si>
    <t>-594.01849964047 45.3901012003089 -923.504001618997</t>
  </si>
  <si>
    <t>-625.137005713236 101.444213293207 -767.572160380358</t>
  </si>
  <si>
    <t>-535.56918900199 217.025370285665 -752.050989515738</t>
  </si>
  <si>
    <t>-459.887698134012 170.831054074308 -448.201390136122</t>
  </si>
  <si>
    <t>-312.176339515349 6.68033415710124 -310.804274940222</t>
  </si>
  <si>
    <t>-657.23013916498 46.6661092450481 -763.997367496093</t>
  </si>
  <si>
    <t>-559.551330510689 206.316527202502 -243.343222787416</t>
  </si>
  <si>
    <t>-579.920287029061 197.249609740053 211.805773905442</t>
  </si>
  <si>
    <t>-628.300941783696 174.869815358593 678.77068110513</t>
  </si>
  <si>
    <t>-494.605758886169 100.511999764677 765.604010742657</t>
  </si>
  <si>
    <t>-633.746448908269 28.9510916963989 -213.30825876415</t>
  </si>
  <si>
    <t>-477.877295100506 -106.036510284966 193.066898846701</t>
  </si>
  <si>
    <t>-496.311387138191 -22.0399610071754 655.019263986632</t>
  </si>
  <si>
    <t>-483.909857751244 -171.413954668361 747.090381273848</t>
  </si>
  <si>
    <t>9763-20170724T160518.126806700.bin</t>
  </si>
  <si>
    <t>-596.948052368205 117.640249916712 -228.575812566688</t>
  </si>
  <si>
    <t>-633.568471305111 113.509319597982 -343.94336640159</t>
  </si>
  <si>
    <t>-648.71183849045 105.411991000216 -463.925421936421</t>
  </si>
  <si>
    <t>-653.491533413189 96.1393996236443 -572.948447676793</t>
  </si>
  <si>
    <t>-649.470270662309 84.7946002543406 -681.806033257463</t>
  </si>
  <si>
    <t>-634.768675422819 66.7223879551568 -832.32938545168</t>
  </si>
  <si>
    <t>-594.023138986722 46.3457145941682 -923.475241147345</t>
  </si>
  <si>
    <t>-625.243461165922 102.121396093844 -767.451794625853</t>
  </si>
  <si>
    <t>-535.716649323396 217.720477599592 -751.772137012524</t>
  </si>
  <si>
    <t>-460.45348531438 170.796945919928 -447.930438279701</t>
  </si>
  <si>
    <t>-313.556612766765 5.38288712131225 -311.176685877542</t>
  </si>
  <si>
    <t>-657.303947071102 47.3160973834836 -764.003080877476</t>
  </si>
  <si>
    <t>-559.845411976455 206.292623523625 -243.199552390781</t>
  </si>
  <si>
    <t>-580.09555338588 197.146198695918 211.953098253491</t>
  </si>
  <si>
    <t>-628.54352890572 174.73944910598 678.951759677802</t>
  </si>
  <si>
    <t>-494.643033820019 100.513929107839 765.581678476256</t>
  </si>
  <si>
    <t>-633.925324114864 29.0026491165083 -213.231057986501</t>
  </si>
  <si>
    <t>-478.020508860492 -105.887166667982 193.162947681463</t>
  </si>
  <si>
    <t>-496.366289742298 -22.0399335991674 655.10840382545</t>
  </si>
  <si>
    <t>-483.874833954351 -171.414969111923 747.16596544245</t>
  </si>
  <si>
    <t>9763-20170724T160518.191973900.bin</t>
  </si>
  <si>
    <t>-597.687510797316 118.014717715548 -228.311759885155</t>
  </si>
  <si>
    <t>-634.367945502035 113.880199951317 -343.660084771243</t>
  </si>
  <si>
    <t>-649.520956519184 105.976424105634 -463.653859245904</t>
  </si>
  <si>
    <t>-654.285647373933 96.9547477426574 -572.698562937184</t>
  </si>
  <si>
    <t>-650.223833551645 85.9341824209025 -681.587962074449</t>
  </si>
  <si>
    <t>-635.437719614862 68.3866312216303 -832.165074036791</t>
  </si>
  <si>
    <t>-594.670038224388 48.2607797653693 -923.356680256634</t>
  </si>
  <si>
    <t>-625.98161841888 103.578045146421 -767.164539201371</t>
  </si>
  <si>
    <t>-536.575118504449 219.243472296049 -751.279232148443</t>
  </si>
  <si>
    <t>-462.562489832131 170.941803807588 -447.346264599369</t>
  </si>
  <si>
    <t>-317.996824267478 1.61311013995123 -312.919225482652</t>
  </si>
  <si>
    <t>-657.978692283859 48.7236186246644 -763.914042299123</t>
  </si>
  <si>
    <t>-560.786406356482 206.724180627975 -242.858863966141</t>
  </si>
  <si>
    <t>-580.699400621166 197.290135214415 212.302772754642</t>
  </si>
  <si>
    <t>-628.955774075126 174.588346771469 679.246608884803</t>
  </si>
  <si>
    <t>-494.658054628919 100.648474976638 765.505121359068</t>
  </si>
  <si>
    <t>-634.470813884994 29.3503512397958 -213.035503123138</t>
  </si>
  <si>
    <t>-478.387532792019 -105.331940007471 193.358807584393</t>
  </si>
  <si>
    <t>-496.492352671213 -22.0082070975507 655.392394204583</t>
  </si>
  <si>
    <t>-483.706493609033 -171.405718589381 747.372769511803</t>
  </si>
  <si>
    <t>9763-20170724T160518.229081600.bin</t>
  </si>
  <si>
    <t>-598.052277600464 118.339623909717 -228.251780912656</t>
  </si>
  <si>
    <t>-634.73173327825 114.20855755682 -343.600651898993</t>
  </si>
  <si>
    <t>-649.892431798405 106.42832975679 -463.601450174165</t>
  </si>
  <si>
    <t>-654.665795690767 97.5663881586111 -572.65879169178</t>
  </si>
  <si>
    <t>-650.612993383513 86.7529912445434 -681.569305657545</t>
  </si>
  <si>
    <t>-635.838738152656 69.5416694809867 -832.186344994402</t>
  </si>
  <si>
    <t>-595.099982412357 49.5781208567714 -923.426720585126</t>
  </si>
  <si>
    <t>-626.405048132988 104.603679660047 -767.112713490058</t>
  </si>
  <si>
    <t>-537.122480581576 220.344426576614 -751.103833126352</t>
  </si>
  <si>
    <t>-463.918683918022 171.005799788986 -447.141480411816</t>
  </si>
  <si>
    <t>-319.670904249481 0.665442852552587 -313.654375377001</t>
  </si>
  <si>
    <t>-658.346761746095 49.710570228913 -763.973291901274</t>
  </si>
  <si>
    <t>-561.231806654493 207.132319359822 -242.823940664453</t>
  </si>
  <si>
    <t>-580.968450332589 197.52405708945 212.341712733755</t>
  </si>
  <si>
    <t>-628.942316777417 174.563506945282 679.212801595205</t>
  </si>
  <si>
    <t>-494.631864048391 100.679120833569 765.499010859013</t>
  </si>
  <si>
    <t>-634.756299142249 29.6109220375126 -213.005130994856</t>
  </si>
  <si>
    <t>-478.579410907866 -104.926365029713 193.40118487368</t>
  </si>
  <si>
    <t>-496.530372652271 -21.9955961666792 655.504233167473</t>
  </si>
  <si>
    <t>-483.678320345076 -171.4101102542 747.447858413927</t>
  </si>
  <si>
    <t>9763-20170724T160518.323876000.bin</t>
  </si>
  <si>
    <t>-598.335114622087 118.703287555879 -228.285536257684</t>
  </si>
  <si>
    <t>-635.063635435572 114.609683350795 -343.620228483336</t>
  </si>
  <si>
    <t>-650.25854202481 106.954811397479 -463.624602192781</t>
  </si>
  <si>
    <t>-655.054876328175 98.2407513855212 -572.693059501874</t>
  </si>
  <si>
    <t>-651.016117729739 87.6087842803329 -681.621929224291</t>
  </si>
  <si>
    <t>-636.251121110661 70.6837915036556 -832.272270457203</t>
  </si>
  <si>
    <t>-595.574323047913 50.859816431755 -923.570702630339</t>
  </si>
  <si>
    <t>-626.847027954934 105.641311845333 -767.138117517558</t>
  </si>
  <si>
    <t>-537.713123051009 221.505870709741 -751.104339339699</t>
  </si>
  <si>
    <t>-465.250887635712 171.134070272406 -447.133860356933</t>
  </si>
  <si>
    <t>-658.721399722251 50.7037443158536 -764.090133394817</t>
  </si>
  <si>
    <t>-561.585428555552 207.604694808601 -242.850912179219</t>
  </si>
  <si>
    <t>-581.204560020986 197.857909095412 212.316887971085</t>
  </si>
  <si>
    <t>-628.869875117933 174.638329208623 679.186535118488</t>
  </si>
  <si>
    <t>-494.611026220705 100.722050477738 765.525741117987</t>
  </si>
  <si>
    <t>-634.9796160494 29.8490421977635 -213.048164544106</t>
  </si>
  <si>
    <t>-478.730840136228 -104.478429936354 193.400061805304</t>
  </si>
  <si>
    <t>-496.560582746085 -21.9839834360589 655.582575053938</t>
  </si>
  <si>
    <t>-483.717098924608 -171.414820707512 747.50097287479</t>
  </si>
  <si>
    <t>9763-20170724T160518.335902800.bin</t>
  </si>
  <si>
    <t>-598.964537908832 119.567222789055 -228.354765198168</t>
  </si>
  <si>
    <t>-635.766152896778 115.532337176929 -343.668176891361</t>
  </si>
  <si>
    <t>-651.08267884557 108.083827527965 -463.670161967913</t>
  </si>
  <si>
    <t>-656.005835473633 99.6141749810122 -572.752128069628</t>
  </si>
  <si>
    <t>-652.108937282413 89.2825031578423 -681.715016628289</t>
  </si>
  <si>
    <t>-637.554572995975 72.8314746363367 -832.438478532157</t>
  </si>
  <si>
    <t>-597.055247841423 53.1825101732127 -923.853497481219</t>
  </si>
  <si>
    <t>-628.073315153949 107.591844558498 -767.210084447393</t>
  </si>
  <si>
    <t>-539.130218786476 223.605320301178 -751.310361596186</t>
  </si>
  <si>
    <t>-468.94285078285 171.072685866238 -447.171965484127</t>
  </si>
  <si>
    <t>-659.915635552601 52.6291363761331 -764.285887329487</t>
  </si>
  <si>
    <t>-562.269558032424 208.595199519054 -242.926573179828</t>
  </si>
  <si>
    <t>-581.601801086556 198.535733707725 212.246716274057</t>
  </si>
  <si>
    <t>-628.783967509163 174.699623569915 679.144557892618</t>
  </si>
  <si>
    <t>-494.676700209493 100.642974822625 765.598946196213</t>
  </si>
  <si>
    <t>-635.574603735599 30.5688649307988 -213.124547685584</t>
  </si>
  <si>
    <t>-479.238417940865 -103.811629921928 193.272435378074</t>
  </si>
  <si>
    <t>-496.664171753527 -21.9813919020892 655.631842471643</t>
  </si>
  <si>
    <t>-483.737795723868 -171.42478448344 747.518174131501</t>
  </si>
  <si>
    <t>9763-20170724T160518.393561700.bin</t>
  </si>
  <si>
    <t>-599.322108605859 120.221738812804 -228.354216993573</t>
  </si>
  <si>
    <t>-636.27314296024 116.247456897558 -343.621856755013</t>
  </si>
  <si>
    <t>-651.81212044934 109.056376351547 -463.610990387917</t>
  </si>
  <si>
    <t>-656.961293992726 100.900651347367 -572.706406852085</t>
  </si>
  <si>
    <t>-653.311601177092 90.9646573321577 -681.714668571097</t>
  </si>
  <si>
    <t>-639.118938076524 75.1490385115253 -832.54058113614</t>
  </si>
  <si>
    <t>-598.887921193036 55.7230249106881 -924.121621443667</t>
  </si>
  <si>
    <t>-629.478748451645 109.633066664138 -767.18893543178</t>
  </si>
  <si>
    <t>-540.676599084584 225.775432361822 -751.444314639252</t>
  </si>
  <si>
    <t>-472.877858605473 170.351204485109 -447.277099473725</t>
  </si>
  <si>
    <t>-661.318831946659 54.6607631516822 -764.42072975478</t>
  </si>
  <si>
    <t>-562.532602100431 209.272746613706 -242.938565071482</t>
  </si>
  <si>
    <t>-581.727064011133 199.035039899291 212.23664375401</t>
  </si>
  <si>
    <t>-628.711029132369 174.85402710347 679.143363886409</t>
  </si>
  <si>
    <t>-494.779602012694 100.524955885245 765.636555274921</t>
  </si>
  <si>
    <t>-636.013475217453 31.1419418061525 -213.088991774517</t>
  </si>
  <si>
    <t>-479.674350709511 -103.37629503967 193.261340185719</t>
  </si>
  <si>
    <t>-496.707262213154 -21.9339971924583 655.707622742687</t>
  </si>
  <si>
    <t>-483.812637569773 -171.424101105688 747.522582416761</t>
  </si>
  <si>
    <t>9763-20170724T160518.424644200.bin</t>
  </si>
  <si>
    <t>-599.465638825743 120.560929887282 -228.321316471315</t>
  </si>
  <si>
    <t>-636.511576556167 116.630722482119 -343.560080536942</t>
  </si>
  <si>
    <t>-652.192474966485 109.583769278185 -463.539220886348</t>
  </si>
  <si>
    <t>-657.486562439383 101.600722916009 -572.640631310135</t>
  </si>
  <si>
    <t>-653.99587548751 91.8812995420449 -681.673548893711</t>
  </si>
  <si>
    <t>-640.036567399649 76.4132973203432 -832.557218688979</t>
  </si>
  <si>
    <t>-599.964900344399 57.1043882242861 -924.232805900364</t>
  </si>
  <si>
    <t>-630.288500017662 110.742850866378 -767.140326696031</t>
  </si>
  <si>
    <t>-541.506469417758 226.931949690642 -751.559255609813</t>
  </si>
  <si>
    <t>-475.126038058497 169.908854735421 -447.374803132298</t>
  </si>
  <si>
    <t>-662.137719337567 55.7720154218682 -764.451499745069</t>
  </si>
  <si>
    <t>-562.594503300512 209.636976895921 -242.945171573691</t>
  </si>
  <si>
    <t>-581.691768480812 199.227299855634 212.230106045216</t>
  </si>
  <si>
    <t>-628.674489071984 174.894451801577 679.121627607861</t>
  </si>
  <si>
    <t>-494.825318601242 100.456989730196 765.648948789419</t>
  </si>
  <si>
    <t>-636.251524087376 31.5007594008844 -213.002073757413</t>
  </si>
  <si>
    <t>-479.912187375088 -103.267128835493 193.265397445378</t>
  </si>
  <si>
    <t>-496.719254043037 -21.8989510937333 655.7319126264</t>
  </si>
  <si>
    <t>-483.876742382602 -171.420480551438 747.502642131296</t>
  </si>
  <si>
    <t>9763-20170724T160518.497860600.bin</t>
  </si>
  <si>
    <t>-599.608501230324 120.886515072381 -228.270451956936</t>
  </si>
  <si>
    <t>-636.822740335288 117.024104443336 -343.457278481688</t>
  </si>
  <si>
    <t>-652.823959286556 110.328485624996 -463.41425389945</t>
  </si>
  <si>
    <t>-658.464136891392 102.776746631687 -572.529006341984</t>
  </si>
  <si>
    <t>-655.371374248483 93.6012904233605 -681.621167670356</t>
  </si>
  <si>
    <t>-642.013890804978 79.0054856942434 -832.646097543244</t>
  </si>
  <si>
    <t>-602.31899138223 59.9235136134776 -924.532886048539</t>
  </si>
  <si>
    <t>-631.942047061441 112.920581468637 -767.062279995634</t>
  </si>
  <si>
    <t>-543.014709489761 229.078795111636 -752.093994491278</t>
  </si>
  <si>
    <t>-480.639256368986 168.400521772433 -447.768948519325</t>
  </si>
  <si>
    <t>-663.906264540018 58.0067892254738 -764.582200679326</t>
  </si>
  <si>
    <t>-562.563234432814 209.891530311318 -242.909776080832</t>
  </si>
  <si>
    <t>-581.61516306206 199.369903164089 212.264939779471</t>
  </si>
  <si>
    <t>-628.704160255677 174.968890775532 679.171544717624</t>
  </si>
  <si>
    <t>-494.892974864968 100.412104238849 765.654853198554</t>
  </si>
  <si>
    <t>-636.545153972679 31.8519795285122 -212.916449203383</t>
  </si>
  <si>
    <t>-480.282034607203 -103.190360994587 193.289214683134</t>
  </si>
  <si>
    <t>-496.724442079836 -21.8578323443344 655.7735786079</t>
  </si>
  <si>
    <t>-484.043321052252 -171.423380526921 747.495208215052</t>
  </si>
  <si>
    <t>9763-20170724T160518.524925400.bin</t>
  </si>
  <si>
    <t>-599.669335050548 120.938741856686 -228.283102261559</t>
  </si>
  <si>
    <t>-636.949133449212 117.123259499623 -343.450150978004</t>
  </si>
  <si>
    <t>-653.102657735047 110.619125109824 -463.397315440288</t>
  </si>
  <si>
    <t>-658.91393964029 103.295044299865 -572.518488857862</t>
  </si>
  <si>
    <t>-656.023989935889 94.3991315195785 -681.63946678708</t>
  </si>
  <si>
    <t>-642.979313374329 80.2434704919926 -832.733610189229</t>
  </si>
  <si>
    <t>-603.519705651641 61.2200536435785 -924.733710560962</t>
  </si>
  <si>
    <t>-632.720028546536 113.937701443425 -767.064934964221</t>
  </si>
  <si>
    <t>-543.544497857406 229.945773228008 -752.359092350455</t>
  </si>
  <si>
    <t>-484.542373458863 166.348078894048 -447.957677614307</t>
  </si>
  <si>
    <t>-664.782297897034 59.0761568701998 -764.693156721042</t>
  </si>
  <si>
    <t>-562.579443169834 209.968177016788 -242.935517054346</t>
  </si>
  <si>
    <t>-581.613440207971 199.365906630538 212.238036197334</t>
  </si>
  <si>
    <t>-628.661436787004 175.001003826829 679.114912560222</t>
  </si>
  <si>
    <t>-494.924783827703 100.367262779972 765.647159823997</t>
  </si>
  <si>
    <t>-636.679036248566 31.8998600326991 -212.925219100031</t>
  </si>
  <si>
    <t>-480.433702634347 -103.126813864377 193.292474289654</t>
  </si>
  <si>
    <t>-496.737820318522 -21.8578715050021 655.775177208438</t>
  </si>
  <si>
    <t>-484.129961135082 -171.429017155626 747.497781421848</t>
  </si>
  <si>
    <t>9763-20170724T160518.596108700.bin</t>
  </si>
  <si>
    <t>-599.757874430338 121.027675086221 -228.277536648465</t>
  </si>
  <si>
    <t>-637.193921066527 117.325055966691 -343.397651325292</t>
  </si>
  <si>
    <t>-653.620576394147 111.338677446714 -463.334715909841</t>
  </si>
  <si>
    <t>-659.719523149755 104.642300479748 -572.480588044407</t>
  </si>
  <si>
    <t>-657.152746935954 96.5306744408392 -681.670510239904</t>
  </si>
  <si>
    <t>-644.588896700411 83.6248863679391 -832.917284512355</t>
  </si>
  <si>
    <t>-605.60917345456 64.8028604313502 -925.163212991668</t>
  </si>
  <si>
    <t>-634.03375586684 116.724765441658 -766.993844231967</t>
  </si>
  <si>
    <t>-544.340899084602 232.336192124856 -752.317899176151</t>
  </si>
  <si>
    <t>-492.201349014877 163.227694317543 -447.86483865359</t>
  </si>
  <si>
    <t>-666.262307657745 61.9457827262122 -764.996788415653</t>
  </si>
  <si>
    <t>-562.504893999347 210.008668751608 -242.990182204157</t>
  </si>
  <si>
    <t>-581.404139008494 199.248035898022 212.185155349744</t>
  </si>
  <si>
    <t>-628.663680865202 174.953689094563 679.073474261115</t>
  </si>
  <si>
    <t>-494.970500626248 100.306555804633 765.661312895518</t>
  </si>
  <si>
    <t>-636.907860943013 32.0984621478399 -212.864646569107</t>
  </si>
  <si>
    <t>-480.760067974472 -103.217638568533 193.294305053138</t>
  </si>
  <si>
    <t>-496.74429658161 -21.8630593473247 655.752682275077</t>
  </si>
  <si>
    <t>-484.278769421189 -171.437250633319 747.489662040691</t>
  </si>
  <si>
    <t>9763-20170724T160518.628198600.bin</t>
  </si>
  <si>
    <t>-599.760276334289 120.936867360362 -228.280367511741</t>
  </si>
  <si>
    <t>-637.3468041502 117.315204308249 -343.353948189103</t>
  </si>
  <si>
    <t>-653.902079551599 111.587351853604 -463.28598751617</t>
  </si>
  <si>
    <t>-660.104175402052 105.195738672146 -572.444370184331</t>
  </si>
  <si>
    <t>-657.624368546095 97.4599515736936 -681.663642932786</t>
  </si>
  <si>
    <t>-645.162389401597 85.1498078395791 -832.968438315387</t>
  </si>
  <si>
    <t>-606.333729893322 66.5231481793012 -925.317711560185</t>
  </si>
  <si>
    <t>-634.545319117902 117.979661484247 -766.920099464338</t>
  </si>
  <si>
    <t>-544.770165125971 233.492437079997 -752.00856778726</t>
  </si>
  <si>
    <t>-494.304933526607 162.952462116035 -447.601587795417</t>
  </si>
  <si>
    <t>-666.807517291491 63.2136994399746 -765.121463293555</t>
  </si>
  <si>
    <t>-562.434893968165 209.860496423083 -242.984978987078</t>
  </si>
  <si>
    <t>-581.300820932089 199.127860719687 212.192481767203</t>
  </si>
  <si>
    <t>-628.663539217952 174.993512971295 679.084967237455</t>
  </si>
  <si>
    <t>-495.005388589743 100.276443914891 765.666548774662</t>
  </si>
  <si>
    <t>-636.998958619544 32.0328659871379 -212.82937784434</t>
  </si>
  <si>
    <t>-480.837373854021 -103.286021065245 193.323295183314</t>
  </si>
  <si>
    <t>-496.718527138033 -21.8429382053382 655.772366875297</t>
  </si>
  <si>
    <t>-484.343054728643 -171.437407023321 747.488521619337</t>
  </si>
  <si>
    <t>9763-20170724T160518.693369400.bin</t>
  </si>
  <si>
    <t>-599.973513110405 120.600472081578 -228.33385887532</t>
  </si>
  <si>
    <t>-637.739685335267 117.142315548454 -343.353715618694</t>
  </si>
  <si>
    <t>-654.471793256214 111.781248121049 -463.278022431248</t>
  </si>
  <si>
    <t>-660.827532665256 105.802403199609 -572.450887489211</t>
  </si>
  <si>
    <t>-658.492301787986 98.5594399396393 -681.707195876852</t>
  </si>
  <si>
    <t>-646.218506759276 87.0173599693346 -833.08806651706</t>
  </si>
  <si>
    <t>-607.554622508255 68.7936055515481 -925.586569128604</t>
  </si>
  <si>
    <t>-635.4916041378 119.495526511748 -766.883597566166</t>
  </si>
  <si>
    <t>-545.437052083398 234.727049116155 -751.437732188059</t>
  </si>
  <si>
    <t>-494.949344558655 162.320928736723 -447.473117114892</t>
  </si>
  <si>
    <t>-667.806881688044 64.7533126395372 -765.329759269773</t>
  </si>
  <si>
    <t>-562.554993936388 209.550246347198 -243.032405279206</t>
  </si>
  <si>
    <t>-581.307546769679 198.863449598527 212.150848995073</t>
  </si>
  <si>
    <t>-628.620800194917 175.055600979925 679.04718994875</t>
  </si>
  <si>
    <t>-495.149852644465 100.050663119272 765.66860260548</t>
  </si>
  <si>
    <t>-637.302721247802 31.6622185142949 -212.937089160878</t>
  </si>
  <si>
    <t>-481.080452663308 -103.413559712087 193.273262064465</t>
  </si>
  <si>
    <t>-496.735966803232 -21.8662847291446 655.724353011459</t>
  </si>
  <si>
    <t>-484.468086377402 -171.447219499043 747.47705943867</t>
  </si>
  <si>
    <t>9763-20170724T160518.724073500.bin</t>
  </si>
  <si>
    <t>-600.130584547769 120.418159111644 -228.406514211617</t>
  </si>
  <si>
    <t>-637.936957048487 117.012686567722 -343.414767361175</t>
  </si>
  <si>
    <t>-654.664305341384 111.787394014122 -463.34573176127</t>
  </si>
  <si>
    <t>-660.996237595111 105.959300457462 -572.528118301157</t>
  </si>
  <si>
    <t>-658.617250705938 98.8919168244338 -681.795006983553</t>
  </si>
  <si>
    <t>-646.261777592689 87.6168148127986 -833.18915897653</t>
  </si>
  <si>
    <t>-607.573865390679 69.5943034097747 -925.717117115032</t>
  </si>
  <si>
    <t>-635.529625900023 119.953973055716 -766.916675103283</t>
  </si>
  <si>
    <t>-545.251614331487 234.956771317405 -751.2116887897</t>
  </si>
  <si>
    <t>-494.453399095913 162.386616512865 -447.337857639575</t>
  </si>
  <si>
    <t>-667.927743018766 65.2574419494817 -765.487148360163</t>
  </si>
  <si>
    <t>-562.73163171472 209.386013397286 -243.102496850207</t>
  </si>
  <si>
    <t>-581.341433964794 198.697581057687 212.086561235237</t>
  </si>
  <si>
    <t>-628.571947570337 175.040295933836 678.973762026803</t>
  </si>
  <si>
    <t>-495.120604935559 100.089632696465 765.672367026454</t>
  </si>
  <si>
    <t>-637.381952143223 31.4817297710601 -213.021611468387</t>
  </si>
  <si>
    <t>-481.304409884516 -103.512461533243 193.271406161791</t>
  </si>
  <si>
    <t>-496.735463864471 -21.8759744302645 655.691033256384</t>
  </si>
  <si>
    <t>-484.536868237775 -171.448407084744 747.466781180252</t>
  </si>
  <si>
    <t>9763-20170724T160518.795267300.bin</t>
  </si>
  <si>
    <t>-600.246459814596 119.929814410671 -228.52048333361</t>
  </si>
  <si>
    <t>-638.186060342784 116.695076152689 -343.489823191762</t>
  </si>
  <si>
    <t>-654.937842248203 111.682381081342 -463.426589968341</t>
  </si>
  <si>
    <t>-661.245008201066 106.063162755015 -572.621172248451</t>
  </si>
  <si>
    <t>-658.793189543809 99.2219314482427 -681.900891795751</t>
  </si>
  <si>
    <t>-646.286407032479 88.2790780271753 -833.307097842469</t>
  </si>
  <si>
    <t>-607.618946573967 70.5324084935319 -925.896912044572</t>
  </si>
  <si>
    <t>-635.598792637528 120.458001519191 -766.950265837617</t>
  </si>
  <si>
    <t>-545.365952679034 235.440106830997 -750.728691095165</t>
  </si>
  <si>
    <t>-493.309679378807 162.924680396587 -447.054836999548</t>
  </si>
  <si>
    <t>-668.041648576775 65.7840197081459 -765.67868397504</t>
  </si>
  <si>
    <t>-562.769508811069 208.812418220459 -243.169154164532</t>
  </si>
  <si>
    <t>-581.292022070455 198.278153730621 212.027141083171</t>
  </si>
  <si>
    <t>-628.568871979323 175.036146585664 678.982911803371</t>
  </si>
  <si>
    <t>-495.119251973674 100.097325309967 765.69439374592</t>
  </si>
  <si>
    <t>-637.628676317255 31.0033037538237 -213.178534650698</t>
  </si>
  <si>
    <t>-481.739178691436 -103.816259783485 193.244714349411</t>
  </si>
  <si>
    <t>-496.721959027666 -21.8901044284621 655.632030262378</t>
  </si>
  <si>
    <t>-484.745641644991 -171.45112123364 747.455509872196</t>
  </si>
  <si>
    <t>9763-20170724T160518.825200700.bin</t>
  </si>
  <si>
    <t>-600.358872463236 119.820654560756 -228.557936832078</t>
  </si>
  <si>
    <t>-638.349893686752 116.656605606886 -343.512116232416</t>
  </si>
  <si>
    <t>-655.094629334954 111.706132712372 -463.452480920678</t>
  </si>
  <si>
    <t>-661.370743040844 106.141115849495 -572.651792862583</t>
  </si>
  <si>
    <t>-658.862694350966 99.3534169482043 -681.933440077966</t>
  </si>
  <si>
    <t>-646.25188800185 88.4849353858945 -833.336421694274</t>
  </si>
  <si>
    <t>-607.547849784639 70.7843198792732 -925.919596888567</t>
  </si>
  <si>
    <t>-635.611043120663 120.631887704319 -766.956648525105</t>
  </si>
  <si>
    <t>-545.443621490933 235.610323535437 -750.338297542924</t>
  </si>
  <si>
    <t>-493.404005397861 162.754973167283 -446.742922638703</t>
  </si>
  <si>
    <t>-668.052528608075 65.9558985343358 -765.733815827869</t>
  </si>
  <si>
    <t>-562.788196407397 208.742473665084 -243.205952734133</t>
  </si>
  <si>
    <t>-581.160233436422 198.125198602291 211.994502932441</t>
  </si>
  <si>
    <t>-628.494526026305 175.122536882043 678.928881987174</t>
  </si>
  <si>
    <t>-495.241647898084 99.8997853450048 765.697042165861</t>
  </si>
  <si>
    <t>-637.791783190698 30.9250861544717 -213.232993856841</t>
  </si>
  <si>
    <t>-481.9948934539 -103.865140477711 193.235416138345</t>
  </si>
  <si>
    <t>-496.759292449774 -21.8888030098738 655.617862370222</t>
  </si>
  <si>
    <t>-484.790527417056 -171.447030190565 747.446932838779</t>
  </si>
  <si>
    <t>9763-20170724T160518.895390900.bin</t>
  </si>
  <si>
    <t>-600.567304509203 119.669633782755 -228.600971021654</t>
  </si>
  <si>
    <t>-638.649425207677 116.561271860148 -343.526568950014</t>
  </si>
  <si>
    <t>-655.399033040471 111.641593840877 -463.467392981754</t>
  </si>
  <si>
    <t>-661.642583459039 106.100786678107 -572.669777770568</t>
  </si>
  <si>
    <t>-659.064473225409 99.3374930717555 -681.951414368063</t>
  </si>
  <si>
    <t>-646.316646623284 88.5071876219279 -833.345698398006</t>
  </si>
  <si>
    <t>-607.498684570791 70.8875965655955 -925.896711837472</t>
  </si>
  <si>
    <t>-635.787589020362 120.667913631288 -766.954657937425</t>
  </si>
  <si>
    <t>-545.871054282772 235.698780253145 -749.428956061061</t>
  </si>
  <si>
    <t>-489.788487385752 163.810443974336 -446.323338527804</t>
  </si>
  <si>
    <t>-331.690770957486 3.77050677497937 -315.807433609526</t>
  </si>
  <si>
    <t>-668.126673803681 65.9306880790043 -765.762010125971</t>
  </si>
  <si>
    <t>-563.004749018011 208.525111228143 -243.255819577664</t>
  </si>
  <si>
    <t>-581.021298917407 197.746822229296 211.954961091354</t>
  </si>
  <si>
    <t>-628.542175345317 174.990434699847 678.911664724742</t>
  </si>
  <si>
    <t>-495.16338148642 100.021633755568 765.706216901892</t>
  </si>
  <si>
    <t>-638.008846884223 30.8128270661821 -213.260728052375</t>
  </si>
  <si>
    <t>-482.445190675763 -104.096827466218 193.257478626292</t>
  </si>
  <si>
    <t>-496.793532381459 -21.8600906461913 655.607850286494</t>
  </si>
  <si>
    <t>-484.941219836123 -171.441630323336 747.414282059338</t>
  </si>
  <si>
    <t>9763-20170724T160518.927480100.bin</t>
  </si>
  <si>
    <t>-600.650549681956 119.748922316305 -228.59181169936</t>
  </si>
  <si>
    <t>-638.7352141729 116.601875650955 -343.51539891212</t>
  </si>
  <si>
    <t>-655.478345617043 111.616059677068 -463.454468128074</t>
  </si>
  <si>
    <t>-661.712063897212 106.008910731974 -572.654110753002</t>
  </si>
  <si>
    <t>-659.120084547517 99.1752149144845 -681.930970044888</t>
  </si>
  <si>
    <t>-646.348673602518 88.2451312109131 -833.316067131076</t>
  </si>
  <si>
    <t>-607.460540191964 70.6231204068852 -925.837095453224</t>
  </si>
  <si>
    <t>-635.87582347223 120.476460516951 -766.950444267693</t>
  </si>
  <si>
    <t>-546.091113456021 235.554624944816 -749.136119927646</t>
  </si>
  <si>
    <t>-486.371901661859 165.649355685256 -446.261457067995</t>
  </si>
  <si>
    <t>-324.561533198325 12.8306536594328 -311.70326243022</t>
  </si>
  <si>
    <t>-668.123426379764 65.6862534396132 -765.715103540805</t>
  </si>
  <si>
    <t>-563.117839291563 208.67056062438 -243.249920511688</t>
  </si>
  <si>
    <t>-581.065507739527 197.750928701634 211.960193225054</t>
  </si>
  <si>
    <t>-628.572236303094 174.967733266088 678.922478726053</t>
  </si>
  <si>
    <t>-495.1386750539 100.077761109368 765.700863967657</t>
  </si>
  <si>
    <t>-638.052682000656 30.8719503799819 -213.230216566704</t>
  </si>
  <si>
    <t>-482.533803788506 -104.05427679928 193.299550561991</t>
  </si>
  <si>
    <t>-496.807620034609 -21.8168872623387 655.653625058628</t>
  </si>
  <si>
    <t>-484.99230806755 -171.429868117579 747.413508261457</t>
  </si>
  <si>
    <t>9763-20170724T160518.991650900.bin</t>
  </si>
  <si>
    <t>-600.939379220358 120.176438132738 -228.502047278906</t>
  </si>
  <si>
    <t>-639.036603447921 116.865850883784 -343.416987986916</t>
  </si>
  <si>
    <t>-655.826335758265 111.632509160727 -463.338978254248</t>
  </si>
  <si>
    <t>-662.116931855787 105.770636293783 -572.521984554404</t>
  </si>
  <si>
    <t>-659.597159802183 98.652664105407 -681.782416604966</t>
  </si>
  <si>
    <t>-646.942345078129 87.298145705015 -833.145991635668</t>
  </si>
  <si>
    <t>-608.045920412686 69.5758423603388 -925.644457059094</t>
  </si>
  <si>
    <t>-636.485999505811 119.754835510729 -766.887803601443</t>
  </si>
  <si>
    <t>-547.047461434197 235.123335210114 -749.071525409089</t>
  </si>
  <si>
    <t>-479.482377150132 169.705557741035 -446.843622391044</t>
  </si>
  <si>
    <t>-306.002696877822 35.7421621877197 -306.841236845791</t>
  </si>
  <si>
    <t>-668.597420623381 64.8894979702743 -765.456842920212</t>
  </si>
  <si>
    <t>-563.537765683475 209.204472434379 -243.260560414349</t>
  </si>
  <si>
    <t>-581.290288777923 198.240261018904 211.956163040867</t>
  </si>
  <si>
    <t>-628.481117148252 175.053418530773 678.876188342796</t>
  </si>
  <si>
    <t>-495.177397149908 100.004456134835 765.716757299202</t>
  </si>
  <si>
    <t>-638.189041391024 31.2068604324427 -213.043636022707</t>
  </si>
  <si>
    <t>-482.436688933734 -103.955950505701 193.318192998294</t>
  </si>
  <si>
    <t>-496.819266038281 -21.7313082197165 655.684458286556</t>
  </si>
  <si>
    <t>-485.071602989723 -171.411473605667 747.343281090683</t>
  </si>
  <si>
    <t>9763-20170724T160519.029767100.bin</t>
  </si>
  <si>
    <t>-601.061451102108 120.431229909752 -228.512126861237</t>
  </si>
  <si>
    <t>-639.168867193735 117.049684810012 -343.421619220705</t>
  </si>
  <si>
    <t>-656.046379882918 111.65573745069 -463.324159007914</t>
  </si>
  <si>
    <t>-662.449314098353 105.614448324463 -572.490796032591</t>
  </si>
  <si>
    <t>-660.075178049274 98.2840826790268 -681.740465482687</t>
  </si>
  <si>
    <t>-647.65768096235 86.6008418974443 -833.0987195127</t>
  </si>
  <si>
    <t>-608.81059117813 68.7682258940154 -925.596555693655</t>
  </si>
  <si>
    <t>-637.125408313792 119.21753990872 -766.931151349361</t>
  </si>
  <si>
    <t>-547.86129037996 234.706530398303 -749.1851508076</t>
  </si>
  <si>
    <t>-475.876314428697 171.738052216567 -447.457875195313</t>
  </si>
  <si>
    <t>-298.908146301731 43.9738806542623 -306.034314484132</t>
  </si>
  <si>
    <t>-669.178659248972 64.3230964988509 -765.323494791426</t>
  </si>
  <si>
    <t>-563.763259886113 209.499246496075 -243.278631981046</t>
  </si>
  <si>
    <t>-581.492010950669 198.495431587598 211.938166538579</t>
  </si>
  <si>
    <t>-628.496309457863 175.02414116504 678.865429625972</t>
  </si>
  <si>
    <t>-495.167941296169 100.046948045197 765.730160123627</t>
  </si>
  <si>
    <t>-638.255262696499 31.3667124492988 -213.024514720101</t>
  </si>
  <si>
    <t>-482.342896473213 -103.808663052431 193.27173335008</t>
  </si>
  <si>
    <t>-496.847285914207 -21.7165735593026 655.650256034607</t>
  </si>
  <si>
    <t>-485.075954463769 -171.403933827648 747.294330797846</t>
  </si>
  <si>
    <t>9763-20170724T160519.092934900.bin</t>
  </si>
  <si>
    <t>-601.160295829134 121.021029221403 -228.655760022457</t>
  </si>
  <si>
    <t>-639.257734199472 117.516840833684 -343.565050658189</t>
  </si>
  <si>
    <t>-656.167143372965 111.808581695928 -463.448417460742</t>
  </si>
  <si>
    <t>-662.618747127901 105.407678918312 -572.591623685641</t>
  </si>
  <si>
    <t>-660.315058688563 97.6431860637533 -681.812838692696</t>
  </si>
  <si>
    <t>-648.019380288845 85.2804481010689 -833.127033630385</t>
  </si>
  <si>
    <t>-609.183042059748 67.2161711924578 -925.584628047081</t>
  </si>
  <si>
    <t>-637.464069358399 118.211330952079 -767.119078520397</t>
  </si>
  <si>
    <t>-548.235444161382 233.795263903406 -749.747174607627</t>
  </si>
  <si>
    <t>-468.984303682156 175.579072531867 -448.887821003119</t>
  </si>
  <si>
    <t>-280.571006369765 64.0566094559142 -308.512492777994</t>
  </si>
  <si>
    <t>-669.455574763753 63.2898550343705 -765.23141419097</t>
  </si>
  <si>
    <t>-563.959937521306 210.107669943942 -243.492060154364</t>
  </si>
  <si>
    <t>-581.486495273488 198.831301777853 211.725793029979</t>
  </si>
  <si>
    <t>-628.269905940728 175.112843645845 678.643895698156</t>
  </si>
  <si>
    <t>-495.152774857625 100.036092980872 765.746263623877</t>
  </si>
  <si>
    <t>-638.251909731692 31.914255998483 -213.123647619408</t>
  </si>
  <si>
    <t>-482.224922063108 -103.279665309276 193.122435925275</t>
  </si>
  <si>
    <t>-496.893635821258 -21.7102318562779 655.568775066007</t>
  </si>
  <si>
    <t>-485.118677173248 -171.396398788415 747.214431217357</t>
  </si>
  <si>
    <t>9763-20170724T160519.128034100.bin</t>
  </si>
  <si>
    <t>-601.135823178194 121.349596472579 -228.732630023953</t>
  </si>
  <si>
    <t>-639.267397217016 117.861308475634 -343.630913911664</t>
  </si>
  <si>
    <t>-656.247510362355 112.031151197806 -463.498571122319</t>
  </si>
  <si>
    <t>-662.77900472814 105.470083192335 -572.627744915162</t>
  </si>
  <si>
    <t>-660.571557421762 97.4991705129839 -681.835914971132</t>
  </si>
  <si>
    <t>-648.426788250423 84.8048143700646 -833.134908517576</t>
  </si>
  <si>
    <t>-609.65524608473 66.6111722949656 -925.594289398479</t>
  </si>
  <si>
    <t>-637.815150644236 117.885852896613 -767.210905355435</t>
  </si>
  <si>
    <t>-548.674559564367 233.576789994189 -750.040869518886</t>
  </si>
  <si>
    <t>-466.611773751641 176.78796008626 -449.662823116608</t>
  </si>
  <si>
    <t>-275.321499286262 68.9975722986792 -310.266589364772</t>
  </si>
  <si>
    <t>-669.785730864453 62.9575678945384 -765.168635907219</t>
  </si>
  <si>
    <t>-563.853012738725 210.434606201345 -243.597124012031</t>
  </si>
  <si>
    <t>-581.327890652504 198.96236949989 211.617840238094</t>
  </si>
  <si>
    <t>-628.112557428057 175.242885547932 678.538806734347</t>
  </si>
  <si>
    <t>-495.135329242099 100.054325900998 765.758383490304</t>
  </si>
  <si>
    <t>-638.313214493448 32.2769369279756 -213.158766440145</t>
  </si>
  <si>
    <t>-482.179303042664 -103.118978992867 192.978915557127</t>
  </si>
  <si>
    <t>-496.870708197132 -21.7475919499761 655.460923633732</t>
  </si>
  <si>
    <t>-485.235694659231 -171.405578301914 747.170413905853</t>
  </si>
  <si>
    <t>9763-20170724T160519.192204800.bin</t>
  </si>
  <si>
    <t>-600.794816615897 121.928644990859 -228.813785192939</t>
  </si>
  <si>
    <t>-638.965174205853 118.431274408837 -343.699007132364</t>
  </si>
  <si>
    <t>-656.08027393877 112.399288147319 -463.537349319725</t>
  </si>
  <si>
    <t>-662.774451911828 105.589260839236 -572.6413209708</t>
  </si>
  <si>
    <t>-660.770080796429 97.3106183983011 -681.830606338371</t>
  </si>
  <si>
    <t>-648.948939372634 84.1341378528493 -833.113852678403</t>
  </si>
  <si>
    <t>-610.32768745008 65.6989202112939 -925.588353602343</t>
  </si>
  <si>
    <t>-638.159067646624 117.40333604152 -767.31381060382</t>
  </si>
  <si>
    <t>-548.809029990646 232.952810780423 -750.438431099796</t>
  </si>
  <si>
    <t>-463.990853198703 178.380546702243 -450.41518522877</t>
  </si>
  <si>
    <t>-258.617786934703 85.6412290405563 -320.556019224998</t>
  </si>
  <si>
    <t>-670.199771369815 62.5253292829289 -765.037685342823</t>
  </si>
  <si>
    <t>-563.226524099439 210.886088767396 -243.793698425787</t>
  </si>
  <si>
    <t>-580.909242594294 199.385657287631 211.412538857945</t>
  </si>
  <si>
    <t>-627.840014132916 175.528677773715 678.394634902585</t>
  </si>
  <si>
    <t>-495.300704356509 99.7764266966346 765.792813803195</t>
  </si>
  <si>
    <t>-638.288059103749 32.9279787527005 -213.107972618145</t>
  </si>
  <si>
    <t>-482.050656232594 -102.908342401399 192.842820715324</t>
  </si>
  <si>
    <t>-496.770219046755 -21.7804821455723 655.326809379538</t>
  </si>
  <si>
    <t>-485.584409675024 -171.41100579568 747.136791254175</t>
  </si>
  <si>
    <t>9763-20170724T160519.225248300.bin</t>
  </si>
  <si>
    <t>-600.397260291003 121.958429311229 -228.791077553238</t>
  </si>
  <si>
    <t>-638.550097911235 118.459642249535 -343.682069803692</t>
  </si>
  <si>
    <t>-655.713471517867 112.343923335385 -463.50935021394</t>
  </si>
  <si>
    <t>-662.479162190881 105.431526179704 -572.602337083415</t>
  </si>
  <si>
    <t>-660.573460428803 97.0289282125796 -681.783926859771</t>
  </si>
  <si>
    <t>-648.91754284088 83.6611466396255 -833.063327571914</t>
  </si>
  <si>
    <t>-610.375236300924 65.1404344019011 -925.553631452666</t>
  </si>
  <si>
    <t>-638.028779227455 116.997849335146 -767.313718168897</t>
  </si>
  <si>
    <t>-548.604148337229 232.524827760647 -750.523845684281</t>
  </si>
  <si>
    <t>-462.747725249594 178.782507924568 -450.646209547038</t>
  </si>
  <si>
    <t>-251.395667554242 91.8481550569411 -326.489944169211</t>
  </si>
  <si>
    <t>-670.121194072632 62.1539521151201 -764.940095566649</t>
  </si>
  <si>
    <t>-562.577142473922 210.758701583449 -243.796113174335</t>
  </si>
  <si>
    <t>-580.614890759843 199.385765947571 211.399440655976</t>
  </si>
  <si>
    <t>-627.863728869914 175.520777393491 678.397344047244</t>
  </si>
  <si>
    <t>-495.357598165806 99.7037516243925 765.789646964687</t>
  </si>
  <si>
    <t>-638.095570942166 33.0703914078051 -213.043400369439</t>
  </si>
  <si>
    <t>-481.965405551503 -103.031856472938 192.859657005551</t>
  </si>
  <si>
    <t>-496.686973905555 -21.7835700365492 655.313498935823</t>
  </si>
  <si>
    <t>-485.802147759981 -171.412193177006 747.162755722994</t>
  </si>
  <si>
    <t>9763-20170724T160519.289419000.bin</t>
  </si>
  <si>
    <t>-599.422644673661 121.737167959456 -228.66761601801</t>
  </si>
  <si>
    <t>-637.543319844841 118.284741981909 -343.570516192051</t>
  </si>
  <si>
    <t>-654.775107457717 112.101121082286 -463.384584823162</t>
  </si>
  <si>
    <t>-661.64453648855 105.090284949658 -572.464945922107</t>
  </si>
  <si>
    <t>-659.88465017984 96.5574388055461 -681.63874962439</t>
  </si>
  <si>
    <t>-648.473652680482 82.9814756715803 -832.918194340194</t>
  </si>
  <si>
    <t>-610.084041244913 64.3588564069651 -925.451502262296</t>
  </si>
  <si>
    <t>-637.414491010899 116.371351714793 -767.224098704117</t>
  </si>
  <si>
    <t>-547.691260906019 231.678928986622 -750.549511355352</t>
  </si>
  <si>
    <t>-461.019164799052 179.745649370348 -450.587781090984</t>
  </si>
  <si>
    <t>-244.201347031696 97.1322058608598 -333.084094097927</t>
  </si>
  <si>
    <t>-669.630936139917 61.6053690414794 -764.739425192006</t>
  </si>
  <si>
    <t>-561.160960875124 210.305752379282 -243.778459428292</t>
  </si>
  <si>
    <t>-579.701209520656 198.982967200386 211.398118371868</t>
  </si>
  <si>
    <t>-627.847291767097 175.554042877153 678.341525903979</t>
  </si>
  <si>
    <t>-495.42309054275 99.5875340587847 765.728236325931</t>
  </si>
  <si>
    <t>-637.573760107346 33.181039952093 -212.863163630261</t>
  </si>
  <si>
    <t>-481.642192405093 -103.497110573471 192.92264431295</t>
  </si>
  <si>
    <t>-496.586406488234 -21.8481839549388 655.274892608961</t>
  </si>
  <si>
    <t>-486.12646675013 -171.419298095095 747.267249177376</t>
  </si>
  <si>
    <t>9763-20170724T160519.340565100.bin</t>
  </si>
  <si>
    <t>-598.9240629485 121.534836570632 -228.626033180884</t>
  </si>
  <si>
    <t>-637.057548840304 118.090138568069 -343.525070029324</t>
  </si>
  <si>
    <t>-654.343202165218 111.86798924948 -463.329351569177</t>
  </si>
  <si>
    <t>-661.279071088821 104.803709435897 -572.401932256029</t>
  </si>
  <si>
    <t>-659.603146129599 96.1997069245224 -681.571553781383</t>
  </si>
  <si>
    <t>-648.327232470682 82.5065796541599 -832.850626786307</t>
  </si>
  <si>
    <t>-610.045538323339 63.8389638809679 -925.419629491597</t>
  </si>
  <si>
    <t>-637.182769277062 115.932019766469 -767.188970385489</t>
  </si>
  <si>
    <t>-547.34307382568 231.191351242453 -750.626504794383</t>
  </si>
  <si>
    <t>-460.363726358848 179.691556334039 -450.678884283757</t>
  </si>
  <si>
    <t>-242.144482096693 98.0362852395538 -335.115951991047</t>
  </si>
  <si>
    <t>-669.45010231152 61.1988048504556 -764.639784454426</t>
  </si>
  <si>
    <t>-560.598221211058 210.036229411213 -243.73772249621</t>
  </si>
  <si>
    <t>-579.313269613145 198.670240438708 211.430562024017</t>
  </si>
  <si>
    <t>-627.935084639423 175.449346382405 678.346393481034</t>
  </si>
  <si>
    <t>-495.424235924708 99.5863715142982 765.691668517275</t>
  </si>
  <si>
    <t>-637.173293432072 33.0610705517688 -212.793833008191</t>
  </si>
  <si>
    <t>-481.373929328213 -103.687946464776 193.01878980794</t>
  </si>
  <si>
    <t>-496.556776552598 -21.8627397520511 655.313768754894</t>
  </si>
  <si>
    <t>-486.181505099386 -171.414744530395 747.346634772601</t>
  </si>
  <si>
    <t>9763-20170724T160519.391698500.bin</t>
  </si>
  <si>
    <t>-598.089796508312 121.194176387203 -228.569527577913</t>
  </si>
  <si>
    <t>-636.175874263099 117.725298255597 -343.483559345992</t>
  </si>
  <si>
    <t>-653.594987528298 111.422334370204 -463.264221421778</t>
  </si>
  <si>
    <t>-660.727655084801 104.260339186177 -572.317887717284</t>
  </si>
  <si>
    <t>-659.325287984915 95.532592288434 -681.481527362099</t>
  </si>
  <si>
    <t>-648.509259291038 81.6391071436967 -832.775805291777</t>
  </si>
  <si>
    <t>-610.469444526409 62.8790215734273 -925.425856790522</t>
  </si>
  <si>
    <t>-637.127678864483 115.129444466006 -767.188041566155</t>
  </si>
  <si>
    <t>-547.158384245626 230.304446793883 -750.938752517825</t>
  </si>
  <si>
    <t>-459.50628140899 178.943981384533 -451.163192304602</t>
  </si>
  <si>
    <t>-241.033208038136 97.3807462812892 -336.015184961981</t>
  </si>
  <si>
    <t>-669.462287208975 60.4437313140234 -764.477729354814</t>
  </si>
  <si>
    <t>-559.789426337726 209.664466239625 -243.696184198616</t>
  </si>
  <si>
    <t>-578.773537269974 198.257894238792 211.460011421329</t>
  </si>
  <si>
    <t>-627.912517514911 175.432413630582 678.284301537687</t>
  </si>
  <si>
    <t>-495.435017113886 99.5437321614781 765.657827349661</t>
  </si>
  <si>
    <t>-636.314199373348 32.7616891290909 -212.762355978986</t>
  </si>
  <si>
    <t>-480.768427488318 -103.872083030188 193.186437530891</t>
  </si>
  <si>
    <t>-496.534646412834 -21.8459867533913 655.460395152328</t>
  </si>
  <si>
    <t>-486.161027332631 -171.395591592844 747.497422115968</t>
  </si>
  <si>
    <t>9763-20170724T160519.423793400.bin</t>
  </si>
  <si>
    <t>-597.664585952456 121.091939422145 -228.55293272414</t>
  </si>
  <si>
    <t>-635.710742783496 117.592388349479 -343.479217844183</t>
  </si>
  <si>
    <t>-653.176268730396 111.263366118373 -463.251757308494</t>
  </si>
  <si>
    <t>-660.386854516613 104.080226676806 -572.2987636975</t>
  </si>
  <si>
    <t>-659.098285007354 95.3338958667011 -681.462371819859</t>
  </si>
  <si>
    <t>-648.477388866196 81.4171942771388 -832.768447011801</t>
  </si>
  <si>
    <t>-610.546884586118 62.6705999274495 -925.46595782501</t>
  </si>
  <si>
    <t>-637.010879709084 114.917341968317 -767.200384855735</t>
  </si>
  <si>
    <t>-547.059486535699 230.111064347264 -751.053192914307</t>
  </si>
  <si>
    <t>-459.166541727071 178.548157053707 -451.382883168932</t>
  </si>
  <si>
    <t>-241.485895534341 96.8611976248123 -334.830605484039</t>
  </si>
  <si>
    <t>-669.342724967019 60.2324768602814 -764.440095620945</t>
  </si>
  <si>
    <t>-559.353524968664 209.551508024553 -243.674325207996</t>
  </si>
  <si>
    <t>-578.471065013494 198.13591610806 211.476062100498</t>
  </si>
  <si>
    <t>-627.886553636324 175.492894311539 678.299565369708</t>
  </si>
  <si>
    <t>-495.462675905348 99.497469649416 765.661587904662</t>
  </si>
  <si>
    <t>-635.872030528182 32.6779838737825 -212.732694165935</t>
  </si>
  <si>
    <t>-480.446892240349 -103.964102741379 193.259554435325</t>
  </si>
  <si>
    <t>-496.524064959056 -21.8449498931243 655.516967063415</t>
  </si>
  <si>
    <t>-486.135323655966 -171.393850761993 747.553372070405</t>
  </si>
  <si>
    <t>9763-20170724T160519.491980000.bin</t>
  </si>
  <si>
    <t>-596.742023704389 120.810017118128 -228.459771266206</t>
  </si>
  <si>
    <t>-634.692228105086 117.239053536565 -343.415523169346</t>
  </si>
  <si>
    <t>-652.206191777423 110.894723591752 -463.180253889939</t>
  </si>
  <si>
    <t>-659.520374012981 103.721431884387 -572.22094841933</t>
  </si>
  <si>
    <t>-658.394780711616 95.0088248265834 -681.389215150618</t>
  </si>
  <si>
    <t>-648.061190702566 81.1637755153399 -832.721699793506</t>
  </si>
  <si>
    <t>-610.333234226865 62.4981863963374 -925.518086767037</t>
  </si>
  <si>
    <t>-636.483021450644 114.640269168708 -767.161116030074</t>
  </si>
  <si>
    <t>-546.638804588678 229.945703814216 -751.108574073003</t>
  </si>
  <si>
    <t>-458.495507377022 178.358091306609 -451.516052412937</t>
  </si>
  <si>
    <t>-240.694246315339 97.1716804416135 -334.839333928991</t>
  </si>
  <si>
    <t>-668.784038266781 59.9391852514088 -764.362410109677</t>
  </si>
  <si>
    <t>-558.504795050716 209.209612158949 -243.593614234954</t>
  </si>
  <si>
    <t>-577.994839070411 197.837187798896 211.542038887206</t>
  </si>
  <si>
    <t>-627.976597686814 175.33769059531 678.301338443165</t>
  </si>
  <si>
    <t>-495.370680943231 99.6506220844558 765.654931445885</t>
  </si>
  <si>
    <t>-634.846126093053 32.4237105980355 -212.642352540035</t>
  </si>
  <si>
    <t>-479.775079927949 -104.361869375684 193.436881341607</t>
  </si>
  <si>
    <t>-496.47022346101 -21.8407312843019 655.62115814959</t>
  </si>
  <si>
    <t>-486.133551644672 -171.389414862101 747.663733810902</t>
  </si>
  <si>
    <t>9763-20170724T160519.526630700.bin</t>
  </si>
  <si>
    <t>-596.225910840951 120.746022474068 -228.391816097638</t>
  </si>
  <si>
    <t>-634.153247797825 117.128395249458 -343.353703484896</t>
  </si>
  <si>
    <t>-651.674322669613 110.75130716689 -463.115675487917</t>
  </si>
  <si>
    <t>-659.007108436558 103.55549921151 -572.153581937456</t>
  </si>
  <si>
    <t>-657.912214359377 94.8280032018949 -681.320779033075</t>
  </si>
  <si>
    <t>-647.633481056148 80.9708493907222 -832.656060776661</t>
  </si>
  <si>
    <t>-609.956462396377 62.3286307586905 -925.477873874442</t>
  </si>
  <si>
    <t>-636.048781916361 114.462743396522 -767.104389459083</t>
  </si>
  <si>
    <t>-546.303015153603 229.834782844 -751.070804178698</t>
  </si>
  <si>
    <t>-458.020620947832 178.275159796516 -451.514371486582</t>
  </si>
  <si>
    <t>-240.413609976243 97.1499945157548 -334.433316897745</t>
  </si>
  <si>
    <t>-668.314176848539 59.7417352182479 -764.285426701101</t>
  </si>
  <si>
    <t>-558.021223734092 209.148380483679 -243.541816977655</t>
  </si>
  <si>
    <t>-577.657873563309 197.761024222828 211.587166410196</t>
  </si>
  <si>
    <t>-627.961914864006 175.403443667508 678.340082172734</t>
  </si>
  <si>
    <t>-495.45420649391 99.5140981097504 765.667206990927</t>
  </si>
  <si>
    <t>-634.29409567153 32.3808605200181 -212.546722946172</t>
  </si>
  <si>
    <t>-479.386341613033 -104.565728917486 193.540497916988</t>
  </si>
  <si>
    <t>-496.440472746882 -21.8271806927901 655.678343106486</t>
  </si>
  <si>
    <t>-486.13088701502 -171.385067310852 747.709146322716</t>
  </si>
  <si>
    <t>9763-20170724T160519.593811000.bin</t>
  </si>
  <si>
    <t>-595.341116394202 120.420903283185 -228.223032803023</t>
  </si>
  <si>
    <t>-633.238874133825 116.738507715234 -343.192497670369</t>
  </si>
  <si>
    <t>-650.772954044564 110.352195012038 -462.952079515529</t>
  </si>
  <si>
    <t>-658.134459067539 103.172305580524 -571.989248868206</t>
  </si>
  <si>
    <t>-657.084624427978 94.4857673269137 -681.160147685133</t>
  </si>
  <si>
    <t>-646.8845643533 80.7124474228203 -832.508411251534</t>
  </si>
  <si>
    <t>-609.249992784967 62.1707313115785 -925.367482435188</t>
  </si>
  <si>
    <t>-635.304339145331 114.190508244757 -766.948915035616</t>
  </si>
  <si>
    <t>-545.89951230213 229.848099205177 -750.918084824788</t>
  </si>
  <si>
    <t>-457.24429554251 178.107229322949 -451.503065761468</t>
  </si>
  <si>
    <t>-244.247252834764 93.0256068171477 -328.884038459887</t>
  </si>
  <si>
    <t>-667.491205207366 59.4229260215086 -764.134002918993</t>
  </si>
  <si>
    <t>-557.294751257782 208.746122662836 -243.344664328079</t>
  </si>
  <si>
    <t>-577.198452944823 197.328430391681 211.771970839879</t>
  </si>
  <si>
    <t>-628.273776407944 175.126216456468 678.515238629762</t>
  </si>
  <si>
    <t>-495.366429404426 99.6975270172165 765.633892212961</t>
  </si>
  <si>
    <t>-633.294354746419 32.1116821910398 -212.370065150528</t>
  </si>
  <si>
    <t>-478.669438208058 -104.837698189466 193.824057639329</t>
  </si>
  <si>
    <t>-496.385233362909 -21.7796696094476 655.863457857832</t>
  </si>
  <si>
    <t>-486.069916652408 -171.372147107836 747.837300660887</t>
  </si>
  <si>
    <t>9763-20170724T160519.626912300.bin</t>
  </si>
  <si>
    <t>-594.967593304598 120.270941100991 -228.078842001109</t>
  </si>
  <si>
    <t>-632.779994175725 116.526152355094 -343.074691250309</t>
  </si>
  <si>
    <t>-650.287189832561 110.110093177357 -462.836441219412</t>
  </si>
  <si>
    <t>-657.649137951385 102.916614468141 -571.872652439178</t>
  </si>
  <si>
    <t>-656.624326811636 94.2299520259858 -681.043895652872</t>
  </si>
  <si>
    <t>-646.484463382273 80.4702028361964 -832.397229235256</t>
  </si>
  <si>
    <t>-608.854262792006 61.9712251350702 -925.266721155377</t>
  </si>
  <si>
    <t>-634.898951139661 113.954451151459 -766.841856427722</t>
  </si>
  <si>
    <t>-545.582576106378 229.680739247495 -750.86972567025</t>
  </si>
  <si>
    <t>-457.199054855228 178.243917772839 -451.322023725926</t>
  </si>
  <si>
    <t>-248.632905502544 89.7682629099897 -323.594562309349</t>
  </si>
  <si>
    <t>-667.043169816782 59.162424974556 -764.014153495799</t>
  </si>
  <si>
    <t>-557.023795670762 208.563652186778 -243.157425627422</t>
  </si>
  <si>
    <t>-577.163490460403 197.170530444361 211.949445088519</t>
  </si>
  <si>
    <t>-628.529617528836 174.988510354234 678.715133959321</t>
  </si>
  <si>
    <t>-495.363128817145 99.7509099709996 765.603041390849</t>
  </si>
  <si>
    <t>-632.82126165964 31.9960752833065 -212.272283668409</t>
  </si>
  <si>
    <t>-478.33311109322 -104.972382213417 193.967464651023</t>
  </si>
  <si>
    <t>-496.377006671116 -21.7750560442535 655.973799717459</t>
  </si>
  <si>
    <t>-486.033731253425 -171.373949116583 747.93411916993</t>
  </si>
  <si>
    <t>9763-20170724T160519.692083000.bin</t>
  </si>
  <si>
    <t>-594.401056311897 119.964529164185 -227.799817043015</t>
  </si>
  <si>
    <t>-632.03732698261 116.130291820428 -342.850281170751</t>
  </si>
  <si>
    <t>-649.484062259608 109.700211846259 -462.620154917076</t>
  </si>
  <si>
    <t>-656.84023291973 102.521253800968 -571.657777765123</t>
  </si>
  <si>
    <t>-655.859487476986 93.8729819398186 -680.832450391162</t>
  </si>
  <si>
    <t>-645.832434952415 80.1892160407399 -832.200191457129</t>
  </si>
  <si>
    <t>-608.230988020698 61.7957874050639 -925.102289353064</t>
  </si>
  <si>
    <t>-634.254928110205 113.673540813951 -766.643441157139</t>
  </si>
  <si>
    <t>-545.310090159878 229.681841513149 -750.673520841695</t>
  </si>
  <si>
    <t>-457.939932879013 177.894805936185 -450.889058080834</t>
  </si>
  <si>
    <t>-257.521164631655 82.6216142902908 -315.252048714045</t>
  </si>
  <si>
    <t>-666.283181014852 58.8142776333432 -763.805808656096</t>
  </si>
  <si>
    <t>-556.786963571245 208.366469176283 -242.763798689148</t>
  </si>
  <si>
    <t>-577.203473612336 197.005665982894 212.331551417177</t>
  </si>
  <si>
    <t>-628.912267140479 174.822934839071 679.011257244989</t>
  </si>
  <si>
    <t>-495.470959356706 99.6433281802363 765.526864011549</t>
  </si>
  <si>
    <t>-631.889671083437 31.6176529752249 -212.112936796204</t>
  </si>
  <si>
    <t>-477.788197829108 -105.125601124934 194.349497571459</t>
  </si>
  <si>
    <t>-496.42150027124 -21.7494367626305 656.283801525128</t>
  </si>
  <si>
    <t>-485.874119518307 -171.367882434559 748.189006251212</t>
  </si>
  <si>
    <t>9763-20170724T160519.725179700.bin</t>
  </si>
  <si>
    <t>-594.1654239996 119.886576565939 -227.668816002507</t>
  </si>
  <si>
    <t>-631.720081601483 116.000794799515 -342.744210181442</t>
  </si>
  <si>
    <t>-649.097421519271 109.555846595259 -462.523476676862</t>
  </si>
  <si>
    <t>-656.39677483082 102.375544843239 -571.564762597277</t>
  </si>
  <si>
    <t>-655.365348057152 93.7364919511722 -680.739720673788</t>
  </si>
  <si>
    <t>-645.274829096152 80.0746429400506 -832.105205026422</t>
  </si>
  <si>
    <t>-607.681806844534 61.7231306292244 -925.019028117421</t>
  </si>
  <si>
    <t>-633.757251828467 113.568120514707 -766.542674281546</t>
  </si>
  <si>
    <t>-545.030479726964 229.730653481009 -750.50389897818</t>
  </si>
  <si>
    <t>-457.764457881252 178.288920936706 -450.629658858895</t>
  </si>
  <si>
    <t>-257.812475451391 82.5929335154149 -314.601917607395</t>
  </si>
  <si>
    <t>-665.721893799303 58.6710509148224 -763.71868186315</t>
  </si>
  <si>
    <t>-556.723116703435 208.333842430473 -242.608841282675</t>
  </si>
  <si>
    <t>-577.207851653791 196.984044938319 212.483675760699</t>
  </si>
  <si>
    <t>-629.021361176515 174.797848914431 679.129630867131</t>
  </si>
  <si>
    <t>-495.468990033095 99.664224597356 765.513745274883</t>
  </si>
  <si>
    <t>-631.488450076618 31.4974889310054 -212.032509295197</t>
  </si>
  <si>
    <t>-477.527307234077 -105.146147106882 194.516518396139</t>
  </si>
  <si>
    <t>-496.470945227578 -21.7243567180183 656.444203044884</t>
  </si>
  <si>
    <t>-485.748132660807 -171.359823035349 748.301449124363</t>
  </si>
  <si>
    <t>9763-20170724T160519.795385800.bin</t>
  </si>
  <si>
    <t>-593.70248677206 119.792426278554 -227.483538471393</t>
  </si>
  <si>
    <t>-631.167732629225 115.823349383259 -342.585315000352</t>
  </si>
  <si>
    <t>-648.43593283409 109.368699714261 -462.3797654838</t>
  </si>
  <si>
    <t>-655.628499321795 102.206663644061 -571.429382865518</t>
  </si>
  <si>
    <t>-654.482791350823 93.6101987159159 -680.606441528663</t>
  </si>
  <si>
    <t>-644.225865678203 80.0309508496373 -831.968394172656</t>
  </si>
  <si>
    <t>-606.561860958149 61.8069206252317 -924.878523917933</t>
  </si>
  <si>
    <t>-632.852764432131 113.530290405632 -766.38348627565</t>
  </si>
  <si>
    <t>-544.468105424095 229.931686821024 -750.161547377281</t>
  </si>
  <si>
    <t>-457.323593455289 179.049881718562 -450.156466495386</t>
  </si>
  <si>
    <t>-255.74654123632 84.2652703451733 -315.90057786731</t>
  </si>
  <si>
    <t>-664.675640751593 58.5484915161073 -763.607341738103</t>
  </si>
  <si>
    <t>-556.596620111499 208.316178718731 -242.401029137942</t>
  </si>
  <si>
    <t>-577.095839605936 196.89317586665 212.689077161022</t>
  </si>
  <si>
    <t>-629.183662411417 174.643816394942 679.235684735934</t>
  </si>
  <si>
    <t>-495.308369724045 99.9701826522089 765.518744594506</t>
  </si>
  <si>
    <t>-630.700253900191 31.2814111229661 -211.893802210354</t>
  </si>
  <si>
    <t>-476.92851091445 -105.182542781102 194.787335716094</t>
  </si>
  <si>
    <t>-496.521213902075 -21.6939533515219 656.685120049295</t>
  </si>
  <si>
    <t>-485.5458961131 -171.357560953619 748.466709598329</t>
  </si>
  <si>
    <t>9763-20170724T160519.828274400.bin</t>
  </si>
  <si>
    <t>-593.425113151607 119.778280266555 -227.456963997109</t>
  </si>
  <si>
    <t>-630.860643722652 115.802494817739 -342.568167762352</t>
  </si>
  <si>
    <t>-648.105078932632 109.359453011848 -462.366664374988</t>
  </si>
  <si>
    <t>-655.278952483022 102.214471802208 -571.418573092629</t>
  </si>
  <si>
    <t>-654.117083984061 93.6415057827439 -680.597381010675</t>
  </si>
  <si>
    <t>-643.840754653414 80.1007070503952 -831.961316838234</t>
  </si>
  <si>
    <t>-606.134050852434 61.9573056971533 -924.86989749634</t>
  </si>
  <si>
    <t>-632.501238640402 113.597591529408 -766.369555122783</t>
  </si>
  <si>
    <t>-544.311450979484 230.125158610224 -750.056527512183</t>
  </si>
  <si>
    <t>-457.488318008608 178.904823413107 -450.015824672089</t>
  </si>
  <si>
    <t>-253.749296144005 85.9334795489324 -317.770744279261</t>
  </si>
  <si>
    <t>-664.27431597721 58.5864306212291 -763.605430197776</t>
  </si>
  <si>
    <t>-556.416114011945 208.335769686552 -242.352222299896</t>
  </si>
  <si>
    <t>-576.88669349361 196.838649406133 212.737287532645</t>
  </si>
  <si>
    <t>-629.193380039038 174.633394153647 679.266976740015</t>
  </si>
  <si>
    <t>-495.380622018221 99.8467032728322 765.549131311472</t>
  </si>
  <si>
    <t>-630.322885967933 31.2263076399372 -211.898190132981</t>
  </si>
  <si>
    <t>-476.655768315651 -105.185694407589 194.839889289982</t>
  </si>
  <si>
    <t>-496.545620008 -21.7047728929711 656.741394144944</t>
  </si>
  <si>
    <t>-485.510016603336 -171.36591331313 748.519732578001</t>
  </si>
  <si>
    <t>9763-20170724T160519.892444400.bin</t>
  </si>
  <si>
    <t>-592.795423180806 119.543205610187 -227.378354564572</t>
  </si>
  <si>
    <t>-630.155522714899 115.557063820904 -342.513750592964</t>
  </si>
  <si>
    <t>-647.322808700844 109.1466259565 -462.325024692931</t>
  </si>
  <si>
    <t>-654.425718843358 102.050814770075 -571.3850119184</t>
  </si>
  <si>
    <t>-653.191885857523 93.5470747589632 -680.568268775895</t>
  </si>
  <si>
    <t>-642.814108150757 80.1243068398298 -831.935820687054</t>
  </si>
  <si>
    <t>-605.006317365966 62.1831162036433 -924.842606767288</t>
  </si>
  <si>
    <t>-631.570152519756 113.599511521322 -766.316487458477</t>
  </si>
  <si>
    <t>-543.755376611771 230.397723911272 -749.894697426759</t>
  </si>
  <si>
    <t>-458.188341170903 178.610792424273 -449.590640669649</t>
  </si>
  <si>
    <t>-255.498046589273 84.3516134642657 -316.647388013675</t>
  </si>
  <si>
    <t>-663.24178678264 58.5273802631764 -763.604390879167</t>
  </si>
  <si>
    <t>-555.89733117819 207.998031618485 -242.196121822222</t>
  </si>
  <si>
    <t>-576.490124065413 196.368036032188 212.88446886311</t>
  </si>
  <si>
    <t>-629.375479634848 174.52568337321 679.429535653167</t>
  </si>
  <si>
    <t>-495.18961811966 100.219901938 765.547580664103</t>
  </si>
  <si>
    <t>-629.599060745539 31.0620578456183 -211.876281640824</t>
  </si>
  <si>
    <t>-476.21743892103 -105.316592375636 194.980739293648</t>
  </si>
  <si>
    <t>-496.541689262448 -21.7406174687444 656.858692665752</t>
  </si>
  <si>
    <t>-485.522967630326 -171.389846913133 748.658433193635</t>
  </si>
  <si>
    <t>9763-20170724T160519.929551400.bin</t>
  </si>
  <si>
    <t>-592.492284539714 119.446278013408 -227.267759586519</t>
  </si>
  <si>
    <t>-629.830335357402 115.465678861155 -342.410475870555</t>
  </si>
  <si>
    <t>-646.969029739277 109.058664531599 -462.226009318207</t>
  </si>
  <si>
    <t>-654.043478586251 101.966192152336 -571.287927827649</t>
  </si>
  <si>
    <t>-652.778715561413 93.4665272869249 -680.471387491395</t>
  </si>
  <si>
    <t>-642.355017455857 80.0512145953007 -831.836449633096</t>
  </si>
  <si>
    <t>-604.508678889737 62.1834585153892 -924.741610302681</t>
  </si>
  <si>
    <t>-631.147480261478 113.532663513599 -766.213919209969</t>
  </si>
  <si>
    <t>-543.559216710026 230.522271169832 -749.868548771395</t>
  </si>
  <si>
    <t>-458.808682607376 178.872474524395 -449.309364256622</t>
  </si>
  <si>
    <t>-259.068057187753 81.4135436365937 -314.226121505245</t>
  </si>
  <si>
    <t>-662.786826064407 58.441547348094 -763.510062637863</t>
  </si>
  <si>
    <t>-555.648338717137 207.892120626333 -242.042790302583</t>
  </si>
  <si>
    <t>-576.330006511558 196.207616580284 213.032400980755</t>
  </si>
  <si>
    <t>-629.581762183125 174.430436458408 679.6169188135</t>
  </si>
  <si>
    <t>-495.20747000172 100.22731991222 765.529450873295</t>
  </si>
  <si>
    <t>-629.254437933278 31.0005067337961 -211.795612782498</t>
  </si>
  <si>
    <t>-475.98914614334 -105.484448807992 195.069595423605</t>
  </si>
  <si>
    <t>-496.540475441999 -21.7761322888734 656.921974728152</t>
  </si>
  <si>
    <t>-485.565173895676 -171.410938893562 748.750512400846</t>
  </si>
  <si>
    <t>9763-20170724T160519.993721400.bin</t>
  </si>
  <si>
    <t>-591.999524146633 119.202181554704 -226.90209004763</t>
  </si>
  <si>
    <t>-629.264338850375 115.210242335836 -342.068103706306</t>
  </si>
  <si>
    <t>-646.363719863104 108.777629168888 -461.887929190033</t>
  </si>
  <si>
    <t>-653.41782411091 101.654186831634 -570.949069458244</t>
  </si>
  <si>
    <t>-652.148555040954 93.1144647560725 -680.129387247485</t>
  </si>
  <si>
    <t>-641.73592634532 79.6324230888333 -831.489134703767</t>
  </si>
  <si>
    <t>-603.879117815776 61.8109150143091 -924.398966945799</t>
  </si>
  <si>
    <t>-630.519756521454 113.140708620205 -765.881856262638</t>
  </si>
  <si>
    <t>-543.313568703824 230.469506353338 -749.895637563773</t>
  </si>
  <si>
    <t>-460.583500355645 180.113416581405 -448.555062484712</t>
  </si>
  <si>
    <t>-269.93822077856 72.5370472418372 -308.113605585091</t>
  </si>
  <si>
    <t>-662.166572937136 58.0549756072803 -763.152456382377</t>
  </si>
  <si>
    <t>-555.316350983491 207.59901299146 -241.548369700921</t>
  </si>
  <si>
    <t>-576.123136571315 195.796329345955 213.518072801161</t>
  </si>
  <si>
    <t>-630.10088634581 174.328083485119 680.114399478392</t>
  </si>
  <si>
    <t>-495.255080384256 100.293871299406 765.431785949969</t>
  </si>
  <si>
    <t>-628.604817250571 30.8116972374717 -211.508555438526</t>
  </si>
  <si>
    <t>-475.622345655347 -105.704355663559 195.45257681027</t>
  </si>
  <si>
    <t>-496.534124148456 -21.8093462918914 657.20922353314</t>
  </si>
  <si>
    <t>-485.587659438063 -171.434993933573 749.056101151139</t>
  </si>
  <si>
    <t>9763-20170724T160520.027615000.bin</t>
  </si>
  <si>
    <t>-591.722370103477 119.102604113555 -226.684652440551</t>
  </si>
  <si>
    <t>-628.956085528329 115.115499663804 -341.860790037098</t>
  </si>
  <si>
    <t>-646.030033664558 108.667843394641 -461.683580596436</t>
  </si>
  <si>
    <t>-653.064590974518 101.519650433664 -570.74431094114</t>
  </si>
  <si>
    <t>-651.779870486764 92.9423498958085 -679.921441101394</t>
  </si>
  <si>
    <t>-641.350592799135 79.3932704086985 -831.274269078016</t>
  </si>
  <si>
    <t>-603.495852479751 61.5373413326752 -924.178301512718</t>
  </si>
  <si>
    <t>-630.118525760523 112.91730459461 -765.677827258249</t>
  </si>
  <si>
    <t>-542.913870861123 230.244904527358 -749.785360884537</t>
  </si>
  <si>
    <t>-461.400628462735 181.37884892241 -447.868300262033</t>
  </si>
  <si>
    <t>-270.476321356088 73.6479818102932 -307.925456077272</t>
  </si>
  <si>
    <t>-661.811969934961 57.8592724154696 -762.932812587916</t>
  </si>
  <si>
    <t>-555.091409925333 207.503852210556 -241.314003908862</t>
  </si>
  <si>
    <t>-576.007371006925 195.674117996411 213.746772783444</t>
  </si>
  <si>
    <t>-630.240614440741 174.372531966038 680.283110858162</t>
  </si>
  <si>
    <t>-495.305648647887 100.254909372777 765.386881106707</t>
  </si>
  <si>
    <t>-628.250530260691 30.7216779851476 -211.342002489149</t>
  </si>
  <si>
    <t>-475.421857856398 -105.767021278087 195.686209603583</t>
  </si>
  <si>
    <t>-496.513367934826 -21.8119957973897 657.406114601223</t>
  </si>
  <si>
    <t>-485.585801870829 -171.445152356523 749.243038134089</t>
  </si>
  <si>
    <t>9763-20170724T160520.093792800.bin</t>
  </si>
  <si>
    <t>-591.206145224386 118.870275494955 -226.339577982752</t>
  </si>
  <si>
    <t>-628.4058694538 114.945768773752 -341.528877953661</t>
  </si>
  <si>
    <t>-645.463677903088 108.525664896074 -461.355348711504</t>
  </si>
  <si>
    <t>-652.492177800769 101.385729264858 -570.417103202639</t>
  </si>
  <si>
    <t>-651.210611723764 92.7986907709162 -679.593396690335</t>
  </si>
  <si>
    <t>-640.796137230876 79.2159136870664 -830.944273868169</t>
  </si>
  <si>
    <t>-602.993193872771 61.2887184636309 -923.855630747923</t>
  </si>
  <si>
    <t>-629.544619156827 112.74705012847 -765.354671974305</t>
  </si>
  <si>
    <t>-542.278103709504 230.021007929264 -749.376797740473</t>
  </si>
  <si>
    <t>-462.564432148679 184.448753109012 -446.465726781296</t>
  </si>
  <si>
    <t>-269.327870098153 78.6918413786068 -308.201002035361</t>
  </si>
  <si>
    <t>-661.26391440398 57.7045769153519 -762.597648803161</t>
  </si>
  <si>
    <t>-554.6590143714 207.198489152705 -240.947234133782</t>
  </si>
  <si>
    <t>-575.539132148589 195.119140179133 214.108609258872</t>
  </si>
  <si>
    <t>-630.478223988139 174.330956730903 680.549734352308</t>
  </si>
  <si>
    <t>-495.250811224823 100.394961645288 765.34666229086</t>
  </si>
  <si>
    <t>-627.633094992486 30.5461531153885 -211.062330951709</t>
  </si>
  <si>
    <t>-475.087225118373 -105.980165744481 196.059214712601</t>
  </si>
  <si>
    <t>-496.521958233828 -21.8524991021934 657.725425826662</t>
  </si>
  <si>
    <t>-485.588686384346 -171.478361809885 749.573510409433</t>
  </si>
  <si>
    <t>9763-20170724T160520.125886300.bin</t>
  </si>
  <si>
    <t>-590.928791424193 118.778305948666 -226.214702037334</t>
  </si>
  <si>
    <t>-628.141002459581 114.875875089005 -341.400683536325</t>
  </si>
  <si>
    <t>-645.215157234848 108.467455000587 -461.225402166186</t>
  </si>
  <si>
    <t>-652.259883366324 101.334578560903 -570.286639821774</t>
  </si>
  <si>
    <t>-650.996105894355 92.7512294399951 -679.463501427684</t>
  </si>
  <si>
    <t>-640.607673643024 79.170691829599 -830.816211281033</t>
  </si>
  <si>
    <t>-602.834876323705 61.236262325845 -923.738434113463</t>
  </si>
  <si>
    <t>-629.369313742811 112.714811525584 -765.231109441888</t>
  </si>
  <si>
    <t>-542.197525880147 230.035431364098 -749.134747851427</t>
  </si>
  <si>
    <t>-462.859062752231 185.298790517731 -446.000776056738</t>
  </si>
  <si>
    <t>-266.944196567025 82.4702500436717 -309.305109595903</t>
  </si>
  <si>
    <t>-661.039246780452 57.6443928378515 -762.463521687909</t>
  </si>
  <si>
    <t>-554.487533410002 207.10073565891 -240.78375699032</t>
  </si>
  <si>
    <t>-575.334225887706 194.87375333832 214.269635248862</t>
  </si>
  <si>
    <t>-630.66550622321 174.280679364983 680.687132412537</t>
  </si>
  <si>
    <t>-495.270557880128 100.438316675091 765.298149746693</t>
  </si>
  <si>
    <t>-627.249937523354 30.4823162924567 -210.967130330475</t>
  </si>
  <si>
    <t>-474.964212770059 -106.077373870808 196.240622250055</t>
  </si>
  <si>
    <t>-496.504209844496 -21.8731407051455 657.884328339372</t>
  </si>
  <si>
    <t>-485.61580865099 -171.498432777303 749.738590676842</t>
  </si>
  <si>
    <t>9763-20170724T160520.195070600.bin</t>
  </si>
  <si>
    <t>-590.556150730152 118.857749037918 -225.962940937928</t>
  </si>
  <si>
    <t>-627.737124020451 114.972261031573 -341.159713341666</t>
  </si>
  <si>
    <t>-644.756766584334 108.654381374515 -460.99697755495</t>
  </si>
  <si>
    <t>-651.741837367236 101.632825371382 -570.069248532829</t>
  </si>
  <si>
    <t>-650.407640161497 93.1897414428558 -679.256271302134</t>
  </si>
  <si>
    <t>-639.909593655244 79.8340918944739 -830.621478073103</t>
  </si>
  <si>
    <t>-602.110570862876 62.0603899762668 -923.564058010699</t>
  </si>
  <si>
    <t>-628.767094724123 113.30826355072 -764.984279281937</t>
  </si>
  <si>
    <t>-541.93865230763 230.834984177307 -748.503534125521</t>
  </si>
  <si>
    <t>-462.824697464817 186.02261286922 -445.321992547965</t>
  </si>
  <si>
    <t>-261.317987614896 88.6579503985861 -312.81835034548</t>
  </si>
  <si>
    <t>-660.342240850232 58.1788062190037 -762.309709498611</t>
  </si>
  <si>
    <t>-554.345745787466 207.297537494376 -240.477127657193</t>
  </si>
  <si>
    <t>-575.131187964444 194.786018205416 214.571357117654</t>
  </si>
  <si>
    <t>-630.928402607639 174.314220228664 680.942091981382</t>
  </si>
  <si>
    <t>-495.289051141225 100.498109130351 765.183764121395</t>
  </si>
  <si>
    <t>-626.645539561656 30.4631691612324 -210.795102381973</t>
  </si>
  <si>
    <t>-474.669366442753 -106.037404913692 196.548114501817</t>
  </si>
  <si>
    <t>-496.548351068799 -21.9119174964389 658.201426218127</t>
  </si>
  <si>
    <t>-485.633289747062 -171.526561285739 750.069960589489</t>
  </si>
  <si>
    <t>9763-20170724T160520.226161500.bin</t>
  </si>
  <si>
    <t>-590.432537650467 118.953152599777 -225.835251112488</t>
  </si>
  <si>
    <t>-627.62275017391 115.05788989556 -341.028712976503</t>
  </si>
  <si>
    <t>-644.655695111216 108.794061895682 -460.866954073244</t>
  </si>
  <si>
    <t>-651.653514325187 101.845998246126 -569.943139504165</t>
  </si>
  <si>
    <t>-650.332415586708 93.4999099068064 -679.137692790187</t>
  </si>
  <si>
    <t>-639.85261584526 80.3024709071508 -830.517975814912</t>
  </si>
  <si>
    <t>-602.067944430628 62.6438730070154 -923.488400085032</t>
  </si>
  <si>
    <t>-628.71056803721 113.712852674248 -764.848169994094</t>
  </si>
  <si>
    <t>-542.042539704805 231.360374285708 -748.264091315551</t>
  </si>
  <si>
    <t>-462.838065559822 186.98706458364 -445.041694010003</t>
  </si>
  <si>
    <t>-260.709213621995 89.6027526116068 -313.503527302731</t>
  </si>
  <si>
    <t>-660.268661797083 58.5709764537608 -762.225575520469</t>
  </si>
  <si>
    <t>-554.313479027149 207.425238340612 -240.339275909311</t>
  </si>
  <si>
    <t>-575.141277698449 194.861041431136 214.705743644258</t>
  </si>
  <si>
    <t>-631.055920705969 174.30569745635 681.046600755303</t>
  </si>
  <si>
    <t>-495.330917871635 100.495263100169 765.155215143456</t>
  </si>
  <si>
    <t>-626.45882213241 30.5160830225873 -210.648603692105</t>
  </si>
  <si>
    <t>-474.491512563044 -105.924237766027 196.718132584536</t>
  </si>
  <si>
    <t>-496.56590887234 -21.9067424499215 658.380656796206</t>
  </si>
  <si>
    <t>-485.584289339006 -171.535345677864 750.218466939895</t>
  </si>
  <si>
    <t>9763-20170724T160520.293335900.bin</t>
  </si>
  <si>
    <t>-590.201607810521 119.114985202467 -225.5962498733</t>
  </si>
  <si>
    <t>-627.355040472869 115.208434664457 -340.80116784499</t>
  </si>
  <si>
    <t>-644.354426803611 108.940198922249 -460.644017213518</t>
  </si>
  <si>
    <t>-651.323797013142 101.988189671868 -569.721589126984</t>
  </si>
  <si>
    <t>-649.976636694406 93.6364411229979 -678.915448717108</t>
  </si>
  <si>
    <t>-639.463568734527 80.4277695356491 -830.292588025352</t>
  </si>
  <si>
    <t>-601.671606329369 62.8578755637038 -923.276673185956</t>
  </si>
  <si>
    <t>-628.31150052182 113.829145098044 -764.619735770852</t>
  </si>
  <si>
    <t>-541.828852532711 231.576229596434 -747.984081522517</t>
  </si>
  <si>
    <t>-463.632284430643 188.942978961193 -444.250896048326</t>
  </si>
  <si>
    <t>-258.763105106317 92.9592798951226 -315.962815478994</t>
  </si>
  <si>
    <t>-659.919057090671 58.7152376150436 -762.005870215381</t>
  </si>
  <si>
    <t>-554.097273560458 207.541496598293 -240.110743528456</t>
  </si>
  <si>
    <t>-575.159362938457 194.999148079756 214.924029815917</t>
  </si>
  <si>
    <t>-631.121792346008 174.40088743604 681.219274108109</t>
  </si>
  <si>
    <t>-495.264258816796 100.608876765988 765.129815005599</t>
  </si>
  <si>
    <t>-626.210023672823 30.6744175157016 -210.389370633185</t>
  </si>
  <si>
    <t>-474.231971896719 -105.866051608182 196.939848430434</t>
  </si>
  <si>
    <t>-496.598586370493 -21.9044804824816 658.644073993936</t>
  </si>
  <si>
    <t>-485.564326406731 -171.55897414264 750.433388866407</t>
  </si>
  <si>
    <t>9763-20170724T160520.324427500.bin</t>
  </si>
  <si>
    <t>-590.095437366765 119.091163901844 -225.523137158083</t>
  </si>
  <si>
    <t>-627.228592798568 115.211695460837 -340.73541167699</t>
  </si>
  <si>
    <t>-644.169198720456 108.965004381283 -460.587683076345</t>
  </si>
  <si>
    <t>-651.070318015779 102.028748985089 -569.670712417755</t>
  </si>
  <si>
    <t>-649.639757227703 93.6889963717272 -678.864358001796</t>
  </si>
  <si>
    <t>-638.995581099406 80.4925265937813 -830.233303043493</t>
  </si>
  <si>
    <t>-601.167924015153 62.9504556647439 -923.208196201053</t>
  </si>
  <si>
    <t>-627.885319680438 113.879907656706 -764.546552384656</t>
  </si>
  <si>
    <t>-541.098496557307 231.3857367497 -747.699498722589</t>
  </si>
  <si>
    <t>-463.875010730508 189.912862021087 -443.556829947322</t>
  </si>
  <si>
    <t>-259.367934150272 93.1107841845658 -315.306127983426</t>
  </si>
  <si>
    <t>-659.525344680483 58.7831182178827 -761.968013632832</t>
  </si>
  <si>
    <t>-553.976897602594 207.471721550705 -240.034867186487</t>
  </si>
  <si>
    <t>-575.116355583368 194.907034374572 214.995824075013</t>
  </si>
  <si>
    <t>-631.229474133602 174.361594946884 681.28770583108</t>
  </si>
  <si>
    <t>-495.272966391431 100.668421736748 765.124734848766</t>
  </si>
  <si>
    <t>-626.10828092052 30.6882007818306 -210.316410308094</t>
  </si>
  <si>
    <t>-474.279218132243 -105.903067516138 197.051327474178</t>
  </si>
  <si>
    <t>-496.613227658361 -21.9038340879422 658.757564479959</t>
  </si>
  <si>
    <t>-485.605557536914 -171.577408001123 750.518973689319</t>
  </si>
  <si>
    <t>9763-20170724T160520.394615000.bin</t>
  </si>
  <si>
    <t>-590.003559259663 119.099370774799 -225.473338060033</t>
  </si>
  <si>
    <t>-627.101232729647 115.302215890448 -340.699797075871</t>
  </si>
  <si>
    <t>-643.841647125956 109.052958763852 -460.580016179797</t>
  </si>
  <si>
    <t>-650.495100948229 102.08115635067 -569.676085575435</t>
  </si>
  <si>
    <t>-648.751693548144 93.6733041356408 -678.860062254381</t>
  </si>
  <si>
    <t>-637.60657711452 80.3494148069344 -830.181821495547</t>
  </si>
  <si>
    <t>-599.590591872322 62.8368868334892 -923.085454029266</t>
  </si>
  <si>
    <t>-626.737253409781 113.80547808487 -764.489672552919</t>
  </si>
  <si>
    <t>-539.660276466513 231.031587129113 -747.256537647483</t>
  </si>
  <si>
    <t>-462.843862055657 190.142198333748 -442.931961221181</t>
  </si>
  <si>
    <t>-263.150138256109 89.0939396426388 -310.441577001766</t>
  </si>
  <si>
    <t>-658.338675157943 58.684120898746 -761.963687752877</t>
  </si>
  <si>
    <t>-553.813348428109 207.58703466876 -239.985422087712</t>
  </si>
  <si>
    <t>-574.893872559917 194.759825429315 215.040699397151</t>
  </si>
  <si>
    <t>-631.103448676893 174.40269726525 681.2271263614</t>
  </si>
  <si>
    <t>-495.296218812463 100.567984162529 765.181545141662</t>
  </si>
  <si>
    <t>-626.018543558958 30.6794289712138 -210.319698358161</t>
  </si>
  <si>
    <t>-474.539345801654 -105.884258026672 197.187514928506</t>
  </si>
  <si>
    <t>-496.738370580943 -21.886410710817 658.946501851739</t>
  </si>
  <si>
    <t>-485.664321787107 -171.605008150135 750.626551363578</t>
  </si>
  <si>
    <t>9763-20170724T160520.424731700.bin</t>
  </si>
  <si>
    <t>-590.088075646147 119.250439879467 -225.546831658276</t>
  </si>
  <si>
    <t>-627.209163696851 115.474650439677 -340.766457396261</t>
  </si>
  <si>
    <t>-643.899002367642 109.254952826666 -460.655274412281</t>
  </si>
  <si>
    <t>-650.47588093132 102.312897819876 -569.758044628364</t>
  </si>
  <si>
    <t>-648.625045087136 93.9376760001885 -678.942661906273</t>
  </si>
  <si>
    <t>-637.299051218124 80.6618340907303 -830.255175578088</t>
  </si>
  <si>
    <t>-599.195406642325 63.1754742374198 -923.127810518602</t>
  </si>
  <si>
    <t>-626.533730920607 114.111492965478 -764.54249733424</t>
  </si>
  <si>
    <t>-539.366091696805 231.269499874205 -747.104137349309</t>
  </si>
  <si>
    <t>-461.968028933967 188.673275684771 -443.161293183981</t>
  </si>
  <si>
    <t>-264.220193637188 86.7608936542335 -308.432897416636</t>
  </si>
  <si>
    <t>-658.087178119692 58.960470063417 -762.065604054904</t>
  </si>
  <si>
    <t>-553.862765219224 207.850253751848 -240.089759836174</t>
  </si>
  <si>
    <t>-574.840324542508 194.931225983086 214.938487458962</t>
  </si>
  <si>
    <t>-630.859598209329 174.390837446164 681.023283110536</t>
  </si>
  <si>
    <t>-495.224131205898 100.633278203221 765.322467967872</t>
  </si>
  <si>
    <t>-626.156524260962 30.7662434770318 -210.35511682563</t>
  </si>
  <si>
    <t>-474.566675856574 -105.748255645941 197.127419192614</t>
  </si>
  <si>
    <t>-496.835728623836 -21.8859147458982 658.946890600758</t>
  </si>
  <si>
    <t>-485.623049802408 -171.616080677111 750.59112679867</t>
  </si>
  <si>
    <t>9763-20170724T160520.493917000.bin</t>
  </si>
  <si>
    <t>-590.385709543895 120.11650104161 -225.919719010875</t>
  </si>
  <si>
    <t>-627.574474441038 116.283422173782 -341.115665861866</t>
  </si>
  <si>
    <t>-644.217856429307 110.128179961775 -461.0143996518</t>
  </si>
  <si>
    <t>-650.704006674195 103.286892115575 -570.128786965706</t>
  </si>
  <si>
    <t>-648.713328985434 95.0505589858392 -679.321436881292</t>
  </si>
  <si>
    <t>-637.142412801336 82.0031973141238 -830.635379611999</t>
  </si>
  <si>
    <t>-598.903000110777 64.6067227603633 -923.46901280966</t>
  </si>
  <si>
    <t>-626.508131348894 115.367603405566 -764.858005287091</t>
  </si>
  <si>
    <t>-539.320074293358 232.391882353031 -746.866545855073</t>
  </si>
  <si>
    <t>-458.556555187046 184.330053577221 -444.619018741241</t>
  </si>
  <si>
    <t>-261.321584650811 82.8577808488121 -308.811184396116</t>
  </si>
  <si>
    <t>-658.016173049578 60.1849769950709 -762.509362025824</t>
  </si>
  <si>
    <t>-554.160346292842 209.190509675945 -240.621209109058</t>
  </si>
  <si>
    <t>-574.958838045226 196.180737706675 214.412648698993</t>
  </si>
  <si>
    <t>-629.834987262593 174.688646753425 680.331802708062</t>
  </si>
  <si>
    <t>-495.151313010244 100.434530953687 765.714157186587</t>
  </si>
  <si>
    <t>-626.483058175371 31.1952864803395 -210.607767802919</t>
  </si>
  <si>
    <t>-474.372099742677 -105.039460151175 196.774160917006</t>
  </si>
  <si>
    <t>-497.0072525447 -21.8422266794432 658.769156716999</t>
  </si>
  <si>
    <t>-485.482131991101 -171.623858766488 750.290450803624</t>
  </si>
  <si>
    <t>9763-20170724T160520.526794700.bin</t>
  </si>
  <si>
    <t>-590.513496091323 120.612774413001 -226.221703371897</t>
  </si>
  <si>
    <t>-627.702254514048 116.729470141388 -341.415935611574</t>
  </si>
  <si>
    <t>-644.315284429294 110.604283931429 -461.320373508575</t>
  </si>
  <si>
    <t>-650.760541755648 103.821157815654 -570.440908469857</t>
  </si>
  <si>
    <t>-648.715276666158 95.6726474364209 -679.63919810668</t>
  </si>
  <si>
    <t>-637.053457422992 82.7777978595818 -830.959062923013</t>
  </si>
  <si>
    <t>-598.754083439386 65.4531383782057 -923.781516198676</t>
  </si>
  <si>
    <t>-626.455762142235 116.074149237211 -765.141483567405</t>
  </si>
  <si>
    <t>-539.089130293038 232.935390900725 -746.920628404166</t>
  </si>
  <si>
    <t>-456.120046101807 181.804317896154 -445.776216601593</t>
  </si>
  <si>
    <t>-259.591260605764 80.0932342621495 -309.125982698589</t>
  </si>
  <si>
    <t>-657.971180829429 60.8925437646019 -762.867993234356</t>
  </si>
  <si>
    <t>-554.166551876834 209.718579444058 -241.00983504466</t>
  </si>
  <si>
    <t>-575.072847254111 196.899858753574 214.024469698799</t>
  </si>
  <si>
    <t>-629.360733229776 174.900755816976 680.015054274538</t>
  </si>
  <si>
    <t>-495.061937954175 100.470905556501 765.849424146626</t>
  </si>
  <si>
    <t>-626.766815647856 31.5276778571717 -210.826381831036</t>
  </si>
  <si>
    <t>-474.319143051037 -104.74186753614 196.417990004712</t>
  </si>
  <si>
    <t>-497.06306343185 -21.8251349996251 658.523929518997</t>
  </si>
  <si>
    <t>-485.464543587271 -171.632131966852 749.994512510088</t>
  </si>
  <si>
    <t>9763-20170724T160520.595980700.bin</t>
  </si>
  <si>
    <t>-590.731012608383 121.167257459493 -226.622711737507</t>
  </si>
  <si>
    <t>-627.99744222991 117.275863077853 -341.79161221288</t>
  </si>
  <si>
    <t>-644.644643240692 111.232763012797 -461.695393817088</t>
  </si>
  <si>
    <t>-651.101624146099 104.554650560639 -570.821748177431</t>
  </si>
  <si>
    <t>-649.048133862881 96.5390118532343 -680.029800152658</t>
  </si>
  <si>
    <t>-637.354036750755 83.8547070344762 -831.365096286692</t>
  </si>
  <si>
    <t>-599.017501345916 66.6519316027361 -924.194755880881</t>
  </si>
  <si>
    <t>-626.695157342096 117.01674961095 -765.48943966196</t>
  </si>
  <si>
    <t>-538.759874519862 233.406694753382 -746.919813657792</t>
  </si>
  <si>
    <t>-452.154293158284 175.655349643523 -448.004382783093</t>
  </si>
  <si>
    <t>-257.068717836366 73.5129695731412 -309.618575677494</t>
  </si>
  <si>
    <t>-658.361443178412 61.9175185634799 -763.318253119548</t>
  </si>
  <si>
    <t>-554.243658743449 210.15625838871 -241.356450530237</t>
  </si>
  <si>
    <t>-574.985981866461 197.207088641753 213.681662585752</t>
  </si>
  <si>
    <t>-629.285363833956 174.904800803192 679.922938779911</t>
  </si>
  <si>
    <t>-495.089732013396 100.489768099711 765.931375287868</t>
  </si>
  <si>
    <t>-627.151550242953 32.0871222857481 -211.145671619949</t>
  </si>
  <si>
    <t>-474.516135624389 -104.604450629293 195.886915102702</t>
  </si>
  <si>
    <t>-497.086027433534 -21.8207347036609 658.037213328905</t>
  </si>
  <si>
    <t>-485.597240463738 -171.659228307194 749.469907244824</t>
  </si>
  <si>
    <t>9763-20170724T160520.623979200.bin</t>
  </si>
  <si>
    <t>-590.763645874601 121.150505325627 -226.734057884614</t>
  </si>
  <si>
    <t>-628.0395265784 117.325012242891 -341.90203765098</t>
  </si>
  <si>
    <t>-644.686343775312 111.337324041765 -461.808651566347</t>
  </si>
  <si>
    <t>-651.139235417813 104.70292469388 -570.937926485209</t>
  </si>
  <si>
    <t>-649.078139250366 96.723631698077 -680.148353319476</t>
  </si>
  <si>
    <t>-637.370138862365 84.0812308805689 -831.486135686818</t>
  </si>
  <si>
    <t>-599.051227070181 66.9025790514831 -924.327619951076</t>
  </si>
  <si>
    <t>-626.652937382746 117.188337353927 -765.592482151013</t>
  </si>
  <si>
    <t>-538.246324566794 233.216910385162 -746.966236405007</t>
  </si>
  <si>
    <t>-450.680533509008 173.468809874629 -448.723736719803</t>
  </si>
  <si>
    <t>-258.183129499799 69.0612348197724 -308.41739057178</t>
  </si>
  <si>
    <t>-658.44815965629 62.1619086975104 -763.455344045716</t>
  </si>
  <si>
    <t>-554.176050085988 210.069902145811 -241.390732250668</t>
  </si>
  <si>
    <t>-574.964875147072 197.126854475237 213.645557413617</t>
  </si>
  <si>
    <t>-629.345585752333 174.850280377367 679.909551228559</t>
  </si>
  <si>
    <t>-495.075665109739 100.529748158224 765.883673639784</t>
  </si>
  <si>
    <t>-627.292570112632 32.1493439254502 -211.295172724073</t>
  </si>
  <si>
    <t>-474.784665363393 -104.715982630495 195.726867686626</t>
  </si>
  <si>
    <t>-497.059256833138 -21.8352233955022 657.839736661074</t>
  </si>
  <si>
    <t>-485.790774996355 -171.67799515346 749.292794773986</t>
  </si>
  <si>
    <t>9763-20170724T160520.690154900.bin</t>
  </si>
  <si>
    <t>-590.61516970303 120.922363504851 -226.845838868816</t>
  </si>
  <si>
    <t>-627.875195880369 117.223552491086 -342.023085553726</t>
  </si>
  <si>
    <t>-644.593314775622 111.310431930145 -461.923408038314</t>
  </si>
  <si>
    <t>-651.147835236995 104.720535905192 -571.049362950525</t>
  </si>
  <si>
    <t>-649.22583192904 96.7623568243384 -680.263997653892</t>
  </si>
  <si>
    <t>-637.750258084389 84.1242274807248 -831.619787324665</t>
  </si>
  <si>
    <t>-599.597507702269 66.8725964152832 -924.516118485461</t>
  </si>
  <si>
    <t>-626.82158323439 117.1658087239 -765.728013780074</t>
  </si>
  <si>
    <t>-537.736389839964 232.696119144914 -747.241239305289</t>
  </si>
  <si>
    <t>-449.814249727336 171.205414397851 -449.458108248197</t>
  </si>
  <si>
    <t>-258.297513407406 66.2790431323451 -308.199956517262</t>
  </si>
  <si>
    <t>-658.83418014768 62.2665206748736 -763.571111203921</t>
  </si>
  <si>
    <t>-553.776666887799 209.739423743284 -241.433824145547</t>
  </si>
  <si>
    <t>-574.759568222764 196.77908852881 213.59299132368</t>
  </si>
  <si>
    <t>-629.371484825698 174.857383977388 679.807642981998</t>
  </si>
  <si>
    <t>-495.107533170444 100.519569754497 765.776201844238</t>
  </si>
  <si>
    <t>-627.382770205408 32.0884171565601 -211.50331204071</t>
  </si>
  <si>
    <t>-475.229794086431 -105.041430988222 195.562512968044</t>
  </si>
  <si>
    <t>-497.026429693827 -21.8663583412131 657.586533945361</t>
  </si>
  <si>
    <t>-486.12498436463 -171.708534814462 749.085166332783</t>
  </si>
  <si>
    <t>9763-20170724T160520.727874400.bin</t>
  </si>
  <si>
    <t>-590.526194767627 120.763729074304 -226.888510659179</t>
  </si>
  <si>
    <t>-627.793316350428 117.127859006113 -342.065518675886</t>
  </si>
  <si>
    <t>-644.535025205919 111.257915497028 -461.964726923135</t>
  </si>
  <si>
    <t>-651.11798835468 104.69862714284 -571.090801721595</t>
  </si>
  <si>
    <t>-649.231771815133 96.7624389985506 -680.307532960504</t>
  </si>
  <si>
    <t>-637.813310244147 84.1462262206883 -831.669559431609</t>
  </si>
  <si>
    <t>-599.73497081282 66.8594808755181 -924.589924033072</t>
  </si>
  <si>
    <t>-626.820540954971 117.155559441011 -765.772273934148</t>
  </si>
  <si>
    <t>-537.532662568205 232.521004881322 -747.269741159006</t>
  </si>
  <si>
    <t>-449.703009806802 170.989658681463 -449.467846659184</t>
  </si>
  <si>
    <t>-261.631032796086 62.1846355917928 -306.525655977931</t>
  </si>
  <si>
    <t>-658.910747525903 62.3014073261331 -763.620847859138</t>
  </si>
  <si>
    <t>-553.535877015781 209.56330292449 -241.503305362804</t>
  </si>
  <si>
    <t>-574.498537559226 196.5623230159 213.523367435593</t>
  </si>
  <si>
    <t>-629.301097712466 174.909008360477 679.744298811154</t>
  </si>
  <si>
    <t>-495.149314748033 100.418536478917 765.755821826963</t>
  </si>
  <si>
    <t>-627.38758726095 31.9931565454872 -211.588238818397</t>
  </si>
  <si>
    <t>-475.419122889681 -105.253174938197 195.507220266402</t>
  </si>
  <si>
    <t>-497.028463609809 -21.8770837945431 657.49435280112</t>
  </si>
  <si>
    <t>-486.261378075729 -171.720911901102 749.006166145436</t>
  </si>
  <si>
    <t>9763-20170724T160520.796058600.bin</t>
  </si>
  <si>
    <t>-590.232237986001 120.584510926905 -226.864167290544</t>
  </si>
  <si>
    <t>-627.597109997577 116.987698607295 -342.010672574816</t>
  </si>
  <si>
    <t>-644.450139830915 111.18675644067 -461.897656611138</t>
  </si>
  <si>
    <t>-651.138732392443 104.697068807666 -571.021495200934</t>
  </si>
  <si>
    <t>-649.362189333933 96.8357387649667 -680.245507396062</t>
  </si>
  <si>
    <t>-638.100643032191 84.3259838645372 -831.62810851289</t>
  </si>
  <si>
    <t>-600.185552641794 66.9756094523245 -924.60328349107</t>
  </si>
  <si>
    <t>-626.979611341398 117.254164485653 -765.711575461384</t>
  </si>
  <si>
    <t>-537.347869890084 232.339235430356 -747.123555134113</t>
  </si>
  <si>
    <t>-449.826085447691 169.662010460418 -449.469866696572</t>
  </si>
  <si>
    <t>-269.504693579751 52.1529933713607 -303.463412862486</t>
  </si>
  <si>
    <t>-659.1874773322 62.4681164654482 -763.580304160212</t>
  </si>
  <si>
    <t>-553.199697107601 209.32804079589 -241.48310119589</t>
  </si>
  <si>
    <t>-574.025537064099 196.23393427306 213.547112145543</t>
  </si>
  <si>
    <t>-629.349705677294 174.940442496589 679.768986516407</t>
  </si>
  <si>
    <t>-495.215952401793 100.341953804036 765.714987515869</t>
  </si>
  <si>
    <t>-627.117528851087 31.8987380808569 -211.563358901949</t>
  </si>
  <si>
    <t>-475.27545814034 -105.647691886885 195.477926021437</t>
  </si>
  <si>
    <t>-496.985787452796 -21.902953497495 657.35032735395</t>
  </si>
  <si>
    <t>-486.479379049607 -171.743760382953 748.897215508168</t>
  </si>
  <si>
    <t>9763-20170724T160520.828171100.bin</t>
  </si>
  <si>
    <t>-590.166269358696 120.528266051145 -226.849399057469</t>
  </si>
  <si>
    <t>-627.547686924711 116.906919030528 -341.989778915943</t>
  </si>
  <si>
    <t>-644.432085947303 111.159827496477 -461.87502654924</t>
  </si>
  <si>
    <t>-651.154332991387 104.745906113936 -571.001127144389</t>
  </si>
  <si>
    <t>-649.416569593495 96.9842236747409 -680.233059044792</t>
  </si>
  <si>
    <t>-638.213893084304 84.6351300549459 -831.633164389797</t>
  </si>
  <si>
    <t>-600.347367773228 67.3270388436026 -924.63602063882</t>
  </si>
  <si>
    <t>-627.039345159158 117.477104353778 -765.68267484179</t>
  </si>
  <si>
    <t>-537.258717083748 232.419894138561 -746.979456216089</t>
  </si>
  <si>
    <t>-450.044757569795 168.764959267589 -449.442892556325</t>
  </si>
  <si>
    <t>-275.328698654196 43.9852935213419 -302.65609648118</t>
  </si>
  <si>
    <t>-659.30208745601 62.7213700794807 -763.603741399495</t>
  </si>
  <si>
    <t>-553.227794976838 209.272309299686 -241.440072531994</t>
  </si>
  <si>
    <t>-574.005611563181 196.160933368534 213.591877776603</t>
  </si>
  <si>
    <t>-629.44399142202 174.91139515951 679.827490636817</t>
  </si>
  <si>
    <t>-495.211794480979 100.383630423132 765.681090758942</t>
  </si>
  <si>
    <t>-626.971968263281 31.837729580458 -211.558036572987</t>
  </si>
  <si>
    <t>-475.076564356468 -105.646857223257 195.484273549988</t>
  </si>
  <si>
    <t>-496.981823415323 -21.9183731460628 657.326442125726</t>
  </si>
  <si>
    <t>-486.510174223475 -171.757819668238 748.879597434216</t>
  </si>
  <si>
    <t>9763-20170724T160520.893351700.bin</t>
  </si>
  <si>
    <t>-590.372895746637 120.498583219802 -226.763014091888</t>
  </si>
  <si>
    <t>-627.736635623116 116.810358892322 -341.907144095249</t>
  </si>
  <si>
    <t>-644.637453055553 111.185072331739 -461.795769006003</t>
  </si>
  <si>
    <t>-651.386891446573 104.948797127129 -570.9306321742</t>
  </si>
  <si>
    <t>-649.687926643292 97.4262376613187 -680.179630534228</t>
  </si>
  <si>
    <t>-638.550261397152 85.4683368124124 -831.615971037792</t>
  </si>
  <si>
    <t>-600.790397399099 68.3634884505091 -924.699846179288</t>
  </si>
  <si>
    <t>-627.34106301351 118.136168881606 -765.584978211917</t>
  </si>
  <si>
    <t>-537.491983089701 232.992379789449 -746.61898184688</t>
  </si>
  <si>
    <t>-451.176538779324 167.502163917393 -449.218813797261</t>
  </si>
  <si>
    <t>-279.584385683424 37.7623634168128 -303.048366127993</t>
  </si>
  <si>
    <t>-659.615645759042 63.3824498768515 -763.635192260649</t>
  </si>
  <si>
    <t>-553.660908259705 209.235875307722 -241.285739974323</t>
  </si>
  <si>
    <t>-574.36538679603 196.184013566482 213.751297344698</t>
  </si>
  <si>
    <t>-629.686372289 174.827079380782 679.994662241334</t>
  </si>
  <si>
    <t>-495.207014989691 100.473373702052 765.612032507408</t>
  </si>
  <si>
    <t>-626.980603524963 31.8151688352582 -211.504646179634</t>
  </si>
  <si>
    <t>-474.756247904189 -105.415636362295 195.500425200794</t>
  </si>
  <si>
    <t>-497.097469818198 -21.9164069460353 657.369143616823</t>
  </si>
  <si>
    <t>-486.303291952924 -171.757828692606 748.881872078472</t>
  </si>
  <si>
    <t>9763-20170724T160520.926990000.bin</t>
  </si>
  <si>
    <t>-590.587996198939 120.514985968097 -226.756875825475</t>
  </si>
  <si>
    <t>-627.961407425197 116.808142332057 -341.89715882053</t>
  </si>
  <si>
    <t>-644.873307811489 111.249501059518 -461.787512148551</t>
  </si>
  <si>
    <t>-651.631970673248 105.106190663073 -570.926888271274</t>
  </si>
  <si>
    <t>-649.940863665265 97.7077071144447 -680.184627904113</t>
  </si>
  <si>
    <t>-638.81185132121 85.9535776244211 -831.637492134665</t>
  </si>
  <si>
    <t>-601.084113127577 68.9936613492162 -924.760925905219</t>
  </si>
  <si>
    <t>-627.62376832719 118.547112836273 -765.566315937589</t>
  </si>
  <si>
    <t>-537.864314327991 233.444632411331 -746.433862597523</t>
  </si>
  <si>
    <t>-451.769999469788 167.210197570864 -449.134379390543</t>
  </si>
  <si>
    <t>-281.639999546525 35.0430203161147 -303.430277913797</t>
  </si>
  <si>
    <t>-659.848366780592 63.7617869346259 -763.682383162695</t>
  </si>
  <si>
    <t>-554.012135691559 209.312295865403 -241.260304529149</t>
  </si>
  <si>
    <t>-574.602637297908 196.206618056443 213.780295161476</t>
  </si>
  <si>
    <t>-629.742069598232 174.787285949504 680.014669978425</t>
  </si>
  <si>
    <t>-495.090957745794 100.681649465972 765.577194574692</t>
  </si>
  <si>
    <t>-627.070332873587 31.7587083308515 -211.538986096858</t>
  </si>
  <si>
    <t>-474.739657182573 -105.237055498784 195.50550478204</t>
  </si>
  <si>
    <t>-497.16897568603 -21.9219094609603 657.399259662049</t>
  </si>
  <si>
    <t>-486.193685241536 -171.764007422227 748.889189289027</t>
  </si>
  <si>
    <t>9763-20170724T160520.993167500.bin</t>
  </si>
  <si>
    <t>-591.090189981253 120.707638578171 -226.818500421571</t>
  </si>
  <si>
    <t>-628.458282132766 116.992931593735 -341.960182399928</t>
  </si>
  <si>
    <t>-645.368451397435 111.596747706712 -461.858105414422</t>
  </si>
  <si>
    <t>-652.124443353915 105.667881286872 -571.009652060657</t>
  </si>
  <si>
    <t>-650.427824002641 98.5502254557823 -680.285924961502</t>
  </si>
  <si>
    <t>-639.287068769446 87.2538224158686 -831.772854963404</t>
  </si>
  <si>
    <t>-601.568275487864 70.6608180557159 -924.965901704174</t>
  </si>
  <si>
    <t>-628.166562894191 119.683783003851 -765.609797425607</t>
  </si>
  <si>
    <t>-538.645180654896 234.72371943751 -746.213111377439</t>
  </si>
  <si>
    <t>-452.782964310095 167.464941847222 -449.076612366853</t>
  </si>
  <si>
    <t>-284.222719661966 32.6857006633554 -303.942017794028</t>
  </si>
  <si>
    <t>-660.266485895332 64.8204360497721 -763.879332366473</t>
  </si>
  <si>
    <t>-554.707687477248 209.654655458008 -241.299828224847</t>
  </si>
  <si>
    <t>-575.027102046948 196.49784204766 213.75154651585</t>
  </si>
  <si>
    <t>-629.714456637266 174.819765439473 679.978808401134</t>
  </si>
  <si>
    <t>-495.120580660039 100.651970967516 765.577547197954</t>
  </si>
  <si>
    <t>-627.318965263885 31.8119619667634 -211.662148871938</t>
  </si>
  <si>
    <t>-474.895706093052 -104.845035807827 195.461495303862</t>
  </si>
  <si>
    <t>-497.306783757243 -21.9343415456535 657.421919144877</t>
  </si>
  <si>
    <t>-486.099585966018 -171.771842101281 748.891185915967</t>
  </si>
  <si>
    <t>9763-20170724T160521.025759200.bin</t>
  </si>
  <si>
    <t>-591.333627535765 120.808596410921 -226.876664912472</t>
  </si>
  <si>
    <t>-628.720200019831 117.112003312184 -342.013072824019</t>
  </si>
  <si>
    <t>-645.655916413267 111.814040156508 -461.91152349398</t>
  </si>
  <si>
    <t>-652.436309543627 106.007667724714 -571.06814019902</t>
  </si>
  <si>
    <t>-650.764369158406 99.0466761119994 -680.354950506668</t>
  </si>
  <si>
    <t>-639.656840177444 88.0044213743276 -831.863051734684</t>
  </si>
  <si>
    <t>-601.946238727021 71.5891492363319 -925.090818539106</t>
  </si>
  <si>
    <t>-628.55725513422 120.344089641369 -765.652218451079</t>
  </si>
  <si>
    <t>-539.13057110475 235.43697148185 -746.138176912885</t>
  </si>
  <si>
    <t>-453.198024439288 167.805399439387 -449.106586081125</t>
  </si>
  <si>
    <t>-282.769644315264 35.8310838459322 -303.576576614577</t>
  </si>
  <si>
    <t>-660.585894551666 65.4364757717756 -763.998671520202</t>
  </si>
  <si>
    <t>-554.989807146889 209.812011749984 -241.35441353339</t>
  </si>
  <si>
    <t>-575.162947930818 196.618275343908 213.702342631434</t>
  </si>
  <si>
    <t>-629.623651623294 174.913397829297 679.942216389111</t>
  </si>
  <si>
    <t>-495.164987370795 100.564459894343 765.59622722687</t>
  </si>
  <si>
    <t>-627.564932850584 31.8242641733571 -211.729545706762</t>
  </si>
  <si>
    <t>-475.064105202227 -104.707066513068 195.407197212365</t>
  </si>
  <si>
    <t>-497.379788636737 -21.9519030205379 657.39677425514</t>
  </si>
  <si>
    <t>-486.086744784057 -171.778769645787 748.873029699068</t>
  </si>
  <si>
    <t>9763-20170724T160521.090934500.bin</t>
  </si>
  <si>
    <t>-591.892648073749 120.860354487997 -226.900241925054</t>
  </si>
  <si>
    <t>-629.393785556889 117.219529935788 -342.001080262489</t>
  </si>
  <si>
    <t>-646.386578704711 112.088864900542 -461.898932659885</t>
  </si>
  <si>
    <t>-653.191563149485 106.481205093138 -571.064428343351</t>
  </si>
  <si>
    <t>-651.515364670004 99.7675510820341 -680.366589082802</t>
  </si>
  <si>
    <t>-640.370224534208 89.1209465481556 -831.900202790037</t>
  </si>
  <si>
    <t>-602.604917772011 72.9861791665414 -925.154933866263</t>
  </si>
  <si>
    <t>-629.332929067816 121.314043733369 -765.607740331061</t>
  </si>
  <si>
    <t>-540.147472348871 236.537133387351 -745.788615808671</t>
  </si>
  <si>
    <t>-453.610634791474 168.555510738573 -449.012368853742</t>
  </si>
  <si>
    <t>-266.591344445204 58.1809143787746 -305.892690133812</t>
  </si>
  <si>
    <t>-661.270244272013 66.3494787332816 -764.094914169531</t>
  </si>
  <si>
    <t>-555.609163789074 209.864281358492 -241.346693443564</t>
  </si>
  <si>
    <t>-575.459437732388 196.596742456863 213.722025428709</t>
  </si>
  <si>
    <t>-629.772808285264 174.823201244235 680.062915033515</t>
  </si>
  <si>
    <t>-495.167875099363 100.612843707654 765.607315455438</t>
  </si>
  <si>
    <t>-628.086132815636 31.8403820037902 -211.76603668507</t>
  </si>
  <si>
    <t>-475.507871447182 -104.636336832187 195.360069529615</t>
  </si>
  <si>
    <t>-497.442583321675 -21.9670185957475 657.380391745656</t>
  </si>
  <si>
    <t>-486.159504533472 -171.795153625934 748.855850364545</t>
  </si>
  <si>
    <t>9763-20170724T160521.126036900.bin</t>
  </si>
  <si>
    <t>-592.188712273273 120.910187615697 -226.843523683268</t>
  </si>
  <si>
    <t>-629.75884447369 117.293312094596 -341.922681384626</t>
  </si>
  <si>
    <t>-646.764715903669 112.224640255509 -461.821345822792</t>
  </si>
  <si>
    <t>-653.556799094803 106.690345458637 -570.991282570659</t>
  </si>
  <si>
    <t>-651.842455336677 100.068096805737 -680.298473781048</t>
  </si>
  <si>
    <t>-640.617523913324 89.568251690823 -831.836381235129</t>
  </si>
  <si>
    <t>-602.797162707551 73.5558330272781 -925.089913794251</t>
  </si>
  <si>
    <t>-629.633018758221 121.707507273408 -765.508992658203</t>
  </si>
  <si>
    <t>-540.503298107816 236.952752537422 -745.578131860226</t>
  </si>
  <si>
    <t>-453.370788286035 169.256095750166 -448.911150649029</t>
  </si>
  <si>
    <t>-261.143343619843 64.2317881303793 -308.69528812049</t>
  </si>
  <si>
    <t>-661.535394443966 66.7207128067739 -764.062211619763</t>
  </si>
  <si>
    <t>-555.90833717061 209.935542549143 -241.283242067745</t>
  </si>
  <si>
    <t>-575.621894536755 196.652288402734 213.790979906123</t>
  </si>
  <si>
    <t>-629.825189101384 174.896373065692 680.15990217677</t>
  </si>
  <si>
    <t>-495.15844057397 100.662433608438 765.586474385905</t>
  </si>
  <si>
    <t>-628.382786697673 31.9012863695898 -211.696128184179</t>
  </si>
  <si>
    <t>-475.7851312457 -104.649241527344 195.397930010515</t>
  </si>
  <si>
    <t>-497.446018960491 -21.962277409094 657.406367185163</t>
  </si>
  <si>
    <t>-486.226350173298 -171.801331175701 748.871769215665</t>
  </si>
  <si>
    <t>9763-20170724T160521.197227900.bin</t>
  </si>
  <si>
    <t>-592.86775189183 120.991630131057 -226.81506458364</t>
  </si>
  <si>
    <t>-630.508758993073 117.367404371665 -341.870917688897</t>
  </si>
  <si>
    <t>-647.588698987453 112.365191941126 -461.761652082557</t>
  </si>
  <si>
    <t>-654.447484663588 106.919570069943 -570.932033687802</t>
  </si>
  <si>
    <t>-652.798250694777 100.414195667483 -680.247133828598</t>
  </si>
  <si>
    <t>-641.661351131515 90.1053084213829 -831.804831926828</t>
  </si>
  <si>
    <t>-603.79272161096 74.254179129073 -925.066187790746</t>
  </si>
  <si>
    <t>-630.627902819554 122.154927252425 -765.442143683961</t>
  </si>
  <si>
    <t>-541.413197708478 237.321570056233 -745.415199572867</t>
  </si>
  <si>
    <t>-454.049112475493 169.381294751822 -448.872055349372</t>
  </si>
  <si>
    <t>-262.421093470167 63.9912133315911 -308.111080109828</t>
  </si>
  <si>
    <t>-662.550231715383 67.1784585880521 -764.048432854132</t>
  </si>
  <si>
    <t>-556.561601699838 210.030822137761 -241.266101352722</t>
  </si>
  <si>
    <t>-576.00731376022 196.70182405491 213.818449688838</t>
  </si>
  <si>
    <t>-629.877264522293 174.877062546665 680.161078330348</t>
  </si>
  <si>
    <t>-495.100008798277 100.795800976474 765.545894169887</t>
  </si>
  <si>
    <t>-629.042082359913 31.9682808057901 -211.647235480816</t>
  </si>
  <si>
    <t>-476.358003375886 -104.525095804896 195.433610629032</t>
  </si>
  <si>
    <t>-497.50254358278 -21.9425159849789 657.493821957247</t>
  </si>
  <si>
    <t>-486.361480099142 -171.811454516741 748.919841345276</t>
  </si>
  <si>
    <t>9763-20170724T160521.229903200.bin</t>
  </si>
  <si>
    <t>-593.200311527117 121.078925732096 -226.821458754561</t>
  </si>
  <si>
    <t>-630.886159805789 117.486386671876 -341.863445156159</t>
  </si>
  <si>
    <t>-648.025579269406 112.545965255244 -461.748478036029</t>
  </si>
  <si>
    <t>-654.943471951255 107.165370813983 -570.918259577855</t>
  </si>
  <si>
    <t>-653.358412048945 100.732280624134 -680.238746630432</t>
  </si>
  <si>
    <t>-642.315645254271 90.5298115611422 -831.810292956943</t>
  </si>
  <si>
    <t>-604.453245953026 74.7502877108359 -925.086374733532</t>
  </si>
  <si>
    <t>-631.222362114213 122.522096317304 -765.429968666183</t>
  </si>
  <si>
    <t>-541.851540273916 237.559291013465 -745.324802162934</t>
  </si>
  <si>
    <t>-454.548325748845 168.753083647939 -448.963533819915</t>
  </si>
  <si>
    <t>-263.469141727996 63.1603664912482 -307.609436483108</t>
  </si>
  <si>
    <t>-663.181095826403 67.5660693964539 -764.059065753568</t>
  </si>
  <si>
    <t>-556.886841010235 210.160844370159 -241.299880042704</t>
  </si>
  <si>
    <t>-576.193695778088 196.772397420224 213.788845490731</t>
  </si>
  <si>
    <t>-629.836713192544 174.87809369965 680.117453148531</t>
  </si>
  <si>
    <t>-495.129731588938 100.735745400865 765.560154010802</t>
  </si>
  <si>
    <t>-629.385674318272 32.0392635668388 -211.657672078389</t>
  </si>
  <si>
    <t>-476.669199441095 -104.419274157354 195.422718809063</t>
  </si>
  <si>
    <t>-497.561892974841 -21.9324187949351 657.517351705782</t>
  </si>
  <si>
    <t>-486.40764786989 -171.814934879715 748.919332627774</t>
  </si>
  <si>
    <t>9763-20170724T160521.295075000.bin</t>
  </si>
  <si>
    <t>-593.967506001174 121.185173583441 -226.967870810954</t>
  </si>
  <si>
    <t>-631.764361897591 117.608829872677 -341.973934597752</t>
  </si>
  <si>
    <t>-649.010266097591 112.757381246254 -461.8472776229</t>
  </si>
  <si>
    <t>-656.021020504272 107.479594272686 -571.016079740666</t>
  </si>
  <si>
    <t>-654.524559315786 101.167701384192 -680.344860128049</t>
  </si>
  <si>
    <t>-643.600199750183 91.148876032478 -831.937278595325</t>
  </si>
  <si>
    <t>-605.804201900011 75.4686681841549 -925.257083337083</t>
  </si>
  <si>
    <t>-632.397593013847 123.027394195777 -765.52060961384</t>
  </si>
  <si>
    <t>-542.779178208243 237.837683956951 -745.248112655725</t>
  </si>
  <si>
    <t>-455.027505345093 168.34263965713 -449.180032941252</t>
  </si>
  <si>
    <t>-259.044001644249 68.3083204252123 -310.523594001762</t>
  </si>
  <si>
    <t>-664.470201667961 68.1363823496931 -764.204129028815</t>
  </si>
  <si>
    <t>-557.624081457687 210.342510894677 -241.50300070374</t>
  </si>
  <si>
    <t>-576.435181154644 196.879593404209 213.604247361676</t>
  </si>
  <si>
    <t>-629.643539922648 174.918128739212 679.928347921593</t>
  </si>
  <si>
    <t>-495.173583960144 100.627430383464 765.615195119069</t>
  </si>
  <si>
    <t>-630.169440761373 32.0380602425666 -211.762089430896</t>
  </si>
  <si>
    <t>-477.260144352778 -104.286141543777 195.29087354256</t>
  </si>
  <si>
    <t>-497.705006733555 -21.9624298411334 657.432335035281</t>
  </si>
  <si>
    <t>-486.487099103355 -171.82779235741 748.854722913661</t>
  </si>
  <si>
    <t>9763-20170724T160521.325170900.bin</t>
  </si>
  <si>
    <t>-594.296339942368 121.204035745851 -227.013655243895</t>
  </si>
  <si>
    <t>-632.193045288772 117.662836804183 -341.988008888942</t>
  </si>
  <si>
    <t>-649.510272739356 112.871728648339 -461.853490602035</t>
  </si>
  <si>
    <t>-656.572472499008 107.656370375095 -571.022019113956</t>
  </si>
  <si>
    <t>-655.113977911674 101.413377654445 -680.355309018693</t>
  </si>
  <si>
    <t>-644.228130200061 91.4958054884362 -831.957161918783</t>
  </si>
  <si>
    <t>-606.467888680309 75.8565905462565 -925.298344038137</t>
  </si>
  <si>
    <t>-632.972462946579 123.308898641992 -765.518024138897</t>
  </si>
  <si>
    <t>-543.125500768904 237.91823172691 -745.176153969391</t>
  </si>
  <si>
    <t>-455.1906426887 168.502394978166 -449.143899592276</t>
  </si>
  <si>
    <t>-255.932393993741 71.4659885624567 -313.047832131992</t>
  </si>
  <si>
    <t>-665.117049818903 68.4592015313538 -764.238035380789</t>
  </si>
  <si>
    <t>-557.888960303505 210.382130816316 -241.602109628732</t>
  </si>
  <si>
    <t>-576.538186631937 196.922981573578 213.511852666935</t>
  </si>
  <si>
    <t>-629.538113163238 174.974720657995 679.847499651887</t>
  </si>
  <si>
    <t>-495.17421867281 100.628861192401 765.652778847262</t>
  </si>
  <si>
    <t>-630.605054852868 32.036523807526 -211.750129378336</t>
  </si>
  <si>
    <t>-477.470478340672 -104.33386411455 195.202742849951</t>
  </si>
  <si>
    <t>-497.7482051963 -21.9671765781443 657.365393835833</t>
  </si>
  <si>
    <t>-486.557308900429 -171.833954492641 748.788794473629</t>
  </si>
  <si>
    <t>9763-20170724T160521.390345100.bin</t>
  </si>
  <si>
    <t>-594.852221716086 121.319763337395 -227.161206909751</t>
  </si>
  <si>
    <t>-632.918509427026 117.850399407086 -342.081721936646</t>
  </si>
  <si>
    <t>-650.434687420747 113.182407201191 -461.92321964652</t>
  </si>
  <si>
    <t>-657.686285448519 108.099220556743 -571.085546547896</t>
  </si>
  <si>
    <t>-656.425110032032 102.009539015103 -680.429857310264</t>
  </si>
  <si>
    <t>-645.820049348528 92.3274256515786 -832.066867036467</t>
  </si>
  <si>
    <t>-608.172526128164 76.7270743882532 -925.460040768715</t>
  </si>
  <si>
    <t>-634.372915166361 123.997240151521 -765.592068229076</t>
  </si>
  <si>
    <t>-544.250811561094 238.400782022839 -745.198096307749</t>
  </si>
  <si>
    <t>-456.049609318679 167.899580632688 -449.501633878649</t>
  </si>
  <si>
    <t>-250.99688725846 77.0329939740541 -317.82509192362</t>
  </si>
  <si>
    <t>-666.652038245418 69.225643054695 -764.352414985181</t>
  </si>
  <si>
    <t>-558.198150174629 210.557202450107 -241.834321637648</t>
  </si>
  <si>
    <t>-576.592580216755 197.114508957387 213.290495614294</t>
  </si>
  <si>
    <t>-629.244851157536 175.17939266052 679.64761721528</t>
  </si>
  <si>
    <t>-495.22943380167 100.504959156084 765.71216558362</t>
  </si>
  <si>
    <t>-631.394525147925 32.1208115783679 -211.795099508568</t>
  </si>
  <si>
    <t>-477.938959438548 -104.373193193825 194.995320608423</t>
  </si>
  <si>
    <t>-497.768283137085 -21.9601091794 657.199115050813</t>
  </si>
  <si>
    <t>-486.810240621519 -171.848077932819 748.61589302895</t>
  </si>
  <si>
    <t>9763-20170724T160521.427965900.bin</t>
  </si>
  <si>
    <t>-595.076886236107 121.32126792821 -227.240508471267</t>
  </si>
  <si>
    <t>-633.207910324421 117.915326516404 -342.141493833797</t>
  </si>
  <si>
    <t>-650.822093595917 113.32904917227 -461.971542981363</t>
  </si>
  <si>
    <t>-658.175295784908 108.326942962538 -571.130954941045</t>
  </si>
  <si>
    <t>-657.027869027116 102.325935481043 -680.481397548103</t>
  </si>
  <si>
    <t>-646.592652502594 92.7752782792199 -832.138529510049</t>
  </si>
  <si>
    <t>-609.017323934251 77.1880435979713 -925.562978424467</t>
  </si>
  <si>
    <t>-635.022842311778 124.359072335625 -765.644169111378</t>
  </si>
  <si>
    <t>-544.653947465117 238.537166435327 -745.225581887177</t>
  </si>
  <si>
    <t>-456.247913720508 167.81101976087 -449.64429166447</t>
  </si>
  <si>
    <t>-248.345220970165 79.5421212923097 -320.697898379408</t>
  </si>
  <si>
    <t>-667.397036291905 69.6431658973984 -764.425889987749</t>
  </si>
  <si>
    <t>-558.286914752224 210.513238489121 -241.95611550088</t>
  </si>
  <si>
    <t>-576.583403590377 197.126245046804 213.174305080032</t>
  </si>
  <si>
    <t>-629.107219902586 175.252117029943 679.54405138089</t>
  </si>
  <si>
    <t>-495.248188179473 100.454228237813 765.744642833047</t>
  </si>
  <si>
    <t>-631.725943108199 32.1600141749991 -211.840312755079</t>
  </si>
  <si>
    <t>-478.210080524472 -104.51349253476 194.867100029031</t>
  </si>
  <si>
    <t>-497.731609123242 -21.9660927700154 657.062213465967</t>
  </si>
  <si>
    <t>-487.000555181903 -171.857128934892 748.500918885585</t>
  </si>
  <si>
    <t>9763-20170724T160521.492133800.bin</t>
  </si>
  <si>
    <t>-595.319145837979 121.045897666824 -227.356482398843</t>
  </si>
  <si>
    <t>-633.614564069122 117.744282446104 -342.205703244354</t>
  </si>
  <si>
    <t>-651.448342232904 113.286454318828 -462.008367054128</t>
  </si>
  <si>
    <t>-659.020965056842 108.410417880581 -571.158302307853</t>
  </si>
  <si>
    <t>-658.112237575167 102.546258783915 -680.518528861768</t>
  </si>
  <si>
    <t>-648.027549951044 93.1972523622042 -832.211953889256</t>
  </si>
  <si>
    <t>-610.686006635773 77.6362899976516 -925.734439653998</t>
  </si>
  <si>
    <t>-636.216614530658 124.640873759298 -765.693395782926</t>
  </si>
  <si>
    <t>-545.357476655384 238.45766179893 -745.331991050835</t>
  </si>
  <si>
    <t>-456.644353159153 167.634468039686 -449.865848504686</t>
  </si>
  <si>
    <t>-243.472304118282 84.2442471226384 -326.391797162474</t>
  </si>
  <si>
    <t>-668.762808835568 70.0269202176212 -764.49114442218</t>
  </si>
  <si>
    <t>-558.404412588599 210.123765059524 -242.101337436218</t>
  </si>
  <si>
    <t>-576.383440116881 196.770431236328 213.042765506896</t>
  </si>
  <si>
    <t>-629.085246970867 175.218703351438 679.500870072504</t>
  </si>
  <si>
    <t>-495.29895622624 100.359998272001 765.761577677304</t>
  </si>
  <si>
    <t>-632.086946611514 31.9608943874891 -211.900789023985</t>
  </si>
  <si>
    <t>-478.532667257726 -105.031952522766 194.684603693134</t>
  </si>
  <si>
    <t>-497.57514011418 -22.012167665539 656.773669828794</t>
  </si>
  <si>
    <t>-487.577401993245 -171.887360848102 748.321352270453</t>
  </si>
  <si>
    <t>9763-20170724T160521.528272500.bin</t>
  </si>
  <si>
    <t>-595.400568051831 120.799986332702 -227.382822240471</t>
  </si>
  <si>
    <t>-633.789501622108 117.550883926802 -342.202322258824</t>
  </si>
  <si>
    <t>-651.739368333749 113.155528747822 -461.989870090116</t>
  </si>
  <si>
    <t>-659.42522754203 108.339202236791 -571.134740430615</t>
  </si>
  <si>
    <t>-658.637399802567 102.537637999993 -680.499112671394</t>
  </si>
  <si>
    <t>-648.728147812105 93.2782802249108 -832.209489042421</t>
  </si>
  <si>
    <t>-611.530909591357 77.733262898372 -925.792077697275</t>
  </si>
  <si>
    <t>-636.791427876662 124.653613884647 -765.681196626288</t>
  </si>
  <si>
    <t>-545.67499008665 238.269755558206 -745.34587697913</t>
  </si>
  <si>
    <t>-456.939136510983 167.251144784133 -449.933427624867</t>
  </si>
  <si>
    <t>-242.169591627498 85.255514252075 -328.307673014396</t>
  </si>
  <si>
    <t>-669.433902836285 70.0969476116261 -764.483455090858</t>
  </si>
  <si>
    <t>-558.454699887613 209.893566217604 -242.15114139415</t>
  </si>
  <si>
    <t>-576.289647783544 196.579097151845 212.999807296709</t>
  </si>
  <si>
    <t>-629.038993216818 175.254858059525 679.458830357943</t>
  </si>
  <si>
    <t>-495.366796680229 100.232400170183 765.754208347805</t>
  </si>
  <si>
    <t>-632.211354373614 31.6957759633726 -211.92192015586</t>
  </si>
  <si>
    <t>-478.573830685535 -105.316606507119 194.62548598676</t>
  </si>
  <si>
    <t>-497.556251045735 -22.0513018234012 656.63511389824</t>
  </si>
  <si>
    <t>-487.801559823061 -171.896391291851 748.258357009762</t>
  </si>
  <si>
    <t>9763-20170724T160521.593445000.bin</t>
  </si>
  <si>
    <t>-595.741233203221 120.369881992701 -227.458224777623</t>
  </si>
  <si>
    <t>-634.270317653338 117.200168730591 -342.233040775217</t>
  </si>
  <si>
    <t>-652.444484450336 112.909470213805 -461.990625311476</t>
  </si>
  <si>
    <t>-660.366326102656 108.195486136768 -571.122906100161</t>
  </si>
  <si>
    <t>-659.846674084723 102.502673928257 -680.494613326732</t>
  </si>
  <si>
    <t>-650.342440754079 93.3999505677361 -832.240479068113</t>
  </si>
  <si>
    <t>-613.446857831269 77.8560419975611 -925.942677140624</t>
  </si>
  <si>
    <t>-638.145816286726 124.657416857025 -765.703851400074</t>
  </si>
  <si>
    <t>-546.538456792346 237.865307790888 -745.376086016344</t>
  </si>
  <si>
    <t>-456.609450688095 167.222366355126 -450.234547553386</t>
  </si>
  <si>
    <t>-235.39667749277 90.3171882222373 -337.13053566174</t>
  </si>
  <si>
    <t>-670.949691065069 70.1978706421394 -764.491600403184</t>
  </si>
  <si>
    <t>-558.758973256307 209.512016254263 -242.23853100024</t>
  </si>
  <si>
    <t>-576.26589674401 196.265576961321 212.927030070987</t>
  </si>
  <si>
    <t>-628.991181878794 175.333658071878 679.452494589387</t>
  </si>
  <si>
    <t>-495.477506832186 100.013516927552 765.733928780523</t>
  </si>
  <si>
    <t>-632.628101289345 31.2845814614532 -211.972216871151</t>
  </si>
  <si>
    <t>-478.835247903196 -105.721480934988 194.518596746005</t>
  </si>
  <si>
    <t>-497.624609014761 -22.1142462745365 656.432812584384</t>
  </si>
  <si>
    <t>-488.001454199294 -171.895456884441 748.174378039922</t>
  </si>
  <si>
    <t>9763-20170724T160521.626043100.bin</t>
  </si>
  <si>
    <t>-596.062434123917 120.124880967669 -227.47791891579</t>
  </si>
  <si>
    <t>-634.659922585693 116.968157647012 -342.230257567255</t>
  </si>
  <si>
    <t>-652.947999859743 112.716829551824 -461.971749523944</t>
  </si>
  <si>
    <t>-660.990664997054 108.04781236538 -571.097240746821</t>
  </si>
  <si>
    <t>-660.609060802659 102.408563994206 -680.472273996608</t>
  </si>
  <si>
    <t>-651.313761840754 93.3887204766975 -832.236076753284</t>
  </si>
  <si>
    <t>-614.562579635596 77.8466767720959 -925.99522047987</t>
  </si>
  <si>
    <t>-638.996673826234 124.592503865706 -765.696238804193</t>
  </si>
  <si>
    <t>-547.239974099637 237.721673535826 -745.456441521763</t>
  </si>
  <si>
    <t>-456.560692905366 167.178062834226 -450.520707092923</t>
  </si>
  <si>
    <t>-234.499472799851 91.0188298261771 -338.580188367729</t>
  </si>
  <si>
    <t>-671.856605568916 70.166946108292 -764.474306090129</t>
  </si>
  <si>
    <t>-559.072720743961 209.213487532531 -242.273306763646</t>
  </si>
  <si>
    <t>-576.421226838771 196.012109546733 212.899608507995</t>
  </si>
  <si>
    <t>-629.082924659719 175.17206669962 679.454162231931</t>
  </si>
  <si>
    <t>-495.348999615625 100.201678093546 765.699113447703</t>
  </si>
  <si>
    <t>-632.997399835616 31.0771003338912 -211.976423472883</t>
  </si>
  <si>
    <t>-479.117887708328 -105.785121517414 194.530026488372</t>
  </si>
  <si>
    <t>-497.676230509022 -22.1065073154493 656.422927140694</t>
  </si>
  <si>
    <t>-488.001139612567 -171.885875239043 748.161999022032</t>
  </si>
  <si>
    <t>9763-20170724T160521.692219500.bin</t>
  </si>
  <si>
    <t>-596.614372817442 119.677236245655 -227.48215990138</t>
  </si>
  <si>
    <t>-635.304132259748 116.503790633685 -342.202764481501</t>
  </si>
  <si>
    <t>-653.84293477351 112.288359378881 -461.907048319781</t>
  </si>
  <si>
    <t>-662.176522372818 107.671170687611 -571.012887296669</t>
  </si>
  <si>
    <t>-662.148471426815 102.102636699077 -680.392321096265</t>
  </si>
  <si>
    <t>-653.4083632754 93.1994227570569 -832.19589680942</t>
  </si>
  <si>
    <t>-616.96172007896 77.6482839216205 -926.07234519172</t>
  </si>
  <si>
    <t>-640.794287996074 124.319563617302 -765.672702751636</t>
  </si>
  <si>
    <t>-548.80747203881 237.284127464583 -745.69155344463</t>
  </si>
  <si>
    <t>-457.143077178797 166.722616734715 -451.064834138593</t>
  </si>
  <si>
    <t>-232.82627742157 92.4371680019854 -342.410922558497</t>
  </si>
  <si>
    <t>-673.757005786225 69.9579366768512 -764.382272580124</t>
  </si>
  <si>
    <t>-559.545478729685 208.660042123741 -242.321900180208</t>
  </si>
  <si>
    <t>-576.608182372408 195.623649462959 212.866690811218</t>
  </si>
  <si>
    <t>-629.103969622436 175.142661803172 679.444832946208</t>
  </si>
  <si>
    <t>-495.444321689811 100.016225961361 765.669149782448</t>
  </si>
  <si>
    <t>-633.565032501374 30.6905609422015 -211.964563516432</t>
  </si>
  <si>
    <t>-479.562085915029 -105.92595518128 194.57775959808</t>
  </si>
  <si>
    <t>-497.716813955763 -22.077607811558 656.457109727495</t>
  </si>
  <si>
    <t>-488.065945616669 -171.870238852765 748.177069714604</t>
  </si>
  <si>
    <t>9763-20170724T160521.725844000.bin</t>
  </si>
  <si>
    <t>-596.880876972833 119.469252184585 -227.485303232162</t>
  </si>
  <si>
    <t>-635.646450117112 116.301771652556 -342.180495347082</t>
  </si>
  <si>
    <t>-654.300464829555 112.11283317076 -461.867838023966</t>
  </si>
  <si>
    <t>-662.753246773006 107.52799849206 -570.965903366133</t>
  </si>
  <si>
    <t>-662.858763030418 102.000123687249 -680.347282910263</t>
  </si>
  <si>
    <t>-654.318735574444 93.1617091212229 -832.166097819579</t>
  </si>
  <si>
    <t>-617.998678869297 77.6290143362617 -926.094654368028</t>
  </si>
  <si>
    <t>-641.603615044127 124.245539052544 -765.645059378801</t>
  </si>
  <si>
    <t>-549.506985065097 237.139018108852 -745.756303785789</t>
  </si>
  <si>
    <t>-457.553089195751 166.655438279158 -451.201105052187</t>
  </si>
  <si>
    <t>-232.875159721881 92.7277639791835 -343.050550974713</t>
  </si>
  <si>
    <t>-674.591179166807 69.8994151775489 -764.336911935465</t>
  </si>
  <si>
    <t>-559.808805754555 208.476722811039 -242.358928833379</t>
  </si>
  <si>
    <t>-576.688916944388 195.449091664873 212.836691236485</t>
  </si>
  <si>
    <t>-629.094161457412 175.118627880478 679.428574852907</t>
  </si>
  <si>
    <t>-495.372160922726 100.109630531517 765.658438535743</t>
  </si>
  <si>
    <t>-633.830296373118 30.5095547581841 -211.920330489252</t>
  </si>
  <si>
    <t>-479.668987130514 -106.099722486324 194.564477513132</t>
  </si>
  <si>
    <t>-497.73476646968 -22.0951136730398 656.420952590309</t>
  </si>
  <si>
    <t>-488.161471181153 -171.870148249666 748.177671599346</t>
  </si>
  <si>
    <t>9763-20170724T160521.792017600.bin</t>
  </si>
  <si>
    <t>-597.373966553688 119.292474432838 -227.607931692654</t>
  </si>
  <si>
    <t>-636.255172802742 116.081443549564 -342.262831966355</t>
  </si>
  <si>
    <t>-655.103572234311 111.924849507244 -461.920713175953</t>
  </si>
  <si>
    <t>-663.762069383057 107.402464877001 -571.005295268239</t>
  </si>
  <si>
    <t>-664.101731673284 101.971307056025 -680.39099528076</t>
  </si>
  <si>
    <t>-655.914427451176 93.304586362304 -832.239186208011</t>
  </si>
  <si>
    <t>-619.80697004075 77.8304854413377 -926.259244980467</t>
  </si>
  <si>
    <t>-643.057042536806 124.320552431883 -765.713886898997</t>
  </si>
  <si>
    <t>-550.858995367165 237.158979964675 -745.936438919793</t>
  </si>
  <si>
    <t>-458.167517151646 166.011653777281 -451.772259206862</t>
  </si>
  <si>
    <t>-233.032914657319 92.9929619247557 -343.954309276568</t>
  </si>
  <si>
    <t>-676.017089742249 69.9581053118372 -764.388219667007</t>
  </si>
  <si>
    <t>-560.304342996816 208.336628271598 -242.61652219717</t>
  </si>
  <si>
    <t>-576.764735047926 195.373934753517 212.596202031287</t>
  </si>
  <si>
    <t>-628.70422493208 175.25058548832 679.064435819918</t>
  </si>
  <si>
    <t>-495.37215312436 100.016707647416 765.701230769925</t>
  </si>
  <si>
    <t>-634.27189970192 30.2946444676627 -211.930931716749</t>
  </si>
  <si>
    <t>-479.844521395781 -106.320221990953 194.451002669209</t>
  </si>
  <si>
    <t>-497.78441797861 -22.145095663122 656.273876880888</t>
  </si>
  <si>
    <t>-488.348441315169 -171.871882082884 748.123610907668</t>
  </si>
  <si>
    <t>9763-20170724T160521.832178200.bin</t>
  </si>
  <si>
    <t>-597.530918065954 119.300497717886 -227.873335641509</t>
  </si>
  <si>
    <t>-636.498638241469 116.079759890253 -342.498645896506</t>
  </si>
  <si>
    <t>-655.453736790034 111.922795105226 -462.139716339834</t>
  </si>
  <si>
    <t>-664.216002605017 107.405087607374 -571.216143792799</t>
  </si>
  <si>
    <t>-664.665920642161 101.984535495518 -680.602037720923</t>
  </si>
  <si>
    <t>-656.638056001332 93.3392423098649 -832.45984226583</t>
  </si>
  <si>
    <t>-620.620652529088 77.8799760923482 -926.516947536128</t>
  </si>
  <si>
    <t>-643.721864196692 124.352489896363 -765.944717588802</t>
  </si>
  <si>
    <t>-551.497240008264 237.173807670733 -746.223617379194</t>
  </si>
  <si>
    <t>-458.573994895072 165.748534906018 -452.199915227025</t>
  </si>
  <si>
    <t>-233.537293717587 92.8429288954478 -344.101510202972</t>
  </si>
  <si>
    <t>-676.658398178542 69.9765570906388 -764.59021927364</t>
  </si>
  <si>
    <t>-560.447946169741 208.381955549729 -243.011532369163</t>
  </si>
  <si>
    <t>-576.50370879106 195.289811928044 212.212022603575</t>
  </si>
  <si>
    <t>-628.157600441349 175.456244362132 678.615009840568</t>
  </si>
  <si>
    <t>-495.191511358306 100.155530899006 765.754754648631</t>
  </si>
  <si>
    <t>-634.416579768777 30.2596882713235 -212.108844432358</t>
  </si>
  <si>
    <t>-479.783815640608 -106.414244032698 194.175047325917</t>
  </si>
  <si>
    <t>-497.802685528121 -22.1978289718754 656.044948867257</t>
  </si>
  <si>
    <t>-488.461156619932 -171.880312009692 747.976506432623</t>
  </si>
  <si>
    <t>9763-20170724T160521.893345000.bin</t>
  </si>
  <si>
    <t>-597.834080705305 119.615733138462 -228.417443028101</t>
  </si>
  <si>
    <t>-637.004659677109 116.415664931492 -342.974101456243</t>
  </si>
  <si>
    <t>-656.154366958745 112.241833168134 -462.583523796136</t>
  </si>
  <si>
    <t>-665.086956517897 107.701658881471 -571.645265113781</t>
  </si>
  <si>
    <t>-665.700273978396 102.256156258706 -681.029116704594</t>
  </si>
  <si>
    <t>-657.891202913088 93.5777617563597 -832.89655079502</t>
  </si>
  <si>
    <t>-622.005499085254 78.1632090703038 -927.011236288725</t>
  </si>
  <si>
    <t>-644.921226945424 124.63081155196 -766.410301716546</t>
  </si>
  <si>
    <t>-552.797487754609 237.582784851518 -746.905615300637</t>
  </si>
  <si>
    <t>-459.246731656668 165.653276247663 -453.204192014122</t>
  </si>
  <si>
    <t>-238.774998762441 90.4446949616092 -337.541224809536</t>
  </si>
  <si>
    <t>-677.771732183158 70.2045407470293 -764.989403510637</t>
  </si>
  <si>
    <t>-560.767653391985 208.857561390981 -243.690993385021</t>
  </si>
  <si>
    <t>-575.951959201565 195.304761396746 211.54903326343</t>
  </si>
  <si>
    <t>-627.419193791484 175.868839555458 678.178350976467</t>
  </si>
  <si>
    <t>-495.171577834455 100.032677082479 765.944817241512</t>
  </si>
  <si>
    <t>-634.816959258807 30.4281527188721 -212.472046938225</t>
  </si>
  <si>
    <t>-479.654428647367 -106.427298894201 193.548698460323</t>
  </si>
  <si>
    <t>-497.844861186241 -22.2975365834043 655.467014720542</t>
  </si>
  <si>
    <t>-488.656369697434 -171.884716048734 747.568939410181</t>
  </si>
  <si>
    <t>9763-20170724T160521.924940600.bin</t>
  </si>
  <si>
    <t>-597.90327957342 119.864104975706 -228.545774225317</t>
  </si>
  <si>
    <t>-637.145130688687 116.66773439545 -343.078223158464</t>
  </si>
  <si>
    <t>-656.378386147045 112.452113852981 -462.672709657382</t>
  </si>
  <si>
    <t>-665.391378891602 107.860031320175 -571.725609228437</t>
  </si>
  <si>
    <t>-666.089625529468 102.351317521401 -681.105805327139</t>
  </si>
  <si>
    <t>-658.402687278252 93.5760851939849 -832.973938638908</t>
  </si>
  <si>
    <t>-622.59555044184 78.1360041007349 -927.114456899442</t>
  </si>
  <si>
    <t>-645.380550997542 124.672284005143 -766.518056294482</t>
  </si>
  <si>
    <t>-553.314856810838 237.705547446995 -747.233374381217</t>
  </si>
  <si>
    <t>-459.323116925581 165.555022189153 -453.726946931783</t>
  </si>
  <si>
    <t>-240.383421805637 89.6640631970797 -335.625184237596</t>
  </si>
  <si>
    <t>-678.227320677884 70.2453841801969 -765.035816139494</t>
  </si>
  <si>
    <t>-560.85328040622 209.17522334419 -243.795639291421</t>
  </si>
  <si>
    <t>-575.921526492842 195.543827564632 211.445854983342</t>
  </si>
  <si>
    <t>-627.30618118622 176.007613764597 678.162797568384</t>
  </si>
  <si>
    <t>-495.350972323365 99.7184371877656 765.976782557796</t>
  </si>
  <si>
    <t>-634.915269875493 30.5919028030553 -212.550744073553</t>
  </si>
  <si>
    <t>-479.523742202901 -106.369817702344 193.346566858649</t>
  </si>
  <si>
    <t>-497.809955322403 -22.3147188002379 655.24512767186</t>
  </si>
  <si>
    <t>-488.822659327118 -171.87841633815 747.404993470926</t>
  </si>
  <si>
    <t>9763-20170724T160521.990114900.bin</t>
  </si>
  <si>
    <t>-597.868163870492 119.842316482864 -228.571149943943</t>
  </si>
  <si>
    <t>-637.169029788254 116.557494936089 -343.08068375307</t>
  </si>
  <si>
    <t>-656.566230812492 112.173156542046 -462.6429636605</t>
  </si>
  <si>
    <t>-665.77134109082 107.400109953928 -571.671903415227</t>
  </si>
  <si>
    <t>-666.705526519323 101.684816712638 -681.039667435959</t>
  </si>
  <si>
    <t>-659.391663561511 92.5981733750423 -832.907810958349</t>
  </si>
  <si>
    <t>-623.838103877638 76.9643706863694 -927.112568831374</t>
  </si>
  <si>
    <t>-646.143377022045 123.792669237914 -766.542992258453</t>
  </si>
  <si>
    <t>-553.717171234676 236.594667872687 -747.642557248753</t>
  </si>
  <si>
    <t>-458.519750244405 165.27000301315 -454.322922960803</t>
  </si>
  <si>
    <t>-234.863593312318 93.0263738155927 -342.963801488408</t>
  </si>
  <si>
    <t>-679.112279070752 69.4447776800387 -764.878929139415</t>
  </si>
  <si>
    <t>-560.586195975951 209.045728035668 -243.853676519223</t>
  </si>
  <si>
    <t>-576.025800335075 195.756686579352 211.385410893093</t>
  </si>
  <si>
    <t>-627.344508663982 175.950939983635 678.159472390113</t>
  </si>
  <si>
    <t>-495.405194117101 99.5654803283301 765.913592678275</t>
  </si>
  <si>
    <t>-635.053909873767 30.5516546545578 -212.513455453852</t>
  </si>
  <si>
    <t>-479.297691789927 -106.515814164555 193.208321642458</t>
  </si>
  <si>
    <t>-497.787498570617 -22.2920231775529 655.011736360956</t>
  </si>
  <si>
    <t>-489.079118819092 -171.845974638689 747.214129719878</t>
  </si>
  <si>
    <t>9763-20170724T160522.027727500.bin</t>
  </si>
  <si>
    <t>-597.809852889912 119.664271742776 -228.49162251679</t>
  </si>
  <si>
    <t>-637.048038788413 116.301197861469 -343.020496469824</t>
  </si>
  <si>
    <t>-656.507250493319 111.81642453619 -462.568749782888</t>
  </si>
  <si>
    <t>-665.821382610263 106.941765097728 -571.584068580964</t>
  </si>
  <si>
    <t>-666.917940123865 101.113225929372 -680.944371784939</t>
  </si>
  <si>
    <t>-659.885337670862 91.8560869949069 -832.815630556747</t>
  </si>
  <si>
    <t>-624.53525233807 76.0689373246801 -927.071114297589</t>
  </si>
  <si>
    <t>-646.467295748306 123.096641796707 -766.506496032266</t>
  </si>
  <si>
    <t>-553.826466260683 235.758178834157 -747.810264267499</t>
  </si>
  <si>
    <t>-457.923939616931 164.759995022519 -454.641143059793</t>
  </si>
  <si>
    <t>-229.592384392756 94.6971974556927 -351.694664826406</t>
  </si>
  <si>
    <t>-679.526812005149 68.8075106512267 -764.728172252113</t>
  </si>
  <si>
    <t>-560.417939897583 208.786808448385 -243.821406813405</t>
  </si>
  <si>
    <t>-576.00169910298 195.585148400522 211.415391854335</t>
  </si>
  <si>
    <t>-627.490877696393 175.771618206047 678.193606939592</t>
  </si>
  <si>
    <t>-495.469063951787 99.4429784929 765.873105871659</t>
  </si>
  <si>
    <t>-635.046171314534 30.4695397885021 -212.412876695674</t>
  </si>
  <si>
    <t>-479.265988209002 -106.696499671475 193.266361931804</t>
  </si>
  <si>
    <t>-497.791071070394 -22.2597863108131 654.987157258055</t>
  </si>
  <si>
    <t>-489.151596707063 -171.823531840987 747.180151138224</t>
  </si>
  <si>
    <t>9763-20170724T160522.092902500.bin</t>
  </si>
  <si>
    <t>-597.598772246532 119.322203819071 -228.413245800807</t>
  </si>
  <si>
    <t>-636.789337170506 115.894367700412 -342.956436864655</t>
  </si>
  <si>
    <t>-656.357940387144 111.287594200584 -462.482128104245</t>
  </si>
  <si>
    <t>-665.838033879441 106.273776434422 -571.476887790947</t>
  </si>
  <si>
    <t>-667.168686244251 100.274024725466 -680.825320189389</t>
  </si>
  <si>
    <t>-660.533124824024 90.7423356518825 -832.697384691619</t>
  </si>
  <si>
    <t>-625.55328861022 74.6704909905163 -927.04306620193</t>
  </si>
  <si>
    <t>-646.873981931765 122.061305248645 -766.474585791618</t>
  </si>
  <si>
    <t>-553.953454785451 234.544328556625 -748.070039897745</t>
  </si>
  <si>
    <t>-457.872890438437 163.572751901461 -454.952751974559</t>
  </si>
  <si>
    <t>-228.402137187329 94.1808447710748 -354.106426667401</t>
  </si>
  <si>
    <t>-680.06441039259 67.858227074774 -764.5228569161</t>
  </si>
  <si>
    <t>-560.269305206334 208.431168317497 -243.748947253522</t>
  </si>
  <si>
    <t>-575.960492716773 195.266755716434 211.48519778097</t>
  </si>
  <si>
    <t>-627.649893259521 175.6024582055 678.2350141897</t>
  </si>
  <si>
    <t>-495.482644925695 99.3599689852306 765.770210347532</t>
  </si>
  <si>
    <t>-634.779050382723 30.2778402821298 -212.374400806155</t>
  </si>
  <si>
    <t>-479.132724221794 -106.923409475017 193.344341037967</t>
  </si>
  <si>
    <t>-497.808323670044 -22.2489846844662 654.970207781131</t>
  </si>
  <si>
    <t>-489.287565472226 -171.796548920164 747.200470696441</t>
  </si>
  <si>
    <t>9763-20170724T160522.127007600.bin</t>
  </si>
  <si>
    <t>-597.574158616511 119.326643365475 -228.365525049333</t>
  </si>
  <si>
    <t>-636.767580359234 115.869928005337 -342.906872743005</t>
  </si>
  <si>
    <t>-656.402859906459 111.19461375457 -462.419030785001</t>
  </si>
  <si>
    <t>-665.969944144076 106.102681380852 -571.402490429278</t>
  </si>
  <si>
    <t>-667.414911551108 100.00807439302 -680.744246206702</t>
  </si>
  <si>
    <t>-660.96699701107 90.3266185817081 -832.614894768802</t>
  </si>
  <si>
    <t>-626.132103210631 74.1166793523942 -926.99050532278</t>
  </si>
  <si>
    <t>-647.215590795809 121.704483330533 -766.439154400737</t>
  </si>
  <si>
    <t>-554.282326260339 234.213558193298 -748.241076086915</t>
  </si>
  <si>
    <t>-458.165423456413 162.920041547314 -455.213843950785</t>
  </si>
  <si>
    <t>-230.261444478109 92.9333469371697 -351.272923916031</t>
  </si>
  <si>
    <t>-680.424522546174 67.5161095251426 -764.394646803178</t>
  </si>
  <si>
    <t>-560.285736622071 208.401016277075 -243.709211046816</t>
  </si>
  <si>
    <t>-576.024226526755 195.281528734565 211.524634862673</t>
  </si>
  <si>
    <t>-627.705660585623 175.542010298616 678.251771524033</t>
  </si>
  <si>
    <t>-495.444519368307 99.4048111022801 765.736792390996</t>
  </si>
  <si>
    <t>-634.792960588146 30.310703669199 -212.298964698336</t>
  </si>
  <si>
    <t>-479.054028225436 -106.869952384002 193.391235742549</t>
  </si>
  <si>
    <t>-497.818502929325 -22.2314521169483 655.001963652932</t>
  </si>
  <si>
    <t>-489.30419393992 -171.780232363526 747.230782523336</t>
  </si>
  <si>
    <t>9763-20170724T160522.192171700.bin</t>
  </si>
  <si>
    <t>-597.618539050252 119.325803896867 -228.271096112901</t>
  </si>
  <si>
    <t>-636.809016162262 115.812053543331 -342.811765255048</t>
  </si>
  <si>
    <t>-656.487234190312 111.017060665613 -462.312170431248</t>
  </si>
  <si>
    <t>-666.113041798494 105.793152478626 -571.28412507554</t>
  </si>
  <si>
    <t>-667.637218560131 99.5436302866847 -680.616154549755</t>
  </si>
  <si>
    <t>-661.321031851428 89.6237784689465 -832.476991348268</t>
  </si>
  <si>
    <t>-626.590198866583 73.2520244048883 -926.862976132684</t>
  </si>
  <si>
    <t>-647.523430150214 121.112397727125 -766.363360615075</t>
  </si>
  <si>
    <t>-554.694564457928 233.732754821673 -748.402848613937</t>
  </si>
  <si>
    <t>-457.672384791019 163.119832178927 -455.509146345284</t>
  </si>
  <si>
    <t>-232.16875813752 91.8306809944463 -347.305849859113</t>
  </si>
  <si>
    <t>-680.708081533598 66.9135937329443 -764.20325252765</t>
  </si>
  <si>
    <t>-560.33810413026 208.371176300579 -243.656558461458</t>
  </si>
  <si>
    <t>-576.057479645015 195.191236819718 211.576201501086</t>
  </si>
  <si>
    <t>-627.778386011854 175.445496700458 678.305571849403</t>
  </si>
  <si>
    <t>-495.423723518283 99.3758521967002 765.707871111892</t>
  </si>
  <si>
    <t>-634.765439645571 30.324076095877 -212.19670426652</t>
  </si>
  <si>
    <t>-478.989373470134 -106.813557291425 193.493836334216</t>
  </si>
  <si>
    <t>-497.878285553681 -22.183804377599 655.1014437969</t>
  </si>
  <si>
    <t>-489.333167233675 -171.741242514137 747.313407011947</t>
  </si>
  <si>
    <t>9763-20170724T160522.228904500.bin</t>
  </si>
  <si>
    <t>-597.651621716395 119.458535011882 -228.214594516175</t>
  </si>
  <si>
    <t>-636.824587926636 115.912687446793 -342.760284668143</t>
  </si>
  <si>
    <t>-656.50578401882 111.043317761528 -462.257059545218</t>
  </si>
  <si>
    <t>-666.143746416205 105.735581409374 -571.223977236263</t>
  </si>
  <si>
    <t>-667.689789513549 99.3863570273172 -680.549998529438</t>
  </si>
  <si>
    <t>-661.414374796867 89.3118907420408 -832.402215100788</t>
  </si>
  <si>
    <t>-626.715026353887 72.8893893551451 -926.791114673001</t>
  </si>
  <si>
    <t>-647.597391293607 120.866779866795 -766.324357046991</t>
  </si>
  <si>
    <t>-554.805456368276 233.542596321344 -748.475215514439</t>
  </si>
  <si>
    <t>-457.478509594549 163.320385788265 -455.588749505615</t>
  </si>
  <si>
    <t>-232.348582325395 91.8742454492651 -346.712449761589</t>
  </si>
  <si>
    <t>-680.784829748572 66.6721383041654 -764.100352440389</t>
  </si>
  <si>
    <t>-560.332754564884 208.508510057866 -243.636822497746</t>
  </si>
  <si>
    <t>-576.087905191012 195.318896322465 211.594369176786</t>
  </si>
  <si>
    <t>-627.746471629554 175.466792960695 678.291497223843</t>
  </si>
  <si>
    <t>-495.435074823826 99.3298673008201 765.700743166785</t>
  </si>
  <si>
    <t>-634.853086411229 30.4758354930191 -212.110109105487</t>
  </si>
  <si>
    <t>-479.056813186355 -106.776716979049 193.533719466246</t>
  </si>
  <si>
    <t>-497.930471761763 -22.1651792396294 655.146232761011</t>
  </si>
  <si>
    <t>-489.335281752956 -171.727725756127 747.345475477471</t>
  </si>
  <si>
    <t>9763-20170724T160522.293063300.bin</t>
  </si>
  <si>
    <t>-597.731358420801 119.824086003472 -228.183528061347</t>
  </si>
  <si>
    <t>-636.893609327402 116.254480512938 -342.732128268764</t>
  </si>
  <si>
    <t>-656.624929024345 111.293252076084 -462.2170896339</t>
  </si>
  <si>
    <t>-666.334299555657 105.877048864915 -571.172266449847</t>
  </si>
  <si>
    <t>-667.978388521022 99.3951576081622 -680.488935100785</t>
  </si>
  <si>
    <t>-661.867379689423 89.1120149667865 -832.333855926398</t>
  </si>
  <si>
    <t>-627.226722757104 72.5554042511737 -926.720851839628</t>
  </si>
  <si>
    <t>-647.978524775301 120.757518238305 -766.314358857843</t>
  </si>
  <si>
    <t>-555.247192463343 233.502194531012 -748.606510884701</t>
  </si>
  <si>
    <t>-457.356643743961 163.523310512655 -455.849654828111</t>
  </si>
  <si>
    <t>-233.309978804833 91.2897644327425 -345.271844683849</t>
  </si>
  <si>
    <t>-681.164108868704 66.5664443691064 -763.980054374817</t>
  </si>
  <si>
    <t>-560.313665975053 208.901296726211 -243.636204166356</t>
  </si>
  <si>
    <t>-576.1712682235 195.734730790854 211.592140078524</t>
  </si>
  <si>
    <t>-627.584293776496 175.655982512677 678.275034008488</t>
  </si>
  <si>
    <t>-495.51867364089 99.1352292977649 765.720775247575</t>
  </si>
  <si>
    <t>-635.041311805962 30.784042380463 -212.048071666289</t>
  </si>
  <si>
    <t>-479.204207563816 -106.590218240488 193.53895982952</t>
  </si>
  <si>
    <t>-497.999867427188 -22.1271245600917 655.202038144035</t>
  </si>
  <si>
    <t>-489.380601181646 -171.694412748341 747.391132109891</t>
  </si>
  <si>
    <t>9763-20170724T160522.323743100.bin</t>
  </si>
  <si>
    <t>-597.775080464839 119.957578258594 -228.14799389173</t>
  </si>
  <si>
    <t>-636.914072112423 116.374817147478 -342.704172184805</t>
  </si>
  <si>
    <t>-656.628760537772 111.368447245342 -462.189834496627</t>
  </si>
  <si>
    <t>-666.32664895658 105.897832962903 -571.143473325963</t>
  </si>
  <si>
    <t>-667.96365751713 99.3471901971434 -680.456145203447</t>
  </si>
  <si>
    <t>-661.84743896842 88.9537482469941 -832.293423811352</t>
  </si>
  <si>
    <t>-627.205869791172 72.3259003052437 -926.667471876209</t>
  </si>
  <si>
    <t>-647.941704103242 120.635451871035 -766.294827104865</t>
  </si>
  <si>
    <t>-555.153482183801 233.329931287945 -748.69000720917</t>
  </si>
  <si>
    <t>-457.145774226886 163.458925113405 -455.946598486635</t>
  </si>
  <si>
    <t>-233.905719568183 90.6398107551684 -344.128444284133</t>
  </si>
  <si>
    <t>-681.165746560896 66.4694791589636 -763.925458660227</t>
  </si>
  <si>
    <t>-560.304991352649 209.034588787773 -243.642999033159</t>
  </si>
  <si>
    <t>-576.266225728723 195.915974490247 211.583152885819</t>
  </si>
  <si>
    <t>-627.531605903589 175.661516276944 678.252134348753</t>
  </si>
  <si>
    <t>-495.51821063396 99.0942637513804 765.736019005932</t>
  </si>
  <si>
    <t>-635.110220135722 30.8933001223008 -211.995915343779</t>
  </si>
  <si>
    <t>-479.211817214231 -106.539291696193 193.547634811827</t>
  </si>
  <si>
    <t>-498.021266135637 -22.1069302245678 655.206569220229</t>
  </si>
  <si>
    <t>-489.435177223986 -171.677319713646 747.39385130131</t>
  </si>
  <si>
    <t>9763-20170724T160522.393936900.bin</t>
  </si>
  <si>
    <t>-597.902848049106 120.052562179505 -228.168818200585</t>
  </si>
  <si>
    <t>-637.03447181965 116.498648108699 -342.728401788619</t>
  </si>
  <si>
    <t>-656.733287914705 111.454436737138 -462.215161099158</t>
  </si>
  <si>
    <t>-666.414874290304 105.920145760467 -571.166959805592</t>
  </si>
  <si>
    <t>-668.034198231008 99.2757286411297 -680.474172772751</t>
  </si>
  <si>
    <t>-661.89321905011 88.7192723937692 -832.299295634129</t>
  </si>
  <si>
    <t>-627.273389256659 71.9127975464901 -926.649651858035</t>
  </si>
  <si>
    <t>-647.934981270208 120.433374728839 -766.327271940782</t>
  </si>
  <si>
    <t>-554.897564853034 232.961447159231 -748.755931910351</t>
  </si>
  <si>
    <t>-457.033889082658 162.687266368076 -456.06069344238</t>
  </si>
  <si>
    <t>-236.815870132104 88.0092115738346 -339.573546089368</t>
  </si>
  <si>
    <t>-681.285679207712 66.3471750015156 -763.915472035321</t>
  </si>
  <si>
    <t>-560.273763284838 209.037866415013 -243.650462563048</t>
  </si>
  <si>
    <t>-576.377490737048 196.034725269425 211.573878575144</t>
  </si>
  <si>
    <t>-627.560262374104 175.581815085911 678.284824834645</t>
  </si>
  <si>
    <t>-495.46023439353 99.1474115616927 765.754135646862</t>
  </si>
  <si>
    <t>-635.441975458212 31.0767733304533 -211.968764266225</t>
  </si>
  <si>
    <t>-479.434095160934 -106.47140222169 193.493509111026</t>
  </si>
  <si>
    <t>-498.109377307239 -22.0720423804812 655.202626205191</t>
  </si>
  <si>
    <t>-489.486773965521 -171.640651915832 747.389390742839</t>
  </si>
  <si>
    <t>9763-20170724T160522.425027900.bin</t>
  </si>
  <si>
    <t>-598.00423594921 120.063584616538 -228.129928730227</t>
  </si>
  <si>
    <t>-637.123736655071 116.522705063741 -342.693980654877</t>
  </si>
  <si>
    <t>-656.807627885313 111.444942850904 -462.181908601041</t>
  </si>
  <si>
    <t>-666.475563492494 105.860787170909 -571.132356085947</t>
  </si>
  <si>
    <t>-668.081659359183 99.1467827832355 -680.435522329405</t>
  </si>
  <si>
    <t>-661.923353351114 88.4728394122778 -832.25166254945</t>
  </si>
  <si>
    <t>-627.323502310474 71.5836264824325 -926.594657963047</t>
  </si>
  <si>
    <t>-647.945736538808 120.221382918034 -766.30033923444</t>
  </si>
  <si>
    <t>-554.818880458192 232.66009661319 -748.758166851389</t>
  </si>
  <si>
    <t>-456.989952750973 162.271436800184 -456.07895722455</t>
  </si>
  <si>
    <t>-237.24270220172 87.2640105966393 -338.916338159171</t>
  </si>
  <si>
    <t>-681.350621479993 66.1701552753445 -763.855121639382</t>
  </si>
  <si>
    <t>-560.278579214991 208.998999426513 -243.654599243411</t>
  </si>
  <si>
    <t>-576.379463387559 195.984400364744 211.569616803657</t>
  </si>
  <si>
    <t>-627.531142295584 175.566640799806 678.250761197754</t>
  </si>
  <si>
    <t>-495.536350024572 98.9937223396985 765.757737041985</t>
  </si>
  <si>
    <t>-635.626870293072 31.1256783802842 -211.936861969918</t>
  </si>
  <si>
    <t>-479.621421317308 -106.48393905031 193.505614592721</t>
  </si>
  <si>
    <t>-498.128688998204 -22.0491705437043 655.20350628379</t>
  </si>
  <si>
    <t>-489.532267560435 -171.622979126061 747.384123004692</t>
  </si>
  <si>
    <t>9763-20170724T160522.490200400.bin</t>
  </si>
  <si>
    <t>-598.038150213758 119.971402873339 -228.207071796366</t>
  </si>
  <si>
    <t>-637.159682181646 116.51649919271 -342.773090513821</t>
  </si>
  <si>
    <t>-656.809373283985 111.447898471705 -462.266835671172</t>
  </si>
  <si>
    <t>-666.432448232744 105.841705028958 -571.220145425653</t>
  </si>
  <si>
    <t>-667.980579234312 99.0758831235596 -680.521017596275</t>
  </si>
  <si>
    <t>-661.728737789882 88.2996934344856 -832.326078545695</t>
  </si>
  <si>
    <t>-627.150278756514 71.3217953549704 -926.661029860704</t>
  </si>
  <si>
    <t>-647.766451579712 120.077033864468 -766.385430117566</t>
  </si>
  <si>
    <t>-554.531647449906 232.433488406477 -748.739579239349</t>
  </si>
  <si>
    <t>-457.089287061448 161.858909459867 -455.976101107878</t>
  </si>
  <si>
    <t>-238.690151618259 85.9211034231639 -336.907280116091</t>
  </si>
  <si>
    <t>-681.223540620396 66.0585848200928 -763.928681000107</t>
  </si>
  <si>
    <t>-560.163406637553 208.767195831401 -243.661822955614</t>
  </si>
  <si>
    <t>-576.155718733502 195.64614802011 211.563152861347</t>
  </si>
  <si>
    <t>-627.549187032317 175.521159389275 678.273425550619</t>
  </si>
  <si>
    <t>-495.475152826754 99.0551259610831 765.754347842825</t>
  </si>
  <si>
    <t>-635.773849440615 31.1960672492867 -212.041758099175</t>
  </si>
  <si>
    <t>-479.978980344938 -106.562827855792 193.430964376316</t>
  </si>
  <si>
    <t>-498.186269037534 -22.058856445095 655.149917937669</t>
  </si>
  <si>
    <t>-489.707583721714 -171.603430542446 747.388973766163</t>
  </si>
  <si>
    <t>9763-20170724T160522.529835300.bin</t>
  </si>
  <si>
    <t>-598.044555560124 119.959126285368 -228.200317039986</t>
  </si>
  <si>
    <t>-637.139630082818 116.510282567879 -342.775472139713</t>
  </si>
  <si>
    <t>-656.771684327898 111.403464457886 -462.270611138019</t>
  </si>
  <si>
    <t>-666.383164114517 105.746912647882 -571.222241429251</t>
  </si>
  <si>
    <t>-667.924436611489 98.9161819919132 -680.519202882886</t>
  </si>
  <si>
    <t>-661.668080652574 88.0359987202789 -832.316751259183</t>
  </si>
  <si>
    <t>-627.125354029201 71.0366825130629 -926.660805254617</t>
  </si>
  <si>
    <t>-647.724795532765 119.869071723698 -766.3989142307</t>
  </si>
  <si>
    <t>-554.585544722916 232.290333202333 -748.736644823865</t>
  </si>
  <si>
    <t>-457.174530626829 161.574929099595 -455.996979551376</t>
  </si>
  <si>
    <t>-238.678782659688 85.5515894605167 -337.160246585947</t>
  </si>
  <si>
    <t>-681.147819076989 65.8312520245327 -763.903173689049</t>
  </si>
  <si>
    <t>-560.176836340905 208.730064449102 -243.660935954169</t>
  </si>
  <si>
    <t>-576.149167448031 195.539551879742 211.56277711407</t>
  </si>
  <si>
    <t>-627.552279092515 175.457983808429 678.24068949025</t>
  </si>
  <si>
    <t>-495.388639289311 99.1680250629761 765.73999027553</t>
  </si>
  <si>
    <t>-635.770409850654 31.208315056366 -212.05072996409</t>
  </si>
  <si>
    <t>-480.051266026733 -106.568057660726 193.445102917224</t>
  </si>
  <si>
    <t>-498.213312502947 -22.0531008652533 655.153517290991</t>
  </si>
  <si>
    <t>-489.771260061684 -171.591149440584 747.4065839728</t>
  </si>
  <si>
    <t>9763-20170724T160522.594006400.bin</t>
  </si>
  <si>
    <t>-597.918574043298 120.123737250616 -228.292065213657</t>
  </si>
  <si>
    <t>-636.985545462524 116.67939186264 -342.87686480075</t>
  </si>
  <si>
    <t>-656.522995697715 111.598186345438 -462.388641598073</t>
  </si>
  <si>
    <t>-666.021133674771 105.97446745056 -571.351876001857</t>
  </si>
  <si>
    <t>-667.421080079276 99.1868403904637 -680.653361819418</t>
  </si>
  <si>
    <t>-660.939464773825 88.377536784476 -832.446582992506</t>
  </si>
  <si>
    <t>-626.366684859389 71.5103668203053 -926.803343605712</t>
  </si>
  <si>
    <t>-647.144497630267 120.210602766801 -766.497538608053</t>
  </si>
  <si>
    <t>-554.208550209972 232.770517291422 -748.642780213052</t>
  </si>
  <si>
    <t>-456.715179732672 162.096668008723 -455.920202686652</t>
  </si>
  <si>
    <t>-238.169964029914 85.9001369031603 -337.285868064278</t>
  </si>
  <si>
    <t>-680.470312705367 66.1099714959232 -764.068050872982</t>
  </si>
  <si>
    <t>-560.104241237897 209.008253585752 -243.722496262998</t>
  </si>
  <si>
    <t>-576.082087851581 195.741658064847 211.498807271105</t>
  </si>
  <si>
    <t>-627.412839212354 175.528781750518 678.167988774275</t>
  </si>
  <si>
    <t>-495.476861603813 98.9634713117935 765.770281606708</t>
  </si>
  <si>
    <t>-635.596252167446 31.3075393484773 -212.174637853704</t>
  </si>
  <si>
    <t>-479.811135389963 -106.481938049377 193.29135237902</t>
  </si>
  <si>
    <t>-498.285918511223 -22.0912175176354 655.045189076029</t>
  </si>
  <si>
    <t>-489.840312715482 -171.5769173796 747.382724093011</t>
  </si>
  <si>
    <t>9763-20170724T160522.628180300.bin</t>
  </si>
  <si>
    <t>-597.856964551821 120.331256715762 -228.292808408532</t>
  </si>
  <si>
    <t>-636.899081382783 116.858084562642 -342.885347983465</t>
  </si>
  <si>
    <t>-656.390864093365 111.730469850992 -462.402474812828</t>
  </si>
  <si>
    <t>-665.839796434824 106.057095109151 -571.367560367458</t>
  </si>
  <si>
    <t>-667.182823532683 99.2120319436212 -680.666089691021</t>
  </si>
  <si>
    <t>-660.614584006182 88.3144787115993 -832.449309237894</t>
  </si>
  <si>
    <t>-626.040444284861 71.4772733031289 -926.811003026438</t>
  </si>
  <si>
    <t>-646.876762639654 120.197975137978 -766.51269472191</t>
  </si>
  <si>
    <t>-554.113074261268 232.891546529559 -748.603375216615</t>
  </si>
  <si>
    <t>-456.366845376945 162.205994541844 -455.968032167208</t>
  </si>
  <si>
    <t>-237.801242077586 85.8856928025748 -337.450637234894</t>
  </si>
  <si>
    <t>-680.164800599133 66.0747519406495 -764.067236675354</t>
  </si>
  <si>
    <t>-560.117505952552 209.243855525051 -243.722041809627</t>
  </si>
  <si>
    <t>-576.140305324614 195.913695763472 211.495786446038</t>
  </si>
  <si>
    <t>-627.430685017815 175.481433739718 678.176755455378</t>
  </si>
  <si>
    <t>-495.473869962154 98.9555564822811 765.782131180871</t>
  </si>
  <si>
    <t>-635.504719887321 31.4794420484209 -212.168409543371</t>
  </si>
  <si>
    <t>-479.621052811786 -106.321706758227 193.255812776283</t>
  </si>
  <si>
    <t>-498.3109628446 -22.0915903572504 655.016123632366</t>
  </si>
  <si>
    <t>-489.829203119021 -171.566101196463 747.368597558348</t>
  </si>
  <si>
    <t>9763-20170724T160522.661274100.bin</t>
  </si>
  <si>
    <t>-597.748912855197 120.601159509687 -228.29779695428</t>
  </si>
  <si>
    <t>-636.758701626941 117.082940005864 -342.900018758077</t>
  </si>
  <si>
    <t>-656.179199860777 111.989628318011 -462.430248348948</t>
  </si>
  <si>
    <t>-665.546761347342 106.377947026397 -571.405547971789</t>
  </si>
  <si>
    <t>-666.791070577922 99.6242024107173 -680.710977841171</t>
  </si>
  <si>
    <t>-660.067117001439 88.8836825208389 -832.49846252571</t>
  </si>
  <si>
    <t>-625.433860020463 72.1980411051238 -926.865433304634</t>
  </si>
  <si>
    <t>-646.41335774942 120.708991058776 -766.516315125796</t>
  </si>
  <si>
    <t>-553.71240508293 233.388876082244 -748.527495234659</t>
  </si>
  <si>
    <t>-455.850029298769 162.803224800498 -455.906835580093</t>
  </si>
  <si>
    <t>-237.288446119692 86.3837270075969 -337.446258623547</t>
  </si>
  <si>
    <t>-679.671041091605 66.5632073555801 -764.158115615934</t>
  </si>
  <si>
    <t>-560.055738502311 209.559973570286 -243.734910694714</t>
  </si>
  <si>
    <t>-576.144999686439 196.208766449166 211.47988901825</t>
  </si>
  <si>
    <t>-627.28340176812 175.648386014171 678.128091734864</t>
  </si>
  <si>
    <t>-495.464859400101 98.9464097522784 765.787604591331</t>
  </si>
  <si>
    <t>-635.306159047194 31.6790562681126 -212.192499981235</t>
  </si>
  <si>
    <t>-479.401859522018 -106.154843316519 193.212679556857</t>
  </si>
  <si>
    <t>-498.328505944346 -22.0822524635503 654.988132099004</t>
  </si>
  <si>
    <t>-489.825669641481 -171.550029235548 747.349265839385</t>
  </si>
  <si>
    <t>9763-20170724T160522.727960100.bin</t>
  </si>
  <si>
    <t>-597.385700242662 120.983728729972 -228.374503930522</t>
  </si>
  <si>
    <t>-636.356830800665 117.456553513783 -342.989648401267</t>
  </si>
  <si>
    <t>-655.671952033706 112.365652827329 -462.537058911083</t>
  </si>
  <si>
    <t>-664.916067335524 106.764863547191 -571.523291367891</t>
  </si>
  <si>
    <t>-666.0088766996 100.032421834597 -680.831847083486</t>
  </si>
  <si>
    <t>-659.044959002689 89.3344467323273 -832.61140559673</t>
  </si>
  <si>
    <t>-624.305336580647 72.7997403400425 -926.965739994643</t>
  </si>
  <si>
    <t>-645.570120315815 121.186675236872 -766.605458451884</t>
  </si>
  <si>
    <t>-553.286265594557 234.201918594835 -748.336931708953</t>
  </si>
  <si>
    <t>-455.194146216477 163.364829208407 -455.854149336065</t>
  </si>
  <si>
    <t>-236.560537656266 86.672730018335 -337.702828996039</t>
  </si>
  <si>
    <t>-678.682341660901 66.9493716104009 -764.301790171745</t>
  </si>
  <si>
    <t>-559.784641214492 209.969843241651 -243.740338495527</t>
  </si>
  <si>
    <t>-575.999164911471 196.436519448092 211.464712533704</t>
  </si>
  <si>
    <t>-627.277633560561 175.6547874753 678.156247933574</t>
  </si>
  <si>
    <t>-495.409004395666 99.0070595427294 765.787858718501</t>
  </si>
  <si>
    <t>-634.881012989864 31.9961175729975 -212.297079361837</t>
  </si>
  <si>
    <t>-479.044112155249 -105.926741232173 193.103707719787</t>
  </si>
  <si>
    <t>-498.392755794528 -22.0936946831969 654.910673636675</t>
  </si>
  <si>
    <t>-489.809857022332 -171.528810411451 747.317382747951</t>
  </si>
  <si>
    <t>9763-20170724T160522.794137500.bin</t>
  </si>
  <si>
    <t>-597.04816318606 121.091382756912 -228.348606601755</t>
  </si>
  <si>
    <t>-635.979357680711 117.570862372553 -342.977404931402</t>
  </si>
  <si>
    <t>-655.081747871894 112.546514900775 -462.561852987295</t>
  </si>
  <si>
    <t>-664.06136605048 107.029454153388 -571.574522091088</t>
  </si>
  <si>
    <t>-664.817486478708 100.403650832058 -680.892314222341</t>
  </si>
  <si>
    <t>-657.311005850349 89.8773071694131 -832.658122421305</t>
  </si>
  <si>
    <t>-622.363077901228 73.5444570956465 -926.970537035294</t>
  </si>
  <si>
    <t>-644.106849308994 121.675695053867 -766.571514980145</t>
  </si>
  <si>
    <t>-551.882555645385 234.726775746713 -747.989731214705</t>
  </si>
  <si>
    <t>-454.287894518136 163.605924191741 -455.409452642764</t>
  </si>
  <si>
    <t>-235.580090252172 86.6830798924073 -337.545760864546</t>
  </si>
  <si>
    <t>-677.15785100483 67.3941744255724 -764.441304046992</t>
  </si>
  <si>
    <t>-559.434733148857 209.970180348754 -243.646459043622</t>
  </si>
  <si>
    <t>-575.792126113685 196.380900111731 211.551754647015</t>
  </si>
  <si>
    <t>-627.403264218737 175.517455836938 678.218826779823</t>
  </si>
  <si>
    <t>-495.399126104754 99.0015352779772 765.761574183072</t>
  </si>
  <si>
    <t>-634.568180484561 32.1745061697115 -212.302041056232</t>
  </si>
  <si>
    <t>-478.9104938751 -105.799147867673 193.150294546101</t>
  </si>
  <si>
    <t>-498.428755507012 -22.0569856635859 654.94220687588</t>
  </si>
  <si>
    <t>-489.809881915585 -171.496107053357 747.338982590362</t>
  </si>
  <si>
    <t>9763-20170724T160522.826306100.bin</t>
  </si>
  <si>
    <t>-596.945506387816 121.080846540613 -228.296282954553</t>
  </si>
  <si>
    <t>-635.778173808267 117.524177837213 -342.95751489753</t>
  </si>
  <si>
    <t>-654.782500950909 112.494285789133 -462.557227917636</t>
  </si>
  <si>
    <t>-663.67410523243 106.987004093179 -571.577731876246</t>
  </si>
  <si>
    <t>-664.342489260907 100.387598704216 -680.897645811473</t>
  </si>
  <si>
    <t>-656.714328928448 89.9163677576053 -832.661109448551</t>
  </si>
  <si>
    <t>-621.713144791479 73.6299085361052 -926.961977910879</t>
  </si>
  <si>
    <t>-643.594136466366 121.709525027217 -766.555312490518</t>
  </si>
  <si>
    <t>-551.527457996441 234.82080195594 -747.789884478819</t>
  </si>
  <si>
    <t>-454.041039732556 163.47269798579 -455.228744110168</t>
  </si>
  <si>
    <t>-235.580452893728 86.2227889015667 -337.120806070234</t>
  </si>
  <si>
    <t>-676.584913523292 67.3896699883837 -764.465734642328</t>
  </si>
  <si>
    <t>-559.323270309694 209.862269232599 -243.565552653699</t>
  </si>
  <si>
    <t>-575.773993606868 196.238024043384 211.628345301735</t>
  </si>
  <si>
    <t>-627.556208078447 175.392721359991 678.30150220577</t>
  </si>
  <si>
    <t>-495.390002884054 99.0363230580174 765.738941400849</t>
  </si>
  <si>
    <t>-634.497993909485 32.2504728137292 -212.291625232852</t>
  </si>
  <si>
    <t>-478.988838966117 -105.726948383694 193.216453217378</t>
  </si>
  <si>
    <t>-498.458368192883 -22.0124262377647 655.032628970829</t>
  </si>
  <si>
    <t>-489.795341345821 -171.47823661961 747.38221437538</t>
  </si>
  <si>
    <t>9763-20170724T160522.891477200.bin</t>
  </si>
  <si>
    <t>-596.891084572418 120.975043059949 -228.052461185006</t>
  </si>
  <si>
    <t>-635.592705418229 117.388540042686 -342.757008413034</t>
  </si>
  <si>
    <t>-654.50798364842 112.420734507444 -462.373566807504</t>
  </si>
  <si>
    <t>-663.336169581424 107.007844544212 -571.403844860673</t>
  </si>
  <si>
    <t>-663.958061853343 100.541096766646 -680.732042870514</t>
  </si>
  <si>
    <t>-656.281947163726 90.2946718020048 -832.508412676134</t>
  </si>
  <si>
    <t>-621.270046502152 74.1401129757355 -926.82802604374</t>
  </si>
  <si>
    <t>-643.228735067823 122.017671365295 -766.355676966911</t>
  </si>
  <si>
    <t>-551.28488608967 235.209399366126 -747.309225752937</t>
  </si>
  <si>
    <t>-454.241684644873 163.157687135934 -454.773213348354</t>
  </si>
  <si>
    <t>-236.044792435712 85.5020038914454 -336.444312047447</t>
  </si>
  <si>
    <t>-676.127982118376 67.6392022882185 -764.348506070929</t>
  </si>
  <si>
    <t>-559.246127557393 209.816183204471 -243.246519789998</t>
  </si>
  <si>
    <t>-576.015822675142 196.176497936234 211.935197613017</t>
  </si>
  <si>
    <t>-628.026160043083 175.072357062264 678.608295857894</t>
  </si>
  <si>
    <t>-495.39907411115 99.086366560939 765.669756522658</t>
  </si>
  <si>
    <t>-634.421678559051 32.1977773908143 -212.141439741164</t>
  </si>
  <si>
    <t>-479.378109766389 -105.719859483879 193.565208439022</t>
  </si>
  <si>
    <t>-498.580262917872 -21.8592657182282 655.365863856914</t>
  </si>
  <si>
    <t>-489.803140428156 -171.432391061159 747.530745624711</t>
  </si>
  <si>
    <t>9763-20170724T160522.927579900.bin</t>
  </si>
  <si>
    <t>-596.93021128577 120.955659784913 -227.922086232951</t>
  </si>
  <si>
    <t>-635.559552264748 117.307078688898 -342.649025338641</t>
  </si>
  <si>
    <t>-654.409139947935 112.285220967786 -462.273646097761</t>
  </si>
  <si>
    <t>-663.180882218305 106.827586063516 -571.306270283588</t>
  </si>
  <si>
    <t>-663.749788034872 100.320022097812 -680.632268829341</t>
  </si>
  <si>
    <t>-656.00391635597 90.0209365883968 -832.401604419345</t>
  </si>
  <si>
    <t>-621.003416898128 73.8787539099126 -926.72747494997</t>
  </si>
  <si>
    <t>-643.022899059911 121.792005237827 -766.257782734662</t>
  </si>
  <si>
    <t>-551.222703785591 235.073080481445 -747.160231509739</t>
  </si>
  <si>
    <t>-454.193303612412 162.852109954385 -454.661390842442</t>
  </si>
  <si>
    <t>-236.532634057843 84.6226430108543 -335.724272008347</t>
  </si>
  <si>
    <t>-675.839471315258 67.3640137170739 -764.239096183676</t>
  </si>
  <si>
    <t>-559.378426341697 209.79751374962 -243.070204285721</t>
  </si>
  <si>
    <t>-576.296076657633 196.256335646377 212.109024471592</t>
  </si>
  <si>
    <t>-628.262865306864 174.917160228239 678.768332279739</t>
  </si>
  <si>
    <t>-495.256476749259 99.3495746674423 765.615068514903</t>
  </si>
  <si>
    <t>-634.423624373502 32.1342838636569 -212.03156922569</t>
  </si>
  <si>
    <t>-479.660240791246 -105.806775006607 193.774083533616</t>
  </si>
  <si>
    <t>-498.678235871679 -21.7822744144505 655.568869205626</t>
  </si>
  <si>
    <t>-489.747462832351 -171.414242175042 747.623444544105</t>
  </si>
  <si>
    <t>9763-20170724T160522.991749600.bin</t>
  </si>
  <si>
    <t>-596.679888080536 121.293412538614 -227.505762955868</t>
  </si>
  <si>
    <t>-635.156374844313 117.595631411941 -342.282476748279</t>
  </si>
  <si>
    <t>-653.715743479828 112.527942729852 -461.950574732224</t>
  </si>
  <si>
    <t>-662.169350525367 107.03581595045 -571.006668893746</t>
  </si>
  <si>
    <t>-662.364569293496 100.50433475207 -680.332434278259</t>
  </si>
  <si>
    <t>-654.042271123315 90.1860350231323 -832.070004309214</t>
  </si>
  <si>
    <t>-618.847495946213 74.155189518737 -926.342580185356</t>
  </si>
  <si>
    <t>-641.40693361908 122.021648794319 -765.890265723551</t>
  </si>
  <si>
    <t>-549.80229654999 235.415973044077 -746.594011282114</t>
  </si>
  <si>
    <t>-452.74457043388 163.420914788207 -454.048893149742</t>
  </si>
  <si>
    <t>-235.451980679709 84.6778687603285 -334.777867670294</t>
  </si>
  <si>
    <t>-674.042401459683 67.4813861056002 -763.971445376055</t>
  </si>
  <si>
    <t>-559.114388604607 210.274479008819 -242.664723038814</t>
  </si>
  <si>
    <t>-576.656158911878 196.928445807926 212.49660628892</t>
  </si>
  <si>
    <t>-628.474632789531 175.007311429835 679.076479354349</t>
  </si>
  <si>
    <t>-495.35019694709 99.2537198385739 765.579616171246</t>
  </si>
  <si>
    <t>-634.044632017041 32.4146762268629 -211.644793894908</t>
  </si>
  <si>
    <t>-479.508188146928 -106.116675701968 194.046172886514</t>
  </si>
  <si>
    <t>-498.683768847017 -21.7114743847453 655.778661743609</t>
  </si>
  <si>
    <t>-489.831011020379 -171.400831416767 747.747366247672</t>
  </si>
  <si>
    <t>9763-20170724T160523.026615700.bin</t>
  </si>
  <si>
    <t>-596.555762074483 121.452382313195 -227.372311975298</t>
  </si>
  <si>
    <t>-634.991555225728 117.743452924051 -342.162210393869</t>
  </si>
  <si>
    <t>-653.466044924031 112.679119137118 -461.843497194847</t>
  </si>
  <si>
    <t>-661.824415272479 107.198852553732 -570.907485036735</t>
  </si>
  <si>
    <t>-661.905799402261 100.689661942891 -680.234839900269</t>
  </si>
  <si>
    <t>-653.405965579346 90.4145940659942 -831.965495837422</t>
  </si>
  <si>
    <t>-618.09957888207 74.3670626612375 -926.193547161621</t>
  </si>
  <si>
    <t>-640.8839697261 122.252873089094 -765.765367421764</t>
  </si>
  <si>
    <t>-549.40541822806 235.755567941633 -746.353602144476</t>
  </si>
  <si>
    <t>-452.449670404088 163.678492363376 -453.794732276382</t>
  </si>
  <si>
    <t>-235.63727920589 84.550837619506 -333.905937150316</t>
  </si>
  <si>
    <t>-673.449718432607 67.6691942043408 -763.89337473962</t>
  </si>
  <si>
    <t>-559.018796630643 210.410604957095 -242.51713268087</t>
  </si>
  <si>
    <t>-576.80492962254 197.23907733868 212.639739265634</t>
  </si>
  <si>
    <t>-628.536726826297 175.060878477763 679.190946952932</t>
  </si>
  <si>
    <t>-495.395289514852 99.2143886831957 765.586445499892</t>
  </si>
  <si>
    <t>-633.937567398145 32.5663441930515 -211.485826809245</t>
  </si>
  <si>
    <t>-479.322848263521 -106.013636379903 194.158812578153</t>
  </si>
  <si>
    <t>-498.680232454935 -21.6814876180633 655.870434721296</t>
  </si>
  <si>
    <t>-489.802228960139 -171.390440480137 747.804761458074</t>
  </si>
  <si>
    <t>9763-20170724T160523.094803100.bin</t>
  </si>
  <si>
    <t>-596.535204562175 121.551655740725 -227.320594448745</t>
  </si>
  <si>
    <t>-634.876008077272 117.839498783625 -342.142323639785</t>
  </si>
  <si>
    <t>-653.22866565052 112.8624250211 -461.845881317554</t>
  </si>
  <si>
    <t>-661.465323512206 107.49633233479 -570.92497328861</t>
  </si>
  <si>
    <t>-661.413438834829 101.135152675049 -680.260964711915</t>
  </si>
  <si>
    <t>-652.716173046766 91.100046535392 -831.996435631353</t>
  </si>
  <si>
    <t>-617.073046664716 74.1781026243013 -925.94427586939</t>
  </si>
  <si>
    <t>-640.321634188368 122.857922520685 -765.733809584891</t>
  </si>
  <si>
    <t>-549.031026562294 236.46790836834 -746.065303474917</t>
  </si>
  <si>
    <t>-452.475476337127 163.593557568893 -453.571708840158</t>
  </si>
  <si>
    <t>-235.781016428267 84.3732444023192 -333.531257508041</t>
  </si>
  <si>
    <t>-672.807248514478 68.2226234404666 -763.982483463734</t>
  </si>
  <si>
    <t>-559.144205583043 210.474684854929 -242.456950858784</t>
  </si>
  <si>
    <t>-576.887794650197 197.178663716134 212.69805258657</t>
  </si>
  <si>
    <t>-628.531610945842 175.041325757172 679.217804645858</t>
  </si>
  <si>
    <t>-495.319493599324 99.3140141137897 765.608850914246</t>
  </si>
  <si>
    <t>-633.76607036416 32.69337459025 -211.533468588576</t>
  </si>
  <si>
    <t>-479.176919252506 -105.67909790367 194.191731112642</t>
  </si>
  <si>
    <t>-498.717199849115 -21.6255462836004 655.978338401501</t>
  </si>
  <si>
    <t>-489.691585206357 -171.36634226335 747.846548750933</t>
  </si>
  <si>
    <t>9763-20170724T160523.126413100.bin</t>
  </si>
  <si>
    <t>-596.486116022305 121.458697621962 -227.377648827683</t>
  </si>
  <si>
    <t>-634.784905679711 117.737448635467 -342.213025518184</t>
  </si>
  <si>
    <t>-653.175445014302 112.834996274899 -461.914026657391</t>
  </si>
  <si>
    <t>-661.478167507599 107.572041976885 -570.992961458586</t>
  </si>
  <si>
    <t>-661.523615997451 101.349879356326 -680.337009488882</t>
  </si>
  <si>
    <t>-652.992682261254 91.5462235374046 -832.097121342357</t>
  </si>
  <si>
    <t>-617.059335632686 73.6032255016924 -925.744516861793</t>
  </si>
  <si>
    <t>-640.584000665093 123.237645465649 -765.805265521511</t>
  </si>
  <si>
    <t>-549.49064382474 236.978372172132 -745.991572870918</t>
  </si>
  <si>
    <t>-452.756597344624 163.371070866718 -453.740581390647</t>
  </si>
  <si>
    <t>-236.17233026821 84.0720816941357 -333.553117573228</t>
  </si>
  <si>
    <t>-672.950617684986 68.5305452759878 -764.09079972452</t>
  </si>
  <si>
    <t>-559.238378148135 210.401301721766 -242.430731451271</t>
  </si>
  <si>
    <t>-576.970122432326 197.055526821222 212.723301080291</t>
  </si>
  <si>
    <t>-628.62813239063 174.951122046951 679.279735475508</t>
  </si>
  <si>
    <t>-495.258434744324 99.4346445471399 765.612193466069</t>
  </si>
  <si>
    <t>-633.638857750211 32.5233038193451 -211.656737246376</t>
  </si>
  <si>
    <t>-479.235022411727 -105.560270003973 194.237411551415</t>
  </si>
  <si>
    <t>-498.789524383541 -21.6435699921774 655.993783349345</t>
  </si>
  <si>
    <t>-489.636080452517 -171.358415143302 747.891409687027</t>
  </si>
  <si>
    <t>9763-20170724T160523.195603700.bin</t>
  </si>
  <si>
    <t>-596.395542654197 121.218685976497 -227.398718707313</t>
  </si>
  <si>
    <t>-634.625435535823 117.426497318185 -342.254747647524</t>
  </si>
  <si>
    <t>-653.204015404297 112.906268997507 -461.941648116511</t>
  </si>
  <si>
    <t>-661.776842581989 108.171195871344 -571.023909353367</t>
  </si>
  <si>
    <t>-662.187728741508 102.657929424925 -680.405238355826</t>
  </si>
  <si>
    <t>-654.259023884083 94.0260692271072 -832.269191709067</t>
  </si>
  <si>
    <t>-617.6570057806 73.3318451669356 -925.086308650306</t>
  </si>
  <si>
    <t>-641.684668201468 125.262226432332 -765.792893356179</t>
  </si>
  <si>
    <t>-550.870629731878 239.112682905251 -745.393591587484</t>
  </si>
  <si>
    <t>-453.041790405483 163.705675385646 -453.967018877601</t>
  </si>
  <si>
    <t>-236.734551231148 83.9446326994362 -333.586686382386</t>
  </si>
  <si>
    <t>-673.849869427574 70.4284848446164 -764.355448820572</t>
  </si>
  <si>
    <t>-559.515702544301 210.37512561357 -242.32662799345</t>
  </si>
  <si>
    <t>-577.253514168095 197.034733751853 212.827301862404</t>
  </si>
  <si>
    <t>-628.79904484854 174.933288119434 679.457784565273</t>
  </si>
  <si>
    <t>-495.219727744779 99.5475390607855 765.580190412116</t>
  </si>
  <si>
    <t>-633.153322533587 32.1029915456322 -211.842559879445</t>
  </si>
  <si>
    <t>-479.145808234994 -105.631960144364 194.320471482264</t>
  </si>
  <si>
    <t>-498.888001991278 -21.6794355238692 656.118142946459</t>
  </si>
  <si>
    <t>-489.629810921025 -171.358751706392 748.06303899403</t>
  </si>
  <si>
    <t>9763-20170724T160523.228190900.bin</t>
  </si>
  <si>
    <t>-596.410309449586 121.111597446639 -227.295094448388</t>
  </si>
  <si>
    <t>-634.625222608166 117.244826286984 -342.153552619202</t>
  </si>
  <si>
    <t>-653.286085203421 112.871434799642 -461.833342942639</t>
  </si>
  <si>
    <t>-661.970179953584 108.357646353389 -570.916018631511</t>
  </si>
  <si>
    <t>-662.527218545447 103.152809951745 -680.311866098292</t>
  </si>
  <si>
    <t>-654.835563204149 95.0392683717357 -832.216477459027</t>
  </si>
  <si>
    <t>-617.903070221476 72.9550620123505 -924.581376160112</t>
  </si>
  <si>
    <t>-642.195098665552 126.070377370387 -765.656721688281</t>
  </si>
  <si>
    <t>-551.669074207564 240.082613202915 -744.89966801179</t>
  </si>
  <si>
    <t>-453.305354895442 163.893291607536 -453.856947066761</t>
  </si>
  <si>
    <t>-236.939142880156 84.0154974768241 -333.660074256132</t>
  </si>
  <si>
    <t>-674.282737589622 71.1880550176313 -764.350069074263</t>
  </si>
  <si>
    <t>-559.712066676819 210.300446675262 -242.239503162271</t>
  </si>
  <si>
    <t>-577.38405100569 196.986422725163 212.917714064949</t>
  </si>
  <si>
    <t>-628.907905066616 174.829322116835 679.498337175106</t>
  </si>
  <si>
    <t>-495.173893101295 99.6535854974838 765.564218117618</t>
  </si>
  <si>
    <t>-632.983781442092 31.9432718994412 -211.698028656338</t>
  </si>
  <si>
    <t>-478.917402162691 -105.762237165437 194.452758017786</t>
  </si>
  <si>
    <t>-498.907765142089 -21.6534959612522 656.216724110024</t>
  </si>
  <si>
    <t>-489.545822838805 -171.349728225239 748.123880159335</t>
  </si>
  <si>
    <t>9763-20170724T160523.293364400.bin</t>
  </si>
  <si>
    <t>-596.302511752736 120.973385925667 -227.114842275475</t>
  </si>
  <si>
    <t>-634.737633475174 117.051228856859 -341.897970442297</t>
  </si>
  <si>
    <t>-653.580118878449 112.890602999569 -461.556692964158</t>
  </si>
  <si>
    <t>-662.406050828698 108.677279714854 -570.64015917209</t>
  </si>
  <si>
    <t>-663.078932629394 103.880190038645 -680.05388654071</t>
  </si>
  <si>
    <t>-655.518334961762 96.4441009848933 -831.999780010346</t>
  </si>
  <si>
    <t>-618.202036259768 72.4268250391046 -923.725736061137</t>
  </si>
  <si>
    <t>-642.886622112459 127.216625187045 -765.318433337967</t>
  </si>
  <si>
    <t>-552.746526008651 241.422454239536 -743.993030697858</t>
  </si>
  <si>
    <t>-454.223042941496 164.319277511213 -453.24502284868</t>
  </si>
  <si>
    <t>-237.704635356308 84.2029973941187 -333.482000179469</t>
  </si>
  <si>
    <t>-674.840706596702 72.2520583639314 -764.218482213573</t>
  </si>
  <si>
    <t>-559.886763620789 210.279002552263 -242.125416990402</t>
  </si>
  <si>
    <t>-577.31874431129 196.935076814975 213.040271796386</t>
  </si>
  <si>
    <t>-628.925397472533 174.857687472409 679.567677749463</t>
  </si>
  <si>
    <t>-495.140904709961 99.7218107521928 765.589907238663</t>
  </si>
  <si>
    <t>-632.602990120582 31.6785433123757 -211.431124953512</t>
  </si>
  <si>
    <t>-478.010759493634 -105.853331431643 194.578593740715</t>
  </si>
  <si>
    <t>-498.831989579525 -21.5910655789814 656.314199348602</t>
  </si>
  <si>
    <t>-489.441259702284 -171.331466750375 748.146145064486</t>
  </si>
  <si>
    <t>9763-20170724T160523.325065400.bin</t>
  </si>
  <si>
    <t>-596.328076840552 120.931199557894 -227.103388975237</t>
  </si>
  <si>
    <t>-634.846512777844 117.01168966308 -341.858745603821</t>
  </si>
  <si>
    <t>-653.739228508749 112.850002171263 -461.509455797585</t>
  </si>
  <si>
    <t>-662.596145046717 108.632627736557 -570.590152074648</t>
  </si>
  <si>
    <t>-663.285602087675 103.827114783405 -680.003583357152</t>
  </si>
  <si>
    <t>-655.732807638259 96.3741654030102 -831.94903692755</t>
  </si>
  <si>
    <t>-618.282792936025 71.6454066150363 -923.431129728306</t>
  </si>
  <si>
    <t>-643.094079162972 127.152086924496 -765.271488231455</t>
  </si>
  <si>
    <t>-552.977290807295 241.391064503958 -743.934595360588</t>
  </si>
  <si>
    <t>-454.650067694336 164.445591257158 -453.078381614207</t>
  </si>
  <si>
    <t>-238.09192546674 84.2849289678834 -333.416952085914</t>
  </si>
  <si>
    <t>-675.055293317283 72.1916368190984 -764.16430196966</t>
  </si>
  <si>
    <t>-559.974257073349 210.250487000961 -242.138219171826</t>
  </si>
  <si>
    <t>-577.234098740431 196.81960929421 213.03145802497</t>
  </si>
  <si>
    <t>-628.918753946787 174.794246057818 679.536211620889</t>
  </si>
  <si>
    <t>-495.089691149848 99.7867694197266 765.601157392092</t>
  </si>
  <si>
    <t>-632.595460507239 31.6365025281391 -211.358458136539</t>
  </si>
  <si>
    <t>-477.75330277384 -105.843456039187 194.573510644073</t>
  </si>
  <si>
    <t>-498.814448128103 -21.588137574239 656.291797226754</t>
  </si>
  <si>
    <t>-489.430728572806 -171.329742621278 748.122688569819</t>
  </si>
  <si>
    <t>9763-20170724T160523.392244300.bin</t>
  </si>
  <si>
    <t>-596.338619638836 120.951614486453 -227.174994935157</t>
  </si>
  <si>
    <t>-634.910955615067 117.080416594947 -341.913886195862</t>
  </si>
  <si>
    <t>-653.868833952328 112.809786941266 -461.550496341214</t>
  </si>
  <si>
    <t>-662.791562533614 108.426415830838 -570.619342485143</t>
  </si>
  <si>
    <t>-663.555013624212 103.385759614682 -680.021637699685</t>
  </si>
  <si>
    <t>-656.115155417861 95.5321707992925 -831.95250923724</t>
  </si>
  <si>
    <t>-618.564424561755 69.7156130277222 -923.092062006405</t>
  </si>
  <si>
    <t>-643.364200194707 126.449421116488 -765.360723649203</t>
  </si>
  <si>
    <t>-553.046839291409 240.566826477798 -744.394659273381</t>
  </si>
  <si>
    <t>-454.940763184261 164.564423946914 -453.216031815883</t>
  </si>
  <si>
    <t>-238.916075532895 84.0488113195483 -332.830619973369</t>
  </si>
  <si>
    <t>-675.449819470819 71.5649801609907 -764.094776212851</t>
  </si>
  <si>
    <t>-559.958482086788 210.254531919423 -242.226717387617</t>
  </si>
  <si>
    <t>-576.98285453641 196.687327945236 212.947773358157</t>
  </si>
  <si>
    <t>-628.777794334298 174.866009723739 679.44284670097</t>
  </si>
  <si>
    <t>-495.12410556931 99.7094070709982 765.650090300923</t>
  </si>
  <si>
    <t>-632.542019686738 31.6679616520014 -211.429514926889</t>
  </si>
  <si>
    <t>-477.731626503035 -105.823538485316 194.510748776487</t>
  </si>
  <si>
    <t>-498.828158598709 -21.5917175622965 656.225141153603</t>
  </si>
  <si>
    <t>-489.531089485042 -171.326568246434 748.075744934423</t>
  </si>
  <si>
    <t>9763-20170724T160523.426843100.bin</t>
  </si>
  <si>
    <t>-596.441111161364 120.957137800536 -227.244001890854</t>
  </si>
  <si>
    <t>-635.030356706086 117.116245745064 -341.978154875283</t>
  </si>
  <si>
    <t>-653.98143771712 112.772187231324 -461.613332156752</t>
  </si>
  <si>
    <t>-662.889842911757 108.279111991427 -570.678778863901</t>
  </si>
  <si>
    <t>-663.631859335861 103.084951466785 -680.074043701753</t>
  </si>
  <si>
    <t>-656.156001080684 94.9718837144549 -831.989453318439</t>
  </si>
  <si>
    <t>-618.615055516074 68.7430590590143 -923.01535674181</t>
  </si>
  <si>
    <t>-643.377492760577 125.977462193469 -765.444038919462</t>
  </si>
  <si>
    <t>-552.924578482722 240.032028141372 -744.668725144791</t>
  </si>
  <si>
    <t>-454.900605995872 164.553303678148 -453.32614913106</t>
  </si>
  <si>
    <t>-238.826573281937 84.0897366533413 -332.994559437437</t>
  </si>
  <si>
    <t>-675.55020648651 71.1458340415347 -764.099118971755</t>
  </si>
  <si>
    <t>-559.975475804499 210.215517537688 -242.301656563366</t>
  </si>
  <si>
    <t>-576.91344614359 196.630392086643 212.875567461709</t>
  </si>
  <si>
    <t>-628.741510042499 174.825242027193 679.381620941625</t>
  </si>
  <si>
    <t>-495.083633162511 99.764642682479 765.665962207399</t>
  </si>
  <si>
    <t>-632.78068788302 31.7017917219243 -211.501296707333</t>
  </si>
  <si>
    <t>-477.994385576217 -105.798378572916 194.445213147922</t>
  </si>
  <si>
    <t>-498.84627290217 -21.6070603809485 656.179292189863</t>
  </si>
  <si>
    <t>-489.639788381841 -171.329607793009 748.059121455927</t>
  </si>
  <si>
    <t>9763-20170724T160523.494025600.bin</t>
  </si>
  <si>
    <t>-596.729175097371 121.144242877614 -227.388725605552</t>
  </si>
  <si>
    <t>-635.340079222836 117.397139894586 -342.118729959765</t>
  </si>
  <si>
    <t>-654.317460440383 112.940973736689 -461.745486386713</t>
  </si>
  <si>
    <t>-663.254676565668 108.262502011354 -570.801001909593</t>
  </si>
  <si>
    <t>-664.032526503349 102.799045386337 -680.182820190439</t>
  </si>
  <si>
    <t>-656.61558533445 94.2245341615421 -832.075864839166</t>
  </si>
  <si>
    <t>-619.240741329505 67.3531076547163 -922.98253200633</t>
  </si>
  <si>
    <t>-643.702755465441 125.368394805058 -765.620992023029</t>
  </si>
  <si>
    <t>-552.819475123497 239.197882302814 -745.296784352241</t>
  </si>
  <si>
    <t>-455.235863269763 164.42757114736 -453.624026588198</t>
  </si>
  <si>
    <t>-239.398473672774 83.9107917210783 -332.904107372694</t>
  </si>
  <si>
    <t>-676.091900816512 70.6686398576992 -764.114725944504</t>
  </si>
  <si>
    <t>-559.926837101495 210.406507606446 -242.501064840258</t>
  </si>
  <si>
    <t>-576.903865413109 196.949197204986 212.678496788674</t>
  </si>
  <si>
    <t>-628.412284404426 175.08918244551 679.172857188931</t>
  </si>
  <si>
    <t>-495.272911694991 99.4105761523156 765.718655729785</t>
  </si>
  <si>
    <t>-633.428147830888 31.948234644675 -211.579501646709</t>
  </si>
  <si>
    <t>-478.602618034408 -105.794519316904 194.269782599907</t>
  </si>
  <si>
    <t>-498.860589345427 -21.6468359422408 656.048731436198</t>
  </si>
  <si>
    <t>-489.898932715558 -171.333771191026 748.010803458203</t>
  </si>
  <si>
    <t>9763-20170724T160523.528651200.bin</t>
  </si>
  <si>
    <t>-596.903293258026 121.23413368173 -227.45783916075</t>
  </si>
  <si>
    <t>-635.518896493182 117.523460661338 -342.187407931171</t>
  </si>
  <si>
    <t>-654.503706834073 112.92451696694 -461.807486903668</t>
  </si>
  <si>
    <t>-663.45180140145 108.04421862152 -570.853296752043</t>
  </si>
  <si>
    <t>-664.246162829634 102.306977505411 -680.221012252152</t>
  </si>
  <si>
    <t>-656.859576616477 93.2775469914782 -832.089061618339</t>
  </si>
  <si>
    <t>-619.635644530525 66.0964767238295 -922.965668918271</t>
  </si>
  <si>
    <t>-643.877280504716 124.587078941929 -765.72582079478</t>
  </si>
  <si>
    <t>-552.889243119207 238.348533982923 -745.66141501775</t>
  </si>
  <si>
    <t>-455.282434706259 164.167523489191 -453.845995870862</t>
  </si>
  <si>
    <t>-239.46763609366 83.6555711289225 -333.082275160593</t>
  </si>
  <si>
    <t>-676.37857313502 69.9584650547035 -764.05853721595</t>
  </si>
  <si>
    <t>-559.932649804373 210.424855491399 -242.632532207062</t>
  </si>
  <si>
    <t>-576.928123707267 197.032217649701 212.548172236391</t>
  </si>
  <si>
    <t>-628.295556108624 175.085481367519 679.055263195582</t>
  </si>
  <si>
    <t>-495.22126102748 99.4556853339936 765.743635653245</t>
  </si>
  <si>
    <t>-633.75022088772 32.0708772908363 -211.636241969918</t>
  </si>
  <si>
    <t>-478.876706960288 -105.820584681177 194.144252991806</t>
  </si>
  <si>
    <t>-498.854526955939 -21.6758760263626 655.940105486225</t>
  </si>
  <si>
    <t>-490.022206039884 -171.337862240623 747.95528094679</t>
  </si>
  <si>
    <t>9763-20170724T160523.593826900.bin</t>
  </si>
  <si>
    <t>-597.279640068648 121.507331243747 -227.622228376339</t>
  </si>
  <si>
    <t>-636.026989491029 117.893685210123 -342.310403189789</t>
  </si>
  <si>
    <t>-655.038159149991 113.118655898729 -461.919519949529</t>
  </si>
  <si>
    <t>-663.969526776461 107.970071656119 -570.954233219379</t>
  </si>
  <si>
    <t>-664.708579400603 101.857303855438 -680.302129251988</t>
  </si>
  <si>
    <t>-657.207454310049 92.1957645878085 -832.125638627184</t>
  </si>
  <si>
    <t>-620.094816430212 64.6831130371449 -922.947987720074</t>
  </si>
  <si>
    <t>-644.197012011012 123.73501335535 -765.876630796489</t>
  </si>
  <si>
    <t>-552.886651527865 237.325097981883 -746.265509849973</t>
  </si>
  <si>
    <t>-455.458846234701 164.410821054712 -454.071073102204</t>
  </si>
  <si>
    <t>-239.621184284788 84.0115097938983 -333.273269314397</t>
  </si>
  <si>
    <t>-676.855846945848 69.2064741498712 -764.020203437745</t>
  </si>
  <si>
    <t>-559.974088396092 210.632973588909 -242.817664973457</t>
  </si>
  <si>
    <t>-576.877076220164 197.228491981142 212.36608378641</t>
  </si>
  <si>
    <t>-628.159137031492 175.188545318994 678.964156445112</t>
  </si>
  <si>
    <t>-495.33987027796 99.2524211743116 765.775749565963</t>
  </si>
  <si>
    <t>-634.502628740781 32.4339407967525 -211.69468865544</t>
  </si>
  <si>
    <t>-479.416523959632 -105.700153058654 193.922044455403</t>
  </si>
  <si>
    <t>-498.91634202635 -21.7419773269312 655.748236555826</t>
  </si>
  <si>
    <t>-490.199597827603 -171.335716819824 747.885292946423</t>
  </si>
  <si>
    <t>9763-20170724T160523.628924600.bin</t>
  </si>
  <si>
    <t>-597.477130673168 121.618223155789 -227.687677941921</t>
  </si>
  <si>
    <t>-636.206013141014 117.992487247381 -342.381823229332</t>
  </si>
  <si>
    <t>-655.200555113336 113.112737703595 -461.989331093234</t>
  </si>
  <si>
    <t>-664.119240432845 107.832831390191 -571.018838029684</t>
  </si>
  <si>
    <t>-664.848939380218 101.552752146162 -680.357111765871</t>
  </si>
  <si>
    <t>-657.339117988763 91.6218747844473 -832.162864845362</t>
  </si>
  <si>
    <t>-620.23138698732 64.02745626604 -922.962397751826</t>
  </si>
  <si>
    <t>-644.313698453345 123.267210223747 -765.967553165929</t>
  </si>
  <si>
    <t>-552.982642872237 236.857092388437 -746.542499233002</t>
  </si>
  <si>
    <t>-455.405435269949 164.45902818827 -454.269728291642</t>
  </si>
  <si>
    <t>-239.563378635634 84.2070400051414 -333.381717235116</t>
  </si>
  <si>
    <t>-677.010340436056 68.7646596267653 -764.019658573399</t>
  </si>
  <si>
    <t>-560.102961695303 210.698502338217 -242.891369108944</t>
  </si>
  <si>
    <t>-576.944278312267 197.273627263528 212.294143628055</t>
  </si>
  <si>
    <t>-628.131859927223 175.1786028575 678.903920899528</t>
  </si>
  <si>
    <t>-495.341913350005 99.2418114422251 765.759828914251</t>
  </si>
  <si>
    <t>-634.734363331392 32.5727290567932 -211.758706303976</t>
  </si>
  <si>
    <t>-479.654026274537 -105.609850160937 193.843772791764</t>
  </si>
  <si>
    <t>-498.952516571292 -21.7531685159017 655.70323803679</t>
  </si>
  <si>
    <t>-490.225296709923 -171.32673037327 747.872111624866</t>
  </si>
  <si>
    <t>9763-20170724T160523.689085100.bin</t>
  </si>
  <si>
    <t>-597.744934462066 121.833420970831 -227.824143090531</t>
  </si>
  <si>
    <t>-636.459160245658 118.151009430481 -342.521387829273</t>
  </si>
  <si>
    <t>-655.437394102043 113.039891334354 -462.121740242674</t>
  </si>
  <si>
    <t>-664.343674868081 107.476789153557 -571.138169406494</t>
  </si>
  <si>
    <t>-665.06577838008 100.837240567522 -680.455348446973</t>
  </si>
  <si>
    <t>-657.552437847839 90.3258234962666 -832.221882920167</t>
  </si>
  <si>
    <t>-620.664290519429 62.9755710635261 -923.184526045053</t>
  </si>
  <si>
    <t>-644.514210415437 122.215623622122 -766.146370818217</t>
  </si>
  <si>
    <t>-553.186997988826 235.895633046624 -747.10471019824</t>
  </si>
  <si>
    <t>-455.538365343074 164.6001903589 -454.584734304744</t>
  </si>
  <si>
    <t>-239.577692438719 84.5966565845652 -333.74407638726</t>
  </si>
  <si>
    <t>-677.23950386874 67.7379776757139 -763.993429608529</t>
  </si>
  <si>
    <t>-560.430876461285 210.966441820008 -243.079009454591</t>
  </si>
  <si>
    <t>-577.131818568574 197.423708529008 212.108018681785</t>
  </si>
  <si>
    <t>-627.920946581727 175.231846802985 678.661572159494</t>
  </si>
  <si>
    <t>-495.170479467979 99.4848780211944 765.74328291391</t>
  </si>
  <si>
    <t>-634.903833438528 32.7318934228799 -211.909518781526</t>
  </si>
  <si>
    <t>-479.716430164186 -105.270625006706 193.713352774734</t>
  </si>
  <si>
    <t>-499.01487715226 -21.7520959820238 655.639199244285</t>
  </si>
  <si>
    <t>-490.191558036051 -171.300805567341 747.839166543707</t>
  </si>
  <si>
    <t>9763-20170724T160523.726724800.bin</t>
  </si>
  <si>
    <t>-597.835212647696 122.002085504145 -227.896826360611</t>
  </si>
  <si>
    <t>-636.58000688194 118.286118152748 -342.582775841305</t>
  </si>
  <si>
    <t>-655.522178879135 113.048049877005 -462.183366291198</t>
  </si>
  <si>
    <t>-664.369706429077 107.330621378346 -571.196614818226</t>
  </si>
  <si>
    <t>-665.007910865553 100.496435453165 -680.502321661958</t>
  </si>
  <si>
    <t>-657.353320142805 89.6715956280675 -832.23974929571</t>
  </si>
  <si>
    <t>-620.682215574522 62.7350020674946 -923.413347791394</t>
  </si>
  <si>
    <t>-644.374338784447 121.696392663884 -766.217878278662</t>
  </si>
  <si>
    <t>-552.998691633868 235.337985090896 -747.372462098633</t>
  </si>
  <si>
    <t>-455.452428394272 164.742598763935 -454.648638802781</t>
  </si>
  <si>
    <t>-239.545326379567 84.7714770286871 -333.690950315176</t>
  </si>
  <si>
    <t>-677.106185495305 67.2260537725645 -763.983269449075</t>
  </si>
  <si>
    <t>-560.536871722082 211.155466908893 -243.218840214603</t>
  </si>
  <si>
    <t>-577.058229515725 197.582866414756 211.974004772831</t>
  </si>
  <si>
    <t>-627.701709631109 175.367921583164 678.522963734615</t>
  </si>
  <si>
    <t>-495.18966204966 99.4097727465044 765.783664754659</t>
  </si>
  <si>
    <t>-635.003061323024 32.8856160988123 -211.907421690346</t>
  </si>
  <si>
    <t>-479.559785370533 -105.209661884493 193.5857981692</t>
  </si>
  <si>
    <t>-499.05051463938 -21.751534293031 655.551544001221</t>
  </si>
  <si>
    <t>-490.165212618349 -171.288792215234 747.764113277311</t>
  </si>
  <si>
    <t>9763-20170724T160523.781871400.bin</t>
  </si>
  <si>
    <t>-597.85935210734 122.221601010564 -228.012526580485</t>
  </si>
  <si>
    <t>-636.706098488894 118.537374981927 -342.665021005271</t>
  </si>
  <si>
    <t>-655.603780289602 113.119996503248 -462.264743593812</t>
  </si>
  <si>
    <t>-664.352422705539 107.157656558858 -571.272780598326</t>
  </si>
  <si>
    <t>-664.834675533128 99.9977573486728 -680.558391311078</t>
  </si>
  <si>
    <t>-656.90610965377 88.6379487736672 -832.242604816799</t>
  </si>
  <si>
    <t>-620.944676318889 62.7816050931062 -924.009744638383</t>
  </si>
  <si>
    <t>-644.055989517844 120.901193396253 -766.311855252701</t>
  </si>
  <si>
    <t>-552.679962996136 234.636730945139 -747.804866104761</t>
  </si>
  <si>
    <t>-455.497202530001 165.226678179037 -454.677096722649</t>
  </si>
  <si>
    <t>-239.610468103961 85.368826443221 -333.607955414932</t>
  </si>
  <si>
    <t>-676.772633796721 66.4272952542353 -763.942314020502</t>
  </si>
  <si>
    <t>-560.51754368621 211.421528705243 -243.377637557744</t>
  </si>
  <si>
    <t>-576.96415004565 197.828445908763 211.817249606889</t>
  </si>
  <si>
    <t>-627.485093838355 175.486206104933 678.376947059935</t>
  </si>
  <si>
    <t>-495.178409365979 99.3962330103773 765.834208001598</t>
  </si>
  <si>
    <t>-635.070477730021 33.0727962726148 -211.946595275551</t>
  </si>
  <si>
    <t>-479.174631410928 -105.090245591706 193.34974299627</t>
  </si>
  <si>
    <t>-499.052305939386 -21.7940101974516 655.307471756162</t>
  </si>
  <si>
    <t>-490.189951869033 -171.284844795988 747.597653537862</t>
  </si>
  <si>
    <t>9763-20170724T160523.827036400.bin</t>
  </si>
  <si>
    <t>-597.899476849993 122.461735386173 -228.099703377001</t>
  </si>
  <si>
    <t>-636.823883969377 118.762654976438 -342.72517400775</t>
  </si>
  <si>
    <t>-655.662971903075 113.073274496097 -462.321525653892</t>
  </si>
  <si>
    <t>-664.304612593536 106.766875434387 -571.318793263872</t>
  </si>
  <si>
    <t>-664.627928242482 99.168424092506 -680.575548465718</t>
  </si>
  <si>
    <t>-656.426273043626 87.1048718670213 -832.190789512302</t>
  </si>
  <si>
    <t>-621.268445007021 62.4405957093968 -924.595147665616</t>
  </si>
  <si>
    <t>-643.717893274331 119.687702387133 -766.389713028258</t>
  </si>
  <si>
    <t>-552.431958738428 233.53758826503 -748.324174408732</t>
  </si>
  <si>
    <t>-455.797247108401 165.3970567655 -454.717689303586</t>
  </si>
  <si>
    <t>-239.901290570395 85.7829642045267 -333.504782475366</t>
  </si>
  <si>
    <t>-676.392534265772 65.1976229476679 -763.821722641317</t>
  </si>
  <si>
    <t>-560.461857513029 211.632328907166 -243.483757297963</t>
  </si>
  <si>
    <t>-576.9411304052 198.10719098735 211.712017715285</t>
  </si>
  <si>
    <t>-627.346459626954 175.6882122391 678.357305292995</t>
  </si>
  <si>
    <t>-495.22604429358 99.315548959328 765.849728095591</t>
  </si>
  <si>
    <t>-635.257117158076 33.323426510304 -211.953767300205</t>
  </si>
  <si>
    <t>-479.029064901869 -104.932815334071 193.182833083229</t>
  </si>
  <si>
    <t>-499.076400733863 -21.8085664841085 655.159317844915</t>
  </si>
  <si>
    <t>-490.213071578973 -171.274321503492 747.490001630322</t>
  </si>
  <si>
    <t>9763-20170724T160523.892201800.bin</t>
  </si>
  <si>
    <t>-597.913337407496 122.549471144845 -228.22946782334</t>
  </si>
  <si>
    <t>-636.748442841553 118.852307379128 -342.885413154852</t>
  </si>
  <si>
    <t>-655.421480475783 113.023931552859 -462.501034826932</t>
  </si>
  <si>
    <t>-663.88355122741 106.541320553123 -571.502108050892</t>
  </si>
  <si>
    <t>-663.998647943747 98.720818244157 -680.74349064095</t>
  </si>
  <si>
    <t>-655.479821610044 86.3039347196666 -832.31280509769</t>
  </si>
  <si>
    <t>-621.080551466952 63.2468198722681 -925.415083650546</t>
  </si>
  <si>
    <t>-642.980631625213 119.082387642479 -766.568941165214</t>
  </si>
  <si>
    <t>-551.78871206851 233.08843890349 -748.84371557382</t>
  </si>
  <si>
    <t>-455.303098094925 166.255892484176 -454.887755640023</t>
  </si>
  <si>
    <t>-239.60845872176 86.749406739654 -333.246472589338</t>
  </si>
  <si>
    <t>-675.517688046387 64.5136033873694 -763.927351560499</t>
  </si>
  <si>
    <t>-560.41938360496 211.713477317288 -243.535422920505</t>
  </si>
  <si>
    <t>-577.096750671506 198.288527593217 211.656092226447</t>
  </si>
  <si>
    <t>-627.352067674916 175.701303384642 678.332921071975</t>
  </si>
  <si>
    <t>-495.357705148186 99.1039064221397 765.819106804082</t>
  </si>
  <si>
    <t>-635.254582817054 33.4028210969564 -212.149878824352</t>
  </si>
  <si>
    <t>-479.117453993736 -104.856010773751 193.020934801241</t>
  </si>
  <si>
    <t>-499.141200069809 -21.809581082528 655.024275240264</t>
  </si>
  <si>
    <t>-490.195996236575 -171.246292949751 747.393965429786</t>
  </si>
  <si>
    <t>9763-20170724T160523.927327500.bin</t>
  </si>
  <si>
    <t>-597.890036051771 122.449933488735 -228.264750806685</t>
  </si>
  <si>
    <t>-636.66449326401 118.748286162931 -342.94103305764</t>
  </si>
  <si>
    <t>-655.271053748237 112.858872657088 -462.563963143121</t>
  </si>
  <si>
    <t>-663.671852080593 106.299736701921 -571.565187053136</t>
  </si>
  <si>
    <t>-663.725347496346 98.3821167232256 -680.799631325009</t>
  </si>
  <si>
    <t>-655.121194288819 85.8096982979696 -832.351269364223</t>
  </si>
  <si>
    <t>-621.024770868748 63.3692774229335 -925.715334083032</t>
  </si>
  <si>
    <t>-642.701787874784 118.680856582482 -766.638525658593</t>
  </si>
  <si>
    <t>-551.589163437501 232.779675760439 -749.081159605713</t>
  </si>
  <si>
    <t>-455.173488951579 166.425939327131 -454.993814107002</t>
  </si>
  <si>
    <t>-239.792415314377 86.8020581562666 -332.874664369291</t>
  </si>
  <si>
    <t>-675.154814642493 64.0642612640268 -763.950199164617</t>
  </si>
  <si>
    <t>-560.481683381355 211.646154497781 -243.549746415454</t>
  </si>
  <si>
    <t>-577.155381646751 198.200920860776 211.641341532022</t>
  </si>
  <si>
    <t>-627.358111579795 175.71639939568 678.336169533865</t>
  </si>
  <si>
    <t>-495.313398136661 99.1721513552734 765.79291204008</t>
  </si>
  <si>
    <t>-635.119527458213 33.2868996687882 -212.272360899415</t>
  </si>
  <si>
    <t>-479.131990654333 -104.815345816317 193.009392631986</t>
  </si>
  <si>
    <t>-499.17373837147 -21.8168683825234 654.987011407309</t>
  </si>
  <si>
    <t>-490.182650314684 -171.23794776776 747.377514905583</t>
  </si>
  <si>
    <t>9763-20170724T160523.994498300.bin</t>
  </si>
  <si>
    <t>-597.943635601669 122.034286689292 -228.255602307447</t>
  </si>
  <si>
    <t>-636.745098630723 118.368211022813 -342.923928606153</t>
  </si>
  <si>
    <t>-655.288087607303 112.355420056833 -462.550588824573</t>
  </si>
  <si>
    <t>-663.595199594685 105.623120288506 -571.548537614974</t>
  </si>
  <si>
    <t>-663.52085098903 97.4712666202242 -680.765725180898</t>
  </si>
  <si>
    <t>-654.704312539514 84.5121747042615 -832.272581528301</t>
  </si>
  <si>
    <t>-621.054675303758 63.100029403194 -926.039193693994</t>
  </si>
  <si>
    <t>-642.481159048789 117.612087004507 -766.637860221431</t>
  </si>
  <si>
    <t>-551.634946012738 231.956091940366 -749.378347175904</t>
  </si>
  <si>
    <t>-455.490923527707 166.63107388297 -454.971968573668</t>
  </si>
  <si>
    <t>-240.404360213716 86.8909294711818 -332.410222899409</t>
  </si>
  <si>
    <t>-674.729555526028 62.8802559549081 -763.833033692392</t>
  </si>
  <si>
    <t>-560.832777611047 211.205044054282 -243.446558993499</t>
  </si>
  <si>
    <t>-577.328508068719 197.736708064006 211.750359326011</t>
  </si>
  <si>
    <t>-627.655697972103 175.384016122005 678.441530044048</t>
  </si>
  <si>
    <t>-495.208005868039 99.3635160789627 765.745629675218</t>
  </si>
  <si>
    <t>-634.956914697287 32.8508662987022 -212.361966672846</t>
  </si>
  <si>
    <t>-478.839645063358 -104.936389914777 192.977085168321</t>
  </si>
  <si>
    <t>-499.220963221592 -21.8346112933011 654.911876211771</t>
  </si>
  <si>
    <t>-490.141392648705 -171.217911675691 747.354897337789</t>
  </si>
  <si>
    <t>9763-20170724T160524.026608000.bin</t>
  </si>
  <si>
    <t>-597.957856130868 121.825935142487 -228.262298292474</t>
  </si>
  <si>
    <t>-636.761096843163 118.152159948007 -342.929702515682</t>
  </si>
  <si>
    <t>-655.26682728324 112.065599954297 -462.558673941663</t>
  </si>
  <si>
    <t>-663.525004550269 105.240307605814 -571.554351942223</t>
  </si>
  <si>
    <t>-663.386989924899 96.9696594809977 -680.762555803112</t>
  </si>
  <si>
    <t>-654.467808580509 83.8185368480138 -832.246806970254</t>
  </si>
  <si>
    <t>-620.976698467929 62.8507704122271 -926.170721435514</t>
  </si>
  <si>
    <t>-642.339747760905 117.03114681935 -766.651467327506</t>
  </si>
  <si>
    <t>-551.642000357727 231.501592552092 -749.567382447511</t>
  </si>
  <si>
    <t>-455.663934259709 166.763591618709 -454.977099975475</t>
  </si>
  <si>
    <t>-240.907210549981 86.8178054902694 -331.972152112901</t>
  </si>
  <si>
    <t>-674.488740359273 62.2439173284631 -763.78791560106</t>
  </si>
  <si>
    <t>-560.987543805952 211.052774707942 -243.401023863006</t>
  </si>
  <si>
    <t>-577.390214987927 197.567484695775 211.798676953139</t>
  </si>
  <si>
    <t>-627.771081677412 175.250651404239 678.491328970675</t>
  </si>
  <si>
    <t>-495.207653994748 99.3556403072978 765.728941008598</t>
  </si>
  <si>
    <t>-634.817009669578 32.6100673909762 -212.424694343101</t>
  </si>
  <si>
    <t>-478.680152826829 -104.943560663427 192.986165635383</t>
  </si>
  <si>
    <t>-499.253749335889 -21.8374990547022 654.908266180718</t>
  </si>
  <si>
    <t>-490.097110756117 -171.208780552143 747.363107781254</t>
  </si>
  <si>
    <t>9763-20170724T160524.095811200.bin</t>
  </si>
  <si>
    <t>-598.020399187289 121.766191636556 -228.231102560939</t>
  </si>
  <si>
    <t>-636.743346961833 118.01905632365 -342.923285771489</t>
  </si>
  <si>
    <t>-655.173001568996 111.731770477539 -462.55355856836</t>
  </si>
  <si>
    <t>-663.366238830894 104.677593746304 -571.539564740664</t>
  </si>
  <si>
    <t>-663.168509679175 96.1327418222825 -680.726422436671</t>
  </si>
  <si>
    <t>-654.173018181727 82.5553389964964 -832.168722905265</t>
  </si>
  <si>
    <t>-620.852573523721 62.2483987811468 -926.298173795581</t>
  </si>
  <si>
    <t>-642.205840113261 116.026211311543 -766.675232373596</t>
  </si>
  <si>
    <t>-551.847020113454 230.843590481127 -749.991582670921</t>
  </si>
  <si>
    <t>-455.741347197765 167.313357327271 -455.180006932355</t>
  </si>
  <si>
    <t>-241.337840782055 87.2118379263839 -331.661271128926</t>
  </si>
  <si>
    <t>-674.100638326344 61.0996462826545 -763.645374631682</t>
  </si>
  <si>
    <t>-561.311181163998 211.092980985421 -243.279511840838</t>
  </si>
  <si>
    <t>-577.669770787193 197.609950349946 211.921831300724</t>
  </si>
  <si>
    <t>-627.959535112535 175.136817206701 678.621789745853</t>
  </si>
  <si>
    <t>-495.112505435843 99.5509293558507 765.696162524256</t>
  </si>
  <si>
    <t>-634.604816699847 32.4754537016042 -212.486431090718</t>
  </si>
  <si>
    <t>-478.366894077412 -104.676917890872 193.021431429981</t>
  </si>
  <si>
    <t>-499.34169651117 -21.8037489753249 654.968811044575</t>
  </si>
  <si>
    <t>-489.98293998758 -171.180893553978 747.393931215138</t>
  </si>
  <si>
    <t>9763-20170724T160524.125935300.bin</t>
  </si>
  <si>
    <t>-598.09721165695 121.87275574782 -228.227660026039</t>
  </si>
  <si>
    <t>-636.778255003046 118.073860182829 -342.932200924556</t>
  </si>
  <si>
    <t>-655.173034226253 111.664511212295 -462.561323429425</t>
  </si>
  <si>
    <t>-663.339198657303 104.470585263357 -571.540343303953</t>
  </si>
  <si>
    <t>-663.120065656988 95.7557271724572 -680.7136576417</t>
  </si>
  <si>
    <t>-654.101730972013 81.9100074419871 -832.130290571393</t>
  </si>
  <si>
    <t>-620.818476298297 61.8194546681802 -926.319439054781</t>
  </si>
  <si>
    <t>-642.189297636354 115.522618665614 -766.699437861991</t>
  </si>
  <si>
    <t>-551.966100003485 230.467155001049 -750.313252841684</t>
  </si>
  <si>
    <t>-455.699395187233 167.62179244302 -455.407462333394</t>
  </si>
  <si>
    <t>-241.362068088034 87.5496379834422 -331.754808728481</t>
  </si>
  <si>
    <t>-673.994888374982 60.5499355430459 -763.566984333885</t>
  </si>
  <si>
    <t>-561.538400853859 211.28919575705 -243.226573434865</t>
  </si>
  <si>
    <t>-577.818803551288 197.701970430812 211.974581283983</t>
  </si>
  <si>
    <t>-628.018219437778 175.116631734159 678.655092200313</t>
  </si>
  <si>
    <t>-495.07257463156 99.6462491795269 765.679126347633</t>
  </si>
  <si>
    <t>-634.519897884658 32.5231501727214 -212.518297863767</t>
  </si>
  <si>
    <t>-478.291045317168 -104.48526491383 193.041715356236</t>
  </si>
  <si>
    <t>-499.385141667421 -21.7797216737008 655.02490735984</t>
  </si>
  <si>
    <t>-489.896696571933 -171.16821215721 747.418576106472</t>
  </si>
  <si>
    <t>9763-20170724T160524.194116700.bin</t>
  </si>
  <si>
    <t>-598.118867891932 122.248951631151 -228.292534770392</t>
  </si>
  <si>
    <t>-636.662713204851 118.351580500071 -343.039907666041</t>
  </si>
  <si>
    <t>-655.040084570173 111.835976665562 -462.666067079698</t>
  </si>
  <si>
    <t>-663.242384398511 104.53712178226 -571.635275870315</t>
  </si>
  <si>
    <t>-663.112996371986 95.7041458793224 -680.799394069726</t>
  </si>
  <si>
    <t>-654.276334540957 81.676688334006 -832.210007343803</t>
  </si>
  <si>
    <t>-621.144259382109 62.0105120467342 -926.541809191457</t>
  </si>
  <si>
    <t>-642.3224087427 115.389039119063 -766.837898686985</t>
  </si>
  <si>
    <t>-552.068769597984 230.398132220063 -750.949920122281</t>
  </si>
  <si>
    <t>-455.289517104011 168.815518656286 -455.945515311327</t>
  </si>
  <si>
    <t>-241.234110024787 88.6222772330659 -331.883576861468</t>
  </si>
  <si>
    <t>-674.050108938933 60.3778287541832 -763.593109110063</t>
  </si>
  <si>
    <t>-561.895505370925 211.808523642903 -243.198243956697</t>
  </si>
  <si>
    <t>-578.190631289592 198.149064728783 212.000057000556</t>
  </si>
  <si>
    <t>-628.03472190375 175.111502505601 678.673418685339</t>
  </si>
  <si>
    <t>-494.939170977428 99.873047791926 765.669179282923</t>
  </si>
  <si>
    <t>-634.196721383583 32.7193049823668 -212.669144841705</t>
  </si>
  <si>
    <t>-478.030407724062 -103.934115372417 193.034670263679</t>
  </si>
  <si>
    <t>-499.493460584511 -21.7450466801788 655.091059275302</t>
  </si>
  <si>
    <t>-489.756186277076 -171.143074792771 747.44338032452</t>
  </si>
  <si>
    <t>9763-20170724T160524.226282500.bin</t>
  </si>
  <si>
    <t>-598.162987522519 122.447470474195 -228.294617592471</t>
  </si>
  <si>
    <t>-636.621225006337 118.496533478733 -343.069087857995</t>
  </si>
  <si>
    <t>-655.000982281561 111.911509571892 -462.690903400594</t>
  </si>
  <si>
    <t>-663.243292511481 104.542219265671 -571.652351760506</t>
  </si>
  <si>
    <t>-663.192314307008 95.6303812079677 -680.810094390982</t>
  </si>
  <si>
    <t>-654.504962846113 81.4835923010762 -832.218197582156</t>
  </si>
  <si>
    <t>-621.46783827963 61.9336444066819 -926.607432881588</t>
  </si>
  <si>
    <t>-642.501793149709 115.255967830321 -766.886295856783</t>
  </si>
  <si>
    <t>-552.247298492032 230.301951784023 -751.253140221199</t>
  </si>
  <si>
    <t>-455.308922282877 168.968468883913 -456.249014568596</t>
  </si>
  <si>
    <t>-241.278573010249 88.81465693002 -332.118375104715</t>
  </si>
  <si>
    <t>-674.195892389127 60.2302603675676 -763.56339744576</t>
  </si>
  <si>
    <t>-562.072602699037 212.037919833932 -243.182505340488</t>
  </si>
  <si>
    <t>-578.399805897477 198.316747799547 212.01292487769</t>
  </si>
  <si>
    <t>-628.104383275984 175.0274356523 678.69531589885</t>
  </si>
  <si>
    <t>-494.864348618181 100.013554585163 765.663842992341</t>
  </si>
  <si>
    <t>-634.134718318237 32.8850801483522 -212.711829395958</t>
  </si>
  <si>
    <t>-477.978354537413 -103.605628432676 193.050612529969</t>
  </si>
  <si>
    <t>-499.557414989375 -21.7149946346995 655.153681488757</t>
  </si>
  <si>
    <t>-489.671412753266 -171.127835921939 747.46608979068</t>
  </si>
  <si>
    <t>9763-20170724T160524.291453900.bin</t>
  </si>
  <si>
    <t>-598.170115407369 122.888918505367 -228.246376109391</t>
  </si>
  <si>
    <t>-636.551087104732 118.841800580552 -343.043313034102</t>
  </si>
  <si>
    <t>-654.977566212849 112.143852248827 -462.651697859954</t>
  </si>
  <si>
    <t>-663.313511560892 104.671580172861 -571.599052045753</t>
  </si>
  <si>
    <t>-663.40751701768 95.6585979046492 -680.748526347474</t>
  </si>
  <si>
    <t>-654.974311439087 81.375735286287 -832.158233663054</t>
  </si>
  <si>
    <t>-622.091001023974 62.0844015758478 -926.654338722357</t>
  </si>
  <si>
    <t>-642.945609132905 115.254449254461 -766.886023399356</t>
  </si>
  <si>
    <t>-552.955628561708 230.531307989162 -751.535653785256</t>
  </si>
  <si>
    <t>-455.744502563724 169.69615702438 -456.518280256791</t>
  </si>
  <si>
    <t>-242.072007112688 89.5318396659579 -331.779369064627</t>
  </si>
  <si>
    <t>-674.465960971845 60.1363662948825 -763.442194100213</t>
  </si>
  <si>
    <t>-562.17476059992 212.547968030507 -243.157726182644</t>
  </si>
  <si>
    <t>-578.61403395255 198.76919655937 212.031846597781</t>
  </si>
  <si>
    <t>-628.125462864894 174.996505339592 678.69560101016</t>
  </si>
  <si>
    <t>-494.81655790582 100.115496418664 765.673072823649</t>
  </si>
  <si>
    <t>-634.056522758391 33.2469462231486 -212.678494115938</t>
  </si>
  <si>
    <t>-477.888178062177 -103.27172154512 193.069916516956</t>
  </si>
  <si>
    <t>-499.618766115894 -21.6578593357451 655.227494783534</t>
  </si>
  <si>
    <t>-489.537923499262 -171.102037997835 747.468023340217</t>
  </si>
  <si>
    <t>9763-20170724T160524.322036400.bin</t>
  </si>
  <si>
    <t>-598.061498988598 123.016918772658 -228.213648419117</t>
  </si>
  <si>
    <t>-636.420367053041 118.912834037967 -343.015892800252</t>
  </si>
  <si>
    <t>-654.840589394839 112.147711727413 -462.621512395261</t>
  </si>
  <si>
    <t>-663.177422616634 104.614002072441 -571.564525563052</t>
  </si>
  <si>
    <t>-663.278458764836 95.5410892044758 -680.708992265543</t>
  </si>
  <si>
    <t>-654.86104987876 81.1783311966328 -832.111920842252</t>
  </si>
  <si>
    <t>-621.9915208869 62.0453903819339 -926.645133064355</t>
  </si>
  <si>
    <t>-642.871485455564 115.117583811694 -766.864012755311</t>
  </si>
  <si>
    <t>-553.032404796816 230.525971890007 -751.638038745195</t>
  </si>
  <si>
    <t>-456.021762803301 169.85720404857 -456.520343204118</t>
  </si>
  <si>
    <t>-242.448271301987 89.7188842512039 -331.595335487968</t>
  </si>
  <si>
    <t>-674.299388908554 59.9493615347708 -763.377715878714</t>
  </si>
  <si>
    <t>-562.132302172367 212.72389038892 -243.128682807921</t>
  </si>
  <si>
    <t>-578.611679019685 198.911786524895 212.058401030637</t>
  </si>
  <si>
    <t>-628.149683109058 175.013769124744 678.732160956199</t>
  </si>
  <si>
    <t>-494.807690405995 100.147493846789 765.67162102718</t>
  </si>
  <si>
    <t>-633.860066447857 33.3192304936565 -212.63660149566</t>
  </si>
  <si>
    <t>-477.780419182953 -103.319417810444 193.10555822843</t>
  </si>
  <si>
    <t>-499.592889967003 -21.6469743197663 655.239902260788</t>
  </si>
  <si>
    <t>-489.588236821798 -171.098365250949 747.476927168066</t>
  </si>
  <si>
    <t>9763-20170724T160524.401827400.bin</t>
  </si>
  <si>
    <t>-597.865070893816 123.036341630566 -228.13362672979</t>
  </si>
  <si>
    <t>-636.183176609883 118.811716595174 -342.94522691689</t>
  </si>
  <si>
    <t>-654.536395260151 111.935146798732 -462.554743448523</t>
  </si>
  <si>
    <t>-662.801328397724 104.308449556384 -571.49677713973</t>
  </si>
  <si>
    <t>-662.819143664677 95.152037224974 -680.634293785799</t>
  </si>
  <si>
    <t>-654.274083787579 80.6849480015653 -832.020319950917</t>
  </si>
  <si>
    <t>-621.273436767415 61.8593686875149 -926.56940475016</t>
  </si>
  <si>
    <t>-642.426129451466 114.717599816443 -766.795035236953</t>
  </si>
  <si>
    <t>-552.876108389209 230.367093868272 -751.642676095035</t>
  </si>
  <si>
    <t>-455.81836755829 170.120193576999 -456.454086195912</t>
  </si>
  <si>
    <t>-241.718255207192 90.5458946210454 -332.071110886847</t>
  </si>
  <si>
    <t>-673.683930916948 59.45472012909 -763.27828280586</t>
  </si>
  <si>
    <t>-562.125730155977 212.809946649899 -243.036628328364</t>
  </si>
  <si>
    <t>-578.672601199683 199.031715975881 212.148993567018</t>
  </si>
  <si>
    <t>-628.285816671825 175.026020681998 678.858234783845</t>
  </si>
  <si>
    <t>-494.78745492801 100.245113006987 765.631036507212</t>
  </si>
  <si>
    <t>-633.478701038247 33.2970413313146 -212.53196956819</t>
  </si>
  <si>
    <t>-477.427636464482 -103.361759845842 193.214368867563</t>
  </si>
  <si>
    <t>-499.578672918112 -21.6510572460541 655.299221196531</t>
  </si>
  <si>
    <t>-489.636552200234 -171.090496714093 747.562567975698</t>
  </si>
  <si>
    <t>9763-20170724T160524.427501100.bin</t>
  </si>
  <si>
    <t>-597.924152173242 122.990921685749 -228.093127138336</t>
  </si>
  <si>
    <t>-636.221020684401 118.732322034016 -342.910443615726</t>
  </si>
  <si>
    <t>-654.564321200257 111.805663895062 -462.51859521998</t>
  </si>
  <si>
    <t>-662.824933824 104.129193118015 -571.457487719159</t>
  </si>
  <si>
    <t>-662.84355679684 94.9189281063741 -680.590484769119</t>
  </si>
  <si>
    <t>-654.304728266541 80.3738470722897 -831.9692576347</t>
  </si>
  <si>
    <t>-621.229292247408 61.6732367310615 -926.517042189207</t>
  </si>
  <si>
    <t>-642.496555493359 114.463831715806 -766.766830351876</t>
  </si>
  <si>
    <t>-553.0955045415 230.266656353466 -751.703056477065</t>
  </si>
  <si>
    <t>-455.822642012198 170.182349472938 -456.552221676322</t>
  </si>
  <si>
    <t>-241.773519745736 90.6743491967532 -332.039204572399</t>
  </si>
  <si>
    <t>-673.669254953714 59.1553365908271 -763.211007334068</t>
  </si>
  <si>
    <t>-562.293532279019 212.796338087921 -242.962927600932</t>
  </si>
  <si>
    <t>-578.862409802051 199.017033446063 212.221962208821</t>
  </si>
  <si>
    <t>-628.416453796217 174.958910078782 678.943886185251</t>
  </si>
  <si>
    <t>-494.764928935491 100.31950017844 765.602645577378</t>
  </si>
  <si>
    <t>-633.497754680623 33.2320706995856 -212.496545525592</t>
  </si>
  <si>
    <t>-477.298812630007 -103.240802493083 193.25548161833</t>
  </si>
  <si>
    <t>-499.61165985177 -21.6609737828073 655.34550222956</t>
  </si>
  <si>
    <t>-489.584970106172 -171.08193318252 747.629432324971</t>
  </si>
  <si>
    <t>9763-20170724T160524.491669400.bin</t>
  </si>
  <si>
    <t>-598.140225619952 122.728842206314 -228.016316851992</t>
  </si>
  <si>
    <t>-636.305224436074 118.327409883668 -342.872202847993</t>
  </si>
  <si>
    <t>-654.541475128689 111.225791339551 -462.486421651515</t>
  </si>
  <si>
    <t>-662.717918857418 103.375025764415 -571.419235234771</t>
  </si>
  <si>
    <t>-662.666594691424 93.9720111514805 -680.535920134859</t>
  </si>
  <si>
    <t>-654.046763363707 79.1377745092657 -831.881996302614</t>
  </si>
  <si>
    <t>-620.842797614179 60.6176545837959 -926.420228818713</t>
  </si>
  <si>
    <t>-642.330050094458 113.383798584903 -766.74481629789</t>
  </si>
  <si>
    <t>-553.166843946155 229.363425822417 -751.909314060769</t>
  </si>
  <si>
    <t>-455.611559083384 170.069643115861 -456.691856206857</t>
  </si>
  <si>
    <t>-241.48265234292 90.7871802751115 -332.171982372868</t>
  </si>
  <si>
    <t>-673.391322099677 58.0193324449715 -763.087177745863</t>
  </si>
  <si>
    <t>-562.798343292156 212.618357768403 -242.868978658031</t>
  </si>
  <si>
    <t>-579.32137926505 198.953227892724 212.320991116226</t>
  </si>
  <si>
    <t>-628.583810347814 174.8238280711 679.012793547161</t>
  </si>
  <si>
    <t>-494.721780453544 100.430395806111 765.558040237116</t>
  </si>
  <si>
    <t>-633.329058961004 32.8487134341055 -212.497724459622</t>
  </si>
  <si>
    <t>-476.965315480291 -103.059832044779 193.380224299092</t>
  </si>
  <si>
    <t>-499.709168769607 -21.6702814848652 655.475471972722</t>
  </si>
  <si>
    <t>-489.405265007105 -171.062328629167 747.7758895663</t>
  </si>
  <si>
    <t>9763-20170724T160524.527772500.bin</t>
  </si>
  <si>
    <t>-598.256819094899 122.620671256651 -228.014367160664</t>
  </si>
  <si>
    <t>-636.393123260341 118.190678792673 -342.878500378156</t>
  </si>
  <si>
    <t>-654.578859401008 111.042439239335 -462.497744685365</t>
  </si>
  <si>
    <t>-662.701266672247 103.1415604192 -571.430978699197</t>
  </si>
  <si>
    <t>-662.587984127573 93.6800403485256 -680.542535635684</t>
  </si>
  <si>
    <t>-653.874474194691 78.7552283063092 -831.874401375896</t>
  </si>
  <si>
    <t>-620.622368934849 60.3099539697519 -926.410400637279</t>
  </si>
  <si>
    <t>-642.229368890043 113.05732942086 -766.753926624837</t>
  </si>
  <si>
    <t>-553.220514277403 229.169709715602 -751.955003184861</t>
  </si>
  <si>
    <t>-455.614430450808 170.019450662778 -456.725474377108</t>
  </si>
  <si>
    <t>-241.533504871285 90.791152347213 -332.088685412354</t>
  </si>
  <si>
    <t>-673.230528229148 57.6606226893618 -763.075486704626</t>
  </si>
  <si>
    <t>-563.050514962381 212.602399304777 -242.874194950285</t>
  </si>
  <si>
    <t>-579.505396690899 199.006178232643 212.320263810954</t>
  </si>
  <si>
    <t>-628.567233685069 174.824508018103 678.992816732134</t>
  </si>
  <si>
    <t>-494.714290018215 100.44834055268 765.56701278879</t>
  </si>
  <si>
    <t>-633.337226592134 32.6752287277477 -212.499190794721</t>
  </si>
  <si>
    <t>-476.857191045868 -103.078076475048 193.385871865328</t>
  </si>
  <si>
    <t>-499.749480915566 -21.6702477108827 655.510021393885</t>
  </si>
  <si>
    <t>-489.315226926271 -171.05202351617 747.812387808597</t>
  </si>
  <si>
    <t>9763-20170724T160524.588934700.bin</t>
  </si>
  <si>
    <t>-598.472209254953 122.49110242648 -228.033001311754</t>
  </si>
  <si>
    <t>-636.543002723118 117.956532299311 -342.914953475439</t>
  </si>
  <si>
    <t>-654.619838871691 110.760828408566 -462.54771843225</t>
  </si>
  <si>
    <t>-662.625334499052 102.841940110474 -571.488385593539</t>
  </si>
  <si>
    <t>-662.376539326041 93.3878504667614 -680.600216186221</t>
  </si>
  <si>
    <t>-653.45502739447 78.5006353284984 -831.92365121758</t>
  </si>
  <si>
    <t>-620.10948701143 60.1834188248783 -926.451624131219</t>
  </si>
  <si>
    <t>-641.950371923254 112.814581542537 -766.784629314109</t>
  </si>
  <si>
    <t>-553.171044884485 229.096345726533 -751.887130248031</t>
  </si>
  <si>
    <t>-455.784664051348 170.05352588486 -456.563477236426</t>
  </si>
  <si>
    <t>-241.606520669325 91.0136883493326 -331.974394922724</t>
  </si>
  <si>
    <t>-672.854660782273 57.3609560222089 -763.150948181001</t>
  </si>
  <si>
    <t>-563.330557228823 212.486353753678 -242.959321578612</t>
  </si>
  <si>
    <t>-579.717092003729 199.092040229829 212.243642422056</t>
  </si>
  <si>
    <t>-628.439817650605 174.870575283032 678.898032377835</t>
  </si>
  <si>
    <t>-494.662206028551 100.526877604682 765.616430113772</t>
  </si>
  <si>
    <t>-633.480255981192 32.5203783072402 -212.455468941509</t>
  </si>
  <si>
    <t>-476.847028652168 -103.094624115514 193.416771473145</t>
  </si>
  <si>
    <t>-499.766361088489 -21.6526066327433 655.534387713446</t>
  </si>
  <si>
    <t>-489.29211815475 -171.037771850425 747.82663869675</t>
  </si>
  <si>
    <t>9763-20170724T160524.625682700.bin</t>
  </si>
  <si>
    <t>-598.580122632379 122.386797111711 -228.073113068421</t>
  </si>
  <si>
    <t>-636.670299202566 117.851892118048 -342.948637249178</t>
  </si>
  <si>
    <t>-654.741961296389 110.614221725552 -462.579703237283</t>
  </si>
  <si>
    <t>-662.732903248766 102.642095442888 -571.517380022534</t>
  </si>
  <si>
    <t>-662.45991288202 93.1204871114719 -680.623520528776</t>
  </si>
  <si>
    <t>-653.494820889926 78.1257563425661 -831.933757726996</t>
  </si>
  <si>
    <t>-620.125141628126 59.7917069152288 -926.449945068193</t>
  </si>
  <si>
    <t>-642.015482483463 112.489633245547 -766.816329622458</t>
  </si>
  <si>
    <t>-553.329827970751 228.848742007075 -751.930274579599</t>
  </si>
  <si>
    <t>-456.144635854998 169.868728584027 -456.527816083411</t>
  </si>
  <si>
    <t>-242.105741429003 90.7440759800402 -331.753290869894</t>
  </si>
  <si>
    <t>-672.907702442503 57.0312907082305 -763.150821409037</t>
  </si>
  <si>
    <t>-563.402417795969 212.387523478966 -243.024346640734</t>
  </si>
  <si>
    <t>-579.701975104671 199.008449263776 212.182231543174</t>
  </si>
  <si>
    <t>-628.390453223316 174.875999573819 678.862865405029</t>
  </si>
  <si>
    <t>-494.665979652764 100.514189510953 765.647620324734</t>
  </si>
  <si>
    <t>-633.65260112297 32.3925191243009 -212.469173327067</t>
  </si>
  <si>
    <t>-476.874950428963 -103.205104179256 193.353061282169</t>
  </si>
  <si>
    <t>-499.77874412434 -21.6655670731316 655.485699248918</t>
  </si>
  <si>
    <t>-489.310336328278 -171.036290909996 747.801939995643</t>
  </si>
  <si>
    <t>9763-20170724T160524.690855200.bin</t>
  </si>
  <si>
    <t>-598.750833906435 122.143013399843 -228.195290517086</t>
  </si>
  <si>
    <t>-636.897610018126 117.64042197807 -343.053314630432</t>
  </si>
  <si>
    <t>-654.992889997239 110.393412321292 -462.680272830067</t>
  </si>
  <si>
    <t>-662.991041396394 102.399084901718 -571.6158117279</t>
  </si>
  <si>
    <t>-662.710838254004 92.8435958444891 -680.7188113588</t>
  </si>
  <si>
    <t>-653.720600832096 77.7914556408909 -832.021927927128</t>
  </si>
  <si>
    <t>-620.306393881233 59.439693133955 -926.518956688413</t>
  </si>
  <si>
    <t>-642.239783965731 112.173315604091 -766.914276257895</t>
  </si>
  <si>
    <t>-553.584199844441 228.53850754784 -752.03599384721</t>
  </si>
  <si>
    <t>-456.574526932394 169.63374833014 -456.560940128324</t>
  </si>
  <si>
    <t>-242.403020482761 90.6199146341091 -331.943670323652</t>
  </si>
  <si>
    <t>-673.157177878208 56.7298590046564 -763.235789324517</t>
  </si>
  <si>
    <t>-563.426410154079 212.146387559299 -243.165277559075</t>
  </si>
  <si>
    <t>-579.64256993641 198.868459490896 212.047219065168</t>
  </si>
  <si>
    <t>-628.283457741084 174.909913275554 678.757652079724</t>
  </si>
  <si>
    <t>-494.673469199294 100.506921378655 765.683380314074</t>
  </si>
  <si>
    <t>-633.95813851632 32.167955870834 -212.516854664342</t>
  </si>
  <si>
    <t>-477.138134301679 -103.398668385588 193.299416727428</t>
  </si>
  <si>
    <t>-499.759909884285 -21.6760380057831 655.393889972922</t>
  </si>
  <si>
    <t>-489.438679628372 -171.028957493932 747.755758058029</t>
  </si>
  <si>
    <t>9763-20170724T160524.727495000.bin</t>
  </si>
  <si>
    <t>-598.752643143372 122.102514586346 -228.221607212082</t>
  </si>
  <si>
    <t>-636.905166294132 117.599574456495 -343.07771146068</t>
  </si>
  <si>
    <t>-654.985178127808 110.347977545361 -462.706679537228</t>
  </si>
  <si>
    <t>-662.960604677918 102.349232008391 -571.643637728573</t>
  </si>
  <si>
    <t>-662.648464780229 92.7901649340024 -680.746199787664</t>
  </si>
  <si>
    <t>-653.604489103942 77.7343886333676 -832.045729367653</t>
  </si>
  <si>
    <t>-620.15658725533 59.3865936854975 -926.531569890841</t>
  </si>
  <si>
    <t>-642.139271603104 112.113737695481 -766.934050248838</t>
  </si>
  <si>
    <t>-553.443305963354 228.456940850602 -752.077046327201</t>
  </si>
  <si>
    <t>-456.38959922577 169.577295616854 -456.611353035453</t>
  </si>
  <si>
    <t>-242.26791202751 90.4604974158829 -331.973823100115</t>
  </si>
  <si>
    <t>-673.072998679407 56.6785507919922 -763.266801685853</t>
  </si>
  <si>
    <t>-563.348108752084 212.10880559437 -243.227881272038</t>
  </si>
  <si>
    <t>-579.599160781594 198.887602951597 211.985060686817</t>
  </si>
  <si>
    <t>-628.178500271251 175.029354756618 678.710313722693</t>
  </si>
  <si>
    <t>-494.793088325951 100.301397253776 765.702145712162</t>
  </si>
  <si>
    <t>-634.035364744273 32.1333685558118 -212.527423759716</t>
  </si>
  <si>
    <t>-477.227786752913 -103.482729032137 193.277110751359</t>
  </si>
  <si>
    <t>-499.750010136424 -21.6709817124727 655.369289837029</t>
  </si>
  <si>
    <t>-489.494066155753 -171.023715048941 747.738623523134</t>
  </si>
  <si>
    <t>9763-20170724T160524.796689800.bin</t>
  </si>
  <si>
    <t>-598.718171116355 121.763251679503 -228.206526728224</t>
  </si>
  <si>
    <t>-636.927290810442 117.253380637773 -343.043562063953</t>
  </si>
  <si>
    <t>-655.028601713117 109.974312431744 -462.667572009715</t>
  </si>
  <si>
    <t>-663.008529641094 101.943805989211 -571.601887021762</t>
  </si>
  <si>
    <t>-662.685566962385 92.3476927887994 -680.701112711326</t>
  </si>
  <si>
    <t>-653.61041270752 77.2361652670447 -831.99328423061</t>
  </si>
  <si>
    <t>-620.129373958535 58.8533930640206 -926.460612868792</t>
  </si>
  <si>
    <t>-642.138678430216 111.62842733139 -766.889601109686</t>
  </si>
  <si>
    <t>-553.383106338034 227.922133788918 -752.035670922515</t>
  </si>
  <si>
    <t>-456.247297380704 169.175413717515 -456.570593330137</t>
  </si>
  <si>
    <t>-243.39400665905 88.4242956955993 -330.813604165975</t>
  </si>
  <si>
    <t>-673.113128758872 56.2166361153436 -763.212825853386</t>
  </si>
  <si>
    <t>-563.200967456874 211.674582270964 -243.263536364306</t>
  </si>
  <si>
    <t>-579.41055389941 198.61090208688 211.955351880053</t>
  </si>
  <si>
    <t>-628.19038626773 175.003987352395 678.699290570049</t>
  </si>
  <si>
    <t>-494.791003311361 100.319667088447 765.707172728782</t>
  </si>
  <si>
    <t>-634.132803018989 31.8552005742338 -212.448806881772</t>
  </si>
  <si>
    <t>-477.196718784865 -103.894839353862 193.261282906409</t>
  </si>
  <si>
    <t>-499.719966746216 -21.6734840225845 655.289005561267</t>
  </si>
  <si>
    <t>-489.57940799988 -171.011253924332 747.695113078915</t>
  </si>
  <si>
    <t>9763-20170724T160524.824794400.bin</t>
  </si>
  <si>
    <t>-598.703033563524 121.559366228291 -228.218756106373</t>
  </si>
  <si>
    <t>-636.931528946413 117.032315750861 -343.048647052217</t>
  </si>
  <si>
    <t>-655.022527824492 109.730126584275 -462.672941616659</t>
  </si>
  <si>
    <t>-662.980631321686 101.676138174432 -571.607079438309</t>
  </si>
  <si>
    <t>-662.623669311201 92.053493365883 -680.703913105896</t>
  </si>
  <si>
    <t>-653.488668272679 76.9019268178761 -831.988279154574</t>
  </si>
  <si>
    <t>-619.999842736536 58.5051381016935 -926.450161737398</t>
  </si>
  <si>
    <t>-642.034154804846 111.306634282264 -766.888207912639</t>
  </si>
  <si>
    <t>-553.228502466704 227.562248370204 -751.976084234847</t>
  </si>
  <si>
    <t>-456.194790488566 168.755852106192 -456.489243474666</t>
  </si>
  <si>
    <t>-245.242977437458 85.9032593345451 -328.908494810597</t>
  </si>
  <si>
    <t>-673.027188588576 55.9052984019283 -763.211038542168</t>
  </si>
  <si>
    <t>-563.187188917495 211.449900077998 -243.298791524485</t>
  </si>
  <si>
    <t>-579.374748506038 198.434801500544 211.922295222208</t>
  </si>
  <si>
    <t>-628.179162372246 174.974969369243 678.6448008862</t>
  </si>
  <si>
    <t>-494.746032777941 100.405041532263 765.6990041018</t>
  </si>
  <si>
    <t>-634.120290530921 31.6921019552544 -212.436098915092</t>
  </si>
  <si>
    <t>-477.165756443163 -104.079372578389 193.259757531624</t>
  </si>
  <si>
    <t>-499.708144102668 -21.6720970711506 655.261571826773</t>
  </si>
  <si>
    <t>-489.606983109357 -171.007546782208 747.675975139134</t>
  </si>
  <si>
    <t>9763-20170724T160524.894999900.bin</t>
  </si>
  <si>
    <t>-598.678389089878 121.242043544903 -228.241621810811</t>
  </si>
  <si>
    <t>-636.945073325197 116.676344254767 -343.057199996557</t>
  </si>
  <si>
    <t>-655.043915301827 109.311246844265 -462.676385883386</t>
  </si>
  <si>
    <t>-662.997113874905 101.187026646012 -571.605681691055</t>
  </si>
  <si>
    <t>-662.623887795246 91.47875724613 -680.694884322411</t>
  </si>
  <si>
    <t>-653.455319762008 76.1902850631438 -831.96351900786</t>
  </si>
  <si>
    <t>-620.004069314957 57.7357783801106 -926.42756684739</t>
  </si>
  <si>
    <t>-641.97485046113 110.631726076358 -766.887366263801</t>
  </si>
  <si>
    <t>-553.117592567907 226.829484894871 -751.932259125827</t>
  </si>
  <si>
    <t>-456.207901403554 167.860644571079 -456.437119153139</t>
  </si>
  <si>
    <t>-246.803260331532 82.3798706441191 -328.044037601205</t>
  </si>
  <si>
    <t>-673.049324325363 55.2782857641362 -763.176386766738</t>
  </si>
  <si>
    <t>-563.165298972356 211.102005219998 -243.391374263928</t>
  </si>
  <si>
    <t>-579.224347473061 198.200125332598 211.837425260794</t>
  </si>
  <si>
    <t>-628.120678636382 174.954730757471 678.57007251079</t>
  </si>
  <si>
    <t>-494.759060037934 100.365812282814 765.717519477708</t>
  </si>
  <si>
    <t>-634.091920404314 31.4106305019832 -212.388494032719</t>
  </si>
  <si>
    <t>-476.974779223005 -104.392406787555 193.233724133706</t>
  </si>
  <si>
    <t>-499.684469006789 -21.6541275514817 655.178780506321</t>
  </si>
  <si>
    <t>-489.611272382952 -170.991538924739 747.592910676752</t>
  </si>
  <si>
    <t>9763-20170724T160524.925137700.bin</t>
  </si>
  <si>
    <t>-598.650053990769 121.091429075029 -228.272107262572</t>
  </si>
  <si>
    <t>-636.924200875652 116.503802578308 -343.084384679601</t>
  </si>
  <si>
    <t>-655.023904369308 109.142923907039 -462.703643451621</t>
  </si>
  <si>
    <t>-662.975404902668 101.029017232157 -571.63386127466</t>
  </si>
  <si>
    <t>-662.597996665693 91.3354897887625 -680.724425192751</t>
  </si>
  <si>
    <t>-653.421760071291 76.0694903832771 -831.994853896084</t>
  </si>
  <si>
    <t>-620.000380301751 57.6068352783443 -926.467677914181</t>
  </si>
  <si>
    <t>-641.9062093043 110.479938172772 -766.908418430452</t>
  </si>
  <si>
    <t>-552.883031396285 226.557319457544 -751.921348637584</t>
  </si>
  <si>
    <t>-456.138053947448 167.446955383652 -456.400625977153</t>
  </si>
  <si>
    <t>-250.082221254564 78.2386749131076 -325.156631452884</t>
  </si>
  <si>
    <t>-673.057704637545 55.1685141471705 -763.216299757305</t>
  </si>
  <si>
    <t>-563.147993523434 210.976672048631 -243.431071799826</t>
  </si>
  <si>
    <t>-579.189522215208 198.133993922591 211.800068815467</t>
  </si>
  <si>
    <t>-628.0396180421 175.057764358435 678.533194399873</t>
  </si>
  <si>
    <t>-494.762482224083 100.365202414197 765.721107472434</t>
  </si>
  <si>
    <t>-634.040480906777 31.2286332520403 -212.409612737295</t>
  </si>
  <si>
    <t>-476.86758544651 -104.520883300915 193.208984133698</t>
  </si>
  <si>
    <t>-499.690755993135 -21.6537413136384 655.123627422645</t>
  </si>
  <si>
    <t>-489.60804471344 -170.98492833022 747.546761307763</t>
  </si>
  <si>
    <t>9763-20170724T160524.993319100.bin</t>
  </si>
  <si>
    <t>-598.748228633258 120.728134129794 -228.266344658138</t>
  </si>
  <si>
    <t>-637.009184271673 116.124504496244 -343.082418863487</t>
  </si>
  <si>
    <t>-655.115306086671 108.771875978636 -462.701288224426</t>
  </si>
  <si>
    <t>-663.082203653588 100.665772539642 -571.630914168834</t>
  </si>
  <si>
    <t>-662.730883923945 90.9749197820304 -680.721853596386</t>
  </si>
  <si>
    <t>-653.602720539972 75.7028018645437 -831.994485114459</t>
  </si>
  <si>
    <t>-620.320058614246 57.1888690100691 -926.50629503192</t>
  </si>
  <si>
    <t>-641.960878471966 110.056822811684 -766.900821858856</t>
  </si>
  <si>
    <t>-552.530270840645 225.805326358699 -751.801566496248</t>
  </si>
  <si>
    <t>-456.645692477957 166.262858449598 -456.087137759091</t>
  </si>
  <si>
    <t>-262.889241250699 64.9885143560762 -315.218404424357</t>
  </si>
  <si>
    <t>-673.322537250667 54.8635152765648 -763.221104038055</t>
  </si>
  <si>
    <t>-563.224169143961 210.584578058465 -243.444374017741</t>
  </si>
  <si>
    <t>-579.183410191536 197.882711189638 211.793588224453</t>
  </si>
  <si>
    <t>-628.069604857314 175.046227549428 678.551468851962</t>
  </si>
  <si>
    <t>-494.831066223269 100.268631544671 765.72553979525</t>
  </si>
  <si>
    <t>-634.183558359983 30.8926343891876 -212.404535830013</t>
  </si>
  <si>
    <t>-476.946342945816 -104.734475815793 193.230084855022</t>
  </si>
  <si>
    <t>-499.698484559705 -21.6401403917528 655.06975992154</t>
  </si>
  <si>
    <t>-489.581013443506 -170.967605272288 747.49531487161</t>
  </si>
  <si>
    <t>9763-20170724T160525.024478500.bin</t>
  </si>
  <si>
    <t>-598.834233264805 120.499424852545 -228.263009934952</t>
  </si>
  <si>
    <t>-637.113858881528 115.899309531545 -343.072897223795</t>
  </si>
  <si>
    <t>-655.206849824475 108.584674209236 -462.696085255479</t>
  </si>
  <si>
    <t>-663.147936678954 100.525807992364 -571.631187327409</t>
  </si>
  <si>
    <t>-662.75674198743 90.8941862860706 -680.727165306459</t>
  </si>
  <si>
    <t>-653.558522012383 75.7160855477546 -832.005150848021</t>
  </si>
  <si>
    <t>-620.36661655299 57.2447933426406 -926.557105142911</t>
  </si>
  <si>
    <t>-641.919284353113 110.014347092337 -766.8814449867</t>
  </si>
  <si>
    <t>-552.364917053747 225.643622633472 -751.631610113272</t>
  </si>
  <si>
    <t>-457.165423065444 165.338385728503 -455.850307905416</t>
  </si>
  <si>
    <t>-272.722789923752 54.5950250122587 -309.703642751881</t>
  </si>
  <si>
    <t>-673.337610115547 54.8495073794606 -763.257011919965</t>
  </si>
  <si>
    <t>-563.267341503564 210.330523367974 -243.460000034372</t>
  </si>
  <si>
    <t>-579.189435894409 197.730301950241 211.782063506609</t>
  </si>
  <si>
    <t>-628.118921799599 174.946267800128 678.534632459476</t>
  </si>
  <si>
    <t>-494.871731085749 100.196562461341 765.719355096732</t>
  </si>
  <si>
    <t>-634.292392591923 30.6759814007685 -212.401491882144</t>
  </si>
  <si>
    <t>-477.027043339789 -104.911302538956 193.235510921004</t>
  </si>
  <si>
    <t>-499.687974910437 -21.6351580176515 655.050317705321</t>
  </si>
  <si>
    <t>-489.61403478183 -170.962265969077 747.48112682056</t>
  </si>
  <si>
    <t>9763-20170724T160525.098678000.bin</t>
  </si>
  <si>
    <t>-599.0732097389 120.186119272273 -228.263261118344</t>
  </si>
  <si>
    <t>-637.398554873952 115.611753566688 -343.058983893648</t>
  </si>
  <si>
    <t>-655.386430405497 108.381385965565 -462.703052543038</t>
  </si>
  <si>
    <t>-663.168734337882 100.423034062778 -571.65690860197</t>
  </si>
  <si>
    <t>-662.554107558074 90.9171892682473 -680.762786894616</t>
  </si>
  <si>
    <t>-652.978037784766 75.9408057682315 -832.037518104666</t>
  </si>
  <si>
    <t>-619.988695524246 57.6608537043448 -926.697517141959</t>
  </si>
  <si>
    <t>-641.490529155611 110.145910595139 -766.837937026112</t>
  </si>
  <si>
    <t>-551.990579630557 225.759141353363 -751.238814480832</t>
  </si>
  <si>
    <t>-457.778021788144 165.410000331031 -455.150712308583</t>
  </si>
  <si>
    <t>-287.049563989751 37.817625044881 -306.107059267291</t>
  </si>
  <si>
    <t>-672.939761396672 54.9888814870806 -763.36839566215</t>
  </si>
  <si>
    <t>-563.387954097491 209.954406240456 -243.520462193118</t>
  </si>
  <si>
    <t>-579.194692724171 197.524782527918 211.730327955707</t>
  </si>
  <si>
    <t>-628.066328958385 174.94921756622 678.479871737385</t>
  </si>
  <si>
    <t>-494.866258080237 100.191427022128 765.7296612587</t>
  </si>
  <si>
    <t>-634.661173854441 30.4883928411555 -212.30277582948</t>
  </si>
  <si>
    <t>-477.212120100363 -105.317301958117 193.189821274525</t>
  </si>
  <si>
    <t>-499.693751696101 -21.6330792059371 654.957473677553</t>
  </si>
  <si>
    <t>-489.697347090432 -170.953606056319 747.407257146505</t>
  </si>
  <si>
    <t>9763-20170724T160525.123751200.bin</t>
  </si>
  <si>
    <t>-599.159093738468 120.032473422898 -228.30122758855</t>
  </si>
  <si>
    <t>-637.501685466117 115.488529898115 -343.092325332511</t>
  </si>
  <si>
    <t>-655.387050712307 108.310024009068 -462.754926293963</t>
  </si>
  <si>
    <t>-663.026604765624 100.407875280699 -571.722962025145</t>
  </si>
  <si>
    <t>-662.21888648887 90.9682601128675 -680.833538789827</t>
  </si>
  <si>
    <t>-652.322096524458 76.0952488639418 -832.097686252373</t>
  </si>
  <si>
    <t>-619.432982933562 57.9604832704974 -926.820528489259</t>
  </si>
  <si>
    <t>-640.981998999674 110.261072304208 -766.851797717856</t>
  </si>
  <si>
    <t>-551.51876952956 225.899521557716 -751.093294396485</t>
  </si>
  <si>
    <t>-457.884178973895 165.825184488956 -454.766036584871</t>
  </si>
  <si>
    <t>-289.663343876472 34.137041970245 -306.435249418369</t>
  </si>
  <si>
    <t>-672.420147924828 55.0912316967897 -763.484107780857</t>
  </si>
  <si>
    <t>-563.416209791981 209.774873011975 -243.564758708045</t>
  </si>
  <si>
    <t>-579.191615720116 197.463865069905 211.6903492448</t>
  </si>
  <si>
    <t>-628.015036086599 174.99372079389 678.449364800776</t>
  </si>
  <si>
    <t>-494.894393773945 100.144423844515 765.741870831909</t>
  </si>
  <si>
    <t>-634.755601693792 30.3226873710064 -212.33654501061</t>
  </si>
  <si>
    <t>-477.300769437452 -105.483502966862 193.153724105112</t>
  </si>
  <si>
    <t>-499.698591263383 -21.63508632961 654.889148152182</t>
  </si>
  <si>
    <t>-489.752241853898 -170.949762567083 747.353874684518</t>
  </si>
  <si>
    <t>9763-20170724T160525.192938300.bin</t>
  </si>
  <si>
    <t>-599.362168738723 119.612464533181 -228.440331275122</t>
  </si>
  <si>
    <t>-637.739761948656 115.156321762304 -343.223246894298</t>
  </si>
  <si>
    <t>-655.515952010847 108.073919869745 -462.907770187359</t>
  </si>
  <si>
    <t>-662.996221528126 100.264431826011 -571.893652621804</t>
  </si>
  <si>
    <t>-661.968110571524 90.9251224165994 -681.010958065392</t>
  </si>
  <si>
    <t>-651.701905286373 76.2007418664186 -832.265006725495</t>
  </si>
  <si>
    <t>-618.956995785197 58.2767036435323 -927.077879767045</t>
  </si>
  <si>
    <t>-640.552283672415 110.31975642452 -766.961836413085</t>
  </si>
  <si>
    <t>-551.303205613628 226.082681771825 -750.909808224611</t>
  </si>
  <si>
    <t>-458.856676558385 165.834672828598 -454.245028278263</t>
  </si>
  <si>
    <t>-295.554406948718 26.369759722432 -307.534548876003</t>
  </si>
  <si>
    <t>-671.936558888576 55.1118090208797 -763.717646388462</t>
  </si>
  <si>
    <t>-563.61534260264 209.381881395114 -243.652243978541</t>
  </si>
  <si>
    <t>-579.231933303978 197.129117584175 211.609882451599</t>
  </si>
  <si>
    <t>-628.002725422891 174.989047388934 678.432317541345</t>
  </si>
  <si>
    <t>-494.930295133642 100.081972843033 765.748784949722</t>
  </si>
  <si>
    <t>-635.003707126752 29.8680302395503 -212.534930867494</t>
  </si>
  <si>
    <t>-477.484871242704 -105.624019102629 193.035480442231</t>
  </si>
  <si>
    <t>-499.865572517326 -21.6707299777408 654.757666140404</t>
  </si>
  <si>
    <t>-489.869839738155 -170.945673306998 747.281028251081</t>
  </si>
  <si>
    <t>9763-20170724T160525.227023300.bin</t>
  </si>
  <si>
    <t>-599.499700287414 119.398641819304 -228.487303208399</t>
  </si>
  <si>
    <t>-637.840353481505 114.936457323053 -343.282297325169</t>
  </si>
  <si>
    <t>-655.575795761525 107.895644844087 -462.975490975181</t>
  </si>
  <si>
    <t>-663.017454041418 100.142225634562 -571.967878961829</t>
  </si>
  <si>
    <t>-661.948893902614 90.8767464686841 -681.091088144722</t>
  </si>
  <si>
    <t>-651.624449412578 76.2728518897404 -832.35280114086</t>
  </si>
  <si>
    <t>-618.930238001915 58.4378969818047 -927.200043747898</t>
  </si>
  <si>
    <t>-640.506122831527 110.343230078717 -767.019126133647</t>
  </si>
  <si>
    <t>-551.339260355107 226.159501818133 -750.834793591999</t>
  </si>
  <si>
    <t>-459.441546104488 165.594518024652 -454.064047430853</t>
  </si>
  <si>
    <t>-296.964862811464 24.7754876289484 -307.730904272354</t>
  </si>
  <si>
    <t>-671.879310472274 55.1259663983988 -763.829344540094</t>
  </si>
  <si>
    <t>-563.760435566447 209.147643458506 -243.66925201962</t>
  </si>
  <si>
    <t>-579.369766234217 196.981140379526 211.595524339699</t>
  </si>
  <si>
    <t>-628.030713116585 174.967923666852 678.448450007497</t>
  </si>
  <si>
    <t>-494.84860688394 100.218563423866 765.732872180309</t>
  </si>
  <si>
    <t>-635.121749756303 29.6826286889234 -212.624086122293</t>
  </si>
  <si>
    <t>-477.594377631242 -105.649233119981 192.996548085238</t>
  </si>
  <si>
    <t>-499.929949951649 -21.691740050413 654.704668123341</t>
  </si>
  <si>
    <t>-489.855401103215 -170.940631321534 747.26157329044</t>
  </si>
  <si>
    <t>9763-20170724T160525.292200400.bin</t>
  </si>
  <si>
    <t>-599.704295733762 119.034172099943 -228.511026593704</t>
  </si>
  <si>
    <t>-638.002463548151 114.549151153129 -343.319226973281</t>
  </si>
  <si>
    <t>-655.697017118051 107.573787534154 -463.022289272134</t>
  </si>
  <si>
    <t>-663.101484062649 99.9144162479763 -572.023893066824</t>
  </si>
  <si>
    <t>-661.995050264236 90.7769056931402 -681.157414340999</t>
  </si>
  <si>
    <t>-651.616501736492 76.3856202154359 -832.435982616238</t>
  </si>
  <si>
    <t>-619.001663644763 58.7064742016303 -927.339603426616</t>
  </si>
  <si>
    <t>-640.54209930216 110.375623965185 -767.052870557328</t>
  </si>
  <si>
    <t>-551.57654102819 226.306500418546 -750.6717441953</t>
  </si>
  <si>
    <t>-459.979610494396 165.140395414474 -453.931283456812</t>
  </si>
  <si>
    <t>-295.086522061939 27.8114890253682 -306.985328968088</t>
  </si>
  <si>
    <t>-671.87531396687 55.130972183867 -763.946900302747</t>
  </si>
  <si>
    <t>-564.05408657841 208.804567891074 -243.663383825048</t>
  </si>
  <si>
    <t>-579.607215011978 196.846239039897 211.608764073497</t>
  </si>
  <si>
    <t>-628.100327157383 174.909413643114 678.469652941637</t>
  </si>
  <si>
    <t>-494.928034768379 100.100069060882 765.717669272526</t>
  </si>
  <si>
    <t>-635.232866738377 29.2926092924824 -212.67409420711</t>
  </si>
  <si>
    <t>-477.695476323812 -105.846158857193 193.007026286113</t>
  </si>
  <si>
    <t>-499.966429005574 -21.6884458266918 654.675653081087</t>
  </si>
  <si>
    <t>-489.848556557081 -170.922341208005 747.252071488761</t>
  </si>
  <si>
    <t>9763-20170724T160525.326295400.bin</t>
  </si>
  <si>
    <t>-599.749661457856 118.972252231529 -228.519964646423</t>
  </si>
  <si>
    <t>-638.083808819885 114.484830787107 -343.316036177418</t>
  </si>
  <si>
    <t>-655.778018228483 107.551555625242 -463.021604148118</t>
  </si>
  <si>
    <t>-663.165870762125 99.9485642086881 -572.028219377479</t>
  </si>
  <si>
    <t>-662.026170075583 90.8854719888186 -681.167652142729</t>
  </si>
  <si>
    <t>-651.58364271159 76.6164302761354 -832.453395135621</t>
  </si>
  <si>
    <t>-618.967841161794 59.0116966525338 -927.370595573478</t>
  </si>
  <si>
    <t>-640.552222570755 110.562299710859 -767.039968629763</t>
  </si>
  <si>
    <t>-551.655545195569 226.514494437004 -750.547848049539</t>
  </si>
  <si>
    <t>-459.892086650741 165.175908330935 -453.8944001984</t>
  </si>
  <si>
    <t>-287.534986538267 38.9537708366227 -305.560076234972</t>
  </si>
  <si>
    <t>-671.856029927288 55.2978050528875 -763.988301240958</t>
  </si>
  <si>
    <t>-564.150517118513 208.72471912776 -243.671199493078</t>
  </si>
  <si>
    <t>-579.602684865167 196.810598245531 211.605566052272</t>
  </si>
  <si>
    <t>-628.08878090199 174.936639256473 678.474403727264</t>
  </si>
  <si>
    <t>-494.896233821802 100.150705922626 765.71157629497</t>
  </si>
  <si>
    <t>-635.234647095682 29.2557539283898 -212.652789113304</t>
  </si>
  <si>
    <t>-477.673437598939 -105.916107403509 193.008024887351</t>
  </si>
  <si>
    <t>-499.967892476764 -21.676516119395 654.664508319489</t>
  </si>
  <si>
    <t>-489.868126745083 -170.914126648491 747.236865959677</t>
  </si>
  <si>
    <t>9763-20170724T160525.392470000.bin</t>
  </si>
  <si>
    <t>-599.901334071394 118.91068171199 -228.504425804287</t>
  </si>
  <si>
    <t>-638.308097694447 114.409478341604 -343.275814159045</t>
  </si>
  <si>
    <t>-656.085361750178 107.487806789117 -462.969599677296</t>
  </si>
  <si>
    <t>-663.550599345285 99.911763498608 -571.97294693242</t>
  </si>
  <si>
    <t>-662.489216958848 90.8955587749374 -681.11701892847</t>
  </si>
  <si>
    <t>-652.154844229381 76.7158851697081 -832.418636308745</t>
  </si>
  <si>
    <t>-619.535033820544 59.1623025587285 -927.34382331772</t>
  </si>
  <si>
    <t>-641.131940811878 110.653875168772 -766.9998326067</t>
  </si>
  <si>
    <t>-552.575794996143 226.877087200216 -750.430708799762</t>
  </si>
  <si>
    <t>-459.910056215854 164.863359342722 -454.198437329176</t>
  </si>
  <si>
    <t>-275.827694361389 53.5865345104203 -308.002701585404</t>
  </si>
  <si>
    <t>-672.323074153558 55.325968060163 -763.944933956122</t>
  </si>
  <si>
    <t>-564.314128054015 208.659222901005 -243.677384632136</t>
  </si>
  <si>
    <t>-579.58950179702 196.628574665426 211.602401402555</t>
  </si>
  <si>
    <t>-628.178509350603 174.77619893482 678.46954310087</t>
  </si>
  <si>
    <t>-494.84716610635 100.229582202196 765.699518112433</t>
  </si>
  <si>
    <t>-635.368426897637 29.197432931212 -212.612541137305</t>
  </si>
  <si>
    <t>-477.738006944528 -105.965238406961 193.024431699361</t>
  </si>
  <si>
    <t>-500.012707943104 -21.6475194074555 654.670177292388</t>
  </si>
  <si>
    <t>-489.860673731149 -170.89633659317 747.218611514963</t>
  </si>
  <si>
    <t>9763-20170724T160525.424055400.bin</t>
  </si>
  <si>
    <t>-599.894651517862 118.974915179062 -228.499935060225</t>
  </si>
  <si>
    <t>-638.302498170973 114.444130887307 -343.269769258144</t>
  </si>
  <si>
    <t>-656.089948349073 107.494989320344 -462.960573345833</t>
  </si>
  <si>
    <t>-663.568176320035 99.8961870231547 -571.961322732398</t>
  </si>
  <si>
    <t>-662.522898017082 90.860716280202 -681.103995142345</t>
  </si>
  <si>
    <t>-652.214368320839 76.6580840336878 -832.405126481171</t>
  </si>
  <si>
    <t>-619.555660319682 59.1263063450531 -927.32108648923</t>
  </si>
  <si>
    <t>-641.191682095424 110.6123606496 -766.994776738633</t>
  </si>
  <si>
    <t>-552.668300221063 226.846020624506 -750.450421179102</t>
  </si>
  <si>
    <t>-459.650386023815 164.988877564271 -454.295735293791</t>
  </si>
  <si>
    <t>-272.806756401618 57.0830715054592 -309.079187867367</t>
  </si>
  <si>
    <t>-672.359504203199 55.272218618868 -763.923532958974</t>
  </si>
  <si>
    <t>-564.304702224096 208.721716515637 -243.704164557422</t>
  </si>
  <si>
    <t>-579.555421090251 196.711455145597 211.576950271894</t>
  </si>
  <si>
    <t>-628.110982311921 174.834896929298 678.428225702784</t>
  </si>
  <si>
    <t>-494.90836213794 100.113036531531 765.70489390646</t>
  </si>
  <si>
    <t>-635.354961714102 29.252223224298 -212.58343736291</t>
  </si>
  <si>
    <t>-477.712590323462 -105.984745004565 193.024080869284</t>
  </si>
  <si>
    <t>-499.998671428363 -21.6297103435284 654.665800445492</t>
  </si>
  <si>
    <t>-489.886700984021 -170.886929772392 747.205183224746</t>
  </si>
  <si>
    <t>9763-20170724T160525.493286500.bin</t>
  </si>
  <si>
    <t>-599.930796231472 119.041517343101 -228.501092157632</t>
  </si>
  <si>
    <t>-638.378891610301 114.503070952555 -343.257175891264</t>
  </si>
  <si>
    <t>-656.220934524921 107.527305089746 -462.938335908407</t>
  </si>
  <si>
    <t>-663.753778622309 99.898826601383 -571.933275700713</t>
  </si>
  <si>
    <t>-662.768442755982 90.8287160456262 -681.073496663734</t>
  </si>
  <si>
    <t>-652.548210504437 76.5740276872075 -832.375770018604</t>
  </si>
  <si>
    <t>-619.902489058174 59.0116114188556 -927.290528288923</t>
  </si>
  <si>
    <t>-641.490618094886 110.552592221002 -766.983971725092</t>
  </si>
  <si>
    <t>-552.881191178597 226.75632001013 -750.500172494724</t>
  </si>
  <si>
    <t>-459.353142420582 165.376320641674 -454.406971569201</t>
  </si>
  <si>
    <t>-262.422267954993 67.9795107585808 -315.21598039912</t>
  </si>
  <si>
    <t>-672.650115164674 55.2099261855703 -763.874592342465</t>
  </si>
  <si>
    <t>-564.315142186948 208.797548731291 -243.738334450939</t>
  </si>
  <si>
    <t>-579.516159639757 196.700184601444 211.542131518479</t>
  </si>
  <si>
    <t>-628.082337065816 174.878255854958 678.427258273961</t>
  </si>
  <si>
    <t>-494.883016091506 100.156397862043 765.708972856355</t>
  </si>
  <si>
    <t>-635.430868839256 29.3308168153626 -212.564926264131</t>
  </si>
  <si>
    <t>-477.664650928455 -105.962599431929 192.975680647635</t>
  </si>
  <si>
    <t>-500.046856182911 -21.6559225691824 654.595914973571</t>
  </si>
  <si>
    <t>-489.927584684073 -170.883973733618 747.181389411198</t>
  </si>
  <si>
    <t>9763-20170724T160525.524372900.bin</t>
  </si>
  <si>
    <t>-599.985722595328 119.089636882988 -228.483425507951</t>
  </si>
  <si>
    <t>-638.442120098701 114.517754622204 -343.235287281864</t>
  </si>
  <si>
    <t>-656.329888979053 107.523935858017 -462.908666294807</t>
  </si>
  <si>
    <t>-663.919450623505 99.8849903462992 -571.898925089125</t>
  </si>
  <si>
    <t>-663.005880619472 90.810192346125 -681.039456291992</t>
  </si>
  <si>
    <t>-652.900709796151 76.5547574041746 -832.349420280873</t>
  </si>
  <si>
    <t>-620.315686788335 58.9624798621614 -927.279411429259</t>
  </si>
  <si>
    <t>-641.78624917218 110.52981826792 -766.965143904724</t>
  </si>
  <si>
    <t>-553.146187768259 226.687368707358 -750.458317770425</t>
  </si>
  <si>
    <t>-459.213643239639 165.399443433631 -454.474111979978</t>
  </si>
  <si>
    <t>-255.063174558342 75.8283589385665 -320.527665369471</t>
  </si>
  <si>
    <t>-672.957521203412 55.1949918719274 -763.833674031202</t>
  </si>
  <si>
    <t>-564.35712594927 208.819153175088 -243.743259541986</t>
  </si>
  <si>
    <t>-579.525475344168 196.724644716048 211.538377743892</t>
  </si>
  <si>
    <t>-628.089149939027 174.859198151181 678.419966343643</t>
  </si>
  <si>
    <t>-494.916107403782 100.094356578951 765.70496384037</t>
  </si>
  <si>
    <t>-635.50327159055 29.4040248599886 -212.503154013528</t>
  </si>
  <si>
    <t>-477.702876617216 -105.938976022489 193.007595843936</t>
  </si>
  <si>
    <t>-500.045932522599 -21.6396504638394 654.61685189077</t>
  </si>
  <si>
    <t>-489.946705897003 -170.876592600591 747.190304045837</t>
  </si>
  <si>
    <t>9763-20170724T160525.589742200.bin</t>
  </si>
  <si>
    <t>-600.112255179691 119.137056544872 -228.466416384006</t>
  </si>
  <si>
    <t>-638.587062568699 114.547173948798 -343.211391837938</t>
  </si>
  <si>
    <t>-656.587417169537 107.534725821521 -462.866697753097</t>
  </si>
  <si>
    <t>-664.317389577467 99.879792175783 -571.846161789537</t>
  </si>
  <si>
    <t>-663.582353765215 90.7905047479535 -680.986820810071</t>
  </si>
  <si>
    <t>-653.764317362429 76.5168010159475 -832.31391857105</t>
  </si>
  <si>
    <t>-621.327357674428 58.861471909815 -927.28289254571</t>
  </si>
  <si>
    <t>-642.512247324191 110.492148319972 -766.953273500033</t>
  </si>
  <si>
    <t>-553.70257271197 226.495306666287 -750.299421824973</t>
  </si>
  <si>
    <t>-458.4854288245 165.061910361411 -454.756084241101</t>
  </si>
  <si>
    <t>-240.051890771507 88.5926950316114 -336.091519334756</t>
  </si>
  <si>
    <t>-673.704723804573 55.1728157022228 -763.759372899067</t>
  </si>
  <si>
    <t>-564.445409178092 208.839312253848 -243.748425338329</t>
  </si>
  <si>
    <t>-579.586919629856 196.71728987204 211.533373437963</t>
  </si>
  <si>
    <t>-628.130175617772 174.820773951686 678.423949166058</t>
  </si>
  <si>
    <t>-494.931858709841 100.085531428951 765.695757588868</t>
  </si>
  <si>
    <t>-635.670966245205 29.4710485874809 -212.503695608891</t>
  </si>
  <si>
    <t>-477.873143931566 -105.913643624573 192.994111087733</t>
  </si>
  <si>
    <t>-500.080483585417 -21.6280463771459 654.639249247871</t>
  </si>
  <si>
    <t>-489.99598476957 -170.860652212166 747.221422307393</t>
  </si>
  <si>
    <t>9763-20170724T160525.628850200.bin</t>
  </si>
  <si>
    <t>-600.237972095277 119.21619791036 -228.444895277903</t>
  </si>
  <si>
    <t>-638.722062143787 114.609265896147 -343.186319992139</t>
  </si>
  <si>
    <t>-656.728812775136 107.576175454196 -462.83931013463</t>
  </si>
  <si>
    <t>-664.463508596134 99.9009299346117 -571.81689145407</t>
  </si>
  <si>
    <t>-663.732011632274 90.7898562783703 -680.95579533814</t>
  </si>
  <si>
    <t>-653.917666257104 76.4843629592986 -832.28003317297</t>
  </si>
  <si>
    <t>-621.492678074985 58.8316235284549 -927.253661480745</t>
  </si>
  <si>
    <t>-642.657378582966 110.469669442118 -766.926271792311</t>
  </si>
  <si>
    <t>-553.783998495002 226.433661270946 -750.253530112152</t>
  </si>
  <si>
    <t>-457.462732007528 165.470786733704 -454.970777919867</t>
  </si>
  <si>
    <t>-233.870312453063 92.823404679951 -343.746556741769</t>
  </si>
  <si>
    <t>-673.86308712756 55.1584818984102 -763.721355727464</t>
  </si>
  <si>
    <t>-564.540267328153 208.925366618358 -243.764377989163</t>
  </si>
  <si>
    <t>-579.58599245303 196.735628101427 211.518659258455</t>
  </si>
  <si>
    <t>-628.090390827658 174.852793040466 678.394004025592</t>
  </si>
  <si>
    <t>-494.937708812774 100.066477983105 765.691672577357</t>
  </si>
  <si>
    <t>-635.796329516599 29.5640929313192 -212.440068309635</t>
  </si>
  <si>
    <t>-477.956318798843 -105.886892898924 193.019273346827</t>
  </si>
  <si>
    <t>-500.085385047011 -21.6245900091299 654.645139744569</t>
  </si>
  <si>
    <t>-490.022235527026 -170.854438528636 747.23404327478</t>
  </si>
  <si>
    <t>9763-20170724T160525.694023100.bin</t>
  </si>
  <si>
    <t>-600.424129321589 119.195787197335 -228.433738053064</t>
  </si>
  <si>
    <t>-639.003243245675 114.614041247391 -343.144111216076</t>
  </si>
  <si>
    <t>-657.112823577206 107.561569225086 -462.78057260862</t>
  </si>
  <si>
    <t>-664.942821419002 99.8530980189282 -571.74888111825</t>
  </si>
  <si>
    <t>-664.308976799788 90.6940466574363 -680.884423357313</t>
  </si>
  <si>
    <t>-654.631962834537 76.3083638268379 -832.209968845892</t>
  </si>
  <si>
    <t>-622.280362441061 58.6240567135492 -927.202743498905</t>
  </si>
  <si>
    <t>-643.296761601873 110.319613651068 -766.882550703889</t>
  </si>
  <si>
    <t>-554.317083465947 226.217404418647 -750.265911299297</t>
  </si>
  <si>
    <t>-456.179018072323 166.220594585685 -455.38362100734</t>
  </si>
  <si>
    <t>-227.361434674368 96.2942900051337 -353.428431568034</t>
  </si>
  <si>
    <t>-674.530693789841 55.0275838744631 -763.62360077073</t>
  </si>
  <si>
    <t>-564.647290546847 208.880014060358 -243.78683866566</t>
  </si>
  <si>
    <t>-579.555939572962 196.69108814398 211.500796915173</t>
  </si>
  <si>
    <t>-628.035653340783 174.922924406399 678.366599792707</t>
  </si>
  <si>
    <t>-494.994211934243 99.9783922217464 765.698183654995</t>
  </si>
  <si>
    <t>-636.109842007155 29.5323320923972 -212.377571782448</t>
  </si>
  <si>
    <t>-478.02264693475 -105.921539055283 192.984438464979</t>
  </si>
  <si>
    <t>-500.111923647573 -21.631610494348 654.626185471874</t>
  </si>
  <si>
    <t>-490.097497286502 -170.84290216313 747.250217040835</t>
  </si>
  <si>
    <t>9763-20170724T160525.727119100.bin</t>
  </si>
  <si>
    <t>-600.600853779943 119.211214773192 -228.459401132043</t>
  </si>
  <si>
    <t>-639.205871607616 114.642321803446 -343.161546595627</t>
  </si>
  <si>
    <t>-657.378973975668 107.594081207265 -462.788560799678</t>
  </si>
  <si>
    <t>-665.281847082557 99.8870675310955 -571.751914825259</t>
  </si>
  <si>
    <t>-664.735517072465 90.7285182256221 -680.887954596866</t>
  </si>
  <si>
    <t>-655.195364479989 76.3427403632668 -832.222155417401</t>
  </si>
  <si>
    <t>-622.890783156803 58.6556622783671 -927.230324824276</t>
  </si>
  <si>
    <t>-643.799131299066 110.352921857333 -766.90478557798</t>
  </si>
  <si>
    <t>-554.780635894648 226.222213539987 -750.366147493035</t>
  </si>
  <si>
    <t>-455.842288997298 166.70372131906 -455.654598192103</t>
  </si>
  <si>
    <t>-225.265410154355 97.3378066731127 -357.345185439721</t>
  </si>
  <si>
    <t>-675.034062991127 55.0630540575044 -763.618118375215</t>
  </si>
  <si>
    <t>-564.785253737552 208.881181940426 -243.824748715395</t>
  </si>
  <si>
    <t>-579.586454881852 196.638721173026 211.464959976823</t>
  </si>
  <si>
    <t>-628.037387639375 174.877013183224 678.347407479389</t>
  </si>
  <si>
    <t>-494.969465131168 100.003647610983 765.699692975363</t>
  </si>
  <si>
    <t>-636.322415157168 29.5801945029079 -212.386707202755</t>
  </si>
  <si>
    <t>-478.209285609926 -105.886729818262 192.960847925063</t>
  </si>
  <si>
    <t>-500.139126941106 -21.6377479297894 654.613341925952</t>
  </si>
  <si>
    <t>-490.124608608808 -170.837271894198 747.25636090157</t>
  </si>
  <si>
    <t>9763-20170724T160525.790288000.bin</t>
  </si>
  <si>
    <t>-600.977650904244 119.191649311015 -228.538126226643</t>
  </si>
  <si>
    <t>-639.668612104221 114.687230150326 -343.213917607269</t>
  </si>
  <si>
    <t>-657.978800247683 107.673520858983 -462.821956397325</t>
  </si>
  <si>
    <t>-666.026398042223 99.9847763626553 -571.775934309386</t>
  </si>
  <si>
    <t>-665.645424509992 90.8310793009694 -680.913156714676</t>
  </si>
  <si>
    <t>-656.356172662551 76.4377871215606 -832.262354507384</t>
  </si>
  <si>
    <t>-624.187856778686 58.7273211288191 -927.312353438982</t>
  </si>
  <si>
    <t>-644.8261757933 110.436984980531 -766.962586133186</t>
  </si>
  <si>
    <t>-555.564181253998 226.113919958528 -750.439245688973</t>
  </si>
  <si>
    <t>-455.799593136381 166.809442393559 -455.96314642405</t>
  </si>
  <si>
    <t>-223.154321874742 98.5252079352042 -361.859534287002</t>
  </si>
  <si>
    <t>-676.106646191629 55.1756799272007 -763.62725214166</t>
  </si>
  <si>
    <t>-565.109534633226 208.846867869125 -243.918327648008</t>
  </si>
  <si>
    <t>-579.599442147037 196.457646375748 211.377465263177</t>
  </si>
  <si>
    <t>-627.948334995227 174.894763752311 678.257961437666</t>
  </si>
  <si>
    <t>-494.92837308137 100.047981133334 765.705996699696</t>
  </si>
  <si>
    <t>-636.682093804215 29.576221197038 -212.472031431624</t>
  </si>
  <si>
    <t>-478.527994001894 -105.894990881723 192.858007763993</t>
  </si>
  <si>
    <t>-500.218133102311 -21.6854110070376 654.536046232513</t>
  </si>
  <si>
    <t>-490.232633852217 -170.833291275631 747.265360912384</t>
  </si>
  <si>
    <t>9763-20170724T160525.827936600.bin</t>
  </si>
  <si>
    <t>-601.152683809914 119.268910985622 -228.580874926616</t>
  </si>
  <si>
    <t>-639.91544221083 114.80532648657 -343.233955968184</t>
  </si>
  <si>
    <t>-658.288874298916 107.838628367448 -462.835067808854</t>
  </si>
  <si>
    <t>-666.38931094955 100.193920284858 -571.788274426325</t>
  </si>
  <si>
    <t>-666.056528343784 91.0852247354189 -680.929310029112</t>
  </si>
  <si>
    <t>-656.829152999185 76.755056697599 -832.288272101508</t>
  </si>
  <si>
    <t>-624.736914375125 59.0702229616106 -927.368860814453</t>
  </si>
  <si>
    <t>-645.246723497098 110.712688945332 -766.976247761186</t>
  </si>
  <si>
    <t>-555.805577297627 226.267395465145 -750.451174026197</t>
  </si>
  <si>
    <t>-456.225932641665 166.512035541858 -456.003545461006</t>
  </si>
  <si>
    <t>-222.93619363985 99.1487365948733 -362.836246246196</t>
  </si>
  <si>
    <t>-676.577200363657 55.4787788235292 -763.65694055268</t>
  </si>
  <si>
    <t>-565.257080689622 208.937773158328 -243.990899177969</t>
  </si>
  <si>
    <t>-579.533663587303 196.441342142903 211.308670635033</t>
  </si>
  <si>
    <t>-627.84510652464 174.952740685789 678.180561970161</t>
  </si>
  <si>
    <t>-495.000058484535 99.9154704324058 765.73118997531</t>
  </si>
  <si>
    <t>-636.908587082567 29.6433984549726 -212.495263890038</t>
  </si>
  <si>
    <t>-478.595565589483 -105.880660394851 192.755126519</t>
  </si>
  <si>
    <t>-500.283579268167 -21.7395830699668 654.435847376168</t>
  </si>
  <si>
    <t>-490.295583679422 -170.838716314056 747.243188013843</t>
  </si>
  <si>
    <t>9763-20170724T160525.895127200.bin</t>
  </si>
  <si>
    <t>-601.55793023202 119.576963312018 -228.676256116778</t>
  </si>
  <si>
    <t>-640.505681202229 115.191557026606 -343.269677859432</t>
  </si>
  <si>
    <t>-658.986789461754 108.281953075123 -462.857546899227</t>
  </si>
  <si>
    <t>-667.151395649965 100.678236314667 -571.808778875654</t>
  </si>
  <si>
    <t>-666.848829104608 91.5995862599907 -680.952424479023</t>
  </si>
  <si>
    <t>-657.62813326502 77.2991892116738 -832.314567913987</t>
  </si>
  <si>
    <t>-625.67222657864 59.6213039111346 -927.442367289142</t>
  </si>
  <si>
    <t>-645.971786851607 111.204095112184 -766.988322240117</t>
  </si>
  <si>
    <t>-556.207583385194 226.470729107884 -750.361573376133</t>
  </si>
  <si>
    <t>-457.220995871042 165.939132418142 -455.872561736263</t>
  </si>
  <si>
    <t>-222.440836268824 99.7932109534945 -365.622762899289</t>
  </si>
  <si>
    <t>-677.444157509375 56.0493277025296 -763.694701531397</t>
  </si>
  <si>
    <t>-565.490398086191 209.206018633704 -244.150574083464</t>
  </si>
  <si>
    <t>-579.405433867533 196.500573891079 211.154354975613</t>
  </si>
  <si>
    <t>-627.65570904698 175.073821589042 678.060406515715</t>
  </si>
  <si>
    <t>-494.984878761598 99.9019202605216 765.759595057051</t>
  </si>
  <si>
    <t>-637.525388767972 29.9711780609016 -212.505843912524</t>
  </si>
  <si>
    <t>-478.882158246081 -105.581995748855 192.605673080417</t>
  </si>
  <si>
    <t>-500.364225650949 -21.7631164237821 654.34354146902</t>
  </si>
  <si>
    <t>-490.379797269233 -170.819594079834 747.219749969302</t>
  </si>
  <si>
    <t>9763-20170724T160525.926203300.bin</t>
  </si>
  <si>
    <t>-601.785381548556 119.819496457217 -228.686569470198</t>
  </si>
  <si>
    <t>-640.845220957457 115.497032568085 -343.244255671342</t>
  </si>
  <si>
    <t>-659.4051307254 108.62150614652 -462.821894779989</t>
  </si>
  <si>
    <t>-667.625937005681 101.039586082876 -571.770351098608</t>
  </si>
  <si>
    <t>-667.363929892383 91.975490045236 -680.915378373731</t>
  </si>
  <si>
    <t>-658.182743947279 77.6895989083343 -832.28126042155</t>
  </si>
  <si>
    <t>-626.307961794959 60.0383023210841 -927.441084918059</t>
  </si>
  <si>
    <t>-646.482312699119 111.572807020414 -766.951749149629</t>
  </si>
  <si>
    <t>-556.630532418528 226.797434054543 -750.286959533866</t>
  </si>
  <si>
    <t>-457.584876441367 165.923282414406 -455.88853902948</t>
  </si>
  <si>
    <t>-222.262182105244 100.246403520767 -366.715385328775</t>
  </si>
  <si>
    <t>-678.008023183414 56.4484324906293 -763.661282912972</t>
  </si>
  <si>
    <t>-565.571382658853 209.522796429598 -244.208259787278</t>
  </si>
  <si>
    <t>-579.423042755625 196.74193618513 211.09654018939</t>
  </si>
  <si>
    <t>-627.487497258688 175.30712933326 678.019494471363</t>
  </si>
  <si>
    <t>-495.150267469684 99.6177376393036 765.777583599278</t>
  </si>
  <si>
    <t>-637.913579268627 30.178429123054 -212.484204555316</t>
  </si>
  <si>
    <t>-479.103944657557 -105.437701282682 192.541051218045</t>
  </si>
  <si>
    <t>-500.389461319559 -21.7516738527074 654.318058249994</t>
  </si>
  <si>
    <t>-490.413327415347 -170.803999845999 747.201816643458</t>
  </si>
  <si>
    <t>9763-20170724T160525.991373700.bin</t>
  </si>
  <si>
    <t>-602.2444718611 120.220200154921 -228.665159314322</t>
  </si>
  <si>
    <t>-641.373190201427 115.92243254872 -343.200270808606</t>
  </si>
  <si>
    <t>-660.014933585875 109.012587639373 -462.763216353555</t>
  </si>
  <si>
    <t>-668.31502238675 101.379133289428 -571.702146126619</t>
  </si>
  <si>
    <t>-668.136950701752 92.246011335104 -680.841455784496</t>
  </si>
  <si>
    <t>-659.077029149493 77.8481236343825 -832.204031905426</t>
  </si>
  <si>
    <t>-627.381703751552 60.2393371158589 -927.431810016896</t>
  </si>
  <si>
    <t>-647.25353495534 111.739639872187 -766.901016186152</t>
  </si>
  <si>
    <t>-557.188648509336 226.807209711385 -750.357865914938</t>
  </si>
  <si>
    <t>-457.893878222316 165.736198653947 -456.084059294358</t>
  </si>
  <si>
    <t>-222.62737686099 100.15009942741 -366.696363726363</t>
  </si>
  <si>
    <t>-678.918041453498 56.6977875294472 -763.560552694037</t>
  </si>
  <si>
    <t>-565.706518349459 209.882520338994 -244.282207088438</t>
  </si>
  <si>
    <t>-579.645055413614 197.221894842981 211.023182113979</t>
  </si>
  <si>
    <t>-627.256537759308 175.63435077938 677.976166669187</t>
  </si>
  <si>
    <t>-495.351143159084 99.2703005499593 765.799897908296</t>
  </si>
  <si>
    <t>-638.646207012573 30.5414043833821 -212.357747072179</t>
  </si>
  <si>
    <t>-479.657738297845 -105.300775354579 192.521504759253</t>
  </si>
  <si>
    <t>-500.401547802488 -21.7068886056261 654.29683029499</t>
  </si>
  <si>
    <t>-490.578230339362 -170.770794434329 747.178246478712</t>
  </si>
  <si>
    <t>9763-20170724T160526.024464700.bin</t>
  </si>
  <si>
    <t>-602.403704373153 120.328838791246 -228.672266299489</t>
  </si>
  <si>
    <t>-641.560977850285 116.064940491527 -343.198898512199</t>
  </si>
  <si>
    <t>-660.282278552285 109.132992053105 -462.748139132862</t>
  </si>
  <si>
    <t>-668.675681014691 101.458480357986 -571.67706348046</t>
  </si>
  <si>
    <t>-668.612281878833 92.2644592623635 -680.811490418643</t>
  </si>
  <si>
    <t>-659.733788614213 77.7622808589047 -832.174833330932</t>
  </si>
  <si>
    <t>-628.174935136258 60.1410458084044 -927.445556074589</t>
  </si>
  <si>
    <t>-647.799149429021 111.680115023516 -766.905545068773</t>
  </si>
  <si>
    <t>-557.626139035279 226.677602078818 -750.453532105792</t>
  </si>
  <si>
    <t>-457.784059568513 165.826212696681 -456.319428107016</t>
  </si>
  <si>
    <t>-222.345281341184 100.226803191661 -367.396217638284</t>
  </si>
  <si>
    <t>-679.525312690142 56.6780078718723 -763.496697766917</t>
  </si>
  <si>
    <t>-565.766097062026 209.985844705386 -244.320035070913</t>
  </si>
  <si>
    <t>-579.740708413804 197.353922115218 210.98518086832</t>
  </si>
  <si>
    <t>-627.181756651487 175.717677286899 677.954925719399</t>
  </si>
  <si>
    <t>-495.380857540245 99.2015271595797 765.803137246154</t>
  </si>
  <si>
    <t>-638.900267894412 30.6945119780089 -212.321512144456</t>
  </si>
  <si>
    <t>-479.917309581577 -105.361413319879 192.488192093736</t>
  </si>
  <si>
    <t>-500.4026434378 -21.6932042499791 654.264752139924</t>
  </si>
  <si>
    <t>-490.69532872576 -170.755374716462 747.161190960225</t>
  </si>
  <si>
    <t>9763-20170724T160526.094401800.bin</t>
  </si>
  <si>
    <t>-602.745658477861 120.435665440707 -228.707277210376</t>
  </si>
  <si>
    <t>-641.942345096942 116.229517002038 -343.222457002787</t>
  </si>
  <si>
    <t>-660.792591813181 109.259726468956 -462.749284939996</t>
  </si>
  <si>
    <t>-669.340694692905 101.512100389909 -571.660877751963</t>
  </si>
  <si>
    <t>-669.470631444619 92.2062973620009 -680.785820211454</t>
  </si>
  <si>
    <t>-660.90112833194 77.5087752741524 -832.148137029586</t>
  </si>
  <si>
    <t>-629.644404462316 59.8213607098378 -927.506142491304</t>
  </si>
  <si>
    <t>-648.760238186331 111.469149782363 -766.939143364548</t>
  </si>
  <si>
    <t>-558.310491513457 226.279757422117 -750.773132598673</t>
  </si>
  <si>
    <t>-457.328046019551 165.739838782259 -456.964197277664</t>
  </si>
  <si>
    <t>-222.544993826438 100.073477240689 -366.372247813233</t>
  </si>
  <si>
    <t>-680.625333386329 56.5549908374514 -763.410905439353</t>
  </si>
  <si>
    <t>-565.962295387661 210.014701633612 -244.383893680465</t>
  </si>
  <si>
    <t>-579.890061036431 197.406951079302 210.923371601633</t>
  </si>
  <si>
    <t>-627.128241957007 175.73801572212 677.918142372049</t>
  </si>
  <si>
    <t>-495.423768090297 99.0940595536752 765.799571346329</t>
  </si>
  <si>
    <t>-639.410136442478 30.8538678687123 -212.313084454617</t>
  </si>
  <si>
    <t>-480.380975899896 -105.38034729939 192.418473884996</t>
  </si>
  <si>
    <t>-500.446351166469 -21.6793259609065 654.19278462773</t>
  </si>
  <si>
    <t>-490.871639746153 -170.723622620753 747.131670935737</t>
  </si>
  <si>
    <t>9763-20170724T160526.123481800.bin</t>
  </si>
  <si>
    <t>-602.839956961659 120.522474153134 -228.733103415928</t>
  </si>
  <si>
    <t>-642.0730732831 116.37724553983 -343.238112053068</t>
  </si>
  <si>
    <t>-661.017945516886 109.419625525699 -462.750689982747</t>
  </si>
  <si>
    <t>-669.675964630481 101.663088425009 -571.65297072153</t>
  </si>
  <si>
    <t>-669.940295970483 92.3285191502337 -680.775080657781</t>
  </si>
  <si>
    <t>-661.583106742896 77.5702261337847 -832.143401251476</t>
  </si>
  <si>
    <t>-630.496281546117 59.8208547809077 -927.545517979628</t>
  </si>
  <si>
    <t>-649.311414143309 111.534044990066 -766.960688297658</t>
  </si>
  <si>
    <t>-558.706507274904 226.2437159715 -750.927147155565</t>
  </si>
  <si>
    <t>-457.264031650979 165.666466508661 -457.284513193404</t>
  </si>
  <si>
    <t>-222.866714388859 99.633122303849 -365.963430514665</t>
  </si>
  <si>
    <t>-681.25039515394 56.6665810526631 -763.374560851822</t>
  </si>
  <si>
    <t>-565.955704842649 210.067256735466 -244.429392173641</t>
  </si>
  <si>
    <t>-579.823602696856 197.429594047042 210.878893933108</t>
  </si>
  <si>
    <t>-626.996865858326 175.860786085232 677.866546543932</t>
  </si>
  <si>
    <t>-495.491222364875 98.9487026170248 765.811466589787</t>
  </si>
  <si>
    <t>-639.584780205943 30.9883739186914 -212.327370920314</t>
  </si>
  <si>
    <t>-480.5113734927 -105.388539744672 192.338742024352</t>
  </si>
  <si>
    <t>-500.4727140635 -21.6836417330949 654.12604644494</t>
  </si>
  <si>
    <t>-490.941915704688 -170.710344253965 747.097682592578</t>
  </si>
  <si>
    <t>9763-20170724T160526.191458000.bin</t>
  </si>
  <si>
    <t>-602.789719732879 120.873982633291 -228.722913491995</t>
  </si>
  <si>
    <t>-642.047879510239 116.790945016209 -343.221478760912</t>
  </si>
  <si>
    <t>-661.162477815186 109.83822881766 -462.707352775755</t>
  </si>
  <si>
    <t>-670.03420308504 102.06494023493 -571.591371752598</t>
  </si>
  <si>
    <t>-670.572459239492 92.6937708516482 -680.709247826587</t>
  </si>
  <si>
    <t>-662.657591274624 77.8655547782084 -832.094494186275</t>
  </si>
  <si>
    <t>-631.909681529149 60.0203079124979 -927.588603262849</t>
  </si>
  <si>
    <t>-650.115427460377 111.813277326714 -766.954927764056</t>
  </si>
  <si>
    <t>-559.263565409925 226.342119547225 -751.172651722522</t>
  </si>
  <si>
    <t>-457.328362240672 165.394314995582 -457.777419524075</t>
  </si>
  <si>
    <t>-226.053793627073 98.4488318334127 -359.429048332649</t>
  </si>
  <si>
    <t>-682.203928406884 57.0398807166457 -763.267638460254</t>
  </si>
  <si>
    <t>-565.644270114219 210.248539054155 -244.46156097625</t>
  </si>
  <si>
    <t>-579.620621041861 197.560344194062 210.841973858776</t>
  </si>
  <si>
    <t>-626.83641126772 176.010225705311 677.824226435881</t>
  </si>
  <si>
    <t>-495.599176652482 98.7240364163899 765.842096489727</t>
  </si>
  <si>
    <t>-639.808301971767 31.5137019708939 -212.269950360268</t>
  </si>
  <si>
    <t>-480.607598484053 -105.384204736771 192.170028555743</t>
  </si>
  <si>
    <t>-500.479523199601 -21.692678822066 653.979047602117</t>
  </si>
  <si>
    <t>-491.111968275548 -170.683621413968 747.024386893258</t>
  </si>
  <si>
    <t>9763-20170724T160526.227086100.bin</t>
  </si>
  <si>
    <t>-602.696540636295 121.066722539402 -228.727025900397</t>
  </si>
  <si>
    <t>-641.964483683958 116.98534327986 -343.222418544532</t>
  </si>
  <si>
    <t>-661.17049178503 110.039888356189 -462.693912890485</t>
  </si>
  <si>
    <t>-670.158515742703 102.276370646709 -571.56909720397</t>
  </si>
  <si>
    <t>-670.846098613358 92.9191443736966 -680.687471785444</t>
  </si>
  <si>
    <t>-663.172687345961 78.114867988802 -832.087346803498</t>
  </si>
  <si>
    <t>-632.596763282104 60.266009306815 -927.635959956498</t>
  </si>
  <si>
    <t>-650.497234703242 112.035284733308 -766.959468641416</t>
  </si>
  <si>
    <t>-559.485447624677 226.480899781679 -751.305984705791</t>
  </si>
  <si>
    <t>-457.368294167097 164.965142432565 -458.092626116994</t>
  </si>
  <si>
    <t>-226.888954104165 97.4970064722652 -358.245842972626</t>
  </si>
  <si>
    <t>-682.638714946818 57.2952185690613 -763.235709243281</t>
  </si>
  <si>
    <t>-565.450467381493 210.362349796025 -244.482351962009</t>
  </si>
  <si>
    <t>-579.546789839235 197.662900976917 210.817158119064</t>
  </si>
  <si>
    <t>-626.799980109477 176.025302853002 677.803158570204</t>
  </si>
  <si>
    <t>-495.59722674726 98.7119256224591 765.848536154703</t>
  </si>
  <si>
    <t>-639.820173794255 31.7581221131236 -212.258519183167</t>
  </si>
  <si>
    <t>-480.625339317068 -105.260005572209 192.143180257026</t>
  </si>
  <si>
    <t>-500.487692022476 -21.6672869402823 653.954124210947</t>
  </si>
  <si>
    <t>-491.170990588193 -170.66142390955 746.999558258545</t>
  </si>
  <si>
    <t>9763-20170724T160526.295267500.bin</t>
  </si>
  <si>
    <t>-602.454376186414 121.57060958041 -228.709729289815</t>
  </si>
  <si>
    <t>-641.729701598824 117.488052772598 -343.202574877836</t>
  </si>
  <si>
    <t>-661.081953747213 110.553953061557 -462.651031307401</t>
  </si>
  <si>
    <t>-670.259823745925 102.804822345778 -571.511502647943</t>
  </si>
  <si>
    <t>-671.194421562962 93.4658327779421 -680.629632888469</t>
  </si>
  <si>
    <t>-663.923235615798 78.6901263301838 -832.052194053949</t>
  </si>
  <si>
    <t>-633.69685944856 60.8772463324217 -927.718494759936</t>
  </si>
  <si>
    <t>-651.02347052794 112.568398992056 -766.946275558363</t>
  </si>
  <si>
    <t>-559.773348704289 226.829521390819 -751.482453299628</t>
  </si>
  <si>
    <t>-457.557397492927 165.124697611406 -458.343195014469</t>
  </si>
  <si>
    <t>-231.730268352226 95.8197629274987 -349.526912148149</t>
  </si>
  <si>
    <t>-683.257597113216 57.8873763465983 -763.158407858905</t>
  </si>
  <si>
    <t>-565.103284655888 210.851496593421 -244.495916959757</t>
  </si>
  <si>
    <t>-579.285926344131 197.906033858745 210.794043535443</t>
  </si>
  <si>
    <t>-626.727441430234 176.091226592948 677.772791413789</t>
  </si>
  <si>
    <t>-495.653739075259 98.5943918163969 765.84908943635</t>
  </si>
  <si>
    <t>-639.68573558193 32.3468494205608 -212.210144920179</t>
  </si>
  <si>
    <t>-480.578802851946 -105.050259346935 192.097519090379</t>
  </si>
  <si>
    <t>-500.508698134985 -21.5974103272895 653.953030193145</t>
  </si>
  <si>
    <t>-491.239603907879 -170.616020519228 746.96407848856</t>
  </si>
  <si>
    <t>9763-20170724T160526.326399700.bin</t>
  </si>
  <si>
    <t>-602.278696344951 121.854449398586 -228.692496207654</t>
  </si>
  <si>
    <t>-641.56089957635 117.76075589248 -343.182508154238</t>
  </si>
  <si>
    <t>-661.026393356886 110.820222183795 -462.61243319566</t>
  </si>
  <si>
    <t>-670.350516567144 103.066792648202 -571.459869548635</t>
  </si>
  <si>
    <t>-671.475410123295 93.7242164846271 -680.57590571169</t>
  </si>
  <si>
    <t>-664.513800940053 78.9440550650293 -832.012710060763</t>
  </si>
  <si>
    <t>-634.499818181363 61.1165487596031 -927.743196856789</t>
  </si>
  <si>
    <t>-651.462248316682 112.813373390974 -766.932281056341</t>
  </si>
  <si>
    <t>-560.09511430422 227.033504909755 -751.591162170303</t>
  </si>
  <si>
    <t>-457.966951794704 164.825765137913 -458.527584004841</t>
  </si>
  <si>
    <t>-231.641285835366 95.6441705196089 -350.672771539907</t>
  </si>
  <si>
    <t>-683.725943227617 58.1542630771223 -763.080747435481</t>
  </si>
  <si>
    <t>-564.876721716515 211.110651005816 -244.478637422354</t>
  </si>
  <si>
    <t>-579.140580999351 198.056978104764 210.805623089754</t>
  </si>
  <si>
    <t>-626.7002664389 176.12211275933 677.762748988677</t>
  </si>
  <si>
    <t>-495.716190026234 98.4817847724973 765.846005338803</t>
  </si>
  <si>
    <t>-639.552839304283 32.6041784720758 -212.207936140784</t>
  </si>
  <si>
    <t>-480.473723572801 -104.827848310056 192.098803214345</t>
  </si>
  <si>
    <t>-500.526112098718 -21.5626946411992 653.966826754349</t>
  </si>
  <si>
    <t>-491.257726693912 -170.59423436026 746.957299568907</t>
  </si>
  <si>
    <t>9763-20170724T160526.403606400.bin</t>
  </si>
  <si>
    <t>-601.940474798054 122.109140302731 -228.672228280353</t>
  </si>
  <si>
    <t>-641.233384125567 117.983259328456 -343.157353836947</t>
  </si>
  <si>
    <t>-660.869760699384 111.090707580235 -462.562074901983</t>
  </si>
  <si>
    <t>-670.414526072679 103.408092189595 -571.395466243906</t>
  </si>
  <si>
    <t>-671.825651628364 94.1608344824631 -680.516290163453</t>
  </si>
  <si>
    <t>-665.329657642658 79.5352360186594 -831.988737362796</t>
  </si>
  <si>
    <t>-635.608911303117 61.7632660334295 -927.820907464449</t>
  </si>
  <si>
    <t>-652.05179083462 113.322727853046 -766.911652967419</t>
  </si>
  <si>
    <t>-560.483196842148 227.376538945049 -751.687141821697</t>
  </si>
  <si>
    <t>-458.445597370618 164.579319823666 -458.717804428253</t>
  </si>
  <si>
    <t>-233.936052989098 94.5948622693384 -347.633523313408</t>
  </si>
  <si>
    <t>-684.356146722675 58.6904065338153 -763.021965095057</t>
  </si>
  <si>
    <t>-564.570988202365 211.175441346735 -244.423458184561</t>
  </si>
  <si>
    <t>-578.800093530035 197.767124512548 210.851751122553</t>
  </si>
  <si>
    <t>-626.97550923329 175.673412609481 677.769231399797</t>
  </si>
  <si>
    <t>-495.447026795402 98.8957307894343 765.797372702727</t>
  </si>
  <si>
    <t>-639.168562237297 33.0120388820653 -212.215131502827</t>
  </si>
  <si>
    <t>-480.230283537811 -104.52072359605 192.112733608238</t>
  </si>
  <si>
    <t>-500.591396124675 -21.4931724267281 654.044079426635</t>
  </si>
  <si>
    <t>-491.204676839751 -170.552250114196 746.978467726786</t>
  </si>
  <si>
    <t>9763-20170724T160526.428203500.bin</t>
  </si>
  <si>
    <t>-601.736929091926 122.293827596209 -228.650554930307</t>
  </si>
  <si>
    <t>-641.042575699167 118.149880231565 -343.130701305506</t>
  </si>
  <si>
    <t>-660.769786579952 111.265559094855 -462.520719930839</t>
  </si>
  <si>
    <t>-670.428644451877 103.598985168659 -571.345384596927</t>
  </si>
  <si>
    <t>-671.986183745189 94.3742513642928 -680.466163018615</t>
  </si>
  <si>
    <t>-665.726729903047 79.7855856046783 -831.952017324854</t>
  </si>
  <si>
    <t>-636.142085017098 62.0364963801774 -927.830573274022</t>
  </si>
  <si>
    <t>-652.346796502659 113.557000744268 -766.887637052009</t>
  </si>
  <si>
    <t>-560.777590794082 227.61639203131 -751.745511426001</t>
  </si>
  <si>
    <t>-458.744780261634 164.191566228109 -458.909868626534</t>
  </si>
  <si>
    <t>-235.530406870928 93.3637723595473 -345.769167885642</t>
  </si>
  <si>
    <t>-684.645913718083 58.9242075602685 -762.960733277959</t>
  </si>
  <si>
    <t>-564.437869154842 211.356671239069 -244.385005444696</t>
  </si>
  <si>
    <t>-578.55356086975 197.648059039831 210.884713648008</t>
  </si>
  <si>
    <t>-627.032562136912 175.565154089461 677.750241017359</t>
  </si>
  <si>
    <t>-495.414343966032 98.9471188236487 765.783399523567</t>
  </si>
  <si>
    <t>-638.883468291069 33.2598422283443 -212.195160467013</t>
  </si>
  <si>
    <t>-480.047096605085 -104.344381718208 192.148456548881</t>
  </si>
  <si>
    <t>-500.60742961613 -21.4517782484941 654.097052865102</t>
  </si>
  <si>
    <t>-491.166221623266 -170.535385778716 746.986647166058</t>
  </si>
  <si>
    <t>9763-20170724T160526.493364100.bin</t>
  </si>
  <si>
    <t>-601.362912861073 122.583461421789 -228.653039407646</t>
  </si>
  <si>
    <t>-640.69619055927 118.411581292747 -343.122680249615</t>
  </si>
  <si>
    <t>-660.55411690483 111.61493193022 -462.4960985996</t>
  </si>
  <si>
    <t>-670.373049149647 104.067636236135 -571.314782823833</t>
  </si>
  <si>
    <t>-672.131987643127 94.9979360254263 -680.445381954325</t>
  </si>
  <si>
    <t>-666.195023693364 80.6576757392857 -831.96806210869</t>
  </si>
  <si>
    <t>-636.744822968423 63.0416026861085 -927.912489282404</t>
  </si>
  <si>
    <t>-652.671382146257 114.319384691194 -766.876335163</t>
  </si>
  <si>
    <t>-561.010874484178 228.327616144036 -751.829619515722</t>
  </si>
  <si>
    <t>-459.213555991535 164.475837625145 -459.004648661127</t>
  </si>
  <si>
    <t>-246.048848334291 85.4418161343986 -332.685643699268</t>
  </si>
  <si>
    <t>-684.97254884407 59.6861610919268 -762.971586238496</t>
  </si>
  <si>
    <t>-564.239364329258 211.640734232644 -244.322635256498</t>
  </si>
  <si>
    <t>-578.147231113722 197.485170144184 210.939797785942</t>
  </si>
  <si>
    <t>-627.184967070468 175.320617312623 677.74789763383</t>
  </si>
  <si>
    <t>-495.322628461182 99.1043016882802 765.7644115041</t>
  </si>
  <si>
    <t>-638.349165987252 33.5527462668217 -212.233870859878</t>
  </si>
  <si>
    <t>-479.787391238209 -103.903334954369 192.267840305748</t>
  </si>
  <si>
    <t>-500.632260694279 -21.3135044910882 654.290523535989</t>
  </si>
  <si>
    <t>-491.053819251861 -170.491203240386 747.014702413341</t>
  </si>
  <si>
    <t>9763-20170724T160526.525956100.bin</t>
  </si>
  <si>
    <t>-601.207460200179 122.729641900433 -228.617321592733</t>
  </si>
  <si>
    <t>-640.520903781162 118.520836359475 -343.092374390462</t>
  </si>
  <si>
    <t>-660.424816858166 111.728619701681 -462.458429366539</t>
  </si>
  <si>
    <t>-670.31275323126 104.199458748599 -571.271968414398</t>
  </si>
  <si>
    <t>-672.168166684097 95.1603276274989 -680.403608164369</t>
  </si>
  <si>
    <t>-666.393407995133 80.8742785500206 -831.937705249579</t>
  </si>
  <si>
    <t>-637.007225028453 63.3013094675237 -927.909660319512</t>
  </si>
  <si>
    <t>-652.794701145231 114.509607480443 -766.848079458265</t>
  </si>
  <si>
    <t>-561.11363916013 228.497171649677 -751.893213365197</t>
  </si>
  <si>
    <t>-459.493878490574 164.460236111992 -459.047010529184</t>
  </si>
  <si>
    <t>-246.683439519882 84.6049126039557 -332.647315189392</t>
  </si>
  <si>
    <t>-685.102353505319 59.8812954015539 -762.929050795256</t>
  </si>
  <si>
    <t>-564.187582529145 211.830080744719 -244.286914507191</t>
  </si>
  <si>
    <t>-578.068362635758 197.531000045393 210.971844377569</t>
  </si>
  <si>
    <t>-627.225030944435 175.250166234638 677.733744069783</t>
  </si>
  <si>
    <t>-495.296095404067 99.1578783359282 765.757771245648</t>
  </si>
  <si>
    <t>-638.099050266323 33.6650065186727 -212.225496605192</t>
  </si>
  <si>
    <t>-479.699926082762 -103.663910374385 192.383197412864</t>
  </si>
  <si>
    <t>-500.631377036868 -21.2321608054258 654.419836353201</t>
  </si>
  <si>
    <t>-491.047662445447 -170.475352652654 747.038070747569</t>
  </si>
  <si>
    <t>9763-20170724T160526.591631100.bin</t>
  </si>
  <si>
    <t>-601.240541697826 123.082710961836 -228.656124305182</t>
  </si>
  <si>
    <t>-640.572226119464 118.932988674188 -343.127155919507</t>
  </si>
  <si>
    <t>-660.596919128972 112.296763731991 -462.481802342986</t>
  </si>
  <si>
    <t>-670.635104482181 104.945301812496 -571.293818438711</t>
  </si>
  <si>
    <t>-672.681183352114 96.1184144382487 -680.439249849386</t>
  </si>
  <si>
    <t>-667.212470805714 82.1614821101816 -832.0154056939</t>
  </si>
  <si>
    <t>-637.931175876415 64.7336849240912 -928.045886638379</t>
  </si>
  <si>
    <t>-653.476630217934 115.652197511178 -766.879879432651</t>
  </si>
  <si>
    <t>-561.802591937589 229.679287431057 -751.956522476754</t>
  </si>
  <si>
    <t>-460.955490375082 165.542503857238 -458.86511157888</t>
  </si>
  <si>
    <t>-252.500911166654 81.8487402171572 -327.776999971677</t>
  </si>
  <si>
    <t>-685.787690577763 61.0218971576958 -763.015420306719</t>
  </si>
  <si>
    <t>-564.279709651729 212.190461183609 -244.263291741753</t>
  </si>
  <si>
    <t>-578.068243768894 197.598846654719 210.988938746551</t>
  </si>
  <si>
    <t>-627.39112218673 175.005656245377 677.76209519373</t>
  </si>
  <si>
    <t>-495.2185611762 99.3050330869905 765.758338507461</t>
  </si>
  <si>
    <t>-638.110361516831 34.0327193216622 -212.349722509743</t>
  </si>
  <si>
    <t>-479.839372949216 -103.251213381317 192.324357659175</t>
  </si>
  <si>
    <t>-500.69782596278 -21.2061220331275 654.463751442556</t>
  </si>
  <si>
    <t>-491.036588134778 -170.471023992633 747.038994649376</t>
  </si>
  <si>
    <t>9763-20170724T160526.623218900.bin</t>
  </si>
  <si>
    <t>-601.29696039297 123.278535287456 -228.653679610102</t>
  </si>
  <si>
    <t>-640.661274167266 119.149638391107 -343.11418279384</t>
  </si>
  <si>
    <t>-660.708430105324 112.560113104618 -462.467595993473</t>
  </si>
  <si>
    <t>-670.762498100589 105.258441879201 -571.281494422594</t>
  </si>
  <si>
    <t>-672.819840413113 96.4873747493664 -680.43143820959</t>
  </si>
  <si>
    <t>-667.361984605388 82.6128162735013 -832.015334678151</t>
  </si>
  <si>
    <t>-638.078916520724 65.2247293042924 -928.052589509544</t>
  </si>
  <si>
    <t>-653.614150318893 116.063733989221 -766.862028413756</t>
  </si>
  <si>
    <t>-561.999712728432 230.103359202711 -751.962675100734</t>
  </si>
  <si>
    <t>-461.580683187275 165.809688404026 -458.758763393223</t>
  </si>
  <si>
    <t>-255.344427988391 79.8747799132832 -325.627757793167</t>
  </si>
  <si>
    <t>-685.939691028029 61.4400131649907 -763.02630304518</t>
  </si>
  <si>
    <t>-564.379130961778 212.441030655651 -244.242598066996</t>
  </si>
  <si>
    <t>-578.066429316639 197.671856470678 211.007008543322</t>
  </si>
  <si>
    <t>-627.39601534109 175.015948114719 677.75603568497</t>
  </si>
  <si>
    <t>-495.205534311059 99.3431808625478 765.749342449839</t>
  </si>
  <si>
    <t>-638.116094659038 34.1993788269453 -212.341800223904</t>
  </si>
  <si>
    <t>-479.97816076758 -103.07744142761 192.386727668642</t>
  </si>
  <si>
    <t>-500.702661931082 -21.1706721528101 654.532866273179</t>
  </si>
  <si>
    <t>-491.050728929817 -170.461171510345 747.067693544041</t>
  </si>
  <si>
    <t>9763-20170724T160526.695728700.bin</t>
  </si>
  <si>
    <t>-601.568222268894 123.527822931241 -228.653646691017</t>
  </si>
  <si>
    <t>-640.995326238012 119.447526434149 -343.094265283623</t>
  </si>
  <si>
    <t>-661.086459945995 112.939324518447 -462.44482818257</t>
  </si>
  <si>
    <t>-671.171464031172 105.723376270085 -571.261571032401</t>
  </si>
  <si>
    <t>-673.250208298675 97.0497306442694 -680.418765589191</t>
  </si>
  <si>
    <t>-667.811946622687 83.321980850289 -832.01680198065</t>
  </si>
  <si>
    <t>-638.502003385885 66.0672562394293 -928.069858775953</t>
  </si>
  <si>
    <t>-654.08314656915 116.725827874894 -766.83541256439</t>
  </si>
  <si>
    <t>-562.715711283385 230.991242417939 -751.969472560794</t>
  </si>
  <si>
    <t>-462.815062799716 167.120190653945 -458.496296717121</t>
  </si>
  <si>
    <t>-268.168208620475 68.4799393094536 -316.987449706856</t>
  </si>
  <si>
    <t>-686.353262588336 62.0663518098379 -763.04327005086</t>
  </si>
  <si>
    <t>-564.748850298352 212.679175876115 -244.18833087984</t>
  </si>
  <si>
    <t>-578.091933512244 197.616345744171 211.061914941933</t>
  </si>
  <si>
    <t>-627.585607550187 174.767791338901 677.804433641072</t>
  </si>
  <si>
    <t>-495.166204490843 99.435082778479 765.745309414888</t>
  </si>
  <si>
    <t>-638.248249048828 34.398709542935 -212.417984114771</t>
  </si>
  <si>
    <t>-480.267881543571 -102.794812267117 192.400214846691</t>
  </si>
  <si>
    <t>-500.799208000293 -21.1230046608127 654.612065566275</t>
  </si>
  <si>
    <t>-491.067726870932 -170.443358169141 747.090467600165</t>
  </si>
  <si>
    <t>9763-20170724T160526.727819000.bin</t>
  </si>
  <si>
    <t>-601.743117584954 123.629481581867 -228.660891250253</t>
  </si>
  <si>
    <t>-641.18619788077 119.54723353085 -343.095894521152</t>
  </si>
  <si>
    <t>-661.318865759508 113.095917318534 -462.442607202815</t>
  </si>
  <si>
    <t>-671.450831568548 105.954528634983 -571.259895800556</t>
  </si>
  <si>
    <t>-673.585779160694 97.3773345820341 -680.423590127501</t>
  </si>
  <si>
    <t>-668.234354023272 83.8060840126543 -832.038907182854</t>
  </si>
  <si>
    <t>-638.91616273552 66.6662567401456 -928.1099631844</t>
  </si>
  <si>
    <t>-654.481473628583 117.15041855632 -766.831981406024</t>
  </si>
  <si>
    <t>-563.272549333214 231.537506423211 -752.036537282842</t>
  </si>
  <si>
    <t>-463.629940822886 167.627938373317 -458.483883535969</t>
  </si>
  <si>
    <t>-274.928602625441 62.1680846500335 -313.873842635196</t>
  </si>
  <si>
    <t>-686.722850824235 62.4715400475473 -763.07555761554</t>
  </si>
  <si>
    <t>-565.010323816564 212.835210024941 -244.165531579095</t>
  </si>
  <si>
    <t>-578.214115736072 197.611488215466 211.083347146342</t>
  </si>
  <si>
    <t>-627.64694267462 174.703182660963 677.817164943182</t>
  </si>
  <si>
    <t>-495.134938082378 99.500969892167 765.730243324177</t>
  </si>
  <si>
    <t>-638.376038476679 34.4890107460608 -212.428491218113</t>
  </si>
  <si>
    <t>-480.557931706747 -102.689923173965 192.45800580048</t>
  </si>
  <si>
    <t>-500.845724618 -21.0973686750526 654.685930929888</t>
  </si>
  <si>
    <t>-491.074523314058 -170.438968378391 747.125809002999</t>
  </si>
  <si>
    <t>9763-20170724T160526.792992200.bin</t>
  </si>
  <si>
    <t>-602.283483490476 123.688224824098 -228.694026578087</t>
  </si>
  <si>
    <t>-641.689479859013 119.577225896205 -343.140742266453</t>
  </si>
  <si>
    <t>-661.871335210015 113.151934818862 -462.480629032407</t>
  </si>
  <si>
    <t>-672.083176905368 106.055251887574 -571.293285586922</t>
  </si>
  <si>
    <t>-674.333150504259 97.5429801406658 -680.459799306637</t>
  </si>
  <si>
    <t>-669.177851932142 84.0818711834279 -832.091722810433</t>
  </si>
  <si>
    <t>-639.872139670884 67.0758149757798 -928.190411185937</t>
  </si>
  <si>
    <t>-655.383246631877 117.403746003384 -766.882041279051</t>
  </si>
  <si>
    <t>-564.5052546783 232.070338119983 -752.251077780078</t>
  </si>
  <si>
    <t>-465.583311759867 168.475279943122 -458.386707840287</t>
  </si>
  <si>
    <t>-290.027282972064 46.6816800903325 -310.101585668466</t>
  </si>
  <si>
    <t>-687.534498263592 62.6723344783445 -763.116487948033</t>
  </si>
  <si>
    <t>-565.691857400853 212.957782679786 -244.169023425937</t>
  </si>
  <si>
    <t>-578.64900266485 197.695596696204 211.085615776841</t>
  </si>
  <si>
    <t>-627.740884054815 174.569741963681 677.816664380376</t>
  </si>
  <si>
    <t>-495.070165966064 99.638061414013 765.721344928049</t>
  </si>
  <si>
    <t>-638.724252522484 34.4333495100559 -212.568668840638</t>
  </si>
  <si>
    <t>-481.029258426329 -102.404198312046 192.48124533046</t>
  </si>
  <si>
    <t>-500.92081384296 -21.0450345945758 654.809458302106</t>
  </si>
  <si>
    <t>-491.104303568482 -170.426980150707 747.17924756461</t>
  </si>
  <si>
    <t>9763-20170724T160526.869750700.bin</t>
  </si>
  <si>
    <t>-602.584473294119 123.787861103006 -228.631509883377</t>
  </si>
  <si>
    <t>-642.03594955558 119.679397895662 -343.062708551391</t>
  </si>
  <si>
    <t>-662.253276318577 113.291451894656 -462.398479918064</t>
  </si>
  <si>
    <t>-672.492092013654 106.242592987198 -571.211727967575</t>
  </si>
  <si>
    <t>-674.763264531431 97.7922256098618 -680.38255542036</t>
  </si>
  <si>
    <t>-669.630838658055 84.4318635749025 -832.024203106493</t>
  </si>
  <si>
    <t>-640.325616782853 67.5164236765741 -928.139015142833</t>
  </si>
  <si>
    <t>-655.854392732958 117.726547439041 -766.796973156175</t>
  </si>
  <si>
    <t>-565.084348922344 232.497915506162 -752.217944297764</t>
  </si>
  <si>
    <t>-466.278304700011 169.485536347604 -458.189029993282</t>
  </si>
  <si>
    <t>-291.992429725397 45.916410103039 -309.87470575785</t>
  </si>
  <si>
    <t>-687.949121124104 62.9603251701321 -763.058080942445</t>
  </si>
  <si>
    <t>-566.086054888502 213.132001341075 -244.159257888203</t>
  </si>
  <si>
    <t>-578.846355455227 197.833568256204 211.099773343166</t>
  </si>
  <si>
    <t>-627.723844190483 174.610709180911 677.827775705659</t>
  </si>
  <si>
    <t>-495.103800591986 99.5958939174709 765.738041437762</t>
  </si>
  <si>
    <t>-638.972679119995 34.5221526939131 -212.515543969058</t>
  </si>
  <si>
    <t>-481.156306447055 -102.35479375856 192.473787777658</t>
  </si>
  <si>
    <t>-500.934784377428 -21.0377222469572 654.811249403223</t>
  </si>
  <si>
    <t>-491.105324855972 -170.425846055959 747.169633798905</t>
  </si>
  <si>
    <t>9763-20170724T160526.872757100.bin</t>
  </si>
  <si>
    <t>-602.873810895922 123.884408019052 -228.620213380017</t>
  </si>
  <si>
    <t>-642.370797347393 119.773261919095 -343.035705480583</t>
  </si>
  <si>
    <t>-662.630644892795 113.39001669027 -462.364485488634</t>
  </si>
  <si>
    <t>-672.90597346083 106.349216999474 -571.174821713736</t>
  </si>
  <si>
    <t>-675.211240336528 97.9112416826708 -680.345982154274</t>
  </si>
  <si>
    <t>-670.123678997857 84.5725935646792 -831.990868587541</t>
  </si>
  <si>
    <t>-640.826208976287 67.6828420476184 -928.112634647543</t>
  </si>
  <si>
    <t>-656.354532886222 117.873291546498 -766.765240917753</t>
  </si>
  <si>
    <t>-565.735848541335 232.764597289322 -752.207309910224</t>
  </si>
  <si>
    <t>-466.829194391592 170.382037734336 -458.077915459687</t>
  </si>
  <si>
    <t>-293.94395705019 44.9028538283646 -309.727889520213</t>
  </si>
  <si>
    <t>-688.395014431072 63.0757567377827 -763.020271126737</t>
  </si>
  <si>
    <t>-566.431046672265 213.268598287208 -244.155547080494</t>
  </si>
  <si>
    <t>-579.028627808935 197.988905316752 211.108642600333</t>
  </si>
  <si>
    <t>-627.650266612771 174.72045292955 677.817241300585</t>
  </si>
  <si>
    <t>-495.129494684673 99.5653853004521 765.757420349087</t>
  </si>
  <si>
    <t>-639.154126006779 34.5174145516321 -212.521733846538</t>
  </si>
  <si>
    <t>-481.23301180708 -102.244806525637 192.465535793831</t>
  </si>
  <si>
    <t>-500.951009507018 -21.0588933365916 654.772257762339</t>
  </si>
  <si>
    <t>-491.125036040193 -170.428984463541 747.160231408671</t>
  </si>
  <si>
    <t>9763-20170724T160526.924397600.bin</t>
  </si>
  <si>
    <t>-603.496614060254 124.086159055585 -228.728978513038</t>
  </si>
  <si>
    <t>-643.129061828601 120.029162933405 -343.099517585815</t>
  </si>
  <si>
    <t>-663.505846453436 113.712186927964 -462.412022829448</t>
  </si>
  <si>
    <t>-673.877505816622 106.736706563842 -571.217410896534</t>
  </si>
  <si>
    <t>-676.269072359468 98.3693801991062 -680.392167755935</t>
  </si>
  <si>
    <t>-671.290040338918 85.1350663710261 -832.049859769294</t>
  </si>
  <si>
    <t>-641.986084739088 68.3047231933156 -928.180022703844</t>
  </si>
  <si>
    <t>-657.505189627087 118.40887416329 -766.813739009802</t>
  </si>
  <si>
    <t>-566.992204496847 233.395939236061 -752.268625320664</t>
  </si>
  <si>
    <t>-468.233703242766 171.54743852829 -457.976648878681</t>
  </si>
  <si>
    <t>-292.324979180821 50.8409877584209 -309.221383753307</t>
  </si>
  <si>
    <t>-689.480983626944 63.5728548571301 -763.078276208109</t>
  </si>
  <si>
    <t>-567.212772119452 213.5920926492 -244.253789322869</t>
  </si>
  <si>
    <t>-579.311510239313 198.106057632012 211.016883800139</t>
  </si>
  <si>
    <t>-627.518774325502 174.839297561689 677.756596570351</t>
  </si>
  <si>
    <t>-495.082098810937 99.6458539379216 765.790582058899</t>
  </si>
  <si>
    <t>-639.654255176828 34.6340205750171 -212.624337525984</t>
  </si>
  <si>
    <t>-481.433078836991 -102.06031008667 192.268745196419</t>
  </si>
  <si>
    <t>-500.997472579656 -21.1371636732702 654.616452544953</t>
  </si>
  <si>
    <t>-491.231844463244 -170.433379990165 747.129963230062</t>
  </si>
  <si>
    <t>9763-20170724T160526.989919900.bin</t>
  </si>
  <si>
    <t>-604.151528276465 124.681009736216 -228.815611655544</t>
  </si>
  <si>
    <t>-643.953504442636 120.635391973489 -343.127661405518</t>
  </si>
  <si>
    <t>-664.511236473731 114.349723787994 -462.410660684077</t>
  </si>
  <si>
    <t>-675.048821017028 107.414257513864 -571.20279724635</t>
  </si>
  <si>
    <t>-677.60678163028 99.1012595453615 -680.377831225708</t>
  </si>
  <si>
    <t>-672.85843507755 85.9589074060414 -832.050844845236</t>
  </si>
  <si>
    <t>-643.568638197158 69.1697048318435 -928.192635857391</t>
  </si>
  <si>
    <t>-658.998050692115 119.206858212968 -766.817587461577</t>
  </si>
  <si>
    <t>-568.605090583063 234.28467690094 -752.293098811065</t>
  </si>
  <si>
    <t>-469.770692773285 171.782681961844 -458.164861646279</t>
  </si>
  <si>
    <t>-280.293126768218 67.9709782699497 -313.377328004876</t>
  </si>
  <si>
    <t>-690.920754579899 64.3411938497056 -763.062973986361</t>
  </si>
  <si>
    <t>-567.927773289095 214.332013680458 -244.382611782098</t>
  </si>
  <si>
    <t>-579.58852254543 198.666229769785 210.893456176166</t>
  </si>
  <si>
    <t>-627.246562570263 175.208008084014 677.698710901168</t>
  </si>
  <si>
    <t>-495.200815675072 99.4435656687788 765.830312230698</t>
  </si>
  <si>
    <t>-640.286629385324 35.0651658992426 -212.624556494084</t>
  </si>
  <si>
    <t>-481.645514413706 -101.719712178108 192.073524342374</t>
  </si>
  <si>
    <t>-501.029433755822 -21.1937510333298 654.473417737025</t>
  </si>
  <si>
    <t>-491.296445247508 -170.424868071962 747.095526398296</t>
  </si>
  <si>
    <t>9763-20170724T160527.025516600.bin</t>
  </si>
  <si>
    <t>-604.542803836465 124.958511315049 -228.838403965018</t>
  </si>
  <si>
    <t>-644.399238678415 120.92627970654 -343.131894398341</t>
  </si>
  <si>
    <t>-665.024978500611 114.637416642916 -462.403031372851</t>
  </si>
  <si>
    <t>-675.629083439725 107.694387611889 -571.188138221153</t>
  </si>
  <si>
    <t>-678.258449092321 99.3701840456806 -680.360647940407</t>
  </si>
  <si>
    <t>-673.613692786985 86.2100132800199 -832.035471563579</t>
  </si>
  <si>
    <t>-644.329452141416 69.4429985977506 -928.182619510026</t>
  </si>
  <si>
    <t>-659.698916444273 119.459920550041 -766.814792292133</t>
  </si>
  <si>
    <t>-569.280457107493 234.530140859902 -752.390953342681</t>
  </si>
  <si>
    <t>-470.321257708034 172.274521063332 -458.25244299968</t>
  </si>
  <si>
    <t>-273.570344110005 76.2710678470373 -317.844152451407</t>
  </si>
  <si>
    <t>-691.638780162266 64.6060533852592 -763.033353894068</t>
  </si>
  <si>
    <t>-568.28270048631 214.672726034389 -244.414937271674</t>
  </si>
  <si>
    <t>-579.930579149297 199.054248380359 210.863130450256</t>
  </si>
  <si>
    <t>-627.239843476609 175.229386307535 677.709217805372</t>
  </si>
  <si>
    <t>-495.237105463516 99.3855659654728 765.836986165039</t>
  </si>
  <si>
    <t>-640.686779941867 35.262039954672 -212.629492295695</t>
  </si>
  <si>
    <t>-481.76362149989 -101.539954305154 191.952181481951</t>
  </si>
  <si>
    <t>-501.034251991535 -21.2318900419277 654.384820912157</t>
  </si>
  <si>
    <t>-491.372176326406 -170.417750362677 747.087300383186</t>
  </si>
  <si>
    <t>9763-20170724T160527.092746600.bin</t>
  </si>
  <si>
    <t>-605.250522976921 125.605813010207 -228.826177675198</t>
  </si>
  <si>
    <t>-645.164521383187 121.601688312494 -343.100626578559</t>
  </si>
  <si>
    <t>-665.939383695926 115.293837177965 -462.344829781274</t>
  </si>
  <si>
    <t>-676.716653681058 108.31456259408 -571.110660682697</t>
  </si>
  <si>
    <t>-679.557619373671 99.9353936096945 -680.273701658002</t>
  </si>
  <si>
    <t>-675.246790986037 86.6795591705079 -831.949916476755</t>
  </si>
  <si>
    <t>-646.078312878243 69.8486149929852 -928.121148754806</t>
  </si>
  <si>
    <t>-661.118662246079 119.930201948951 -766.775563830816</t>
  </si>
  <si>
    <t>-570.229775227703 234.642736927299 -752.475014278887</t>
  </si>
  <si>
    <t>-470.622306571678 172.811269210464 -458.465789311775</t>
  </si>
  <si>
    <t>-257.408038041353 92.4281952532485 -333.085334641269</t>
  </si>
  <si>
    <t>-693.189666334231 65.1595919673546 -762.900184047801</t>
  </si>
  <si>
    <t>-568.839909267273 215.384806709155 -244.447794287426</t>
  </si>
  <si>
    <t>-580.661369206143 199.957027654262 210.83235541739</t>
  </si>
  <si>
    <t>-627.079464816481 175.577840950119 677.757709802217</t>
  </si>
  <si>
    <t>-495.462936866694 99.0242215124149 765.849411648785</t>
  </si>
  <si>
    <t>-641.58063948903 35.8311875842444 -212.512819494607</t>
  </si>
  <si>
    <t>-482.249080218132 -101.170033008246 191.840743025602</t>
  </si>
  <si>
    <t>-501.102590926515 -21.2475946510433 654.309640648684</t>
  </si>
  <si>
    <t>-491.470920442733 -170.388212443285 747.088082399363</t>
  </si>
  <si>
    <t>9763-20170724T160527.124834100.bin</t>
  </si>
  <si>
    <t>-605.555549017268 125.831334065213 -228.830554906182</t>
  </si>
  <si>
    <t>-645.462285778782 121.836593965263 -343.107808090164</t>
  </si>
  <si>
    <t>-666.309492361737 115.489355938429 -462.337403398366</t>
  </si>
  <si>
    <t>-677.186079580985 108.455121694938 -571.089747360634</t>
  </si>
  <si>
    <t>-680.160510960774 100.002334447501 -680.243517363149</t>
  </si>
  <si>
    <t>-676.071184302047 86.6247104641061 -831.915250450121</t>
  </si>
  <si>
    <t>-647.014230532704 69.6893374089757 -928.102029060682</t>
  </si>
  <si>
    <t>-661.802427131376 119.901331635584 -766.78468860275</t>
  </si>
  <si>
    <t>-570.666222120121 234.428905045384 -752.590042539961</t>
  </si>
  <si>
    <t>-470.079636063127 173.253081629158 -458.777164751614</t>
  </si>
  <si>
    <t>-249.189673444911 98.8733194873716 -343.376301789644</t>
  </si>
  <si>
    <t>-693.958680370954 65.1865327860421 -762.825831099455</t>
  </si>
  <si>
    <t>-569.024462652389 215.592487216452 -244.460344126184</t>
  </si>
  <si>
    <t>-580.961923778797 200.271225099168 210.820342275519</t>
  </si>
  <si>
    <t>-627.054605649814 175.651542679241 677.77071930947</t>
  </si>
  <si>
    <t>-495.512499966941 98.9429477891497 765.838727382213</t>
  </si>
  <si>
    <t>-641.965776840914 36.0316034606019 -212.53247828232</t>
  </si>
  <si>
    <t>-482.58020626121 -100.978153274437 191.796924001711</t>
  </si>
  <si>
    <t>-501.151522451658 -21.2362238573216 654.311424122127</t>
  </si>
  <si>
    <t>-491.491723496567 -170.367191612364 747.102465341045</t>
  </si>
  <si>
    <t>9763-20170724T160527.196026900.bin</t>
  </si>
  <si>
    <t>-606.100669470817 126.174854348702 -228.784460598263</t>
  </si>
  <si>
    <t>-646.027231270749 122.258844319205 -343.05744486882</t>
  </si>
  <si>
    <t>-667.051235645602 115.811811148293 -462.250568900091</t>
  </si>
  <si>
    <t>-678.155430759726 108.616274216571 -570.969395858749</t>
  </si>
  <si>
    <t>-681.426701874883 99.9324558957653 -680.096523806141</t>
  </si>
  <si>
    <t>-677.822911638581 86.1622087266358 -831.745493864834</t>
  </si>
  <si>
    <t>-649.103249582329 68.9284781370854 -927.980402738703</t>
  </si>
  <si>
    <t>-663.241818825961 119.546425608111 -766.739412939925</t>
  </si>
  <si>
    <t>-571.51836427394 233.644786400776 -752.876267433948</t>
  </si>
  <si>
    <t>-469.265222635231 173.909560405518 -459.342384570022</t>
  </si>
  <si>
    <t>-239.694904383788 105.200285136255 -358.255346086133</t>
  </si>
  <si>
    <t>-695.593087283848 64.9638658040346 -762.551789492443</t>
  </si>
  <si>
    <t>-569.262782281054 215.859921925952 -244.475528500001</t>
  </si>
  <si>
    <t>-581.399896948207 200.667227235326 210.804047339824</t>
  </si>
  <si>
    <t>-627.044405958115 175.672834132552 677.777433640113</t>
  </si>
  <si>
    <t>-495.579419027187 98.8113367955091 765.827294479118</t>
  </si>
  <si>
    <t>-642.82852286339 36.4715022836353 -212.414287231612</t>
  </si>
  <si>
    <t>-483.345615670613 -100.855098028667 191.769104804544</t>
  </si>
  <si>
    <t>-501.202600172684 -21.1902570369409 654.32219724371</t>
  </si>
  <si>
    <t>-491.613376748461 -170.320551548785 747.121590988497</t>
  </si>
  <si>
    <t>9763-20170724T160527.223603300.bin</t>
  </si>
  <si>
    <t>-606.235007371497 126.358919485679 -228.745833960618</t>
  </si>
  <si>
    <t>-646.1766802403 122.458338065673 -343.01408506591</t>
  </si>
  <si>
    <t>-667.252248485955 115.919496506089 -462.193147227385</t>
  </si>
  <si>
    <t>-678.419813991972 108.597809403861 -570.896905770798</t>
  </si>
  <si>
    <t>-681.772026477915 99.7454083711493 -680.008170725555</t>
  </si>
  <si>
    <t>-678.300023022456 85.6968957715949 -831.634624268964</t>
  </si>
  <si>
    <t>-649.735171415716 68.2843403026532 -927.883461317026</t>
  </si>
  <si>
    <t>-663.611375230061 119.170263578466 -766.698500879689</t>
  </si>
  <si>
    <t>-571.687824253772 233.12312889851 -753.021334024726</t>
  </si>
  <si>
    <t>-468.234523597896 174.339373080528 -459.715971387208</t>
  </si>
  <si>
    <t>-236.154244548856 106.383014056991 -363.993938944497</t>
  </si>
  <si>
    <t>-696.061237773883 64.6555198009355 -762.390694306274</t>
  </si>
  <si>
    <t>-569.248380718777 216.000753172884 -244.487044959567</t>
  </si>
  <si>
    <t>-581.418327855718 200.815562557535 210.791967672612</t>
  </si>
  <si>
    <t>-626.964238687106 175.774975993169 677.754544801915</t>
  </si>
  <si>
    <t>-495.592305738941 98.7773689580449 765.824378797981</t>
  </si>
  <si>
    <t>-643.055781986792 36.7157591266591 -212.32708772459</t>
  </si>
  <si>
    <t>-483.576394244157 -100.892705367047 191.761836763875</t>
  </si>
  <si>
    <t>-501.18451375091 -21.1632685776592 654.314583536497</t>
  </si>
  <si>
    <t>-491.742768749977 -170.297731750218 747.122221929376</t>
  </si>
  <si>
    <t>9763-20170724T160527.293291100.bin</t>
  </si>
  <si>
    <t>-606.274921222534 126.653468304448 -228.681925507037</t>
  </si>
  <si>
    <t>-646.307488508252 122.808153076106 -342.920309129795</t>
  </si>
  <si>
    <t>-667.564212222091 116.140987498921 -462.060096395044</t>
  </si>
  <si>
    <t>-678.934196429938 108.634079950788 -570.730389860138</t>
  </si>
  <si>
    <t>-682.528374687701 99.5305334891887 -679.813018083827</t>
  </si>
  <si>
    <t>-679.433879604416 85.0678502219057 -831.408838859758</t>
  </si>
  <si>
    <t>-651.139891883568 67.3550431134495 -927.682789584877</t>
  </si>
  <si>
    <t>-664.515704961259 118.678272541613 -766.595999452167</t>
  </si>
  <si>
    <t>-572.212286662607 232.373511242133 -753.270367737065</t>
  </si>
  <si>
    <t>-464.853089534243 176.173221229559 -460.863675494791</t>
  </si>
  <si>
    <t>-231.00926537948 107.411770179071 -370.138790698665</t>
  </si>
  <si>
    <t>-697.090514688084 64.2559761879852 -762.068845659456</t>
  </si>
  <si>
    <t>-569.018390893358 216.202551627317 -244.512103654328</t>
  </si>
  <si>
    <t>-581.184112115091 200.938069174749 210.764420662011</t>
  </si>
  <si>
    <t>-626.801125216601 175.967585235407 677.724388030297</t>
  </si>
  <si>
    <t>-495.687138409303 98.5797582936495 765.836595349532</t>
  </si>
  <si>
    <t>-643.423421981788 37.1057124574174 -212.164742314655</t>
  </si>
  <si>
    <t>-483.853785864995 -100.954534471608 191.734429653279</t>
  </si>
  <si>
    <t>-501.166991031257 -21.1374164235024 654.265109128633</t>
  </si>
  <si>
    <t>-492.017526481591 -170.259695219005 747.121726684818</t>
  </si>
  <si>
    <t>9763-20170724T160527.324375000.bin</t>
  </si>
  <si>
    <t>-606.270915364961 126.73619760845 -228.656288872793</t>
  </si>
  <si>
    <t>-646.316962285779 122.893166839187 -342.889919821233</t>
  </si>
  <si>
    <t>-667.638953133757 116.126234080412 -462.012406294669</t>
  </si>
  <si>
    <t>-679.090841524188 108.488589177394 -570.664916846099</t>
  </si>
  <si>
    <t>-682.790626831805 99.2145642107537 -679.729796467426</t>
  </si>
  <si>
    <t>-679.8683704995 84.4740327079635 -831.302186145255</t>
  </si>
  <si>
    <t>-651.667089989159 66.5925944038015 -927.572324044751</t>
  </si>
  <si>
    <t>-664.839517568367 118.181193629915 -766.565096793512</t>
  </si>
  <si>
    <t>-572.365633839104 231.776202164061 -753.53596514273</t>
  </si>
  <si>
    <t>-463.302823605182 176.776242509799 -461.531743112119</t>
  </si>
  <si>
    <t>-228.915113140308 107.450673586251 -372.658615545007</t>
  </si>
  <si>
    <t>-697.483207290102 63.8113660978761 -761.907182833104</t>
  </si>
  <si>
    <t>-568.928122005666 216.201154216052 -244.526953150374</t>
  </si>
  <si>
    <t>-581.072360924778 200.861450023914 210.747480139545</t>
  </si>
  <si>
    <t>-626.80564306584 175.91878819872 677.711923031184</t>
  </si>
  <si>
    <t>-495.651702032684 98.6083637478946 765.832596985397</t>
  </si>
  <si>
    <t>-643.52378690705 37.2612588697614 -212.10180379673</t>
  </si>
  <si>
    <t>-483.929351345912 -100.922812893976 191.745214929392</t>
  </si>
  <si>
    <t>-501.156573545384 -21.1027995759266 654.283219937994</t>
  </si>
  <si>
    <t>-492.11333509486 -170.233783926179 747.136255314223</t>
  </si>
  <si>
    <t>9763-20170724T160527.392563100.bin</t>
  </si>
  <si>
    <t>-606.234349278382 126.850884819873 -228.596160151316</t>
  </si>
  <si>
    <t>-646.301598287382 123.023387212196 -342.823014934141</t>
  </si>
  <si>
    <t>-667.767322987049 116.034255563021 -461.906830777706</t>
  </si>
  <si>
    <t>-679.403986174416 108.098024654082 -570.518227117015</t>
  </si>
  <si>
    <t>-683.345848747634 98.4275483852939 -679.540289113647</t>
  </si>
  <si>
    <t>-680.821888564854 83.0337480127246 -831.054834117077</t>
  </si>
  <si>
    <t>-652.850219106922 64.7786637477286 -927.321755967184</t>
  </si>
  <si>
    <t>-665.529598951284 116.96384939426 -766.496237298572</t>
  </si>
  <si>
    <t>-572.737442282802 230.37284342259 -754.11709185168</t>
  </si>
  <si>
    <t>-461.003438213675 177.324948117314 -462.762257954187</t>
  </si>
  <si>
    <t>-226.619544884702 107.075479077431 -374.607471295765</t>
  </si>
  <si>
    <t>-698.347780238677 62.7261411890636 -761.532442220432</t>
  </si>
  <si>
    <t>-568.64760591685 216.186173595338 -244.517451288176</t>
  </si>
  <si>
    <t>-580.872900573042 200.777837577163 210.752570519786</t>
  </si>
  <si>
    <t>-626.821437333258 175.838000863278 677.684283645508</t>
  </si>
  <si>
    <t>-495.71949646079 98.4599062618959 765.822933695432</t>
  </si>
  <si>
    <t>-643.705025588915 37.532514318116 -212.002392986188</t>
  </si>
  <si>
    <t>-484.10610385718 -100.806962179335 191.789615798116</t>
  </si>
  <si>
    <t>-501.175342671914 -21.0264696357037 654.345302235892</t>
  </si>
  <si>
    <t>-492.181164810883 -170.182526678034 747.162784013016</t>
  </si>
  <si>
    <t>9763-20170724T160527.425649500.bin</t>
  </si>
  <si>
    <t>-606.17751996936 126.99694172169 -228.61509031633</t>
  </si>
  <si>
    <t>-646.223800979854 123.147269456157 -342.84855095152</t>
  </si>
  <si>
    <t>-667.756541943064 116.062880927012 -461.914626266133</t>
  </si>
  <si>
    <t>-679.492009210247 108.009629912869 -570.506884405377</t>
  </si>
  <si>
    <t>-683.572208197486 98.1903328956623 -679.510460686997</t>
  </si>
  <si>
    <t>-681.282596533053 82.5558026519232 -831.004098080196</t>
  </si>
  <si>
    <t>-653.430998946485 64.1471313158311 -927.276514849748</t>
  </si>
  <si>
    <t>-665.845924198497 116.561718126085 -766.519841140825</t>
  </si>
  <si>
    <t>-572.867695859554 229.845223830622 -754.445310609259</t>
  </si>
  <si>
    <t>-460.56098170949 177.213258445728 -463.235248315566</t>
  </si>
  <si>
    <t>-226.601140381134 106.775359191488 -374.109741728441</t>
  </si>
  <si>
    <t>-698.745386570072 62.3855334016637 -761.425928882511</t>
  </si>
  <si>
    <t>-568.515960408022 216.292855988498 -244.535285421955</t>
  </si>
  <si>
    <t>-580.778418509507 200.854008398303 210.732686754861</t>
  </si>
  <si>
    <t>-626.75812664309 175.915779158917 677.674773793323</t>
  </si>
  <si>
    <t>-495.799380353701 98.3114836575089 765.827428779315</t>
  </si>
  <si>
    <t>-643.715662146484 37.7364308517226 -211.984762400027</t>
  </si>
  <si>
    <t>-484.189382988827 -100.726644670377 191.793680669362</t>
  </si>
  <si>
    <t>-501.181917829894 -20.9852212093149 654.382614999421</t>
  </si>
  <si>
    <t>-492.210526392633 -170.156897778645 747.177235154762</t>
  </si>
  <si>
    <t>9763-20170724T160527.497414200.bin</t>
  </si>
  <si>
    <t>-605.941877360711 127.156450706348 -228.56276765802</t>
  </si>
  <si>
    <t>-645.894247462707 123.261173847823 -342.827536670806</t>
  </si>
  <si>
    <t>-667.552391769966 115.997274313365 -461.859922865661</t>
  </si>
  <si>
    <t>-679.496269722411 107.725100035723 -570.413163088822</t>
  </si>
  <si>
    <t>-683.882044135206 97.6294609956569 -679.379522341492</t>
  </si>
  <si>
    <t>-682.120565309633 81.5491674781338 -830.833560181979</t>
  </si>
  <si>
    <t>-654.598756688907 62.9282154265509 -927.160013958081</t>
  </si>
  <si>
    <t>-666.379688375477 115.69668582335 -766.497789018638</t>
  </si>
  <si>
    <t>-573.185502345025 228.854395591205 -754.986468067584</t>
  </si>
  <si>
    <t>-460.948495213394 176.83589060477 -463.639274039891</t>
  </si>
  <si>
    <t>-227.923440468079 106.156800641998 -372.283774428539</t>
  </si>
  <si>
    <t>-699.420301234289 61.6316399286789 -761.141900612557</t>
  </si>
  <si>
    <t>-568.11545190615 216.356210523542 -244.505619776883</t>
  </si>
  <si>
    <t>-580.679429488501 200.88462353699 210.752977772401</t>
  </si>
  <si>
    <t>-626.792583351391 175.862264374992 677.665974816529</t>
  </si>
  <si>
    <t>-495.793941217009 98.3102120523267 765.805335383434</t>
  </si>
  <si>
    <t>-643.610627151177 37.9863296063243 -211.943644710318</t>
  </si>
  <si>
    <t>-484.297575168321 -100.5520911453 191.893144123659</t>
  </si>
  <si>
    <t>-501.22723887608 -20.9112108591521 654.492431279454</t>
  </si>
  <si>
    <t>-492.201350679878 -170.110208728481 747.237831324156</t>
  </si>
  <si>
    <t>9763-20170724T160527.522983200.bin</t>
  </si>
  <si>
    <t>-605.862075946115 127.264666716853 -228.543395133534</t>
  </si>
  <si>
    <t>-645.80607511631 123.366060497335 -342.811063355876</t>
  </si>
  <si>
    <t>-667.505114856232 116.082664155315 -461.834824639122</t>
  </si>
  <si>
    <t>-679.506843128011 107.785888840944 -570.379578167527</t>
  </si>
  <si>
    <t>-683.972001690373 97.6580423489318 -679.339811481954</t>
  </si>
  <si>
    <t>-682.343161888861 81.5251269443622 -830.789884868367</t>
  </si>
  <si>
    <t>-654.937055751035 62.9067183655998 -927.14986742051</t>
  </si>
  <si>
    <t>-666.519256747294 115.678893660741 -766.477816068775</t>
  </si>
  <si>
    <t>-573.173393647894 228.712975595336 -755.062734373535</t>
  </si>
  <si>
    <t>-461.529736496734 176.88365589224 -463.454085889815</t>
  </si>
  <si>
    <t>-228.925758587408 106.319829487873 -370.943559724834</t>
  </si>
  <si>
    <t>-699.608527477115 61.6479444488668 -761.078052043378</t>
  </si>
  <si>
    <t>-568.018454889748 216.409195618495 -244.500039358765</t>
  </si>
  <si>
    <t>-580.649705417649 200.928435614901 210.756489923524</t>
  </si>
  <si>
    <t>-626.84676057289 175.766736761566 677.667931954961</t>
  </si>
  <si>
    <t>-495.784042167529 98.3128688867887 765.798333526118</t>
  </si>
  <si>
    <t>-643.571037691049 38.1820812830513 -211.898307435972</t>
  </si>
  <si>
    <t>-484.292578868313 -100.533763136055 191.891178120664</t>
  </si>
  <si>
    <t>-501.226256044144 -20.8876141593266 654.520243281468</t>
  </si>
  <si>
    <t>-492.212297243878 -170.090442174941 747.260689882452</t>
  </si>
  <si>
    <t>9763-20170724T160527.595694300.bin</t>
  </si>
  <si>
    <t>-605.680002765788 127.405147543257 -228.469309303027</t>
  </si>
  <si>
    <t>-645.619055114085 123.448292325754 -342.736644751733</t>
  </si>
  <si>
    <t>-667.382722851778 116.118260020824 -461.745890800345</t>
  </si>
  <si>
    <t>-679.471463296772 107.785954052767 -570.278306026139</t>
  </si>
  <si>
    <t>-684.051914656875 97.6303412261746 -679.231144901464</t>
  </si>
  <si>
    <t>-682.612222408773 81.4678493730605 -830.679751672805</t>
  </si>
  <si>
    <t>-655.418094697417 62.8890479825798 -927.107458035633</t>
  </si>
  <si>
    <t>-666.705411656602 115.632758837398 -766.394066239998</t>
  </si>
  <si>
    <t>-573.457743863683 228.73961731642 -755.024369739557</t>
  </si>
  <si>
    <t>-462.724729930326 176.743668143562 -463.098205760342</t>
  </si>
  <si>
    <t>-230.442041363005 106.856652799921 -369.276106869475</t>
  </si>
  <si>
    <t>-699.792982752903 61.6058517583556 -760.942899832317</t>
  </si>
  <si>
    <t>-567.794062365546 216.46783782733 -244.461294579973</t>
  </si>
  <si>
    <t>-580.542217632776 200.95556646421 210.790803137397</t>
  </si>
  <si>
    <t>-626.906266538413 175.684403118859 677.678504424493</t>
  </si>
  <si>
    <t>-495.836689183444 98.2259538637179 765.794723517113</t>
  </si>
  <si>
    <t>-643.443838450476 38.3691890157972 -211.756364983389</t>
  </si>
  <si>
    <t>-484.177026111797 -100.509070550834 191.98196110559</t>
  </si>
  <si>
    <t>-501.224357524418 -20.8346011543947 654.603187777747</t>
  </si>
  <si>
    <t>-492.184919935571 -170.052870095702 747.31614572477</t>
  </si>
  <si>
    <t>9763-20170724T160527.627280000.bin</t>
  </si>
  <si>
    <t>-605.589961946296 127.415680071359 -228.449314982748</t>
  </si>
  <si>
    <t>-645.506313451876 123.416265917022 -342.723063570789</t>
  </si>
  <si>
    <t>-667.270112997378 116.094281116183 -461.732745833356</t>
  </si>
  <si>
    <t>-679.367888543337 107.790316379052 -570.266392490412</t>
  </si>
  <si>
    <t>-683.965690760571 97.6844980317876 -679.223139568168</t>
  </si>
  <si>
    <t>-682.558332093297 81.6136002980736 -830.681893944336</t>
  </si>
  <si>
    <t>-655.432012173541 63.1212337095697 -927.145262259786</t>
  </si>
  <si>
    <t>-666.658253236548 115.751865123178 -766.380416726601</t>
  </si>
  <si>
    <t>-573.444432825424 228.915202357654 -754.900586699243</t>
  </si>
  <si>
    <t>-462.847430691341 176.775253946494 -462.948560704663</t>
  </si>
  <si>
    <t>-230.446955371858 107.101748940182 -369.259437166079</t>
  </si>
  <si>
    <t>-699.703753454722 61.6971845577816 -760.951912795056</t>
  </si>
  <si>
    <t>-567.729948353765 216.479892548968 -244.460652454677</t>
  </si>
  <si>
    <t>-580.514957916555 200.982788918348 210.790957681988</t>
  </si>
  <si>
    <t>-626.874527672364 175.718093389186 677.664202093678</t>
  </si>
  <si>
    <t>-495.861706546528 98.1816632185501 765.796252238632</t>
  </si>
  <si>
    <t>-643.281813177833 38.3868782029535 -211.734112351225</t>
  </si>
  <si>
    <t>-484.063105180043 -100.4876772437 192.024375733076</t>
  </si>
  <si>
    <t>-501.216275109559 -20.7884425264799 654.654667693375</t>
  </si>
  <si>
    <t>-492.162047279896 -170.028682067109 747.330899199972</t>
  </si>
  <si>
    <t>9763-20170724T160527.692958200.bin</t>
  </si>
  <si>
    <t>-605.513892878554 127.305419670627 -228.450136593003</t>
  </si>
  <si>
    <t>-645.376003628815 123.251963048867 -342.74095564808</t>
  </si>
  <si>
    <t>-667.148816874692 116.051361824643 -461.756340719482</t>
  </si>
  <si>
    <t>-679.278902295924 107.927828020555 -570.299860889123</t>
  </si>
  <si>
    <t>-683.931624746951 98.0726521381016 -679.277424290917</t>
  </si>
  <si>
    <t>-682.622706604895 82.4223320352955 -830.781004479387</t>
  </si>
  <si>
    <t>-655.664871548077 64.2499770579095 -927.352350951489</t>
  </si>
  <si>
    <t>-666.718975950922 116.404928803171 -766.398025265553</t>
  </si>
  <si>
    <t>-573.801798921044 229.77358761535 -754.761826223415</t>
  </si>
  <si>
    <t>-462.943499841269 177.552480670049 -462.923613484665</t>
  </si>
  <si>
    <t>-230.048836559646 108.058717919455 -370.334272549863</t>
  </si>
  <si>
    <t>-699.684833516331 62.289195997814 -761.092628441296</t>
  </si>
  <si>
    <t>-567.826378875559 216.360613456924 -244.428835205229</t>
  </si>
  <si>
    <t>-580.660501039553 200.917150075534 210.823181570632</t>
  </si>
  <si>
    <t>-626.998557048876 175.5541164115 677.712079904858</t>
  </si>
  <si>
    <t>-495.802452674674 98.2815451163406 765.803184544089</t>
  </si>
  <si>
    <t>-643.122131978268 38.2671058330423 -211.752468379269</t>
  </si>
  <si>
    <t>-483.84720420931 -100.44776392069 192.038766213053</t>
  </si>
  <si>
    <t>-501.260695741259 -20.7469873275884 654.685050595559</t>
  </si>
  <si>
    <t>-492.070453459571 -169.995490387666 747.334467452758</t>
  </si>
  <si>
    <t>9763-20170724T160527.725045700.bin</t>
  </si>
  <si>
    <t>-605.43429764043 127.142703187815 -228.450839387554</t>
  </si>
  <si>
    <t>-645.209553718668 123.064290322193 -342.771025068729</t>
  </si>
  <si>
    <t>-667.004846100999 115.8850070112 -461.783701457498</t>
  </si>
  <si>
    <t>-679.199827819031 107.803031149286 -570.323036162913</t>
  </si>
  <si>
    <t>-683.962230108291 98.0125447817225 -679.301645184366</t>
  </si>
  <si>
    <t>-682.851199045199 82.4779840743267 -830.818730736919</t>
  </si>
  <si>
    <t>-656.083401737054 64.4048719928587 -927.461611875623</t>
  </si>
  <si>
    <t>-666.894902948885 116.430345567956 -766.432818201938</t>
  </si>
  <si>
    <t>-574.176815000917 230.026352858265 -754.814395013675</t>
  </si>
  <si>
    <t>-463.028410878028 178.161991813385 -463.02288552289</t>
  </si>
  <si>
    <t>-229.701711120853 108.545735328276 -371.620911238941</t>
  </si>
  <si>
    <t>-699.790671701878 62.2727659015975 -761.121395829618</t>
  </si>
  <si>
    <t>-567.776173098604 216.159555752599 -244.40894243862</t>
  </si>
  <si>
    <t>-580.783806864078 200.853110148644 210.842798918047</t>
  </si>
  <si>
    <t>-627.014489608258 175.524263952658 677.711723583029</t>
  </si>
  <si>
    <t>-495.788903870152 98.3007263102579 765.801950770684</t>
  </si>
  <si>
    <t>-642.966915158489 38.1250110102035 -211.790527724038</t>
  </si>
  <si>
    <t>-483.750737468103 -100.454234755113 192.070436114231</t>
  </si>
  <si>
    <t>-501.268307032813 -20.7336254578452 654.696857205295</t>
  </si>
  <si>
    <t>-492.073168543879 -169.982791474839 747.344889713206</t>
  </si>
  <si>
    <t>9763-20170724T160527.796281800.bin</t>
  </si>
  <si>
    <t>-605.151484796113 126.836771324692 -228.460217423677</t>
  </si>
  <si>
    <t>-644.85318399138 122.782249871442 -342.806771026944</t>
  </si>
  <si>
    <t>-666.678007614845 115.694356325841 -461.819424735154</t>
  </si>
  <si>
    <t>-678.941242854932 107.728745838719 -570.359826134643</t>
  </si>
  <si>
    <t>-683.811875923592 98.0925534951425 -679.347217005363</t>
  </si>
  <si>
    <t>-682.891063123494 82.8154597101618 -830.891798500146</t>
  </si>
  <si>
    <t>-656.627609510415 65.0410132402458 -927.728268060809</t>
  </si>
  <si>
    <t>-666.903703881929 116.68829092704 -766.471674422555</t>
  </si>
  <si>
    <t>-574.509434014369 230.515745967968 -754.974654783432</t>
  </si>
  <si>
    <t>-461.870037863112 181.817487805993 -463.209292726646</t>
  </si>
  <si>
    <t>-228.462874024076 110.964433672454 -372.970836854198</t>
  </si>
  <si>
    <t>-699.693212632882 62.4619964360202 -761.204440057455</t>
  </si>
  <si>
    <t>-567.4725887898 215.83308477401 -244.391542839951</t>
  </si>
  <si>
    <t>-580.789798325283 200.794570915621 210.860259806458</t>
  </si>
  <si>
    <t>-627.019891128721 175.555742988621 677.760321769301</t>
  </si>
  <si>
    <t>-495.874262658592 98.1660894961603 765.823822161256</t>
  </si>
  <si>
    <t>-642.703115609289 37.8597092110458 -211.831389453528</t>
  </si>
  <si>
    <t>-483.636561727021 -100.868247175016 192.037516607093</t>
  </si>
  <si>
    <t>-501.246919408593 -20.7418449189099 654.633387227017</t>
  </si>
  <si>
    <t>-492.128825101219 -169.969244527998 747.324018629007</t>
  </si>
  <si>
    <t>9763-20170724T160527.827342800.bin</t>
  </si>
  <si>
    <t>-604.996897878951 126.591537355728 -228.442160465797</t>
  </si>
  <si>
    <t>-644.641732039802 122.548436843001 -342.808940515032</t>
  </si>
  <si>
    <t>-666.495155914695 115.443225979734 -461.815284859281</t>
  </si>
  <si>
    <t>-678.819866749262 107.454940198728 -570.346997718388</t>
  </si>
  <si>
    <t>-683.787466995112 97.7918657782661 -679.327778260451</t>
  </si>
  <si>
    <t>-683.038172900302 82.4751663080651 -830.869309401475</t>
  </si>
  <si>
    <t>-657.082379744088 64.7505190026061 -927.797776793745</t>
  </si>
  <si>
    <t>-666.995130371995 116.375113502293 -766.477206677828</t>
  </si>
  <si>
    <t>-574.823833109792 230.443438090748 -755.245730537171</t>
  </si>
  <si>
    <t>-461.534779147486 183.884737029038 -463.382658465947</t>
  </si>
  <si>
    <t>-228.724089721664 112.071083451568 -372.36596772568</t>
  </si>
  <si>
    <t>-699.744268228674 62.129577152989 -761.156420438742</t>
  </si>
  <si>
    <t>-567.261383435232 215.521373053336 -244.353803691966</t>
  </si>
  <si>
    <t>-580.774456486306 200.695154064521 210.899171600398</t>
  </si>
  <si>
    <t>-627.118346580307 175.452854731651 677.810908080776</t>
  </si>
  <si>
    <t>-495.934182151365 98.0746308154919 765.827020338377</t>
  </si>
  <si>
    <t>-642.634164897317 37.6450897780207 -211.816830037211</t>
  </si>
  <si>
    <t>-483.648687679381 -101.114453652983 192.073090967623</t>
  </si>
  <si>
    <t>-501.246055447043 -20.7568765591334 654.601086351477</t>
  </si>
  <si>
    <t>-492.16309116042 -169.96362231954 747.328373792666</t>
  </si>
  <si>
    <t>9763-20170724T160527.895528400.bin</t>
  </si>
  <si>
    <t>-604.636179641662 126.090895594476 -228.380413965899</t>
  </si>
  <si>
    <t>-644.148425687853 122.099710939535 -342.794819218897</t>
  </si>
  <si>
    <t>-666.032293056812 114.905890811218 -461.790239231349</t>
  </si>
  <si>
    <t>-678.454448433419 106.786328716802 -570.301047196608</t>
  </si>
  <si>
    <t>-683.591002988112 96.9439442316993 -679.257984593443</t>
  </si>
  <si>
    <t>-683.151404900504 81.3312992959134 -830.77047320234</t>
  </si>
  <si>
    <t>-657.663162191006 63.5399883575913 -927.810732207564</t>
  </si>
  <si>
    <t>-666.98812550841 115.363587107689 -766.478538078806</t>
  </si>
  <si>
    <t>-574.889485811754 229.506795134957 -755.817303728385</t>
  </si>
  <si>
    <t>-461.789225568086 187.213922558403 -463.232548350303</t>
  </si>
  <si>
    <t>-230.47348121579 113.768942544155 -369.739919654447</t>
  </si>
  <si>
    <t>-699.703760576418 61.1151640331464 -760.983399894629</t>
  </si>
  <si>
    <t>-566.79850198086 214.957694414329 -244.222917633762</t>
  </si>
  <si>
    <t>-580.959522678075 200.534366513327 211.023314109665</t>
  </si>
  <si>
    <t>-627.400972749635 175.166041606897 677.906577055652</t>
  </si>
  <si>
    <t>-495.92698412177 98.1255058593458 765.786381151448</t>
  </si>
  <si>
    <t>-642.331851451844 37.2543994998223 -211.855915437722</t>
  </si>
  <si>
    <t>-483.67471289023 -101.546704061586 192.148880919254</t>
  </si>
  <si>
    <t>-501.251680802301 -20.7579302055062 654.615512196892</t>
  </si>
  <si>
    <t>-492.19589483435 -169.944017067917 747.378761522263</t>
  </si>
  <si>
    <t>9763-20170724T160527.927132800.bin</t>
  </si>
  <si>
    <t>-604.531385499576 125.908705950579 -228.372358302871</t>
  </si>
  <si>
    <t>-643.97110989928 121.891770035238 -342.810844877221</t>
  </si>
  <si>
    <t>-665.885029183581 114.654708956116 -461.79829449863</t>
  </si>
  <si>
    <t>-678.378171998727 106.488419286472 -570.297417307147</t>
  </si>
  <si>
    <t>-683.63024378979 96.5914034020389 -679.243730782602</t>
  </si>
  <si>
    <t>-683.397993698751 80.8942137783495 -830.748132027801</t>
  </si>
  <si>
    <t>-658.12022638009 63.0157457287862 -927.827292542754</t>
  </si>
  <si>
    <t>-667.132447412072 114.953843269067 -766.496359094476</t>
  </si>
  <si>
    <t>-574.97096832785 229.063485111358 -755.980674850933</t>
  </si>
  <si>
    <t>-463.028564476012 187.947079855593 -462.783660867183</t>
  </si>
  <si>
    <t>-232.500598581894 114.44799652626 -367.406619197299</t>
  </si>
  <si>
    <t>-699.869156151747 60.7255209819596 -760.928033096656</t>
  </si>
  <si>
    <t>-566.703718352488 214.768696347568 -244.22467027788</t>
  </si>
  <si>
    <t>-580.969861679225 200.447854945096 211.021449887086</t>
  </si>
  <si>
    <t>-627.416159579543 175.103793320632 677.895653227312</t>
  </si>
  <si>
    <t>-495.903587009445 98.1374405917099 765.782697850004</t>
  </si>
  <si>
    <t>-642.208298505243 37.0740358154094 -211.842145318674</t>
  </si>
  <si>
    <t>-483.577821835594 -101.763812365334 192.160508800448</t>
  </si>
  <si>
    <t>-501.257623001505 -20.7681354299507 654.59684761273</t>
  </si>
  <si>
    <t>-492.187790294023 -169.938230152139 747.384354480233</t>
  </si>
  <si>
    <t>9763-20170724T160527.992814900.bin</t>
  </si>
  <si>
    <t>-604.261347356859 125.785001072681 -228.371382235807</t>
  </si>
  <si>
    <t>-643.737793803995 121.758845088831 -342.796936630226</t>
  </si>
  <si>
    <t>-665.719689936062 114.501959118398 -461.770408517287</t>
  </si>
  <si>
    <t>-678.28657727724 106.315669586621 -570.259624123622</t>
  </si>
  <si>
    <t>-683.624326398886 96.3977457035485 -679.199989787233</t>
  </si>
  <si>
    <t>-683.523405936969 80.6713064152575 -830.701409442852</t>
  </si>
  <si>
    <t>-658.508055323484 62.691050690386 -927.829884004291</t>
  </si>
  <si>
    <t>-667.233194330671 114.761811440389 -766.472267276179</t>
  </si>
  <si>
    <t>-575.486976124137 229.206315494472 -756.094054737704</t>
  </si>
  <si>
    <t>-465.780594769822 190.174923226436 -461.769078291584</t>
  </si>
  <si>
    <t>-236.672669362103 116.980988401147 -362.80306937269</t>
  </si>
  <si>
    <t>-699.90296553501 60.4976782111812 -760.86117643812</t>
  </si>
  <si>
    <t>-566.540382948967 214.691092681313 -244.231048949367</t>
  </si>
  <si>
    <t>-580.714652347942 200.271654958901 211.014878772322</t>
  </si>
  <si>
    <t>-627.361678180742 175.128097888136 677.858823278425</t>
  </si>
  <si>
    <t>-495.864788577919 98.1985320027366 765.801519779967</t>
  </si>
  <si>
    <t>-641.842691785969 36.9312967654912 -211.817286314616</t>
  </si>
  <si>
    <t>-483.238832181784 -101.885757653264 192.202895611396</t>
  </si>
  <si>
    <t>-501.250237716903 -20.7655433225884 654.582124169411</t>
  </si>
  <si>
    <t>-492.198450288823 -169.921464623422 747.394309811235</t>
  </si>
  <si>
    <t>9763-20170724T160528.026909800.bin</t>
  </si>
  <si>
    <t>-604.219355002402 125.842133060128 -228.361781792397</t>
  </si>
  <si>
    <t>-643.727807259447 121.786213401208 -342.775228010166</t>
  </si>
  <si>
    <t>-665.686627972682 114.497976908152 -461.751062316156</t>
  </si>
  <si>
    <t>-678.209218490108 106.284377344784 -570.243358326048</t>
  </si>
  <si>
    <t>-683.478592233271 96.3414216278427 -679.184769025619</t>
  </si>
  <si>
    <t>-683.257443664392 80.5833195509822 -830.682774645873</t>
  </si>
  <si>
    <t>-658.254234471268 62.5380637804144 -927.802273835417</t>
  </si>
  <si>
    <t>-667.04505916388 114.703261859157 -766.44943237538</t>
  </si>
  <si>
    <t>-575.357692851423 229.195056718548 -755.993588110928</t>
  </si>
  <si>
    <t>-466.864599454018 191.227223702653 -461.080372380166</t>
  </si>
  <si>
    <t>-239.108762876468 117.642319693263 -359.322915006531</t>
  </si>
  <si>
    <t>-699.66553612238 60.4083134096759 -760.849697131454</t>
  </si>
  <si>
    <t>-566.528882337913 214.694083108694 -244.263290913477</t>
  </si>
  <si>
    <t>-580.610759135851 200.208299950285 210.983288371625</t>
  </si>
  <si>
    <t>-627.37485518211 175.034771588876 677.825190212618</t>
  </si>
  <si>
    <t>-495.869608877633 98.1766912118055 765.81792071946</t>
  </si>
  <si>
    <t>-641.816124821064 36.9977246490262 -211.75593553528</t>
  </si>
  <si>
    <t>-483.090643052202 -101.914609747473 192.183760120101</t>
  </si>
  <si>
    <t>-501.229950170933 -20.7546587422971 654.572749600975</t>
  </si>
  <si>
    <t>-492.207727375805 -169.918056368181 747.375647056435</t>
  </si>
  <si>
    <t>9763-20170724T160528.056994400.bin</t>
  </si>
  <si>
    <t>-604.260967924391 125.932332356591 -228.376275077959</t>
  </si>
  <si>
    <t>-643.853786187076 121.854898303657 -342.759795903647</t>
  </si>
  <si>
    <t>-665.782453429563 114.51585586614 -461.738131546952</t>
  </si>
  <si>
    <t>-678.229034911896 106.247733215293 -570.23492918221</t>
  </si>
  <si>
    <t>-683.373237209452 96.2431444061019 -679.176765459412</t>
  </si>
  <si>
    <t>-682.926391790944 80.3939442482479 -830.664672212377</t>
  </si>
  <si>
    <t>-657.801666981972 62.266210468815 -927.737409343842</t>
  </si>
  <si>
    <t>-666.865167831292 114.585425498083 -766.431459876074</t>
  </si>
  <si>
    <t>-575.369135548556 229.225881981335 -755.888009722597</t>
  </si>
  <si>
    <t>-468.027503006228 191.97514579823 -460.462485107346</t>
  </si>
  <si>
    <t>-241.424393950269 118.351858708017 -356.190131817359</t>
  </si>
  <si>
    <t>-699.383056183922 60.2280087558884 -760.84038212606</t>
  </si>
  <si>
    <t>-566.606286845874 214.81233492885 -244.297561539265</t>
  </si>
  <si>
    <t>-580.552025811375 200.211068538552 210.949584666756</t>
  </si>
  <si>
    <t>-627.340219042736 175.048211651948 677.802033409658</t>
  </si>
  <si>
    <t>-495.801035867977 98.2822985345058 765.824472574978</t>
  </si>
  <si>
    <t>-641.817278636104 37.1119205168466 -211.731619864482</t>
  </si>
  <si>
    <t>-482.980715391444 -101.827779642685 192.155012474605</t>
  </si>
  <si>
    <t>-501.232389085427 -20.7324768866295 654.568352972284</t>
  </si>
  <si>
    <t>-492.181983511945 -169.905071329158 747.353888801226</t>
  </si>
  <si>
    <t>9763-20170724T160528.126181500.bin</t>
  </si>
  <si>
    <t>-604.681244679255 126.402215422755 -228.389860358058</t>
  </si>
  <si>
    <t>-644.299819305415 122.192435843315 -342.759781306474</t>
  </si>
  <si>
    <t>-666.028897202774 114.693306425256 -461.764641802353</t>
  </si>
  <si>
    <t>-678.201910602553 106.267365270477 -570.280463632964</t>
  </si>
  <si>
    <t>-682.979797517563 96.0905332844739 -679.222953266324</t>
  </si>
  <si>
    <t>-681.927941769474 79.9863785158532 -830.680936089957</t>
  </si>
  <si>
    <t>-656.407549779331 61.7202623791152 -927.624467530145</t>
  </si>
  <si>
    <t>-666.201909639447 114.332358593011 -766.447358209385</t>
  </si>
  <si>
    <t>-574.869294212752 229.034417812045 -755.466691697312</t>
  </si>
  <si>
    <t>-468.306616450763 191.304736559319 -459.819962076393</t>
  </si>
  <si>
    <t>-243.904309589531 117.996047621569 -350.680088863841</t>
  </si>
  <si>
    <t>-698.584730892626 59.8916606057016 -760.883525372631</t>
  </si>
  <si>
    <t>-567.161107793049 215.434785247716 -244.414818177653</t>
  </si>
  <si>
    <t>-580.63473554653 200.508941798357 210.836095231557</t>
  </si>
  <si>
    <t>-627.039921151988 175.352070789366 677.664232122921</t>
  </si>
  <si>
    <t>-495.810580066879 98.2619087567143 765.865582569619</t>
  </si>
  <si>
    <t>-642.025823972626 37.4373280804521 -211.707046280717</t>
  </si>
  <si>
    <t>-482.809567823659 -101.571342672632 192.006234517088</t>
  </si>
  <si>
    <t>-501.276578462368 -20.7121129102866 654.47324335697</t>
  </si>
  <si>
    <t>-492.094276775164 -169.882729161632 747.24892559935</t>
  </si>
  <si>
    <t>9763-20170724T160528.196373500.bin</t>
  </si>
  <si>
    <t>-605.823707781689 127.013933197826 -228.532811248899</t>
  </si>
  <si>
    <t>-645.490687412298 122.686526610395 -342.881491543521</t>
  </si>
  <si>
    <t>-667.176187144604 115.132267294654 -461.890927447797</t>
  </si>
  <si>
    <t>-679.271010436312 106.677110052213 -570.413044545997</t>
  </si>
  <si>
    <t>-683.931953677369 96.4883213028636 -679.359450771372</t>
  </si>
  <si>
    <t>-682.677576900097 80.3826662134563 -830.815920874472</t>
  </si>
  <si>
    <t>-656.916279054677 62.0688031185541 -927.68667589467</t>
  </si>
  <si>
    <t>-667.099404729524 114.765519587021 -766.565858443046</t>
  </si>
  <si>
    <t>-575.923187004522 229.598363060789 -755.423106783917</t>
  </si>
  <si>
    <t>-468.840409798983 185.34417311041 -460.870768954639</t>
  </si>
  <si>
    <t>-248.662236312925 111.687275255418 -343.660264571435</t>
  </si>
  <si>
    <t>-699.365893207221 60.2521998530383 -761.036329168406</t>
  </si>
  <si>
    <t>-568.596430513052 216.246532549227 -244.589623152495</t>
  </si>
  <si>
    <t>-581.035414051285 200.831116615427 210.674415111798</t>
  </si>
  <si>
    <t>-626.6603643839 175.666559236236 677.463326901077</t>
  </si>
  <si>
    <t>-495.72288006956 98.4011128243376 765.944606556509</t>
  </si>
  <si>
    <t>-642.975083124129 37.8631989834923 -211.723004688757</t>
  </si>
  <si>
    <t>-482.248234253435 -100.743204286654 191.529727983773</t>
  </si>
  <si>
    <t>-501.380316177848 -20.7620727161609 654.163624081136</t>
  </si>
  <si>
    <t>-491.836807388849 -169.86981210631 747.003796373929</t>
  </si>
  <si>
    <t>9763-20170724T160528.225953800.bin</t>
  </si>
  <si>
    <t>-606.371437442849 127.360949069951 -228.619583114176</t>
  </si>
  <si>
    <t>-646.034568336289 122.981478793792 -342.967676718927</t>
  </si>
  <si>
    <t>-667.701470935661 115.429647342545 -461.980509708148</t>
  </si>
  <si>
    <t>-679.773096374087 106.99642421235 -570.507027385884</t>
  </si>
  <si>
    <t>-684.404186339073 96.8480194252638 -679.458394968146</t>
  </si>
  <si>
    <t>-683.101554120037 80.816119138035 -830.922261550509</t>
  </si>
  <si>
    <t>-657.285778541396 62.5364509064887 -927.785002987802</t>
  </si>
  <si>
    <t>-667.522774255543 115.155437845326 -766.649164967559</t>
  </si>
  <si>
    <t>-576.24483154422 229.864826489475 -755.386116860651</t>
  </si>
  <si>
    <t>-468.315041044231 181.913353893846 -461.722953278837</t>
  </si>
  <si>
    <t>-249.764659855158 107.797144337018 -341.787161141531</t>
  </si>
  <si>
    <t>-699.833087880236 60.6640343499719 -761.159325683318</t>
  </si>
  <si>
    <t>-569.155230024888 216.583798170013 -244.736799673495</t>
  </si>
  <si>
    <t>-581.372028068878 201.251141634963 210.535964984991</t>
  </si>
  <si>
    <t>-626.461968731128 175.792128816336 677.365205873862</t>
  </si>
  <si>
    <t>-495.67052181037 98.4523764220198 765.997409133752</t>
  </si>
  <si>
    <t>-643.50916248408 38.1751708862446 -211.808176217198</t>
  </si>
  <si>
    <t>-482.136554485314 -100.163453083673 191.278673139893</t>
  </si>
  <si>
    <t>-501.446335494098 -20.7474686074415 654.021736671809</t>
  </si>
  <si>
    <t>-491.72019395197 -169.856061639083 746.841676783101</t>
  </si>
  <si>
    <t>9763-20170724T160528.296339800.bin</t>
  </si>
  <si>
    <t>-607.248240596068 127.903109321489 -228.787957218718</t>
  </si>
  <si>
    <t>-646.952600246436 123.537341251946 -343.122176758495</t>
  </si>
  <si>
    <t>-668.690585672216 116.022863403602 -462.124518596825</t>
  </si>
  <si>
    <t>-680.839559313418 107.625771419426 -570.645183599377</t>
  </si>
  <si>
    <t>-685.561835084276 97.5117323315349 -679.595792221165</t>
  </si>
  <si>
    <t>-684.401086287188 81.5219839676404 -831.065382378087</t>
  </si>
  <si>
    <t>-658.643488598537 63.2082947553611 -927.937111980924</t>
  </si>
  <si>
    <t>-668.625086244812 115.762656894921 -766.78772759011</t>
  </si>
  <si>
    <t>-576.758668693753 230.039985457941 -755.516000995633</t>
  </si>
  <si>
    <t>-467.550754750998 174.301595033706 -463.705919588497</t>
  </si>
  <si>
    <t>-253.541924658589 98.8118908977685 -336.648644299353</t>
  </si>
  <si>
    <t>-701.204277069866 61.431245907226 -761.301806789357</t>
  </si>
  <si>
    <t>-569.789155172905 217.132728676617 -244.883585977568</t>
  </si>
  <si>
    <t>-582.137373330243 202.125703047889 210.396512308019</t>
  </si>
  <si>
    <t>-626.336772791101 176.060107035133 677.38959963282</t>
  </si>
  <si>
    <t>-495.800287155882 98.3127077956901 766.041043337835</t>
  </si>
  <si>
    <t>-644.618601847537 38.6404915203159 -211.996174542398</t>
  </si>
  <si>
    <t>-482.676565531037 -99.462555485178 190.942967646674</t>
  </si>
  <si>
    <t>-501.590757885324 -20.7114748068043 653.808116544238</t>
  </si>
  <si>
    <t>-491.626472198245 -169.822237128091 746.599177831732</t>
  </si>
  <si>
    <t>9763-20170724T160528.328928000.bin</t>
  </si>
  <si>
    <t>-607.598520847868 127.967844034926 -228.808331890044</t>
  </si>
  <si>
    <t>-647.28515372629 123.673401954868 -343.151387673352</t>
  </si>
  <si>
    <t>-669.035619159655 116.170388621654 -462.152229310643</t>
  </si>
  <si>
    <t>-681.210116025353 107.756951583149 -570.668793282977</t>
  </si>
  <si>
    <t>-685.972958065119 97.5991061764469 -679.613616118605</t>
  </si>
  <si>
    <t>-684.885308355281 81.5187307984322 -831.073918904002</t>
  </si>
  <si>
    <t>-659.170406004037 63.1350937450673 -927.943915218717</t>
  </si>
  <si>
    <t>-668.985316856929 115.742511590634 -766.818022759747</t>
  </si>
  <si>
    <t>-576.716841497672 229.694463763794 -755.63072002902</t>
  </si>
  <si>
    <t>-466.953671662193 170.840582993218 -464.641978454646</t>
  </si>
  <si>
    <t>-258.018994610436 92.6401093636623 -330.951882292101</t>
  </si>
  <si>
    <t>-701.747886357978 61.524987009944 -761.296951732964</t>
  </si>
  <si>
    <t>-569.95235098977 217.141430946605 -244.912917583132</t>
  </si>
  <si>
    <t>-582.347627788798 202.272615227977 210.37039937616</t>
  </si>
  <si>
    <t>-626.332035008685 176.109118515763 677.391673949687</t>
  </si>
  <si>
    <t>-495.849792140868 98.2475357493381 766.022746683875</t>
  </si>
  <si>
    <t>-645.116419592778 38.7592319323785 -212.025907851425</t>
  </si>
  <si>
    <t>-483.285003162126 -99.5879903521111 190.874004792573</t>
  </si>
  <si>
    <t>-501.591852996809 -20.7160785238952 653.69923578533</t>
  </si>
  <si>
    <t>-491.785684713489 -169.819074938921 746.519686919587</t>
  </si>
  <si>
    <t>9763-20170724T160528.394283200.bin</t>
  </si>
  <si>
    <t>-607.915546336047 127.737894147603 -228.871241674698</t>
  </si>
  <si>
    <t>-647.644454632379 123.643479471665 -343.207012508934</t>
  </si>
  <si>
    <t>-669.442932525661 116.166965699259 -462.200592145504</t>
  </si>
  <si>
    <t>-681.667524784978 107.698954039979 -570.707353409985</t>
  </si>
  <si>
    <t>-686.48935173458 97.404943173143 -679.636772212347</t>
  </si>
  <si>
    <t>-685.495814654074 81.0468520204706 -831.068068734832</t>
  </si>
  <si>
    <t>-659.839781560318 62.4422222907267 -927.911308469893</t>
  </si>
  <si>
    <t>-669.317847397593 115.244895728843 -766.867686293966</t>
  </si>
  <si>
    <t>-576.163130376832 228.500858369415 -756.027670605206</t>
  </si>
  <si>
    <t>-466.110677202696 165.825138233667 -465.947604425588</t>
  </si>
  <si>
    <t>-272.818107771305 73.5008464271909 -318.447438031823</t>
  </si>
  <si>
    <t>-702.553028197695 61.3246718736791 -761.261117780384</t>
  </si>
  <si>
    <t>-569.834666191469 216.729757507823 -244.990063112913</t>
  </si>
  <si>
    <t>-582.320943379657 202.133002234089 210.299627613165</t>
  </si>
  <si>
    <t>-626.24661162049 176.258517126567 677.334329077805</t>
  </si>
  <si>
    <t>-496.069007222832 97.9074278713601 765.982039282496</t>
  </si>
  <si>
    <t>-645.874746050835 38.7080598929592 -212.062977927814</t>
  </si>
  <si>
    <t>-484.538257509363 -100.241529050082 190.828064224746</t>
  </si>
  <si>
    <t>-501.556144595065 -20.7169718132538 653.538288532406</t>
  </si>
  <si>
    <t>-492.248811952146 -169.80979249913 746.426363536205</t>
  </si>
  <si>
    <t>9763-20170724T160528.425872400.bin</t>
  </si>
  <si>
    <t>-608.054901934637 127.468644807685 -228.890588926338</t>
  </si>
  <si>
    <t>-647.799650048889 123.482138243726 -343.224530756062</t>
  </si>
  <si>
    <t>-669.641307215483 116.063740246357 -462.213988357832</t>
  </si>
  <si>
    <t>-681.917279529124 107.626273134507 -570.717256312471</t>
  </si>
  <si>
    <t>-686.803640216461 97.3399685238903 -679.644608272797</t>
  </si>
  <si>
    <t>-685.913824723787 80.9684466965718 -831.075129343651</t>
  </si>
  <si>
    <t>-660.291876869578 62.2909913651063 -927.913323142655</t>
  </si>
  <si>
    <t>-669.58832063634 115.108918632197 -766.881429099178</t>
  </si>
  <si>
    <t>-576.035209926227 228.061512320229 -756.21495001226</t>
  </si>
  <si>
    <t>-466.281551873025 164.310840659835 -466.256059309662</t>
  </si>
  <si>
    <t>-278.560139136537 64.9528182324307 -316.153843164079</t>
  </si>
  <si>
    <t>-703.02675821782 61.3157582035365 -761.262185326132</t>
  </si>
  <si>
    <t>-569.76473464349 216.308404692777 -245.029871194744</t>
  </si>
  <si>
    <t>-582.225627309124 201.778791668816 210.262608323169</t>
  </si>
  <si>
    <t>-626.291077098514 176.171879469899 677.314928498082</t>
  </si>
  <si>
    <t>-496.128191544437 97.8053305695207 765.970505245697</t>
  </si>
  <si>
    <t>-646.240403922619 38.6353022318963 -212.069317738603</t>
  </si>
  <si>
    <t>-485.118947328601 -100.593853273526 190.811321315049</t>
  </si>
  <si>
    <t>-501.543514461197 -20.7219290894134 653.467469693563</t>
  </si>
  <si>
    <t>-492.44021762573 -169.804339400114 746.392675183461</t>
  </si>
  <si>
    <t>9763-20170724T160528.495567600.bin</t>
  </si>
  <si>
    <t>-608.101982172977 126.791066704884 -228.937647388673</t>
  </si>
  <si>
    <t>-647.845740675931 122.990924694979 -343.278372628639</t>
  </si>
  <si>
    <t>-669.699288299953 115.679825531252 -462.27223341046</t>
  </si>
  <si>
    <t>-681.992712722016 107.30740865284 -570.778556644583</t>
  </si>
  <si>
    <t>-686.903449534267 97.055526550454 -679.708096432913</t>
  </si>
  <si>
    <t>-686.055150999084 80.7007645269421 -831.140508289966</t>
  </si>
  <si>
    <t>-660.474831643081 61.9468363689377 -927.975136253338</t>
  </si>
  <si>
    <t>-669.566895844083 114.744447011284 -766.937058743151</t>
  </si>
  <si>
    <t>-575.410284562709 227.208631382375 -756.336314189713</t>
  </si>
  <si>
    <t>-466.61683648359 162.570229877161 -466.21211470245</t>
  </si>
  <si>
    <t>-283.202359293881 56.4202157959203 -315.436460525684</t>
  </si>
  <si>
    <t>-703.294105695786 61.1300229824021 -761.335668864734</t>
  </si>
  <si>
    <t>-569.322015512971 215.394973219731 -245.102581955562</t>
  </si>
  <si>
    <t>-581.936542575206 201.168212155377 210.195264604621</t>
  </si>
  <si>
    <t>-626.22643409266 176.220599628438 677.256369005675</t>
  </si>
  <si>
    <t>-496.251068256951 97.5904294441114 765.953654897379</t>
  </si>
  <si>
    <t>-646.754171474081 38.2184515108329 -212.103990296881</t>
  </si>
  <si>
    <t>-485.752607439786 -101.258516319602 190.738870550074</t>
  </si>
  <si>
    <t>-501.508873636514 -20.7439420949217 653.320622159289</t>
  </si>
  <si>
    <t>-492.751498121877 -169.793828226545 746.331086429676</t>
  </si>
  <si>
    <t>9763-20170724T160528.522640100.bin</t>
  </si>
  <si>
    <t>-608.027213054443 126.410777373838 -228.946859856121</t>
  </si>
  <si>
    <t>-647.79556442753 122.672615030244 -343.281030132261</t>
  </si>
  <si>
    <t>-669.652478353758 115.394503550946 -462.276311676245</t>
  </si>
  <si>
    <t>-681.940339325274 107.040569791845 -570.784746698746</t>
  </si>
  <si>
    <t>-686.836615875038 96.7967540093796 -679.715599586948</t>
  </si>
  <si>
    <t>-685.959437208252 80.442382022803 -831.147930478614</t>
  </si>
  <si>
    <t>-660.389502034797 61.6693262816766 -927.98148428409</t>
  </si>
  <si>
    <t>-669.44128473836 114.459502999567 -766.938279410505</t>
  </si>
  <si>
    <t>-575.064276502886 226.716105821966 -756.239613455562</t>
  </si>
  <si>
    <t>-466.426296105513 162.541050390821 -465.954393378913</t>
  </si>
  <si>
    <t>-275.483268948081 64.1119644632608 -319.344230976395</t>
  </si>
  <si>
    <t>-703.253985815971 60.897693288643 -761.349481883925</t>
  </si>
  <si>
    <t>-569.073338781885 214.911582437381 -245.129038541965</t>
  </si>
  <si>
    <t>-581.751237009466 200.852121944858 210.172314158757</t>
  </si>
  <si>
    <t>-626.238318821804 176.159292153176 677.231309447456</t>
  </si>
  <si>
    <t>-496.331126862436 97.4434420687944 765.952499761192</t>
  </si>
  <si>
    <t>-646.820165040258 37.9413675173407 -212.10304513361</t>
  </si>
  <si>
    <t>-485.860085390793 -101.615691618545 190.728619837541</t>
  </si>
  <si>
    <t>-501.466430608873 -20.751928847905 653.251126436985</t>
  </si>
  <si>
    <t>-492.863993247391 -169.785262675206 746.302479813167</t>
  </si>
  <si>
    <t>9763-20170724T160528.596844200.bin</t>
  </si>
  <si>
    <t>-607.741165779117 125.610327008207 -228.956252377237</t>
  </si>
  <si>
    <t>-647.5084535715 121.860442976437 -343.290540208731</t>
  </si>
  <si>
    <t>-669.314252996425 114.582899646338 -462.295196921714</t>
  </si>
  <si>
    <t>-681.534840799084 106.234581163612 -570.811495687758</t>
  </si>
  <si>
    <t>-686.342710516122 96.0014792819663 -679.747409816003</t>
  </si>
  <si>
    <t>-685.320263682373 79.6678177587967 -831.181168166187</t>
  </si>
  <si>
    <t>-659.679419077017 60.9255183640198 -928.001822640259</t>
  </si>
  <si>
    <t>-668.836304094467 113.65899802174 -766.948918246957</t>
  </si>
  <si>
    <t>-574.199493489688 225.680732835699 -755.952053684254</t>
  </si>
  <si>
    <t>-465.446816612045 162.666061698504 -465.455539696568</t>
  </si>
  <si>
    <t>-264.638394022286 74.5354101506005 -325.630837134409</t>
  </si>
  <si>
    <t>-702.709151965021 60.1307651632796 -761.404045756201</t>
  </si>
  <si>
    <t>-568.662818386136 213.947734377796 -245.182898962621</t>
  </si>
  <si>
    <t>-581.410866105233 200.136822547118 210.124123082121</t>
  </si>
  <si>
    <t>-626.329791247832 175.968796523954 677.196973094192</t>
  </si>
  <si>
    <t>-496.362473876117 97.3735996861005 765.937079844864</t>
  </si>
  <si>
    <t>-646.628133291442 37.319369393949 -212.078626211244</t>
  </si>
  <si>
    <t>-485.763006919692 -102.338415203113 190.756005426849</t>
  </si>
  <si>
    <t>-501.419281034673 -20.7649694099121 653.148845080311</t>
  </si>
  <si>
    <t>-492.979408008494 -169.769872968232 746.260620694426</t>
  </si>
  <si>
    <t>9763-20170724T160528.624922800.bin</t>
  </si>
  <si>
    <t>-607.690186923371 125.285041569901 -228.972574102887</t>
  </si>
  <si>
    <t>-647.468211990467 121.490444422099 -343.301485404498</t>
  </si>
  <si>
    <t>-669.288610678273 114.214251931388 -462.303587880317</t>
  </si>
  <si>
    <t>-681.523258829224 105.88532611784 -570.819868760779</t>
  </si>
  <si>
    <t>-686.345624424794 95.6893411062599 -679.75862609496</t>
  </si>
  <si>
    <t>-685.343445717648 79.4252282447108 -831.19997184541</t>
  </si>
  <si>
    <t>-659.65155409588 60.7299799553725 -928.016349961669</t>
  </si>
  <si>
    <t>-668.864027093163 113.395400114804 -766.955198820028</t>
  </si>
  <si>
    <t>-574.282238384222 225.447071171865 -755.871493473227</t>
  </si>
  <si>
    <t>-465.34831885552 162.483605730552 -465.431801604057</t>
  </si>
  <si>
    <t>-262.33201499603 77.1643834080435 -327.05887548366</t>
  </si>
  <si>
    <t>-702.709642493363 59.8478931379213 -761.42852364358</t>
  </si>
  <si>
    <t>-568.726328574143 213.634796581774 -245.194299778906</t>
  </si>
  <si>
    <t>-581.45724143308 199.854374393934 210.114006106822</t>
  </si>
  <si>
    <t>-626.474232312526 175.730806403938 677.19438252307</t>
  </si>
  <si>
    <t>-496.253504011177 97.5323567655489 765.913479597566</t>
  </si>
  <si>
    <t>-646.496376911518 37.029073279235 -212.074982616132</t>
  </si>
  <si>
    <t>-485.614809535548 -102.565522153164 190.775003851338</t>
  </si>
  <si>
    <t>-501.431840500931 -20.7671554112083 653.129101049857</t>
  </si>
  <si>
    <t>-492.941445033189 -169.761372537821 746.253607598367</t>
  </si>
  <si>
    <t>9763-20170724T160528.689028300.bin</t>
  </si>
  <si>
    <t>-607.812806004599 124.986964600178 -228.989603163025</t>
  </si>
  <si>
    <t>-647.55071337944 120.999865785567 -343.325968827856</t>
  </si>
  <si>
    <t>-669.352682472979 113.672118092232 -462.328311971258</t>
  </si>
  <si>
    <t>-681.578027514761 105.352995321434 -570.846379050903</t>
  </si>
  <si>
    <t>-686.397765233182 95.2218366856271 -679.791209286195</t>
  </si>
  <si>
    <t>-685.397787531684 79.1042428455244 -831.2482730965</t>
  </si>
  <si>
    <t>-659.541646725578 60.541316745557 -928.046374364491</t>
  </si>
  <si>
    <t>-668.996815710999 113.061635792865 -766.976743838822</t>
  </si>
  <si>
    <t>-574.666524880826 225.285115587768 -755.62245638008</t>
  </si>
  <si>
    <t>-465.201527814855 162.220863253133 -465.404492136486</t>
  </si>
  <si>
    <t>-257.676358919981 81.5625357345589 -330.981285631965</t>
  </si>
  <si>
    <t>-702.683604328415 59.4100088736266 -761.489731014024</t>
  </si>
  <si>
    <t>-569.16349265885 213.445747436134 -245.2235259014</t>
  </si>
  <si>
    <t>-581.86225883152 199.846105124343 210.091217217408</t>
  </si>
  <si>
    <t>-626.568370792886 175.600546867673 677.199660611259</t>
  </si>
  <si>
    <t>-496.36105531454 97.3558111954903 765.897638247994</t>
  </si>
  <si>
    <t>-646.31716682687 36.6022639160299 -212.069420219203</t>
  </si>
  <si>
    <t>-485.172808855782 -102.608771716819 190.80826572128</t>
  </si>
  <si>
    <t>-501.481519384942 -20.7415127282218 653.130042959644</t>
  </si>
  <si>
    <t>-492.740913153467 -169.731047266449 746.238640067809</t>
  </si>
  <si>
    <t>9763-20170724T160528.724625400.bin</t>
  </si>
  <si>
    <t>-607.982213458211 124.87135794043 -228.996256259116</t>
  </si>
  <si>
    <t>-647.687314696353 120.766821062606 -343.339820554073</t>
  </si>
  <si>
    <t>-669.455223473953 113.418783075498 -462.347134859065</t>
  </si>
  <si>
    <t>-681.647969867135 105.120695004928 -570.870519954498</t>
  </si>
  <si>
    <t>-686.432659028017 95.0493474215743 -679.822433514727</t>
  </si>
  <si>
    <t>-685.380542370144 79.0550000735857 -831.292147502343</t>
  </si>
  <si>
    <t>-659.437323809877 60.6052070393057 -928.088478078764</t>
  </si>
  <si>
    <t>-669.067187034345 113.000359452426 -766.992215803978</t>
  </si>
  <si>
    <t>-574.956112934595 225.395121788279 -755.464984486566</t>
  </si>
  <si>
    <t>-464.757359517515 162.728326563514 -465.438632015767</t>
  </si>
  <si>
    <t>-252.212700622785 86.2843686863066 -336.508026313744</t>
  </si>
  <si>
    <t>-702.625045173998 59.2635409263198 -761.550880544839</t>
  </si>
  <si>
    <t>-569.570436529329 213.382468515796 -245.233297358074</t>
  </si>
  <si>
    <t>-582.095673485526 199.81693135297 210.087317568978</t>
  </si>
  <si>
    <t>-626.654427526077 175.496235491145 677.226893637034</t>
  </si>
  <si>
    <t>-496.298565523364 97.4603625665525 765.890647745981</t>
  </si>
  <si>
    <t>-646.232545483398 36.4167389670772 -212.063816047147</t>
  </si>
  <si>
    <t>-484.912318992072 -102.618407782723 190.804286043769</t>
  </si>
  <si>
    <t>-501.514147831655 -20.7304424568383 653.12790411766</t>
  </si>
  <si>
    <t>-492.635182609727 -169.71501833037 746.231518840684</t>
  </si>
  <si>
    <t>9763-20170724T160528.794313100.bin</t>
  </si>
  <si>
    <t>-608.421855322849 124.819562380681 -228.968877696789</t>
  </si>
  <si>
    <t>-648.189964570191 120.549296067162 -343.284568449452</t>
  </si>
  <si>
    <t>-669.916865793841 113.120212583976 -462.29426950848</t>
  </si>
  <si>
    <t>-682.026760159269 104.786133901473 -570.824191751766</t>
  </si>
  <si>
    <t>-686.680984322087 94.7175317641329 -679.782075097543</t>
  </si>
  <si>
    <t>-685.397210964899 78.7679482107251 -831.254745288299</t>
  </si>
  <si>
    <t>-659.221962115792 60.5002300116594 -928.023186462929</t>
  </si>
  <si>
    <t>-669.335956328273 112.788803308843 -766.930986583768</t>
  </si>
  <si>
    <t>-575.76478355726 225.605203005905 -755.114044027171</t>
  </si>
  <si>
    <t>-463.772061258773 164.233315243037 -465.498315844048</t>
  </si>
  <si>
    <t>-243.651204417599 93.3483383508817 -346.484838736319</t>
  </si>
  <si>
    <t>-702.594482404531 58.861537069618 -761.534559450888</t>
  </si>
  <si>
    <t>-570.434133198677 213.511008869635 -245.223727515006</t>
  </si>
  <si>
    <t>-582.574542113391 199.863456083695 210.104747371841</t>
  </si>
  <si>
    <t>-626.704948149036 175.461272708245 677.266235546069</t>
  </si>
  <si>
    <t>-496.27694467945 97.4953525306325 765.885428960998</t>
  </si>
  <si>
    <t>-646.281537766948 36.1800706651243 -211.997313040186</t>
  </si>
  <si>
    <t>-484.44672581305 -102.506045921971 190.784663157361</t>
  </si>
  <si>
    <t>-501.627386494271 -20.7385413114375 653.088699629337</t>
  </si>
  <si>
    <t>-492.445816752337 -169.698231755128 746.202774429923</t>
  </si>
  <si>
    <t>9763-20170724T160528.827905600.bin</t>
  </si>
  <si>
    <t>-608.725981913368 124.823301824703 -228.968055450113</t>
  </si>
  <si>
    <t>-648.525785604981 120.468044107059 -343.269384316615</t>
  </si>
  <si>
    <t>-670.242096250311 112.990363841689 -462.278024719717</t>
  </si>
  <si>
    <t>-682.323211713973 104.629465032099 -570.809153098804</t>
  </si>
  <si>
    <t>-686.929120254577 94.551476748145 -679.768129032156</t>
  </si>
  <si>
    <t>-685.556963752241 78.6081314575642 -831.24061876638</t>
  </si>
  <si>
    <t>-659.27547920949 60.4277494084988 -927.996821336039</t>
  </si>
  <si>
    <t>-669.605224171175 112.670001224506 -766.911468788573</t>
  </si>
  <si>
    <t>-576.235011027356 225.633513030577 -754.918575739205</t>
  </si>
  <si>
    <t>-463.04869280132 165.336023028206 -465.541348073749</t>
  </si>
  <si>
    <t>-238.810305859445 96.6759226873387 -353.091333655809</t>
  </si>
  <si>
    <t>-702.723007780585 58.6550997888878 -761.526128496662</t>
  </si>
  <si>
    <t>-570.947106947429 213.537574188869 -245.231132052908</t>
  </si>
  <si>
    <t>-582.861826799189 199.881807102088 210.103097155368</t>
  </si>
  <si>
    <t>-626.797436778998 175.336466609098 677.286099137873</t>
  </si>
  <si>
    <t>-496.13676422108 97.725156413569 765.873829649</t>
  </si>
  <si>
    <t>-646.384943405878 36.1346944345275 -211.972737618636</t>
  </si>
  <si>
    <t>-484.3542353095 -102.385432898862 190.787589376276</t>
  </si>
  <si>
    <t>-501.666184739501 -20.7256168586819 653.093283075397</t>
  </si>
  <si>
    <t>-492.384168791573 -169.681755241978 746.202909872994</t>
  </si>
  <si>
    <t>9763-20170724T160528.895588700.bin</t>
  </si>
  <si>
    <t>-609.440469524119 124.897491046454 -228.938425003195</t>
  </si>
  <si>
    <t>-649.276019452507 120.377279903902 -343.220915821928</t>
  </si>
  <si>
    <t>-670.95160065869 112.788799891336 -462.229985082545</t>
  </si>
  <si>
    <t>-682.961916924391 104.356043250901 -570.763299326822</t>
  </si>
  <si>
    <t>-687.461326194566 94.2380491862725 -679.723187261906</t>
  </si>
  <si>
    <t>-685.902329545933 78.275703005376 -831.191845126424</t>
  </si>
  <si>
    <t>-659.409417149735 60.2674202718022 -927.922493760981</t>
  </si>
  <si>
    <t>-670.18217402452 112.437381542819 -766.858505753748</t>
  </si>
  <si>
    <t>-577.393604083055 225.88759143717 -754.704932299231</t>
  </si>
  <si>
    <t>-461.208765357002 167.361399058727 -466.153460543616</t>
  </si>
  <si>
    <t>-233.157636814719 100.432349764511 -360.535116719229</t>
  </si>
  <si>
    <t>-703.002041602716 58.2397794370036 -761.484735593281</t>
  </si>
  <si>
    <t>-571.917159139177 213.788118933553 -245.268841476074</t>
  </si>
  <si>
    <t>-583.411454021667 200.122948849707 210.075912636605</t>
  </si>
  <si>
    <t>-626.736582994687 175.464139608632 677.298816606597</t>
  </si>
  <si>
    <t>-496.114471392447 97.7668811007986 765.868095566432</t>
  </si>
  <si>
    <t>-646.821209547238 36.0406439864655 -211.923613589804</t>
  </si>
  <si>
    <t>-484.399859799825 -102.107761327835 190.807024536951</t>
  </si>
  <si>
    <t>-501.754179801719 -20.6865664965633 653.148003524411</t>
  </si>
  <si>
    <t>-492.262622575597 -169.652768436337 746.22071899224</t>
  </si>
  <si>
    <t>9763-20170724T160528.928215700.bin</t>
  </si>
  <si>
    <t>-609.839100243896 124.904715324521 -228.940922312492</t>
  </si>
  <si>
    <t>-649.706922186358 120.330031802978 -343.210081552974</t>
  </si>
  <si>
    <t>-671.404634854827 112.691812320598 -462.211909445419</t>
  </si>
  <si>
    <t>-683.429519630653 104.219415913331 -570.74057022555</t>
  </si>
  <si>
    <t>-687.937736872563 94.0683730989635 -679.6968999722</t>
  </si>
  <si>
    <t>-686.3844843864 78.0683680768018 -831.161627619392</t>
  </si>
  <si>
    <t>-659.827813978722 60.1195587159937 -927.885814956946</t>
  </si>
  <si>
    <t>-670.729802305185 112.286549313085 -766.842408080513</t>
  </si>
  <si>
    <t>-578.176585927812 225.900216049644 -754.637194841569</t>
  </si>
  <si>
    <t>-460.418612420495 168.136551633873 -466.570080360589</t>
  </si>
  <si>
    <t>-230.661793240179 101.692650565809 -364.398313467904</t>
  </si>
  <si>
    <t>-703.413655888905 58.0092508190189 -761.443954260721</t>
  </si>
  <si>
    <t>-572.446467866226 213.865081195078 -245.291689450121</t>
  </si>
  <si>
    <t>-583.711319216302 200.205602939653 210.058959220019</t>
  </si>
  <si>
    <t>-626.727829808182 175.481017280291 677.307567767183</t>
  </si>
  <si>
    <t>-496.071525003045 97.8312968993655 765.868060683173</t>
  </si>
  <si>
    <t>-647.089273160966 35.9625495261485 -211.913012321021</t>
  </si>
  <si>
    <t>-484.423500564483 -102.048973570892 190.765912410836</t>
  </si>
  <si>
    <t>-501.824857467357 -20.7001385813162 653.11772395298</t>
  </si>
  <si>
    <t>-492.246852717641 -169.642271125479 746.219827692252</t>
  </si>
  <si>
    <t>9763-20170724T160528.993503500.bin</t>
  </si>
  <si>
    <t>-610.792703167328 124.81156634171 -228.923226630335</t>
  </si>
  <si>
    <t>-650.715816716306 120.129439916014 -343.16870957534</t>
  </si>
  <si>
    <t>-672.440587315162 112.407869141566 -462.160226338171</t>
  </si>
  <si>
    <t>-684.476997771259 103.871880841889 -570.682655623517</t>
  </si>
  <si>
    <t>-688.983149985201 93.6698493886322 -679.634269528591</t>
  </si>
  <si>
    <t>-687.412226114793 77.6130491670319 -831.092974371799</t>
  </si>
  <si>
    <t>-660.784112021711 59.7579859447303 -927.814860171642</t>
  </si>
  <si>
    <t>-671.834571789652 111.896491106896 -766.789761812198</t>
  </si>
  <si>
    <t>-579.490292984544 225.684962032067 -754.559889067354</t>
  </si>
  <si>
    <t>-459.029104027554 169.138436894886 -467.370435896592</t>
  </si>
  <si>
    <t>-227.035271188849 102.945684408827 -370.213465384641</t>
  </si>
  <si>
    <t>-704.380116572849 57.538801062974 -761.364610469163</t>
  </si>
  <si>
    <t>-573.624447468182 213.802719827328 -245.322314239854</t>
  </si>
  <si>
    <t>-584.395906412647 200.215235346657 210.0424476439</t>
  </si>
  <si>
    <t>-626.824395114084 175.356510927625 677.34075441952</t>
  </si>
  <si>
    <t>-495.996211370077 97.9589519986953 765.868246118095</t>
  </si>
  <si>
    <t>-647.847065193577 35.8141844928773 -211.821331967236</t>
  </si>
  <si>
    <t>-484.655172336901 -101.955674235808 190.727500374657</t>
  </si>
  <si>
    <t>-501.951392687327 -20.7223338766323 653.077556577741</t>
  </si>
  <si>
    <t>-492.206732831062 -169.626240847431 746.223547894318</t>
  </si>
  <si>
    <t>9763-20170724T160529.025090300.bin</t>
  </si>
  <si>
    <t>-611.294397108737 124.762062607302 -228.923425784777</t>
  </si>
  <si>
    <t>-651.264231763322 120.079577426873 -343.152483500321</t>
  </si>
  <si>
    <t>-673.015502050158 112.352243164348 -462.138901620667</t>
  </si>
  <si>
    <t>-685.067167506878 103.808753147803 -570.658904188796</t>
  </si>
  <si>
    <t>-689.579600007713 93.5970607131237 -679.609451893414</t>
  </si>
  <si>
    <t>-688.008117469536 77.5244480506738 -831.066324067386</t>
  </si>
  <si>
    <t>-661.353781942541 59.6795942598776 -927.783021923605</t>
  </si>
  <si>
    <t>-672.427711898065 111.812892030817 -766.766506464123</t>
  </si>
  <si>
    <t>-580.046172618469 225.553284625488 -754.4903331541</t>
  </si>
  <si>
    <t>-458.820733700954 169.331392863537 -467.558856946665</t>
  </si>
  <si>
    <t>-226.232425949675 103.121550579399 -371.845896525927</t>
  </si>
  <si>
    <t>-704.979168394917 57.4592952788605 -761.33636123109</t>
  </si>
  <si>
    <t>-574.147577410183 213.738537985402 -245.363191998674</t>
  </si>
  <si>
    <t>-584.589691623359 200.174979142421 210.010004120949</t>
  </si>
  <si>
    <t>-626.755256486792 175.44802418804 677.333783061916</t>
  </si>
  <si>
    <t>-495.95898839016 98.0124437784973 765.875186914682</t>
  </si>
  <si>
    <t>-648.318374279513 35.7749779347043 -211.815146807616</t>
  </si>
  <si>
    <t>-484.840906272255 -101.881003676908 190.656720640002</t>
  </si>
  <si>
    <t>-502.001744389919 -20.7418011950158 653.034370385386</t>
  </si>
  <si>
    <t>-492.22653004023 -169.618277898351 746.220899099879</t>
  </si>
  <si>
    <t>9763-20170724T160529.094783700.bin</t>
  </si>
  <si>
    <t>-612.245483158295 124.676066310806 -228.914239889512</t>
  </si>
  <si>
    <t>-652.335906195693 120.081141412018 -343.10456714003</t>
  </si>
  <si>
    <t>-674.137166371085 112.386406318323 -462.083925249446</t>
  </si>
  <si>
    <t>-686.204183081155 103.851807377501 -570.60311973287</t>
  </si>
  <si>
    <t>-690.701407093945 93.6302956485517 -679.553226062168</t>
  </si>
  <si>
    <t>-689.076599581246 77.5262221897799 -831.00630626912</t>
  </si>
  <si>
    <t>-662.383461937335 59.6504654467064 -927.706500195987</t>
  </si>
  <si>
    <t>-673.463025886729 111.794891685003 -766.703866012194</t>
  </si>
  <si>
    <t>-580.789901960692 225.295714496441 -754.321703378994</t>
  </si>
  <si>
    <t>-459.661604575543 169.011017161589 -467.361474257055</t>
  </si>
  <si>
    <t>-225.084756037632 103.095640870717 -376.416943448046</t>
  </si>
  <si>
    <t>-706.128026650293 57.5086586749942 -761.282149700588</t>
  </si>
  <si>
    <t>-574.785529402464 213.606483504695 -245.433588843381</t>
  </si>
  <si>
    <t>-584.703642057617 200.183687173707 209.955431745915</t>
  </si>
  <si>
    <t>-626.554187888411 175.688455183424 677.281553078838</t>
  </si>
  <si>
    <t>-496.104086591265 97.7616444152443 765.902586711053</t>
  </si>
  <si>
    <t>-649.564184662376 35.753916150416 -211.71098781012</t>
  </si>
  <si>
    <t>-485.2699354621 -101.95071184768 190.411457308768</t>
  </si>
  <si>
    <t>-502.174781206423 -20.866458377476 652.811239312274</t>
  </si>
  <si>
    <t>-492.339329898792 -169.625632813237 746.178652406407</t>
  </si>
  <si>
    <t>9763-20170724T160529.125377100.bin</t>
  </si>
  <si>
    <t>-612.738458200306 124.556993270797 -228.938764497637</t>
  </si>
  <si>
    <t>-652.842348319165 120.01882933658 -343.126646853445</t>
  </si>
  <si>
    <t>-674.652295337821 112.361081275256 -462.106848720402</t>
  </si>
  <si>
    <t>-686.725113408918 103.853079386683 -570.627222869569</t>
  </si>
  <si>
    <t>-691.226098402321 93.6521191206473 -679.579287842497</t>
  </si>
  <si>
    <t>-689.604285591016 77.5711101637137 -831.034903542235</t>
  </si>
  <si>
    <t>-662.891820159128 59.6309373223039 -927.717705834392</t>
  </si>
  <si>
    <t>-673.946332997946 111.804403368448 -766.724353337283</t>
  </si>
  <si>
    <t>-581.129984284147 225.181752101815 -754.294086783358</t>
  </si>
  <si>
    <t>-460.020401520227 168.840721200547 -467.336960108207</t>
  </si>
  <si>
    <t>-225.274322481569 102.981258547715 -376.789221142309</t>
  </si>
  <si>
    <t>-706.697434461777 57.5685193769846 -761.316496772762</t>
  </si>
  <si>
    <t>-575.095575722598 213.426909293428 -245.499377362181</t>
  </si>
  <si>
    <t>-584.750161148884 200.141692430384 209.899252194568</t>
  </si>
  <si>
    <t>-626.441275687028 175.787527334503 677.236633284913</t>
  </si>
  <si>
    <t>-496.087931442701 97.7696107255072 765.919886682926</t>
  </si>
  <si>
    <t>-650.208112724546 35.6786915410896 -211.717318439794</t>
  </si>
  <si>
    <t>-485.477390864035 -102.065666897945 190.212949382791</t>
  </si>
  <si>
    <t>-502.315469999023 -20.982877055061 652.616390457347</t>
  </si>
  <si>
    <t>-492.409045379456 -169.636741521407 746.143983646023</t>
  </si>
  <si>
    <t>9763-20170724T160529.194797300.bin</t>
  </si>
  <si>
    <t>-613.658543776363 124.596996017776 -229.051092753538</t>
  </si>
  <si>
    <t>-653.58400853293 120.274988974776 -343.309927734165</t>
  </si>
  <si>
    <t>-675.361321062668 112.730493226911 -462.303198256795</t>
  </si>
  <si>
    <t>-687.4668372838 104.292064545756 -570.825472279782</t>
  </si>
  <si>
    <t>-692.062830620833 94.1341932101202 -679.777590763564</t>
  </si>
  <si>
    <t>-690.637498177611 78.0907971965567 -831.239110739583</t>
  </si>
  <si>
    <t>-663.989777296484 59.9393528080157 -927.900442258823</t>
  </si>
  <si>
    <t>-674.797585291315 112.249000588563 -766.93332993262</t>
  </si>
  <si>
    <t>-581.551303610224 225.247582547163 -754.456912777085</t>
  </si>
  <si>
    <t>-459.871718673231 169.083241630635 -467.70643325331</t>
  </si>
  <si>
    <t>-224.372668756359 103.185686041264 -379.16414288538</t>
  </si>
  <si>
    <t>-707.738797047965 58.1299378303986 -761.510808184138</t>
  </si>
  <si>
    <t>-575.26065891268 213.28952276129 -245.675603856108</t>
  </si>
  <si>
    <t>-584.703363313724 200.343389133925 209.73721757596</t>
  </si>
  <si>
    <t>-625.957451361411 176.17616193196 676.993994457174</t>
  </si>
  <si>
    <t>-496.374551629837 97.2387336368838 765.992141835894</t>
  </si>
  <si>
    <t>-651.827482167905 35.9626939785205 -211.834627337363</t>
  </si>
  <si>
    <t>-485.748138367788 -102.599888582413 189.258552045238</t>
  </si>
  <si>
    <t>-502.743966490396 -21.483967683183 651.754483620944</t>
  </si>
  <si>
    <t>-492.422512594433 -169.706457503356 745.919597912692</t>
  </si>
  <si>
    <t>9763-20170724T160529.229896100.bin</t>
  </si>
  <si>
    <t>-614.0235963069 124.711060007145 -229.127014821647</t>
  </si>
  <si>
    <t>-653.891202554277 120.577116185865 -343.412988994831</t>
  </si>
  <si>
    <t>-675.641493144669 113.104579509569 -462.415802555588</t>
  </si>
  <si>
    <t>-687.736173282412 104.690679017338 -570.941253266252</t>
  </si>
  <si>
    <t>-692.335053227686 94.5212818293503 -679.892012064032</t>
  </si>
  <si>
    <t>-690.927952560105 78.4282780560745 -831.348385050473</t>
  </si>
  <si>
    <t>-664.314145319829 60.1570123918127 -927.996565035599</t>
  </si>
  <si>
    <t>-675.0254348274 112.574596357383 -767.051710359111</t>
  </si>
  <si>
    <t>-581.454362870102 225.324803160041 -754.528773983966</t>
  </si>
  <si>
    <t>-459.10269363156 169.725572518041 -467.954127774281</t>
  </si>
  <si>
    <t>-223.263432187613 103.683650460254 -380.430883483124</t>
  </si>
  <si>
    <t>-708.075644384357 58.5232997785979 -761.61567143148</t>
  </si>
  <si>
    <t>-575.251986442141 213.271652516807 -245.749023699314</t>
  </si>
  <si>
    <t>-584.635609455203 200.537969766712 209.671086445922</t>
  </si>
  <si>
    <t>-625.793008691732 176.297183206806 676.950014216751</t>
  </si>
  <si>
    <t>-496.627932980928 96.7918719587517 766.049962964208</t>
  </si>
  <si>
    <t>-652.594974907158 36.2267416400064 -211.899232220708</t>
  </si>
  <si>
    <t>-485.838439603032 -103.002751700967 188.681651536356</t>
  </si>
  <si>
    <t>-503.089738377252 -21.8400223753445 651.160228419441</t>
  </si>
  <si>
    <t>-492.441553281897 -169.757782218134 745.767258659702</t>
  </si>
  <si>
    <t>9763-20170724T160529.294068200.bin</t>
  </si>
  <si>
    <t>-614.397752809638 125.13683489198 -229.339495991193</t>
  </si>
  <si>
    <t>-654.132766026083 121.392969808261 -343.685077367201</t>
  </si>
  <si>
    <t>-675.869862970414 114.008807155841 -462.695885322534</t>
  </si>
  <si>
    <t>-688.00457970639 105.568379034717 -571.214646573236</t>
  </si>
  <si>
    <t>-692.695139199583 95.2780194072202 -680.150329675763</t>
  </si>
  <si>
    <t>-691.469029911529 78.9283133099141 -831.58067177726</t>
  </si>
  <si>
    <t>-664.989173851856 60.3638530562505 -928.209682779831</t>
  </si>
  <si>
    <t>-675.361989010523 113.105961456802 -767.351655049705</t>
  </si>
  <si>
    <t>-581.329111747359 225.457164636517 -754.921618998429</t>
  </si>
  <si>
    <t>-456.046370303688 171.759665113306 -469.252240723703</t>
  </si>
  <si>
    <t>-219.727384468251 103.682900577098 -384.629409461623</t>
  </si>
  <si>
    <t>-708.661008493878 59.2192519329283 -761.803176237465</t>
  </si>
  <si>
    <t>-574.805405213964 213.261138190557 -245.912821784546</t>
  </si>
  <si>
    <t>-584.452115461438 201.321337623578 209.523369814428</t>
  </si>
  <si>
    <t>-625.410775139282 176.611406625288 676.809646695156</t>
  </si>
  <si>
    <t>-497.105792028967 95.9615281425004 766.123363962516</t>
  </si>
  <si>
    <t>-653.794469566888 37.1025323030199 -212.112675805758</t>
  </si>
  <si>
    <t>-486.391733978495 -103.7923035768 187.615497677264</t>
  </si>
  <si>
    <t>-504.104233464267 -22.4994243433698 650.063882860872</t>
  </si>
  <si>
    <t>-492.516527927598 -169.832588538584 745.469241369857</t>
  </si>
  <si>
    <t>9763-20170724T160529.326156800.bin</t>
  </si>
  <si>
    <t>-614.455981945275 125.460740294069 -229.384710899487</t>
  </si>
  <si>
    <t>-654.033248687113 121.809955257891 -343.788048711626</t>
  </si>
  <si>
    <t>-675.729682702748 114.406294241795 -462.804933141079</t>
  </si>
  <si>
    <t>-687.876958058514 105.913275384447 -571.318428452975</t>
  </si>
  <si>
    <t>-692.62918882586 95.5423862687951 -680.243637285592</t>
  </si>
  <si>
    <t>-691.539177307555 79.0577980806534 -831.66055505328</t>
  </si>
  <si>
    <t>-665.160697266133 60.3491125023609 -928.289345013046</t>
  </si>
  <si>
    <t>-675.297240547562 113.24528742305 -767.470702891192</t>
  </si>
  <si>
    <t>-580.773879577745 225.152587319519 -754.98355687641</t>
  </si>
  <si>
    <t>-453.086871399527 173.694167691643 -469.967355380919</t>
  </si>
  <si>
    <t>-216.690672282985 104.310790410784 -386.631460286698</t>
  </si>
  <si>
    <t>-708.745677690735 59.4581816835043 -761.855778219874</t>
  </si>
  <si>
    <t>-574.33658807886 213.243185250184 -245.984601936024</t>
  </si>
  <si>
    <t>-584.444531788916 201.824321619039 209.454927992919</t>
  </si>
  <si>
    <t>-625.316037199052 176.700839545242 676.803542156033</t>
  </si>
  <si>
    <t>-497.392807492099 95.4886864733071 766.155334864574</t>
  </si>
  <si>
    <t>-654.51034400452 37.6945989026508 -212.063994508806</t>
  </si>
  <si>
    <t>-486.875020081753 -104.054149503983 187.264658419676</t>
  </si>
  <si>
    <t>-504.851184650421 -22.7668860757051 649.656263256726</t>
  </si>
  <si>
    <t>-492.616616984898 -169.852265468035 745.362610774569</t>
  </si>
  <si>
    <t>9763-20170724T160529.390848000.bin</t>
  </si>
  <si>
    <t>-614.676893548138 125.97028516477 -229.373119630224</t>
  </si>
  <si>
    <t>-654.071122691624 122.437447332766 -343.843340997633</t>
  </si>
  <si>
    <t>-675.757620928691 114.892914483797 -462.853223818508</t>
  </si>
  <si>
    <t>-687.969936824428 106.18076683959 -571.341991673359</t>
  </si>
  <si>
    <t>-692.86158814018 95.5082681109602 -680.231873611361</t>
  </si>
  <si>
    <t>-692.042892738998 78.5261240280843 -831.595519564195</t>
  </si>
  <si>
    <t>-665.903694374815 59.4610230727528 -928.219710021626</t>
  </si>
  <si>
    <t>-675.533234314685 112.829981802137 -767.536256613793</t>
  </si>
  <si>
    <t>-580.164150260933 224.153124812688 -755.536754061942</t>
  </si>
  <si>
    <t>-447.867139657924 176.763576758761 -471.920917822151</t>
  </si>
  <si>
    <t>-212.018851834591 105.069250433246 -388.990000482944</t>
  </si>
  <si>
    <t>-709.277138084061 59.2503010906134 -761.707385889277</t>
  </si>
  <si>
    <t>-573.726260084134 213.306041130464 -246.046682911662</t>
  </si>
  <si>
    <t>-584.675355125603 202.689896536614 209.392685022644</t>
  </si>
  <si>
    <t>-625.1398427586 176.95250445008 676.825574695691</t>
  </si>
  <si>
    <t>-497.744092549406 94.8882479286817 766.152464052784</t>
  </si>
  <si>
    <t>-655.587698340801 38.6040830741717 -211.913113778321</t>
  </si>
  <si>
    <t>-487.86577669 -104.008789761057 187.071341258321</t>
  </si>
  <si>
    <t>-506.250183872152 -22.9724379825859 649.366149407016</t>
  </si>
  <si>
    <t>-492.891467162329 -169.828233474551 745.274669661101</t>
  </si>
  <si>
    <t>9763-20170724T160529.428955700.bin</t>
  </si>
  <si>
    <t>-614.93616924325 126.110941691082 -229.383132819248</t>
  </si>
  <si>
    <t>-654.313824540116 122.604824637068 -343.859839420912</t>
  </si>
  <si>
    <t>-676.048586944472 114.912301710123 -462.851349623857</t>
  </si>
  <si>
    <t>-688.333382075512 105.997589129938 -571.315412274196</t>
  </si>
  <si>
    <t>-693.327359605282 95.0556344307752 -680.174003325458</t>
  </si>
  <si>
    <t>-692.683001889227 77.630664014235 -831.488124750279</t>
  </si>
  <si>
    <t>-666.706703300732 58.3018761170404 -928.103851340569</t>
  </si>
  <si>
    <t>-676.026898345037 112.076380358664 -767.542884376175</t>
  </si>
  <si>
    <t>-580.341925965851 223.136935576767 -755.951207222568</t>
  </si>
  <si>
    <t>-445.858726420459 177.931706018974 -473.007936765728</t>
  </si>
  <si>
    <t>-210.460242093645 104.968513598152 -389.905701574664</t>
  </si>
  <si>
    <t>-709.909387129804 58.6048843352742 -761.529517885491</t>
  </si>
  <si>
    <t>-573.69981985643 213.301640034369 -246.102725242129</t>
  </si>
  <si>
    <t>-584.846156010097 202.908930549818 209.337041701728</t>
  </si>
  <si>
    <t>-625.102638654647 176.96357890686 676.783470740684</t>
  </si>
  <si>
    <t>-497.781788961546 94.7936635712911 766.120043011641</t>
  </si>
  <si>
    <t>-656.128729515021 38.8577536715948 -211.89038261196</t>
  </si>
  <si>
    <t>-488.271151681186 -103.686974192991 187.061399743164</t>
  </si>
  <si>
    <t>-506.82649410315 -22.9399156030333 649.409211589392</t>
  </si>
  <si>
    <t>-492.947835764701 -169.792381886333 745.248910975585</t>
  </si>
  <si>
    <t>9763-20170724T160529.497184300.bin</t>
  </si>
  <si>
    <t>-615.402408690568 126.505602581533 -229.398773861841</t>
  </si>
  <si>
    <t>-654.813083884567 123.032254888207 -343.865046693231</t>
  </si>
  <si>
    <t>-676.680608344741 114.994344152896 -462.80939763916</t>
  </si>
  <si>
    <t>-689.131747010893 105.612284377456 -571.215185988608</t>
  </si>
  <si>
    <t>-694.342113975503 94.0471425325384 -679.999075491057</t>
  </si>
  <si>
    <t>-694.053726960753 75.5934871430222 -831.192318397254</t>
  </si>
  <si>
    <t>-668.393304933621 55.6349298444143 -927.764528054853</t>
  </si>
  <si>
    <t>-677.124708183936 110.396345633602 -767.512749832375</t>
  </si>
  <si>
    <t>-580.961617104456 221.154935552732 -756.98776344157</t>
  </si>
  <si>
    <t>-443.904315894736 179.308123190802 -474.763796442037</t>
  </si>
  <si>
    <t>-208.997178976025 105.135251944611 -391.34264180371</t>
  </si>
  <si>
    <t>-711.237864259547 57.1210740982642 -761.075321616074</t>
  </si>
  <si>
    <t>-573.901363661939 213.582876222219 -246.187097759788</t>
  </si>
  <si>
    <t>-585.040560145203 203.158224536112 209.252222036626</t>
  </si>
  <si>
    <t>-625.012152688693 177.012123726228 676.726501952725</t>
  </si>
  <si>
    <t>-497.874563932893 94.5944486350361 766.095801567894</t>
  </si>
  <si>
    <t>-656.757442560219 39.4010024043453 -211.91044938279</t>
  </si>
  <si>
    <t>-488.342646415213 -102.610778248114 186.996511669151</t>
  </si>
  <si>
    <t>-507.840958220251 -22.8698383220576 649.506391305874</t>
  </si>
  <si>
    <t>-492.972286696463 -169.736202509663 745.176215369578</t>
  </si>
  <si>
    <t>9763-20170724T160529.524762200.bin</t>
  </si>
  <si>
    <t>-615.445967501386 126.933081776905 -229.424609609773</t>
  </si>
  <si>
    <t>-654.93345503307 123.496135877135 -343.865689383846</t>
  </si>
  <si>
    <t>-676.885315944992 115.288307235461 -462.782907624091</t>
  </si>
  <si>
    <t>-689.418251313508 105.667043500172 -571.158127870188</t>
  </si>
  <si>
    <t>-694.71753961538 93.7766140834331 -679.90274540574</t>
  </si>
  <si>
    <t>-694.562528376622 74.7799713158488 -831.028955486039</t>
  </si>
  <si>
    <t>-669.01239474193 54.4679300648659 -927.556670607091</t>
  </si>
  <si>
    <t>-677.530473118411 109.781569893623 -767.485884809754</t>
  </si>
  <si>
    <t>-581.23805929283 220.441597304332 -757.445871088096</t>
  </si>
  <si>
    <t>-443.625894176198 179.702510779654 -475.329913744354</t>
  </si>
  <si>
    <t>-208.893952218617 105.215377220538 -391.695932415568</t>
  </si>
  <si>
    <t>-711.731782740278 56.5891947629125 -760.834682576451</t>
  </si>
  <si>
    <t>-573.893164353334 214.034592781476 -246.216250110917</t>
  </si>
  <si>
    <t>-585.012951159431 203.413905210479 209.21892990347</t>
  </si>
  <si>
    <t>-624.86277587407 177.19550544012 676.693217004374</t>
  </si>
  <si>
    <t>-498.014264978131 94.3592929095153 766.08632207446</t>
  </si>
  <si>
    <t>-656.832382759768 39.8609099624023 -211.939340216962</t>
  </si>
  <si>
    <t>-488.042464715083 -101.935199612856 186.885713936574</t>
  </si>
  <si>
    <t>-508.327307225192 -22.9006692876005 649.481894061768</t>
  </si>
  <si>
    <t>-492.973700968265 -169.721926267295 745.144271353004</t>
  </si>
  <si>
    <t>9763-20170724T160529.596956400.bin</t>
  </si>
  <si>
    <t>-615.613938774146 127.932272267913 -229.379659609328</t>
  </si>
  <si>
    <t>-655.167070532186 124.452757042167 -343.796696693824</t>
  </si>
  <si>
    <t>-677.199235873404 115.83736717584 -462.670247596424</t>
  </si>
  <si>
    <t>-689.815682646902 105.697136722619 -570.988583392823</t>
  </si>
  <si>
    <t>-695.213281152344 93.1357850875056 -679.652785179858</t>
  </si>
  <si>
    <t>-695.214008704232 73.0475487788576 -830.637919560483</t>
  </si>
  <si>
    <t>-669.786566138948 52.0592903614115 -927.053203729401</t>
  </si>
  <si>
    <t>-678.066742796281 108.475863397998 -767.362695433466</t>
  </si>
  <si>
    <t>-581.681770872453 219.177257526419 -758.256357850067</t>
  </si>
  <si>
    <t>-443.834733252997 180.790525848788 -475.925261401918</t>
  </si>
  <si>
    <t>-209.401198782533 106.215602227178 -391.53572619928</t>
  </si>
  <si>
    <t>-712.3606217202 55.3960863224479 -760.30060085336</t>
  </si>
  <si>
    <t>-574.109206972981 215.023722954951 -246.190573214991</t>
  </si>
  <si>
    <t>-585.072301387708 203.818897991257 209.234331400505</t>
  </si>
  <si>
    <t>-624.931535364478 177.125199398793 676.727476521617</t>
  </si>
  <si>
    <t>-497.90356596721 94.4860495053592 766.048128918817</t>
  </si>
  <si>
    <t>-656.970390343408 40.8720084515878 -211.858584850273</t>
  </si>
  <si>
    <t>-487.194399310014 -100.396021606779 186.735361419864</t>
  </si>
  <si>
    <t>-509.206123854285 -22.9917131746458 649.469113649098</t>
  </si>
  <si>
    <t>-492.809047783253 -169.677298230297 745.166496155111</t>
  </si>
  <si>
    <t>9763-20170724T160529.628544900.bin</t>
  </si>
  <si>
    <t>-615.691678839505 128.548067203509 -229.312313976031</t>
  </si>
  <si>
    <t>-655.263045502866 125.01161743389 -343.721337113128</t>
  </si>
  <si>
    <t>-677.348304211448 116.158656947739 -462.567562012342</t>
  </si>
  <si>
    <t>-690.029556058355 105.730549721737 -570.850947608353</t>
  </si>
  <si>
    <t>-695.510506717018 92.8084337200364 -679.468730361335</t>
  </si>
  <si>
    <t>-695.647981743874 72.1432065493052 -830.375742964291</t>
  </si>
  <si>
    <t>-670.284468936871 50.8423976770807 -926.73937726651</t>
  </si>
  <si>
    <t>-678.434728625409 107.807454715126 -767.251414027141</t>
  </si>
  <si>
    <t>-582.23107972785 218.700346417256 -758.750655805943</t>
  </si>
  <si>
    <t>-444.559668933234 181.600954333 -476.161877756634</t>
  </si>
  <si>
    <t>-210.208598846093 107.081294931269 -391.495291652164</t>
  </si>
  <si>
    <t>-712.739526752981 54.7664650824624 -759.956763138791</t>
  </si>
  <si>
    <t>-574.180793847698 215.671008652387 -246.152679558429</t>
  </si>
  <si>
    <t>-585.151236931129 204.236696705566 209.266476911205</t>
  </si>
  <si>
    <t>-624.892654404283 177.200341003491 676.727528989188</t>
  </si>
  <si>
    <t>-497.917010665783 94.4532461838639 766.022599837775</t>
  </si>
  <si>
    <t>-657.113528627034 41.4690132143216 -211.750435900548</t>
  </si>
  <si>
    <t>-486.851504949856 -99.5089592513655 186.738806673677</t>
  </si>
  <si>
    <t>-509.515195356528 -22.973687887391 649.558356547172</t>
  </si>
  <si>
    <t>-492.629748191483 -169.626980320349 745.22022682688</t>
  </si>
  <si>
    <t>9763-20170724T160529.691221600.bin</t>
  </si>
  <si>
    <t>-615.679069238249 129.88748167308 -229.161447823519</t>
  </si>
  <si>
    <t>-655.192622239912 126.16711354612 -343.584495716861</t>
  </si>
  <si>
    <t>-677.345736923987 116.89543701262 -462.386238495159</t>
  </si>
  <si>
    <t>-690.142791355647 105.99922104197 -570.609920515124</t>
  </si>
  <si>
    <t>-695.79589211961 92.5224394669483 -679.151333067514</t>
  </si>
  <si>
    <t>-696.232737824309 70.9988557782972 -829.937860475839</t>
  </si>
  <si>
    <t>-670.968816122016 49.3042268341262 -926.239772699977</t>
  </si>
  <si>
    <t>-678.933791946757 107.046630068028 -767.055222610216</t>
  </si>
  <si>
    <t>-583.405857036237 218.59246470533 -759.725963409915</t>
  </si>
  <si>
    <t>-446.50274490554 184.604207914685 -476.373784070111</t>
  </si>
  <si>
    <t>-212.258870865057 110.347873913243 -391.180714024658</t>
  </si>
  <si>
    <t>-713.1450720052 53.9981571013229 -759.383917748321</t>
  </si>
  <si>
    <t>-574.14607096145 217.015057945606 -246.063667643487</t>
  </si>
  <si>
    <t>-585.195529581063 205.119194268978 209.341721107141</t>
  </si>
  <si>
    <t>-624.88980317242 177.292699030548 676.79597867849</t>
  </si>
  <si>
    <t>-498.045553199467 94.2534739826206 766.006595676841</t>
  </si>
  <si>
    <t>-657.016306685577 42.7527069975099 -211.554676117068</t>
  </si>
  <si>
    <t>-486.232508211972 -97.7214737099812 186.889312854583</t>
  </si>
  <si>
    <t>-509.646744716178 -22.7709285543435 649.938658805901</t>
  </si>
  <si>
    <t>-492.385273632043 -169.525749561157 745.377441196865</t>
  </si>
  <si>
    <t>9763-20170724T160529.722807300.bin</t>
  </si>
  <si>
    <t>-615.636978071162 130.597445312185 -229.045423463041</t>
  </si>
  <si>
    <t>-655.082652432116 126.801881257318 -343.489350668806</t>
  </si>
  <si>
    <t>-677.230660639373 117.356108271028 -462.278224758125</t>
  </si>
  <si>
    <t>-690.048546459728 106.270523214193 -570.48030586643</t>
  </si>
  <si>
    <t>-695.747695631603 92.5768306163036 -678.992210582303</t>
  </si>
  <si>
    <t>-696.274091013457 70.7273200573886 -829.731486685961</t>
  </si>
  <si>
    <t>-671.030122811113 48.9431756490601 -926.018420480656</t>
  </si>
  <si>
    <t>-678.993723967026 106.946104715998 -766.942177522125</t>
  </si>
  <si>
    <t>-583.875416905518 218.875620729692 -760.011169242813</t>
  </si>
  <si>
    <t>-447.645492434883 186.349777364116 -476.16326071786</t>
  </si>
  <si>
    <t>-213.455374675152 112.160725025612 -390.763957354568</t>
  </si>
  <si>
    <t>-713.088722309444 53.8438914919745 -759.12602907337</t>
  </si>
  <si>
    <t>-574.068214822956 217.673558756657 -245.996692413905</t>
  </si>
  <si>
    <t>-585.196594687016 205.603045417736 209.402277696694</t>
  </si>
  <si>
    <t>-624.844989722895 177.384831989828 676.81342313835</t>
  </si>
  <si>
    <t>-497.956504297554 94.3685044833478 765.982419401336</t>
  </si>
  <si>
    <t>-657.0796008112 43.5617869939608 -211.386928163556</t>
  </si>
  <si>
    <t>-486.162851751106 -96.9721160924696 186.978914999084</t>
  </si>
  <si>
    <t>-509.676962820615 -22.6358569643432 650.160680823105</t>
  </si>
  <si>
    <t>-492.316693557546 -169.48205782702 745.44088386646</t>
  </si>
  <si>
    <t>9763-20170724T160529.792289800.bin</t>
  </si>
  <si>
    <t>-615.565746699662 131.787300822865 -228.828259712692</t>
  </si>
  <si>
    <t>-654.94993712171 127.875895263386 -343.289651275091</t>
  </si>
  <si>
    <t>-676.976946636684 118.198879274369 -462.082484177773</t>
  </si>
  <si>
    <t>-689.658124970114 106.871380749869 -570.275372586589</t>
  </si>
  <si>
    <t>-695.19158606777 92.9108278412414 -678.761993792594</t>
  </si>
  <si>
    <t>-695.456175694546 70.6713806509483 -829.444939854036</t>
  </si>
  <si>
    <t>-670.105040029435 48.9265640081915 -925.712630915875</t>
  </si>
  <si>
    <t>-678.447851317552 107.154360818062 -766.734191454421</t>
  </si>
  <si>
    <t>-584.120206076861 219.754684255962 -760.027618836041</t>
  </si>
  <si>
    <t>-449.769379962278 190.715558617482 -474.908691028107</t>
  </si>
  <si>
    <t>-215.88317174593 116.184452486941 -388.976157526436</t>
  </si>
  <si>
    <t>-712.230445058306 53.8688210098883 -758.810488769131</t>
  </si>
  <si>
    <t>-573.953318170429 218.856158651825 -245.857912531834</t>
  </si>
  <si>
    <t>-585.284409760209 206.434261878248 209.52647903691</t>
  </si>
  <si>
    <t>-624.83305309856 177.453980601516 676.869728203242</t>
  </si>
  <si>
    <t>-498.014529843223 94.2678368776121 765.97997737708</t>
  </si>
  <si>
    <t>-657.096655731244 44.7026823952524 -211.110014000911</t>
  </si>
  <si>
    <t>-486.313489434752 -95.3980357651392 187.465632710991</t>
  </si>
  <si>
    <t>-509.767226615735 -22.2443574819961 650.781922111243</t>
  </si>
  <si>
    <t>-492.201056847527 -169.368916238996 745.593951425733</t>
  </si>
  <si>
    <t>9763-20170724T160529.829392200.bin</t>
  </si>
  <si>
    <t>-615.573864177723 132.185320127869 -228.765055898218</t>
  </si>
  <si>
    <t>-654.950063359176 128.236752301437 -343.227835470572</t>
  </si>
  <si>
    <t>-676.887765003535 118.511976563992 -462.033252851619</t>
  </si>
  <si>
    <t>-689.452819543781 107.142509649128 -570.235405611705</t>
  </si>
  <si>
    <t>-694.833536780337 93.144440791001 -678.724859864654</t>
  </si>
  <si>
    <t>-694.846567051901 70.8607039852388 -829.401463992988</t>
  </si>
  <si>
    <t>-669.365106979131 49.2012392591712 -925.65404429495</t>
  </si>
  <si>
    <t>-678.044737756363 107.424969624883 -766.682552153299</t>
  </si>
  <si>
    <t>-584.062646849556 220.327182033374 -759.846894365972</t>
  </si>
  <si>
    <t>-450.602378005303 192.423883791192 -474.196875906724</t>
  </si>
  <si>
    <t>-217.180182571513 118.087182107462 -386.845836263401</t>
  </si>
  <si>
    <t>-711.637013383822 54.0159869101262 -758.780935495934</t>
  </si>
  <si>
    <t>-574.014630489602 219.326393393859 -245.802493580647</t>
  </si>
  <si>
    <t>-585.434195433125 206.648362213508 209.572731826725</t>
  </si>
  <si>
    <t>-624.892796809564 177.389392407178 676.898737491058</t>
  </si>
  <si>
    <t>-498.023267313745 94.2441181087702 765.974536929375</t>
  </si>
  <si>
    <t>-657.04406966007 45.0537775018104 -211.038255665306</t>
  </si>
  <si>
    <t>-486.319523317013 -94.7265997542063 187.67499873489</t>
  </si>
  <si>
    <t>-509.787732832811 -22.0206040369121 651.104820384411</t>
  </si>
  <si>
    <t>-492.180771917087 -169.315151787072 745.644884189019</t>
  </si>
  <si>
    <t>9763-20170724T160529.893564700.bin</t>
  </si>
  <si>
    <t>-615.831942869568 132.971772058625 -228.655071845874</t>
  </si>
  <si>
    <t>-655.209223610389 128.911931825176 -343.113569956439</t>
  </si>
  <si>
    <t>-676.954755415499 119.165359261435 -461.952538698973</t>
  </si>
  <si>
    <t>-689.263115714354 107.81707044699 -570.186537148343</t>
  </si>
  <si>
    <t>-694.302752265746 93.8827824815967 -678.700462942448</t>
  </si>
  <si>
    <t>-693.752884368716 71.7339473753761 -829.395875216701</t>
  </si>
  <si>
    <t>-667.881740770396 50.2717289543868 -925.588691302664</t>
  </si>
  <si>
    <t>-677.39901495397 108.372469541449 -766.601910553453</t>
  </si>
  <si>
    <t>-584.143629906047 221.832129944356 -759.225423979324</t>
  </si>
  <si>
    <t>-451.821023765061 193.214649563522 -473.117097258998</t>
  </si>
  <si>
    <t>-219.297397039563 120.110657571705 -382.394507472713</t>
  </si>
  <si>
    <t>-710.593360053185 54.6957636373975 -758.833875998567</t>
  </si>
  <si>
    <t>-574.535282083025 220.466812268854 -245.665523473399</t>
  </si>
  <si>
    <t>-585.824922432189 207.122743411071 209.693808553766</t>
  </si>
  <si>
    <t>-624.845338837012 177.517503921058 676.963266605912</t>
  </si>
  <si>
    <t>-498.030726397913 94.2305255536924 765.984867612704</t>
  </si>
  <si>
    <t>-657.018562674746 45.5246111927399 -210.928093329297</t>
  </si>
  <si>
    <t>-486.075747900314 -93.6411483137456 187.906581642096</t>
  </si>
  <si>
    <t>-509.832695638696 -21.6882199700929 651.5076910589</t>
  </si>
  <si>
    <t>-492.133046607909 -169.232188531799 745.640618508151</t>
  </si>
  <si>
    <t>9763-20170724T160529.926657100.bin</t>
  </si>
  <si>
    <t>-616.065725914951 133.335445727516 -228.568482525315</t>
  </si>
  <si>
    <t>-655.443625998918 129.197947773338 -343.024024658358</t>
  </si>
  <si>
    <t>-677.102669889394 119.477973511586 -461.880837840669</t>
  </si>
  <si>
    <t>-689.296475404921 108.192765993384 -570.134307723833</t>
  </si>
  <si>
    <t>-694.185500148329 94.3578110581052 -678.667894959802</t>
  </si>
  <si>
    <t>-693.38859389605 72.3831777451892 -829.38792140785</t>
  </si>
  <si>
    <t>-667.316130376482 51.051194990878 -925.55515237123</t>
  </si>
  <si>
    <t>-677.216980453758 108.996918240349 -766.532246134715</t>
  </si>
  <si>
    <t>-584.30742000929 222.728229261195 -758.849497169345</t>
  </si>
  <si>
    <t>-452.466870614297 192.1547765154 -472.720928351605</t>
  </si>
  <si>
    <t>-220.323054891415 119.810482313493 -380.430041780547</t>
  </si>
  <si>
    <t>-710.265425571439 55.215617977015 -758.865723046498</t>
  </si>
  <si>
    <t>-575.0352728708 221.063176492571 -245.539452514132</t>
  </si>
  <si>
    <t>-586.204847482746 207.318659611751 209.811042561505</t>
  </si>
  <si>
    <t>-625.035254839761 177.374588038419 677.086798658229</t>
  </si>
  <si>
    <t>-497.921006709291 94.4136748466724 765.985437017744</t>
  </si>
  <si>
    <t>-656.958395633247 45.6348549538632 -210.876989128065</t>
  </si>
  <si>
    <t>-485.75016601487 -93.2200983436469 187.952186973355</t>
  </si>
  <si>
    <t>-509.852613156715 -21.5730600441907 651.60498536394</t>
  </si>
  <si>
    <t>-492.104953847468 -169.197002586994 745.603322465872</t>
  </si>
  <si>
    <t>9763-20170724T160529.992592700.bin</t>
  </si>
  <si>
    <t>-616.28407730375 134.122385088778 -228.329103612019</t>
  </si>
  <si>
    <t>-655.469058619836 129.769926675642 -342.842831203699</t>
  </si>
  <si>
    <t>-676.863286331867 120.108912364867 -461.752489561976</t>
  </si>
  <si>
    <t>-688.789614161704 108.978413559429 -570.051827110038</t>
  </si>
  <si>
    <t>-693.384203674849 95.3927512197404 -678.629645729218</t>
  </si>
  <si>
    <t>-692.151031168357 73.8570593311399 -829.410087016881</t>
  </si>
  <si>
    <t>-665.754573600506 52.8096150376466 -925.551722310868</t>
  </si>
  <si>
    <t>-676.2712692197 110.353272941715 -766.411710429001</t>
  </si>
  <si>
    <t>-583.629183969755 224.256444190451 -758.076861468088</t>
  </si>
  <si>
    <t>-452.393340555916 188.323112078921 -472.293471380324</t>
  </si>
  <si>
    <t>-220.383396373226 117.041071944528 -378.846745685876</t>
  </si>
  <si>
    <t>-709.122079914016 56.4185903642413 -758.977071906262</t>
  </si>
  <si>
    <t>-575.830885383995 222.207637333126 -245.181966402629</t>
  </si>
  <si>
    <t>-587.0122802032 208.066962234481 210.15594819144</t>
  </si>
  <si>
    <t>-625.266898330008 177.338740236876 677.378029365974</t>
  </si>
  <si>
    <t>-497.880053656447 94.5220830763969 766.020583502701</t>
  </si>
  <si>
    <t>-656.565337912897 46.0173582385801 -210.798589835593</t>
  </si>
  <si>
    <t>-485.082301002295 -92.2451190849292 188.118377023295</t>
  </si>
  <si>
    <t>-510.060406169711 -21.3363236040927 651.852356490446</t>
  </si>
  <si>
    <t>-492.236443275952 -169.141519705503 745.550920509464</t>
  </si>
  <si>
    <t>9763-20170724T160530.027186900.bin</t>
  </si>
  <si>
    <t>-616.053294668781 134.414625218511 -228.202083086591</t>
  </si>
  <si>
    <t>-655.158554372345 129.966900572087 -342.739362929128</t>
  </si>
  <si>
    <t>-676.462890760661 120.313610907306 -461.665912997356</t>
  </si>
  <si>
    <t>-688.304107420317 109.228899664567 -569.979238989956</t>
  </si>
  <si>
    <t>-692.80998143087 95.7256551881992 -678.57108877516</t>
  </si>
  <si>
    <t>-691.450197282939 74.3403703122008 -829.371721889128</t>
  </si>
  <si>
    <t>-664.966307096974 53.4023315415802 -925.513218430053</t>
  </si>
  <si>
    <t>-675.658203981714 110.794593683886 -766.326978691801</t>
  </si>
  <si>
    <t>-583.074226863487 224.724112429526 -757.747113258338</t>
  </si>
  <si>
    <t>-451.694091892124 185.883702463459 -472.410713396637</t>
  </si>
  <si>
    <t>-219.661278007038 115.038667178274 -378.688451536388</t>
  </si>
  <si>
    <t>-708.445435874705 56.8108907172116 -758.967162494122</t>
  </si>
  <si>
    <t>-575.868511416299 222.663639480929 -245.040645580621</t>
  </si>
  <si>
    <t>-587.30378525266 208.403736266584 210.287363641204</t>
  </si>
  <si>
    <t>-625.332683758816 177.27124185462 677.424891988413</t>
  </si>
  <si>
    <t>-497.768203142879 94.6908401748537 766.032405101073</t>
  </si>
  <si>
    <t>-656.069189917556 46.1328562428894 -210.696259425569</t>
  </si>
  <si>
    <t>-484.667406345439 -91.5571085411398 188.453505016057</t>
  </si>
  <si>
    <t>-510.642662177154 -21.0953180997014 652.199044326291</t>
  </si>
  <si>
    <t>-492.492836863842 -169.089507530013 745.536059744833</t>
  </si>
  <si>
    <t>9763-20170724T160530.092867900.bin</t>
  </si>
  <si>
    <t>-615.373047485332 135.003274103462 -228.135330302231</t>
  </si>
  <si>
    <t>-654.336450604101 130.374618207782 -342.713775269845</t>
  </si>
  <si>
    <t>-675.480314176256 120.754636763678 -461.671670739594</t>
  </si>
  <si>
    <t>-687.169802818622 109.779367834468 -570.012519198944</t>
  </si>
  <si>
    <t>-691.518047044116 96.4596753366404 -678.633540310233</t>
  </si>
  <si>
    <t>-689.933236830084 75.4023959997085 -829.478145398096</t>
  </si>
  <si>
    <t>-663.295562011528 54.6644226425365 -925.620491644133</t>
  </si>
  <si>
    <t>-674.245346759134 111.725206100857 -766.331743908683</t>
  </si>
  <si>
    <t>-581.445372962149 225.427478065403 -757.248903609394</t>
  </si>
  <si>
    <t>-449.146776496223 181.534887768944 -473.071542000615</t>
  </si>
  <si>
    <t>-216.768550784934 111.53804905307 -379.568260121436</t>
  </si>
  <si>
    <t>-707.023559071266 57.7140036746284 -759.136393938449</t>
  </si>
  <si>
    <t>-575.384279128376 223.408551427325 -245.001586837503</t>
  </si>
  <si>
    <t>-587.598540056731 209.188307640439 210.307344740051</t>
  </si>
  <si>
    <t>-625.241084196426 177.201497258748 677.346809214425</t>
  </si>
  <si>
    <t>-497.668600697807 94.8012544542228 766.110379652755</t>
  </si>
  <si>
    <t>-655.265597005288 46.6086243438094 -210.660995361674</t>
  </si>
  <si>
    <t>-484.343425588801 -90.5691702705105 188.870686675973</t>
  </si>
  <si>
    <t>-511.031526825562 -20.628379585065 652.649851892021</t>
  </si>
  <si>
    <t>-492.482089617258 -168.966016096168 745.360943892171</t>
  </si>
  <si>
    <t>9763-20170724T160530.126960000.bin</t>
  </si>
  <si>
    <t>-614.944574676906 135.364440134709 -228.188014907874</t>
  </si>
  <si>
    <t>-653.867214153294 130.777620262949 -342.782162223576</t>
  </si>
  <si>
    <t>-674.948589688283 121.21635433642 -461.755648309123</t>
  </si>
  <si>
    <t>-686.573189995229 110.29936824994 -570.109472708595</t>
  </si>
  <si>
    <t>-690.848350051023 97.0423778399315 -678.741176040799</t>
  </si>
  <si>
    <t>-689.153550183425 76.0763136483988 -829.597104992547</t>
  </si>
  <si>
    <t>-662.456255897918 55.4067508797625 -925.73770639177</t>
  </si>
  <si>
    <t>-673.505095346058 112.356995605574 -766.416774358386</t>
  </si>
  <si>
    <t>-580.495939476892 225.882420338249 -757.140458864531</t>
  </si>
  <si>
    <t>-447.744824333392 180.111559373965 -473.471020292065</t>
  </si>
  <si>
    <t>-215.167258212603 110.170373454885 -380.422756785513</t>
  </si>
  <si>
    <t>-706.30183250785 58.3492563715745 -759.279264222125</t>
  </si>
  <si>
    <t>-574.928077698277 223.809682392447 -245.049679290117</t>
  </si>
  <si>
    <t>-587.69352672745 209.57904142124 210.243761082041</t>
  </si>
  <si>
    <t>-625.166641554684 177.146452254333 677.248761387154</t>
  </si>
  <si>
    <t>-497.705787534487 94.725239817544 766.153116660776</t>
  </si>
  <si>
    <t>-654.857077480609 47.0119694092587 -210.77546955635</t>
  </si>
  <si>
    <t>-484.287174464199 -90.5613551481492 188.770663229565</t>
  </si>
  <si>
    <t>-510.936956397929 -20.5390663275557 652.59732728703</t>
  </si>
  <si>
    <t>-492.654893831601 -168.961999564538 745.225115721358</t>
  </si>
  <si>
    <t>9763-20170724T160530.194140400.bin</t>
  </si>
  <si>
    <t>-614.107580583907 135.821870865277 -228.434486973918</t>
  </si>
  <si>
    <t>-652.934355426485 131.181656793942 -343.058965505626</t>
  </si>
  <si>
    <t>-673.858967038262 121.623381672357 -462.060483656601</t>
  </si>
  <si>
    <t>-685.319369214339 110.722288875744 -570.433262557709</t>
  </si>
  <si>
    <t>-689.409899044969 97.4883304053835 -679.074789754724</t>
  </si>
  <si>
    <t>-687.439498020417 76.5561835967981 -829.932135486391</t>
  </si>
  <si>
    <t>-660.593489071314 55.9074632716761 -926.035800930126</t>
  </si>
  <si>
    <t>-671.888643810579 112.812048615874 -766.713577883677</t>
  </si>
  <si>
    <t>-578.434959749248 225.955338039043 -757.1314158608</t>
  </si>
  <si>
    <t>-444.088283188487 177.664625812615 -474.63330831584</t>
  </si>
  <si>
    <t>-211.644917210941 107.046300542748 -381.761269811085</t>
  </si>
  <si>
    <t>-704.733998043266 58.8240172149647 -759.651457644794</t>
  </si>
  <si>
    <t>-574.20442695258 224.289243412599 -245.230479807382</t>
  </si>
  <si>
    <t>-587.829819347689 209.920815094192 210.033754966628</t>
  </si>
  <si>
    <t>-625.173164095181 176.830517921279 677.048123443995</t>
  </si>
  <si>
    <t>-497.60828647264 94.8288910447059 766.190979413282</t>
  </si>
  <si>
    <t>-653.901609325344 47.3583324598842 -210.991602891361</t>
  </si>
  <si>
    <t>-484.541741882671 -90.5220361371746 188.96327540408</t>
  </si>
  <si>
    <t>-510.843710199058 -20.2574838798464 652.71009395821</t>
  </si>
  <si>
    <t>-492.906546557595 -168.914404989325 745.029502663043</t>
  </si>
  <si>
    <t>9763-20170724T160530.226736700.bin</t>
  </si>
  <si>
    <t>-613.754760354889 135.880460867167 -228.55692583931</t>
  </si>
  <si>
    <t>-652.552583018246 131.209228802851 -343.189906042511</t>
  </si>
  <si>
    <t>-673.471831855889 121.685439914657 -462.195141452642</t>
  </si>
  <si>
    <t>-684.937790754494 110.837925179271 -570.572821762695</t>
  </si>
  <si>
    <t>-689.044739582364 97.6772660188831 -679.222651144331</t>
  </si>
  <si>
    <t>-687.108860433206 76.8650756420241 -830.09711382327</t>
  </si>
  <si>
    <t>-660.223398566284 56.2199196992999 -926.190515472923</t>
  </si>
  <si>
    <t>-671.534602801901 113.065379304176 -766.852237394277</t>
  </si>
  <si>
    <t>-577.922970632108 226.046156830638 -757.129652689194</t>
  </si>
  <si>
    <t>-442.689480735255 176.359814934745 -475.297526227453</t>
  </si>
  <si>
    <t>-210.14476157236 105.428119606627 -382.91926742243</t>
  </si>
  <si>
    <t>-704.39616478356 59.0823702300215 -759.8273052195</t>
  </si>
  <si>
    <t>-573.945759415882 224.347056306598 -245.308495813434</t>
  </si>
  <si>
    <t>-587.898068285043 209.833259930304 209.941326418754</t>
  </si>
  <si>
    <t>-625.255367546687 176.584431174371 676.938029453218</t>
  </si>
  <si>
    <t>-497.437145976711 95.0734446857718 766.167900260857</t>
  </si>
  <si>
    <t>-653.501957171674 47.3813640863184 -211.166126208642</t>
  </si>
  <si>
    <t>-484.768739448993 -90.6044208177373 189.017203670712</t>
  </si>
  <si>
    <t>-510.754699766745 -20.0550609112988 652.824589824263</t>
  </si>
  <si>
    <t>-493.07525996688 -168.880957013344 744.921365272455</t>
  </si>
  <si>
    <t>9763-20170724T160530.296432200.bin</t>
  </si>
  <si>
    <t>-613.202129144071 136.214917760592 -228.663391093463</t>
  </si>
  <si>
    <t>-651.908402770168 131.473162834496 -343.324423030372</t>
  </si>
  <si>
    <t>-672.750419317007 121.978717193816 -462.345535939792</t>
  </si>
  <si>
    <t>-684.153321166271 111.19372668126 -570.73610956058</t>
  </si>
  <si>
    <t>-688.204392732369 98.1287741369911 -679.399635791122</t>
  </si>
  <si>
    <t>-686.198882294526 77.4812542499621 -830.295701993527</t>
  </si>
  <si>
    <t>-659.176242138377 56.8480601587603 -926.353136138401</t>
  </si>
  <si>
    <t>-670.639948428216 113.603942008785 -767.003066128805</t>
  </si>
  <si>
    <t>-576.863368130784 226.443427216549 -757.107343718702</t>
  </si>
  <si>
    <t>-440.553692725442 173.485486247918 -476.391721006523</t>
  </si>
  <si>
    <t>-208.938771601025 103.18989517502 -381.233130189885</t>
  </si>
  <si>
    <t>-703.532716616304 59.6301663757713 -760.054731795263</t>
  </si>
  <si>
    <t>-573.359727564681 224.669240819283 -245.375692062149</t>
  </si>
  <si>
    <t>-587.903390726852 209.920272236966 209.84799672881</t>
  </si>
  <si>
    <t>-625.403752341795 176.348038938606 676.882984506943</t>
  </si>
  <si>
    <t>-497.485021687425 95.032911363124 766.147532470764</t>
  </si>
  <si>
    <t>-652.901124614899 47.7989026178209 -211.255349874613</t>
  </si>
  <si>
    <t>-484.979427416337 -90.6801568501896 189.098929031975</t>
  </si>
  <si>
    <t>-510.637938511938 -19.7556902189253 652.916994492079</t>
  </si>
  <si>
    <t>-493.200951613407 -168.827775226447 744.661009659582</t>
  </si>
  <si>
    <t>9763-20170724T160530.331025700.bin</t>
  </si>
  <si>
    <t>-612.878701191373 136.366595053808 -228.686642473364</t>
  </si>
  <si>
    <t>-651.601837303968 131.641435267733 -343.342541980241</t>
  </si>
  <si>
    <t>-672.423727828472 122.181100908375 -462.369955939596</t>
  </si>
  <si>
    <t>-683.793219778273 111.431506780869 -570.767448335288</t>
  </si>
  <si>
    <t>-687.796153419936 98.4046438812479 -679.43725191125</t>
  </si>
  <si>
    <t>-685.708578981013 77.8117491083801 -830.339840594826</t>
  </si>
  <si>
    <t>-658.607337964448 57.197746628945 -926.379230236513</t>
  </si>
  <si>
    <t>-670.166991883281 113.901619927676 -767.023927029672</t>
  </si>
  <si>
    <t>-576.277109411066 226.640621144205 -757.025612295066</t>
  </si>
  <si>
    <t>-440.093759618027 172.279739763222 -476.516788530648</t>
  </si>
  <si>
    <t>-208.972458162573 102.348825867433 -379.900905629838</t>
  </si>
  <si>
    <t>-703.09747456643 59.9453921682432 -760.116367015698</t>
  </si>
  <si>
    <t>-573.04447812752 224.818530158166 -245.374957314957</t>
  </si>
  <si>
    <t>-587.653611538424 209.951684722802 209.84283940792</t>
  </si>
  <si>
    <t>-625.398806249132 176.336930914506 676.847917584773</t>
  </si>
  <si>
    <t>-497.487559850331 95.0370163084585 766.137021960889</t>
  </si>
  <si>
    <t>-652.518845906375 47.9369609960311 -211.271650315746</t>
  </si>
  <si>
    <t>-484.753158394594 -90.7114873319247 189.089404945098</t>
  </si>
  <si>
    <t>-510.579584866768 -19.6872382240463 652.861174142583</t>
  </si>
  <si>
    <t>-493.266985559389 -168.816915970469 744.535166459136</t>
  </si>
  <si>
    <t>9763-20170724T160530.394700000.bin</t>
  </si>
  <si>
    <t>-612.143456988917 136.76704707452 -228.775441721348</t>
  </si>
  <si>
    <t>-650.910948891405 132.116845812915 -343.419464204621</t>
  </si>
  <si>
    <t>-671.663742347808 122.73106684688 -462.464919119392</t>
  </si>
  <si>
    <t>-682.923524276791 112.047406171576 -570.880439295538</t>
  </si>
  <si>
    <t>-686.769127052785 99.0848230002723 -679.563663032154</t>
  </si>
  <si>
    <t>-684.413432275918 78.5793579112524 -830.474089421605</t>
  </si>
  <si>
    <t>-657.123538760032 58.0289206620641 -926.473727802417</t>
  </si>
  <si>
    <t>-668.97200164255 114.625188818091 -767.108516182265</t>
  </si>
  <si>
    <t>-575.004123306632 227.285174518818 -756.949596562443</t>
  </si>
  <si>
    <t>-440.038498661927 171.155584847304 -476.200729587936</t>
  </si>
  <si>
    <t>-210.889139714244 101.629977487676 -374.717641407167</t>
  </si>
  <si>
    <t>-701.939388614303 60.6797314944042 -760.293153795343</t>
  </si>
  <si>
    <t>-572.279136966599 225.206431356804 -245.403961067759</t>
  </si>
  <si>
    <t>-587.064395370254 209.957977252469 209.795400536796</t>
  </si>
  <si>
    <t>-625.335258871024 176.386093897874 676.771631116325</t>
  </si>
  <si>
    <t>-497.571139026384 94.9368834571478 766.135293699268</t>
  </si>
  <si>
    <t>-651.868165499561 48.4258126323848 -211.368205405873</t>
  </si>
  <si>
    <t>-484.217776362761 -90.5882423386665 188.914290242664</t>
  </si>
  <si>
    <t>-510.472808827484 -19.6305925572401 652.671688908578</t>
  </si>
  <si>
    <t>-493.323367184778 -168.796075653649 744.318297720064</t>
  </si>
  <si>
    <t>9763-20170724T160530.426792000.bin</t>
  </si>
  <si>
    <t>-611.889314753883 136.884596745393 -228.783831745889</t>
  </si>
  <si>
    <t>-650.584594162711 132.197334557282 -343.450915567096</t>
  </si>
  <si>
    <t>-671.267780539816 122.833223229474 -462.509961441426</t>
  </si>
  <si>
    <t>-682.466183343658 112.19053236192 -570.935957389269</t>
  </si>
  <si>
    <t>-686.252398066104 99.2884847169864 -679.628354430736</t>
  </si>
  <si>
    <t>-683.816663253562 78.8858108766747 -830.55154002927</t>
  </si>
  <si>
    <t>-656.445922962522 58.3604649643255 -926.533600772345</t>
  </si>
  <si>
    <t>-668.404245455499 114.88553364395 -767.152915574934</t>
  </si>
  <si>
    <t>-574.394455772052 227.495936780858 -756.861683464259</t>
  </si>
  <si>
    <t>-440.317747042402 170.540313574938 -475.853393568641</t>
  </si>
  <si>
    <t>-212.152018063288 101.100887832279 -372.120084223893</t>
  </si>
  <si>
    <t>-701.384532450324 60.9412178986677 -760.392600543837</t>
  </si>
  <si>
    <t>-572.066671348066 225.29142958336 -245.398065311296</t>
  </si>
  <si>
    <t>-586.970708801759 209.946016731129 209.794190505396</t>
  </si>
  <si>
    <t>-625.432147595443 176.251012699165 676.759926014154</t>
  </si>
  <si>
    <t>-497.536825976094 95.0036989356886 766.119696626438</t>
  </si>
  <si>
    <t>-651.552187784189 48.5139708364241 -211.462893419701</t>
  </si>
  <si>
    <t>-484.038755087754 -90.4254338618648 188.902899560482</t>
  </si>
  <si>
    <t>-510.475577790655 -19.5957455911646 652.637044972735</t>
  </si>
  <si>
    <t>-493.276908280834 -168.772832372472 744.255417238493</t>
  </si>
  <si>
    <t>9763-20170724T160530.491970200.bin</t>
  </si>
  <si>
    <t>-611.639064897135 136.935483282254 -228.816360772612</t>
  </si>
  <si>
    <t>-650.256529019283 132.200843229042 -343.507671659584</t>
  </si>
  <si>
    <t>-670.82053260269 122.874386740995 -462.590372850005</t>
  </si>
  <si>
    <t>-681.89510789882 112.29470594878 -571.035185055685</t>
  </si>
  <si>
    <t>-685.541864753003 99.4814820938334 -679.742931804212</t>
  </si>
  <si>
    <t>-682.896719245526 79.2261491894521 -830.682407619772</t>
  </si>
  <si>
    <t>-655.357788517537 58.6970990669245 -926.615517766448</t>
  </si>
  <si>
    <t>-667.576076979722 115.166098856526 -767.227678839704</t>
  </si>
  <si>
    <t>-573.597641916287 227.799250659794 -756.724655242216</t>
  </si>
  <si>
    <t>-441.619225243396 168.898036259284 -475.124785642563</t>
  </si>
  <si>
    <t>-218.648074011537 99.0548871253638 -360.897671594342</t>
  </si>
  <si>
    <t>-700.558251400563 61.2107944433894 -760.565141070268</t>
  </si>
  <si>
    <t>-571.941817524291 225.377133970672 -245.37849565968</t>
  </si>
  <si>
    <t>-587.062901168281 209.963734114384 209.804310284317</t>
  </si>
  <si>
    <t>-625.562526393628 176.077604969302 676.740811915597</t>
  </si>
  <si>
    <t>-497.468646472294 95.1431000640064 766.100077023875</t>
  </si>
  <si>
    <t>-651.248979170803 48.5214291826787 -211.578013064615</t>
  </si>
  <si>
    <t>-483.847122395753 -90.4004053342728 188.840488734981</t>
  </si>
  <si>
    <t>-510.547768264036 -19.5793004865682 652.531310607471</t>
  </si>
  <si>
    <t>-493.132713133446 -168.720025476677 744.167747463248</t>
  </si>
  <si>
    <t>9763-20170724T160530.524581300.bin</t>
  </si>
  <si>
    <t>-611.587928131007 136.964201706519 -228.814083632864</t>
  </si>
  <si>
    <t>-650.163187123177 132.184403536475 -343.517618434849</t>
  </si>
  <si>
    <t>-670.657207591205 122.825540769275 -462.609915675348</t>
  </si>
  <si>
    <t>-681.657699828085 112.220144520459 -571.059743284688</t>
  </si>
  <si>
    <t>-685.219779636693 99.3840805265365 -679.76756983887</t>
  </si>
  <si>
    <t>-682.446633646859 79.0988633051459 -830.700769911409</t>
  </si>
  <si>
    <t>-654.825819021042 58.5322211709083 -926.602223761788</t>
  </si>
  <si>
    <t>-667.178896935864 115.051021299491 -767.240091990603</t>
  </si>
  <si>
    <t>-573.3117876262 227.741245437928 -756.70390418606</t>
  </si>
  <si>
    <t>-442.094985421482 168.208498863699 -474.880932317978</t>
  </si>
  <si>
    <t>-221.29785281188 97.6830424287718 -356.911278283043</t>
  </si>
  <si>
    <t>-700.16833216263 61.0979858258597 -760.594949987317</t>
  </si>
  <si>
    <t>-571.845005396402 225.469301812443 -245.381440550245</t>
  </si>
  <si>
    <t>-587.109959176074 210.040512732943 209.796138496955</t>
  </si>
  <si>
    <t>-625.570225847112 176.072503357798 676.718678343998</t>
  </si>
  <si>
    <t>-497.542984479904 95.0442688473497 766.088482083018</t>
  </si>
  <si>
    <t>-651.2257264879 48.4739201879095 -211.608760876567</t>
  </si>
  <si>
    <t>-483.83930566101 -90.4628067070335 188.811071483175</t>
  </si>
  <si>
    <t>-510.638429054803 -19.6584619081607 652.427272704934</t>
  </si>
  <si>
    <t>-493.16279388443 -168.73094118678 744.16347524779</t>
  </si>
  <si>
    <t>9763-20170724T160530.594885100.bin</t>
  </si>
  <si>
    <t>-611.386082694542 136.829713075289 -228.895194122134</t>
  </si>
  <si>
    <t>-649.946139690132 131.979144556794 -343.600831350517</t>
  </si>
  <si>
    <t>-670.344920802397 122.621962797303 -462.709693092441</t>
  </si>
  <si>
    <t>-681.226303486342 112.043146156954 -571.174106044386</t>
  </si>
  <si>
    <t>-684.63685897689 99.2556654627224 -679.892567418743</t>
  </si>
  <si>
    <t>-681.619421188901 79.0590457625201 -830.8328010784</t>
  </si>
  <si>
    <t>-653.802242332844 58.5030197300694 -926.679918421216</t>
  </si>
  <si>
    <t>-666.420994667441 114.953772509403 -767.323092235519</t>
  </si>
  <si>
    <t>-572.471219462624 227.593974138388 -756.701701018433</t>
  </si>
  <si>
    <t>-442.876486140403 167.504800281786 -474.24692181909</t>
  </si>
  <si>
    <t>-224.564131846571 95.6842962178325 -352.494737725863</t>
  </si>
  <si>
    <t>-699.488059408883 61.0371172938042 -760.76983873584</t>
  </si>
  <si>
    <t>-571.583113649321 225.328143673969 -245.435040729751</t>
  </si>
  <si>
    <t>-587.246706965079 210.102674365998 209.735865098402</t>
  </si>
  <si>
    <t>-625.683163130691 175.967441233943 676.690085276613</t>
  </si>
  <si>
    <t>-497.516503360951 95.1426862715496 766.044316082804</t>
  </si>
  <si>
    <t>-651.066333148501 48.3278037463497 -211.630006982764</t>
  </si>
  <si>
    <t>-483.858848054656 -90.4899569838922 188.905824637012</t>
  </si>
  <si>
    <t>-510.653128539132 -19.5716458732652 652.582074126499</t>
  </si>
  <si>
    <t>-493.213649234571 -168.694004545597 744.243890489346</t>
  </si>
  <si>
    <t>9763-20170724T160530.622964000.bin</t>
  </si>
  <si>
    <t>-611.207976133105 136.681885334368 -228.909110562769</t>
  </si>
  <si>
    <t>-649.776837284098 131.853099331236 -343.612955922272</t>
  </si>
  <si>
    <t>-670.174293266175 122.495292769968 -462.721726533581</t>
  </si>
  <si>
    <t>-681.050707479623 111.906615786455 -571.185705839993</t>
  </si>
  <si>
    <t>-684.452348247399 99.1004807494885 -679.902312786975</t>
  </si>
  <si>
    <t>-681.418857025428 78.8685802916027 -830.837603228238</t>
  </si>
  <si>
    <t>-653.542769106053 58.2813314627028 -926.660725282496</t>
  </si>
  <si>
    <t>-666.218122771805 114.772842391398 -767.33382813555</t>
  </si>
  <si>
    <t>-572.310653535606 227.439949203303 -756.76012137803</t>
  </si>
  <si>
    <t>-443.267485988473 167.277314181501 -474.068626008744</t>
  </si>
  <si>
    <t>-224.993327758682 95.1872425796907 -352.407248888487</t>
  </si>
  <si>
    <t>-699.30393806719 60.8684272110381 -760.773253925244</t>
  </si>
  <si>
    <t>-571.416011946253 225.186770430568 -245.452578908388</t>
  </si>
  <si>
    <t>-587.202018740137 209.93180747514 209.713183318917</t>
  </si>
  <si>
    <t>-625.749094397333 175.886534149127 676.677602471179</t>
  </si>
  <si>
    <t>-497.552984446647 95.1048157367995 766.028489786557</t>
  </si>
  <si>
    <t>-650.855627047607 48.1999099962975 -211.648970237254</t>
  </si>
  <si>
    <t>-483.768747624538 -90.4465524084753 188.996429282553</t>
  </si>
  <si>
    <t>-510.576384159664 -19.4745208672528 652.697354620902</t>
  </si>
  <si>
    <t>-493.25382196949 -168.671160786876 744.260612472071</t>
  </si>
  <si>
    <t>9763-20170724T160530.693887000.bin</t>
  </si>
  <si>
    <t>-610.609327475638 136.232394307555 -228.948195969494</t>
  </si>
  <si>
    <t>-649.215950005437 131.498685950095 -343.643207324616</t>
  </si>
  <si>
    <t>-669.64280224195 122.182883759496 -462.750387822221</t>
  </si>
  <si>
    <t>-680.542709643111 111.609901378142 -571.21356281481</t>
  </si>
  <si>
    <t>-683.965290024023 98.7966738236898 -679.928531848855</t>
  </si>
  <si>
    <t>-680.958627530044 78.531042759284 -830.859862128483</t>
  </si>
  <si>
    <t>-653.024351466458 57.9186543202047 -926.660700562547</t>
  </si>
  <si>
    <t>-665.732495436607 114.440820034847 -767.365173093368</t>
  </si>
  <si>
    <t>-571.876752338756 227.168884791897 -756.903187137033</t>
  </si>
  <si>
    <t>-443.650588352772 167.132543269217 -473.813207662965</t>
  </si>
  <si>
    <t>-225.75845821391 94.8604629966987 -351.57640349172</t>
  </si>
  <si>
    <t>-698.845528880464 60.555019887604 -760.789562689602</t>
  </si>
  <si>
    <t>-570.944517498106 224.704495873444 -245.471698083919</t>
  </si>
  <si>
    <t>-586.852613144736 209.401893566167 209.688130364409</t>
  </si>
  <si>
    <t>-625.869474656529 175.698492111857 676.645308325773</t>
  </si>
  <si>
    <t>-497.712952986383 94.8786059773088 766.018457740837</t>
  </si>
  <si>
    <t>-650.108178056217 47.7904740007455 -211.692339120184</t>
  </si>
  <si>
    <t>-483.324731709217 -90.5633182182135 189.180659714568</t>
  </si>
  <si>
    <t>-510.324089304064 -19.3198747676463 652.805677090256</t>
  </si>
  <si>
    <t>-493.46743215543 -168.647978289547 744.241222565546</t>
  </si>
  <si>
    <t>9763-20170724T160530.726977300.bin</t>
  </si>
  <si>
    <t>-610.187298055425 135.839274522955 -228.97222279133</t>
  </si>
  <si>
    <t>-648.828876000162 131.132328644297 -343.65646392199</t>
  </si>
  <si>
    <t>-669.295105800298 121.829835328351 -462.757950484871</t>
  </si>
  <si>
    <t>-680.232691756872 111.261607061903 -571.217847874074</t>
  </si>
  <si>
    <t>-683.695528634135 98.4445317358357 -679.931194132603</t>
  </si>
  <si>
    <t>-680.747862193792 78.1636042764128 -830.861677880205</t>
  </si>
  <si>
    <t>-652.808317241123 57.5225552869474 -926.654669885513</t>
  </si>
  <si>
    <t>-665.486801153643 114.073826102656 -767.375551071064</t>
  </si>
  <si>
    <t>-571.642994558489 226.812541293533 -756.987083263165</t>
  </si>
  <si>
    <t>-443.519856210933 166.81411142545 -473.842502332506</t>
  </si>
  <si>
    <t>-225.536574356771 94.4987523309628 -351.794030782824</t>
  </si>
  <si>
    <t>-698.617427085353 60.2007420351249 -760.783508456747</t>
  </si>
  <si>
    <t>-570.682292664728 224.288678886851 -245.478773816056</t>
  </si>
  <si>
    <t>-586.603727998847 209.009338290674 209.681319427809</t>
  </si>
  <si>
    <t>-625.950817987307 175.561178473137 676.638261409123</t>
  </si>
  <si>
    <t>-497.74377479999 94.8313876896991 766.020423980847</t>
  </si>
  <si>
    <t>-649.546379199908 47.3905884350502 -211.766597146615</t>
  </si>
  <si>
    <t>-482.90853200883 -90.7426661977695 189.242948372529</t>
  </si>
  <si>
    <t>-510.193266645652 -19.2908313663804 652.802825159346</t>
  </si>
  <si>
    <t>-493.560673219182 -168.644790648569 744.237197951859</t>
  </si>
  <si>
    <t>9763-20170724T160530.790703000.bin</t>
  </si>
  <si>
    <t>-609.497901999935 135.024381883082 -228.980817192887</t>
  </si>
  <si>
    <t>-648.134996456887 130.320921742936 -343.666766256197</t>
  </si>
  <si>
    <t>-668.675288808755 121.00717225859 -462.754638160058</t>
  </si>
  <si>
    <t>-679.713149547689 110.421006090467 -571.202529839577</t>
  </si>
  <si>
    <t>-683.310442774221 97.5767433587812 -679.908314894585</t>
  </si>
  <si>
    <t>-680.585201376032 77.2477696792582 -830.8363292471</t>
  </si>
  <si>
    <t>-652.711639126433 56.5495524028979 -926.636371991199</t>
  </si>
  <si>
    <t>-665.208476089461 113.164866267281 -767.382146984598</t>
  </si>
  <si>
    <t>-571.372506919306 225.914287669556 -757.153723998093</t>
  </si>
  <si>
    <t>-443.306649740121 166.268909281935 -473.908729591718</t>
  </si>
  <si>
    <t>-225.413786837101 94.0002370744378 -351.671178955342</t>
  </si>
  <si>
    <t>-698.373590144996 59.3205604566444 -760.728511231021</t>
  </si>
  <si>
    <t>-570.176852580113 223.419390293873 -245.48779855246</t>
  </si>
  <si>
    <t>-586.206228198323 208.212347605346 209.671002549759</t>
  </si>
  <si>
    <t>-626.12152080211 175.267523937907 676.625416174708</t>
  </si>
  <si>
    <t>-497.717833040557 94.8575861061877 766.013602206067</t>
  </si>
  <si>
    <t>-648.712674928846 46.6302585394315 -211.834287201953</t>
  </si>
  <si>
    <t>-482.306363437307 -91.2787272166643 189.348622019995</t>
  </si>
  <si>
    <t>-510.044487420519 -19.2963996272504 652.749057913501</t>
  </si>
  <si>
    <t>-493.604236802187 -168.635831535773 744.242029440683</t>
  </si>
  <si>
    <t>9763-20170724T160530.832324900.bin</t>
  </si>
  <si>
    <t>-609.152419777984 134.641245352414 -229.031736457281</t>
  </si>
  <si>
    <t>-647.822268709646 129.952351714296 -343.707061015215</t>
  </si>
  <si>
    <t>-668.432551601702 120.656266335538 -462.784243633623</t>
  </si>
  <si>
    <t>-679.548955827402 110.086719191679 -571.225764537836</t>
  </si>
  <si>
    <t>-683.239893872743 97.2594735502641 -679.930403371704</t>
  </si>
  <si>
    <t>-680.660698279576 76.9538330846328 -830.864269535535</t>
  </si>
  <si>
    <t>-652.832293020854 56.2457986159359 -926.675201563652</t>
  </si>
  <si>
    <t>-665.212354276767 112.854896687737 -767.418429647068</t>
  </si>
  <si>
    <t>-571.354415232478 225.603035143184 -757.248656892196</t>
  </si>
  <si>
    <t>-443.411034999769 165.991711936706 -473.941078518911</t>
  </si>
  <si>
    <t>-225.445594986441 93.72920191648 -351.829372947457</t>
  </si>
  <si>
    <t>-698.391460986788 59.0220148867813 -760.743079956766</t>
  </si>
  <si>
    <t>-569.849586673306 223.057633470252 -245.507019389882</t>
  </si>
  <si>
    <t>-585.96070098919 207.928745041005 209.651385954397</t>
  </si>
  <si>
    <t>-626.068069993822 175.33729573703 676.612826690645</t>
  </si>
  <si>
    <t>-497.765945872339 94.7771581770687 766.011601659489</t>
  </si>
  <si>
    <t>-648.39612195006 46.2275999081889 -211.88060340979</t>
  </si>
  <si>
    <t>-482.067306770166 -91.4926550921175 189.399250948838</t>
  </si>
  <si>
    <t>-510.021062321473 -19.3091761325334 652.736287351331</t>
  </si>
  <si>
    <t>-493.520442085282 -168.617464429656 744.269225080861</t>
  </si>
  <si>
    <t>9763-20170724T160530.892994500.bin</t>
  </si>
  <si>
    <t>-608.562291831558 133.931363576046 -229.056531094156</t>
  </si>
  <si>
    <t>-647.216929451501 129.233009555265 -343.736554745934</t>
  </si>
  <si>
    <t>-667.9358966119 119.947349200172 -462.79577678769</t>
  </si>
  <si>
    <t>-679.201260240219 109.397921028217 -571.223786786206</t>
  </si>
  <si>
    <t>-683.091116589574 96.6031661452594 -679.925322621554</t>
  </si>
  <si>
    <t>-680.839705629206 76.3564248425191 -830.872387456563</t>
  </si>
  <si>
    <t>-653.148238193646 55.6607184515715 -926.725753058328</t>
  </si>
  <si>
    <t>-665.243807644451 112.226802123896 -767.44524954474</t>
  </si>
  <si>
    <t>-571.418688784987 225.016448956953 -757.476086926469</t>
  </si>
  <si>
    <t>-443.68734761317 165.645552514643 -474.022428419533</t>
  </si>
  <si>
    <t>-225.863432768332 93.4361055538755 -351.62715595912</t>
  </si>
  <si>
    <t>-698.427959595043 58.4031616892041 -760.720710156314</t>
  </si>
  <si>
    <t>-569.160721081456 222.150085972728 -245.532637969352</t>
  </si>
  <si>
    <t>-585.543024174385 207.099843912236 209.618722803114</t>
  </si>
  <si>
    <t>-626.307542205602 174.885235951287 676.564786220227</t>
  </si>
  <si>
    <t>-497.786948885879 94.7134639698352 765.998872690351</t>
  </si>
  <si>
    <t>-647.855127457334 45.7353262049351 -211.905755694434</t>
  </si>
  <si>
    <t>-481.935756067358 -91.9365906753214 189.560111944821</t>
  </si>
  <si>
    <t>-509.958074073415 -19.2763316667838 652.833946582272</t>
  </si>
  <si>
    <t>-493.407692965811 -168.579071643531 744.36693826829</t>
  </si>
  <si>
    <t>9763-20170724T160530.925087600.bin</t>
  </si>
  <si>
    <t>-608.261738876894 133.579039715096 -229.078592047857</t>
  </si>
  <si>
    <t>-646.960140970238 128.896671099944 -343.744647677787</t>
  </si>
  <si>
    <t>-667.752800073883 119.640370225964 -462.793092245493</t>
  </si>
  <si>
    <t>-679.096639668189 109.123352950658 -571.216096791762</t>
  </si>
  <si>
    <t>-683.076174951016 96.3674819744949 -679.91899151845</t>
  </si>
  <si>
    <t>-680.960586140404 76.181789074438 -830.876240644568</t>
  </si>
  <si>
    <t>-653.317665777173 55.5155326788686 -926.749888352309</t>
  </si>
  <si>
    <t>-665.307694618516 112.026695955842 -767.44863972216</t>
  </si>
  <si>
    <t>-571.536479137399 224.871022073283 -757.575940268403</t>
  </si>
  <si>
    <t>-444.03320685748 165.654000574305 -473.987335055856</t>
  </si>
  <si>
    <t>-226.505592039511 93.2680216573033 -351.170047619678</t>
  </si>
  <si>
    <t>-698.485600620544 58.2000186643347 -760.716058308635</t>
  </si>
  <si>
    <t>-568.833868768203 221.789223010436 -245.568360632374</t>
  </si>
  <si>
    <t>-585.32503691275 206.740422784615 209.579071543454</t>
  </si>
  <si>
    <t>-626.442063166416 174.61581326344 676.507680650824</t>
  </si>
  <si>
    <t>-497.885210338426 94.5477594011736 765.982580485948</t>
  </si>
  <si>
    <t>-647.580767007606 45.3606821927335 -211.929777605408</t>
  </si>
  <si>
    <t>-481.916000001882 -92.091833959106 189.71642662328</t>
  </si>
  <si>
    <t>-509.911653295563 -19.2301554900839 652.933921072268</t>
  </si>
  <si>
    <t>-493.349452455053 -168.556055641329 744.427031718117</t>
  </si>
  <si>
    <t>9763-20170724T160530.991276400.bin</t>
  </si>
  <si>
    <t>-607.952556482688 133.097611437204 -229.120223054591</t>
  </si>
  <si>
    <t>-646.697610717832 128.421468691497 -343.770688606404</t>
  </si>
  <si>
    <t>-667.621831921679 119.180740230196 -462.797444319456</t>
  </si>
  <si>
    <t>-679.118806619339 108.683226551707 -571.206288303395</t>
  </si>
  <si>
    <t>-683.285578313796 95.952525897749 -679.90508770625</t>
  </si>
  <si>
    <t>-681.464555079797 75.8088491563585 -830.871641224287</t>
  </si>
  <si>
    <t>-653.940095387901 55.1390158731615 -926.778571918628</t>
  </si>
  <si>
    <t>-665.69053600364 111.63770850669 -767.46498640547</t>
  </si>
  <si>
    <t>-572.089460742566 224.641649537319 -757.834234157274</t>
  </si>
  <si>
    <t>-445.037039532324 166.009462666989 -473.922082659405</t>
  </si>
  <si>
    <t>-228.586855507001 92.9168787941057 -349.628686094164</t>
  </si>
  <si>
    <t>-698.850009424638 57.8059610127582 -760.682220116227</t>
  </si>
  <si>
    <t>-568.570317556989 221.256750883992 -245.610266699072</t>
  </si>
  <si>
    <t>-585.178775198895 206.217866649418 209.533263287696</t>
  </si>
  <si>
    <t>-626.609635506357 174.335831653711 676.483869391268</t>
  </si>
  <si>
    <t>-497.790899082068 94.6906115972349 765.959480767671</t>
  </si>
  <si>
    <t>-647.211728271239 44.9955959594611 -211.942068491991</t>
  </si>
  <si>
    <t>-481.982849754534 -92.4301246830951 189.8928207749</t>
  </si>
  <si>
    <t>-509.812208861621 -19.1812752052692 653.088180104161</t>
  </si>
  <si>
    <t>-493.301475103114 -168.534531872134 744.545812084149</t>
  </si>
  <si>
    <t>9763-20170724T160531.026861800.bin</t>
  </si>
  <si>
    <t>-607.854083368493 133.020581669245 -229.129053261662</t>
  </si>
  <si>
    <t>-646.633348553947 128.364046354828 -343.768844294276</t>
  </si>
  <si>
    <t>-667.572198815273 119.130398273965 -462.793551143281</t>
  </si>
  <si>
    <t>-679.0743615176 108.632956923762 -571.201726886535</t>
  </si>
  <si>
    <t>-683.23846291772 95.8952852891778 -679.899838513282</t>
  </si>
  <si>
    <t>-681.406005390652 75.7337481620477 -830.863911939263</t>
  </si>
  <si>
    <t>-653.850597737314 55.0312606022735 -926.754998956175</t>
  </si>
  <si>
    <t>-665.622934119664 111.561629328694 -767.459137902016</t>
  </si>
  <si>
    <t>-572.012773811036 224.554941983335 -757.93254199321</t>
  </si>
  <si>
    <t>-445.319141875054 166.432614186131 -473.755411541005</t>
  </si>
  <si>
    <t>-230.404029179382 92.2464167033443 -347.462212250826</t>
  </si>
  <si>
    <t>-698.810625534292 57.7476529810729 -760.674841989749</t>
  </si>
  <si>
    <t>-568.47743077178 221.183669286421 -245.620647535157</t>
  </si>
  <si>
    <t>-585.071117619794 206.098480255011 209.521969461219</t>
  </si>
  <si>
    <t>-626.626242647846 174.308766133616 676.474495926827</t>
  </si>
  <si>
    <t>-497.897980050951 94.5342469351206 765.965084749959</t>
  </si>
  <si>
    <t>-647.099051456831 44.9171187789477 -211.943601173428</t>
  </si>
  <si>
    <t>-482.000480553596 -92.5739715830123 189.922484321111</t>
  </si>
  <si>
    <t>-509.788492894167 -19.184163718812 653.12183119335</t>
  </si>
  <si>
    <t>-493.300320770019 -168.53117698279 744.593714680425</t>
  </si>
  <si>
    <t>9763-20170724T160531.092548100.bin</t>
  </si>
  <si>
    <t>-607.86537228374 132.877419376989 -229.133288938663</t>
  </si>
  <si>
    <t>-646.776211544469 128.327897735883 -343.732791093488</t>
  </si>
  <si>
    <t>-667.797185444403 119.130223796012 -462.745854235595</t>
  </si>
  <si>
    <t>-679.353237630345 108.634803028559 -571.148530838834</t>
  </si>
  <si>
    <t>-683.551136457168 95.867996735105 -679.841817910608</t>
  </si>
  <si>
    <t>-681.745201156393 75.6331285260114 -830.796332265875</t>
  </si>
  <si>
    <t>-654.159500645434 54.7974858497207 -926.649794644072</t>
  </si>
  <si>
    <t>-665.912891363405 111.468650776824 -767.408127019424</t>
  </si>
  <si>
    <t>-572.386148822669 224.568299488294 -758.121909067895</t>
  </si>
  <si>
    <t>-446.471739245843 167.098428767553 -473.466013457601</t>
  </si>
  <si>
    <t>-232.822065428323 92.0818915963766 -345.527179795002</t>
  </si>
  <si>
    <t>-699.175716996605 57.7041324202207 -760.599198689803</t>
  </si>
  <si>
    <t>-568.516806030924 220.94624104584 -245.626304540544</t>
  </si>
  <si>
    <t>-584.743742647837 205.638473720453 209.52200430492</t>
  </si>
  <si>
    <t>-626.666786023275 174.212293673222 676.466423782352</t>
  </si>
  <si>
    <t>-497.906261174783 94.5207146786058 765.984515590962</t>
  </si>
  <si>
    <t>-647.093826233308 44.8425048516458 -211.914532594933</t>
  </si>
  <si>
    <t>-482.104948803749 -92.698718640218 189.979457598487</t>
  </si>
  <si>
    <t>-509.771556922001 -19.2067076366784 653.149433242484</t>
  </si>
  <si>
    <t>-493.302188935606 -168.523208502953 744.674622084255</t>
  </si>
  <si>
    <t>9763-20170724T160531.123635900.bin</t>
  </si>
  <si>
    <t>-607.894534558461 132.868466144059 -229.122276875619</t>
  </si>
  <si>
    <t>-646.798876469471 128.368216889361 -343.726019078257</t>
  </si>
  <si>
    <t>-667.840309974073 119.17381361076 -462.735636988467</t>
  </si>
  <si>
    <t>-679.426567908268 108.663916877189 -571.133728027591</t>
  </si>
  <si>
    <t>-683.666257953868 95.8665592779194 -679.821754456848</t>
  </si>
  <si>
    <t>-681.930692625523 75.573200808677 -830.769449686754</t>
  </si>
  <si>
    <t>-654.344976774241 54.6665659021664 -926.607495234221</t>
  </si>
  <si>
    <t>-666.046898810356 111.420079375124 -767.400426014618</t>
  </si>
  <si>
    <t>-572.586852947907 224.581749894854 -758.308759278146</t>
  </si>
  <si>
    <t>-447.507953114191 167.332733379306 -473.240157795988</t>
  </si>
  <si>
    <t>-233.911301370021 92.1773081366277 -345.294248129109</t>
  </si>
  <si>
    <t>-699.350337652122 57.6847057118744 -760.559145124922</t>
  </si>
  <si>
    <t>-568.48546575703 220.856852465316 -245.611288822822</t>
  </si>
  <si>
    <t>-584.659157952514 205.478778308286 209.536631513133</t>
  </si>
  <si>
    <t>-626.694602208402 174.163687018391 676.474492858047</t>
  </si>
  <si>
    <t>-497.887363767173 94.549383834179 765.994164104693</t>
  </si>
  <si>
    <t>-647.185410249083 44.9010098006274 -211.935975077492</t>
  </si>
  <si>
    <t>-482.21674720106 -92.7154930274485 189.940460390551</t>
  </si>
  <si>
    <t>-509.788016763773 -19.2378867785258 653.130960921399</t>
  </si>
  <si>
    <t>-493.312434874524 -168.520891115778 744.709603888556</t>
  </si>
  <si>
    <t>9763-20170724T160531.192471400.bin</t>
  </si>
  <si>
    <t>-607.946796366592 132.923702001187 -229.075859031874</t>
  </si>
  <si>
    <t>-646.771081931786 128.482190949399 -343.709001849524</t>
  </si>
  <si>
    <t>-667.84854668899 119.248188848955 -462.709185355481</t>
  </si>
  <si>
    <t>-679.517832336985 108.662225725343 -571.091033223157</t>
  </si>
  <si>
    <t>-683.892669170755 95.7482870508659 -679.759884077317</t>
  </si>
  <si>
    <t>-682.400023186094 75.250879894912 -830.682502614548</t>
  </si>
  <si>
    <t>-654.855004294737 54.1891873919251 -926.498235449104</t>
  </si>
  <si>
    <t>-666.333558913109 111.134022838643 -767.380249418838</t>
  </si>
  <si>
    <t>-572.69756492083 224.188110086796 -758.675386696721</t>
  </si>
  <si>
    <t>-450.051878302039 167.493509094313 -472.441287122693</t>
  </si>
  <si>
    <t>-238.442591765018 91.2361676019252 -341.871960872569</t>
  </si>
  <si>
    <t>-699.787442041187 57.506607235392 -760.427728077</t>
  </si>
  <si>
    <t>-568.311062412081 220.873183944221 -245.558035008683</t>
  </si>
  <si>
    <t>-584.7693156501 205.60645595627 209.583426099986</t>
  </si>
  <si>
    <t>-626.758644936292 174.110613620924 676.514665383453</t>
  </si>
  <si>
    <t>-497.994919014157 94.408778477881 766.019048197632</t>
  </si>
  <si>
    <t>-647.421635439252 44.9974991910592 -211.917552733931</t>
  </si>
  <si>
    <t>-482.524918138541 -92.6936842602131 189.962853272141</t>
  </si>
  <si>
    <t>-509.830538526994 -19.2575786192685 653.16999416757</t>
  </si>
  <si>
    <t>-493.369322167564 -168.510005159307 744.801071800766</t>
  </si>
  <si>
    <t>9763-20170724T160531.225062400.bin</t>
  </si>
  <si>
    <t>-607.997069753829 133.023679268452 -229.037017415855</t>
  </si>
  <si>
    <t>-646.813117659374 128.615823555142 -343.674263117205</t>
  </si>
  <si>
    <t>-667.918964502538 119.380342097682 -462.669264608958</t>
  </si>
  <si>
    <t>-679.630356298084 108.777036050764 -571.044941463891</t>
  </si>
  <si>
    <t>-684.06411708071 95.8294050855295 -679.707489793632</t>
  </si>
  <si>
    <t>-682.67185749576 75.2669716206126 -830.622080797763</t>
  </si>
  <si>
    <t>-655.136674893095 54.1328361068629 -926.424827311153</t>
  </si>
  <si>
    <t>-666.516178270694 111.148583235454 -767.341723508969</t>
  </si>
  <si>
    <t>-572.740500622692 224.101949604425 -758.765984722962</t>
  </si>
  <si>
    <t>-451.36597052555 167.778724405309 -471.917517379551</t>
  </si>
  <si>
    <t>-243.315880390371 88.7811332000592 -337.319584785573</t>
  </si>
  <si>
    <t>-700.059581853815 57.5818620333253 -760.352489792159</t>
  </si>
  <si>
    <t>-568.255481770244 220.935655221162 -245.542930659604</t>
  </si>
  <si>
    <t>-584.761806248908 205.705087799974 209.597983425405</t>
  </si>
  <si>
    <t>-626.703076289602 174.177278262567 676.50682754199</t>
  </si>
  <si>
    <t>-498.027027935842 94.3583395868175 766.032942834366</t>
  </si>
  <si>
    <t>-647.581725257314 45.1291655478901 -211.876747090642</t>
  </si>
  <si>
    <t>-482.670045367157 -92.6303994753127 189.974076869024</t>
  </si>
  <si>
    <t>-509.831174590381 -19.2473230767334 653.199914233751</t>
  </si>
  <si>
    <t>-493.430509109005 -168.507349518792 744.829402488804</t>
  </si>
  <si>
    <t>9763-20170724T160531.291267400.bin</t>
  </si>
  <si>
    <t>-608.013852418253 133.378052617201 -228.945932012721</t>
  </si>
  <si>
    <t>-646.908032290023 129.043770841139 -343.559334724332</t>
  </si>
  <si>
    <t>-668.042541376074 119.800538159079 -462.548746940061</t>
  </si>
  <si>
    <t>-679.759642524783 109.157357310792 -570.919707610563</t>
  </si>
  <si>
    <t>-684.179043587893 96.1376528087553 -679.574278266717</t>
  </si>
  <si>
    <t>-682.746412718102 75.4420018695146 -830.470533354706</t>
  </si>
  <si>
    <t>-655.176732590222 54.1752742142758 -926.233860995809</t>
  </si>
  <si>
    <t>-666.545354322743 111.341071309873 -767.211492533747</t>
  </si>
  <si>
    <t>-572.653589003518 224.201837725207 -758.820821307964</t>
  </si>
  <si>
    <t>-453.55184605088 169.093935728296 -470.785954547249</t>
  </si>
  <si>
    <t>-258.618531733168 77.8155284554039 -324.801959370949</t>
  </si>
  <si>
    <t>-700.215266837439 57.8572908070983 -760.195671177279</t>
  </si>
  <si>
    <t>-568.000837883092 221.134730581908 -245.49584219978</t>
  </si>
  <si>
    <t>-584.627794712912 205.851469774353 209.638844049134</t>
  </si>
  <si>
    <t>-626.723397725232 174.153192201841 676.518892831831</t>
  </si>
  <si>
    <t>-498.112581801379 94.2446166952745 766.058772007809</t>
  </si>
  <si>
    <t>-647.895840940402 45.6522274846755 -211.702660427627</t>
  </si>
  <si>
    <t>-482.888861859554 -92.5054335911095 189.972379837023</t>
  </si>
  <si>
    <t>-509.799712874144 -19.1970705829199 653.255608887017</t>
  </si>
  <si>
    <t>-493.533915704592 -168.495654867781 744.846395478324</t>
  </si>
  <si>
    <t>9763-20170724T160531.323870800.bin</t>
  </si>
  <si>
    <t>-608.061075924106 133.633694912463 -228.931706800309</t>
  </si>
  <si>
    <t>-647.01454010635 129.348020505158 -343.526874859704</t>
  </si>
  <si>
    <t>-668.199417160205 120.120709119986 -462.508440166352</t>
  </si>
  <si>
    <t>-679.958278739426 109.478421481073 -570.87515326246</t>
  </si>
  <si>
    <t>-684.415713055192 96.4460853034866 -679.526620401521</t>
  </si>
  <si>
    <t>-683.032215065376 75.7187899549156 -830.418797799991</t>
  </si>
  <si>
    <t>-655.436552959394 54.3891467655167 -926.1607266118</t>
  </si>
  <si>
    <t>-666.779886289131 111.612209112313 -767.169841057316</t>
  </si>
  <si>
    <t>-572.814710413913 224.428343012897 -758.859452247681</t>
  </si>
  <si>
    <t>-454.772177004948 169.762788496212 -470.304760875879</t>
  </si>
  <si>
    <t>-268.434427621575 69.7341412118028 -318.929208646678</t>
  </si>
  <si>
    <t>-700.508807897041 58.1677967312228 -760.137524013544</t>
  </si>
  <si>
    <t>-567.953320134326 221.363059309351 -245.485482508774</t>
  </si>
  <si>
    <t>-584.562171045811 205.996575286664 209.647181664308</t>
  </si>
  <si>
    <t>-626.716538871364 174.176540610375 676.526750406277</t>
  </si>
  <si>
    <t>-498.302288223153 93.9657228054107 766.078500610671</t>
  </si>
  <si>
    <t>-648.071958542935 45.9569293388211 -211.650918263557</t>
  </si>
  <si>
    <t>-483.04839286502 -92.3949550107129 189.95039335405</t>
  </si>
  <si>
    <t>-509.796468051143 -19.1800476152744 653.264365704743</t>
  </si>
  <si>
    <t>-493.556676044136 -168.49152969569 744.838827575578</t>
  </si>
  <si>
    <t>9763-20170724T160531.390569000.bin</t>
  </si>
  <si>
    <t>-608.472868018151 134.083622165954 -228.912051386581</t>
  </si>
  <si>
    <t>-647.452165604209 129.83299291383 -343.499719241673</t>
  </si>
  <si>
    <t>-668.677428262084 120.626034813429 -462.475727359759</t>
  </si>
  <si>
    <t>-680.478767882146 109.996503924035 -570.838946146212</t>
  </si>
  <si>
    <t>-684.98453051551 96.9716498881057 -679.489395954288</t>
  </si>
  <si>
    <t>-683.674186896902 76.2495280531343 -830.382931070513</t>
  </si>
  <si>
    <t>-656.024759936794 54.8462585590455 -926.09292971542</t>
  </si>
  <si>
    <t>-667.380724772871 112.134225107457 -767.139597224907</t>
  </si>
  <si>
    <t>-573.504896801818 225.012344360813 -758.905306794336</t>
  </si>
  <si>
    <t>-456.994419228898 170.512689512364 -469.697312283646</t>
  </si>
  <si>
    <t>-284.073399417722 55.2309946818332 -313.330702663884</t>
  </si>
  <si>
    <t>-701.12730356033 58.7025260441944 -760.094877620917</t>
  </si>
  <si>
    <t>-568.25907314776 221.74752207373 -245.458770643831</t>
  </si>
  <si>
    <t>-584.762434833591 206.067549279559 209.667047394181</t>
  </si>
  <si>
    <t>-626.849739700274 174.022845494941 676.540303691554</t>
  </si>
  <si>
    <t>-498.275044363306 94.0442126711496 766.069502474065</t>
  </si>
  <si>
    <t>-648.591751608308 46.4503244692596 -211.693122917469</t>
  </si>
  <si>
    <t>-483.732666055057 -92.1044864030832 189.905755452898</t>
  </si>
  <si>
    <t>-509.948623199591 -19.2352481398482 653.230832348059</t>
  </si>
  <si>
    <t>-493.563369163132 -168.480302605596 744.88749183619</t>
  </si>
  <si>
    <t>9763-20170724T160531.429681000.bin</t>
  </si>
  <si>
    <t>-608.828536006041 134.364772635681 -228.9176054542</t>
  </si>
  <si>
    <t>-647.799040361368 130.092188102815 -343.507488212909</t>
  </si>
  <si>
    <t>-669.021736756929 120.91493269313 -462.486388190471</t>
  </si>
  <si>
    <t>-680.822547472058 110.333902814349 -570.854352728451</t>
  </si>
  <si>
    <t>-685.328812135578 97.3797079177878 -679.513229903566</t>
  </si>
  <si>
    <t>-684.019684918535 76.7790274830534 -830.423493639162</t>
  </si>
  <si>
    <t>-656.336538427575 55.399094702283 -926.128886808446</t>
  </si>
  <si>
    <t>-667.744422968357 112.624503341206 -767.153030496226</t>
  </si>
  <si>
    <t>-573.981160091861 225.597191476187 -758.858834984462</t>
  </si>
  <si>
    <t>-457.880596009465 170.900977273679 -469.523099582624</t>
  </si>
  <si>
    <t>-288.382307849713 51.7237672798062 -312.331620408378</t>
  </si>
  <si>
    <t>-701.453339381032 59.1639992207945 -760.147655141353</t>
  </si>
  <si>
    <t>-568.560729206548 222.034364513679 -245.4755145626</t>
  </si>
  <si>
    <t>-584.970087266317 206.264233037545 209.650624811375</t>
  </si>
  <si>
    <t>-626.839266610521 174.043244125501 676.522746759425</t>
  </si>
  <si>
    <t>-498.344879309492 93.9517838470351 766.066361341249</t>
  </si>
  <si>
    <t>-648.995170943713 46.7217751871519 -211.721085692936</t>
  </si>
  <si>
    <t>-484.283835660108 -91.9516332376454 189.897518966647</t>
  </si>
  <si>
    <t>-510.086302874367 -19.2593122480209 653.276107550871</t>
  </si>
  <si>
    <t>-493.551178660347 -168.479177416861 744.947033168668</t>
  </si>
  <si>
    <t>9763-20170724T160531.497366600.bin</t>
  </si>
  <si>
    <t>-609.49851914218 135.015000828525 -228.826862718224</t>
  </si>
  <si>
    <t>-648.480883842537 130.668145936052 -343.409997240871</t>
  </si>
  <si>
    <t>-669.699585528593 121.517344431626 -462.391515319057</t>
  </si>
  <si>
    <t>-681.487933484382 111.003330795861 -570.767416046707</t>
  </si>
  <si>
    <t>-685.971810649768 98.1597565531981 -679.440283570371</t>
  </si>
  <si>
    <t>-684.619441341788 77.7595303379796 -830.377356075075</t>
  </si>
  <si>
    <t>-656.889821989032 56.4800730935472 -926.091713197201</t>
  </si>
  <si>
    <t>-668.411430080328 113.551186615724 -767.059366135636</t>
  </si>
  <si>
    <t>-574.911849666879 226.712627048816 -758.534773983332</t>
  </si>
  <si>
    <t>-458.305395005119 171.32493583942 -469.53424500504</t>
  </si>
  <si>
    <t>-293.297983658398 48.4384602079347 -310.432039989745</t>
  </si>
  <si>
    <t>-702.02419388254 60.0208338989521 -760.125410874721</t>
  </si>
  <si>
    <t>-569.190875357595 222.780531124026 -245.436278731193</t>
  </si>
  <si>
    <t>-585.398182386285 206.832052909171 209.690758660484</t>
  </si>
  <si>
    <t>-626.793955474894 174.170382046145 676.532683316371</t>
  </si>
  <si>
    <t>-498.331280536578 94.026370329163 766.074787697078</t>
  </si>
  <si>
    <t>-649.641600557889 47.2721857025733 -211.545157292966</t>
  </si>
  <si>
    <t>-485.015001795182 -91.7690687339957 189.981045493618</t>
  </si>
  <si>
    <t>-510.191276726456 -19.1244586845901 653.531613056976</t>
  </si>
  <si>
    <t>-493.556748698419 -168.446351905938 745.018120069634</t>
  </si>
  <si>
    <t>9763-20170724T160531.524939900.bin</t>
  </si>
  <si>
    <t>-609.708941031092 135.39912241271 -228.766880372999</t>
  </si>
  <si>
    <t>-648.681684552191 131.045186041737 -343.35292728506</t>
  </si>
  <si>
    <t>-669.871320688552 121.925093930055 -462.34207536525</t>
  </si>
  <si>
    <t>-681.624298702281 111.456233419617 -570.726178989376</t>
  </si>
  <si>
    <t>-686.06284484481 98.6764921998608 -679.408420035357</t>
  </si>
  <si>
    <t>-684.636418474325 78.3854206075255 -830.359542025983</t>
  </si>
  <si>
    <t>-656.846730542407 57.2075396705982 -926.079088700704</t>
  </si>
  <si>
    <t>-668.482802510334 114.145581712005 -767.009803397535</t>
  </si>
  <si>
    <t>-575.003317095496 227.323653256694 -758.342696209291</t>
  </si>
  <si>
    <t>-458.136926388399 171.662052969778 -469.499855568858</t>
  </si>
  <si>
    <t>-295.369181603204 47.243203637938 -309.285350716489</t>
  </si>
  <si>
    <t>-702.052401274715 60.5815179529127 -760.126872106601</t>
  </si>
  <si>
    <t>-569.453287062912 223.154991605975 -245.410592778885</t>
  </si>
  <si>
    <t>-585.47297627633 207.141522203537 209.720944399377</t>
  </si>
  <si>
    <t>-626.726950706168 174.313184407434 676.55819535026</t>
  </si>
  <si>
    <t>-498.341647191059 94.0443140451828 766.099412527438</t>
  </si>
  <si>
    <t>-649.752526145166 47.6797587490837 -211.448049046505</t>
  </si>
  <si>
    <t>-484.988872242036 -91.7463530186922 189.888430776973</t>
  </si>
  <si>
    <t>-510.135509203875 -19.1097615953345 653.484113856975</t>
  </si>
  <si>
    <t>-493.667327269873 -168.455882755215 744.961000049271</t>
  </si>
  <si>
    <t>9763-20170724T160531.593628000.bin</t>
  </si>
  <si>
    <t>-609.986355771917 136.143003694751 -228.736676260738</t>
  </si>
  <si>
    <t>-649.079013837237 131.914614337846 -343.286593038951</t>
  </si>
  <si>
    <t>-670.29385425285 122.949258344825 -462.28291420974</t>
  </si>
  <si>
    <t>-682.027274023373 112.636205562533 -570.684089517109</t>
  </si>
  <si>
    <t>-686.401957799803 100.030664855821 -679.389186966583</t>
  </si>
  <si>
    <t>-684.839018855244 80.0032670539963 -830.374241599399</t>
  </si>
  <si>
    <t>-656.940714739472 59.0706466703787 -926.116033422199</t>
  </si>
  <si>
    <t>-668.795699478188 115.685281027041 -766.952396821634</t>
  </si>
  <si>
    <t>-575.435810995045 228.943479378504 -758.025264446923</t>
  </si>
  <si>
    <t>-457.5406849182 172.228306824292 -469.805999764671</t>
  </si>
  <si>
    <t>-302.934746344025 41.3109291669502 -306.71185417555</t>
  </si>
  <si>
    <t>-702.265458832201 62.0442397296256 -760.183726004172</t>
  </si>
  <si>
    <t>-569.879362564615 223.954471653833 -245.332993796534</t>
  </si>
  <si>
    <t>-585.310830151972 207.461569140309 209.801667233642</t>
  </si>
  <si>
    <t>-626.638044147731 174.561325178619 676.644775281759</t>
  </si>
  <si>
    <t>-498.323018329777 94.1238173191152 766.135404212176</t>
  </si>
  <si>
    <t>-649.983173043046 48.4085747591848 -211.350017896692</t>
  </si>
  <si>
    <t>-484.767128908605 -91.3399116514861 189.68828282397</t>
  </si>
  <si>
    <t>-510.051888811897 -19.1071621990982 653.300605833886</t>
  </si>
  <si>
    <t>-493.83703770768 -168.466034338913 744.802157047379</t>
  </si>
  <si>
    <t>9763-20170724T160531.627218300.bin</t>
  </si>
  <si>
    <t>-610.096966609114 136.532586799616 -228.705911841621</t>
  </si>
  <si>
    <t>-649.214396830855 132.338500873762 -343.24859175334</t>
  </si>
  <si>
    <t>-670.431046224584 123.461246707105 -462.251276814459</t>
  </si>
  <si>
    <t>-682.155482418144 113.249816917987 -570.663066465903</t>
  </si>
  <si>
    <t>-686.5097885025 100.767980603858 -679.38325870736</t>
  </si>
  <si>
    <t>-684.90605245078 80.9355216842516 -830.393558041192</t>
  </si>
  <si>
    <t>-656.978226095316 60.1276913165323 -926.153967401726</t>
  </si>
  <si>
    <t>-668.897895828698 116.546522198448 -766.922933059815</t>
  </si>
  <si>
    <t>-575.590803205954 229.83757744905 -757.810875332071</t>
  </si>
  <si>
    <t>-457.150153083286 171.814724901807 -470.076026575467</t>
  </si>
  <si>
    <t>-307.775861424272 37.329596164923 -305.020990361319</t>
  </si>
  <si>
    <t>-702.333541196036 62.8748649245913 -760.229237373028</t>
  </si>
  <si>
    <t>-570.030621005366 224.356853999281 -245.284260507164</t>
  </si>
  <si>
    <t>-585.224723104934 207.609324336257 209.849055481941</t>
  </si>
  <si>
    <t>-626.561621079372 174.736578621466 676.688852453656</t>
  </si>
  <si>
    <t>-498.450570194653 93.9438977932277 766.151742746269</t>
  </si>
  <si>
    <t>-650.027576584616 48.7717339935575 -211.380057540541</t>
  </si>
  <si>
    <t>-484.768984173896 -91.0673261546781 189.609056539212</t>
  </si>
  <si>
    <t>-510.079612776882 -19.097970463303 653.238900342528</t>
  </si>
  <si>
    <t>-493.806081816228 -168.452395079847 744.737231113718</t>
  </si>
  <si>
    <t>9763-20170724T160531.690733200.bin</t>
  </si>
  <si>
    <t>-610.484267714776 137.005847576459 -228.671126279478</t>
  </si>
  <si>
    <t>-649.594964067195 132.810308018073 -343.216144173186</t>
  </si>
  <si>
    <t>-670.780712208652 124.092114242798 -462.236010131608</t>
  </si>
  <si>
    <t>-682.465596780243 114.087423208488 -570.671334126107</t>
  </si>
  <si>
    <t>-686.767459530736 101.873981937327 -679.424225033379</t>
  </si>
  <si>
    <t>-685.076115413717 82.4776926405134 -830.490019429258</t>
  </si>
  <si>
    <t>-657.087193598662 61.8620860453768 -926.274239404036</t>
  </si>
  <si>
    <t>-669.112420135284 117.91001087644 -766.908403033034</t>
  </si>
  <si>
    <t>-575.746563070667 231.12469210465 -757.419971890316</t>
  </si>
  <si>
    <t>-456.603352950351 170.117937401247 -470.59375152371</t>
  </si>
  <si>
    <t>-315.462259924046 31.9005435958197 -301.427524074825</t>
  </si>
  <si>
    <t>-702.536620197862 64.209798359808 -760.387785241625</t>
  </si>
  <si>
    <t>-570.402721356678 224.844679692653 -245.201183742326</t>
  </si>
  <si>
    <t>-585.589487213613 207.968179557607 209.927571303331</t>
  </si>
  <si>
    <t>-626.671068105212 174.644667555082 676.725351300814</t>
  </si>
  <si>
    <t>-498.400136144337 94.0455130571131 766.133717195323</t>
  </si>
  <si>
    <t>-650.515998635195 49.1276411664246 -211.502107729913</t>
  </si>
  <si>
    <t>-485.16474314161 -90.7067446264718 189.45048217607</t>
  </si>
  <si>
    <t>-510.306930972868 -19.2261754509502 653.033055795267</t>
  </si>
  <si>
    <t>-493.730272363433 -168.436200279173 744.712293456304</t>
  </si>
  <si>
    <t>9763-20170724T160531.724826400.bin</t>
  </si>
  <si>
    <t>-610.726918248482 137.19741789112 -228.698846861406</t>
  </si>
  <si>
    <t>-649.78915350058 132.975201249982 -343.259324236388</t>
  </si>
  <si>
    <t>-670.938023283982 124.317145799701 -462.290255244042</t>
  </si>
  <si>
    <t>-682.594111719785 114.40036173993 -570.736673225415</t>
  </si>
  <si>
    <t>-686.871185641289 102.307617122444 -679.503884367072</t>
  </si>
  <si>
    <t>-685.14945461668 83.1119266994076 -830.595186603307</t>
  </si>
  <si>
    <t>-657.146643950467 62.5736810802466 -926.391921477254</t>
  </si>
  <si>
    <t>-669.182708010506 118.45005111466 -766.9618939797</t>
  </si>
  <si>
    <t>-575.732953197517 231.569372829643 -757.246565178223</t>
  </si>
  <si>
    <t>-456.447538353361 169.666401509925 -470.671622816235</t>
  </si>
  <si>
    <t>-317.277930346822 30.4512385286303 -300.692135477758</t>
  </si>
  <si>
    <t>-702.639928026828 64.7606781438496 -760.522126201821</t>
  </si>
  <si>
    <t>-570.492834604888 225.061292910118 -245.21737380187</t>
  </si>
  <si>
    <t>-585.87153845938 208.261250925942 209.907913202216</t>
  </si>
  <si>
    <t>-626.712378455125 174.617853704572 676.712787633006</t>
  </si>
  <si>
    <t>-498.495709987973 93.9258478453266 766.11525929841</t>
  </si>
  <si>
    <t>-650.911054557431 49.2972780647706 -211.570396287126</t>
  </si>
  <si>
    <t>-485.57443573079 -90.6795861566561 189.338532621058</t>
  </si>
  <si>
    <t>-510.518386761473 -19.41642126034 652.873500739471</t>
  </si>
  <si>
    <t>-493.75408688739 -168.460289685958 744.788641266082</t>
  </si>
  <si>
    <t>9763-20170724T160531.792008400.bin</t>
  </si>
  <si>
    <t>-610.880173943701 137.550049526634 -228.795507739736</t>
  </si>
  <si>
    <t>-649.917569755151 133.378963241489 -343.36634849936</t>
  </si>
  <si>
    <t>-670.940116298517 124.836443164366 -462.427972809991</t>
  </si>
  <si>
    <t>-682.439554946778 115.04818666859 -570.902795512351</t>
  </si>
  <si>
    <t>-686.517299782697 103.106947891024 -679.694476769076</t>
  </si>
  <si>
    <t>-684.473629508015 84.1454095297638 -830.81141939136</t>
  </si>
  <si>
    <t>-656.330561970131 63.724077583141 -926.591961801569</t>
  </si>
  <si>
    <t>-668.591082670639 119.353353237462 -767.084769273381</t>
  </si>
  <si>
    <t>-574.876193331497 232.231282264971 -756.958373510251</t>
  </si>
  <si>
    <t>-456.64712314178 169.714172079164 -470.079101088789</t>
  </si>
  <si>
    <t>-318.015538673496 27.4084161316723 -302.232728209221</t>
  </si>
  <si>
    <t>-702.164605415436 65.7173601537281 -760.808773630338</t>
  </si>
  <si>
    <t>-570.288801205491 225.384810452574 -245.283228373621</t>
  </si>
  <si>
    <t>-585.981404498753 208.598942388795 209.831726969472</t>
  </si>
  <si>
    <t>-626.759323696991 174.593319938177 676.660862504457</t>
  </si>
  <si>
    <t>-498.687409163859 93.6862368263701 766.076392771948</t>
  </si>
  <si>
    <t>-651.346715470202 49.6732987504081 -211.644198096847</t>
  </si>
  <si>
    <t>-486.207735875003 -90.7582513060654 189.187191033999</t>
  </si>
  <si>
    <t>-510.72009874546 -19.5734089549155 652.898157397791</t>
  </si>
  <si>
    <t>-493.914431786618 -168.48226920439 745.024381989445</t>
  </si>
  <si>
    <t>9763-20170724T160531.825101900.bin</t>
  </si>
  <si>
    <t>-610.784736669607 137.656102110316 -228.834114992196</t>
  </si>
  <si>
    <t>-649.857101529993 133.610474067833 -343.397694062715</t>
  </si>
  <si>
    <t>-670.830099063206 125.148064906993 -462.473513002445</t>
  </si>
  <si>
    <t>-682.24986407842 115.413674891884 -570.961720466734</t>
  </si>
  <si>
    <t>-686.212837725963 103.508397358295 -679.761588897848</t>
  </si>
  <si>
    <t>-683.973741584403 84.5782131541478 -830.879650007031</t>
  </si>
  <si>
    <t>-655.722354483943 64.1819436286587 -926.633677367021</t>
  </si>
  <si>
    <t>-668.138927027325 119.751593473335 -767.12214220743</t>
  </si>
  <si>
    <t>-574.30102202125 232.507550532694 -756.824791877679</t>
  </si>
  <si>
    <t>-457.244720970048 170.764448716194 -469.297745532592</t>
  </si>
  <si>
    <t>-315.419496367244 30.1600666359282 -302.690202423061</t>
  </si>
  <si>
    <t>-701.789911671484 66.1570002080164 -760.907129449061</t>
  </si>
  <si>
    <t>-570.034158690851 225.454800430794 -245.291879925479</t>
  </si>
  <si>
    <t>-585.835523971956 208.559746285963 209.815307199151</t>
  </si>
  <si>
    <t>-626.785020387126 174.568773209165 676.639947043969</t>
  </si>
  <si>
    <t>-498.717927816723 93.6641410976183 766.064642646872</t>
  </si>
  <si>
    <t>-651.394998679192 49.8632177858217 -211.663702851527</t>
  </si>
  <si>
    <t>-486.419094560481 -90.7845501567228 189.158991729687</t>
  </si>
  <si>
    <t>-510.770112693122 -19.607961841612 652.893646741418</t>
  </si>
  <si>
    <t>-494.030562802392 -168.464170851272 745.116915412673</t>
  </si>
  <si>
    <t>9763-20170724T160531.895293600.bin</t>
  </si>
  <si>
    <t>-610.643182209421 137.70816808017 -228.95597676802</t>
  </si>
  <si>
    <t>-649.640368461975 133.801889417274 -343.549837551266</t>
  </si>
  <si>
    <t>-670.403810853998 125.454905972925 -462.670740474878</t>
  </si>
  <si>
    <t>-681.578413711952 115.817599764062 -571.193098962696</t>
  </si>
  <si>
    <t>-685.240311557132 104.004009805481 -680.013545618754</t>
  </si>
  <si>
    <t>-682.524591358292 85.1975172221182 -831.13918480448</t>
  </si>
  <si>
    <t>-654.019787748935 64.8337182756832 -926.824908264482</t>
  </si>
  <si>
    <t>-666.86693002504 120.303706878909 -767.300904407954</t>
  </si>
  <si>
    <t>-573.094526502304 233.086789679463 -756.565252031159</t>
  </si>
  <si>
    <t>-457.443032668108 172.610525465149 -468.20179731918</t>
  </si>
  <si>
    <t>-308.331132220421 40.0917308798053 -301.32917453145</t>
  </si>
  <si>
    <t>-700.585502980493 66.7338983029695 -761.240526878851</t>
  </si>
  <si>
    <t>-569.513390325439 225.443929545788 -245.342433850109</t>
  </si>
  <si>
    <t>-585.630707304334 208.44686078149 209.749876692434</t>
  </si>
  <si>
    <t>-626.804131704445 174.552652216623 676.567012425376</t>
  </si>
  <si>
    <t>-498.789133969779 93.5947305228883 766.018073278176</t>
  </si>
  <si>
    <t>-651.620751746974 49.9832403952933 -211.88948361512</t>
  </si>
  <si>
    <t>-487.199312520276 -90.8980635363184 189.079001457469</t>
  </si>
  <si>
    <t>-511.044508217727 -19.8896394032902 652.797628142422</t>
  </si>
  <si>
    <t>-494.38303407147 -168.531426913125 745.380126883703</t>
  </si>
  <si>
    <t>9763-20170724T160531.928383200.bin</t>
  </si>
  <si>
    <t>-610.493868299256 137.655334928143 -229.02178914934</t>
  </si>
  <si>
    <t>-649.48355398407 133.811949349181 -343.620440818336</t>
  </si>
  <si>
    <t>-670.204080721936 125.519252945093 -462.752599087661</t>
  </si>
  <si>
    <t>-681.324910208197 115.928528898505 -571.284449325142</t>
  </si>
  <si>
    <t>-684.918045586768 104.159476384771 -680.111929223113</t>
  </si>
  <si>
    <t>-682.090846647278 85.4136529313137 -831.243067000816</t>
  </si>
  <si>
    <t>-653.45424991099 65.0422144643806 -926.888002112982</t>
  </si>
  <si>
    <t>-666.486801173528 120.498313693798 -767.379906232215</t>
  </si>
  <si>
    <t>-572.897429224062 233.406100056433 -756.556353205659</t>
  </si>
  <si>
    <t>-457.010780011651 174.146577218586 -468.034473624336</t>
  </si>
  <si>
    <t>-305.179829002638 41.4750602800461 -303.755280867082</t>
  </si>
  <si>
    <t>-700.196670519136 66.9180228520027 -761.364539600067</t>
  </si>
  <si>
    <t>-569.280833145242 225.371123430206 -245.362344725149</t>
  </si>
  <si>
    <t>-585.560578314492 208.382280744791 209.724505430506</t>
  </si>
  <si>
    <t>-626.827589536613 174.536790279014 676.546982712378</t>
  </si>
  <si>
    <t>-498.919909431547 93.4225608308964 766.009929575694</t>
  </si>
  <si>
    <t>-651.564617171626 49.9565911222255 -212.00161283993</t>
  </si>
  <si>
    <t>-487.496876444423 -91.0321107049178 189.073977748323</t>
  </si>
  <si>
    <t>-511.140779348849 -19.9892747218059 652.779599086305</t>
  </si>
  <si>
    <t>-494.481521685079 -168.500983655292 745.571071900425</t>
  </si>
  <si>
    <t>9763-20170724T160531.991566200.bin</t>
  </si>
  <si>
    <t>-610.575600826629 137.256244821326 -229.320508135273</t>
  </si>
  <si>
    <t>-649.470490664117 133.45460097783 -343.952692510975</t>
  </si>
  <si>
    <t>-670.066932387829 125.203707832836 -463.109145207669</t>
  </si>
  <si>
    <t>-681.064287804443 115.651277616049 -571.657118895202</t>
  </si>
  <si>
    <t>-684.522710208998 103.921713608689 -680.493324528919</t>
  </si>
  <si>
    <t>-681.496685976959 85.2326387648695 -831.62754132408</t>
  </si>
  <si>
    <t>-652.627985876152 64.8351245191704 -927.196989128895</t>
  </si>
  <si>
    <t>-665.998812429781 120.306924316841 -767.732926602664</t>
  </si>
  <si>
    <t>-572.666658894301 233.414089103649 -756.766088654333</t>
  </si>
  <si>
    <t>-455.934809544015 175.989860418315 -468.213958967878</t>
  </si>
  <si>
    <t>-292.448009777657 52.9579270610734 -307.661104228613</t>
  </si>
  <si>
    <t>-699.672380697385 66.6970533573208 -761.77773070979</t>
  </si>
  <si>
    <t>-569.047208087488 225.05634571676 -245.525324686699</t>
  </si>
  <si>
    <t>-585.652893873147 208.118192616421 209.551639487313</t>
  </si>
  <si>
    <t>-626.885437236404 174.467682042826 676.414321692878</t>
  </si>
  <si>
    <t>-498.987737807011 93.3799247972599 765.915529716464</t>
  </si>
  <si>
    <t>-652.049878880584 49.4394433355158 -212.536203376066</t>
  </si>
  <si>
    <t>-488.570215507327 -91.6546757439216 188.74242131679</t>
  </si>
  <si>
    <t>-511.997543998974 -20.9447253859646 652.174518595691</t>
  </si>
  <si>
    <t>-494.912130606832 -168.640269981421 746.183189344938</t>
  </si>
  <si>
    <t>9763-20170724T160532.026170700.bin</t>
  </si>
  <si>
    <t>-610.789523969587 136.9334579638 -229.537725027159</t>
  </si>
  <si>
    <t>-649.648628947659 133.118953797175 -344.181658898254</t>
  </si>
  <si>
    <t>-670.233887388638 124.876569845217 -463.340664993284</t>
  </si>
  <si>
    <t>-681.230966546357 115.34134043475 -571.890167874047</t>
  </si>
  <si>
    <t>-684.699083444028 103.638371131555 -680.728883254406</t>
  </si>
  <si>
    <t>-681.696815216893 84.9960358806277 -831.869397849238</t>
  </si>
  <si>
    <t>-652.721400556848 64.5964406558157 -927.406113738603</t>
  </si>
  <si>
    <t>-666.208420589112 120.062676186274 -767.968156215608</t>
  </si>
  <si>
    <t>-573.073759724776 233.306484125216 -756.898297681256</t>
  </si>
  <si>
    <t>-454.517526117729 176.692332564912 -468.930512842954</t>
  </si>
  <si>
    <t>-286.299770350831 57.0666572793655 -310.707357568188</t>
  </si>
  <si>
    <t>-699.841979826847 66.426765911682 -762.020564805178</t>
  </si>
  <si>
    <t>-569.077595307036 224.779037436472 -245.659589862875</t>
  </si>
  <si>
    <t>-585.879745784304 207.936078611765 209.413668143917</t>
  </si>
  <si>
    <t>-626.984468521973 174.316260535928 676.319831536582</t>
  </si>
  <si>
    <t>-498.955766455977 93.4691851193456 765.851470344686</t>
  </si>
  <si>
    <t>-652.485788097166 49.0873620020566 -212.807138591435</t>
  </si>
  <si>
    <t>-489.307425984829 -91.8508699412801 188.64883475385</t>
  </si>
  <si>
    <t>-512.38232990332 -21.3049714103151 652.22146950853</t>
  </si>
  <si>
    <t>-494.874453111852 -168.689484830109 746.63947050764</t>
  </si>
  <si>
    <t>9763-20170724T160532.090847100.bin</t>
  </si>
  <si>
    <t>-610.814665489906 136.765610544622 -229.645155660551</t>
  </si>
  <si>
    <t>-649.506549885663 132.866919837737 -344.342849548102</t>
  </si>
  <si>
    <t>-670.011579978612 124.601575867589 -463.514117370803</t>
  </si>
  <si>
    <t>-680.973789882779 115.06774517572 -572.06719425754</t>
  </si>
  <si>
    <t>-684.445602819062 103.386372980947 -680.908140439596</t>
  </si>
  <si>
    <t>-681.489110225997 84.793222316554 -832.055587094114</t>
  </si>
  <si>
    <t>-652.320339101649 64.3829169971161 -927.53123169967</t>
  </si>
  <si>
    <t>-665.998293749934 119.849512244442 -768.149290163953</t>
  </si>
  <si>
    <t>-572.953022569966 233.169069308658 -757.012301691058</t>
  </si>
  <si>
    <t>-451.163265253221 178.084770406797 -470.099114021636</t>
  </si>
  <si>
    <t>-270.85058147021 70.8029662892802 -316.411123528807</t>
  </si>
  <si>
    <t>-699.596206152021 66.1907584186743 -762.205807753286</t>
  </si>
  <si>
    <t>-569.0062793206 224.601687418148 -245.732649365432</t>
  </si>
  <si>
    <t>-586.152531378599 207.764576472479 209.327870140337</t>
  </si>
  <si>
    <t>-627.217761286037 174.018796315545 676.231459863673</t>
  </si>
  <si>
    <t>-498.933843034541 93.6167959595853 765.79855476895</t>
  </si>
  <si>
    <t>-652.377523624125 48.9927217956376 -212.855223356378</t>
  </si>
  <si>
    <t>-489.983942907308 -91.8484718442064 188.952821148881</t>
  </si>
  <si>
    <t>-512.306595914714 -21.2735416625408 652.957664278764</t>
  </si>
  <si>
    <t>-494.564180156209 -168.618379764203 747.393995921908</t>
  </si>
  <si>
    <t>9763-20170724T160532.123938500.bin</t>
  </si>
  <si>
    <t>-610.599760774913 136.767854084345 -229.547094121813</t>
  </si>
  <si>
    <t>-649.249964143981 132.900717841528 -344.259782692938</t>
  </si>
  <si>
    <t>-669.731270951497 124.652045963506 -463.436318446829</t>
  </si>
  <si>
    <t>-680.680320584377 115.126210088767 -571.991516531095</t>
  </si>
  <si>
    <t>-684.147603622253 103.445342185295 -680.832633309893</t>
  </si>
  <si>
    <t>-681.194412147231 84.8443318903689 -831.979161838449</t>
  </si>
  <si>
    <t>-651.971922509552 64.4278266865515 -927.436983163723</t>
  </si>
  <si>
    <t>-665.703121473123 119.904407164285 -768.075050966291</t>
  </si>
  <si>
    <t>-572.59621562862 233.173086684293 -756.908551019672</t>
  </si>
  <si>
    <t>-449.403621867518 178.771221443585 -470.464483830752</t>
  </si>
  <si>
    <t>-265.74252173713 74.3170982635691 -318.806849828692</t>
  </si>
  <si>
    <t>-699.299155603658 66.2449211384303 -762.127828696542</t>
  </si>
  <si>
    <t>-568.846084070354 224.583668129097 -245.653624275432</t>
  </si>
  <si>
    <t>-586.074666367354 207.691698837128 209.401947679291</t>
  </si>
  <si>
    <t>-627.33367373651 173.877611441671 676.237032412987</t>
  </si>
  <si>
    <t>-498.944572705213 93.6577853960534 765.816766900569</t>
  </si>
  <si>
    <t>-652.090366626159 49.0350447282917 -212.712769903591</t>
  </si>
  <si>
    <t>-489.946572586676 -91.8280552366921 189.188537095798</t>
  </si>
  <si>
    <t>-512.219564306659 -21.1824893961439 653.244749360015</t>
  </si>
  <si>
    <t>-494.431582376204 -168.585548854481 747.581523383455</t>
  </si>
  <si>
    <t>9763-20170724T160532.193993000.bin</t>
  </si>
  <si>
    <t>-610.049312843713 136.723569760377 -229.327665795283</t>
  </si>
  <si>
    <t>-648.668669971586 132.90515774483 -344.052457259706</t>
  </si>
  <si>
    <t>-669.115806675138 124.701642726212 -463.238009344026</t>
  </si>
  <si>
    <t>-680.033867403323 115.211034815727 -571.79942659032</t>
  </si>
  <si>
    <t>-683.471014880237 103.557321999065 -680.644336375591</t>
  </si>
  <si>
    <t>-680.477663728713 84.9835948351476 -831.793422948839</t>
  </si>
  <si>
    <t>-651.212492298729 64.5378688519029 -927.231984627971</t>
  </si>
  <si>
    <t>-664.971065218279 120.012174022522 -767.875882516303</t>
  </si>
  <si>
    <t>-571.492459381064 232.936843230295 -756.432589429044</t>
  </si>
  <si>
    <t>-447.154708986275 179.344164641899 -470.330895903306</t>
  </si>
  <si>
    <t>-254.407422267945 82.721598811087 -324.884624786585</t>
  </si>
  <si>
    <t>-698.63326636801 66.3915257608487 -761.953443090417</t>
  </si>
  <si>
    <t>-568.314645247265 224.442234701624 -245.472640603067</t>
  </si>
  <si>
    <t>-585.73883135993 207.487581489165 209.573030403331</t>
  </si>
  <si>
    <t>-627.421580276979 173.795522254361 676.263863946174</t>
  </si>
  <si>
    <t>-499.002949351854 93.6887077573845 765.902378796333</t>
  </si>
  <si>
    <t>-651.62502690229 49.020074552473 -212.4326807144</t>
  </si>
  <si>
    <t>-489.714040209566 -91.709405974058 189.609242473034</t>
  </si>
  <si>
    <t>-512.105210887086 -21.0418049713187 653.591613966551</t>
  </si>
  <si>
    <t>-494.206620497074 -168.521252112515 747.788071139875</t>
  </si>
  <si>
    <t>9763-20170724T160532.226081100.bin</t>
  </si>
  <si>
    <t>-609.765962843554 136.679692521737 -229.25170188211</t>
  </si>
  <si>
    <t>-648.384745108782 132.889394740956 -343.977688488789</t>
  </si>
  <si>
    <t>-668.835137761879 124.719716063116 -463.164930271159</t>
  </si>
  <si>
    <t>-679.758050842268 115.26043088234 -571.72853097624</t>
  </si>
  <si>
    <t>-683.202041237167 103.638063340039 -680.576532664633</t>
  </si>
  <si>
    <t>-680.220777685148 85.1067746596154 -831.731242311716</t>
  </si>
  <si>
    <t>-650.936354146222 64.6402677556005 -927.159339638305</t>
  </si>
  <si>
    <t>-664.684869272152 120.102370400366 -767.802802355663</t>
  </si>
  <si>
    <t>-571.052764226758 232.909866752593 -756.265367166582</t>
  </si>
  <si>
    <t>-447.042526634035 178.659637424772 -470.145585216801</t>
  </si>
  <si>
    <t>-252.35355162062 83.3066082236232 -326.458351279397</t>
  </si>
  <si>
    <t>-698.395039787608 66.5100770644826 -761.897217416739</t>
  </si>
  <si>
    <t>-568.037969497678 224.373701941588 -245.405249528604</t>
  </si>
  <si>
    <t>-585.582637798033 207.396360533515 209.63492207562</t>
  </si>
  <si>
    <t>-627.513020057835 173.697612328719 676.282049208065</t>
  </si>
  <si>
    <t>-499.08138753581 93.6333547303464 765.939960002439</t>
  </si>
  <si>
    <t>-651.349911582104 49.0210474902583 -212.390940499819</t>
  </si>
  <si>
    <t>-489.640938891582 -91.7159547733145 189.729640067164</t>
  </si>
  <si>
    <t>-512.058871150552 -21.0271007039796 653.697246833427</t>
  </si>
  <si>
    <t>-494.213192087092 -168.527918031044 747.870160692853</t>
  </si>
  <si>
    <t>9763-20170724T160532.292287900.bin</t>
  </si>
  <si>
    <t>-609.143986068225 136.502854595923 -229.041555879868</t>
  </si>
  <si>
    <t>-647.751978801572 132.749775797851 -343.772310260042</t>
  </si>
  <si>
    <t>-668.186069628057 124.635858364124 -462.966125807665</t>
  </si>
  <si>
    <t>-679.092471679641 115.232159446783 -571.536303316379</t>
  </si>
  <si>
    <t>-682.518136962245 103.669724461213 -680.391417843061</t>
  </si>
  <si>
    <t>-679.509564683241 85.2254196325766 -831.556047337375</t>
  </si>
  <si>
    <t>-650.14328642305 64.7104043542267 -926.948677602061</t>
  </si>
  <si>
    <t>-663.930047969651 120.150262092494 -767.599424434359</t>
  </si>
  <si>
    <t>-570.042023136207 232.719052119185 -755.913721913053</t>
  </si>
  <si>
    <t>-447.041756442853 177.242299235753 -469.593208025576</t>
  </si>
  <si>
    <t>-243.614837959331 89.9235933913433 -333.083169211172</t>
  </si>
  <si>
    <t>-697.751422607928 66.622712856175 -761.741384206902</t>
  </si>
  <si>
    <t>-567.380324624452 224.043207591744 -245.251184631525</t>
  </si>
  <si>
    <t>-585.163443340796 207.151761611343 209.783004008484</t>
  </si>
  <si>
    <t>-627.611220399905 173.64095441574 676.349573195896</t>
  </si>
  <si>
    <t>-499.250216421504 93.4975571732705 766.037906577723</t>
  </si>
  <si>
    <t>-650.770271930975 48.9524803439915 -212.139744671695</t>
  </si>
  <si>
    <t>-489.249598617207 -91.8501119535799 190.0335517721</t>
  </si>
  <si>
    <t>-511.67312478242 -20.7368731129379 654.102499414973</t>
  </si>
  <si>
    <t>-494.111947118612 -168.495477633078 747.92402359613</t>
  </si>
  <si>
    <t>9763-20170724T160532.326375000.bin</t>
  </si>
  <si>
    <t>-608.52409269484 136.414180579543 -228.888409784872</t>
  </si>
  <si>
    <t>-647.146195826225 132.706027734085 -343.615858057294</t>
  </si>
  <si>
    <t>-667.573813803054 124.622196062518 -462.812833503016</t>
  </si>
  <si>
    <t>-678.465815773611 115.239719783535 -571.386353719695</t>
  </si>
  <si>
    <t>-681.868759203285 103.692413942066 -680.243608989294</t>
  </si>
  <si>
    <t>-678.819743436992 85.2632882239639 -831.409411329079</t>
  </si>
  <si>
    <t>-649.389935703736 64.7287878446496 -926.778127753341</t>
  </si>
  <si>
    <t>-663.234671651754 120.167623413109 -767.442829594758</t>
  </si>
  <si>
    <t>-569.247350505976 232.648460773949 -755.695526317261</t>
  </si>
  <si>
    <t>-446.47504060973 177.096472297464 -469.291779510944</t>
  </si>
  <si>
    <t>-241.399813358126 91.1853913315283 -334.364065695873</t>
  </si>
  <si>
    <t>-697.102901162116 66.6677102644685 -761.603620147551</t>
  </si>
  <si>
    <t>-566.880833077931 223.870597676878 -245.136989366618</t>
  </si>
  <si>
    <t>-584.811567528407 207.055853401484 209.894192545506</t>
  </si>
  <si>
    <t>-627.653981910938 173.617908400973 676.408428959406</t>
  </si>
  <si>
    <t>-499.332447219301 93.4220308127137 766.106342119627</t>
  </si>
  <si>
    <t>-649.933871355957 48.9962657678193 -211.893665698184</t>
  </si>
  <si>
    <t>-488.597880606252 -91.9515053667901 190.302945894179</t>
  </si>
  <si>
    <t>-511.187625550558 -20.3402728318051 654.465167970939</t>
  </si>
  <si>
    <t>-494.088829144378 -168.453106457346 747.81253910543</t>
  </si>
  <si>
    <t>9763-20170724T160532.397185900.bin</t>
  </si>
  <si>
    <t>-607.300906759499 136.447931610033 -228.556145625493</t>
  </si>
  <si>
    <t>-645.950985483898 132.876471971108 -343.278500293394</t>
  </si>
  <si>
    <t>-666.385868753469 124.860625120184 -462.478836429778</t>
  </si>
  <si>
    <t>-677.276557243449 115.510966470979 -571.055280773169</t>
  </si>
  <si>
    <t>-680.670751943268 103.967765350153 -679.913430674996</t>
  </si>
  <si>
    <t>-677.602480384496 85.5143026135797 -831.075646304818</t>
  </si>
  <si>
    <t>-648.046710721187 64.8828436375725 -926.384573511457</t>
  </si>
  <si>
    <t>-661.979821853513 120.400316596752 -767.108464509593</t>
  </si>
  <si>
    <t>-567.762111134241 232.696376982326 -755.347351076666</t>
  </si>
  <si>
    <t>-445.272971019166 177.225322190258 -468.806662082269</t>
  </si>
  <si>
    <t>-234.072157199994 96.2711905138124 -340.421781836149</t>
  </si>
  <si>
    <t>-695.940419860852 66.9584002261872 -761.273796727721</t>
  </si>
  <si>
    <t>-566.012242639389 223.620320359484 -244.893897872232</t>
  </si>
  <si>
    <t>-583.926451510894 206.753812026832 210.136137552654</t>
  </si>
  <si>
    <t>-627.658766549683 173.632556652221 676.544714904949</t>
  </si>
  <si>
    <t>-499.449307935845 93.306599367432 766.28646579704</t>
  </si>
  <si>
    <t>-648.43463586671 49.3402754299168 -211.426200496335</t>
  </si>
  <si>
    <t>-487.187665155218 -91.6757709165377 190.782152751415</t>
  </si>
  <si>
    <t>-510.195000764241 -19.4330286820841 654.884001893756</t>
  </si>
  <si>
    <t>-493.922749209544 -168.313846575663 747.151278283628</t>
  </si>
  <si>
    <t>9763-20170724T160532.428274100.bin</t>
  </si>
  <si>
    <t>-606.856933518093 136.35618497505 -228.449376424569</t>
  </si>
  <si>
    <t>-645.530757924272 132.845814495063 -343.165611626311</t>
  </si>
  <si>
    <t>-665.96361937665 124.865227020869 -462.368711886557</t>
  </si>
  <si>
    <t>-676.841900848761 115.536887602885 -570.948065109915</t>
  </si>
  <si>
    <t>-680.213052748555 104.004737557978 -679.808145233545</t>
  </si>
  <si>
    <t>-677.101896972168 85.5560439731553 -830.970265233515</t>
  </si>
  <si>
    <t>-647.472866595038 64.8772441841634 -926.246019389416</t>
  </si>
  <si>
    <t>-661.481205508395 120.42991798007 -766.995876195583</t>
  </si>
  <si>
    <t>-567.142600626596 232.603022559282 -755.186502112485</t>
  </si>
  <si>
    <t>-444.709748035643 177.3941298242 -468.571072855663</t>
  </si>
  <si>
    <t>-230.891251247277 98.2804854662111 -343.412308443806</t>
  </si>
  <si>
    <t>-695.47576169253 67.008126915073 -761.175541416501</t>
  </si>
  <si>
    <t>-565.693844195388 223.369889250635 -244.786381079823</t>
  </si>
  <si>
    <t>-583.652379824984 206.522215400054 210.242605270321</t>
  </si>
  <si>
    <t>-627.740903084183 173.538726163497 676.617693747816</t>
  </si>
  <si>
    <t>-499.413286260412 93.400399250881 766.358334523222</t>
  </si>
  <si>
    <t>-647.950952371225 49.3821054715809 -211.333121177243</t>
  </si>
  <si>
    <t>-486.714421179547 -91.5438530678093 190.910968317463</t>
  </si>
  <si>
    <t>-509.925295732614 -19.140412141028 654.876338268092</t>
  </si>
  <si>
    <t>-493.872134257841 -168.278232365706 746.766213222845</t>
  </si>
  <si>
    <t>9763-20170724T160532.492446200.bin</t>
  </si>
  <si>
    <t>-606.505100042733 136.10449582813 -228.417344458758</t>
  </si>
  <si>
    <t>-645.152399268503 132.627633565453 -343.143449572628</t>
  </si>
  <si>
    <t>-665.574161703888 124.672447780005 -462.350123575636</t>
  </si>
  <si>
    <t>-676.449117381223 115.363668064917 -570.931536679914</t>
  </si>
  <si>
    <t>-679.824004789815 103.847456605279 -679.793097183226</t>
  </si>
  <si>
    <t>-676.725244338944 85.4174206901871 -830.957805339016</t>
  </si>
  <si>
    <t>-646.981446107125 64.6458670682257 -926.177758116677</t>
  </si>
  <si>
    <t>-661.072038918658 120.266341119315 -766.977712008324</t>
  </si>
  <si>
    <t>-566.546748164265 232.28692106839 -755.159897063006</t>
  </si>
  <si>
    <t>-444.214733620743 177.1769184677 -468.48251218406</t>
  </si>
  <si>
    <t>-225.022915006853 101.346478435776 -350.810240267323</t>
  </si>
  <si>
    <t>-695.120664556831 66.8779357782043 -761.166566145025</t>
  </si>
  <si>
    <t>-565.345507968068 222.958206479216 -244.731321943941</t>
  </si>
  <si>
    <t>-583.402522106549 206.220049564669 210.297637761844</t>
  </si>
  <si>
    <t>-627.81664949135 173.482435265141 676.688647066175</t>
  </si>
  <si>
    <t>-499.408364601278 93.4746618228053 766.430384735574</t>
  </si>
  <si>
    <t>-647.64634737321 49.202969631946 -211.485764758242</t>
  </si>
  <si>
    <t>-486.52657843823 -91.5208805695011 190.875864331728</t>
  </si>
  <si>
    <t>-509.674431534016 -18.8603444788694 654.655730669639</t>
  </si>
  <si>
    <t>-493.820800344575 -168.266131729195 746.143829432317</t>
  </si>
  <si>
    <t>9763-20170724T160532.524032300.bin</t>
  </si>
  <si>
    <t>-606.520323409516 136.001897184731 -228.498429585288</t>
  </si>
  <si>
    <t>-645.148864723842 132.526850021604 -343.230915881552</t>
  </si>
  <si>
    <t>-665.524707163535 124.56077461256 -462.444671117763</t>
  </si>
  <si>
    <t>-676.346984390054 115.237683006603 -571.030263538348</t>
  </si>
  <si>
    <t>-679.658052618205 103.703171602097 -679.891774582599</t>
  </si>
  <si>
    <t>-676.459322050731 85.2437210157336 -831.050705183908</t>
  </si>
  <si>
    <t>-646.604100282446 64.4364336145713 -926.227983282284</t>
  </si>
  <si>
    <t>-660.845238659255 120.103094349821 -767.066689844375</t>
  </si>
  <si>
    <t>-566.216762316285 232.026946482328 -755.230936677931</t>
  </si>
  <si>
    <t>-443.989867778618 177.033225486184 -468.486372966623</t>
  </si>
  <si>
    <t>-222.798656779307 102.172093978846 -353.977307172279</t>
  </si>
  <si>
    <t>-694.904074932491 66.7198262931352 -761.268385992631</t>
  </si>
  <si>
    <t>-565.262917623571 222.823269246987 -244.767079362806</t>
  </si>
  <si>
    <t>-583.406717595922 206.169399464814 210.261572318105</t>
  </si>
  <si>
    <t>-627.861767797606 173.45983826522 676.683505475291</t>
  </si>
  <si>
    <t>-499.456005879587 93.4462893036271 766.423708306271</t>
  </si>
  <si>
    <t>-647.755634502973 49.1714260289314 -211.624494445543</t>
  </si>
  <si>
    <t>-486.776444141979 -91.7223440706018 190.733976811929</t>
  </si>
  <si>
    <t>-509.720207001209 -18.9294454245974 654.387668003095</t>
  </si>
  <si>
    <t>-493.807780463308 -168.282710811743 745.951401164464</t>
  </si>
  <si>
    <t>9763-20170724T160532.589336300.bin</t>
  </si>
  <si>
    <t>-607.121998300087 135.68908497134 -228.91304238168</t>
  </si>
  <si>
    <t>-645.784352163423 132.217414597864 -343.634410763525</t>
  </si>
  <si>
    <t>-666.104388175731 124.179455519364 -462.852881878556</t>
  </si>
  <si>
    <t>-676.83887073922 114.76465809258 -571.439058958559</t>
  </si>
  <si>
    <t>-680.024299656591 103.114624541238 -680.292121146247</t>
  </si>
  <si>
    <t>-676.611823501956 84.4719601088511 -831.423991328893</t>
  </si>
  <si>
    <t>-646.549810130697 63.5900210426901 -926.519679841437</t>
  </si>
  <si>
    <t>-661.122699938191 119.430503270836 -767.463688580909</t>
  </si>
  <si>
    <t>-566.459320358845 231.330950389549 -755.606591043425</t>
  </si>
  <si>
    <t>-444.065484860988 176.00274866366 -468.997515597812</t>
  </si>
  <si>
    <t>-220.298865498557 102.652828469885 -358.587686796682</t>
  </si>
  <si>
    <t>-695.120735662598 66.0110650330912 -761.641823481863</t>
  </si>
  <si>
    <t>-565.523905458023 222.663543992251 -245.052182582947</t>
  </si>
  <si>
    <t>-583.68472022437 206.037606459876 209.976870473836</t>
  </si>
  <si>
    <t>-627.905011717658 173.460391806886 676.548412112498</t>
  </si>
  <si>
    <t>-499.533710740496 93.4139798359267 766.308586755792</t>
  </si>
  <si>
    <t>-648.692099992701 48.6932284036404 -212.222954328939</t>
  </si>
  <si>
    <t>-487.802385433014 -92.1900555692669 190.174858521266</t>
  </si>
  <si>
    <t>-510.457809973149 -19.6515145064398 653.501193995695</t>
  </si>
  <si>
    <t>-493.759195849798 -168.361799552888 745.967006145356</t>
  </si>
  <si>
    <t>9763-20170724T160532.626453200.bin</t>
  </si>
  <si>
    <t>-607.841761576294 135.40239784424 -229.246581612246</t>
  </si>
  <si>
    <t>-646.43723015414 131.873564578595 -343.988685007191</t>
  </si>
  <si>
    <t>-666.69948928649 123.778087603388 -463.213146821858</t>
  </si>
  <si>
    <t>-677.385798962252 114.312668558791 -571.799649215433</t>
  </si>
  <si>
    <t>-680.527402719938 102.613957707977 -680.648900283154</t>
  </si>
  <si>
    <t>-677.058297774174 83.9066424583416 -831.771396454331</t>
  </si>
  <si>
    <t>-646.925234429559 62.9971160422056 -926.8384710524</t>
  </si>
  <si>
    <t>-661.614171466944 118.905685777796 -767.822361661282</t>
  </si>
  <si>
    <t>-566.928856573402 230.79925284446 -755.983334546525</t>
  </si>
  <si>
    <t>-444.365229973519 174.629317866928 -469.610725738838</t>
  </si>
  <si>
    <t>-219.830227518994 101.732117665453 -360.468062681342</t>
  </si>
  <si>
    <t>-695.572335936834 65.4624484787921 -761.986280492556</t>
  </si>
  <si>
    <t>-565.978115577258 222.551160055159 -245.29210314804</t>
  </si>
  <si>
    <t>-584.20606853034 206.018936493071 209.737619024433</t>
  </si>
  <si>
    <t>-627.959012233545 173.435099551438 676.422855336911</t>
  </si>
  <si>
    <t>-499.564924886657 93.4317326467024 766.188828810775</t>
  </si>
  <si>
    <t>-649.69430996045 48.2088537310653 -212.699228606205</t>
  </si>
  <si>
    <t>-488.639774072198 -92.4069061996686 189.726308455739</t>
  </si>
  <si>
    <t>-511.166972878022 -20.3434686208268 653.031721153396</t>
  </si>
  <si>
    <t>-493.697166667377 -168.492908291574 746.252373993187</t>
  </si>
  <si>
    <t>9763-20170724T160532.695638100.bin</t>
  </si>
  <si>
    <t>-609.29349663418 135.137353296021 -229.698390777006</t>
  </si>
  <si>
    <t>-647.867442662252 131.500689858846 -344.444356365282</t>
  </si>
  <si>
    <t>-668.077158972955 123.287705794116 -463.669618266465</t>
  </si>
  <si>
    <t>-678.704109609003 113.709523094733 -572.252265292299</t>
  </si>
  <si>
    <t>-681.775643838824 101.88933671615 -681.090247335389</t>
  </si>
  <si>
    <t>-678.198955176528 83.0025453225044 -832.187807289029</t>
  </si>
  <si>
    <t>-647.93886657962 62.0146306394147 -927.197415884692</t>
  </si>
  <si>
    <t>-662.842160132754 118.103577836947 -768.273765423676</t>
  </si>
  <si>
    <t>-568.099333037517 229.950958292411 -756.420592128175</t>
  </si>
  <si>
    <t>-444.686648615837 171.139307248881 -470.944426181567</t>
  </si>
  <si>
    <t>-220.056639049106 98.863454958275 -361.584319563427</t>
  </si>
  <si>
    <t>-696.720894365302 64.6151567929121 -762.389873340052</t>
  </si>
  <si>
    <t>-567.2426310788 222.683862882629 -245.649467989072</t>
  </si>
  <si>
    <t>-585.244867695553 206.174034180966 209.390147561035</t>
  </si>
  <si>
    <t>-627.978792367431 173.57016681765 676.24917268239</t>
  </si>
  <si>
    <t>-499.744343411705 93.3057235450926 766.010287358135</t>
  </si>
  <si>
    <t>-651.122514195309 47.6767806826247 -213.123287542267</t>
  </si>
  <si>
    <t>-489.577754373327 -92.2038597936996 189.361925481453</t>
  </si>
  <si>
    <t>-511.778375193354 -20.8896113668725 653.176731928904</t>
  </si>
  <si>
    <t>-493.149700127593 -168.496416157744 747.031493483487</t>
  </si>
  <si>
    <t>9763-20170724T160532.724222000.bin</t>
  </si>
  <si>
    <t>-609.768372509982 135.19018211703 -229.720902173625</t>
  </si>
  <si>
    <t>-648.390619099179 131.531580758516 -344.449921637866</t>
  </si>
  <si>
    <t>-668.578308191655 123.26325041972 -463.675213005794</t>
  </si>
  <si>
    <t>-679.156954022326 113.618500499578 -572.256578875794</t>
  </si>
  <si>
    <t>-682.152469929692 101.713518158683 -681.087449717968</t>
  </si>
  <si>
    <t>-678.442446569525 82.6882298646008 -832.164417274107</t>
  </si>
  <si>
    <t>-648.106272368871 61.6426984819682 -927.137035235858</t>
  </si>
  <si>
    <t>-663.158613775398 117.858214509954 -768.270768722193</t>
  </si>
  <si>
    <t>-568.406757327457 229.67871872408 -756.439613978398</t>
  </si>
  <si>
    <t>-444.553830376093 169.514565765129 -471.436248813402</t>
  </si>
  <si>
    <t>-220.115892435153 97.5949379116767 -361.448649630118</t>
  </si>
  <si>
    <t>-697.009389974367 64.3544825226938 -762.364387548619</t>
  </si>
  <si>
    <t>-567.859312520275 222.862412823578 -245.679806879773</t>
  </si>
  <si>
    <t>-585.597198959547 206.296435175652 209.368070252537</t>
  </si>
  <si>
    <t>-628.003742854943 173.631140112011 676.231381932483</t>
  </si>
  <si>
    <t>-499.745114951572 93.3799852467719 765.969823452555</t>
  </si>
  <si>
    <t>-651.400290384542 47.6452567405461 -213.007186172836</t>
  </si>
  <si>
    <t>-489.518419322185 -92.0183008869178 189.418001199951</t>
  </si>
  <si>
    <t>-511.78244870839 -20.8846919110167 653.412884535141</t>
  </si>
  <si>
    <t>-492.956953450178 -168.462322196034 747.274332595094</t>
  </si>
  <si>
    <t>9763-20170724T160532.795920700.bin</t>
  </si>
  <si>
    <t>-610.240784604927 135.45421284857 -229.459941486856</t>
  </si>
  <si>
    <t>-648.942197146098 131.781071870306 -344.161708973427</t>
  </si>
  <si>
    <t>-668.964690707832 123.388956918109 -463.406123102457</t>
  </si>
  <si>
    <t>-679.293365669873 113.587006109827 -571.997517562382</t>
  </si>
  <si>
    <t>-681.939316489001 101.478988706084 -680.815120106672</t>
  </si>
  <si>
    <t>-677.641713400673 82.1235552387541 -831.834671959969</t>
  </si>
  <si>
    <t>-646.995877337589 60.9735944442791 -926.68446053886</t>
  </si>
  <si>
    <t>-662.660918376887 117.466841233637 -767.964843931767</t>
  </si>
  <si>
    <t>-567.879810934961 229.260182259884 -756.142845220306</t>
  </si>
  <si>
    <t>-443.458654941078 167.399720519719 -471.750823150157</t>
  </si>
  <si>
    <t>-219.183172891144 96.177308380119 -360.98087912063</t>
  </si>
  <si>
    <t>-696.425662193692 63.9085754643154 -762.061359464528</t>
  </si>
  <si>
    <t>-568.753410241556 223.151956093448 -245.510848605901</t>
  </si>
  <si>
    <t>-586.087835632429 206.681003560949 209.556043360734</t>
  </si>
  <si>
    <t>-628.131091038983 173.676670327681 676.360803620374</t>
  </si>
  <si>
    <t>-499.850490932473 93.367333315156 766.015763594827</t>
  </si>
  <si>
    <t>-651.476251452517 47.8184076709645 -212.529503305109</t>
  </si>
  <si>
    <t>-489.013614958248 -91.5197127062731 189.774405090217</t>
  </si>
  <si>
    <t>-511.418728671459 -20.5599931236095 653.918818891532</t>
  </si>
  <si>
    <t>-492.752092400576 -168.395116627274 747.405954121121</t>
  </si>
  <si>
    <t>9763-20170724T160532.830014600.bin</t>
  </si>
  <si>
    <t>-610.436648030766 135.620966493748 -229.289596898159</t>
  </si>
  <si>
    <t>-649.217513025515 131.989145209725 -343.966076950866</t>
  </si>
  <si>
    <t>-669.174226922132 123.563726883398 -463.219185263982</t>
  </si>
  <si>
    <t>-679.383334186934 113.701991575874 -571.816352773067</t>
  </si>
  <si>
    <t>-681.849474170557 101.505642504144 -680.628185308873</t>
  </si>
  <si>
    <t>-677.239987956614 81.9985904200908 -831.619134707126</t>
  </si>
  <si>
    <t>-646.388093815955 60.7853777919624 -926.38807508866</t>
  </si>
  <si>
    <t>-662.426981254032 117.428124195094 -767.758011715895</t>
  </si>
  <si>
    <t>-567.708537341278 229.286638616248 -755.887152853976</t>
  </si>
  <si>
    <t>-443.060769550339 166.6869013499 -471.756121806853</t>
  </si>
  <si>
    <t>-219.684165955509 95.7834044059466 -358.983708109437</t>
  </si>
  <si>
    <t>-696.13212663831 63.8315617986793 -761.862639186516</t>
  </si>
  <si>
    <t>-569.181051178254 223.372970968715 -245.395981073298</t>
  </si>
  <si>
    <t>-586.154783458137 206.790264855358 209.680401247159</t>
  </si>
  <si>
    <t>-628.092112694924 173.837997881926 676.44053370921</t>
  </si>
  <si>
    <t>-499.875357702539 93.3856306056007 766.058554050125</t>
  </si>
  <si>
    <t>-651.48029047066 47.9450787419187 -212.323402529154</t>
  </si>
  <si>
    <t>-488.867839299351 -91.3091197073938 189.949030381148</t>
  </si>
  <si>
    <t>-511.23210701456 -20.3438380046343 654.070621616773</t>
  </si>
  <si>
    <t>-492.783545626686 -168.339180313259 747.34728123384</t>
  </si>
  <si>
    <t>9763-20170724T160532.893195200.bin</t>
  </si>
  <si>
    <t>-611.267873526998 135.791276231598 -229.034214699109</t>
  </si>
  <si>
    <t>-650.213604020948 132.20716390061 -343.656187620003</t>
  </si>
  <si>
    <t>-669.980671361868 123.746215459294 -462.938391886705</t>
  </si>
  <si>
    <t>-679.870962806511 113.816147337621 -571.558960108146</t>
  </si>
  <si>
    <t>-681.871745711901 101.513824413632 -680.368338405208</t>
  </si>
  <si>
    <t>-676.464684297682 81.8200140602657 -831.308556094167</t>
  </si>
  <si>
    <t>-645.105736848823 60.4928790912295 -925.885213833855</t>
  </si>
  <si>
    <t>-662.05254736458 117.367649191708 -767.421280551691</t>
  </si>
  <si>
    <t>-567.484046616142 229.313693733951 -755.292693572087</t>
  </si>
  <si>
    <t>-442.706812239669 165.023276253451 -471.596288085657</t>
  </si>
  <si>
    <t>-220.622829543511 94.471991666165 -356.083191881126</t>
  </si>
  <si>
    <t>-695.661813271657 63.7000863414928 -761.623070677472</t>
  </si>
  <si>
    <t>-570.489144127854 223.595834950767 -245.193334904602</t>
  </si>
  <si>
    <t>-586.530539580615 206.734433902311 209.906634002614</t>
  </si>
  <si>
    <t>-628.214788402006 173.857294490071 676.637532914635</t>
  </si>
  <si>
    <t>-499.893203969216 93.4432740631808 766.139872359595</t>
  </si>
  <si>
    <t>-651.887416537425 48.0365648876143 -212.092339095936</t>
  </si>
  <si>
    <t>-488.99342646167 -90.9473709388135 190.159687552689</t>
  </si>
  <si>
    <t>-511.021741186812 -20.0861597853796 654.220703172507</t>
  </si>
  <si>
    <t>-492.809927334575 -168.322526770615 747.160580627443</t>
  </si>
  <si>
    <t>9763-20170724T160532.926779900.bin</t>
  </si>
  <si>
    <t>-611.738861419059 135.847856550979 -228.917239378621</t>
  </si>
  <si>
    <t>-650.73626503733 132.288085099804 -343.522361738704</t>
  </si>
  <si>
    <t>-670.382463173931 123.816968581346 -462.823813894667</t>
  </si>
  <si>
    <t>-680.092179066257 113.861829228921 -571.458388148241</t>
  </si>
  <si>
    <t>-681.841772581834 101.517438226568 -680.267330512938</t>
  </si>
  <si>
    <t>-676.013057462766 81.7471436797084 -831.181805433345</t>
  </si>
  <si>
    <t>-644.398421345618 60.3773260488524 -925.663723417413</t>
  </si>
  <si>
    <t>-661.814044465045 117.348370343322 -767.276661708584</t>
  </si>
  <si>
    <t>-567.304361653445 229.343327395781 -755.012936453087</t>
  </si>
  <si>
    <t>-442.714250503567 164.263059670562 -471.414602125486</t>
  </si>
  <si>
    <t>-222.823697948944 93.1269323753963 -352.125478799609</t>
  </si>
  <si>
    <t>-695.370147965859 63.6413696281602 -761.536894021182</t>
  </si>
  <si>
    <t>-571.247194618416 223.70175494181 -245.072665004311</t>
  </si>
  <si>
    <t>-586.894102744096 206.80129297026 210.039581329377</t>
  </si>
  <si>
    <t>-628.31497237841 173.825081145806 676.767781128434</t>
  </si>
  <si>
    <t>-499.868206535979 93.5191991634238 766.18759952498</t>
  </si>
  <si>
    <t>-652.082615920329 48.0306417612162 -212.005345089983</t>
  </si>
  <si>
    <t>-488.929202262574 -90.7471137023811 190.212728899827</t>
  </si>
  <si>
    <t>-510.784575193003 -19.8196161208691 654.383682672212</t>
  </si>
  <si>
    <t>-492.78201105107 -168.28967614878 746.990849931544</t>
  </si>
  <si>
    <t>9763-20170724T160532.988443500.bin</t>
  </si>
  <si>
    <t>-612.876074268416 136.160970932435 -228.709510739785</t>
  </si>
  <si>
    <t>-651.751404573312 132.495240793267 -343.352660853463</t>
  </si>
  <si>
    <t>-671.003354314812 123.918505548062 -462.71100639286</t>
  </si>
  <si>
    <t>-680.24635162362 113.862404911723 -571.376896168618</t>
  </si>
  <si>
    <t>-681.421324478042 101.407953744934 -680.180993421139</t>
  </si>
  <si>
    <t>-674.685019302163 81.4721592156084 -831.036026401699</t>
  </si>
  <si>
    <t>-642.532476549184 60.0258916369919 -925.318857576005</t>
  </si>
  <si>
    <t>-660.92870714296 117.17914436387 -767.093070453854</t>
  </si>
  <si>
    <t>-566.543947253835 229.222933142979 -754.558961977384</t>
  </si>
  <si>
    <t>-442.444417398164 162.760255450973 -471.066007548609</t>
  </si>
  <si>
    <t>-225.81884225558 90.8267699779242 -346.402493915553</t>
  </si>
  <si>
    <t>-694.402510155574 63.4071559877691 -761.481660462623</t>
  </si>
  <si>
    <t>-572.775066116458 224.076050258299 -244.859316037593</t>
  </si>
  <si>
    <t>-587.925358160949 207.38587876593 210.277544481538</t>
  </si>
  <si>
    <t>-628.351134132505 174.040699034773 677.02455377619</t>
  </si>
  <si>
    <t>-499.973465899696 93.4387277534008 766.277047807785</t>
  </si>
  <si>
    <t>-652.858926048183 48.2888964415613 -211.846214384504</t>
  </si>
  <si>
    <t>-489.246913413558 -89.779476066841 190.429664561997</t>
  </si>
  <si>
    <t>-510.570787110124 -19.2893160070496 654.611721977706</t>
  </si>
  <si>
    <t>-492.444216961104 -168.160732692464 746.547711084876</t>
  </si>
  <si>
    <t>9763-20170724T160533.027553000.bin</t>
  </si>
  <si>
    <t>-613.569800425407 136.273305251168 -228.633703031766</t>
  </si>
  <si>
    <t>-652.381383197055 132.564203152428 -343.29714318842</t>
  </si>
  <si>
    <t>-671.428631905794 123.946011145302 -462.685210401937</t>
  </si>
  <si>
    <t>-680.429206625503 113.851218547624 -571.367912235777</t>
  </si>
  <si>
    <t>-681.305403880656 101.355607578497 -680.170203980088</t>
  </si>
  <si>
    <t>-674.09657794811 81.3591668925776 -830.995182652965</t>
  </si>
  <si>
    <t>-641.670944252449 59.8981400437656 -925.181142749394</t>
  </si>
  <si>
    <t>-660.581395701263 117.116677576746 -767.029150917446</t>
  </si>
  <si>
    <t>-566.218453531838 229.19111754358 -754.349510578589</t>
  </si>
  <si>
    <t>-442.464882439041 161.918886326452 -470.896424845902</t>
  </si>
  <si>
    <t>-228.672374685599 88.6054371529494 -342.210836025326</t>
  </si>
  <si>
    <t>-693.991047411895 63.2973617178752 -761.490669684905</t>
  </si>
  <si>
    <t>-573.667201466367 224.224324334552 -244.764562677092</t>
  </si>
  <si>
    <t>-588.475442913444 207.502494643702 210.382439205051</t>
  </si>
  <si>
    <t>-628.516572865298 173.920806087304 677.166118204624</t>
  </si>
  <si>
    <t>-499.88889141918 93.5963159781932 766.308743054589</t>
  </si>
  <si>
    <t>-653.349007223328 48.3182529105479 -211.848622288164</t>
  </si>
  <si>
    <t>-489.522605687842 -89.5265434240225 190.416751014287</t>
  </si>
  <si>
    <t>-510.496584671552 -19.1102656115265 654.626674390803</t>
  </si>
  <si>
    <t>-492.402594591895 -168.137028845354 746.317061811908</t>
  </si>
  <si>
    <t>9763-20170724T160533.090722600.bin</t>
  </si>
  <si>
    <t>-614.709158834418 136.321941198059 -228.599415766813</t>
  </si>
  <si>
    <t>-653.433422226812 132.57275232347 -343.291014149807</t>
  </si>
  <si>
    <t>-672.09950811561 123.901624900907 -462.735337446277</t>
  </si>
  <si>
    <t>-680.63642559326 113.747401338038 -571.450017315826</t>
  </si>
  <si>
    <t>-680.932199238016 101.177349283219 -680.246947902617</t>
  </si>
  <si>
    <t>-672.798476106507 81.0591119970156 -831.008535952755</t>
  </si>
  <si>
    <t>-639.829441847931 59.5555457934861 -924.995940318605</t>
  </si>
  <si>
    <t>-659.723237664985 116.897126342682 -766.996230030446</t>
  </si>
  <si>
    <t>-565.474977215968 228.996057090055 -753.909982477507</t>
  </si>
  <si>
    <t>-442.457157476223 160.216326920735 -470.498240378823</t>
  </si>
  <si>
    <t>-230.114866809301 86.316077127582 -339.763674622155</t>
  </si>
  <si>
    <t>-693.071481171454 63.0245807699707 -761.606312119176</t>
  </si>
  <si>
    <t>-575.176145207052 224.328796608689 -244.635457812698</t>
  </si>
  <si>
    <t>-589.45341111338 207.72436224845 210.532826903999</t>
  </si>
  <si>
    <t>-628.706247757168 173.83843071285 677.344619236316</t>
  </si>
  <si>
    <t>-499.885718094116 93.6554702627327 766.336042883014</t>
  </si>
  <si>
    <t>-654.137054667485 48.3006432385323 -211.862503113181</t>
  </si>
  <si>
    <t>-489.981967406234 -89.1554243350759 190.401810897586</t>
  </si>
  <si>
    <t>-510.384740020265 -18.7780903725934 654.615833124716</t>
  </si>
  <si>
    <t>-492.213148954279 -168.073437223034 745.852924887456</t>
  </si>
  <si>
    <t>9763-20170724T160533.130839900.bin</t>
  </si>
  <si>
    <t>-615.246885610011 136.305072531546 -228.611920469829</t>
  </si>
  <si>
    <t>-653.904961712721 132.542544624433 -343.325482585054</t>
  </si>
  <si>
    <t>-672.379827816322 123.854976415105 -462.798445370992</t>
  </si>
  <si>
    <t>-680.693454172162 113.681785387172 -571.528528504616</t>
  </si>
  <si>
    <t>-680.716829935466 101.086925191024 -680.322886698158</t>
  </si>
  <si>
    <t>-672.155121364337 80.926735930198 -831.055397712174</t>
  </si>
  <si>
    <t>-638.930835810198 59.4119462692852 -924.950159020848</t>
  </si>
  <si>
    <t>-659.27377311866 116.789780380379 -767.017623202798</t>
  </si>
  <si>
    <t>-565.052583256104 228.923784612397 -753.779292595888</t>
  </si>
  <si>
    <t>-442.57508689365 159.339301371476 -470.3301240917</t>
  </si>
  <si>
    <t>-232.554759083878 84.1997828833662 -336.585544100013</t>
  </si>
  <si>
    <t>-692.613044896201 62.9042110224261 -761.704064070982</t>
  </si>
  <si>
    <t>-575.79941374456 224.366875411561 -244.614853215049</t>
  </si>
  <si>
    <t>-589.856345780055 207.847447356982 210.563328465208</t>
  </si>
  <si>
    <t>-628.659232429478 173.987963022117 677.403852915241</t>
  </si>
  <si>
    <t>-499.926610977074 93.6119675673738 766.348340725554</t>
  </si>
  <si>
    <t>-654.579611130629 48.2111356957762 -211.954389425831</t>
  </si>
  <si>
    <t>-490.257555523016 -88.9595378639917 190.339153518242</t>
  </si>
  <si>
    <t>-510.374022016339 -18.6701631574742 654.541958797485</t>
  </si>
  <si>
    <t>-492.112584377785 -168.042236639148 745.635473659747</t>
  </si>
  <si>
    <t>9763-20170724T160533.192017600.bin</t>
  </si>
  <si>
    <t>-616.338064595373 136.052488321747 -228.782664673391</t>
  </si>
  <si>
    <t>-654.842534161704 132.264913296232 -343.547045023233</t>
  </si>
  <si>
    <t>-672.957075272108 123.538377920544 -463.072211327815</t>
  </si>
  <si>
    <t>-680.862614597607 113.318755421077 -571.828371741968</t>
  </si>
  <si>
    <t>-680.398130594866 100.663253939023 -680.614837794871</t>
  </si>
  <si>
    <t>-671.078491283025 80.401607467968 -831.288639348665</t>
  </si>
  <si>
    <t>-637.374167373756 58.8262902832555 -924.998319676256</t>
  </si>
  <si>
    <t>-658.512797242199 116.303880803404 -767.210247472881</t>
  </si>
  <si>
    <t>-564.293742523234 228.383176971068 -753.689245686339</t>
  </si>
  <si>
    <t>-442.769785419325 157.719370974712 -470.096593232367</t>
  </si>
  <si>
    <t>-233.262956791035 82.57761737533 -335.55059015139</t>
  </si>
  <si>
    <t>-691.891423268832 62.429714993933 -762.030113047825</t>
  </si>
  <si>
    <t>-576.915350019194 224.163604601474 -244.67633968687</t>
  </si>
  <si>
    <t>-590.807677687343 207.989344020515 210.519247838868</t>
  </si>
  <si>
    <t>-628.745727533895 173.952710230904 677.441312776725</t>
  </si>
  <si>
    <t>-499.90802571176 93.6741340979327 766.321617184294</t>
  </si>
  <si>
    <t>-655.70376734029 47.9104036429155 -212.248347069177</t>
  </si>
  <si>
    <t>-491.086658157181 -88.8877840421153 190.051450813061</t>
  </si>
  <si>
    <t>-510.537806439796 -18.7223060687934 654.20006645535</t>
  </si>
  <si>
    <t>-492.154870238589 -168.058759813673 745.327457362672</t>
  </si>
  <si>
    <t>9763-20170724T160533.230117900.bin</t>
  </si>
  <si>
    <t>-616.820937622188 135.832926239645 -228.890738104172</t>
  </si>
  <si>
    <t>-655.235038976304 132.06005038147 -343.685942471464</t>
  </si>
  <si>
    <t>-673.161886477253 123.32183807186 -463.238519536762</t>
  </si>
  <si>
    <t>-680.859215069655 113.079429588978 -572.00750815183</t>
  </si>
  <si>
    <t>-680.149390834813 100.388140176569 -680.788355591892</t>
  </si>
  <si>
    <t>-670.451629451909 80.062857009706 -831.42983093872</t>
  </si>
  <si>
    <t>-636.52541503435 58.4594449283177 -925.052988044498</t>
  </si>
  <si>
    <t>-658.035126465743 115.985042551264 -767.333516493411</t>
  </si>
  <si>
    <t>-563.766065196869 228.008797301238 -753.685959946996</t>
  </si>
  <si>
    <t>-442.75566551487 157.242888557663 -469.899372724778</t>
  </si>
  <si>
    <t>-233.864923012402 81.6721487593836 -334.637399440259</t>
  </si>
  <si>
    <t>-691.45007161457 62.1272604522708 -762.217879870755</t>
  </si>
  <si>
    <t>-577.323539138589 223.957451810888 -244.739271822836</t>
  </si>
  <si>
    <t>-591.288689521703 208.040726072373 210.463203076231</t>
  </si>
  <si>
    <t>-628.795067313595 173.903447205151 677.440207471817</t>
  </si>
  <si>
    <t>-499.999822670044 93.5469920776991 766.311660384348</t>
  </si>
  <si>
    <t>-656.233962708028 47.687194213009 -212.419617186242</t>
  </si>
  <si>
    <t>-491.584816285317 -88.9831331532048 189.910517150956</t>
  </si>
  <si>
    <t>-510.588442671218 -18.7163036747315 654.11969044881</t>
  </si>
  <si>
    <t>-492.198213952356 -168.059355255164 745.234712216899</t>
  </si>
  <si>
    <t>9763-20170724T160533.292298100.bin</t>
  </si>
  <si>
    <t>-617.481385983454 135.328022583073 -229.064692005124</t>
  </si>
  <si>
    <t>-655.740888869606 131.564394089208 -343.91189192446</t>
  </si>
  <si>
    <t>-673.324417976479 122.781918661985 -463.512283535054</t>
  </si>
  <si>
    <t>-680.636649616173 112.474063896791 -572.301683385153</t>
  </si>
  <si>
    <t>-679.469778845011 99.6899842250889 -681.067645557914</t>
  </si>
  <si>
    <t>-669.065284620618 79.2057817618518 -831.640377541828</t>
  </si>
  <si>
    <t>-634.715629048417 57.4949026382578 -925.08400498514</t>
  </si>
  <si>
    <t>-656.925812785531 115.181113266647 -767.520896431421</t>
  </si>
  <si>
    <t>-562.498598379537 227.052136436294 -753.627476423628</t>
  </si>
  <si>
    <t>-442.348302873088 155.960937846969 -469.556821132767</t>
  </si>
  <si>
    <t>-234.30792827901 79.9539069591838 -333.232926387882</t>
  </si>
  <si>
    <t>-690.412213597811 61.357552485043 -762.51246180124</t>
  </si>
  <si>
    <t>-577.907104599963 223.426956891003 -244.857434684922</t>
  </si>
  <si>
    <t>-591.8506057874 207.888047386536 210.358763554636</t>
  </si>
  <si>
    <t>-628.852090044124 173.856922364844 677.426848941217</t>
  </si>
  <si>
    <t>-500.011364696827 93.5551993591089 766.281873586249</t>
  </si>
  <si>
    <t>-656.900679559423 47.2431142787491 -212.611025895418</t>
  </si>
  <si>
    <t>-492.375139362927 -89.4095770693564 189.775596004512</t>
  </si>
  <si>
    <t>-510.561641384405 -18.6360407581976 653.997286104468</t>
  </si>
  <si>
    <t>-492.235203177183 -168.04731477615 745.013421249558</t>
  </si>
  <si>
    <t>9763-20170724T160533.328893400.bin</t>
  </si>
  <si>
    <t>-617.591611452756 135.079818359219 -229.149166186623</t>
  </si>
  <si>
    <t>-655.826154925825 131.354048475008 -344.005920965493</t>
  </si>
  <si>
    <t>-673.283422021022 122.572224396805 -463.624791217876</t>
  </si>
  <si>
    <t>-680.441129266389 112.247344069681 -572.422840336562</t>
  </si>
  <si>
    <t>-679.080431641358 99.427738064401 -681.182367726791</t>
  </si>
  <si>
    <t>-668.367309983432 78.8740544655361 -831.724112310267</t>
  </si>
  <si>
    <t>-633.842105770493 57.1267594983285 -925.094544563088</t>
  </si>
  <si>
    <t>-656.342416502605 114.868813688088 -767.59377095208</t>
  </si>
  <si>
    <t>-561.847357997036 226.656502872079 -753.535009567329</t>
  </si>
  <si>
    <t>-441.981400537576 155.422121185115 -469.380180494018</t>
  </si>
  <si>
    <t>-234.767305048763 78.8208096816486 -332.13356800738</t>
  </si>
  <si>
    <t>-689.872615546095 61.0680739781415 -762.634457291012</t>
  </si>
  <si>
    <t>-578.056334075599 223.186576675917 -244.904998982089</t>
  </si>
  <si>
    <t>-591.958995285817 207.763802523383 210.316467217685</t>
  </si>
  <si>
    <t>-628.876282492298 173.826969420468 677.408723790894</t>
  </si>
  <si>
    <t>-500.144557953663 93.3618109471183 766.273846502271</t>
  </si>
  <si>
    <t>-656.966146119631 46.9931803837444 -212.722068976636</t>
  </si>
  <si>
    <t>-492.596596266153 -89.6507199999851 189.731368309793</t>
  </si>
  <si>
    <t>-510.480780268095 -18.6048747945874 653.9086311548</t>
  </si>
  <si>
    <t>-492.358054608786 -168.054922832458 744.901842884173</t>
  </si>
  <si>
    <t>9763-20170724T160533.395581500.bin</t>
  </si>
  <si>
    <t>-617.870901156023 134.46957203312 -229.332400894966</t>
  </si>
  <si>
    <t>-656.04008199751 130.756143114015 -344.211228771228</t>
  </si>
  <si>
    <t>-673.337926412988 121.974870656349 -463.853277200351</t>
  </si>
  <si>
    <t>-680.314665339999 111.640521967842 -572.662183722243</t>
  </si>
  <si>
    <t>-678.738125055273 98.7983060773151 -681.416238754604</t>
  </si>
  <si>
    <t>-667.690793026167 78.197058561927 -831.927203104977</t>
  </si>
  <si>
    <t>-632.920835653613 56.3918935421743 -925.193345687242</t>
  </si>
  <si>
    <t>-655.783686995991 114.197010038616 -767.777844433141</t>
  </si>
  <si>
    <t>-561.173641575531 225.873396195474 -753.545542585323</t>
  </si>
  <si>
    <t>-441.661205530081 154.046963310122 -469.390787176628</t>
  </si>
  <si>
    <t>-238.099457989287 74.8963745125895 -328.182220197152</t>
  </si>
  <si>
    <t>-689.374164122419 60.4278646874734 -762.883662344911</t>
  </si>
  <si>
    <t>-578.453251939146 222.594077632403 -245.007765862882</t>
  </si>
  <si>
    <t>-592.188588657286 207.311424318636 210.223432115818</t>
  </si>
  <si>
    <t>-628.980121202286 173.69344653035 677.394970781578</t>
  </si>
  <si>
    <t>-500.111194886266 93.4230482438486 766.237396958802</t>
  </si>
  <si>
    <t>-657.179945397726 46.3499964776822 -212.974048731765</t>
  </si>
  <si>
    <t>-492.95478204541 -89.901527950424 189.671322317759</t>
  </si>
  <si>
    <t>-510.458439665217 -18.5683653588535 653.76478619182</t>
  </si>
  <si>
    <t>-492.439195434135 -168.050179928174 744.726391685949</t>
  </si>
  <si>
    <t>9763-20170724T160533.427180200.bin</t>
  </si>
  <si>
    <t>-618.034101822345 134.199727421431 -229.416756053608</t>
  </si>
  <si>
    <t>-656.155796896699 130.485738916583 -344.311280372828</t>
  </si>
  <si>
    <t>-673.385892288788 121.71336905006 -463.963733046815</t>
  </si>
  <si>
    <t>-680.29454509837 111.387286269231 -572.77778625979</t>
  </si>
  <si>
    <t>-678.64362941999 98.5520273526326 -681.531677640022</t>
  </si>
  <si>
    <t>-667.487553021618 77.9570954334451 -832.035477480366</t>
  </si>
  <si>
    <t>-632.636584087944 56.139984314955 -925.268482278339</t>
  </si>
  <si>
    <t>-655.617249557635 113.948620534672 -767.874486093041</t>
  </si>
  <si>
    <t>-560.997760189877 225.605957707002 -753.56519726344</t>
  </si>
  <si>
    <t>-441.673281882466 153.40847020393 -469.425361173421</t>
  </si>
  <si>
    <t>-239.553166660462 73.1416346348749 -326.783447801585</t>
  </si>
  <si>
    <t>-689.230268367649 60.1908369496075 -763.009850273388</t>
  </si>
  <si>
    <t>-578.675822182186 222.322416544783 -245.047605295021</t>
  </si>
  <si>
    <t>-592.348484494654 207.137330923096 210.188795334703</t>
  </si>
  <si>
    <t>-629.011456984947 173.664498876552 677.388196817492</t>
  </si>
  <si>
    <t>-500.132229422924 93.3984348657796 766.219601927731</t>
  </si>
  <si>
    <t>-657.268622676933 46.140813558163 -213.090651565137</t>
  </si>
  <si>
    <t>-493.138793018368 -90.0126983079281 189.626706320999</t>
  </si>
  <si>
    <t>-510.45370998018 -18.5847678121331 653.689956295449</t>
  </si>
  <si>
    <t>-492.385633923665 -168.048874864499 744.670900361852</t>
  </si>
  <si>
    <t>9763-20170724T160533.489854100.bin</t>
  </si>
  <si>
    <t>-618.317262048419 133.706400650424 -229.567216153898</t>
  </si>
  <si>
    <t>-656.473376275704 130.025871578986 -344.451335746155</t>
  </si>
  <si>
    <t>-673.652251686426 121.288651664919 -464.113889311827</t>
  </si>
  <si>
    <t>-680.479777079609 110.990371068965 -572.935610189887</t>
  </si>
  <si>
    <t>-678.714041093392 98.1760011558169 -681.689991644685</t>
  </si>
  <si>
    <t>-667.364700869481 77.6005884116632 -832.182083028612</t>
  </si>
  <si>
    <t>-632.415681726339 55.778874497531 -925.377348710134</t>
  </si>
  <si>
    <t>-655.568970337823 113.578980167865 -767.999960271585</t>
  </si>
  <si>
    <t>-560.923083246061 225.182655680068 -753.555518026072</t>
  </si>
  <si>
    <t>-441.933656696071 152.691835597029 -469.350018117899</t>
  </si>
  <si>
    <t>-242.453625091333 69.7939074311871 -324.513152450121</t>
  </si>
  <si>
    <t>-689.203824002052 59.8302471886097 -763.188053418557</t>
  </si>
  <si>
    <t>-579.061231865513 221.84189439287 -245.127483316262</t>
  </si>
  <si>
    <t>-592.477598995102 206.786221501048 210.120749981426</t>
  </si>
  <si>
    <t>-629.051968654934 173.649722901171 677.380977521985</t>
  </si>
  <si>
    <t>-500.164550544393 93.3635796859744 766.182311457006</t>
  </si>
  <si>
    <t>-657.474007244093 45.5655697400464 -213.325157114283</t>
  </si>
  <si>
    <t>-493.239942993426 -90.1422552220026 189.50016496811</t>
  </si>
  <si>
    <t>-510.48105769302 -18.6449380195722 653.549031735102</t>
  </si>
  <si>
    <t>-492.276341045681 -168.045904636639 744.606395578666</t>
  </si>
  <si>
    <t>9763-20170724T160533.526468100.bin</t>
  </si>
  <si>
    <t>-618.358768665027 133.498519585236 -229.60437073874</t>
  </si>
  <si>
    <t>-656.500362800538 129.824853226774 -344.4935026641</t>
  </si>
  <si>
    <t>-673.647271921782 121.110893671043 -464.162383931861</t>
  </si>
  <si>
    <t>-680.438792549549 110.839271988506 -572.988823875213</t>
  </si>
  <si>
    <t>-678.629962367163 98.056707393361 -681.746342854131</t>
  </si>
  <si>
    <t>-667.213733978981 77.5300792775483 -832.240007518168</t>
  </si>
  <si>
    <t>-632.233839950677 55.7275273992414 -925.428144969989</t>
  </si>
  <si>
    <t>-655.447246073306 113.488112882553 -768.041093319057</t>
  </si>
  <si>
    <t>-560.77777290465 225.06083416851 -753.524266141329</t>
  </si>
  <si>
    <t>-441.934595890122 152.513396521518 -469.271831788638</t>
  </si>
  <si>
    <t>-245.747330373324 66.5763115109883 -321.73391592337</t>
  </si>
  <si>
    <t>-689.082860715992 59.7368583141715 -763.261354143963</t>
  </si>
  <si>
    <t>-579.15037492955 221.64080788837 -245.144873152513</t>
  </si>
  <si>
    <t>-592.495337897334 206.553868147996 210.104499656764</t>
  </si>
  <si>
    <t>-629.160150835877 173.518227645545 677.387830311012</t>
  </si>
  <si>
    <t>-500.142663511318 93.4110673515447 766.161925627116</t>
  </si>
  <si>
    <t>-657.440626202186 45.3713515961349 -213.36568963564</t>
  </si>
  <si>
    <t>-493.255910255166 -90.3144586471294 189.487149410697</t>
  </si>
  <si>
    <t>-510.493017157447 -18.6715311841415 653.505090341823</t>
  </si>
  <si>
    <t>-492.220419055255 -168.044354795903 744.595232467437</t>
  </si>
  <si>
    <t>9763-20170724T160533.595742300.bin</t>
  </si>
  <si>
    <t>-618.277132334706 133.309362892432 -229.656609654543</t>
  </si>
  <si>
    <t>-656.412846028709 129.643400440558 -344.547967843844</t>
  </si>
  <si>
    <t>-673.534554915214 120.967589436957 -464.223181663468</t>
  </si>
  <si>
    <t>-680.296024153072 110.738200765112 -573.055612474918</t>
  </si>
  <si>
    <t>-678.450574495468 98.0027894541315 -681.818005767938</t>
  </si>
  <si>
    <t>-666.977129307962 77.5446316985992 -832.316563052901</t>
  </si>
  <si>
    <t>-631.979623166085 55.7841815720951 -925.508054248493</t>
  </si>
  <si>
    <t>-655.20691616755 113.456163798322 -768.092451948923</t>
  </si>
  <si>
    <t>-560.484186629906 224.984472974542 -753.508590939942</t>
  </si>
  <si>
    <t>-442.189379351318 151.639074739834 -469.23229913135</t>
  </si>
  <si>
    <t>-253.557900093207 57.7839231509317 -316.748254294465</t>
  </si>
  <si>
    <t>-688.900709591525 59.7372058107119 -763.358752402303</t>
  </si>
  <si>
    <t>-579.124357829833 221.453857703199 -245.149771069132</t>
  </si>
  <si>
    <t>-592.336664262928 206.365803055943 210.103301928161</t>
  </si>
  <si>
    <t>-629.137200725474 173.602974112711 677.395940560704</t>
  </si>
  <si>
    <t>-500.222701197874 93.2976931859623 766.140659836898</t>
  </si>
  <si>
    <t>-657.286493818488 45.1819305136471 -213.454055107611</t>
  </si>
  <si>
    <t>-493.107289921527 -90.4150753913004 189.430958267528</t>
  </si>
  <si>
    <t>-510.510116744912 -18.7461108397079 653.406586860434</t>
  </si>
  <si>
    <t>-492.088938265025 -168.035665233868 744.603117639239</t>
  </si>
  <si>
    <t>9763-20170724T160533.625826200.bin</t>
  </si>
  <si>
    <t>-618.178456613177 133.243824230185 -229.670675801395</t>
  </si>
  <si>
    <t>-656.287300443144 129.587869970687 -344.571281168892</t>
  </si>
  <si>
    <t>-673.394973923586 120.944207374719 -464.25070258176</t>
  </si>
  <si>
    <t>-680.149350827285 110.751833470013 -573.086972814567</t>
  </si>
  <si>
    <t>-678.30237975249 98.0608801683622 -681.854658747166</t>
  </si>
  <si>
    <t>-666.832519298363 77.6717538468858 -832.362839938748</t>
  </si>
  <si>
    <t>-631.853561831576 55.9495203898 -925.570132958054</t>
  </si>
  <si>
    <t>-655.045873421513 113.544756911591 -768.120157463885</t>
  </si>
  <si>
    <t>-560.287245198365 225.03592221396 -753.524059420679</t>
  </si>
  <si>
    <t>-442.356782131527 151.398166223402 -469.172062634819</t>
  </si>
  <si>
    <t>-256.907623887293 53.9315545938275 -315.05864762274</t>
  </si>
  <si>
    <t>-688.769291338073 59.8418520817179 -763.415138135207</t>
  </si>
  <si>
    <t>-578.986957831015 221.366407735058 -245.141196652384</t>
  </si>
  <si>
    <t>-592.34398517715 206.354941377081 210.110298498017</t>
  </si>
  <si>
    <t>-629.155383842984 173.577858786929 677.392439251855</t>
  </si>
  <si>
    <t>-500.240126929123 93.2740265844527 766.13737924047</t>
  </si>
  <si>
    <t>-657.290312187828 45.1246208546875 -213.47482069062</t>
  </si>
  <si>
    <t>-493.061621095526 -90.3826457242724 189.420201396448</t>
  </si>
  <si>
    <t>-510.528456961339 -18.757566022239 653.40894298795</t>
  </si>
  <si>
    <t>-492.013189503108 -168.026224516495 744.620530029712</t>
  </si>
  <si>
    <t>9763-20170724T160533.690000100.bin</t>
  </si>
  <si>
    <t>-617.972362071222 133.108282420409 -229.654713942595</t>
  </si>
  <si>
    <t>-655.931839548207 129.432996098207 -344.604235091345</t>
  </si>
  <si>
    <t>-672.969595618649 120.821950552585 -464.296059432895</t>
  </si>
  <si>
    <t>-679.694703837701 110.679441002939 -573.138846025567</t>
  </si>
  <si>
    <t>-677.852714511942 98.0579776344841 -681.914529887505</t>
  </si>
  <si>
    <t>-666.425043490845 77.7852383188983 -832.44179440735</t>
  </si>
  <si>
    <t>-631.478449715765 56.1342113615963 -925.677674352198</t>
  </si>
  <si>
    <t>-654.584198712705 113.58622753768 -768.168946832169</t>
  </si>
  <si>
    <t>-559.690418942421 224.965390827954 -753.498962603102</t>
  </si>
  <si>
    <t>-442.481265298493 151.176545491172 -468.887883750442</t>
  </si>
  <si>
    <t>-262.879180457792 45.9982474672354 -312.930508235991</t>
  </si>
  <si>
    <t>-688.378707921884 59.9243177556896 -763.507406843567</t>
  </si>
  <si>
    <t>-578.526433252999 221.079861888402 -245.143206799115</t>
  </si>
  <si>
    <t>-592.446915030214 206.297687149174 210.098920548924</t>
  </si>
  <si>
    <t>-629.31464872169 173.296364090776 677.351101285446</t>
  </si>
  <si>
    <t>-500.194451398517 93.3623015211608 766.131935838308</t>
  </si>
  <si>
    <t>-657.299925484197 45.1647766489732 -213.493364609529</t>
  </si>
  <si>
    <t>-493.247758285991 -90.2932513912529 189.490073370134</t>
  </si>
  <si>
    <t>-510.620596186942 -18.7061421431481 653.525925479031</t>
  </si>
  <si>
    <t>-491.768918060247 -167.988222560858 744.646495586397</t>
  </si>
  <si>
    <t>9763-20170724T160533.724610200.bin</t>
  </si>
  <si>
    <t>-617.867958570379 133.115310017506 -229.666292122434</t>
  </si>
  <si>
    <t>-655.787133692543 129.447978576619 -344.629206213396</t>
  </si>
  <si>
    <t>-672.819789845288 120.849615675461 -464.322740181632</t>
  </si>
  <si>
    <t>-679.554950090017 110.721675846052 -573.166264297578</t>
  </si>
  <si>
    <t>-677.737382887931 98.1187269856232 -681.944601298941</t>
  </si>
  <si>
    <t>-666.358216200274 77.876400274441 -832.479466077045</t>
  </si>
  <si>
    <t>-631.432910239722 56.2473950082833 -925.728457517277</t>
  </si>
  <si>
    <t>-654.487189238951 113.658640188452 -768.201717278109</t>
  </si>
  <si>
    <t>-559.596167225323 225.044505859026 -753.565522305946</t>
  </si>
  <si>
    <t>-442.71463512402 151.170710128764 -468.841832798119</t>
  </si>
  <si>
    <t>-266.600638550678 41.1448011003586 -312.252521159279</t>
  </si>
  <si>
    <t>-688.299056701926 60.0074153944856 -763.543130484517</t>
  </si>
  <si>
    <t>-578.217340220953 221.044819717606 -245.160482688621</t>
  </si>
  <si>
    <t>-592.382789285271 206.370321146223 210.077434774615</t>
  </si>
  <si>
    <t>-629.265134238565 173.314196739309 677.29432081434</t>
  </si>
  <si>
    <t>-500.285300496603 93.2266188336555 766.140785131965</t>
  </si>
  <si>
    <t>-657.427919822976 45.1933590823714 -213.511949082424</t>
  </si>
  <si>
    <t>-493.504815688638 -90.3094063895519 189.508980102478</t>
  </si>
  <si>
    <t>-510.70222633452 -18.7075377721089 653.540174756881</t>
  </si>
  <si>
    <t>-491.657685483392 -167.973322709666 744.647647804341</t>
  </si>
  <si>
    <t>9763-20170724T160533.790790500.bin</t>
  </si>
  <si>
    <t>-617.553501448351 132.948116256104 -229.715839689602</t>
  </si>
  <si>
    <t>-655.356465698964 129.287014662941 -344.71717728529</t>
  </si>
  <si>
    <t>-672.370664657099 120.699001091101 -464.414052466793</t>
  </si>
  <si>
    <t>-679.129926054128 110.585635058183 -573.257456750741</t>
  </si>
  <si>
    <t>-677.376992374653 98.0043462273579 -682.039317855564</t>
  </si>
  <si>
    <t>-666.128975412166 77.8010632129931 -832.58936897845</t>
  </si>
  <si>
    <t>-631.215570289106 56.1979926926781 -925.848963096794</t>
  </si>
  <si>
    <t>-654.186709559689 113.557120079811 -768.310293546868</t>
  </si>
  <si>
    <t>-559.390414327333 225.027484081642 -753.779393347451</t>
  </si>
  <si>
    <t>-443.512926627985 151.034988890037 -468.676348165772</t>
  </si>
  <si>
    <t>-272.197199909196 33.5089667666271 -312.213518385005</t>
  </si>
  <si>
    <t>-688.02512304774 59.9235601738083 -763.640947190897</t>
  </si>
  <si>
    <t>-577.565124254854 220.720973487592 -245.21055510393</t>
  </si>
  <si>
    <t>-592.389065285944 206.333569390129 210.015750149385</t>
  </si>
  <si>
    <t>-629.34612802605 173.096712436058 677.193123345064</t>
  </si>
  <si>
    <t>-500.30510615735 93.2369655552043 766.155740298949</t>
  </si>
  <si>
    <t>-657.407787766331 45.1770875874904 -213.513538225465</t>
  </si>
  <si>
    <t>-493.85116239001 -90.5426844457882 189.583285932693</t>
  </si>
  <si>
    <t>-510.824491912612 -18.6635155483684 653.640506360987</t>
  </si>
  <si>
    <t>-491.58104877572 -167.972251482992 744.635638917929</t>
  </si>
  <si>
    <t>9763-20170724T160533.827891800.bin</t>
  </si>
  <si>
    <t>-617.247043952189 132.893472405105 -229.738898386959</t>
  </si>
  <si>
    <t>-654.990583148806 129.230221637728 -344.759854062129</t>
  </si>
  <si>
    <t>-671.990968441638 120.666929239555 -464.460381230062</t>
  </si>
  <si>
    <t>-678.756416831494 110.588831669038 -573.306629566981</t>
  </si>
  <si>
    <t>-677.027689184924 98.0570570288915 -682.094596118115</t>
  </si>
  <si>
    <t>-665.831251483887 77.9384070642618 -832.659939295766</t>
  </si>
  <si>
    <t>-630.907876094577 56.3694605919231 -925.923525009874</t>
  </si>
  <si>
    <t>-653.864929520432 113.657086220395 -768.364541877811</t>
  </si>
  <si>
    <t>-559.099230149815 225.139204213515 -753.779466357551</t>
  </si>
  <si>
    <t>-443.70156120139 151.05949803335 -468.504433114641</t>
  </si>
  <si>
    <t>-274.067712641112 30.8467219129811 -312.250554951449</t>
  </si>
  <si>
    <t>-687.705777444508 60.0234224188091 -763.714290362245</t>
  </si>
  <si>
    <t>-577.146588884161 220.648061484398 -245.238061563397</t>
  </si>
  <si>
    <t>-592.277980772592 206.354628529803 209.980992463096</t>
  </si>
  <si>
    <t>-629.337347399813 173.08209122873 677.146355171305</t>
  </si>
  <si>
    <t>-500.367210457775 93.1670876142425 766.162139101862</t>
  </si>
  <si>
    <t>-657.161356964489 45.1534782699889 -213.545886823595</t>
  </si>
  <si>
    <t>-493.836314748292 -90.6613019128874 189.612725960053</t>
  </si>
  <si>
    <t>-510.810124096541 -18.6130987994534 653.682285295041</t>
  </si>
  <si>
    <t>-491.551927206917 -167.964341753326 744.604528223693</t>
  </si>
  <si>
    <t>9763-20170724T160533.893130300.bin</t>
  </si>
  <si>
    <t>-616.665771012778 132.765943001061 -229.739418501927</t>
  </si>
  <si>
    <t>-654.353061107008 129.106912247426 -344.778998227037</t>
  </si>
  <si>
    <t>-671.308939708004 120.606155775277 -464.490304622028</t>
  </si>
  <si>
    <t>-678.038307255034 110.609950613398 -573.34628848881</t>
  </si>
  <si>
    <t>-676.276742900763 98.1865478182906 -682.146111988212</t>
  </si>
  <si>
    <t>-665.037258232738 78.2467207931002 -832.731986535118</t>
  </si>
  <si>
    <t>-630.068950060607 56.7862555453871 -926.00394473745</t>
  </si>
  <si>
    <t>-653.102188088997 113.897061447421 -768.392775938124</t>
  </si>
  <si>
    <t>-558.387446301752 225.412016878795 -753.624182816452</t>
  </si>
  <si>
    <t>-443.615614221485 151.215191440517 -468.127343933312</t>
  </si>
  <si>
    <t>-276.846119490549 26.5833854481202 -312.252702529372</t>
  </si>
  <si>
    <t>-686.918555485277 60.2419156067301 -763.812132126029</t>
  </si>
  <si>
    <t>-576.54503232445 220.479099789067 -245.24383822743</t>
  </si>
  <si>
    <t>-591.975602123279 206.206216230514 209.965802447019</t>
  </si>
  <si>
    <t>-629.444230247165 172.906501927127 677.10828360293</t>
  </si>
  <si>
    <t>-500.405644094347 93.1710188471418 766.185814931847</t>
  </si>
  <si>
    <t>-656.655557692046 45.0974443260072 -213.502079661474</t>
  </si>
  <si>
    <t>-493.681325338863 -90.9073575684274 189.734581807557</t>
  </si>
  <si>
    <t>-510.797555601148 -18.5078505860131 653.747652410649</t>
  </si>
  <si>
    <t>-491.407806660874 -167.946730548106 744.497705458559</t>
  </si>
  <si>
    <t>9763-20170724T160533.930733000.bin</t>
  </si>
  <si>
    <t>-616.368562870929 132.764808875901 -229.743056040833</t>
  </si>
  <si>
    <t>-654.029847964964 129.101112208531 -344.791005771712</t>
  </si>
  <si>
    <t>-670.961214909375 120.633852628509 -464.50814055718</t>
  </si>
  <si>
    <t>-677.668070945819 110.685709954809 -573.369994140394</t>
  </si>
  <si>
    <t>-675.883179042497 98.3290401377126 -682.177026926594</t>
  </si>
  <si>
    <t>-664.609333164387 78.5028094892671 -832.775305777481</t>
  </si>
  <si>
    <t>-629.62804624557 57.1358528618471 -926.063806712066</t>
  </si>
  <si>
    <t>-652.707597316195 114.116040629329 -768.409466059519</t>
  </si>
  <si>
    <t>-558.030154258529 225.632543458371 -753.540029758641</t>
  </si>
  <si>
    <t>-443.453482291901 151.343147010951 -467.988904606036</t>
  </si>
  <si>
    <t>-277.869006079494 24.7557355436834 -312.427213267939</t>
  </si>
  <si>
    <t>-686.4877244465 60.4345598111647 -763.870987271283</t>
  </si>
  <si>
    <t>-576.18726899381 220.431540441836 -245.234896263993</t>
  </si>
  <si>
    <t>-591.821574777033 206.219096424574 209.969697136789</t>
  </si>
  <si>
    <t>-629.433918670667 172.928777735138 677.087586141524</t>
  </si>
  <si>
    <t>-500.5187294498 93.0370513026007 766.203767799876</t>
  </si>
  <si>
    <t>-656.431638324646 45.1418748694391 -213.527910697281</t>
  </si>
  <si>
    <t>-493.662620448667 -90.9261676340072 189.770308668257</t>
  </si>
  <si>
    <t>-510.812902952684 -18.4501434043525 653.791895318476</t>
  </si>
  <si>
    <t>-491.302782526543 -167.933986023846 744.442068629934</t>
  </si>
  <si>
    <t>9763-20170724T160533.990394900.bin</t>
  </si>
  <si>
    <t>-616.021514826202 132.703656662717 -229.738905979053</t>
  </si>
  <si>
    <t>-653.603364269066 128.982802736035 -344.810839568084</t>
  </si>
  <si>
    <t>-670.494896531468 120.541716858681 -464.535503386053</t>
  </si>
  <si>
    <t>-677.18154429336 110.652282351555 -573.403894814055</t>
  </si>
  <si>
    <t>-675.391213553851 98.3901633609778 -682.221611978587</t>
  </si>
  <si>
    <t>-664.124273676792 78.7328031729382 -832.842465734488</t>
  </si>
  <si>
    <t>-629.129784261467 57.5387684982366 -926.16546160616</t>
  </si>
  <si>
    <t>-652.246923371382 114.290754254513 -768.44155768528</t>
  </si>
  <si>
    <t>-557.665707894714 225.888221419036 -753.484597755205</t>
  </si>
  <si>
    <t>-443.235109007765 151.3248744329 -467.946239123061</t>
  </si>
  <si>
    <t>-280.181234144216 20.1938434519775 -313.478978817264</t>
  </si>
  <si>
    <t>-685.972072665517 60.5705110261115 -763.953292690014</t>
  </si>
  <si>
    <t>-575.740113965635 220.343913866372 -245.245205100853</t>
  </si>
  <si>
    <t>-591.659773027255 206.19164444016 209.951273618624</t>
  </si>
  <si>
    <t>-629.482007932374 172.856692240656 677.03070695457</t>
  </si>
  <si>
    <t>-500.517129163178 93.1134793711115 766.208014343578</t>
  </si>
  <si>
    <t>-656.192124824826 45.1122464047721 -213.527920274009</t>
  </si>
  <si>
    <t>-493.74313839189 -91.0790111579895 189.857676249019</t>
  </si>
  <si>
    <t>-510.831814002084 -18.34794203504 653.865110933399</t>
  </si>
  <si>
    <t>-491.065742460554 -167.916699393321 744.319357381932</t>
  </si>
  <si>
    <t>9763-20170724T160534.027005000.bin</t>
  </si>
  <si>
    <t>-615.773991114996 132.551780147938 -229.741220535339</t>
  </si>
  <si>
    <t>-653.307440464623 128.817037066078 -344.828618202532</t>
  </si>
  <si>
    <t>-670.164523151009 120.387143216444 -464.558913155566</t>
  </si>
  <si>
    <t>-676.8254571075 110.519015285241 -573.430922489048</t>
  </si>
  <si>
    <t>-675.01508294715 98.2891731207562 -682.251838505142</t>
  </si>
  <si>
    <t>-663.725869601614 78.6883559620489 -832.878516326094</t>
  </si>
  <si>
    <t>-628.736043976304 57.5751673316611 -926.221405675206</t>
  </si>
  <si>
    <t>-651.870860801177 114.229865001196 -768.464330288063</t>
  </si>
  <si>
    <t>-557.386134281298 225.919776111455 -753.53350195378</t>
  </si>
  <si>
    <t>-443.091363805561 151.269745910395 -467.963478236504</t>
  </si>
  <si>
    <t>-281.084586152909 18.3204949629196 -313.949419025056</t>
  </si>
  <si>
    <t>-685.571154963928 60.4923250268102 -763.997404519144</t>
  </si>
  <si>
    <t>-575.547326589882 220.169607727829 -245.233146814312</t>
  </si>
  <si>
    <t>-591.601524573581 206.111523279057 209.961640696667</t>
  </si>
  <si>
    <t>-629.591404238466 172.714446287277 677.028960664432</t>
  </si>
  <si>
    <t>-500.515237642733 93.1616485829977 766.215348877068</t>
  </si>
  <si>
    <t>-655.844146765377 44.9488678457749 -213.556984037034</t>
  </si>
  <si>
    <t>-493.603703764945 -91.2669105934226 189.904186481171</t>
  </si>
  <si>
    <t>-510.757589914959 -18.3117901436722 653.861039179247</t>
  </si>
  <si>
    <t>-491.053465459731 -167.924101709829 744.256823436039</t>
  </si>
  <si>
    <t>9763-20170724T160534.091679300.bin</t>
  </si>
  <si>
    <t>-615.259361076386 132.162525985453 -229.811890641512</t>
  </si>
  <si>
    <t>-652.707136560575 128.389949272782 -344.925916776469</t>
  </si>
  <si>
    <t>-669.569098650303 119.954165011153 -464.655042164992</t>
  </si>
  <si>
    <t>-676.272249839415 110.094661394429 -573.525298137633</t>
  </si>
  <si>
    <t>-674.54146240433 97.8879691386371 -682.35010739457</t>
  </si>
  <si>
    <t>-663.400979924809 78.3347277817234 -832.994009142351</t>
  </si>
  <si>
    <t>-628.4868850211 57.3316396830387 -926.390211054514</t>
  </si>
  <si>
    <t>-651.502078343038 113.868021001158 -768.583477702629</t>
  </si>
  <si>
    <t>-557.412596037796 225.917045796459 -753.892945080277</t>
  </si>
  <si>
    <t>-443.303057054499 151.252667033079 -468.252564432826</t>
  </si>
  <si>
    <t>-282.30368758869 16.7988799798948 -314.488277828279</t>
  </si>
  <si>
    <t>-685.15856451899 60.1047880886081 -764.094118870692</t>
  </si>
  <si>
    <t>-575.138395341702 219.812266397644 -245.269135504076</t>
  </si>
  <si>
    <t>-591.384817451888 205.853153461887 209.921888724868</t>
  </si>
  <si>
    <t>-629.675823969227 172.613345271187 676.984192686881</t>
  </si>
  <si>
    <t>-500.54911398377 93.1894739853949 766.212278567493</t>
  </si>
  <si>
    <t>-655.235019788077 44.5344185615686 -213.640359886995</t>
  </si>
  <si>
    <t>-493.234474448035 -91.5830043400972 189.95043950727</t>
  </si>
  <si>
    <t>-510.658733547864 -18.2730342878931 653.829163288696</t>
  </si>
  <si>
    <t>-491.048084220355 -167.943621279495 744.148855592974</t>
  </si>
  <si>
    <t>9763-20170724T160534.125275600.bin</t>
  </si>
  <si>
    <t>-614.91814736432 131.847447377646 -229.83591507818</t>
  </si>
  <si>
    <t>-652.344732082452 128.051737542172 -344.956103817253</t>
  </si>
  <si>
    <t>-669.237235752697 119.620514474035 -464.681218827074</t>
  </si>
  <si>
    <t>-675.988985907742 109.777192528205 -573.549805118195</t>
  </si>
  <si>
    <t>-674.327472870925 97.5988583488263 -682.378995097105</t>
  </si>
  <si>
    <t>-663.304160771757 78.0978124144744 -833.038159638312</t>
  </si>
  <si>
    <t>-628.431517327354 57.1496809734322 -926.462234232396</t>
  </si>
  <si>
    <t>-651.370752716929 113.618381955986 -768.627057153332</t>
  </si>
  <si>
    <t>-557.411639687492 225.790766917714 -754.050686156673</t>
  </si>
  <si>
    <t>-443.49397811651 151.294297362176 -468.289917233819</t>
  </si>
  <si>
    <t>-282.875135261498 16.2591581812515 -314.637184157201</t>
  </si>
  <si>
    <t>-684.992527055381 59.8344477004418 -764.125332489576</t>
  </si>
  <si>
    <t>-574.864585673675 219.480298906415 -245.283794598889</t>
  </si>
  <si>
    <t>-591.228569075591 205.62972434197 209.906305319285</t>
  </si>
  <si>
    <t>-629.759960895567 172.511641969222 676.977145327069</t>
  </si>
  <si>
    <t>-500.506210418558 93.2974668563261 766.20771447776</t>
  </si>
  <si>
    <t>-654.832081357516 44.2075750373501 -213.702786097278</t>
  </si>
  <si>
    <t>-493.022970967254 -91.8093787045466 189.998730714806</t>
  </si>
  <si>
    <t>-510.610763742269 -18.2643503048544 653.821181324303</t>
  </si>
  <si>
    <t>-491.022521066137 -167.950794540157 744.119497440835</t>
  </si>
  <si>
    <t>9763-20170724T160534.189947700.bin</t>
  </si>
  <si>
    <t>-614.281287991086 131.170561395019 -229.891860699407</t>
  </si>
  <si>
    <t>-651.718025676107 127.372052204559 -345.008693982405</t>
  </si>
  <si>
    <t>-668.687846275765 119.003719230123 -464.72726666201</t>
  </si>
  <si>
    <t>-675.536191981683 109.243267268601 -573.597310870954</t>
  </si>
  <si>
    <t>-673.997088905609 97.173173124894 -682.440260746516</t>
  </si>
  <si>
    <t>-663.169882090832 77.848026436847 -833.13645366717</t>
  </si>
  <si>
    <t>-628.361247467509 56.9648619452389 -926.598853410654</t>
  </si>
  <si>
    <t>-651.157790993033 113.296558141035 -768.700073011031</t>
  </si>
  <si>
    <t>-557.362465345226 225.590172984933 -753.999612475336</t>
  </si>
  <si>
    <t>-444.022342625153 151.282054488851 -467.960327124379</t>
  </si>
  <si>
    <t>-281.172731832698 20.8610124178931 -312.678661079585</t>
  </si>
  <si>
    <t>-684.763316923214 59.5011256086364 -764.215985133199</t>
  </si>
  <si>
    <t>-574.34394463396 218.840817010853 -245.32205282185</t>
  </si>
  <si>
    <t>-590.809153415669 205.132187707645 209.868790961391</t>
  </si>
  <si>
    <t>-629.898720015147 172.308607383162 676.916261000037</t>
  </si>
  <si>
    <t>-500.613588406755 93.2029195945681 766.197593270824</t>
  </si>
  <si>
    <t>-654.126914946348 43.5198765402108 -213.765864005901</t>
  </si>
  <si>
    <t>-492.461871207674 -92.4259691549987 190.017269070664</t>
  </si>
  <si>
    <t>-510.505112720844 -18.3162498409904 653.727746907155</t>
  </si>
  <si>
    <t>-491.007840260595 -167.988177767219 744.06976842553</t>
  </si>
  <si>
    <t>9763-20170724T160534.223036300.bin</t>
  </si>
  <si>
    <t>-613.967295351112 130.764305581355 -229.887783171177</t>
  </si>
  <si>
    <t>-651.415166756555 126.93237325671 -344.999746047178</t>
  </si>
  <si>
    <t>-668.399314602827 118.610012072029 -464.719673457036</t>
  </si>
  <si>
    <t>-675.260978310758 108.922642245275 -573.59531273868</t>
  </si>
  <si>
    <t>-673.734422323581 96.9571349840978 -682.450029695948</t>
  </si>
  <si>
    <t>-662.922884119449 77.8098650848533 -833.17005519141</t>
  </si>
  <si>
    <t>-628.117103988723 56.9840667311266 -926.646340285201</t>
  </si>
  <si>
    <t>-650.900282985278 113.180006907445 -768.692663597707</t>
  </si>
  <si>
    <t>-557.104470341493 225.434812857258 -753.775989466086</t>
  </si>
  <si>
    <t>-444.070071518662 151.342783700587 -467.55963205357</t>
  </si>
  <si>
    <t>-278.672025507002 25.4559306584429 -311.232922561905</t>
  </si>
  <si>
    <t>-684.513041781431 59.3838485095796 -764.269518026261</t>
  </si>
  <si>
    <t>-574.085520358607 218.411438851075 -245.341371535443</t>
  </si>
  <si>
    <t>-590.631725318803 204.901846119279 209.852452960742</t>
  </si>
  <si>
    <t>-629.969374963379 172.222676978102 676.902760070939</t>
  </si>
  <si>
    <t>-500.647780933187 93.190343066969 766.196255305827</t>
  </si>
  <si>
    <t>-653.747568132149 43.1226682419199 -213.738510759782</t>
  </si>
  <si>
    <t>-492.111870572957 -92.823506981832 190.056224459799</t>
  </si>
  <si>
    <t>-510.405374660066 -18.3464223497565 653.677164465876</t>
  </si>
  <si>
    <t>-491.046389208744 -168.012615491736 744.058443889866</t>
  </si>
  <si>
    <t>9763-20170724T160534.294239600.bin</t>
  </si>
  <si>
    <t>-613.516531310397 129.809830531156 -229.917620576997</t>
  </si>
  <si>
    <t>-651.049782030728 126.007846600482 -345.002894962692</t>
  </si>
  <si>
    <t>-668.06569635506 117.790698458937 -464.725502667155</t>
  </si>
  <si>
    <t>-674.931733515479 108.228996708669 -573.611998739848</t>
  </si>
  <si>
    <t>-673.383832286569 96.4198957519188 -682.483375710448</t>
  </si>
  <si>
    <t>-662.514980304536 77.5219507212614 -833.230795084567</t>
  </si>
  <si>
    <t>-627.635625475389 56.8124375882526 -926.705525513405</t>
  </si>
  <si>
    <t>-650.50497570527 112.77808408696 -768.688600834657</t>
  </si>
  <si>
    <t>-556.775252235514 225.047308604099 -753.389741605904</t>
  </si>
  <si>
    <t>-443.571031473815 151.805450283581 -467.021688246507</t>
  </si>
  <si>
    <t>-272.504353035244 34.9683482582354 -309.772307903235</t>
  </si>
  <si>
    <t>-684.143251739582 58.9893156468497 -764.370919459952</t>
  </si>
  <si>
    <t>-573.671199992607 217.463955175258 -245.393076241691</t>
  </si>
  <si>
    <t>-590.227150699207 204.282864707931 209.809991420546</t>
  </si>
  <si>
    <t>-630.059336818362 172.136701321582 676.878518575667</t>
  </si>
  <si>
    <t>-500.727318543528 93.1346533479787 766.183691509733</t>
  </si>
  <si>
    <t>-653.275330702341 42.1725893086104 -213.749595741943</t>
  </si>
  <si>
    <t>-491.456897829536 -93.5697318404084 190.040558779475</t>
  </si>
  <si>
    <t>-510.239765997088 -18.4384057359305 653.536001403194</t>
  </si>
  <si>
    <t>-491.167150897761 -168.065024228792 744.043630397823</t>
  </si>
  <si>
    <t>9763-20170724T160534.328869100.bin</t>
  </si>
  <si>
    <t>-613.448386513239 129.262463805866 -229.956977933271</t>
  </si>
  <si>
    <t>-651.030666254826 125.479509546379 -345.026830665257</t>
  </si>
  <si>
    <t>-668.073298144774 117.332085973982 -464.750329103467</t>
  </si>
  <si>
    <t>-674.953022313794 107.853594174941 -573.643387684153</t>
  </si>
  <si>
    <t>-673.407497678974 96.1477678636402 -682.5261219972</t>
  </si>
  <si>
    <t>-662.529450036987 77.4141541034239 -833.293147024187</t>
  </si>
  <si>
    <t>-627.583779752333 56.8085335429357 -926.766133143725</t>
  </si>
  <si>
    <t>-650.516876409697 112.595936612418 -768.710862590136</t>
  </si>
  <si>
    <t>-556.794468670695 224.85038726826 -753.261104243575</t>
  </si>
  <si>
    <t>-443.196009148709 151.876380459024 -466.980687228516</t>
  </si>
  <si>
    <t>-268.667710881901 39.2758179217869 -310.446245090527</t>
  </si>
  <si>
    <t>-684.168351950824 58.8105397578138 -764.4558477778</t>
  </si>
  <si>
    <t>-573.638279334613 216.866087249118 -245.43559026682</t>
  </si>
  <si>
    <t>-590.036007144381 203.753802841862 209.775175088895</t>
  </si>
  <si>
    <t>-630.16794075053 171.982468624257 676.864513652093</t>
  </si>
  <si>
    <t>-500.612720937582 93.341172133305 766.164604796718</t>
  </si>
  <si>
    <t>-653.194047772868 41.6983452556869 -213.767494118041</t>
  </si>
  <si>
    <t>-491.340414057823 -93.8759248958193 190.064978555094</t>
  </si>
  <si>
    <t>-510.208046567464 -18.4931818108034 653.49276430524</t>
  </si>
  <si>
    <t>-491.160031099843 -168.086630072532 744.060456971461</t>
  </si>
  <si>
    <t>9763-20170724T160534.394546200.bin</t>
  </si>
  <si>
    <t>-613.282529153965 128.208558344222 -230.069489619418</t>
  </si>
  <si>
    <t>-650.950271432517 124.510949919244 -345.114125508008</t>
  </si>
  <si>
    <t>-668.094225942596 116.480065319736 -464.831185941689</t>
  </si>
  <si>
    <t>-675.070244480135 107.119876540509 -573.728288499048</t>
  </si>
  <si>
    <t>-673.625006374763 95.5449554908651 -682.626353426758</t>
  </si>
  <si>
    <t>-662.889394974868 77.0065401271863 -833.427743869873</t>
  </si>
  <si>
    <t>-627.818875250907 56.5448261224112 -926.885513375738</t>
  </si>
  <si>
    <t>-650.79665208655 112.092740015782 -768.808539931245</t>
  </si>
  <si>
    <t>-557.153769832102 224.392255834669 -753.223192356992</t>
  </si>
  <si>
    <t>-442.166218417728 152.177920460926 -467.305048591369</t>
  </si>
  <si>
    <t>-265.895062547638 41.9937584175443 -311.004124362704</t>
  </si>
  <si>
    <t>-684.482606345789 58.3255453427132 -764.596994281981</t>
  </si>
  <si>
    <t>-573.459896113143 215.791959817912 -245.510291996638</t>
  </si>
  <si>
    <t>-589.54259839487 202.83616447559 209.71619063272</t>
  </si>
  <si>
    <t>-630.191453613211 172.004202856613 676.844026235892</t>
  </si>
  <si>
    <t>-500.822722919575 93.0679105969934 766.154203244239</t>
  </si>
  <si>
    <t>-652.96731913657 40.6541561414358 -213.943827117907</t>
  </si>
  <si>
    <t>-491.261005166866 -94.4204250669513 190.115082957532</t>
  </si>
  <si>
    <t>-510.15772630886 -18.5923857862103 653.445318947244</t>
  </si>
  <si>
    <t>-491.105439634748 -168.112433779507 744.133083664285</t>
  </si>
  <si>
    <t>9763-20170724T160534.423623000.bin</t>
  </si>
  <si>
    <t>-613.185235004035 127.561360070626 -230.100036457876</t>
  </si>
  <si>
    <t>-650.884214575542 123.901960884956 -345.135655475827</t>
  </si>
  <si>
    <t>-668.050204412182 115.946392241594 -464.854517656182</t>
  </si>
  <si>
    <t>-675.042173600186 106.665933243424 -573.757407759849</t>
  </si>
  <si>
    <t>-673.608903870148 95.1804255213419 -682.665056853616</t>
  </si>
  <si>
    <t>-662.885585569034 76.7749162458178 -833.483557471805</t>
  </si>
  <si>
    <t>-627.747192112586 56.4240401705902 -926.940173213394</t>
  </si>
  <si>
    <t>-650.747717782176 111.779774348282 -768.828878583914</t>
  </si>
  <si>
    <t>-556.938488467929 223.918470959924 -753.092080282137</t>
  </si>
  <si>
    <t>-441.915113630715 151.879750502927 -467.144165068315</t>
  </si>
  <si>
    <t>-264.556112926421 43.1392611568567 -311.062991279564</t>
  </si>
  <si>
    <t>-684.512920579886 58.0578026314965 -764.673459474597</t>
  </si>
  <si>
    <t>-573.409950370449 215.108092443017 -245.540305179851</t>
  </si>
  <si>
    <t>-589.351772246486 202.281974589487 209.69476675355</t>
  </si>
  <si>
    <t>-630.311527468335 171.841064400551 676.841498359574</t>
  </si>
  <si>
    <t>-500.815050046916 93.0988336604757 766.137849363024</t>
  </si>
  <si>
    <t>-652.829782561033 39.9929479744039 -213.988572588641</t>
  </si>
  <si>
    <t>-491.183078828927 -94.8199930480953 190.181555487878</t>
  </si>
  <si>
    <t>-510.090186732525 -18.6400096625932 653.437493223056</t>
  </si>
  <si>
    <t>-491.13632169411 -168.132897384196 744.190659474127</t>
  </si>
  <si>
    <t>9763-20170724T160534.494539000.bin</t>
  </si>
  <si>
    <t>-612.99759428465 126.263290442437 -230.11223069042</t>
  </si>
  <si>
    <t>-650.837236372877 122.743740962396 -345.1059677782</t>
  </si>
  <si>
    <t>-668.068517881679 114.920940903021 -464.824201324669</t>
  </si>
  <si>
    <t>-675.087537693508 105.754368400269 -573.73503549104</t>
  </si>
  <si>
    <t>-673.648718313718 94.3757148084353 -682.653795367186</t>
  </si>
  <si>
    <t>-662.884441885839 76.1097151400495 -833.48654085037</t>
  </si>
  <si>
    <t>-627.647050883701 55.8899421271894 -926.934177138223</t>
  </si>
  <si>
    <t>-650.682456026537 111.004013323255 -768.783997105648</t>
  </si>
  <si>
    <t>-556.550444564346 222.843467153393 -752.831490711938</t>
  </si>
  <si>
    <t>-441.40624255108 151.061921966974 -466.867440222203</t>
  </si>
  <si>
    <t>-263.207146310358 43.2573022284535 -311.094315442371</t>
  </si>
  <si>
    <t>-684.612216917488 57.3796041106998 -764.71146954285</t>
  </si>
  <si>
    <t>-573.190585258247 213.735454470288 -245.575796161247</t>
  </si>
  <si>
    <t>-588.836536929911 201.183211399038 209.677195257678</t>
  </si>
  <si>
    <t>-630.364304483028 171.809795682223 676.855178525208</t>
  </si>
  <si>
    <t>-500.915967026902 92.9701602430173 766.135361858374</t>
  </si>
  <si>
    <t>-652.681169357488 38.8038510953616 -213.972251165481</t>
  </si>
  <si>
    <t>-490.969234493072 -95.7638436982554 190.253450227644</t>
  </si>
  <si>
    <t>-509.950557386249 -18.7650043474198 653.356644959075</t>
  </si>
  <si>
    <t>-491.290985826882 -168.187148262391 744.287191357722</t>
  </si>
  <si>
    <t>9763-20170724T160534.527121200.bin</t>
  </si>
  <si>
    <t>-612.930951063862 125.6650079134 -230.114982255863</t>
  </si>
  <si>
    <t>-650.845727049445 122.212798883627 -345.086111842861</t>
  </si>
  <si>
    <t>-668.114267342044 114.470017121757 -464.804263811293</t>
  </si>
  <si>
    <t>-675.150197490863 105.380975595734 -573.720431769006</t>
  </si>
  <si>
    <t>-673.710960897538 94.0852573715229 -682.6478286415</t>
  </si>
  <si>
    <t>-662.927298347824 75.9408684606503 -833.493750441109</t>
  </si>
  <si>
    <t>-627.643581135436 55.780542111765 -926.936881473934</t>
  </si>
  <si>
    <t>-650.697050170621 110.760403385051 -768.756280572397</t>
  </si>
  <si>
    <t>-556.44508762289 222.479152724602 -752.665854563994</t>
  </si>
  <si>
    <t>-441.419035852173 150.682462107174 -466.657963545371</t>
  </si>
  <si>
    <t>-262.462727638281 43.8410699034362 -311.089493485078</t>
  </si>
  <si>
    <t>-684.700346847725 57.1780832813606 -764.741957561686</t>
  </si>
  <si>
    <t>-573.046689893524 213.099029361557 -245.596688238859</t>
  </si>
  <si>
    <t>-588.5638903381 200.654053710738 209.663664126021</t>
  </si>
  <si>
    <t>-630.363943965604 171.800705594897 676.836762846506</t>
  </si>
  <si>
    <t>-500.981363884415 92.8768740068315 766.137887320488</t>
  </si>
  <si>
    <t>-652.705319607435 38.2616732407835 -213.919012476902</t>
  </si>
  <si>
    <t>-490.932096328964 -96.1781062347895 190.32476125337</t>
  </si>
  <si>
    <t>-509.900476139585 -18.7924292750856 653.361398649511</t>
  </si>
  <si>
    <t>-491.365131096436 -168.20365660957 744.335189848657</t>
  </si>
  <si>
    <t>9763-20170724T160534.592801100.bin</t>
  </si>
  <si>
    <t>-613.004099349868 124.615888517983 -230.139475034007</t>
  </si>
  <si>
    <t>-651.047462712885 121.229997414084 -345.07009862924</t>
  </si>
  <si>
    <t>-668.410748739611 113.628260089901 -464.783495906411</t>
  </si>
  <si>
    <t>-675.516133075696 104.695045690679 -573.70800537267</t>
  </si>
  <si>
    <t>-674.128815042799 93.5825714082234 -682.654922470788</t>
  </si>
  <si>
    <t>-663.398066843489 75.7204832410885 -833.538387084065</t>
  </si>
  <si>
    <t>-628.090646068718 55.6510775041124 -926.992019001527</t>
  </si>
  <si>
    <t>-651.078673265782 110.377278123486 -768.730416072558</t>
  </si>
  <si>
    <t>-556.652574501047 221.920017102805 -752.386175029499</t>
  </si>
  <si>
    <t>-441.338172971067 150.031575602841 -466.517464570579</t>
  </si>
  <si>
    <t>-258.15875497206 48.0728827080288 -312.596160629407</t>
  </si>
  <si>
    <t>-685.213398022459 56.870663449555 -764.823922724382</t>
  </si>
  <si>
    <t>-572.9895620773 211.947233720186 -245.683950669232</t>
  </si>
  <si>
    <t>-588.158930240054 199.743402743498 209.594770685445</t>
  </si>
  <si>
    <t>-630.287737203924 171.870409574002 676.8034108855</t>
  </si>
  <si>
    <t>-501.016869016285 92.8203509850498 766.154637869582</t>
  </si>
  <si>
    <t>-652.893163545237 37.3298596907509 -213.887685130536</t>
  </si>
  <si>
    <t>-491.087567110141 -96.8750761392962 190.421189052534</t>
  </si>
  <si>
    <t>-509.890039819089 -18.8498046859672 653.362617910701</t>
  </si>
  <si>
    <t>-491.435269689664 -168.227966454635 744.407033568867</t>
  </si>
  <si>
    <t>9763-20170724T160534.625889000.bin</t>
  </si>
  <si>
    <t>-613.113243345813 124.111079565183 -230.158648126981</t>
  </si>
  <si>
    <t>-651.204041358366 120.791355483175 -345.075545231163</t>
  </si>
  <si>
    <t>-668.618431424899 113.255111600693 -464.785578935782</t>
  </si>
  <si>
    <t>-675.771323138537 104.379814388626 -573.71179716137</t>
  </si>
  <si>
    <t>-674.432101370297 93.3242226664665 -682.665142249318</t>
  </si>
  <si>
    <t>-663.768973797208 75.5393942075334 -833.562425305826</t>
  </si>
  <si>
    <t>-628.469602908525 55.4700256406518 -927.019075739011</t>
  </si>
  <si>
    <t>-651.383838714666 110.139797811079 -768.737047656083</t>
  </si>
  <si>
    <t>-556.868634528026 221.609731290896 -752.376793109894</t>
  </si>
  <si>
    <t>-441.443265594278 149.872258175469 -466.515156873795</t>
  </si>
  <si>
    <t>-257.041969554849 49.4222036151125 -313.061547111888</t>
  </si>
  <si>
    <t>-685.590321679349 56.6774512565626 -764.853075087865</t>
  </si>
  <si>
    <t>-573.027923731409 211.403238314098 -245.707939336189</t>
  </si>
  <si>
    <t>-588.169188671826 199.374758450555 209.576271256709</t>
  </si>
  <si>
    <t>-630.323637724797 171.795189534191 676.797864945128</t>
  </si>
  <si>
    <t>-501.017114421262 92.8210957882684 766.164705344342</t>
  </si>
  <si>
    <t>-653.111986631816 36.8731498457537 -213.902550523919</t>
  </si>
  <si>
    <t>-491.170530705757 -97.1943856461455 190.39755015004</t>
  </si>
  <si>
    <t>-509.896458101562 -18.913829050133 653.306750923</t>
  </si>
  <si>
    <t>-491.446419985362 -168.24778945796 744.424771929174</t>
  </si>
  <si>
    <t>9763-20170724T160534.691599600.bin</t>
  </si>
  <si>
    <t>-613.24178736233 123.299812595522 -230.203445109319</t>
  </si>
  <si>
    <t>-651.337185813899 120.018032556099 -345.119824858379</t>
  </si>
  <si>
    <t>-668.815634432945 112.562926970432 -464.825691166137</t>
  </si>
  <si>
    <t>-676.050515363861 103.778171664626 -573.75382061727</t>
  </si>
  <si>
    <t>-674.816548549075 92.8304225500644 -682.719316077388</t>
  </si>
  <si>
    <t>-664.322766224517 75.2135894313931 -833.648260565594</t>
  </si>
  <si>
    <t>-629.085135469593 55.1716405321206 -927.134090490945</t>
  </si>
  <si>
    <t>-651.801383388771 109.701790560944 -768.789105560562</t>
  </si>
  <si>
    <t>-557.100849998366 220.993233147135 -752.385395947342</t>
  </si>
  <si>
    <t>-441.385102456106 149.890686247941 -466.482450934137</t>
  </si>
  <si>
    <t>-255.162839235797 51.5481721700103 -313.86503319178</t>
  </si>
  <si>
    <t>-686.130529633328 56.3151520174094 -764.944603170395</t>
  </si>
  <si>
    <t>-573.031935823576 210.45945356107 -245.796432855078</t>
  </si>
  <si>
    <t>-588.212530933397 198.918684361507 209.499055275032</t>
  </si>
  <si>
    <t>-630.209301248431 171.959863917888 676.784160620033</t>
  </si>
  <si>
    <t>-501.169377784267 92.59212201833 766.187579766693</t>
  </si>
  <si>
    <t>-653.295921229708 36.1412136468591 -213.919002632305</t>
  </si>
  <si>
    <t>-491.181490477193 -97.6913200944789 190.389599033684</t>
  </si>
  <si>
    <t>-509.87589025628 -19.0355841762073 653.209426898206</t>
  </si>
  <si>
    <t>-491.497847003788 -168.286690565518 744.477498308851</t>
  </si>
  <si>
    <t>9763-20170724T160534.726197700.bin</t>
  </si>
  <si>
    <t>-613.393784981395 122.903575909825 -230.25230057966</t>
  </si>
  <si>
    <t>-651.535642295183 119.691589103645 -345.155259729654</t>
  </si>
  <si>
    <t>-669.066434570321 112.298422225693 -464.857265827219</t>
  </si>
  <si>
    <t>-676.35064205242 103.565506079724 -573.786281187395</t>
  </si>
  <si>
    <t>-675.168054184966 92.6647104700764 -682.756992274014</t>
  </si>
  <si>
    <t>-664.747691386334 75.1076262832603 -833.69802547041</t>
  </si>
  <si>
    <t>-629.526538465273 55.0465342655771 -927.185989003784</t>
  </si>
  <si>
    <t>-652.151395768404 109.542718953757 -768.825163326469</t>
  </si>
  <si>
    <t>-557.304644397634 220.704288706051 -752.383683572856</t>
  </si>
  <si>
    <t>-441.434334984792 149.986062538855 -466.447870799455</t>
  </si>
  <si>
    <t>-255.378163866037 51.4850465189656 -313.730243766536</t>
  </si>
  <si>
    <t>-686.565344474986 56.2094862814022 -764.997450838221</t>
  </si>
  <si>
    <t>-573.117726891064 210.003872570519 -245.85195662608</t>
  </si>
  <si>
    <t>-588.273953461467 198.587206457171 209.447592152071</t>
  </si>
  <si>
    <t>-630.191761363833 171.963739295425 676.776435346159</t>
  </si>
  <si>
    <t>-501.098226725574 92.6948862463294 766.190193511593</t>
  </si>
  <si>
    <t>-653.540950669605 35.8104187112581 -213.962661664119</t>
  </si>
  <si>
    <t>-491.132870920366 -97.8734635555643 190.277252017856</t>
  </si>
  <si>
    <t>-509.913217775975 -19.1420208877328 653.095317842317</t>
  </si>
  <si>
    <t>-491.468101513365 -168.306502079143 744.491417219615</t>
  </si>
  <si>
    <t>9763-20170724T160534.798388300.bin</t>
  </si>
  <si>
    <t>-613.64735011323 122.262719083443 -230.308557402571</t>
  </si>
  <si>
    <t>-651.871228264175 119.182637446703 -345.187800949091</t>
  </si>
  <si>
    <t>-669.437162033247 111.839321121495 -464.887841179182</t>
  </si>
  <si>
    <t>-676.734060049971 103.118596563869 -573.816955086509</t>
  </si>
  <si>
    <t>-675.54506127997 92.1983852731503 -682.78558348896</t>
  </si>
  <si>
    <t>-665.096427761852 74.5823232256964 -833.717856435869</t>
  </si>
  <si>
    <t>-629.885773808225 54.4450165813394 -927.19332932477</t>
  </si>
  <si>
    <t>-652.440756153514 108.997214746851 -768.845720613469</t>
  </si>
  <si>
    <t>-557.370328766477 219.962201654177 -752.355941546587</t>
  </si>
  <si>
    <t>-441.533479949712 149.822739515234 -466.264234122128</t>
  </si>
  <si>
    <t>-255.265650333673 51.5087803788554 -313.683927301997</t>
  </si>
  <si>
    <t>-686.998478316864 55.7565692034368 -765.02416380496</t>
  </si>
  <si>
    <t>-573.24122987531 209.236299722941 -245.926770087425</t>
  </si>
  <si>
    <t>-588.280841669405 198.031234555083 209.381926499918</t>
  </si>
  <si>
    <t>-630.148866808598 171.998356904754 676.760277304582</t>
  </si>
  <si>
    <t>-501.008102974078 92.8207961066316 766.186724475646</t>
  </si>
  <si>
    <t>-653.929345993601 35.3022707205548 -213.986657249322</t>
  </si>
  <si>
    <t>-490.999680754956 -98.0965388253667 190.137535450037</t>
  </si>
  <si>
    <t>-509.988772362031 -19.338863328888 652.899667633628</t>
  </si>
  <si>
    <t>-491.436809333396 -168.339544982951 744.541014719763</t>
  </si>
  <si>
    <t>9763-20170724T160534.827971500.bin</t>
  </si>
  <si>
    <t>-613.737673396278 122.090766158746 -230.344394572626</t>
  </si>
  <si>
    <t>-651.979621889091 119.039433496151 -345.218515823239</t>
  </si>
  <si>
    <t>-669.567180971749 111.69605004379 -464.915355149371</t>
  </si>
  <si>
    <t>-676.885364128086 102.963791019494 -573.841977545477</t>
  </si>
  <si>
    <t>-675.719321835078 92.0211473410527 -682.808767443013</t>
  </si>
  <si>
    <t>-665.304423547123 74.3628882246551 -833.738342749181</t>
  </si>
  <si>
    <t>-630.103309102713 54.1803829015275 -927.207736020483</t>
  </si>
  <si>
    <t>-652.601213145267 108.774725815867 -768.874146917156</t>
  </si>
  <si>
    <t>-557.438503153824 219.663688653315 -752.390745945457</t>
  </si>
  <si>
    <t>-441.560521183101 149.824705105193 -466.242199878299</t>
  </si>
  <si>
    <t>-255.239226535682 51.5517032010155 -313.700926738326</t>
  </si>
  <si>
    <t>-687.224167072863 55.5775224856739 -765.039275334648</t>
  </si>
  <si>
    <t>-573.240649151517 209.016658699858 -245.963825319575</t>
  </si>
  <si>
    <t>-588.271776441655 197.922316977431 209.347736490225</t>
  </si>
  <si>
    <t>-630.09665802581 172.063315787377 676.748436710706</t>
  </si>
  <si>
    <t>-501.157338673558 92.5853853449535 766.199089211173</t>
  </si>
  <si>
    <t>-654.123446581958 35.1692349409957 -214.005400859718</t>
  </si>
  <si>
    <t>-490.970414724664 -98.0423215637954 190.090409864683</t>
  </si>
  <si>
    <t>-510.031913566186 -19.3857369296491 652.879379869645</t>
  </si>
  <si>
    <t>-491.391909404805 -168.342662025994 744.573919713267</t>
  </si>
  <si>
    <t>9763-20170724T160534.892649300.bin</t>
  </si>
  <si>
    <t>-613.873734679413 122.001710927325 -230.327936089084</t>
  </si>
  <si>
    <t>-652.104219873321 118.951903001087 -345.205794009244</t>
  </si>
  <si>
    <t>-669.734551661049 111.581960766719 -464.894625696953</t>
  </si>
  <si>
    <t>-677.114265188576 102.815188008376 -573.814467897061</t>
  </si>
  <si>
    <t>-676.032729204739 91.8280864445348 -682.777586163109</t>
  </si>
  <si>
    <t>-665.758982277409 74.0982391276912 -833.70854562146</t>
  </si>
  <si>
    <t>-630.592155610055 53.8151100292107 -927.168908373505</t>
  </si>
  <si>
    <t>-652.956826395809 108.516300732639 -768.866897211288</t>
  </si>
  <si>
    <t>-557.670772625948 219.30710958739 -752.440269362035</t>
  </si>
  <si>
    <t>-441.448403585987 149.707927326397 -466.372900951467</t>
  </si>
  <si>
    <t>-254.741790307533 52.0225992548351 -313.925416040092</t>
  </si>
  <si>
    <t>-687.652762502142 55.3699934502104 -764.98563308772</t>
  </si>
  <si>
    <t>-573.231755642569 208.868314210445 -245.990693410825</t>
  </si>
  <si>
    <t>-588.293597410469 197.890489529264 209.322701545118</t>
  </si>
  <si>
    <t>-630.005452936474 172.211813223058 676.75549219035</t>
  </si>
  <si>
    <t>-501.169090352819 92.5580565594826 766.198121420047</t>
  </si>
  <si>
    <t>-654.383095195685 35.1759891782449 -213.964848059249</t>
  </si>
  <si>
    <t>-491.085392054493 -98.0204900934325 190.07752222792</t>
  </si>
  <si>
    <t>-510.086666163986 -19.429438604599 652.894669667184</t>
  </si>
  <si>
    <t>-491.362083325464 -168.352127507152 744.627647204226</t>
  </si>
  <si>
    <t>9763-20170724T160534.926737500.bin</t>
  </si>
  <si>
    <t>-613.912444675063 122.052487069261 -230.284143259211</t>
  </si>
  <si>
    <t>-652.161777687092 119.024300162319 -345.156433345096</t>
  </si>
  <si>
    <t>-669.817199576405 111.6230808497 -464.839714982899</t>
  </si>
  <si>
    <t>-677.222435582651 102.807736362621 -573.753692005359</t>
  </si>
  <si>
    <t>-676.169500082937 91.752542165706 -682.710238811121</t>
  </si>
  <si>
    <t>-665.938952847883 73.9084230533822 -833.630667899415</t>
  </si>
  <si>
    <t>-630.790949899699 53.5329666939858 -927.078222318057</t>
  </si>
  <si>
    <t>-653.108183890459 108.369041573814 -768.817327158398</t>
  </si>
  <si>
    <t>-557.767228929772 219.13862662483 -752.495098289947</t>
  </si>
  <si>
    <t>-441.236793199815 149.702353447994 -466.513580897756</t>
  </si>
  <si>
    <t>-254.542200042163 52.1134921112459 -313.989468454184</t>
  </si>
  <si>
    <t>-687.82319155806 55.2386605749562 -764.888745676735</t>
  </si>
  <si>
    <t>-573.214503946723 208.881919146515 -245.966947760237</t>
  </si>
  <si>
    <t>-588.237091679413 197.919623882491 209.348117527537</t>
  </si>
  <si>
    <t>-629.979635647523 172.25430069655 676.765465520318</t>
  </si>
  <si>
    <t>-501.257157872705 92.4202838838617 766.211343106757</t>
  </si>
  <si>
    <t>-654.465974949773 35.2563066950211 -213.892192422691</t>
  </si>
  <si>
    <t>-491.113666987872 -98.0888084926985 190.079017306011</t>
  </si>
  <si>
    <t>-510.095916183169 -19.4318305632241 652.907819209878</t>
  </si>
  <si>
    <t>-491.387030529449 -168.360195244267 744.634752385513</t>
  </si>
  <si>
    <t>9763-20170724T160534.994518000.bin</t>
  </si>
  <si>
    <t>-613.985622114806 122.207598731546 -230.170828039455</t>
  </si>
  <si>
    <t>-652.251228043529 119.163553466206 -345.037214034845</t>
  </si>
  <si>
    <t>-669.929662247663 111.643473112352 -464.709581216712</t>
  </si>
  <si>
    <t>-677.360436220099 102.677616301944 -573.609827954551</t>
  </si>
  <si>
    <t>-676.338940807613 91.4285913922261 -682.54686004062</t>
  </si>
  <si>
    <t>-666.159431674729 73.2697766460954 -833.432898360014</t>
  </si>
  <si>
    <t>-631.058707482337 52.626986085631 -926.839529973523</t>
  </si>
  <si>
    <t>-653.259056487444 107.834876734117 -768.689174291841</t>
  </si>
  <si>
    <t>-557.773446241167 218.505675648374 -752.667588296734</t>
  </si>
  <si>
    <t>-440.553751476668 149.831966932334 -466.783752725956</t>
  </si>
  <si>
    <t>-254.063697794607 52.1269927558155 -314.08385876287</t>
  </si>
  <si>
    <t>-688.06798948398 54.7741651559386 -764.651858734247</t>
  </si>
  <si>
    <t>-573.191931578438 208.920575711472 -245.894882766766</t>
  </si>
  <si>
    <t>-588.226930471598 198.004516413147 209.420953649699</t>
  </si>
  <si>
    <t>-630.05643059553 172.143566686293 676.802413108251</t>
  </si>
  <si>
    <t>-501.242408716638 92.4294657728915 766.223462196956</t>
  </si>
  <si>
    <t>-654.626116045567 35.4747907282372 -213.732545051294</t>
  </si>
  <si>
    <t>-491.158411225473 -98.135560001899 190.104325602461</t>
  </si>
  <si>
    <t>-510.095254768301 -19.4214946639502 652.923824415728</t>
  </si>
  <si>
    <t>-491.493611284992 -168.381217536471 744.621605693797</t>
  </si>
  <si>
    <t>9763-20170724T160535.028624600.bin</t>
  </si>
  <si>
    <t>-614.047413371756 122.337036763073 -230.148064532272</t>
  </si>
  <si>
    <t>-652.272613729891 119.304027100329 -345.028166646011</t>
  </si>
  <si>
    <t>-669.930124200546 111.72414338308 -464.699927204111</t>
  </si>
  <si>
    <t>-677.351742330301 102.674719313619 -573.593688743435</t>
  </si>
  <si>
    <t>-676.332032696368 91.3122201174269 -682.519091228859</t>
  </si>
  <si>
    <t>-666.167293534227 72.9643987992276 -833.383260562694</t>
  </si>
  <si>
    <t>-631.096619872213 52.1327823549032 -926.759307523364</t>
  </si>
  <si>
    <t>-653.23280571524 107.592593507848 -768.68014491258</t>
  </si>
  <si>
    <t>-557.600719531291 218.182013716974 -752.816982769082</t>
  </si>
  <si>
    <t>-440.340405463239 149.77317264824 -466.88629538185</t>
  </si>
  <si>
    <t>-254.259566604677 51.6653651243867 -313.945519011869</t>
  </si>
  <si>
    <t>-688.096942890846 54.5728927277114 -764.580933149884</t>
  </si>
  <si>
    <t>-573.15844491232 209.043198202466 -245.868378888514</t>
  </si>
  <si>
    <t>-588.19659401756 198.084975132795 209.446397653986</t>
  </si>
  <si>
    <t>-630.027543961824 172.200896368281 676.816338287341</t>
  </si>
  <si>
    <t>-501.286574009171 92.36336546902 766.232473291676</t>
  </si>
  <si>
    <t>-654.78047898804 35.6452831043407 -213.724654449342</t>
  </si>
  <si>
    <t>-491.293493992195 -98.0697470151101 190.069807291997</t>
  </si>
  <si>
    <t>-510.131508082452 -19.4338433014418 652.915404344123</t>
  </si>
  <si>
    <t>-491.52408151286 -168.393693154703 744.611864107306</t>
  </si>
  <si>
    <t>9763-20170724T160535.098813800.bin</t>
  </si>
  <si>
    <t>-614.248454392008 122.803257430298 -230.130000893085</t>
  </si>
  <si>
    <t>-652.390517369089 119.755196774466 -345.037382289723</t>
  </si>
  <si>
    <t>-670.013094481861 112.047416316313 -464.706019452743</t>
  </si>
  <si>
    <t>-677.425461460335 102.838091950469 -573.587159325466</t>
  </si>
  <si>
    <t>-676.420111807061 91.2725294215527 -682.491097081815</t>
  </si>
  <si>
    <t>-666.301409105902 72.5980029544451 -833.318435795713</t>
  </si>
  <si>
    <t>-631.297867936043 51.3741825860543 -926.631246330915</t>
  </si>
  <si>
    <t>-653.348359752062 107.367087143992 -768.694549567431</t>
  </si>
  <si>
    <t>-557.749548389787 218.011535421819 -753.131400639781</t>
  </si>
  <si>
    <t>-440.343217761265 149.979840851563 -467.170548469302</t>
  </si>
  <si>
    <t>-254.976077380274 51.1768626670616 -313.811300724205</t>
  </si>
  <si>
    <t>-688.208856694432 54.3547498565986 -764.469553806585</t>
  </si>
  <si>
    <t>-573.301960583651 209.496065508811 -245.826402389806</t>
  </si>
  <si>
    <t>-588.358532209104 198.433493819063 209.485150750392</t>
  </si>
  <si>
    <t>-630.125229721406 172.067712124262 676.830562950336</t>
  </si>
  <si>
    <t>-501.180229703711 92.5313411910749 766.221109628333</t>
  </si>
  <si>
    <t>-655.058913071259 36.1402674897013 -213.723038045523</t>
  </si>
  <si>
    <t>-491.64360448809 -97.6859664004855 190.063569592702</t>
  </si>
  <si>
    <t>-510.18983554292 -19.4087621521646 652.981922176403</t>
  </si>
  <si>
    <t>-491.553647825654 -168.408190462453 744.608199711534</t>
  </si>
  <si>
    <t>9763-20170724T160535.126887000.bin</t>
  </si>
  <si>
    <t>-614.413620286893 123.10017716059 -230.126957350113</t>
  </si>
  <si>
    <t>-652.509454786747 120.038165086429 -345.049175608071</t>
  </si>
  <si>
    <t>-670.13391279465 112.28404245276 -464.714660834669</t>
  </si>
  <si>
    <t>-677.568793195939 103.020310008832 -573.589531651974</t>
  </si>
  <si>
    <t>-676.607422145277 91.3878837315833 -682.486879322884</t>
  </si>
  <si>
    <t>-666.572052832278 72.6081035893169 -833.306659607531</t>
  </si>
  <si>
    <t>-631.609648951905 51.2044557585798 -926.593849371047</t>
  </si>
  <si>
    <t>-653.589866044208 107.426411088507 -768.715171909262</t>
  </si>
  <si>
    <t>-558.003352962049 218.101882283776 -753.296646535784</t>
  </si>
  <si>
    <t>-440.446003282025 150.405540857623 -467.318224040995</t>
  </si>
  <si>
    <t>-255.356943802334 51.376049262695 -313.769499435233</t>
  </si>
  <si>
    <t>-688.434918317635 54.4087412811739 -764.432060869722</t>
  </si>
  <si>
    <t>-573.472752326893 209.805569714974 -245.815894248713</t>
  </si>
  <si>
    <t>-588.452922836875 198.630415700963 209.495309995991</t>
  </si>
  <si>
    <t>-630.143343430047 172.037104868025 676.838556134089</t>
  </si>
  <si>
    <t>-501.182801046911 92.5232819764919 766.226710146519</t>
  </si>
  <si>
    <t>-655.227562793568 36.4376724795411 -213.738517241979</t>
  </si>
  <si>
    <t>-491.829075144258 -97.5097088486077 190.014859108755</t>
  </si>
  <si>
    <t>-510.221020155167 -19.3980935491493 653.003705468672</t>
  </si>
  <si>
    <t>-491.545740044888 -168.416331817744 744.591478777773</t>
  </si>
  <si>
    <t>9763-20170724T160535.195071600.bin</t>
  </si>
  <si>
    <t>-614.52911190857 123.761932791155 -230.061002940892</t>
  </si>
  <si>
    <t>-652.53170608787 120.670859470581 -345.01338273954</t>
  </si>
  <si>
    <t>-670.166024696852 112.803810681825 -464.67002412125</t>
  </si>
  <si>
    <t>-677.655290945862 103.402934699598 -573.529505549715</t>
  </si>
  <si>
    <t>-676.795029144177 91.5980234882129 -682.409090620053</t>
  </si>
  <si>
    <t>-666.950305602613 72.5405873167606 -833.206634029244</t>
  </si>
  <si>
    <t>-632.107671304192 50.6987376655375 -926.437033136017</t>
  </si>
  <si>
    <t>-653.876937128562 107.471578944205 -768.694392008619</t>
  </si>
  <si>
    <t>-558.238774441618 218.13689941268 -753.562960967158</t>
  </si>
  <si>
    <t>-440.518115549338 150.940162128471 -467.533897710161</t>
  </si>
  <si>
    <t>-255.513560442121 51.9103140596694 -313.883489233434</t>
  </si>
  <si>
    <t>-688.735665507182 54.4742171324922 -764.272378877327</t>
  </si>
  <si>
    <t>-573.566405688782 210.435913230509 -245.728187837099</t>
  </si>
  <si>
    <t>-588.574566116597 199.085813249942 209.577940953778</t>
  </si>
  <si>
    <t>-630.239909593698 171.930154872736 676.863616813969</t>
  </si>
  <si>
    <t>-501.166039607147 92.5775131937457 766.231428884486</t>
  </si>
  <si>
    <t>-655.355018348353 37.0824022269121 -213.698486817719</t>
  </si>
  <si>
    <t>-492.130336641783 -97.0724902444433 190.056192964963</t>
  </si>
  <si>
    <t>-510.249733388805 -19.3429926590031 653.079070146544</t>
  </si>
  <si>
    <t>-491.532823278277 -168.422529586995 744.55841509375</t>
  </si>
  <si>
    <t>9763-20170724T160535.226155500.bin</t>
  </si>
  <si>
    <t>-614.497484516815 124.099159929585 -230.040039611353</t>
  </si>
  <si>
    <t>-652.479673699809 120.978766883847 -344.99852570992</t>
  </si>
  <si>
    <t>-670.135893592085 113.076349309159 -464.649506398169</t>
  </si>
  <si>
    <t>-677.662945587806 103.640319339084 -573.503388240139</t>
  </si>
  <si>
    <t>-676.859136070365 91.796019504563 -682.379061715282</t>
  </si>
  <si>
    <t>-667.112122133158 72.6792332014695 -833.175407475832</t>
  </si>
  <si>
    <t>-632.343445729563 50.6469589136022 -926.38855476993</t>
  </si>
  <si>
    <t>-653.990752385804 107.631697285569 -768.684549370665</t>
  </si>
  <si>
    <t>-558.278947688059 218.246867396495 -753.646591876567</t>
  </si>
  <si>
    <t>-440.364094624532 151.322760178287 -467.633657732114</t>
  </si>
  <si>
    <t>-255.175724449041 52.5438505111135 -314.043082277978</t>
  </si>
  <si>
    <t>-688.858867069546 54.6440925419604 -764.220904856125</t>
  </si>
  <si>
    <t>-573.515438567188 210.829003837372 -245.732844999838</t>
  </si>
  <si>
    <t>-588.508612507489 199.362597034542 209.570773276361</t>
  </si>
  <si>
    <t>-630.11504368064 172.107149132569 676.836972238751</t>
  </si>
  <si>
    <t>-501.196966954466 92.5368994805688 766.236151791421</t>
  </si>
  <si>
    <t>-655.335489119663 37.3631957538071 -213.707062546685</t>
  </si>
  <si>
    <t>-492.228798527958 -96.8564830282908 190.073787058901</t>
  </si>
  <si>
    <t>-510.277476835878 -19.3188745415605 653.126200360835</t>
  </si>
  <si>
    <t>-491.523315078283 -168.428597154657 744.548895572212</t>
  </si>
  <si>
    <t>9763-20170724T160535.289857300.bin</t>
  </si>
  <si>
    <t>-614.487258177859 124.639857876799 -230.00826736476</t>
  </si>
  <si>
    <t>-652.52645709198 121.520197101943 -344.947796097271</t>
  </si>
  <si>
    <t>-670.298141710752 113.586008259671 -464.579671359453</t>
  </si>
  <si>
    <t>-677.954813152003 104.103927395438 -573.420324540942</t>
  </si>
  <si>
    <t>-677.306538763923 92.1939303596089 -682.289936868803</t>
  </si>
  <si>
    <t>-667.803392141809 72.9630744256731 -833.087439087776</t>
  </si>
  <si>
    <t>-633.193516796331 50.5226278591767 -926.262347397929</t>
  </si>
  <si>
    <t>-654.539363893198 107.939433477504 -768.638681319642</t>
  </si>
  <si>
    <t>-558.730439725771 218.493163193724 -753.838793705186</t>
  </si>
  <si>
    <t>-439.90309728012 152.040428829974 -468.093698241727</t>
  </si>
  <si>
    <t>-254.153943620851 53.9251034006729 -314.755178159012</t>
  </si>
  <si>
    <t>-689.477015536971 55.0049510863639 -764.089843207831</t>
  </si>
  <si>
    <t>-573.507426377698 211.425043974075 -245.689273026306</t>
  </si>
  <si>
    <t>-588.397011270162 199.674442177351 209.610515820778</t>
  </si>
  <si>
    <t>-630.191572946187 172.023103247833 676.856153664806</t>
  </si>
  <si>
    <t>-501.225729397366 92.515231389908 766.241933492717</t>
  </si>
  <si>
    <t>-655.379932596538 37.9152037736174 -213.627471626966</t>
  </si>
  <si>
    <t>-492.412824625691 -96.6342739094403 190.099901000236</t>
  </si>
  <si>
    <t>-510.317706138183 -19.2697737839023 653.213064401531</t>
  </si>
  <si>
    <t>-491.461816329816 -168.438824270221 744.517837022748</t>
  </si>
  <si>
    <t>9763-20170724T160535.323970200.bin</t>
  </si>
  <si>
    <t>-614.514574027173 124.897320306845 -229.970529248666</t>
  </si>
  <si>
    <t>-652.559454820577 121.762147404137 -344.907831311324</t>
  </si>
  <si>
    <t>-670.376387253512 113.842043247963 -464.533826456947</t>
  </si>
  <si>
    <t>-678.090968058904 104.380764395218 -573.372353058915</t>
  </si>
  <si>
    <t>-677.517845167766 92.4974086583336 -682.245243569916</t>
  </si>
  <si>
    <t>-668.137232131872 73.3075970268374 -833.055594056624</t>
  </si>
  <si>
    <t>-633.611619819807 50.6992371781907 -926.221259613015</t>
  </si>
  <si>
    <t>-654.786757053233 108.244395166049 -768.603148671376</t>
  </si>
  <si>
    <t>-558.765762377515 218.649093882065 -753.883396374963</t>
  </si>
  <si>
    <t>-439.387956330989 152.376056043383 -468.32613374034</t>
  </si>
  <si>
    <t>-253.780916803075 54.0915457921933 -314.923780503676</t>
  </si>
  <si>
    <t>-689.788874745688 55.3527009176157 -764.050170161182</t>
  </si>
  <si>
    <t>-573.519969113432 211.674347692634 -245.662542798679</t>
  </si>
  <si>
    <t>-588.416044424416 199.851996154551 209.635131340367</t>
  </si>
  <si>
    <t>-630.20595427273 172.024313425436 676.853541566633</t>
  </si>
  <si>
    <t>-501.218644791626 92.5460187600324 766.23466779431</t>
  </si>
  <si>
    <t>-655.384702269829 38.1581171653597 -213.59877992773</t>
  </si>
  <si>
    <t>-492.407077408205 -96.5002358553443 190.088119694798</t>
  </si>
  <si>
    <t>-510.302592413197 -19.2533653179858 653.232020707284</t>
  </si>
  <si>
    <t>-491.46598797087 -168.449019912246 744.497250892455</t>
  </si>
  <si>
    <t>9763-20170724T160535.391355700.bin</t>
  </si>
  <si>
    <t>-614.788520624879 125.176826255167 -229.923856105718</t>
  </si>
  <si>
    <t>-652.863884856969 122.038857404705 -344.850922249877</t>
  </si>
  <si>
    <t>-670.834037764559 114.1179431976 -464.453949630321</t>
  </si>
  <si>
    <t>-678.739232024459 104.651122461953 -573.278349566605</t>
  </si>
  <si>
    <t>-678.409379928568 92.7542243564285 -682.150839493914</t>
  </si>
  <si>
    <t>-669.422208633817 73.5338781874714 -832.981274003547</t>
  </si>
  <si>
    <t>-635.114332174393 50.546107150001 -926.134467587132</t>
  </si>
  <si>
    <t>-655.843000392897 108.444121766743 -768.562319634556</t>
  </si>
  <si>
    <t>-559.522509741136 218.598221718784 -754.04765844534</t>
  </si>
  <si>
    <t>-439.219343320751 152.627861542986 -468.808692267683</t>
  </si>
  <si>
    <t>-252.226956862204 55.7841414755494 -316.174500387031</t>
  </si>
  <si>
    <t>-690.954502230754 55.6324531213011 -763.924633746954</t>
  </si>
  <si>
    <t>-573.802964595538 211.954980254506 -245.617108232889</t>
  </si>
  <si>
    <t>-588.619757146078 199.974434071239 209.679152736523</t>
  </si>
  <si>
    <t>-630.379726157548 171.798717988952 676.87442954635</t>
  </si>
  <si>
    <t>-501.191692443736 92.6136195212523 766.225899852984</t>
  </si>
  <si>
    <t>-655.700945167826 38.4066205220815 -213.533438639678</t>
  </si>
  <si>
    <t>-492.42937329452 -96.2852586803988 190.023415389864</t>
  </si>
  <si>
    <t>-510.357373588961 -19.2923847304116 653.197591648521</t>
  </si>
  <si>
    <t>-491.497688882273 -168.484672519771 744.463662787943</t>
  </si>
  <si>
    <t>9763-20170724T160535.424445000.bin</t>
  </si>
  <si>
    <t>-615.026416154007 125.279141618556 -229.968318736921</t>
  </si>
  <si>
    <t>-653.099181907624 122.153751006151 -344.896454737273</t>
  </si>
  <si>
    <t>-671.143297633291 114.249000854425 -464.489594860765</t>
  </si>
  <si>
    <t>-679.147377487379 104.796203494097 -573.307827301843</t>
  </si>
  <si>
    <t>-678.949123033534 92.9107959302576 -682.181864086459</t>
  </si>
  <si>
    <t>-670.178845105205 73.7024829166908 -833.026517444114</t>
  </si>
  <si>
    <t>-635.99836930423 50.5479756686041 -926.185361948607</t>
  </si>
  <si>
    <t>-656.478233498014 108.588764136998 -768.620383822528</t>
  </si>
  <si>
    <t>-560.036551314917 218.655800104403 -754.164401818455</t>
  </si>
  <si>
    <t>-439.305700098596 152.917326842874 -469.052705030544</t>
  </si>
  <si>
    <t>-250.309954363197 58.0582980872841 -317.644660568967</t>
  </si>
  <si>
    <t>-691.640630978945 55.8143464948266 -763.9445636407</t>
  </si>
  <si>
    <t>-574.051553794838 212.075447103484 -245.644107322251</t>
  </si>
  <si>
    <t>-588.738388848614 200.026867764534 209.654466148783</t>
  </si>
  <si>
    <t>-630.356445707706 171.830562223082 676.854221327628</t>
  </si>
  <si>
    <t>-501.223746174107 92.5796606428728 766.227314358341</t>
  </si>
  <si>
    <t>-655.881966023641 38.5094147494549 -213.609040509471</t>
  </si>
  <si>
    <t>-492.629407774656 -96.1846722588436 189.954763039749</t>
  </si>
  <si>
    <t>-510.396046840769 -19.3349166366177 653.152712449592</t>
  </si>
  <si>
    <t>-491.52836793366 -168.504077264651 744.455059830158</t>
  </si>
  <si>
    <t>9763-20170724T160535.495645900.bin</t>
  </si>
  <si>
    <t>-615.5244485264 125.553972744086 -230.101249437813</t>
  </si>
  <si>
    <t>-653.660751744611 122.546631348074 -345.011658859051</t>
  </si>
  <si>
    <t>-671.855472262934 114.661264050655 -464.583148656096</t>
  </si>
  <si>
    <t>-680.034043071792 105.18107769919 -573.386062643893</t>
  </si>
  <si>
    <t>-680.049914113755 93.2210809186595 -682.252140458362</t>
  </si>
  <si>
    <t>-671.619838903404 73.8576433589583 -833.096392002286</t>
  </si>
  <si>
    <t>-637.615511981742 50.2189346357618 -926.19791866893</t>
  </si>
  <si>
    <t>-657.698748596952 108.760774766756 -768.746635360968</t>
  </si>
  <si>
    <t>-560.935371292592 218.572024919867 -754.492972457457</t>
  </si>
  <si>
    <t>-438.989704167276 153.513457748082 -469.742598543313</t>
  </si>
  <si>
    <t>-247.538361643685 61.1454933962668 -319.887354055973</t>
  </si>
  <si>
    <t>-693.001070964662 56.0898947865123 -763.958246034157</t>
  </si>
  <si>
    <t>-574.501373412047 212.395071042797 -245.722452133592</t>
  </si>
  <si>
    <t>-588.779839181365 200.001144239491 209.579873816911</t>
  </si>
  <si>
    <t>-630.240703939957 172.011143374523 676.823539304484</t>
  </si>
  <si>
    <t>-501.295686693323 92.4974907134031 766.234220438413</t>
  </si>
  <si>
    <t>-656.444026179063 38.7385463254925 -213.786757670723</t>
  </si>
  <si>
    <t>-493.247546414273 -95.9320394371725 189.807571888887</t>
  </si>
  <si>
    <t>-510.504763194015 -19.4388140301116 653.077995706718</t>
  </si>
  <si>
    <t>-491.622061273975 -168.546552871972 744.477239625477</t>
  </si>
  <si>
    <t>9763-20170724T160535.567833300.bin</t>
  </si>
  <si>
    <t>-615.791291405856 125.687982086801 -230.148284463458</t>
  </si>
  <si>
    <t>-654.010526446255 122.757525869054 -345.033053474565</t>
  </si>
  <si>
    <t>-672.308115756715 114.857433969868 -464.587882480496</t>
  </si>
  <si>
    <t>-680.588853376258 105.325712487031 -573.378637550907</t>
  </si>
  <si>
    <t>-680.716689230644 93.2757626484022 -682.234697287629</t>
  </si>
  <si>
    <t>-672.453252959756 73.7470067309951 -833.066891007285</t>
  </si>
  <si>
    <t>-638.53578981548 49.789338449347 -926.118620142053</t>
  </si>
  <si>
    <t>-658.420185824064 108.693624879607 -768.765116489158</t>
  </si>
  <si>
    <t>-561.534564862191 218.431911006332 -754.706501375672</t>
  </si>
  <si>
    <t>-438.356132355506 154.092222468127 -470.323427461846</t>
  </si>
  <si>
    <t>-244.989803537835 63.5511899445248 -321.818125005549</t>
  </si>
  <si>
    <t>-693.798950464601 56.0821200067785 -763.891444919873</t>
  </si>
  <si>
    <t>-574.700724997165 212.487329236541 -245.763556455735</t>
  </si>
  <si>
    <t>-588.794679147379 199.960184607673 209.540828132314</t>
  </si>
  <si>
    <t>-630.222365609348 172.009144220199 676.789958408613</t>
  </si>
  <si>
    <t>-501.260112714961 92.5547026381726 766.228423106807</t>
  </si>
  <si>
    <t>-656.76055034273 38.9129564712118 -213.836769507234</t>
  </si>
  <si>
    <t>-493.516820820072 -95.8069809812878 189.721986729151</t>
  </si>
  <si>
    <t>-510.546417348432 -19.497169220949 653.024122636739</t>
  </si>
  <si>
    <t>-491.711512198206 -168.571203312692 744.488202449631</t>
  </si>
  <si>
    <t>9763-20170724T160535.594905900.bin</t>
  </si>
  <si>
    <t>-616.375761316815 126.068984622739 -230.215358690251</t>
  </si>
  <si>
    <t>-654.656715869478 123.225803067386 -345.081652280668</t>
  </si>
  <si>
    <t>-673.094500111608 115.242425065109 -464.609511620613</t>
  </si>
  <si>
    <t>-681.537006408995 105.565113395123 -573.374932001816</t>
  </si>
  <si>
    <t>-681.863502770406 93.2989402547387 -682.206431263151</t>
  </si>
  <si>
    <t>-673.916049082337 73.3960642939146 -833.006599100125</t>
  </si>
  <si>
    <t>-640.241128826132 48.7166541177269 -925.957703366353</t>
  </si>
  <si>
    <t>-659.658731487781 108.442835679041 -768.808696178065</t>
  </si>
  <si>
    <t>-562.361488543581 217.844108424893 -755.125224016773</t>
  </si>
  <si>
    <t>-436.38200011292 156.234923559334 -471.365351628868</t>
  </si>
  <si>
    <t>-239.852747691953 68.357318144464 -325.434494569193</t>
  </si>
  <si>
    <t>-695.206414913961 55.9620487463021 -763.755517144037</t>
  </si>
  <si>
    <t>-575.093932279869 212.794636857786 -245.854452897016</t>
  </si>
  <si>
    <t>-588.89718657991 200.008103035111 209.451604332352</t>
  </si>
  <si>
    <t>-630.109879334837 172.175382843396 676.740954920042</t>
  </si>
  <si>
    <t>-501.430910383998 92.3278931957418 766.237388087819</t>
  </si>
  <si>
    <t>-657.571400776227 39.3123536858893 -213.917580923221</t>
  </si>
  <si>
    <t>-494.112486016319 -95.4192127384815 189.550184912016</t>
  </si>
  <si>
    <t>-510.638917407806 -19.6188573376369 652.938628533691</t>
  </si>
  <si>
    <t>-491.83145936661 -168.612136387712 744.539768353804</t>
  </si>
  <si>
    <t>9763-20170724T160535.628497300.bin</t>
  </si>
  <si>
    <t>-616.698282213356 126.254496386094 -230.246799374291</t>
  </si>
  <si>
    <t>-655.039990032173 123.493147212605 -345.094946083036</t>
  </si>
  <si>
    <t>-673.588621017874 115.488452529978 -464.603994399063</t>
  </si>
  <si>
    <t>-682.153478076097 105.749713940635 -573.354476387883</t>
  </si>
  <si>
    <t>-682.624896155224 93.3806460334415 -682.173756952896</t>
  </si>
  <si>
    <t>-674.903114763323 73.2917672054487 -832.961131956672</t>
  </si>
  <si>
    <t>-641.366380016751 48.1812581041647 -925.846667146536</t>
  </si>
  <si>
    <t>-660.508806182755 108.390625423314 -768.822191835533</t>
  </si>
  <si>
    <t>-563.021921001253 217.666266067828 -755.366603895122</t>
  </si>
  <si>
    <t>-435.911181018507 156.966944260164 -471.915400127137</t>
  </si>
  <si>
    <t>-236.925882091545 71.1470217404039 -328.103474027423</t>
  </si>
  <si>
    <t>-696.130600176689 55.970468670527 -763.66258315202</t>
  </si>
  <si>
    <t>-575.366888378939 212.949638255173 -245.884375958831</t>
  </si>
  <si>
    <t>-588.931726198494 199.968107114008 209.42342560291</t>
  </si>
  <si>
    <t>-630.077969301121 172.250378261204 676.745446878822</t>
  </si>
  <si>
    <t>-501.45132991178 92.3150986142025 766.23877666601</t>
  </si>
  <si>
    <t>-657.923894882078 39.5645521369315 -213.944470629527</t>
  </si>
  <si>
    <t>-494.448758534662 -95.2097057973399 189.502511055519</t>
  </si>
  <si>
    <t>-510.673963375197 -19.6688239787982 652.915552333028</t>
  </si>
  <si>
    <t>-491.904511846235 -168.630510307272 744.575941721076</t>
  </si>
  <si>
    <t>9763-20170724T160535.691165500.bin</t>
  </si>
  <si>
    <t>-616.966905470367 126.824132662762 -230.264881198723</t>
  </si>
  <si>
    <t>-655.438105098779 124.185893718 -345.072654926417</t>
  </si>
  <si>
    <t>-674.273409149336 116.125305745053 -464.533178624159</t>
  </si>
  <si>
    <t>-683.163987059746 106.264779593776 -573.246458139275</t>
  </si>
  <si>
    <t>-684.028235520365 93.7043326892504 -682.041353376758</t>
  </si>
  <si>
    <t>-676.923014425903 73.2777704499779 -832.813724558706</t>
  </si>
  <si>
    <t>-643.717007073468 47.1256247125384 -925.530441194895</t>
  </si>
  <si>
    <t>-662.169910863375 108.455256037142 -768.799570677624</t>
  </si>
  <si>
    <t>-564.260473763148 217.404740483501 -755.88080742374</t>
  </si>
  <si>
    <t>-435.09983972826 157.670548905452 -473.152193244126</t>
  </si>
  <si>
    <t>-233.333233566529 73.7845643786798 -332.100929762319</t>
  </si>
  <si>
    <t>-697.96383562601 56.1764814593787 -763.403666212154</t>
  </si>
  <si>
    <t>-575.458138477879 213.45127917481 -245.885003115767</t>
  </si>
  <si>
    <t>-588.739504078235 200.065668443748 209.419397716385</t>
  </si>
  <si>
    <t>-630.015027014317 172.422494138636 676.764398381512</t>
  </si>
  <si>
    <t>-501.538956129824 92.2089449992648 766.225002228379</t>
  </si>
  <si>
    <t>-658.365119230773 40.2091531406413 -213.921147235474</t>
  </si>
  <si>
    <t>-495.070212173624 -94.7902102642583 189.523515504989</t>
  </si>
  <si>
    <t>-510.69326587636 -19.6803865415218 653.016728173547</t>
  </si>
  <si>
    <t>-492.140600982874 -168.658527436995 744.694479356524</t>
  </si>
  <si>
    <t>9763-20170724T160535.725272400.bin</t>
  </si>
  <si>
    <t>-616.979096076803 127.131532916134 -230.209219521954</t>
  </si>
  <si>
    <t>-655.494433246888 124.553665745764 -345.003545945838</t>
  </si>
  <si>
    <t>-674.457044347431 116.466737828154 -464.442117203615</t>
  </si>
  <si>
    <t>-683.498058793311 106.547544464481 -573.137711592918</t>
  </si>
  <si>
    <t>-684.548971176186 93.8936233385891 -681.920136983558</t>
  </si>
  <si>
    <t>-677.741087038151 73.3014112227704 -832.683572748481</t>
  </si>
  <si>
    <t>-644.726529327114 46.5942500160468 -925.310529428188</t>
  </si>
  <si>
    <t>-662.791109494379 108.501837474141 -768.727685526623</t>
  </si>
  <si>
    <t>-564.531103611582 217.158780194756 -756.053749859859</t>
  </si>
  <si>
    <t>-434.649554645228 158.098016980823 -473.513994403393</t>
  </si>
  <si>
    <t>-230.220264374064 76.0363108778647 -335.251148789444</t>
  </si>
  <si>
    <t>-698.715533966295 56.3239205986067 -763.223263447432</t>
  </si>
  <si>
    <t>-575.317614116956 213.706111856487 -245.860946239426</t>
  </si>
  <si>
    <t>-588.627131571329 200.181204731443 209.438553052488</t>
  </si>
  <si>
    <t>-630.020120334895 172.440329930997 676.762292953689</t>
  </si>
  <si>
    <t>-501.627037722571 92.0847200551138 766.214516030225</t>
  </si>
  <si>
    <t>-658.521846602183 40.522345370011 -213.860209937319</t>
  </si>
  <si>
    <t>-495.321883211046 -94.6168919039246 189.57603453618</t>
  </si>
  <si>
    <t>-510.681482471134 -19.6585616897078 653.102623898096</t>
  </si>
  <si>
    <t>-492.269150386756 -168.668085817656 744.75765676255</t>
  </si>
  <si>
    <t>9763-20170724T160535.791123000.bin</t>
  </si>
  <si>
    <t>-617.014819711645 127.801954790287 -230.01528576365</t>
  </si>
  <si>
    <t>-655.640922472807 125.327119411592 -344.774657177863</t>
  </si>
  <si>
    <t>-674.901716757143 117.139151170233 -464.158678783704</t>
  </si>
  <si>
    <t>-684.292322134699 107.047081740242 -572.808636016195</t>
  </si>
  <si>
    <t>-685.774015231397 94.14042048887 -681.556521170584</t>
  </si>
  <si>
    <t>-679.650205136322 73.1149304062003 -832.289386218926</t>
  </si>
  <si>
    <t>-647.03692009576 45.2374440820822 -924.713449538384</t>
  </si>
  <si>
    <t>-664.258497451988 108.396117172629 -768.482983518219</t>
  </si>
  <si>
    <t>-565.164723495188 216.382070623911 -756.347546973121</t>
  </si>
  <si>
    <t>-433.745836531168 158.741281024986 -474.225575009876</t>
  </si>
  <si>
    <t>-226.555279278565 78.3409624008125 -339.133286856153</t>
  </si>
  <si>
    <t>-700.460982782645 56.4401445931126 -762.706564534082</t>
  </si>
  <si>
    <t>-574.894918891514 214.172265151475 -245.785685726714</t>
  </si>
  <si>
    <t>-588.317711498987 200.398805461875 209.503007508657</t>
  </si>
  <si>
    <t>-630.002332826311 172.501399522697 676.773948859937</t>
  </si>
  <si>
    <t>-501.632014822049 92.0869916599281 766.206037897553</t>
  </si>
  <si>
    <t>-659.002043677197 41.4536756439975 -213.535910815301</t>
  </si>
  <si>
    <t>-495.859237277862 -94.3271572742574 189.708086399228</t>
  </si>
  <si>
    <t>-510.638673390263 -19.5980887440016 653.285275490405</t>
  </si>
  <si>
    <t>-492.465662845466 -168.683455942298 744.864766438378</t>
  </si>
  <si>
    <t>9763-20170724T160535.830733900.bin</t>
  </si>
  <si>
    <t>-617.006785260263 128.23470310374 -229.919711058891</t>
  </si>
  <si>
    <t>-655.680138587838 125.795861195916 -344.664014905632</t>
  </si>
  <si>
    <t>-675.07413001116 117.508331274209 -464.019570050212</t>
  </si>
  <si>
    <t>-684.623140446236 107.27052666386 -572.641985145103</t>
  </si>
  <si>
    <t>-686.302580394467 94.1626175826734 -681.362774985985</t>
  </si>
  <si>
    <t>-680.496039599746 72.7994139100299 -832.060914698782</t>
  </si>
  <si>
    <t>-648.063650329959 44.274338501315 -924.350807870666</t>
  </si>
  <si>
    <t>-664.890340754398 108.16879493255 -768.355289540573</t>
  </si>
  <si>
    <t>-565.424231652843 215.818339031563 -756.587284493593</t>
  </si>
  <si>
    <t>-433.0385411887 159.01754215475 -474.747102434415</t>
  </si>
  <si>
    <t>-223.668626723882 79.8692025000523 -342.301431924208</t>
  </si>
  <si>
    <t>-701.240121109445 56.3351984498527 -762.407978993201</t>
  </si>
  <si>
    <t>-574.707911982537 214.538762218775 -245.751806025377</t>
  </si>
  <si>
    <t>-588.153078322523 200.579064568881 209.530486091882</t>
  </si>
  <si>
    <t>-630.006382046345 172.491181536664 676.763763486732</t>
  </si>
  <si>
    <t>-501.769854089376 91.8841957980515 766.21443049955</t>
  </si>
  <si>
    <t>-659.179798523129 41.9409845239038 -213.391129807989</t>
  </si>
  <si>
    <t>-496.122941382195 -94.2231983999088 189.75825950137</t>
  </si>
  <si>
    <t>-510.617441985954 -19.567160086694 653.364540321815</t>
  </si>
  <si>
    <t>-492.574933610671 -168.691843038101 744.905791177619</t>
  </si>
  <si>
    <t>9763-20170724T160535.892055900.bin</t>
  </si>
  <si>
    <t>-617.013856412698 129.130791657148 -229.821540847438</t>
  </si>
  <si>
    <t>-655.751102481033 126.774757098603 -344.545779195202</t>
  </si>
  <si>
    <t>-675.390599751619 118.259780622513 -463.845172966116</t>
  </si>
  <si>
    <t>-685.241710572523 107.691168990983 -572.409125137726</t>
  </si>
  <si>
    <t>-687.306735869579 94.1283473105527 -681.067460091382</t>
  </si>
  <si>
    <t>-682.125800223223 72.0046978732705 -831.678624429337</t>
  </si>
  <si>
    <t>-649.993190081667 42.2104018119912 -923.671943839375</t>
  </si>
  <si>
    <t>-666.11898843348 107.600578895907 -768.199152856073</t>
  </si>
  <si>
    <t>-565.85545319896 214.636096434823 -757.364534963192</t>
  </si>
  <si>
    <t>-431.70944143975 158.948893662723 -476.135128274227</t>
  </si>
  <si>
    <t>-221.513083792109 79.9587325323121 -344.909798088902</t>
  </si>
  <si>
    <t>-702.717392308371 55.9869051536973 -761.876481956977</t>
  </si>
  <si>
    <t>-574.401136451578 215.274758514572 -245.725755656893</t>
  </si>
  <si>
    <t>-587.93830451069 200.997211674845 209.543990755317</t>
  </si>
  <si>
    <t>-629.893696162695 172.638413850092 676.737545616071</t>
  </si>
  <si>
    <t>-501.851761200426 91.765432934799 766.226850673689</t>
  </si>
  <si>
    <t>-659.497946321467 43.0052075009089 -213.226631024709</t>
  </si>
  <si>
    <t>-496.692334827145 -93.7992011932502 189.807513689098</t>
  </si>
  <si>
    <t>-510.646745049617 -19.5363940735915 653.481664183117</t>
  </si>
  <si>
    <t>-492.807318387704 -168.710745237445 744.981835812652</t>
  </si>
  <si>
    <t>9763-20170724T160535.924141600.bin</t>
  </si>
  <si>
    <t>-617.078596497154 129.619433276388 -229.791009887063</t>
  </si>
  <si>
    <t>-655.845197781264 127.308623391356 -344.506407300277</t>
  </si>
  <si>
    <t>-675.627566500517 118.654525293997 -463.772121023053</t>
  </si>
  <si>
    <t>-685.658132271849 107.885465607413 -572.299984258231</t>
  </si>
  <si>
    <t>-687.955119278267 94.0479518267032 -680.918949641692</t>
  </si>
  <si>
    <t>-683.153013536008 71.4657647137276 -831.474526612031</t>
  </si>
  <si>
    <t>-651.190234275585 41.0209447581456 -923.31395315392</t>
  </si>
  <si>
    <t>-666.913084995682 107.203764625718 -768.134227281398</t>
  </si>
  <si>
    <t>-566.342896507043 213.989883546515 -757.822162175563</t>
  </si>
  <si>
    <t>-431.584644696223 158.515902094009 -476.843556300976</t>
  </si>
  <si>
    <t>-220.764616057427 79.8151088321081 -346.447369425037</t>
  </si>
  <si>
    <t>-703.642453730149 55.711660665238 -761.582324432962</t>
  </si>
  <si>
    <t>-574.32662661628 215.693320023936 -245.728802732351</t>
  </si>
  <si>
    <t>-587.844219873563 201.199744963143 209.534720380661</t>
  </si>
  <si>
    <t>-629.866977368159 172.673274184843 676.729186103871</t>
  </si>
  <si>
    <t>-501.98173930473 91.5768818542304 766.240375764122</t>
  </si>
  <si>
    <t>-659.719585093473 43.5614025100911 -213.166975262677</t>
  </si>
  <si>
    <t>-497.034689811486 -93.5240476345291 189.820395637861</t>
  </si>
  <si>
    <t>-510.674164906792 -19.5297041026142 653.53840268209</t>
  </si>
  <si>
    <t>-492.899184550072 -168.721948308576 745.021855320433</t>
  </si>
  <si>
    <t>9763-20170724T160535.995064200.bin</t>
  </si>
  <si>
    <t>-617.344610083577 130.668671961973 -229.711111281415</t>
  </si>
  <si>
    <t>-656.178553362895 128.454578252745 -344.405684766022</t>
  </si>
  <si>
    <t>-676.151228807974 119.535711520523 -463.620286773176</t>
  </si>
  <si>
    <t>-686.410689694743 108.381316986267 -572.087492841678</t>
  </si>
  <si>
    <t>-688.997055997846 94.0144281103678 -680.631374207597</t>
  </si>
  <si>
    <t>-684.664352473493 70.5473933118926 -831.065864828795</t>
  </si>
  <si>
    <t>-653.010966057313 38.9296923852664 -922.615742973453</t>
  </si>
  <si>
    <t>-668.11431215645 106.578078891506 -767.972269804676</t>
  </si>
  <si>
    <t>-567.031078746619 212.963484628013 -758.595948825847</t>
  </si>
  <si>
    <t>-431.419965558728 158.11327565827 -477.905267848101</t>
  </si>
  <si>
    <t>-222.267382765175 78.2844105189674 -345.524704529391</t>
  </si>
  <si>
    <t>-705.048626194341 55.2835079723016 -761.034256856449</t>
  </si>
  <si>
    <t>-574.29179785446 216.597492369104 -245.693934345632</t>
  </si>
  <si>
    <t>-587.672376171918 201.524674270772 209.554749856738</t>
  </si>
  <si>
    <t>-629.82497248254 172.735236719585 676.716232669784</t>
  </si>
  <si>
    <t>-501.912375884959 91.6889204510417 766.233688705962</t>
  </si>
  <si>
    <t>-660.254228323972 44.7840381338585 -213.071720946459</t>
  </si>
  <si>
    <t>-497.68545874393 -92.8219562526376 189.785187010751</t>
  </si>
  <si>
    <t>-510.734373863348 -19.5254821722999 653.643860361966</t>
  </si>
  <si>
    <t>-493.057168636011 -168.736640467113 745.115525324841</t>
  </si>
  <si>
    <t>9763-20170724T160536.059978300.bin</t>
  </si>
  <si>
    <t>-617.704109302314 131.796358192346 -229.619170282285</t>
  </si>
  <si>
    <t>-656.649891150675 129.584773549013 -344.275808558573</t>
  </si>
  <si>
    <t>-676.855224796253 120.334227310659 -463.426044506433</t>
  </si>
  <si>
    <t>-687.377756205374 108.750796191484 -571.823245871797</t>
  </si>
  <si>
    <t>-690.282869912643 93.8290378129736 -680.283919049551</t>
  </si>
  <si>
    <t>-686.452741080397 69.4642309102053 -830.589250896979</t>
  </si>
  <si>
    <t>-655.099896035545 36.8811566421607 -921.903705938255</t>
  </si>
  <si>
    <t>-669.670598699119 105.855583195486 -767.764508313976</t>
  </si>
  <si>
    <t>-568.45633317272 212.207222728705 -759.339578683297</t>
  </si>
  <si>
    <t>-432.283280170654 157.267388011038 -478.93868711654</t>
  </si>
  <si>
    <t>-229.078140326423 74.5325446684133 -339.27948328398</t>
  </si>
  <si>
    <t>-706.624267590172 54.6342725885165 -760.403150158895</t>
  </si>
  <si>
    <t>-574.538602836087 217.674627095751 -245.664443675465</t>
  </si>
  <si>
    <t>-587.588119099233 201.983203514731 209.573051093053</t>
  </si>
  <si>
    <t>-629.76795121355 172.824390642566 676.708024146798</t>
  </si>
  <si>
    <t>-501.987743918196 91.5880544760703 766.242329775515</t>
  </si>
  <si>
    <t>-660.726729623768 45.9667839142526 -212.864768833387</t>
  </si>
  <si>
    <t>-498.142454698303 -92.1524644964782 189.810164401844</t>
  </si>
  <si>
    <t>-510.759759088091 -19.4980725636451 653.780233884615</t>
  </si>
  <si>
    <t>-493.197087541866 -168.743861143718 745.217339097938</t>
  </si>
  <si>
    <t>9763-20170724T160536.094067200.bin</t>
  </si>
  <si>
    <t>-617.970682958709 132.386028313767 -229.561266299115</t>
  </si>
  <si>
    <t>-656.968967558056 130.151792773752 -344.199572399548</t>
  </si>
  <si>
    <t>-677.329416342445 120.733034740495 -463.310103072716</t>
  </si>
  <si>
    <t>-688.036502823291 108.94076427168 -571.666678281351</t>
  </si>
  <si>
    <t>-691.17103649579 93.7557471974585 -680.084562202453</t>
  </si>
  <si>
    <t>-687.708123712983 68.9689555466603 -830.329740141109</t>
  </si>
  <si>
    <t>-656.484341239808 36.0013726607306 -921.550392234647</t>
  </si>
  <si>
    <t>-670.7721171311 105.536096499767 -767.648575894039</t>
  </si>
  <si>
    <t>-569.555392396086 211.919422709332 -759.788127422066</t>
  </si>
  <si>
    <t>-432.759445000779 157.049843881456 -479.676704813607</t>
  </si>
  <si>
    <t>-232.511623628362 72.836489367382 -336.669838352636</t>
  </si>
  <si>
    <t>-707.708624873242 54.3365513376648 -760.053272184766</t>
  </si>
  <si>
    <t>-574.796653137011 218.303591253489 -245.631683190149</t>
  </si>
  <si>
    <t>-587.715012854303 202.358840909361 209.600692944987</t>
  </si>
  <si>
    <t>-629.765537742824 172.846331011546 676.715361249314</t>
  </si>
  <si>
    <t>-502.003710558284 91.5804203532205 766.249013205048</t>
  </si>
  <si>
    <t>-661.007869949896 46.5234028095992 -212.765412490616</t>
  </si>
  <si>
    <t>-498.271924521671 -91.784433889364 189.783466988409</t>
  </si>
  <si>
    <t>-510.777551898261 -19.4694200042939 653.847279411511</t>
  </si>
  <si>
    <t>-493.232243818001 -168.743596015743 745.241534949049</t>
  </si>
  <si>
    <t>9763-20170724T160536.127154300.bin</t>
  </si>
  <si>
    <t>-618.30058946284 132.974388284465 -229.493358822005</t>
  </si>
  <si>
    <t>-657.287127045585 130.67748672303 -344.134455373568</t>
  </si>
  <si>
    <t>-677.794178193936 121.115398274873 -463.208384899735</t>
  </si>
  <si>
    <t>-688.701666938082 109.160810486781 -571.527237358903</t>
  </si>
  <si>
    <t>-692.106672356126 93.7797438327061 -679.909258258929</t>
  </si>
  <si>
    <t>-689.093739950286 68.6849796193706 -830.112989485518</t>
  </si>
  <si>
    <t>-658.012480791185 35.3737603989082 -921.257471424471</t>
  </si>
  <si>
    <t>-671.948764291309 105.365598832968 -767.555037143823</t>
  </si>
  <si>
    <t>-570.626993229681 211.68183023499 -760.265008069984</t>
  </si>
  <si>
    <t>-433.23930117256 156.989021086051 -480.408889309165</t>
  </si>
  <si>
    <t>-235.405439578438 71.5566482352592 -334.788942939533</t>
  </si>
  <si>
    <t>-708.905012873871 54.2116258743963 -759.750004565306</t>
  </si>
  <si>
    <t>-575.18218306549 218.901116069808 -245.591623667285</t>
  </si>
  <si>
    <t>-587.978019965369 202.731149146066 209.636348917177</t>
  </si>
  <si>
    <t>-629.83325917843 172.788441335135 676.747937390742</t>
  </si>
  <si>
    <t>-501.909992335911 91.740763660807 766.24891731319</t>
  </si>
  <si>
    <t>-661.271610303742 47.0784290452275 -212.688862236593</t>
  </si>
  <si>
    <t>-498.460008138817 -91.3666921862177 189.782284722793</t>
  </si>
  <si>
    <t>-510.815256164743 -19.4311983983212 653.925004491922</t>
  </si>
  <si>
    <t>-493.232449672382 -168.739622191941 745.256022871831</t>
  </si>
  <si>
    <t>9763-20170724T160536.193071600.bin</t>
  </si>
  <si>
    <t>-618.803366847774 134.268259088536 -229.38128581873</t>
  </si>
  <si>
    <t>-657.832545567014 131.910080078278 -344.006567443892</t>
  </si>
  <si>
    <t>-678.657814907746 122.108427781082 -463.00573766743</t>
  </si>
  <si>
    <t>-689.973483114634 109.860165871373 -571.249887105954</t>
  </si>
  <si>
    <t>-693.911542919536 94.105563789617 -679.560177723382</t>
  </si>
  <si>
    <t>-691.773360090285 68.4055450744904 -829.676659296409</t>
  </si>
  <si>
    <t>-661.031632905166 34.4369282937978 -920.693528796172</t>
  </si>
  <si>
    <t>-674.184056968413 105.281151145691 -767.357086285658</t>
  </si>
  <si>
    <t>-572.47856982108 211.297028002738 -761.170441874311</t>
  </si>
  <si>
    <t>-434.262379960591 156.689362066323 -481.705908013965</t>
  </si>
  <si>
    <t>-239.963449075167 69.5361225443942 -332.393184374273</t>
  </si>
  <si>
    <t>-711.254776911213 54.2729173585744 -759.152445762523</t>
  </si>
  <si>
    <t>-575.787720127481 220.340755232705 -245.496746056825</t>
  </si>
  <si>
    <t>-588.411608606939 203.780459232169 209.721979086404</t>
  </si>
  <si>
    <t>-629.723500222967 173.067197345718 676.812934865301</t>
  </si>
  <si>
    <t>-502.03379398385 91.6023133527742 766.268652244</t>
  </si>
  <si>
    <t>-661.68721815632 48.2410252375369 -212.505521015455</t>
  </si>
  <si>
    <t>-499.018364360791 -90.4609296904762 189.934914574825</t>
  </si>
  <si>
    <t>-510.979052802184 -19.2827018871619 654.174443308612</t>
  </si>
  <si>
    <t>-493.182088009923 -168.707539671542 745.273330525582</t>
  </si>
  <si>
    <t>9763-20170724T160536.227163300.bin</t>
  </si>
  <si>
    <t>-619.059188621933 134.879819014264 -229.293929893394</t>
  </si>
  <si>
    <t>-658.137818866334 132.502582665293 -343.902112226623</t>
  </si>
  <si>
    <t>-679.112573518238 122.589089927878 -462.865715849069</t>
  </si>
  <si>
    <t>-690.606940852998 110.201455508951 -571.075049387971</t>
  </si>
  <si>
    <t>-694.76891221576 94.2688106330506 -679.351054773415</t>
  </si>
  <si>
    <t>-692.989975145433 68.28118773663 -829.42267085673</t>
  </si>
  <si>
    <t>-662.442886363772 34.0251560560503 -920.397254566425</t>
  </si>
  <si>
    <t>-675.218698101174 105.252852091101 -767.211745648496</t>
  </si>
  <si>
    <t>-573.340722221184 211.12821315892 -761.474270256515</t>
  </si>
  <si>
    <t>-434.535455446583 156.584737205546 -482.289078562315</t>
  </si>
  <si>
    <t>-239.412992295937 70.4538988404699 -333.457968667598</t>
  </si>
  <si>
    <t>-712.33549506193 54.3069672438464 -758.829610112539</t>
  </si>
  <si>
    <t>-576.057752787817 220.940707018606 -245.455405571473</t>
  </si>
  <si>
    <t>-588.525163731915 204.128705421642 209.758437304994</t>
  </si>
  <si>
    <t>-629.730424819655 173.097509615991 676.83087855716</t>
  </si>
  <si>
    <t>-501.975295923749 91.7103190374039 766.263875111177</t>
  </si>
  <si>
    <t>-661.92407880989 48.8224888624079 -212.404836265825</t>
  </si>
  <si>
    <t>-499.384029604775 -90.1499497141135 189.994348552081</t>
  </si>
  <si>
    <t>-511.035386153898 -19.2006714980057 654.303783767453</t>
  </si>
  <si>
    <t>-493.218553960053 -168.699636596265 745.277031063357</t>
  </si>
  <si>
    <t>9763-20170724T160536.295100700.bin</t>
  </si>
  <si>
    <t>-619.458041107389 135.864070685157 -229.102299660213</t>
  </si>
  <si>
    <t>-658.695575984596 133.54827779107 -343.657312616099</t>
  </si>
  <si>
    <t>-679.923586774833 123.501697423047 -462.564832661454</t>
  </si>
  <si>
    <t>-691.686154968424 110.919647931016 -570.72290542442</t>
  </si>
  <si>
    <t>-696.156029742493 94.7216615695108 -678.947219243632</t>
  </si>
  <si>
    <t>-694.847133751346 68.2938509127871 -828.94682448691</t>
  </si>
  <si>
    <t>-664.569840153241 33.6609147182837 -919.868813451299</t>
  </si>
  <si>
    <t>-676.856001790775 105.429951621437 -766.897145547107</t>
  </si>
  <si>
    <t>-574.610749485688 210.974453538559 -761.838011431204</t>
  </si>
  <si>
    <t>-434.481669789694 156.498232679622 -483.301850188927</t>
  </si>
  <si>
    <t>-236.700069021743 72.6198324322606 -336.710996484037</t>
  </si>
  <si>
    <t>-713.996561721176 54.5447159642686 -758.256025291875</t>
  </si>
  <si>
    <t>-576.355222347237 221.879827485224 -245.365793801293</t>
  </si>
  <si>
    <t>-588.557089036693 204.682020588781 209.840735608535</t>
  </si>
  <si>
    <t>-629.652663893134 173.300337315509 676.88152088414</t>
  </si>
  <si>
    <t>-502.053260959001 91.6287721487386 766.27759241182</t>
  </si>
  <si>
    <t>-662.451163231427 49.8303440066243 -212.197694293715</t>
  </si>
  <si>
    <t>-499.86445428828 -89.8067790105736 189.95241958988</t>
  </si>
  <si>
    <t>-510.974656186972 -19.1761097771871 654.303811182166</t>
  </si>
  <si>
    <t>-493.617142466233 -168.746191267249 745.249129467767</t>
  </si>
  <si>
    <t>9763-20170724T160536.329697400.bin</t>
  </si>
  <si>
    <t>-619.657513547093 136.069776295791 -229.099129514932</t>
  </si>
  <si>
    <t>-658.998285820767 133.814697884279 -343.62000581112</t>
  </si>
  <si>
    <t>-680.409195156841 123.799181933264 -462.49733486595</t>
  </si>
  <si>
    <t>-692.368322197002 111.236733628752 -570.636188862163</t>
  </si>
  <si>
    <t>-697.064630060834 95.0521131017156 -678.853039018639</t>
  </si>
  <si>
    <t>-696.099858282477 68.6385480802271 -828.857584113967</t>
  </si>
  <si>
    <t>-665.970072226206 33.9039811975647 -919.790020581441</t>
  </si>
  <si>
    <t>-677.970446729172 105.77166850266 -766.846386250383</t>
  </si>
  <si>
    <t>-575.550467113831 211.193580452256 -761.929529188259</t>
  </si>
  <si>
    <t>-435.055562768321 156.485480528168 -483.623104158031</t>
  </si>
  <si>
    <t>-236.834442695559 73.303961923322 -337.228832242977</t>
  </si>
  <si>
    <t>-715.082931138926 54.8799140910699 -758.123859966289</t>
  </si>
  <si>
    <t>-576.559974826401 222.012348078406 -245.35185550717</t>
  </si>
  <si>
    <t>-588.600672880033 204.68620489262 209.854191232117</t>
  </si>
  <si>
    <t>-629.717327889374 173.261890520594 676.914584632568</t>
  </si>
  <si>
    <t>-501.969136258944 91.773387484795 766.265212947869</t>
  </si>
  <si>
    <t>-662.641721557017 50.1457013121644 -212.157437049322</t>
  </si>
  <si>
    <t>-500.057169839349 -89.601477764541 189.955363504157</t>
  </si>
  <si>
    <t>-510.938913222191 -19.195338222285 654.294387326153</t>
  </si>
  <si>
    <t>-493.796758863798 -168.765768316393 745.279785318077</t>
  </si>
  <si>
    <t>9763-20170724T160536.395374900.bin</t>
  </si>
  <si>
    <t>-619.71069867957 136.220135939262 -229.119207788448</t>
  </si>
  <si>
    <t>-659.191280785128 134.133336067628 -343.595138344021</t>
  </si>
  <si>
    <t>-680.906676555397 124.097007576739 -462.415501873516</t>
  </si>
  <si>
    <t>-693.207969348644 111.447341870498 -570.505815494203</t>
  </si>
  <si>
    <t>-698.312192002352 95.1127078129739 -678.681535515426</t>
  </si>
  <si>
    <t>-697.981910489781 68.4296296207622 -828.641202624141</t>
  </si>
  <si>
    <t>-668.118734696769 33.5106136000459 -919.590854272181</t>
  </si>
  <si>
    <t>-679.592925822277 105.675787288264 -766.774523115688</t>
  </si>
  <si>
    <t>-576.937794823286 210.89486868713 -762.427118775071</t>
  </si>
  <si>
    <t>-435.218900812513 156.828876122574 -484.616424602626</t>
  </si>
  <si>
    <t>-234.404488116721 75.4898423037191 -340.742846281674</t>
  </si>
  <si>
    <t>-716.663105462947 54.7964240719778 -757.802939642196</t>
  </si>
  <si>
    <t>-576.638802318456 222.111432278516 -245.358972993826</t>
  </si>
  <si>
    <t>-588.3412872486 204.472235723234 209.843753332121</t>
  </si>
  <si>
    <t>-629.63020581464 173.440276899044 676.937371948871</t>
  </si>
  <si>
    <t>-502.135976348067 91.5223461707672 766.258068011315</t>
  </si>
  <si>
    <t>-662.579271355078 50.3264591447262 -212.228482472978</t>
  </si>
  <si>
    <t>-499.880098655525 -89.5507088758409 189.792705655092</t>
  </si>
  <si>
    <t>-510.749038066474 -19.3230251318037 654.147627600527</t>
  </si>
  <si>
    <t>-494.413568681683 -168.844605190689 745.361485904378</t>
  </si>
  <si>
    <t>9763-20170724T160536.427462000.bin</t>
  </si>
  <si>
    <t>-619.556088229695 136.110730768914 -229.177654047695</t>
  </si>
  <si>
    <t>-659.118042428101 134.145698696749 -343.627689294419</t>
  </si>
  <si>
    <t>-681.001301624803 124.142727104152 -462.419909336161</t>
  </si>
  <si>
    <t>-693.49057653149 111.488135469928 -570.488139317071</t>
  </si>
  <si>
    <t>-698.819922858733 95.1135790664025 -678.646954410112</t>
  </si>
  <si>
    <t>-698.841290138711 68.3394250197873 -828.59076668313</t>
  </si>
  <si>
    <t>-669.098783356116 33.3093389657374 -919.53727800823</t>
  </si>
  <si>
    <t>-680.264817075925 105.59300163533 -766.784579306744</t>
  </si>
  <si>
    <t>-577.383608307588 210.5932049988 -762.883126813823</t>
  </si>
  <si>
    <t>-435.102583223757 157.574670310171 -485.157843253258</t>
  </si>
  <si>
    <t>-234.099382068917 76.4982209842096 -341.39978192812</t>
  </si>
  <si>
    <t>-717.398799152578 54.7793801446978 -757.705951529118</t>
  </si>
  <si>
    <t>-576.551343423001 221.966828539018 -245.371450130963</t>
  </si>
  <si>
    <t>-588.154949256106 204.281510280971 209.832123756896</t>
  </si>
  <si>
    <t>-629.658926250684 173.392561869758 676.945007948087</t>
  </si>
  <si>
    <t>-502.062126368445 91.6094773513607 766.242794639012</t>
  </si>
  <si>
    <t>-662.408966863974 50.2132851591889 -212.29673197449</t>
  </si>
  <si>
    <t>-499.580449178625 -89.5651608571102 189.706408011796</t>
  </si>
  <si>
    <t>-510.665972946974 -19.4214839288691 654.039426004209</t>
  </si>
  <si>
    <t>-494.74730857998 -168.888187727945 745.416814592383</t>
  </si>
  <si>
    <t>9763-20170724T160536.492404200.bin</t>
  </si>
  <si>
    <t>-619.296170844169 136.064472186159 -229.244070615878</t>
  </si>
  <si>
    <t>-658.99294252037 134.32904068112 -343.6510759355</t>
  </si>
  <si>
    <t>-681.211514109597 124.307966882589 -462.379699148436</t>
  </si>
  <si>
    <t>-694.087685960526 111.542302430347 -570.38930159646</t>
  </si>
  <si>
    <t>-699.888325300604 94.9660367769993 -678.493124556979</t>
  </si>
  <si>
    <t>-700.65330520907 67.8202772496268 -828.368159452154</t>
  </si>
  <si>
    <t>-671.164133016382 32.4635501532359 -919.270720393019</t>
  </si>
  <si>
    <t>-681.682681067607 105.164363077825 -766.736667546429</t>
  </si>
  <si>
    <t>-578.456153035266 209.841819412249 -763.817340393657</t>
  </si>
  <si>
    <t>-435.122094269079 158.725090255073 -486.27693443293</t>
  </si>
  <si>
    <t>-232.282978687826 78.7679930837071 -344.484120617424</t>
  </si>
  <si>
    <t>-718.94697730703 54.4984990437692 -757.369723268618</t>
  </si>
  <si>
    <t>-576.161793684319 221.889494596212 -245.419461876434</t>
  </si>
  <si>
    <t>-587.788118890692 204.19045856073 209.782919321831</t>
  </si>
  <si>
    <t>-629.538975273778 173.505620662497 676.91431522264</t>
  </si>
  <si>
    <t>-502.213507414008 91.3202187300349 766.23000979922</t>
  </si>
  <si>
    <t>-662.343853566745 50.2917622535826 -212.363113203392</t>
  </si>
  <si>
    <t>-499.276005491168 -89.4040740369526 189.571672340278</t>
  </si>
  <si>
    <t>-510.557782125585 -19.5817680946354 653.918034003629</t>
  </si>
  <si>
    <t>-495.322284305588 -168.943310301135 745.583188732798</t>
  </si>
  <si>
    <t>9763-20170724T160536.525492400.bin</t>
  </si>
  <si>
    <t>-619.401208530171 136.194575294149 -229.211809341347</t>
  </si>
  <si>
    <t>-659.191123802045 134.549790607995 -343.587716316596</t>
  </si>
  <si>
    <t>-681.559122112704 124.565914353542 -462.291499828924</t>
  </si>
  <si>
    <t>-694.592834918205 111.814207693591 -570.283842211277</t>
  </si>
  <si>
    <t>-700.57251285475 95.2341430554052 -678.377406580778</t>
  </si>
  <si>
    <t>-701.60812631732 68.0658309313833 -828.246710650697</t>
  </si>
  <si>
    <t>-672.196292033922 32.5783376872491 -919.123217031941</t>
  </si>
  <si>
    <t>-682.489969064031 105.39331793942 -766.650636174654</t>
  </si>
  <si>
    <t>-579.040986864972 209.850359472364 -764.066400606072</t>
  </si>
  <si>
    <t>-435.600393330579 159.694065663925 -486.405813102235</t>
  </si>
  <si>
    <t>-232.538096509439 79.6778506872715 -344.966226906614</t>
  </si>
  <si>
    <t>-719.809833330686 54.7806120341979 -757.217680999405</t>
  </si>
  <si>
    <t>-576.094778926158 221.913441710876 -245.430940821214</t>
  </si>
  <si>
    <t>-587.71223496212 204.195824146907 209.770973176562</t>
  </si>
  <si>
    <t>-629.553051399769 173.442960451169 676.904110999151</t>
  </si>
  <si>
    <t>-502.205910396768 91.3005727346797 766.228465679455</t>
  </si>
  <si>
    <t>-662.674902585698 50.5210322737858 -212.299289738358</t>
  </si>
  <si>
    <t>-499.459142053988 -89.1555808429243 189.582207445407</t>
  </si>
  <si>
    <t>-510.584322307422 -19.598226741346 653.957621150635</t>
  </si>
  <si>
    <t>-495.407309536837 -168.939831946733 745.665129838814</t>
  </si>
  <si>
    <t>9763-20170724T160536.589689600.bin</t>
  </si>
  <si>
    <t>-619.653066907493 136.584085752476 -229.171525816155</t>
  </si>
  <si>
    <t>-659.592568306925 135.096116335864 -343.497467077346</t>
  </si>
  <si>
    <t>-682.28951933761 125.129293304931 -462.140078197927</t>
  </si>
  <si>
    <t>-695.691774153434 112.345702520834 -570.083576273375</t>
  </si>
  <si>
    <t>-702.109066180266 95.692251304064 -678.140753170482</t>
  </si>
  <si>
    <t>-703.822497982182 68.3836999816535 -827.978428336466</t>
  </si>
  <si>
    <t>-674.549808951745 32.5840491468864 -918.777451805677</t>
  </si>
  <si>
    <t>-684.403791915862 105.752958717042 -766.50176148426</t>
  </si>
  <si>
    <t>-580.898266876019 210.190849128646 -764.575391327383</t>
  </si>
  <si>
    <t>-437.793589716729 161.632589065334 -486.457751487947</t>
  </si>
  <si>
    <t>-234.386062924088 81.7251964832644 -345.453432627024</t>
  </si>
  <si>
    <t>-721.724933798851 55.1808025110904 -756.858011625106</t>
  </si>
  <si>
    <t>-575.942627115839 222.154604399849 -245.44202251471</t>
  </si>
  <si>
    <t>-587.560679043872 204.333138264338 209.755788604585</t>
  </si>
  <si>
    <t>-629.436606844254 173.509981342344 676.85096917499</t>
  </si>
  <si>
    <t>-502.305587061608 91.0919101209399 766.229281176712</t>
  </si>
  <si>
    <t>-663.277595334308 51.0494482346321 -212.2439069413</t>
  </si>
  <si>
    <t>-499.972326152843 -88.6774659584335 189.583702465499</t>
  </si>
  <si>
    <t>-510.639637528561 -19.6055886476838 654.083655962397</t>
  </si>
  <si>
    <t>-495.520983605485 -168.936122906722 745.818599266832</t>
  </si>
  <si>
    <t>9763-20170724T160536.621775700.bin</t>
  </si>
  <si>
    <t>-619.752641667162 136.806346042131 -229.13779539284</t>
  </si>
  <si>
    <t>-659.770650664499 135.374431083499 -343.436948135892</t>
  </si>
  <si>
    <t>-682.578163728974 125.38912469465 -462.056917551586</t>
  </si>
  <si>
    <t>-696.09153913111 112.56374268191 -569.981706111273</t>
  </si>
  <si>
    <t>-702.629973280043 95.8463943844213 -678.021482923563</t>
  </si>
  <si>
    <t>-704.520817957943 68.4290254578391 -827.837228982128</t>
  </si>
  <si>
    <t>-675.249199504359 32.5143849127564 -918.591255390385</t>
  </si>
  <si>
    <t>-685.051996677674 105.859132446624 -766.413404270349</t>
  </si>
  <si>
    <t>-581.652601094115 210.393910479237 -764.838916658283</t>
  </si>
  <si>
    <t>-438.724176190993 162.736319387397 -486.475149039977</t>
  </si>
  <si>
    <t>-235.331231492798 82.7004602211994 -345.522532556796</t>
  </si>
  <si>
    <t>-722.31624305576 55.2617279609692 -756.683422223991</t>
  </si>
  <si>
    <t>-575.863355534129 222.348742768852 -245.443789291672</t>
  </si>
  <si>
    <t>-587.447629314231 204.405538490377 209.750070917581</t>
  </si>
  <si>
    <t>-629.41508143245 173.464754137118 676.815071497012</t>
  </si>
  <si>
    <t>-502.366494818041 90.9649614094428 766.235171948314</t>
  </si>
  <si>
    <t>-663.497049728593 51.318827958087 -212.160403622451</t>
  </si>
  <si>
    <t>-500.223102221624 -88.5346827764711 189.635958206065</t>
  </si>
  <si>
    <t>-510.688256102865 -19.5921609788188 654.158381530168</t>
  </si>
  <si>
    <t>-495.556363993022 -168.932501815866 745.875171574675</t>
  </si>
  <si>
    <t>9763-20170724T160536.697886000.bin</t>
  </si>
  <si>
    <t>-620.158629433036 137.263712617939 -229.090850374495</t>
  </si>
  <si>
    <t>-660.270637236889 135.809274929092 -343.356784168002</t>
  </si>
  <si>
    <t>-683.199821066528 125.743060650224 -461.946335096026</t>
  </si>
  <si>
    <t>-696.831970218307 112.826778186383 -569.845327521684</t>
  </si>
  <si>
    <t>-703.496325428162 96.0041763411484 -677.861273868756</t>
  </si>
  <si>
    <t>-705.568076828323 68.4285732464077 -827.645331868941</t>
  </si>
  <si>
    <t>-676.279975115117 32.3981360061086 -918.348234926777</t>
  </si>
  <si>
    <t>-686.105447505298 105.98048558272 -766.294151954994</t>
  </si>
  <si>
    <t>-583.125227954948 210.9436443363 -765.083362481374</t>
  </si>
  <si>
    <t>-441.007920943646 164.827275124691 -486.045517797759</t>
  </si>
  <si>
    <t>-238.041917616935 84.584121909948 -344.596293718764</t>
  </si>
  <si>
    <t>-723.197389284285 55.2792939765347 -756.446942000795</t>
  </si>
  <si>
    <t>-576.248335231691 222.839676268546 -245.429248532603</t>
  </si>
  <si>
    <t>-587.520245158119 204.601651233261 209.760833043877</t>
  </si>
  <si>
    <t>-629.453971194702 173.34648996613 676.797523426793</t>
  </si>
  <si>
    <t>-502.375442600648 90.9199793634882 766.242636411604</t>
  </si>
  <si>
    <t>-663.92394612529 51.7424130754282 -212.092415429942</t>
  </si>
  <si>
    <t>-500.720026384995 -88.1321701150696 189.725051669554</t>
  </si>
  <si>
    <t>-510.857242185069 -19.5545904148244 654.315927591961</t>
  </si>
  <si>
    <t>-495.40841935274 -168.901764970963 745.968840767069</t>
  </si>
  <si>
    <t>9763-20170724T160536.724950100.bin</t>
  </si>
  <si>
    <t>-620.453830192566 137.532237134905 -229.030887271012</t>
  </si>
  <si>
    <t>-660.569255398542 136.001167498877 -343.29458653481</t>
  </si>
  <si>
    <t>-683.470814198306 125.831805810025 -461.880751976631</t>
  </si>
  <si>
    <t>-697.064155456179 112.814388357634 -569.772400278998</t>
  </si>
  <si>
    <t>-703.67568969323 95.8838951719376 -677.774729434452</t>
  </si>
  <si>
    <t>-705.658953778251 68.1528631596889 -827.531449545333</t>
  </si>
  <si>
    <t>-676.326464710657 32.1063528643981 -918.21351862001</t>
  </si>
  <si>
    <t>-686.294978431556 105.812571523963 -766.215130854192</t>
  </si>
  <si>
    <t>-583.57683229528 211.032497457777 -765.125466015557</t>
  </si>
  <si>
    <t>-441.817626655462 165.412612897565 -485.8238060894</t>
  </si>
  <si>
    <t>-238.766355137511 85.1804964167432 -344.490848495399</t>
  </si>
  <si>
    <t>-723.267918419877 55.0333307464134 -756.322278750756</t>
  </si>
  <si>
    <t>-576.599973787742 223.166781375852 -245.396845100624</t>
  </si>
  <si>
    <t>-587.766287659566 204.817964774416 209.791334995833</t>
  </si>
  <si>
    <t>-629.475346695939 173.317175046741 676.811448459855</t>
  </si>
  <si>
    <t>-502.294565265205 91.0347640893954 766.243904762347</t>
  </si>
  <si>
    <t>-664.181269673766 51.9478347507709 -212.001384627888</t>
  </si>
  <si>
    <t>-500.887251813861 -87.8834672855742 189.794466816384</t>
  </si>
  <si>
    <t>-510.961689240195 -19.5120199054613 654.43230392252</t>
  </si>
  <si>
    <t>-495.236278602722 -168.876901524396 746.009361607552</t>
  </si>
  <si>
    <t>9763-20170724T160536.799769200.bin</t>
  </si>
  <si>
    <t>-621.070166257063 138.083362761723 -228.939783056159</t>
  </si>
  <si>
    <t>-661.163781290623 136.376159653617 -343.208802748836</t>
  </si>
  <si>
    <t>-683.952779509269 126.031991920158 -461.801353898904</t>
  </si>
  <si>
    <t>-697.405575076684 112.860241016255 -569.692068516323</t>
  </si>
  <si>
    <t>-703.837014865602 95.7807261753228 -677.681780025948</t>
  </si>
  <si>
    <t>-705.528438316747 67.8494987416711 -827.404834770346</t>
  </si>
  <si>
    <t>-676.055307158479 31.774334834696 -918.029905969767</t>
  </si>
  <si>
    <t>-686.417017709637 105.684648399576 -766.117085193711</t>
  </si>
  <si>
    <t>-584.203568820372 211.385150366635 -765.141743163891</t>
  </si>
  <si>
    <t>-442.667411918765 166.655135544906 -485.583381778403</t>
  </si>
  <si>
    <t>-240.232118254254 86.2582772732615 -343.462468249086</t>
  </si>
  <si>
    <t>-723.142971955703 54.7318492679815 -756.196859340656</t>
  </si>
  <si>
    <t>-577.386556013269 223.853327125473 -245.326495658816</t>
  </si>
  <si>
    <t>-588.384484519084 205.371854391041 209.860444147779</t>
  </si>
  <si>
    <t>-629.536101474039 173.261845897181 676.86376400728</t>
  </si>
  <si>
    <t>-502.276542876356 91.0609589031985 766.259096589762</t>
  </si>
  <si>
    <t>-664.616640556418 52.3483995636577 -211.889041846835</t>
  </si>
  <si>
    <t>-500.969665198531 -87.2985717485399 189.827358624016</t>
  </si>
  <si>
    <t>-511.151213611997 -19.4493290909641 654.580882451275</t>
  </si>
  <si>
    <t>-494.887569024563 -168.833339242319 746.032557727975</t>
  </si>
  <si>
    <t>9763-20170724T160536.829855200.bin</t>
  </si>
  <si>
    <t>-621.288770588217 138.357898477204 -228.910195019695</t>
  </si>
  <si>
    <t>-661.305122831782 136.524602772088 -343.204311038929</t>
  </si>
  <si>
    <t>-683.980147099141 126.028053797913 -461.805433077903</t>
  </si>
  <si>
    <t>-697.315061857812 112.709900969745 -569.692660770764</t>
  </si>
  <si>
    <t>-703.614636249133 95.475716480692 -677.665610070007</t>
  </si>
  <si>
    <t>-705.10874387373 67.3217093518847 -827.348945924054</t>
  </si>
  <si>
    <t>-675.52628136133 31.149766575181 -917.89984470888</t>
  </si>
  <si>
    <t>-686.142788605031 105.292874195409 -766.100364546934</t>
  </si>
  <si>
    <t>-584.240572351828 211.31462260211 -765.198719379498</t>
  </si>
  <si>
    <t>-442.66196618894 166.682735565805 -485.645947328365</t>
  </si>
  <si>
    <t>-240.75876632828 86.1213581276706 -342.862806479826</t>
  </si>
  <si>
    <t>-722.752637336854 54.26494050151 -756.137154479099</t>
  </si>
  <si>
    <t>-577.736613024386 224.202524128502 -245.305805287313</t>
  </si>
  <si>
    <t>-588.67659821065 205.599996354794 209.877544353769</t>
  </si>
  <si>
    <t>-629.534578166506 173.294155608789 676.884334275903</t>
  </si>
  <si>
    <t>-502.199873823974 91.1791065884797 766.251559348041</t>
  </si>
  <si>
    <t>-664.671349838385 52.5242947634622 -211.869370459606</t>
  </si>
  <si>
    <t>-500.961029526015 -87.0193559741592 189.857139309174</t>
  </si>
  <si>
    <t>-511.183552495034 -19.4411504243587 654.621384215561</t>
  </si>
  <si>
    <t>-494.792631639432 -168.822308229104 746.055018584877</t>
  </si>
  <si>
    <t>9763-20170724T160536.890019500.bin</t>
  </si>
  <si>
    <t>-621.66147995836 138.779813763813 -228.910770404733</t>
  </si>
  <si>
    <t>-661.635732549986 136.825948097255 -343.217709306999</t>
  </si>
  <si>
    <t>-684.116800144248 126.074544549921 -461.832827037987</t>
  </si>
  <si>
    <t>-697.217757761466 112.467819912413 -569.712754598803</t>
  </si>
  <si>
    <t>-703.228103855138 94.885010836422 -677.646002324654</t>
  </si>
  <si>
    <t>-704.266279361342 66.1829506761364 -827.22913603876</t>
  </si>
  <si>
    <t>-674.505455033356 29.6641626667856 -917.582065753579</t>
  </si>
  <si>
    <t>-685.538617341318 104.414250881905 -766.06911482175</t>
  </si>
  <si>
    <t>-583.925646129951 210.709222219788 -765.253713660798</t>
  </si>
  <si>
    <t>-442.324105713677 166.582156726425 -485.63244978272</t>
  </si>
  <si>
    <t>-239.69477065397 86.5209579024286 -343.598719793267</t>
  </si>
  <si>
    <t>-722.075224279524 53.3511910964921 -756.017436803039</t>
  </si>
  <si>
    <t>-578.442070336687 224.77988919857 -245.268003216915</t>
  </si>
  <si>
    <t>-589.043873362401 205.870953364008 209.910765235673</t>
  </si>
  <si>
    <t>-629.619927583997 173.22714333 676.94714892693</t>
  </si>
  <si>
    <t>-502.234498577343 91.128409865855 766.257068052344</t>
  </si>
  <si>
    <t>-664.737814705611 52.7719752860053 -211.869978820822</t>
  </si>
  <si>
    <t>-500.764547969112 -86.6505161931402 189.79135856038</t>
  </si>
  <si>
    <t>-511.231014419645 -19.4941553010606 654.60054183812</t>
  </si>
  <si>
    <t>-494.771391086677 -168.819607757003 746.112758146934</t>
  </si>
  <si>
    <t>9763-20170724T160536.927117300.bin</t>
  </si>
  <si>
    <t>-621.860083490719 138.959366282922 -228.933444387477</t>
  </si>
  <si>
    <t>-661.803665385487 136.954038368069 -343.250034276193</t>
  </si>
  <si>
    <t>-684.186784883162 126.074873428945 -461.872175582763</t>
  </si>
  <si>
    <t>-697.174447100175 112.318670932511 -569.746792548063</t>
  </si>
  <si>
    <t>-703.048658410612 94.5513614533895 -677.657200859756</t>
  </si>
  <si>
    <t>-703.876374390447 65.5552347248731 -827.185039491525</t>
  </si>
  <si>
    <t>-674.07928214425 28.7993913890487 -917.429717649867</t>
  </si>
  <si>
    <t>-685.229368599538 103.902938085928 -766.073180980397</t>
  </si>
  <si>
    <t>-583.591018900843 210.177952846681 -765.28493709643</t>
  </si>
  <si>
    <t>-442.14558456045 166.117670273842 -485.574199811137</t>
  </si>
  <si>
    <t>-238.400148860103 86.8409449513013 -344.701671376192</t>
  </si>
  <si>
    <t>-721.791016370468 52.867170752219 -755.974010133371</t>
  </si>
  <si>
    <t>-578.720546532111 224.980035458632 -245.251673551225</t>
  </si>
  <si>
    <t>-589.24323743903 205.967759136805 209.924592945679</t>
  </si>
  <si>
    <t>-629.649475827706 173.218199531791 676.967169834192</t>
  </si>
  <si>
    <t>-502.082936300431 91.3578220073809 766.237382227113</t>
  </si>
  <si>
    <t>-664.910553160783 52.9452953755597 -211.861148620158</t>
  </si>
  <si>
    <t>-500.82935341688 -86.3356232223805 189.805179323774</t>
  </si>
  <si>
    <t>-511.281641434088 -19.499940989909 654.644925338295</t>
  </si>
  <si>
    <t>-494.698972764396 -168.808523854529 746.162365169606</t>
  </si>
  <si>
    <t>9763-20170724T160536.996878800.bin</t>
  </si>
  <si>
    <t>-622.198018850724 139.332531841751 -228.870693843307</t>
  </si>
  <si>
    <t>-662.12645294867 137.269091518816 -343.191709261919</t>
  </si>
  <si>
    <t>-684.432313646888 126.204188450301 -461.811160636824</t>
  </si>
  <si>
    <t>-697.326765229975 112.228198331085 -569.668640829406</t>
  </si>
  <si>
    <t>-703.086409960157 94.1893889347139 -677.54025884639</t>
  </si>
  <si>
    <t>-703.734815858248 64.762576150699 -826.98479781026</t>
  </si>
  <si>
    <t>-674.064610693715 27.6454195043184 -917.123486264811</t>
  </si>
  <si>
    <t>-685.17344544675 103.294987844714 -765.963037464845</t>
  </si>
  <si>
    <t>-583.344653097073 209.391315729707 -765.073109812038</t>
  </si>
  <si>
    <t>-440.065537917628 166.05616062519 -486.183588215405</t>
  </si>
  <si>
    <t>-231.540965267493 88.8693283368455 -351.269755323492</t>
  </si>
  <si>
    <t>-721.722331467299 52.2711381873705 -755.757450605392</t>
  </si>
  <si>
    <t>-579.047674674848 225.410418330017 -245.230223043759</t>
  </si>
  <si>
    <t>-589.495154408237 206.199769430354 209.939522147719</t>
  </si>
  <si>
    <t>-629.692226535225 173.179331068186 676.980524819579</t>
  </si>
  <si>
    <t>-502.186095006304 91.2034290204904 766.231017222811</t>
  </si>
  <si>
    <t>-665.22049691004 53.2874397380613 -211.818962039373</t>
  </si>
  <si>
    <t>-501.133381709645 -85.8331748877904 189.9004877032</t>
  </si>
  <si>
    <t>-511.376433853887 -19.4329125210115 654.839372631114</t>
  </si>
  <si>
    <t>-494.530039043486 -168.764932922464 746.27057288896</t>
  </si>
  <si>
    <t>9763-20170724T160537.024950300.bin</t>
  </si>
  <si>
    <t>-622.367063687826 139.507168604566 -228.794580849979</t>
  </si>
  <si>
    <t>-662.315306078989 137.411652571386 -343.107950930352</t>
  </si>
  <si>
    <t>-684.607545097363 126.222807941922 -461.718376992154</t>
  </si>
  <si>
    <t>-697.476458133113 112.098964492586 -569.559822392584</t>
  </si>
  <si>
    <t>-703.197970336182 93.877617034603 -677.402780835577</t>
  </si>
  <si>
    <t>-703.781202755772 64.1620126208113 -826.790253545504</t>
  </si>
  <si>
    <t>-674.188435152626 26.9075975546627 -916.897838221303</t>
  </si>
  <si>
    <t>-685.255643350158 102.818474956808 -765.836248050452</t>
  </si>
  <si>
    <t>-583.349649584166 208.838807468019 -765.062501805794</t>
  </si>
  <si>
    <t>-438.779885260086 166.155223748252 -486.739081895323</t>
  </si>
  <si>
    <t>-229.049957446309 89.457883971613 -353.423808722702</t>
  </si>
  <si>
    <t>-721.790691987402 51.8019543789978 -755.545552448895</t>
  </si>
  <si>
    <t>-579.178511625254 225.573060823397 -245.201031347299</t>
  </si>
  <si>
    <t>-589.588956051655 206.324581243423 209.968037816225</t>
  </si>
  <si>
    <t>-629.707269586482 173.162487366188 676.987219440117</t>
  </si>
  <si>
    <t>-502.205528660159 91.1780715304867 766.236174521568</t>
  </si>
  <si>
    <t>-665.456904882791 53.4476805247029 -211.68931641146</t>
  </si>
  <si>
    <t>-501.270036729242 -85.808765120413 189.942298668982</t>
  </si>
  <si>
    <t>-511.409894450075 -19.3975947202052 654.905321469488</t>
  </si>
  <si>
    <t>-494.482427109093 -168.749431607557 746.289141222914</t>
  </si>
  <si>
    <t>9763-20170724T160537.094150800.bin</t>
  </si>
  <si>
    <t>-622.605118091303 139.763932507956 -228.648295954282</t>
  </si>
  <si>
    <t>-662.577260690333 137.570641144584 -342.951418573998</t>
  </si>
  <si>
    <t>-684.952986015585 126.141568864098 -461.52325072759</t>
  </si>
  <si>
    <t>-697.924142680514 111.744664024057 -569.316214748488</t>
  </si>
  <si>
    <t>-703.776565653859 93.195377139042 -677.096254482313</t>
  </si>
  <si>
    <t>-704.573121453886 62.9681397535735 -826.380088961136</t>
  </si>
  <si>
    <t>-675.225735964805 25.4738505019495 -916.468356273239</t>
  </si>
  <si>
    <t>-685.96070903797 101.833256843787 -765.585350142019</t>
  </si>
  <si>
    <t>-583.983602446686 207.77688171786 -765.332952252487</t>
  </si>
  <si>
    <t>-436.11624765839 165.667263998483 -488.659558987968</t>
  </si>
  <si>
    <t>-223.665359597452 89.6470509628034 -359.324148560224</t>
  </si>
  <si>
    <t>-722.480715049845 50.8521508707754 -755.067810310811</t>
  </si>
  <si>
    <t>-579.445919413083 225.834456808933 -245.149684970129</t>
  </si>
  <si>
    <t>-589.718132862939 206.494459835269 210.018498738156</t>
  </si>
  <si>
    <t>-629.6929400338 173.201671785793 677.014894721984</t>
  </si>
  <si>
    <t>-502.203035472047 91.189088658238 766.254830984782</t>
  </si>
  <si>
    <t>-665.596545445416 53.6900869727162 -211.476659853277</t>
  </si>
  <si>
    <t>-501.453868388346 -85.8405309722182 190.077848984789</t>
  </si>
  <si>
    <t>-511.417751127081 -19.3247612370235 655.018820991103</t>
  </si>
  <si>
    <t>-494.55928451319 -168.735153273023 746.319709729506</t>
  </si>
  <si>
    <t>9763-20170724T160537.126237200.bin</t>
  </si>
  <si>
    <t>-622.667082917316 139.890271956193 -228.614759887506</t>
  </si>
  <si>
    <t>-662.657790685139 137.681809984387 -342.911120931717</t>
  </si>
  <si>
    <t>-685.092054846376 126.151202797666 -461.462056626926</t>
  </si>
  <si>
    <t>-698.134959574951 111.626488684473 -569.229233595096</t>
  </si>
  <si>
    <t>-704.079346140024 92.9133609799667 -676.975791228052</t>
  </si>
  <si>
    <t>-705.026473334534 62.4205137072829 -826.204750296719</t>
  </si>
  <si>
    <t>-675.829517619683 24.8088115974394 -916.292958869243</t>
  </si>
  <si>
    <t>-686.320235305415 101.37134169055 -765.493822673113</t>
  </si>
  <si>
    <t>-584.196781050198 207.168238463689 -765.47742222106</t>
  </si>
  <si>
    <t>-434.695282013299 165.764419346312 -489.576747612479</t>
  </si>
  <si>
    <t>-220.773351785287 89.7731488184493 -362.671946215755</t>
  </si>
  <si>
    <t>-722.894574534381 50.4539520683668 -754.857424037148</t>
  </si>
  <si>
    <t>-579.520245392851 225.941210317852 -245.136620540828</t>
  </si>
  <si>
    <t>-589.725632101711 206.523627846341 210.029900297065</t>
  </si>
  <si>
    <t>-629.659278722144 173.26299207339 677.026218927841</t>
  </si>
  <si>
    <t>-502.270563578355 91.0927765205877 766.265698560913</t>
  </si>
  <si>
    <t>-665.668873882689 53.8427564235508 -211.407544259538</t>
  </si>
  <si>
    <t>-501.471528950451 -85.8639632916086 190.06339893487</t>
  </si>
  <si>
    <t>-511.414877737779 -19.324891229872 655.007727456867</t>
  </si>
  <si>
    <t>-494.65466142314 -168.742310911549 746.315130303433</t>
  </si>
  <si>
    <t>9763-20170724T160537.196360400.bin</t>
  </si>
  <si>
    <t>-622.642599006728 140.085817160554 -228.56223087421</t>
  </si>
  <si>
    <t>-662.65780171027 137.880605590876 -342.850117941128</t>
  </si>
  <si>
    <t>-685.170045360672 126.144938081609 -461.366076466395</t>
  </si>
  <si>
    <t>-698.309075364848 111.351108459641 -569.085082173156</t>
  </si>
  <si>
    <t>-704.377921038253 92.2861635265524 -676.763109834356</t>
  </si>
  <si>
    <t>-705.530196477456 61.2193616654622 -825.872166640721</t>
  </si>
  <si>
    <t>-676.767688568321 23.4390370802664 -916.029537242523</t>
  </si>
  <si>
    <t>-686.681861309323 100.362939519462 -765.32925647492</t>
  </si>
  <si>
    <t>-584.262839039337 205.875700351276 -765.857265688519</t>
  </si>
  <si>
    <t>-432.238451531467 165.371518914051 -491.204337967793</t>
  </si>
  <si>
    <t>-217.078465081673 89.5224983887513 -366.323772017954</t>
  </si>
  <si>
    <t>-723.358817026131 49.568000282293 -754.462683050915</t>
  </si>
  <si>
    <t>-579.528280687065 226.053613962417 -245.104506520693</t>
  </si>
  <si>
    <t>-589.634299477751 206.450310556508 210.056233868676</t>
  </si>
  <si>
    <t>-629.625496621753 173.43894864417 677.110729433003</t>
  </si>
  <si>
    <t>-502.271789003665 91.1128895995414 766.256477195745</t>
  </si>
  <si>
    <t>-665.584442415118 54.0923364151738 -211.295566864562</t>
  </si>
  <si>
    <t>-501.281023946887 -85.9074530447785 190.029885503856</t>
  </si>
  <si>
    <t>-511.32392527204 -19.3476016373832 654.959392737338</t>
  </si>
  <si>
    <t>-495.009837516783 -168.772753706358 746.334881994859</t>
  </si>
  <si>
    <t>9763-20170724T160537.228446900.bin</t>
  </si>
  <si>
    <t>-622.597822642542 140.205608972092 -228.492739162018</t>
  </si>
  <si>
    <t>-662.583105159903 138.013503262873 -342.791460697186</t>
  </si>
  <si>
    <t>-685.13404197272 126.212197435367 -461.293590688152</t>
  </si>
  <si>
    <t>-698.338467727409 111.327325281534 -568.991960843263</t>
  </si>
  <si>
    <t>-704.504556374695 92.1398816047306 -676.642584970007</t>
  </si>
  <si>
    <t>-705.826440223925 60.8702273018946 -825.707896430752</t>
  </si>
  <si>
    <t>-677.364488691749 23.0307899475331 -915.935794056954</t>
  </si>
  <si>
    <t>-686.862860570574 100.063814820369 -765.233401698323</t>
  </si>
  <si>
    <t>-584.279042042291 205.415712065718 -765.973516041157</t>
  </si>
  <si>
    <t>-431.352360592781 165.25615758407 -491.771302867835</t>
  </si>
  <si>
    <t>-214.98966469602 89.5768822597342 -368.881786109972</t>
  </si>
  <si>
    <t>-723.620240010798 49.3483405085567 -754.268823962862</t>
  </si>
  <si>
    <t>-579.454642875262 226.175613057955 -245.048845114798</t>
  </si>
  <si>
    <t>-589.529777888431 206.459826437778 210.107758477199</t>
  </si>
  <si>
    <t>-629.588287041058 173.606368947145 677.196351829842</t>
  </si>
  <si>
    <t>-502.300021828908 91.0868150314113 766.25662644814</t>
  </si>
  <si>
    <t>-665.561331282323 54.2586057233661 -211.23140107065</t>
  </si>
  <si>
    <t>-501.245711172622 -85.985487982796 190.00379891918</t>
  </si>
  <si>
    <t>-511.288433561816 -19.3711831984197 654.927220780579</t>
  </si>
  <si>
    <t>-495.243300965805 -168.791325212896 746.358704712171</t>
  </si>
  <si>
    <t>9763-20170724T160537.294542900.bin</t>
  </si>
  <si>
    <t>-622.625636967008 140.527667061611 -228.32998086986</t>
  </si>
  <si>
    <t>-662.559728204713 138.365033434109 -342.647155275</t>
  </si>
  <si>
    <t>-685.101484767805 126.326544408915 -461.127077062758</t>
  </si>
  <si>
    <t>-698.319052157196 111.121897377861 -568.77918326593</t>
  </si>
  <si>
    <t>-704.522769523645 91.5118707024333 -676.351587637066</t>
  </si>
  <si>
    <t>-705.925229622131 59.550677731103 -825.269400087169</t>
  </si>
  <si>
    <t>-677.950473347216 21.5601640536468 -915.586182296734</t>
  </si>
  <si>
    <t>-686.842794210378 98.9646721487181 -764.975614891866</t>
  </si>
  <si>
    <t>-583.823417068476 203.891440048429 -766.176428291032</t>
  </si>
  <si>
    <t>-429.645358012922 164.518790794964 -492.56143079861</t>
  </si>
  <si>
    <t>-211.993168412998 88.5333881977156 -372.16301875748</t>
  </si>
  <si>
    <t>-723.766487187639 48.4204603664425 -753.780072610037</t>
  </si>
  <si>
    <t>-579.267816495927 226.247298727277 -244.903908123592</t>
  </si>
  <si>
    <t>-589.55195666778 206.64997942574 210.253013509268</t>
  </si>
  <si>
    <t>-629.650646551511 173.663612154612 677.318825827026</t>
  </si>
  <si>
    <t>-502.218986590922 91.2052591637951 766.230610821166</t>
  </si>
  <si>
    <t>-665.883491898991 54.8162750198871 -211.003446433408</t>
  </si>
  <si>
    <t>-501.525615783816 -85.8812796655254 190.055570557586</t>
  </si>
  <si>
    <t>-511.24686440093 -19.3535925222438 654.991545739351</t>
  </si>
  <si>
    <t>-495.552561306193 -168.806583938322 746.430004300677</t>
  </si>
  <si>
    <t>9763-20170724T160537.328656500.bin</t>
  </si>
  <si>
    <t>-622.544961593839 140.697103332865 -228.227156409237</t>
  </si>
  <si>
    <t>-662.429637173583 138.539064527194 -342.561503425133</t>
  </si>
  <si>
    <t>-685.012645196751 126.399721468354 -461.023470881892</t>
  </si>
  <si>
    <t>-698.307094047228 111.062937753314 -568.647183575041</t>
  </si>
  <si>
    <t>-704.628475615019 91.2813467261819 -676.181353819078</t>
  </si>
  <si>
    <t>-706.238173039726 59.0416203982966 -825.03710807416</t>
  </si>
  <si>
    <t>-678.602288305914 20.9969987145348 -915.435296593357</t>
  </si>
  <si>
    <t>-687.013410987556 98.5272512614106 -764.83557173938</t>
  </si>
  <si>
    <t>-583.799962457525 203.263445075297 -766.301814537524</t>
  </si>
  <si>
    <t>-428.64995883056 164.244350956828 -493.186123430467</t>
  </si>
  <si>
    <t>-209.581325434293 88.1656592155082 -375.444839788702</t>
  </si>
  <si>
    <t>-724.038378466008 48.0862368201892 -753.510475371015</t>
  </si>
  <si>
    <t>-579.064095893965 226.334313055576 -244.842285765906</t>
  </si>
  <si>
    <t>-589.485816550112 206.744505575256 210.311929020422</t>
  </si>
  <si>
    <t>-629.68455355661 173.706154245109 677.393777490105</t>
  </si>
  <si>
    <t>-502.304410966497 91.0869880906766 766.23004846221</t>
  </si>
  <si>
    <t>-665.861685955558 55.0474285600642 -210.898666500357</t>
  </si>
  <si>
    <t>-501.447772595066 -85.9946010667436 190.016396797014</t>
  </si>
  <si>
    <t>-511.201650055852 -19.3667853606887 654.966141852821</t>
  </si>
  <si>
    <t>-495.803701946094 -168.825824148271 746.444980533077</t>
  </si>
  <si>
    <t>9763-20170724T160537.390807400.bin</t>
  </si>
  <si>
    <t>-622.374171345567 141.106376111768 -227.986718333246</t>
  </si>
  <si>
    <t>-662.260942510459 138.971591993768 -342.320887826058</t>
  </si>
  <si>
    <t>-684.935715165382 126.626658410917 -460.743962409989</t>
  </si>
  <si>
    <t>-698.353671052226 111.013592428797 -568.312751765445</t>
  </si>
  <si>
    <t>-704.841497018286 90.8676739108025 -675.769288694991</t>
  </si>
  <si>
    <t>-706.729473754513 58.0322582983908 -824.491302773164</t>
  </si>
  <si>
    <t>-679.624782079707 19.9594236687703 -915.038484805858</t>
  </si>
  <si>
    <t>-687.296803227322 97.6912448969938 -764.470850720385</t>
  </si>
  <si>
    <t>-583.72086821246 202.050439726577 -766.508332163453</t>
  </si>
  <si>
    <t>-425.5496372568 164.985525818957 -494.857408637941</t>
  </si>
  <si>
    <t>-205.573342206129 87.5722652169184 -379.70672355511</t>
  </si>
  <si>
    <t>-724.491348715794 47.4306411244593 -752.901947860286</t>
  </si>
  <si>
    <t>-578.691245432568 226.617267686678 -244.681637879054</t>
  </si>
  <si>
    <t>-589.116718589928 206.932930169013 210.468356842563</t>
  </si>
  <si>
    <t>-629.608235613504 173.979421375389 677.530079639951</t>
  </si>
  <si>
    <t>-502.275125694512 91.1248880005976 766.214446197295</t>
  </si>
  <si>
    <t>-665.946586206346 55.6495335621128 -210.556806312612</t>
  </si>
  <si>
    <t>-501.560808603749 -86.1278789302598 190.110348784855</t>
  </si>
  <si>
    <t>-511.13024275228 -19.3661617293635 654.980095391592</t>
  </si>
  <si>
    <t>-496.23458165486 -168.850274435624 746.501281567861</t>
  </si>
  <si>
    <t>9763-20170724T160537.423906200.bin</t>
  </si>
  <si>
    <t>-622.200683639576 141.299918793262 -227.900126843867</t>
  </si>
  <si>
    <t>-662.104891926841 139.195927559677 -342.228696248174</t>
  </si>
  <si>
    <t>-684.890054641636 126.810382580194 -460.626395681309</t>
  </si>
  <si>
    <t>-698.446702108055 111.133775046718 -568.168505547377</t>
  </si>
  <si>
    <t>-705.111953626922 90.8994049333787 -675.597623228964</t>
  </si>
  <si>
    <t>-707.287130029679 57.9160307103198 -824.283019784943</t>
  </si>
  <si>
    <t>-680.382727142818 19.8385480486218 -914.887845776466</t>
  </si>
  <si>
    <t>-687.699485530037 97.6069433805444 -764.334129212759</t>
  </si>
  <si>
    <t>-584.013292014647 201.854132260531 -766.691744054785</t>
  </si>
  <si>
    <t>-424.534749115866 165.398006682922 -495.723509576428</t>
  </si>
  <si>
    <t>-204.719238909043 87.8790665023837 -380.337125083028</t>
  </si>
  <si>
    <t>-724.949844658984 47.4134000242564 -752.654583591903</t>
  </si>
  <si>
    <t>-578.450063724122 226.711239303297 -244.616118377044</t>
  </si>
  <si>
    <t>-588.885860694973 206.970267525662 210.531221129711</t>
  </si>
  <si>
    <t>-629.605829296523 174.02462657917 677.57627537922</t>
  </si>
  <si>
    <t>-502.330189787298 91.0345586671456 766.216387605111</t>
  </si>
  <si>
    <t>-665.830885773234 55.8986466367114 -210.485863373295</t>
  </si>
  <si>
    <t>-501.48866979753 -86.1518071653716 190.10242534038</t>
  </si>
  <si>
    <t>-511.040459270972 -19.3686692932715 654.990428731576</t>
  </si>
  <si>
    <t>-496.532393322385 -168.87210712304 746.542285031176</t>
  </si>
  <si>
    <t>9763-20170724T160537.491083300.bin</t>
  </si>
  <si>
    <t>-621.828056948476 141.675895041971 -227.694702254638</t>
  </si>
  <si>
    <t>-661.730309147685 139.594887589514 -342.024389818949</t>
  </si>
  <si>
    <t>-684.575852929955 127.068096387658 -460.39551609669</t>
  </si>
  <si>
    <t>-698.21224214344 111.203801195071 -567.900078972385</t>
  </si>
  <si>
    <t>-704.982029026729 90.7262153990857 -675.276476548749</t>
  </si>
  <si>
    <t>-707.328078390567 57.350878915126 -823.871803209475</t>
  </si>
  <si>
    <t>-680.677634438091 19.3406085927343 -914.579847815524</t>
  </si>
  <si>
    <t>-687.628573929155 97.1691815307188 -764.044048373669</t>
  </si>
  <si>
    <t>-583.794244304127 201.240334571581 -766.725833381902</t>
  </si>
  <si>
    <t>-422.189005287141 166.146219335313 -496.840044081589</t>
  </si>
  <si>
    <t>-202.831290012632 88.0935024481912 -380.943727389975</t>
  </si>
  <si>
    <t>-724.951438443063 47.0677215681371 -752.201716252348</t>
  </si>
  <si>
    <t>-577.810855028199 226.891497208602 -244.482308363536</t>
  </si>
  <si>
    <t>-588.39822101189 207.007111000743 210.655317957265</t>
  </si>
  <si>
    <t>-629.611116114153 174.159329082634 677.69297035479</t>
  </si>
  <si>
    <t>-502.280508002504 91.1035292380486 766.192471032661</t>
  </si>
  <si>
    <t>-665.749678761914 56.4852513551243 -210.187182966999</t>
  </si>
  <si>
    <t>-501.491082516078 -86.1223339023957 190.237411225798</t>
  </si>
  <si>
    <t>-510.98714001446 -19.3421272736662 655.098980348817</t>
  </si>
  <si>
    <t>-496.841704958104 -168.883188329925 746.646160253318</t>
  </si>
  <si>
    <t>9763-20170724T160537.522165100.bin</t>
  </si>
  <si>
    <t>-621.54206117129 141.86461960266 -227.553949495257</t>
  </si>
  <si>
    <t>-661.447250892611 139.814116496612 -341.883118372647</t>
  </si>
  <si>
    <t>-684.287359455734 127.247921967231 -460.251151206244</t>
  </si>
  <si>
    <t>-697.914415993627 111.322906717837 -567.747960095629</t>
  </si>
  <si>
    <t>-704.669884618499 90.7617228908462 -675.109255066425</t>
  </si>
  <si>
    <t>-706.990250840941 57.2485850909193 -823.674013459084</t>
  </si>
  <si>
    <t>-680.40800730959 19.3454836010956 -914.446925034085</t>
  </si>
  <si>
    <t>-687.288482067634 97.1134455019076 -763.878019612181</t>
  </si>
  <si>
    <t>-583.364431207565 201.121287582769 -766.63922354079</t>
  </si>
  <si>
    <t>-421.073800647079 166.615738752732 -497.089140665127</t>
  </si>
  <si>
    <t>-201.879310656108 88.3302430685537 -381.040562957298</t>
  </si>
  <si>
    <t>-724.638666197806 47.040741173704 -751.999391422339</t>
  </si>
  <si>
    <t>-577.3865448716 226.970159223346 -244.398988756263</t>
  </si>
  <si>
    <t>-588.010272864718 206.98962674423 210.733519333005</t>
  </si>
  <si>
    <t>-629.590113981924 174.233690459086 677.747258310857</t>
  </si>
  <si>
    <t>-502.336394744903 91.0086867956795 766.19838097654</t>
  </si>
  <si>
    <t>-665.53083141852 56.7825200663908 -210.0425184271</t>
  </si>
  <si>
    <t>-501.426954447035 -86.3070894697078 190.273524904136</t>
  </si>
  <si>
    <t>-510.974130342362 -19.3472244737357 655.129470389869</t>
  </si>
  <si>
    <t>-496.969419756731 -168.892486694537 746.691559153427</t>
  </si>
  <si>
    <t>9763-20170724T160537.591921300.bin</t>
  </si>
  <si>
    <t>-620.780852951058 142.241756122588 -227.310631874092</t>
  </si>
  <si>
    <t>-660.686311162851 140.264809169548 -341.641037222514</t>
  </si>
  <si>
    <t>-683.551235870741 127.587300606508 -459.992412113361</t>
  </si>
  <si>
    <t>-697.208541346474 111.495496406984 -567.460511379976</t>
  </si>
  <si>
    <t>-704.000593903677 90.7073538400996 -674.775767301937</t>
  </si>
  <si>
    <t>-706.377268023738 56.8213847790953 -823.255048197694</t>
  </si>
  <si>
    <t>-680.15587810745 19.32738861914 -914.30244468508</t>
  </si>
  <si>
    <t>-686.61643091843 96.8101967373791 -763.561400477958</t>
  </si>
  <si>
    <t>-582.632494880698 200.761900383017 -766.516494892338</t>
  </si>
  <si>
    <t>-419.685077917577 167.096082844639 -497.25642303364</t>
  </si>
  <si>
    <t>-202.666512620934 88.8900801708905 -377.136474927587</t>
  </si>
  <si>
    <t>-724.034942331102 46.8194988867579 -751.553729962181</t>
  </si>
  <si>
    <t>-576.285538999151 227.053931578961 -244.260021575962</t>
  </si>
  <si>
    <t>-587.147882238507 206.933670352201 210.860654444762</t>
  </si>
  <si>
    <t>-629.490602707581 174.318068681656 677.753939397612</t>
  </si>
  <si>
    <t>-502.395085035415 90.8624830294082 766.21526258375</t>
  </si>
  <si>
    <t>-665.150492475561 57.445704871712 -209.645891424858</t>
  </si>
  <si>
    <t>-501.223679902221 -86.9642663195361 190.268414291143</t>
  </si>
  <si>
    <t>-510.895491020572 -19.3982308320751 655.053376117249</t>
  </si>
  <si>
    <t>-497.284440058489 -168.924114978083 746.706297934709</t>
  </si>
  <si>
    <t>9763-20170724T160537.629019500.bin</t>
  </si>
  <si>
    <t>-620.424359462978 142.423355715436 -227.207723260536</t>
  </si>
  <si>
    <t>-660.299354590493 140.455078820309 -341.548995940846</t>
  </si>
  <si>
    <t>-683.18209105935 127.739833084685 -459.892962501351</t>
  </si>
  <si>
    <t>-696.873955030145 111.599683645256 -567.349266045291</t>
  </si>
  <si>
    <t>-703.718241875914 90.7513848128301 -674.649621014485</t>
  </si>
  <si>
    <t>-706.184398103511 56.7723239680513 -823.106152883229</t>
  </si>
  <si>
    <t>-680.084019678669 19.5251668158839 -914.289501726416</t>
  </si>
  <si>
    <t>-686.375582923168 96.7901634640866 -763.447756994344</t>
  </si>
  <si>
    <t>-582.403105004877 200.718054713619 -766.482142741931</t>
  </si>
  <si>
    <t>-419.288711909965 167.239214748893 -497.300036159113</t>
  </si>
  <si>
    <t>-204.252814836318 89.1082657270372 -373.618259790612</t>
  </si>
  <si>
    <t>-723.810685375155 46.8240013026957 -751.389522717032</t>
  </si>
  <si>
    <t>-575.799077223983 227.135160697333 -244.18761123124</t>
  </si>
  <si>
    <t>-586.847876973831 207.016828159449 210.928597744842</t>
  </si>
  <si>
    <t>-629.490312464929 174.337194351089 677.803380995779</t>
  </si>
  <si>
    <t>-502.372398680375 90.8864090226052 766.237073473066</t>
  </si>
  <si>
    <t>-664.952362047129 57.7486495792721 -209.498503377911</t>
  </si>
  <si>
    <t>-501.199394517883 -87.3183523312707 190.249146593623</t>
  </si>
  <si>
    <t>-510.885318750301 -19.398209932275 655.025223949044</t>
  </si>
  <si>
    <t>-497.379130246333 -168.930277412604 746.683469043218</t>
  </si>
  <si>
    <t>9763-20170724T160537.693230800.bin</t>
  </si>
  <si>
    <t>-620.001517448768 143.037986609416 -226.974080325987</t>
  </si>
  <si>
    <t>-659.663380360633 140.930120111534 -341.386958864925</t>
  </si>
  <si>
    <t>-682.408011142691 128.07560874212 -459.742370254113</t>
  </si>
  <si>
    <t>-696.007302185069 111.813390417442 -567.192208591095</t>
  </si>
  <si>
    <t>-702.791229234937 90.8492743856209 -674.47364033514</t>
  </si>
  <si>
    <t>-705.206891866319 56.7172889420413 -822.895947522502</t>
  </si>
  <si>
    <t>-679.147438915798 19.8576401180298 -914.248361028844</t>
  </si>
  <si>
    <t>-685.405077779236 96.7869920157734 -763.27021802258</t>
  </si>
  <si>
    <t>-581.379929731636 200.686506177344 -766.327744056323</t>
  </si>
  <si>
    <t>-418.444288873133 166.053106471977 -497.183537323015</t>
  </si>
  <si>
    <t>-207.229706257827 88.5344318163529 -366.717588597834</t>
  </si>
  <si>
    <t>-722.870922781475 46.8523634527398 -751.177224242245</t>
  </si>
  <si>
    <t>-575.158119573158 227.643929190359 -244.034513419133</t>
  </si>
  <si>
    <t>-586.69616148041 207.598485423635 211.072819645402</t>
  </si>
  <si>
    <t>-629.456041932206 174.476970878488 677.89776089273</t>
  </si>
  <si>
    <t>-502.455482527153 90.7577915283962 766.246312266326</t>
  </si>
  <si>
    <t>-664.745303326548 58.4737758025726 -209.254580813419</t>
  </si>
  <si>
    <t>-501.379055821424 -87.6625436293357 190.261749794097</t>
  </si>
  <si>
    <t>-510.875387940784 -19.3539154062078 655.011348409276</t>
  </si>
  <si>
    <t>-497.495905765845 -168.931635937403 746.613888304254</t>
  </si>
  <si>
    <t>9763-20170724T160537.726321800.bin</t>
  </si>
  <si>
    <t>-619.959065394503 143.465415400155 -226.910490229508</t>
  </si>
  <si>
    <t>-659.553986586048 141.321745851968 -341.345726824812</t>
  </si>
  <si>
    <t>-682.205649202718 128.440166090998 -459.71618843119</t>
  </si>
  <si>
    <t>-695.711935530148 112.155044389787 -567.17409343248</t>
  </si>
  <si>
    <t>-702.395272477098 91.1682153149527 -674.457630300446</t>
  </si>
  <si>
    <t>-704.664392386969 57.0038488664522 -822.874737431558</t>
  </si>
  <si>
    <t>-678.577658648462 20.3476619777318 -914.301126056485</t>
  </si>
  <si>
    <t>-684.917655396519 97.0838827113209 -763.237683286723</t>
  </si>
  <si>
    <t>-580.843383797609 200.907833652525 -766.134168567873</t>
  </si>
  <si>
    <t>-418.013879801022 165.355346885816 -497.045433220912</t>
  </si>
  <si>
    <t>-205.182907721494 87.9460516925137 -369.167296609425</t>
  </si>
  <si>
    <t>-722.403014590266 47.1572604568839 -751.171816025745</t>
  </si>
  <si>
    <t>-575.07425282785 228.179395499553 -243.929556497656</t>
  </si>
  <si>
    <t>-586.71611913313 208.014901699884 211.169893345877</t>
  </si>
  <si>
    <t>-629.413210556368 174.745418665684 678.036962061067</t>
  </si>
  <si>
    <t>-502.556342026186 90.6493970796935 766.23393597673</t>
  </si>
  <si>
    <t>-664.759202177419 58.858476228736 -209.218096238677</t>
  </si>
  <si>
    <t>-501.578203053508 -87.6593655461513 190.234236911735</t>
  </si>
  <si>
    <t>-510.98033561431 -19.4011710705886 654.935254683628</t>
  </si>
  <si>
    <t>-497.519761789395 -168.927872257776 746.609227315003</t>
  </si>
  <si>
    <t>9763-20170724T160537.793397700.bin</t>
  </si>
  <si>
    <t>-620.328319127597 143.922117135025 -226.915151196568</t>
  </si>
  <si>
    <t>-659.637740791876 141.588609380289 -341.445105001336</t>
  </si>
  <si>
    <t>-681.914631692232 128.614126909211 -459.876488375457</t>
  </si>
  <si>
    <t>-695.053011604893 112.274782392026 -567.371827645917</t>
  </si>
  <si>
    <t>-701.343806196889 91.2581355992879 -674.673240246814</t>
  </si>
  <si>
    <t>-703.046679183327 57.0721480661798 -823.092866811797</t>
  </si>
  <si>
    <t>-676.620430658195 20.6481917283045 -914.51467339521</t>
  </si>
  <si>
    <t>-683.497896480138 97.1394030002612 -763.382239322802</t>
  </si>
  <si>
    <t>-579.082248840806 200.673803938076 -765.806222786605</t>
  </si>
  <si>
    <t>-417.388137576239 162.450700368331 -496.399045689647</t>
  </si>
  <si>
    <t>-203.458891035781 85.2855742308977 -370.217013303061</t>
  </si>
  <si>
    <t>-721.088634360755 47.2572424961199 -751.461370118721</t>
  </si>
  <si>
    <t>-575.243312311156 228.680977736993 -243.733439688885</t>
  </si>
  <si>
    <t>-587.188595725831 208.359099434691 211.351192015864</t>
  </si>
  <si>
    <t>-629.763556360862 174.571252554778 678.245746026057</t>
  </si>
  <si>
    <t>-502.353149191395 90.9853851058715 766.129216188952</t>
  </si>
  <si>
    <t>-665.412141306506 59.0875049639933 -209.492701721935</t>
  </si>
  <si>
    <t>-502.594001407106 -87.476249378069 190.09078645939</t>
  </si>
  <si>
    <t>-511.827929731957 -20.0628951778074 654.517195643656</t>
  </si>
  <si>
    <t>-497.488217375487 -169.010856438472 746.996346454519</t>
  </si>
  <si>
    <t>9763-20170724T160537.825482400.bin</t>
  </si>
  <si>
    <t>-620.714579438182 144.019127498853 -227.048746123683</t>
  </si>
  <si>
    <t>-659.953268452813 141.67393945697 -341.602817879001</t>
  </si>
  <si>
    <t>-682.123034040156 128.721139437595 -460.056678786245</t>
  </si>
  <si>
    <t>-695.151454327182 112.411703813087 -567.569908206952</t>
  </si>
  <si>
    <t>-701.320709154396 91.4329932353514 -674.885657402103</t>
  </si>
  <si>
    <t>-702.843509188055 57.3067940190836 -823.321221864754</t>
  </si>
  <si>
    <t>-676.366743263621 21.0112595913017 -914.77945145246</t>
  </si>
  <si>
    <t>-683.352882157095 97.3397292567506 -763.568382119743</t>
  </si>
  <si>
    <t>-578.874574851504 200.809259591192 -765.801024832361</t>
  </si>
  <si>
    <t>-417.660807605115 160.430564550919 -496.420474972422</t>
  </si>
  <si>
    <t>-203.667807892839 83.4575235139332 -370.229353768926</t>
  </si>
  <si>
    <t>-720.986625213566 47.4733410064655 -751.717749040557</t>
  </si>
  <si>
    <t>-575.320381867748 228.910289624003 -243.778680468177</t>
  </si>
  <si>
    <t>-587.518961820453 208.563534029621 211.297998539871</t>
  </si>
  <si>
    <t>-629.760559668636 174.580929034448 678.149240881579</t>
  </si>
  <si>
    <t>-502.429558023796 90.8825707053768 766.040744170957</t>
  </si>
  <si>
    <t>-666.157878903749 59.0924260487486 -209.772155743184</t>
  </si>
  <si>
    <t>-503.51256594842 -87.3271465969556 189.93456663168</t>
  </si>
  <si>
    <t>-512.552806301961 -20.5536029273637 654.328422924472</t>
  </si>
  <si>
    <t>-497.332025396897 -169.029288747614 747.424008903908</t>
  </si>
  <si>
    <t>9763-20170724T160537.891665900.bin</t>
  </si>
  <si>
    <t>-621.446832045759 143.774447789782 -227.559609486208</t>
  </si>
  <si>
    <t>-660.455961689826 141.351934155716 -342.190374545918</t>
  </si>
  <si>
    <t>-682.337875385808 128.405337021652 -460.698430355057</t>
  </si>
  <si>
    <t>-695.08614985247 112.130064560016 -568.250506610993</t>
  </si>
  <si>
    <t>-700.957622975305 91.2109934067146 -675.594489242206</t>
  </si>
  <si>
    <t>-702.050589416692 57.1910776435625 -824.058175349204</t>
  </si>
  <si>
    <t>-675.338296515549 21.0915067155354 -915.525386756365</t>
  </si>
  <si>
    <t>-682.695578928348 97.1541653440102 -764.214708875066</t>
  </si>
  <si>
    <t>-578.10704051933 200.507824762426 -766.139134157697</t>
  </si>
  <si>
    <t>-418.075362439528 157.108876254498 -496.523566224014</t>
  </si>
  <si>
    <t>-205.133220329051 80.4398240673816 -368.384657932028</t>
  </si>
  <si>
    <t>-720.438507070115 47.3333700592427 -752.520575673341</t>
  </si>
  <si>
    <t>-575.261283311567 228.929093692517 -244.175788619804</t>
  </si>
  <si>
    <t>-588.218182833454 208.766039118049 210.88826504786</t>
  </si>
  <si>
    <t>-629.676167878882 174.462080281275 677.734846528278</t>
  </si>
  <si>
    <t>-502.482345283017 90.820385761582 765.878515017406</t>
  </si>
  <si>
    <t>-667.518184244888 58.5711240868673 -210.487197715971</t>
  </si>
  <si>
    <t>-505.392785541219 -87.5946357875955 189.523569682274</t>
  </si>
  <si>
    <t>-513.755496842076 -21.7038929586336 654.129180665442</t>
  </si>
  <si>
    <t>-497.619565668159 -169.226714874169 748.575828837336</t>
  </si>
  <si>
    <t>9763-20170724T160537.923750900.bin</t>
  </si>
  <si>
    <t>-621.174672026799 143.589420863008 -227.727958725879</t>
  </si>
  <si>
    <t>-660.043946117029 141.158944552357 -342.406179704416</t>
  </si>
  <si>
    <t>-681.775434054543 128.228372042743 -460.943463922516</t>
  </si>
  <si>
    <t>-694.385285636862 111.975838105197 -568.515349491423</t>
  </si>
  <si>
    <t>-700.11673803028 91.0871020896907 -675.872907116949</t>
  </si>
  <si>
    <t>-701.014169764378 57.1166169522448 -824.349275285941</t>
  </si>
  <si>
    <t>-674.156905976909 21.088524571581 -915.802159943735</t>
  </si>
  <si>
    <t>-681.714983631447 97.0431366103487 -764.463256587214</t>
  </si>
  <si>
    <t>-577.071244657372 200.334284146928 -766.247820691003</t>
  </si>
  <si>
    <t>-417.545889913209 156.047690313533 -496.476574721017</t>
  </si>
  <si>
    <t>-205.030356436573 79.3610125637399 -367.642024694117</t>
  </si>
  <si>
    <t>-719.519312814464 47.2517139088657 -752.842714162063</t>
  </si>
  <si>
    <t>-574.791619280957 228.781273267467 -244.352191794289</t>
  </si>
  <si>
    <t>-588.338426141171 208.865003196982 210.705557165577</t>
  </si>
  <si>
    <t>-629.668692130737 174.29954504994 677.560764291778</t>
  </si>
  <si>
    <t>-502.622834298686 90.6205087403669 765.882231660002</t>
  </si>
  <si>
    <t>-667.317942244082 58.3996842346896 -210.531184493356</t>
  </si>
  <si>
    <t>-505.656015168547 -87.9700999186559 189.592516485465</t>
  </si>
  <si>
    <t>-513.764294378513 -21.785510094764 654.498039276984</t>
  </si>
  <si>
    <t>-497.807242860697 -169.238117786656 749.08471895044</t>
  </si>
  <si>
    <t>9763-20170724T160537.992948500.bin</t>
  </si>
  <si>
    <t>-619.464286956487 143.027537414849 -227.814448968694</t>
  </si>
  <si>
    <t>-658.093304168001 140.709292577634 -342.576136182038</t>
  </si>
  <si>
    <t>-679.646286094499 127.887804771884 -461.157875558141</t>
  </si>
  <si>
    <t>-692.121449502343 111.734587222181 -568.760350780354</t>
  </si>
  <si>
    <t>-697.744640482553 90.9476245473788 -676.143358281724</t>
  </si>
  <si>
    <t>-698.519072088329 57.1218776006494 -824.653460164313</t>
  </si>
  <si>
    <t>-671.519600351597 21.2513803020163 -916.126524011744</t>
  </si>
  <si>
    <t>-679.251236902962 96.9769057176591 -764.709741379169</t>
  </si>
  <si>
    <t>-574.742083158378 200.427731963549 -766.391723945623</t>
  </si>
  <si>
    <t>-416.997290149348 156.124784237328 -495.578090787124</t>
  </si>
  <si>
    <t>-206.120422112157 78.9954351857652 -364.337660849918</t>
  </si>
  <si>
    <t>-717.101654650452 47.2004528203368 -753.174946936449</t>
  </si>
  <si>
    <t>-573.050113954886 228.033685003634 -244.504146165378</t>
  </si>
  <si>
    <t>-587.810147125138 208.622962698433 210.537653186302</t>
  </si>
  <si>
    <t>-629.573763532575 173.603186546845 677.107966870078</t>
  </si>
  <si>
    <t>-502.615716946091 90.4880688147587 766.08573448545</t>
  </si>
  <si>
    <t>-665.511329406841 58.1186545942096 -210.338385177801</t>
  </si>
  <si>
    <t>-504.813463059869 -88.4602060639754 190.096998109649</t>
  </si>
  <si>
    <t>-513.082253365658 -21.3101606657601 655.324468640379</t>
  </si>
  <si>
    <t>-497.89083203391 -169.177126263639 749.388701920529</t>
  </si>
  <si>
    <t>9763-20170724T160538.031043900.bin</t>
  </si>
  <si>
    <t>-618.071737618762 142.814866966467 -227.796459216396</t>
  </si>
  <si>
    <t>-656.595602745856 140.607516927749 -342.595561905253</t>
  </si>
  <si>
    <t>-678.06004973605 127.863742238886 -461.201718864376</t>
  </si>
  <si>
    <t>-690.463291569088 111.767174193653 -568.821163528066</t>
  </si>
  <si>
    <t>-696.02408880356 91.0225129818841 -676.215570031247</t>
  </si>
  <si>
    <t>-696.722321365667 57.2407965526581 -824.736129343102</t>
  </si>
  <si>
    <t>-669.629377103934 21.400353967068 -916.193277525184</t>
  </si>
  <si>
    <t>-677.470731083016 97.0675446746511 -764.768304667003</t>
  </si>
  <si>
    <t>-573.26400205563 200.781898683568 -766.610975441721</t>
  </si>
  <si>
    <t>-416.631992675596 158.052724312882 -494.900068437997</t>
  </si>
  <si>
    <t>-205.970506723269 80.4368683006139 -363.600526932029</t>
  </si>
  <si>
    <t>-715.356108707656 47.3086663999372 -753.272426551487</t>
  </si>
  <si>
    <t>-571.698023275238 227.675774853605 -244.541310195948</t>
  </si>
  <si>
    <t>-587.333955265539 208.650641960444 210.487593599979</t>
  </si>
  <si>
    <t>-629.447300172974 173.292658142925 676.812090223741</t>
  </si>
  <si>
    <t>-502.800681575187 90.1205006673601 766.179530880085</t>
  </si>
  <si>
    <t>-664.088938151317 58.1521609287058 -210.216996126766</t>
  </si>
  <si>
    <t>-503.744667433937 -88.3520635607952 190.387450688603</t>
  </si>
  <si>
    <t>-512.33900099884 -20.7240165122601 655.768239694965</t>
  </si>
  <si>
    <t>-497.759182668791 -169.084879217745 749.149186339592</t>
  </si>
  <si>
    <t>9763-20170724T160538.093219500.bin</t>
  </si>
  <si>
    <t>-615.799364214774 142.769223619858 -227.781950730501</t>
  </si>
  <si>
    <t>-654.099813710996 140.599445223615 -342.656549325306</t>
  </si>
  <si>
    <t>-675.350242022673 127.944123705696 -461.310708848477</t>
  </si>
  <si>
    <t>-687.567000867821 111.945185509535 -568.965932904954</t>
  </si>
  <si>
    <t>-692.94950031532 91.3144779282534 -676.39146622403</t>
  </si>
  <si>
    <t>-693.409665521943 57.7064610708348 -824.952197531039</t>
  </si>
  <si>
    <t>-666.136178997273 22.0087826893662 -916.411564264611</t>
  </si>
  <si>
    <t>-674.250142915678 97.4601966278933 -764.906553413612</t>
  </si>
  <si>
    <t>-570.239058190073 201.357144505834 -766.473037433483</t>
  </si>
  <si>
    <t>-418.042503099146 164.022514774291 -491.466703781229</t>
  </si>
  <si>
    <t>-207.344504899404 84.6395783487783 -361.286998231578</t>
  </si>
  <si>
    <t>-712.161896003796 47.6938273342932 -753.530896692557</t>
  </si>
  <si>
    <t>-569.61731144215 227.085518369872 -244.590808918311</t>
  </si>
  <si>
    <t>-586.644563622446 209.137032337373 210.431776246753</t>
  </si>
  <si>
    <t>-629.508303276743 172.864956102847 676.703711262729</t>
  </si>
  <si>
    <t>-502.905321334737 90.0311949000743 766.4464685401</t>
  </si>
  <si>
    <t>-661.842736008678 58.5735207874143 -210.072404307283</t>
  </si>
  <si>
    <t>-501.692290624084 -87.7188803737783 190.686859344189</t>
  </si>
  <si>
    <t>-511.382026214274 -19.7383517297601 656.045820200549</t>
  </si>
  <si>
    <t>-496.919480468755 -168.902830555606 748.15607639373</t>
  </si>
  <si>
    <t>9763-20170724T160538.127309800.bin</t>
  </si>
  <si>
    <t>-615.285564814438 142.888348205661 -227.823888498928</t>
  </si>
  <si>
    <t>-653.541649162224 140.749615214703 -342.713807502244</t>
  </si>
  <si>
    <t>-674.659026356848 128.145846242729 -461.397333455124</t>
  </si>
  <si>
    <t>-686.717269213651 112.203142816453 -569.078773891042</t>
  </si>
  <si>
    <t>-691.902690294237 91.6382108603605 -676.526605815824</t>
  </si>
  <si>
    <t>-692.047947858034 58.1324490260008 -825.110978083305</t>
  </si>
  <si>
    <t>-664.530261438354 22.546893109276 -916.540928597283</t>
  </si>
  <si>
    <t>-673.093902937045 97.9013091731317 -765.010261733081</t>
  </si>
  <si>
    <t>-569.603728635684 202.352089717306 -766.46234544807</t>
  </si>
  <si>
    <t>-418.837913872965 168.289614897119 -490.245637758278</t>
  </si>
  <si>
    <t>-208.405225096094 87.9020815251001 -360.253529472047</t>
  </si>
  <si>
    <t>-710.873370130809 48.0142033188113 -753.723761673055</t>
  </si>
  <si>
    <t>-569.336900159655 227.106505137472 -244.568374966258</t>
  </si>
  <si>
    <t>-586.227672518229 208.789032676617 210.444642557342</t>
  </si>
  <si>
    <t>-629.622780457908 172.613317599103 676.717580955558</t>
  </si>
  <si>
    <t>-502.65542647207 90.4278728274205 766.541609698161</t>
  </si>
  <si>
    <t>-661.188515599816 58.7874870415171 -210.216254426334</t>
  </si>
  <si>
    <t>-501.362064627454 -87.5057189983236 190.672071588465</t>
  </si>
  <si>
    <t>-511.229829727939 -19.4830697687626 655.921634326327</t>
  </si>
  <si>
    <t>-496.396430712721 -168.860025138464 747.627698419905</t>
  </si>
  <si>
    <t>9763-20170724T160538.192204800.bin</t>
  </si>
  <si>
    <t>-614.403844868602 143.195463781036 -228.047666347294</t>
  </si>
  <si>
    <t>-652.593325936586 141.105397385604 -342.960649678683</t>
  </si>
  <si>
    <t>-673.364268469602 128.539175268769 -461.709246692598</t>
  </si>
  <si>
    <t>-684.986920717339 112.635283204389 -569.444242649667</t>
  </si>
  <si>
    <t>-689.610055122474 92.1197079572512 -676.927222366337</t>
  </si>
  <si>
    <t>-688.838839473965 58.6986618031001 -825.528825576167</t>
  </si>
  <si>
    <t>-660.691292710117 23.3708952327524 -916.866851918027</t>
  </si>
  <si>
    <t>-670.51631234409 98.6190353700702 -765.332767075729</t>
  </si>
  <si>
    <t>-568.323412138331 204.361689872394 -766.656330203477</t>
  </si>
  <si>
    <t>-421.804353657242 176.325250131051 -487.492673572719</t>
  </si>
  <si>
    <t>-210.622582044278 94.5747725887561 -359.581910173194</t>
  </si>
  <si>
    <t>-707.843872468902 48.3538095496283 -754.2216813879</t>
  </si>
  <si>
    <t>-568.737393447518 227.504014647747 -244.526207330111</t>
  </si>
  <si>
    <t>-585.424218451374 208.428616153851 210.463120421342</t>
  </si>
  <si>
    <t>-629.585400859623 172.567956377883 676.641202234628</t>
  </si>
  <si>
    <t>-502.665588660014 90.4963729236206 766.636346988</t>
  </si>
  <si>
    <t>-659.976736994882 58.8260569230977 -210.898484920911</t>
  </si>
  <si>
    <t>-501.025916635272 -87.3700479817751 190.373309064553</t>
  </si>
  <si>
    <t>-511.139827043679 -19.2957159475461 655.47650714035</t>
  </si>
  <si>
    <t>-495.777540938429 -168.850692393269 746.804661185357</t>
  </si>
  <si>
    <t>9763-20170724T160538.228301600.bin</t>
  </si>
  <si>
    <t>-614.210414388002 143.389590363378 -228.19765668953</t>
  </si>
  <si>
    <t>-652.357941072758 141.285857402785 -343.124418130002</t>
  </si>
  <si>
    <t>-672.977877005388 128.689807337673 -461.896135058961</t>
  </si>
  <si>
    <t>-684.416092046129 112.757529038511 -569.646779412453</t>
  </si>
  <si>
    <t>-688.805243339581 92.2149566571286 -677.134221490423</t>
  </si>
  <si>
    <t>-687.655692834551 58.7608852254702 -825.726123648242</t>
  </si>
  <si>
    <t>-659.150217904885 23.5274534652463 -916.989645381032</t>
  </si>
  <si>
    <t>-669.620226459037 98.7887048941193 -765.514593573422</t>
  </si>
  <si>
    <t>-568.256242692405 205.326379028569 -766.73183301147</t>
  </si>
  <si>
    <t>-423.968174125575 179.595879188611 -486.187736474954</t>
  </si>
  <si>
    <t>-212.226424374222 97.0451010959707 -359.724727549828</t>
  </si>
  <si>
    <t>-706.708328467642 48.3379772898561 -754.443023536326</t>
  </si>
  <si>
    <t>-568.6955344279 227.817678762335 -244.535815945668</t>
  </si>
  <si>
    <t>-585.370392192081 208.581171112829 210.44731326855</t>
  </si>
  <si>
    <t>-629.631794958013 172.518434982411 676.624765844433</t>
  </si>
  <si>
    <t>-502.67347654269 90.5465538751766 766.656475741437</t>
  </si>
  <si>
    <t>-659.699668201385 58.9280040707501 -211.158316355259</t>
  </si>
  <si>
    <t>-500.892038146116 -87.3337668283964 190.146230874156</t>
  </si>
  <si>
    <t>-511.197320166084 -19.3082352307513 655.214024599163</t>
  </si>
  <si>
    <t>-495.534055073933 -168.84941362066 746.513528401937</t>
  </si>
  <si>
    <t>9763-20170724T160538.295335200.bin</t>
  </si>
  <si>
    <t>-614.056134304798 143.725739591704 -228.411386500635</t>
  </si>
  <si>
    <t>-652.027856798046 141.432217379728 -343.392562242807</t>
  </si>
  <si>
    <t>-672.343334260275 128.775910293114 -462.210345408531</t>
  </si>
  <si>
    <t>-683.44755577954 112.850628096155 -569.996900802109</t>
  </si>
  <si>
    <t>-687.44059321055 92.3801946943254 -677.513751622851</t>
  </si>
  <si>
    <t>-685.672259116969 59.0978268132296 -826.137942876882</t>
  </si>
  <si>
    <t>-656.556273774302 24.1325008842271 -917.311804136649</t>
  </si>
  <si>
    <t>-668.130392451352 99.2239888321856 -765.846199038442</t>
  </si>
  <si>
    <t>-568.079654067231 206.993532479458 -766.969671500851</t>
  </si>
  <si>
    <t>-429.346312243676 186.706848831534 -483.195606249765</t>
  </si>
  <si>
    <t>-217.034488634125 102.350675155822 -358.898540703104</t>
  </si>
  <si>
    <t>-704.778958453162 48.4245328605523 -754.906465575677</t>
  </si>
  <si>
    <t>-568.603482377011 228.425497198481 -244.616793958297</t>
  </si>
  <si>
    <t>-585.478008912033 208.975386717484 210.349814121681</t>
  </si>
  <si>
    <t>-629.750850576577 172.457944905166 676.565990259347</t>
  </si>
  <si>
    <t>-502.69702478255 90.6459706249379 766.608440843639</t>
  </si>
  <si>
    <t>-659.413473465788 58.9586511115238 -211.637690705679</t>
  </si>
  <si>
    <t>-500.602127033359 -87.2131560657667 189.698191360671</t>
  </si>
  <si>
    <t>-511.586713730902 -19.6546615174743 654.609451386492</t>
  </si>
  <si>
    <t>-495.155927614005 -168.925836608786 746.215376347025</t>
  </si>
  <si>
    <t>9763-20170724T160538.323406400.bin</t>
  </si>
  <si>
    <t>-614.000496959304 143.851812905632 -228.509815831128</t>
  </si>
  <si>
    <t>-651.992520098649 141.529787307837 -343.483782782827</t>
  </si>
  <si>
    <t>-672.200857991503 128.871979540466 -462.319690412491</t>
  </si>
  <si>
    <t>-683.15059001033 112.962786941828 -570.12437713178</t>
  </si>
  <si>
    <t>-686.928567136067 92.529336171428 -677.65599894053</t>
  </si>
  <si>
    <t>-684.79553082807 59.3236585694583 -826.292606711935</t>
  </si>
  <si>
    <t>-655.374651701278 24.4726469833486 -917.412346200647</t>
  </si>
  <si>
    <t>-667.546688575899 99.5176710685889 -765.961612783206</t>
  </si>
  <si>
    <t>-568.022584082824 207.773388475514 -766.932056716601</t>
  </si>
  <si>
    <t>-432.082486680439 190.215399008168 -481.628327931286</t>
  </si>
  <si>
    <t>-219.543593986298 105.041913717804 -358.280443539023</t>
  </si>
  <si>
    <t>-703.93196218446 48.5146320359586 -755.089521519103</t>
  </si>
  <si>
    <t>-568.66381750601 228.654663096947 -244.644472013963</t>
  </si>
  <si>
    <t>-585.548953369339 209.017930051434 210.313744904432</t>
  </si>
  <si>
    <t>-629.959462178744 172.231433424498 676.537550260646</t>
  </si>
  <si>
    <t>-502.613518561494 90.8488427225293 766.556426702921</t>
  </si>
  <si>
    <t>-659.251689493946 59.0177042082678 -211.726707922097</t>
  </si>
  <si>
    <t>-500.383316402633 -87.170657019484 189.580461395052</t>
  </si>
  <si>
    <t>-511.63025630413 -19.6642701238911 654.591979179319</t>
  </si>
  <si>
    <t>-494.921619803429 -168.927458476426 746.16066998685</t>
  </si>
  <si>
    <t>9763-20170724T160538.394129400.bin</t>
  </si>
  <si>
    <t>-613.703435452124 144.260980039567 -228.655236985084</t>
  </si>
  <si>
    <t>-651.650336948822 141.846740133024 -343.642152643326</t>
  </si>
  <si>
    <t>-671.571076940415 129.198776416386 -462.527692304682</t>
  </si>
  <si>
    <t>-682.153477661173 113.349091614953 -570.377823402145</t>
  </si>
  <si>
    <t>-685.452533853092 93.0303958094894 -677.946941947612</t>
  </si>
  <si>
    <t>-682.533802472752 60.0465265883633 -826.619595394339</t>
  </si>
  <si>
    <t>-652.464342331368 25.3559438494024 -917.588751652916</t>
  </si>
  <si>
    <t>-665.857412670488 100.32058496244 -766.18099386501</t>
  </si>
  <si>
    <t>-567.557989201964 209.678736447449 -766.876899742366</t>
  </si>
  <si>
    <t>-437.261117914242 197.994584044537 -478.653861249752</t>
  </si>
  <si>
    <t>-224.117412781272 111.344208455215 -357.395871177838</t>
  </si>
  <si>
    <t>-701.793003561473 48.9612468208684 -755.492102813554</t>
  </si>
  <si>
    <t>-568.548883422029 229.247919158776 -244.684963393616</t>
  </si>
  <si>
    <t>-585.574929933347 209.248091224931 210.252158518467</t>
  </si>
  <si>
    <t>-630.1835793037 172.011401949068 676.412054397866</t>
  </si>
  <si>
    <t>-502.607625858478 91.0245057721736 766.462093050342</t>
  </si>
  <si>
    <t>-658.703565841613 59.2919028337801 -211.94046913692</t>
  </si>
  <si>
    <t>-499.91146834225 -86.8677939017689 189.407397102362</t>
  </si>
  <si>
    <t>-511.824530905641 -19.7785092973702 654.377659471925</t>
  </si>
  <si>
    <t>-494.60819710993 -168.931852875353 746.031187592723</t>
  </si>
  <si>
    <t>9763-20170724T160538.428219400.bin</t>
  </si>
  <si>
    <t>-613.657631597498 144.473572830329 -228.73643567012</t>
  </si>
  <si>
    <t>-651.548564431219 141.990316538331 -343.740360988718</t>
  </si>
  <si>
    <t>-671.321169877143 129.328773791372 -462.649072518024</t>
  </si>
  <si>
    <t>-681.729679083292 113.49214140033 -570.518060932365</t>
  </si>
  <si>
    <t>-684.813657426575 93.2131690027311 -678.101040537975</t>
  </si>
  <si>
    <t>-681.552149538893 60.3135297573085 -826.785284061835</t>
  </si>
  <si>
    <t>-651.199780772726 25.6786199603043 -917.681624310973</t>
  </si>
  <si>
    <t>-665.124266616224 100.625428564338 -766.30397904317</t>
  </si>
  <si>
    <t>-567.488826096654 210.601318637824 -766.904893268274</t>
  </si>
  <si>
    <t>-439.892928261526 201.604289561631 -477.380313544405</t>
  </si>
  <si>
    <t>-226.315860219433 114.472592919569 -357.234754517616</t>
  </si>
  <si>
    <t>-700.866366630004 49.1156494612328 -755.690385511724</t>
  </si>
  <si>
    <t>-568.615867554688 229.613884857253 -244.732487520306</t>
  </si>
  <si>
    <t>-585.676241947226 209.508365600453 210.19870064926</t>
  </si>
  <si>
    <t>-630.177810778196 172.070086537248 676.346313284192</t>
  </si>
  <si>
    <t>-502.700979488156 90.9752092836554 766.439554548385</t>
  </si>
  <si>
    <t>-658.549432081199 59.3348359888053 -212.07818670086</t>
  </si>
  <si>
    <t>-499.820199587403 -86.8412132052422 189.288525491262</t>
  </si>
  <si>
    <t>-511.9889128815 -19.9021621971483 654.302223934528</t>
  </si>
  <si>
    <t>-494.569616561258 -168.988722108479 746.02615345991</t>
  </si>
  <si>
    <t>9763-20170724T160538.492919100.bin</t>
  </si>
  <si>
    <t>-613.650341783441 144.989990999039 -228.849913485464</t>
  </si>
  <si>
    <t>-651.515271674272 142.416985510337 -343.860437120199</t>
  </si>
  <si>
    <t>-671.046519256749 129.713453791349 -462.804658914606</t>
  </si>
  <si>
    <t>-681.143019995541 113.865517425841 -570.701623447764</t>
  </si>
  <si>
    <t>-683.818545160984 93.6057066107278 -678.299098833995</t>
  </si>
  <si>
    <t>-679.886822636895 60.7683576956765 -826.980791202089</t>
  </si>
  <si>
    <t>-648.994268608286 26.3264812521168 -917.768519219257</t>
  </si>
  <si>
    <t>-663.943144293821 101.193230925167 -766.445371591164</t>
  </si>
  <si>
    <t>-567.495837758083 212.194178296146 -766.683165432065</t>
  </si>
  <si>
    <t>-444.382075489786 208.91828527917 -475.103774784788</t>
  </si>
  <si>
    <t>-230.518444620607 120.444554857676 -356.458088570899</t>
  </si>
  <si>
    <t>-699.309829660014 49.4025064331342 -755.942258009847</t>
  </si>
  <si>
    <t>-568.9597401217 230.342353695552 -244.778330712056</t>
  </si>
  <si>
    <t>-585.958805049282 209.825393460095 210.136811827672</t>
  </si>
  <si>
    <t>-630.357925138499 171.931963577301 676.29031407594</t>
  </si>
  <si>
    <t>-502.583344682922 91.3606503525061 766.431512736698</t>
  </si>
  <si>
    <t>-658.188868856833 59.7292846439773 -212.1557631005</t>
  </si>
  <si>
    <t>-499.609651606745 -86.5790573735221 189.222047450663</t>
  </si>
  <si>
    <t>-511.9978021195 -19.8230245636439 654.410306030397</t>
  </si>
  <si>
    <t>-494.440982999233 -169.004584398167 745.95341065187</t>
  </si>
  <si>
    <t>9763-20170724T160538.525003000.bin</t>
  </si>
  <si>
    <t>-613.496965349153 145.240905135179 -228.856022234861</t>
  </si>
  <si>
    <t>-651.268804808404 142.569954809643 -343.895020572386</t>
  </si>
  <si>
    <t>-670.642408193018 129.838708366277 -462.862034898607</t>
  </si>
  <si>
    <t>-680.568479208893 113.996648150932 -570.775605698173</t>
  </si>
  <si>
    <t>-683.045497333084 93.7737971241349 -678.384951660668</t>
  </si>
  <si>
    <t>-678.80758403577 61.0213859037349 -827.076972986642</t>
  </si>
  <si>
    <t>-647.682721422893 26.7364130919432 -917.844637341711</t>
  </si>
  <si>
    <t>-663.090822205732 101.477770233241 -766.503115229091</t>
  </si>
  <si>
    <t>-567.22474277103 212.992487734098 -766.59739854917</t>
  </si>
  <si>
    <t>-446.050594290383 212.586181798922 -474.188598791029</t>
  </si>
  <si>
    <t>-232.566705713057 123.038398573177 -355.664702571567</t>
  </si>
  <si>
    <t>-698.274602983383 49.5488926125859 -756.067531816716</t>
  </si>
  <si>
    <t>-569.068950887487 230.654950097293 -244.780801792254</t>
  </si>
  <si>
    <t>-586.131968486296 210.083064074977 210.129485771985</t>
  </si>
  <si>
    <t>-630.382557808248 171.933854266013 676.259399726882</t>
  </si>
  <si>
    <t>-502.556874673654 91.5030706910886 766.45362050763</t>
  </si>
  <si>
    <t>-657.668945179489 59.9068400130864 -212.170567627742</t>
  </si>
  <si>
    <t>-499.183330389486 -86.453347611515 189.225341399672</t>
  </si>
  <si>
    <t>-511.825553043183 -19.7321852663226 654.444741402838</t>
  </si>
  <si>
    <t>-494.513333336379 -169.025673803005 745.851874155148</t>
  </si>
  <si>
    <t>9763-20170724T160538.596204900.bin</t>
  </si>
  <si>
    <t>-613.262405125878 145.678470757629 -228.935135603979</t>
  </si>
  <si>
    <t>-650.899907280089 142.815774402706 -344.013489409498</t>
  </si>
  <si>
    <t>-669.960628925939 130.074840364495 -463.03005371217</t>
  </si>
  <si>
    <t>-679.530653739607 114.294933508806 -570.984951528777</t>
  </si>
  <si>
    <t>-681.579114915162 94.2022411462633 -678.627600257141</t>
  </si>
  <si>
    <t>-676.670969799356 61.6991264987948 -827.353769907475</t>
  </si>
  <si>
    <t>-645.085714241343 27.7960996859699 -918.105670627086</t>
  </si>
  <si>
    <t>-661.428386046453 102.182186187059 -766.676512687154</t>
  </si>
  <si>
    <t>-566.478361797432 214.473554485966 -766.307264594851</t>
  </si>
  <si>
    <t>-449.851694382021 218.471945882361 -472.082063933952</t>
  </si>
  <si>
    <t>-239.548792167956 126.816630809859 -349.550281230467</t>
  </si>
  <si>
    <t>-696.256857665354 49.9794198060961 -756.417345507629</t>
  </si>
  <si>
    <t>-569.63404891635 231.39174086475 -244.742999112662</t>
  </si>
  <si>
    <t>-586.652466401001 210.814661293291 210.168666965689</t>
  </si>
  <si>
    <t>-630.411032490263 172.13424299017 676.316287898581</t>
  </si>
  <si>
    <t>-502.333656699375 92.099654706574 766.505877974655</t>
  </si>
  <si>
    <t>-656.694308311147 60.0850917323221 -212.313256992552</t>
  </si>
  <si>
    <t>-498.209600563437 -85.9146206341725 189.214269884482</t>
  </si>
  <si>
    <t>-511.511441259795 -19.4998446214013 654.497920143177</t>
  </si>
  <si>
    <t>-494.398244295685 -169.040272819166 745.53812090793</t>
  </si>
  <si>
    <t>9763-20170724T160538.659141500.bin</t>
  </si>
  <si>
    <t>-613.851229806007 146.092697193443 -229.118574290551</t>
  </si>
  <si>
    <t>-651.243396101272 143.020989972773 -344.271507757242</t>
  </si>
  <si>
    <t>-669.889758851703 130.370793693996 -463.363290670781</t>
  </si>
  <si>
    <t>-679.017598840895 114.787151053688 -571.384981785205</t>
  </si>
  <si>
    <t>-680.557813623021 94.9988160886235 -679.09252881449</t>
  </si>
  <si>
    <t>-674.875792263671 63.0260336516824 -827.905970306677</t>
  </si>
  <si>
    <t>-642.794304151039 29.6516152875631 -918.679928982487</t>
  </si>
  <si>
    <t>-660.175173371924 103.434289990474 -767.04557061576</t>
  </si>
  <si>
    <t>-566.590492174801 216.848579673637 -766.157039188243</t>
  </si>
  <si>
    <t>-455.200211880141 221.876260791975 -469.925514661559</t>
  </si>
  <si>
    <t>-253.09691587454 126.380224920782 -336.971387472327</t>
  </si>
  <si>
    <t>-694.604554998447 50.9118171750217 -757.075637635647</t>
  </si>
  <si>
    <t>-571.147581570381 232.280867203574 -244.729167790276</t>
  </si>
  <si>
    <t>-588.049762481419 211.762909909276 210.189639138819</t>
  </si>
  <si>
    <t>-630.597651716776 172.156317792416 676.379175817068</t>
  </si>
  <si>
    <t>-502.144318328704 92.6261182834307 766.480234964096</t>
  </si>
  <si>
    <t>-656.505025510284 59.9801405636463 -212.814341867777</t>
  </si>
  <si>
    <t>-497.828066690597 -85.0738696055369 188.979914276047</t>
  </si>
  <si>
    <t>-511.616470500942 -19.6641757343386 654.134476539916</t>
  </si>
  <si>
    <t>-494.093044800964 -169.085257554328 745.292519749471</t>
  </si>
  <si>
    <t>9763-20170724T160538.693232200.bin</t>
  </si>
  <si>
    <t>-614.407031858315 146.213801367653 -229.339813053997</t>
  </si>
  <si>
    <t>-651.742495412927 143.04625707747 -344.508577264255</t>
  </si>
  <si>
    <t>-670.196817551122 130.47284507955 -463.638390685779</t>
  </si>
  <si>
    <t>-679.094520441297 115.025814693773 -571.698949128147</t>
  </si>
  <si>
    <t>-680.347499683567 95.4391808114185 -679.446870528611</t>
  </si>
  <si>
    <t>-674.206728367076 63.8124413620792 -828.316190111963</t>
  </si>
  <si>
    <t>-641.848810313356 30.7486461229664 -919.105558213456</t>
  </si>
  <si>
    <t>-659.828139798555 104.162127365147 -767.340109335265</t>
  </si>
  <si>
    <t>-566.980512627459 218.186871205217 -766.116823693561</t>
  </si>
  <si>
    <t>-457.849798770361 222.82340990861 -469.039028117921</t>
  </si>
  <si>
    <t>-261.154551877 124.909260572028 -329.877757138855</t>
  </si>
  <si>
    <t>-694.019605786102 51.4503527987329 -757.552130754808</t>
  </si>
  <si>
    <t>-571.995769719192 232.621268834813 -244.808517223769</t>
  </si>
  <si>
    <t>-588.748570195277 212.157700230849 210.118098520925</t>
  </si>
  <si>
    <t>-630.62818258003 172.306487231764 676.384953719506</t>
  </si>
  <si>
    <t>-502.129076848339 92.7886180423272 766.431608922201</t>
  </si>
  <si>
    <t>-656.826300779993 59.7872538096749 -213.19952766713</t>
  </si>
  <si>
    <t>-497.911614764326 -84.838368105593 188.655137187862</t>
  </si>
  <si>
    <t>-512.006011770653 -20.0990940978272 653.641039096368</t>
  </si>
  <si>
    <t>-493.966748516278 -169.10390172321 745.377948761784</t>
  </si>
  <si>
    <t>9763-20170724T160538.723318200.bin</t>
  </si>
  <si>
    <t>-615.245711572399 146.121942096263 -229.653915517182</t>
  </si>
  <si>
    <t>-652.507728327862 142.859886499466 -344.843831889329</t>
  </si>
  <si>
    <t>-670.760699596383 130.35309294609 -464.011630790659</t>
  </si>
  <si>
    <t>-679.422174610376 115.03084774824 -572.10902576449</t>
  </si>
  <si>
    <t>-680.384355487184 95.6318089934284 -679.894047143634</t>
  </si>
  <si>
    <t>-673.781700766461 64.3305525859848 -828.812376793503</t>
  </si>
  <si>
    <t>-641.128077556752 31.5664104761322 -919.604486658658</t>
  </si>
  <si>
    <t>-659.729432068903 104.631084498075 -767.72765924096</t>
  </si>
  <si>
    <t>-567.642692641808 219.275785903245 -766.173783640246</t>
  </si>
  <si>
    <t>-460.309689129071 223.344148119495 -468.433442510681</t>
  </si>
  <si>
    <t>-267.65591944838 123.440147536236 -325.095482244333</t>
  </si>
  <si>
    <t>-693.676841013969 51.7297684250723 -758.113535484249</t>
  </si>
  <si>
    <t>-573.015298246608 232.872831576053 -244.974767788104</t>
  </si>
  <si>
    <t>-589.516725684371 212.358473805266 209.958782702516</t>
  </si>
  <si>
    <t>-630.672889494627 172.433332208836 676.346482432575</t>
  </si>
  <si>
    <t>-502.096328131152 92.9761684902683 766.336136383092</t>
  </si>
  <si>
    <t>-657.495709000181 59.2771467846746 -213.794322098723</t>
  </si>
  <si>
    <t>-498.346612184321 -84.8977382590003 188.129546448965</t>
  </si>
  <si>
    <t>-512.684328802803 -20.9275079946808 652.963133571213</t>
  </si>
  <si>
    <t>-494.047044924694 -169.292136731446 745.613435245753</t>
  </si>
  <si>
    <t>9763-20170724T160538.792503900.bin</t>
  </si>
  <si>
    <t>-616.622079701123 146.009810005766 -230.058270319179</t>
  </si>
  <si>
    <t>-653.882318603698 142.61334094748 -345.244906394204</t>
  </si>
  <si>
    <t>-671.819834906935 130.238468767488 -464.474354855346</t>
  </si>
  <si>
    <t>-680.061726305233 115.144210536439 -572.636695089702</t>
  </si>
  <si>
    <t>-680.467978264366 96.0804615188961 -680.485004063762</t>
  </si>
  <si>
    <t>-672.949119719229 65.3565961444554 -829.479988824836</t>
  </si>
  <si>
    <t>-639.662482045205 33.1742080716979 -920.250505814518</t>
  </si>
  <si>
    <t>-659.560189644553 105.593240837596 -768.204610934843</t>
  </si>
  <si>
    <t>-568.655707985103 221.164493502632 -765.904088132738</t>
  </si>
  <si>
    <t>-463.881381497283 223.556438261909 -467.235694650675</t>
  </si>
  <si>
    <t>-282.681297968214 115.158148901505 -315.385761975766</t>
  </si>
  <si>
    <t>-692.991755338575 52.3086922313605 -758.90412064102</t>
  </si>
  <si>
    <t>-574.87718828097 233.432123571526 -245.162837358372</t>
  </si>
  <si>
    <t>-590.741706525634 212.660132808292 209.781627191064</t>
  </si>
  <si>
    <t>-630.781872457255 172.677176995342 676.306530345856</t>
  </si>
  <si>
    <t>-501.99906883219 93.4113960688042 766.16998031215</t>
  </si>
  <si>
    <t>-658.262742300591 58.6237936404673 -214.300285847178</t>
  </si>
  <si>
    <t>-498.932785757243 -84.9474483590886 187.767960044127</t>
  </si>
  <si>
    <t>-513.129813055622 -21.3741883918506 653.201771931626</t>
  </si>
  <si>
    <t>-493.707320899825 -169.326765192057 746.348600686324</t>
  </si>
  <si>
    <t>9763-20170724T160538.829599900.bin</t>
  </si>
  <si>
    <t>-617.014431427611 146.20584849953 -230.058204443504</t>
  </si>
  <si>
    <t>-654.310579750755 142.756038105243 -345.231470542113</t>
  </si>
  <si>
    <t>-672.136228956618 130.434240648797 -464.483228950257</t>
  </si>
  <si>
    <t>-680.213147728369 115.432587730151 -572.670821980477</t>
  </si>
  <si>
    <t>-680.388938355744 96.5067205674309 -680.5441119536</t>
  </si>
  <si>
    <t>-672.480623222002 66.0221833276396 -829.568077951352</t>
  </si>
  <si>
    <t>-638.875279585009 34.0527414869837 -920.296405029515</t>
  </si>
  <si>
    <t>-659.381226907499 106.237089163288 -768.215952333675</t>
  </si>
  <si>
    <t>-569.089376260353 222.271176390985 -765.607810376248</t>
  </si>
  <si>
    <t>-464.666212207981 223.154123605526 -466.808202710365</t>
  </si>
  <si>
    <t>-288.856595115383 110.146971076304 -312.010224269912</t>
  </si>
  <si>
    <t>-692.578389724102 52.784200219226 -759.043312612365</t>
  </si>
  <si>
    <t>-575.551374662934 233.847027899742 -245.146598178459</t>
  </si>
  <si>
    <t>-591.034881690824 212.897186175404 209.8028843717</t>
  </si>
  <si>
    <t>-630.793123091096 172.874196218356 676.343334665501</t>
  </si>
  <si>
    <t>-502.016161556407 93.5281090235069 766.144266707454</t>
  </si>
  <si>
    <t>-658.319604280774 58.6493119589693 -214.22652957043</t>
  </si>
  <si>
    <t>-498.906975089182 -84.8021202411599 187.851847353352</t>
  </si>
  <si>
    <t>-513.241413619144 -21.4312012084799 653.288420719772</t>
  </si>
  <si>
    <t>-493.583698941076 -169.27836662126 746.552960925908</t>
  </si>
  <si>
    <t>9763-20170724T160538.897791900.bin</t>
  </si>
  <si>
    <t>-617.508747789355 146.250382715158 -229.994979236859</t>
  </si>
  <si>
    <t>-654.838139686799 142.702980898298 -345.154682445625</t>
  </si>
  <si>
    <t>-672.498121728556 130.565369849769 -464.449959346899</t>
  </si>
  <si>
    <t>-680.339274197652 115.842320168026 -572.693156100527</t>
  </si>
  <si>
    <t>-680.191343492354 97.3045033069291 -680.633781884908</t>
  </si>
  <si>
    <t>-671.739777238772 67.4713731593388 -829.759832344932</t>
  </si>
  <si>
    <t>-637.569529504311 35.7821639450237 -920.375330966737</t>
  </si>
  <si>
    <t>-659.040474881954 107.521253252443 -768.215834021075</t>
  </si>
  <si>
    <t>-569.391809026833 224.047470810075 -764.820037227845</t>
  </si>
  <si>
    <t>-465.563803402661 220.797840735002 -465.829349024373</t>
  </si>
  <si>
    <t>-294.984494048752 103.270546964349 -308.564905592595</t>
  </si>
  <si>
    <t>-691.918171394775 53.8219847239291 -759.336445747833</t>
  </si>
  <si>
    <t>-576.547584160979 234.268539058408 -245.031297565565</t>
  </si>
  <si>
    <t>-591.54247899736 213.072424009382 209.923190561102</t>
  </si>
  <si>
    <t>-630.974386666368 173.008179936301 676.432917159139</t>
  </si>
  <si>
    <t>-502.004484878745 93.805997932898 766.083845828533</t>
  </si>
  <si>
    <t>-658.307195515249 58.2101169569403 -214.248436179913</t>
  </si>
  <si>
    <t>-499.048276255048 -84.8601616702558 188.02656732267</t>
  </si>
  <si>
    <t>-513.508038829591 -21.8144441634161 653.370199640097</t>
  </si>
  <si>
    <t>-493.781251627938 -169.408738636335 747.020111017899</t>
  </si>
  <si>
    <t>9763-20170724T160538.924864800.bin</t>
  </si>
  <si>
    <t>-617.555823984923 146.272601338741 -229.87181770574</t>
  </si>
  <si>
    <t>-654.910600605387 142.716937550219 -345.022979165714</t>
  </si>
  <si>
    <t>-672.490382837839 130.650127881813 -464.337204241751</t>
  </si>
  <si>
    <t>-680.214637856167 116.02106212278 -572.601686138339</t>
  </si>
  <si>
    <t>-679.905232125132 97.6057704753098 -680.562919124704</t>
  </si>
  <si>
    <t>-671.183211332958 67.9712534740902 -829.712920833289</t>
  </si>
  <si>
    <t>-636.777576543225 36.3327666055823 -920.257120960545</t>
  </si>
  <si>
    <t>-658.645391106753 107.968000781448 -768.101380980182</t>
  </si>
  <si>
    <t>-569.130108207995 224.562310856611 -764.252348173734</t>
  </si>
  <si>
    <t>-465.494661950398 219.279406645786 -465.223866297542</t>
  </si>
  <si>
    <t>-294.830425056758 102.292944576078 -307.64875873931</t>
  </si>
  <si>
    <t>-691.439598908674 54.1990704766522 -759.335860440337</t>
  </si>
  <si>
    <t>-576.784205915238 234.401089412819 -244.910681885192</t>
  </si>
  <si>
    <t>-591.660607436508 213.179493542082 210.046396892363</t>
  </si>
  <si>
    <t>-631.038699863182 173.057546177115 676.487894628147</t>
  </si>
  <si>
    <t>-502.016015235192 93.8875192212065 766.091279973687</t>
  </si>
  <si>
    <t>-658.151888645339 58.1773075365898 -214.105711558882</t>
  </si>
  <si>
    <t>-498.822463591772 -84.7666098895813 188.18622487408</t>
  </si>
  <si>
    <t>-513.389794301983 -21.6909911368875 653.676066979044</t>
  </si>
  <si>
    <t>-493.61717800393 -169.367868058458 747.185949570345</t>
  </si>
  <si>
    <t>9763-20170724T160538.992048300.bin</t>
  </si>
  <si>
    <t>-617.292931648046 146.524233861915 -229.609734399257</t>
  </si>
  <si>
    <t>-654.58943194816 142.927361066025 -344.778603903722</t>
  </si>
  <si>
    <t>-671.980144035592 131.016271810335 -464.136225950989</t>
  </si>
  <si>
    <t>-679.477651849705 116.606239598979 -572.445867331513</t>
  </si>
  <si>
    <t>-678.884612879968 98.4865918110372 -680.455995586425</t>
  </si>
  <si>
    <t>-669.708133663345 69.3415804572778 -829.675124343284</t>
  </si>
  <si>
    <t>-634.946692628499 37.8861668612578 -920.147156380255</t>
  </si>
  <si>
    <t>-657.452603125762 109.190714868498 -767.911319235762</t>
  </si>
  <si>
    <t>-568.111647301143 225.908994006231 -763.374273790548</t>
  </si>
  <si>
    <t>-464.006863751464 216.412735701258 -464.613048909126</t>
  </si>
  <si>
    <t>-289.84620095964 103.585179205526 -307.832840116317</t>
  </si>
  <si>
    <t>-690.084312206304 55.2839321326619 -759.38917494864</t>
  </si>
  <si>
    <t>-576.879478837171 234.665636173213 -244.671525745024</t>
  </si>
  <si>
    <t>-591.794938733012 213.410933715545 210.282777696837</t>
  </si>
  <si>
    <t>-631.256612284494 172.979447718564 676.61489276826</t>
  </si>
  <si>
    <t>-502.072296225099 93.9894542289574 766.144273460168</t>
  </si>
  <si>
    <t>-657.57413708396 58.4060236736345 -213.800249974068</t>
  </si>
  <si>
    <t>-498.236077212046 -84.4280902213532 188.527252346147</t>
  </si>
  <si>
    <t>-513.146905436085 -21.4875143244724 654.005132128591</t>
  </si>
  <si>
    <t>-493.267159613077 -169.307734852671 747.26541802784</t>
  </si>
  <si>
    <t>9763-20170724T160539.024132600.bin</t>
  </si>
  <si>
    <t>-616.998390251013 146.619568439969 -229.533466939971</t>
  </si>
  <si>
    <t>-654.241415673236 143.014997417209 -344.719228612801</t>
  </si>
  <si>
    <t>-671.569379528875 131.166235294605 -464.092294172895</t>
  </si>
  <si>
    <t>-679.007493219148 116.837129665164 -572.416738469708</t>
  </si>
  <si>
    <t>-678.353279563361 98.8202146647632 -680.443730369659</t>
  </si>
  <si>
    <t>-669.090024490654 69.8389728430395 -829.68943825102</t>
  </si>
  <si>
    <t>-634.210985975277 38.4278035493016 -920.131471362694</t>
  </si>
  <si>
    <t>-656.881612441074 109.626769241681 -767.876793557088</t>
  </si>
  <si>
    <t>-567.515137516875 226.304641909951 -763.018561315712</t>
  </si>
  <si>
    <t>-462.497421259607 214.956871661959 -464.641858928208</t>
  </si>
  <si>
    <t>-286.159531987062 104.718665451531 -308.454353858911</t>
  </si>
  <si>
    <t>-689.495858030141 55.6977582474231 -759.428758629134</t>
  </si>
  <si>
    <t>-576.808401505291 234.78839174097 -244.576328822433</t>
  </si>
  <si>
    <t>-591.775488773628 213.505020676418 210.374919228998</t>
  </si>
  <si>
    <t>-631.325811600382 172.981228411978 676.665353215587</t>
  </si>
  <si>
    <t>-502.164083801975 93.9365050156459 766.178984553349</t>
  </si>
  <si>
    <t>-657.011810837091 58.4358505404487 -213.759536607082</t>
  </si>
  <si>
    <t>-497.784310940182 -84.3437269502044 188.631099453586</t>
  </si>
  <si>
    <t>-512.929015371705 -21.3447519903511 654.160337196106</t>
  </si>
  <si>
    <t>-493.250629749632 -169.305193375866 747.240827065071</t>
  </si>
  <si>
    <t>9763-20170724T160539.095326400.bin</t>
  </si>
  <si>
    <t>-616.359512251747 146.72041267485 -229.371498849617</t>
  </si>
  <si>
    <t>-653.521710307104 143.14635608525 -344.584349628714</t>
  </si>
  <si>
    <t>-670.780071988565 131.383804852326 -463.975880511421</t>
  </si>
  <si>
    <t>-678.16368349294 117.145866446349 -572.31618423401</t>
  </si>
  <si>
    <t>-677.466001015476 99.2274194772003 -680.359194798945</t>
  </si>
  <si>
    <t>-668.15648552651 70.3850287123653 -829.628969055329</t>
  </si>
  <si>
    <t>-633.111394512948 38.8783695443158 -919.973673878252</t>
  </si>
  <si>
    <t>-655.932657394603 110.095422470458 -767.769522077183</t>
  </si>
  <si>
    <t>-566.113729061901 226.4287386203 -762.544203042463</t>
  </si>
  <si>
    <t>-458.033281010407 211.690841712991 -465.411860677567</t>
  </si>
  <si>
    <t>-271.323913124769 110.995829435213 -314.938755211577</t>
  </si>
  <si>
    <t>-688.618621293425 56.1984106097304 -759.394048447802</t>
  </si>
  <si>
    <t>-576.526287417162 234.856829177045 -244.390656906197</t>
  </si>
  <si>
    <t>-591.529518553138 213.390750167144 210.550919579554</t>
  </si>
  <si>
    <t>-631.542223895196 172.829778405599 676.786903831258</t>
  </si>
  <si>
    <t>-502.176337844736 94.0616600088629 766.249547762849</t>
  </si>
  <si>
    <t>-656.111326247898 58.5662532488229 -213.693507913427</t>
  </si>
  <si>
    <t>-496.978860089644 -84.0158913507275 188.8047979547</t>
  </si>
  <si>
    <t>-512.666213973642 -21.1375714955927 654.236296771512</t>
  </si>
  <si>
    <t>-493.071572937154 -169.264524642192 747.069213358655</t>
  </si>
  <si>
    <t>9763-20170724T160539.124407400.bin</t>
  </si>
  <si>
    <t>-616.136625817004 146.766325276063 -229.332329595942</t>
  </si>
  <si>
    <t>-653.280760985425 143.204066145411 -344.551414419494</t>
  </si>
  <si>
    <t>-670.546518351602 131.450569467876 -463.942785739159</t>
  </si>
  <si>
    <t>-677.949576508225 117.215082642197 -572.282103252524</t>
  </si>
  <si>
    <t>-677.285371449732 99.2908946657969 -680.324414788604</t>
  </si>
  <si>
    <t>-668.038255272205 70.4296283648221 -829.594358031559</t>
  </si>
  <si>
    <t>-632.965096185023 38.8058099741293 -919.887211413445</t>
  </si>
  <si>
    <t>-655.741190607827 110.12027956314 -767.736743797626</t>
  </si>
  <si>
    <t>-565.62621875823 226.18780800605 -762.421079119337</t>
  </si>
  <si>
    <t>-455.373974117121 210.369395960875 -466.143542970651</t>
  </si>
  <si>
    <t>-266.580959139737 111.153891541065 -317.296242437667</t>
  </si>
  <si>
    <t>-688.518453551344 56.2793968321157 -759.357250928351</t>
  </si>
  <si>
    <t>-576.299754117 234.899839188491 -244.33987592374</t>
  </si>
  <si>
    <t>-591.419036323744 213.385678638412 210.59550551218</t>
  </si>
  <si>
    <t>-631.585250061673 172.838420523369 676.79716897786</t>
  </si>
  <si>
    <t>-502.24273340832 94.0362171708082 766.263567298989</t>
  </si>
  <si>
    <t>-655.939000808617 58.6071500681574 -213.713356794678</t>
  </si>
  <si>
    <t>-496.815130734168 -83.9556410564837 188.795162379414</t>
  </si>
  <si>
    <t>-512.653695842386 -21.1600639282872 654.201938087416</t>
  </si>
  <si>
    <t>-492.992611183819 -169.28604393729 747.022505630891</t>
  </si>
  <si>
    <t>9763-20170724T160539.196605500.bin</t>
  </si>
  <si>
    <t>-615.802522702039 146.786216044818 -229.330927455801</t>
  </si>
  <si>
    <t>-652.960774525172 143.260142724813 -344.54649258683</t>
  </si>
  <si>
    <t>-670.357645746235 131.450660817261 -463.913466385447</t>
  </si>
  <si>
    <t>-677.930816532742 117.122814203731 -572.228823666196</t>
  </si>
  <si>
    <t>-677.490371427728 99.0622899825066 -680.249480626703</t>
  </si>
  <si>
    <t>-668.611526562579 69.963927601561 -829.495758091301</t>
  </si>
  <si>
    <t>-633.587751115743 38.0544137755558 -919.707213640962</t>
  </si>
  <si>
    <t>-656.010949683141 109.66449350101 -767.705683423932</t>
  </si>
  <si>
    <t>-565.113256691582 225.155893251769 -762.691285381646</t>
  </si>
  <si>
    <t>-451.323433642187 207.245927218329 -467.87391296586</t>
  </si>
  <si>
    <t>-257.581276684512 111.27232944206 -323.322641812566</t>
  </si>
  <si>
    <t>-689.069289071342 56.0136549598824 -759.212145032319</t>
  </si>
  <si>
    <t>-575.637003884226 234.7194049235 -244.336392290188</t>
  </si>
  <si>
    <t>-591.074221794078 213.242933829425 210.59017935426</t>
  </si>
  <si>
    <t>-631.749975960704 172.664019798352 676.782486548764</t>
  </si>
  <si>
    <t>-502.3935670189 93.9337237880654 766.292097322245</t>
  </si>
  <si>
    <t>-655.92255417532 58.8046349360247 -213.690528674399</t>
  </si>
  <si>
    <t>-496.927679467689 -84.0690902102222 188.758734706151</t>
  </si>
  <si>
    <t>-512.621886799444 -21.1926341389344 654.176345484054</t>
  </si>
  <si>
    <t>-492.859326344082 -169.309365175141 746.99004489509</t>
  </si>
  <si>
    <t>9763-20170724T160539.225683400.bin</t>
  </si>
  <si>
    <t>-615.522037784083 146.736377593744 -229.327660055094</t>
  </si>
  <si>
    <t>-652.661602355567 143.266873550092 -344.55100166032</t>
  </si>
  <si>
    <t>-670.137952220954 131.446472543435 -463.905279407252</t>
  </si>
  <si>
    <t>-677.825406116809 117.080133015443 -572.207517518283</t>
  </si>
  <si>
    <t>-677.542287980375 98.9524787716314 -680.217372857835</t>
  </si>
  <si>
    <t>-668.927814013967 69.7301591723833 -829.455051913558</t>
  </si>
  <si>
    <t>-633.97624168389 37.6524545987893 -919.634831462573</t>
  </si>
  <si>
    <t>-656.124704747148 109.426877838063 -767.704093955144</t>
  </si>
  <si>
    <t>-564.970584168802 224.66939602487 -762.999499451542</t>
  </si>
  <si>
    <t>-449.534950979506 207.49022557336 -468.778945240136</t>
  </si>
  <si>
    <t>-253.628755721158 112.369577263014 -326.599981774656</t>
  </si>
  <si>
    <t>-689.354263965224 55.8932996734222 -759.139746940714</t>
  </si>
  <si>
    <t>-575.107655907834 234.531955379631 -244.333574144861</t>
  </si>
  <si>
    <t>-590.8171083437 213.041546045679 210.582995873551</t>
  </si>
  <si>
    <t>-631.848294447212 172.541512527831 676.76029941296</t>
  </si>
  <si>
    <t>-502.463512954651 93.8862857566251 766.294885250733</t>
  </si>
  <si>
    <t>-655.843027515882 58.9072300030509 -213.65555341305</t>
  </si>
  <si>
    <t>-497.036530764725 -84.2392133624187 188.771150934032</t>
  </si>
  <si>
    <t>-512.539932568486 -21.1579022924686 654.224698365447</t>
  </si>
  <si>
    <t>-492.913613982551 -169.32498313779 746.987008228247</t>
  </si>
  <si>
    <t>9763-20170724T160539.289859800.bin</t>
  </si>
  <si>
    <t>-614.522167277446 146.494922448044 -229.300072588947</t>
  </si>
  <si>
    <t>-651.552940937473 143.181406164382 -344.562851815525</t>
  </si>
  <si>
    <t>-669.117639498855 131.277235392841 -463.895869522288</t>
  </si>
  <si>
    <t>-676.971307149101 116.738335835457 -572.163040004168</t>
  </si>
  <si>
    <t>-676.943321022193 98.3427451456184 -680.128116001034</t>
  </si>
  <si>
    <t>-668.778213347356 68.6495250159276 -829.297911037973</t>
  </si>
  <si>
    <t>-634.020390414132 36.0942245913509 -919.381431936222</t>
  </si>
  <si>
    <t>-655.587050936329 108.420072027647 -767.676432133508</t>
  </si>
  <si>
    <t>-563.499528326143 223.02487429176 -763.617507020638</t>
  </si>
  <si>
    <t>-447.387750157635 209.911754996067 -469.453740262695</t>
  </si>
  <si>
    <t>-251.55265701038 113.368097376293 -328.138517382644</t>
  </si>
  <si>
    <t>-689.195037324693 55.155581689625 -758.913362181407</t>
  </si>
  <si>
    <t>-573.685066976586 233.938204381716 -244.30024452627</t>
  </si>
  <si>
    <t>-590.233980603023 212.656233830392 210.59627922621</t>
  </si>
  <si>
    <t>-632.129325186516 172.240497227241 676.731749108718</t>
  </si>
  <si>
    <t>-502.71954698986 93.6341660349437 766.273164166377</t>
  </si>
  <si>
    <t>-655.142611920305 59.0582083805468 -213.589022987125</t>
  </si>
  <si>
    <t>-497.010514692616 -84.5436868688012 188.94103094749</t>
  </si>
  <si>
    <t>-512.123019326307 -20.9628697760863 654.430014542755</t>
  </si>
  <si>
    <t>-493.268951260148 -169.381233286637 746.9505202368</t>
  </si>
  <si>
    <t>9763-20170724T160539.326957900.bin</t>
  </si>
  <si>
    <t>-613.979837157756 146.565319674287 -229.26569888706</t>
  </si>
  <si>
    <t>-650.99341832304 143.380867778515 -344.537788851192</t>
  </si>
  <si>
    <t>-668.548285437947 131.453566408197 -463.869852337164</t>
  </si>
  <si>
    <t>-676.397070204844 116.835194384109 -572.126700659726</t>
  </si>
  <si>
    <t>-676.368708024284 98.3044046305631 -680.068573760519</t>
  </si>
  <si>
    <t>-668.208288828754 68.3680402452433 -829.190116782848</t>
  </si>
  <si>
    <t>-633.462624988859 35.5855431236434 -919.195823918182</t>
  </si>
  <si>
    <t>-654.960146520229 108.20581299075 -767.624197018254</t>
  </si>
  <si>
    <t>-562.570339574932 222.525031835005 -763.648891407095</t>
  </si>
  <si>
    <t>-447.155281080564 211.368050330552 -469.130504670054</t>
  </si>
  <si>
    <t>-250.845914256194 115.275382289146 -328.166277266093</t>
  </si>
  <si>
    <t>-688.677834814302 55.0221685020647 -758.792800884733</t>
  </si>
  <si>
    <t>-573.022333864393 233.847477895366 -244.289786672346</t>
  </si>
  <si>
    <t>-589.764497808864 212.489354088331 210.596105261685</t>
  </si>
  <si>
    <t>-632.138001441109 172.225423880733 676.710336007723</t>
  </si>
  <si>
    <t>-502.863734846346 93.4480193060424 766.297146894817</t>
  </si>
  <si>
    <t>-654.75019308699 59.3939909477331 -213.465475597351</t>
  </si>
  <si>
    <t>-496.901479687062 -84.5194349325229 189.06455262428</t>
  </si>
  <si>
    <t>-511.773756683521 -20.7042689026077 654.641854725029</t>
  </si>
  <si>
    <t>-493.404173641283 -169.387188188978 746.834351085531</t>
  </si>
  <si>
    <t>9763-20170724T160539.391132200.bin</t>
  </si>
  <si>
    <t>-613.354894662642 147.152708314232 -229.107424064946</t>
  </si>
  <si>
    <t>-650.486380010997 144.183141252277 -344.347345611728</t>
  </si>
  <si>
    <t>-668.038213634862 132.285761633958 -463.682811355711</t>
  </si>
  <si>
    <t>-675.83314162818 117.623447285236 -571.937658671691</t>
  </si>
  <si>
    <t>-675.69968538982 98.9813472100352 -679.860326797611</t>
  </si>
  <si>
    <t>-667.340461347389 68.8238817439026 -828.926238206509</t>
  </si>
  <si>
    <t>-632.530912503418 35.7189425350462 -918.789096678044</t>
  </si>
  <si>
    <t>-654.149198224774 108.737763391381 -767.397454181857</t>
  </si>
  <si>
    <t>-561.675288379058 222.984009416705 -763.214009581737</t>
  </si>
  <si>
    <t>-447.629281328119 212.235571561061 -468.147651907092</t>
  </si>
  <si>
    <t>-249.520540300893 118.554363165882 -328.080407601192</t>
  </si>
  <si>
    <t>-687.929066454334 55.5975511410468 -758.540998096872</t>
  </si>
  <si>
    <t>-572.357729520166 234.249043635126 -244.187802520427</t>
  </si>
  <si>
    <t>-588.841105433989 212.26583185506 210.677854273912</t>
  </si>
  <si>
    <t>-632.158641704522 172.179695868577 676.69091402969</t>
  </si>
  <si>
    <t>-502.965246727657 93.3978985829203 766.390443505878</t>
  </si>
  <si>
    <t>-654.212433884677 60.2409545698208 -213.275241908509</t>
  </si>
  <si>
    <t>-496.868121177842 -84.0611197060707 189.313055283838</t>
  </si>
  <si>
    <t>-511.309113608245 -20.186094934026 654.862325647317</t>
  </si>
  <si>
    <t>-493.336337409438 -169.324800425192 746.394480957954</t>
  </si>
  <si>
    <t>9763-20170724T160539.429237800.bin</t>
  </si>
  <si>
    <t>-613.248500319929 147.533209925475 -229.097704935198</t>
  </si>
  <si>
    <t>-650.391636858312 144.570861651204 -344.334096695763</t>
  </si>
  <si>
    <t>-667.909059968101 132.675974441106 -463.674735470668</t>
  </si>
  <si>
    <t>-675.654763787045 118.011677702077 -571.932842761854</t>
  </si>
  <si>
    <t>-675.45478036399 99.3621362581448 -679.854232779826</t>
  </si>
  <si>
    <t>-666.986189328243 69.1875142927397 -828.910473530547</t>
  </si>
  <si>
    <t>-632.097052316967 35.9813553157483 -918.705098381908</t>
  </si>
  <si>
    <t>-653.835588538979 109.105761990883 -767.37573236407</t>
  </si>
  <si>
    <t>-561.303445869754 223.321429976013 -763.119289941086</t>
  </si>
  <si>
    <t>-447.648393711867 211.578370973785 -467.939971205402</t>
  </si>
  <si>
    <t>-248.031944551222 119.009204685452 -329.281155282177</t>
  </si>
  <si>
    <t>-687.630852092361 55.9720738986678 -758.539546213265</t>
  </si>
  <si>
    <t>-572.303329579283 234.596419018287 -244.160124157649</t>
  </si>
  <si>
    <t>-588.650228804987 212.430483093198 210.701497977079</t>
  </si>
  <si>
    <t>-632.135559293588 172.238077482317 676.693386223669</t>
  </si>
  <si>
    <t>-503.028242686067 93.3614597562982 766.433504713654</t>
  </si>
  <si>
    <t>-654.066336358802 60.5615886642561 -213.344621999221</t>
  </si>
  <si>
    <t>-496.852973649929 -83.9041987487526 189.236119596501</t>
  </si>
  <si>
    <t>-511.30806994277 -20.2020898074209 654.68418824864</t>
  </si>
  <si>
    <t>-493.302110828415 -169.350977708901 746.193199488293</t>
  </si>
  <si>
    <t>9763-20170724T160539.492417300.bin</t>
  </si>
  <si>
    <t>-613.680123188238 148.019170209601 -229.326813798697</t>
  </si>
  <si>
    <t>-650.799259060708 144.985667621677 -344.568966041408</t>
  </si>
  <si>
    <t>-668.311828670296 133.06294178821 -463.90775081468</t>
  </si>
  <si>
    <t>-676.063746244709 118.38501212492 -572.163597635866</t>
  </si>
  <si>
    <t>-675.882399792236 99.7294536939601 -680.083823000487</t>
  </si>
  <si>
    <t>-667.454307387492 69.5508639321388 -829.141484113811</t>
  </si>
  <si>
    <t>-632.407406811606 36.2270981785753 -918.831108973259</t>
  </si>
  <si>
    <t>-654.276916352735 109.464401315324 -767.609641155436</t>
  </si>
  <si>
    <t>-561.44525108895 223.423352112641 -763.217622515579</t>
  </si>
  <si>
    <t>-447.468150929793 209.93142581962 -468.237419073412</t>
  </si>
  <si>
    <t>-243.852972895021 119.323040663885 -334.173880950333</t>
  </si>
  <si>
    <t>-688.090139126333 56.3433847942933 -758.766539023388</t>
  </si>
  <si>
    <t>-572.696139862749 235.182433722044 -244.246292206296</t>
  </si>
  <si>
    <t>-589.146399404423 212.927939629093 210.607297023352</t>
  </si>
  <si>
    <t>-632.25210508164 172.233291415891 676.664426185133</t>
  </si>
  <si>
    <t>-503.020222143651 93.5419367038819 766.38788506371</t>
  </si>
  <si>
    <t>-654.647128058107 60.7812913655685 -213.841691271847</t>
  </si>
  <si>
    <t>-497.15101586952 -83.6798215103011 188.630272773456</t>
  </si>
  <si>
    <t>-512.014503637966 -20.9833805137337 653.769892810177</t>
  </si>
  <si>
    <t>-493.288717366623 -169.472465082192 746.202867769106</t>
  </si>
  <si>
    <t>9763-20170724T160539.525503700.bin</t>
  </si>
  <si>
    <t>-614.217220263792 148.080307431459 -229.588050741878</t>
  </si>
  <si>
    <t>-651.313362652942 145.00353065785 -344.83648670755</t>
  </si>
  <si>
    <t>-668.806566009485 133.049036938379 -464.174928299205</t>
  </si>
  <si>
    <t>-676.543670113675 118.345173256442 -572.428216009971</t>
  </si>
  <si>
    <t>-676.350749631635 99.6655147965755 -680.344347667913</t>
  </si>
  <si>
    <t>-667.91066978821 69.4542088633391 -829.394786833235</t>
  </si>
  <si>
    <t>-632.77815311052 36.1259069986284 -919.049172073421</t>
  </si>
  <si>
    <t>-654.749088059869 109.387919429832 -767.872658423133</t>
  </si>
  <si>
    <t>-561.810806357032 223.25906197284 -763.447766545894</t>
  </si>
  <si>
    <t>-447.096777166104 209.219503764179 -468.778799442226</t>
  </si>
  <si>
    <t>-241.868900204935 119.213082841203 -336.784947689778</t>
  </si>
  <si>
    <t>-688.541245156444 56.255574551393 -759.016453719216</t>
  </si>
  <si>
    <t>-573.111439012733 235.441469556895 -244.402926644228</t>
  </si>
  <si>
    <t>-589.533103591349 213.064097714633 210.445637706841</t>
  </si>
  <si>
    <t>-632.318319699135 172.224822228975 676.585069990392</t>
  </si>
  <si>
    <t>-503.07519930472 93.5491009640434 766.306065975657</t>
  </si>
  <si>
    <t>-655.309024356977 60.6202196523755 -214.238538389644</t>
  </si>
  <si>
    <t>-497.617992497453 -83.6905303506646 188.210970236201</t>
  </si>
  <si>
    <t>-512.55308991059 -21.5684569148366 653.417880342229</t>
  </si>
  <si>
    <t>-493.302681184982 -169.61394275466 746.45267233687</t>
  </si>
  <si>
    <t>9763-20170724T160539.593705900.bin</t>
  </si>
  <si>
    <t>-615.085654785101 148.384260574283 -229.908515801152</t>
  </si>
  <si>
    <t>-652.172662440247 145.273466562717 -345.159067416164</t>
  </si>
  <si>
    <t>-669.588669809719 133.21573329041 -464.498297027498</t>
  </si>
  <si>
    <t>-677.228824653884 118.391087108679 -572.742004963394</t>
  </si>
  <si>
    <t>-676.913579791677 99.5628448181308 -680.632026005466</t>
  </si>
  <si>
    <t>-668.278340525798 69.1169416504167 -829.623566539651</t>
  </si>
  <si>
    <t>-632.945911598418 35.7794612847447 -919.196009620502</t>
  </si>
  <si>
    <t>-655.257871734491 109.18415858859 -768.158169072801</t>
  </si>
  <si>
    <t>-562.378512201626 223.091646743438 -763.762895237518</t>
  </si>
  <si>
    <t>-445.911989741508 208.044655987228 -469.832012974909</t>
  </si>
  <si>
    <t>-236.69276534732 120.464451881093 -342.556461350212</t>
  </si>
  <si>
    <t>-688.940434220278 55.9924941990314 -759.240689372289</t>
  </si>
  <si>
    <t>-573.90481280028 236.076826519443 -244.615161451721</t>
  </si>
  <si>
    <t>-590.218754584481 213.44258277874 210.224546759859</t>
  </si>
  <si>
    <t>-632.366302818937 172.314118744762 676.430687181218</t>
  </si>
  <si>
    <t>-503.121490421946 93.6608345403981 766.168918572939</t>
  </si>
  <si>
    <t>-656.081467896061 60.736184166565 -214.558745843882</t>
  </si>
  <si>
    <t>-498.328736069379 -83.5031317548639 187.892238939647</t>
  </si>
  <si>
    <t>-512.95902080552 -22.0285269698757 653.500598862411</t>
  </si>
  <si>
    <t>-493.075118644857 -169.656365721175 747.064187766333</t>
  </si>
  <si>
    <t>9763-20170724T160539.628799500.bin</t>
  </si>
  <si>
    <t>-615.362440168872 148.728865696105 -229.921307638342</t>
  </si>
  <si>
    <t>-652.464296035674 145.622610623854 -345.167174884995</t>
  </si>
  <si>
    <t>-669.833388109887 133.514268524105 -464.50827453381</t>
  </si>
  <si>
    <t>-677.405023332648 118.624311089994 -572.74777289584</t>
  </si>
  <si>
    <t>-676.995036529596 99.7130771591721 -680.622950534146</t>
  </si>
  <si>
    <t>-668.201006056646 69.1353187067434 -829.578089320916</t>
  </si>
  <si>
    <t>-632.751500931806 35.8062832478367 -919.107423203431</t>
  </si>
  <si>
    <t>-655.288852071694 109.282712135943 -768.142142727975</t>
  </si>
  <si>
    <t>-562.517904419325 223.291736298253 -763.744704162705</t>
  </si>
  <si>
    <t>-444.787784223792 208.217812844031 -470.319162431176</t>
  </si>
  <si>
    <t>-234.20452278659 121.47686661239 -344.729318141129</t>
  </si>
  <si>
    <t>-688.895316710108 56.0473605442401 -759.19790954501</t>
  </si>
  <si>
    <t>-574.194895354613 236.518811312337 -244.634386608296</t>
  </si>
  <si>
    <t>-590.423273205758 213.741847730948 210.20141737183</t>
  </si>
  <si>
    <t>-632.339311483923 172.447316793098 676.407691753027</t>
  </si>
  <si>
    <t>-503.183977625296 93.6503511918759 766.14869907463</t>
  </si>
  <si>
    <t>-656.345203743082 61.0486228935677 -214.463261357647</t>
  </si>
  <si>
    <t>-498.472459436431 -83.2365957061941 187.924109713757</t>
  </si>
  <si>
    <t>-512.977665189275 -22.0536545737316 653.65301712989</t>
  </si>
  <si>
    <t>-492.984458073633 -169.638265797332 747.261722553253</t>
  </si>
  <si>
    <t>9763-20170724T160539.693625400.bin</t>
  </si>
  <si>
    <t>-615.671471932649 149.267978946038 -229.733861815915</t>
  </si>
  <si>
    <t>-652.724144537063 146.095038507258 -344.993687272289</t>
  </si>
  <si>
    <t>-670.0291224823 133.907576709571 -464.336073190582</t>
  </si>
  <si>
    <t>-677.536906327583 118.94292147538 -572.569747900806</t>
  </si>
  <si>
    <t>-677.057164916469 99.955034577584 -680.431074293227</t>
  </si>
  <si>
    <t>-668.160271836785 69.2695752927204 -829.358221204845</t>
  </si>
  <si>
    <t>-632.480086468043 35.9703879679682 -918.806785496154</t>
  </si>
  <si>
    <t>-655.346242065911 109.494796707437 -767.952512962799</t>
  </si>
  <si>
    <t>-563.004153751277 223.862194149611 -763.798575960539</t>
  </si>
  <si>
    <t>-443.291527974817 209.500832123138 -471.140252139649</t>
  </si>
  <si>
    <t>-229.742970247086 124.076107614339 -349.724974917768</t>
  </si>
  <si>
    <t>-688.847507103295 56.199075677782 -758.97272798537</t>
  </si>
  <si>
    <t>-574.68769210941 237.100905043949 -244.510906637674</t>
  </si>
  <si>
    <t>-590.850087308825 214.206192686756 210.321189911878</t>
  </si>
  <si>
    <t>-632.511056062974 172.416728633205 676.459600869648</t>
  </si>
  <si>
    <t>-503.238815497323 93.7543793371549 766.150377085948</t>
  </si>
  <si>
    <t>-656.469413768963 61.4755117188013 -214.195106838231</t>
  </si>
  <si>
    <t>-498.464346869315 -82.6997982845812 188.179825833809</t>
  </si>
  <si>
    <t>-512.833983624977 -21.9645304994133 654.014991196361</t>
  </si>
  <si>
    <t>-492.919041031498 -169.64561295499 747.488007029492</t>
  </si>
  <si>
    <t>9763-20170724T160539.727717800.bin</t>
  </si>
  <si>
    <t>-615.742800456759 149.421185399447 -229.609446206038</t>
  </si>
  <si>
    <t>-652.782021776818 146.231381754175 -344.873178722061</t>
  </si>
  <si>
    <t>-670.058070484561 134.013641484263 -464.216569422266</t>
  </si>
  <si>
    <t>-677.533716676232 119.016359832135 -572.448004814587</t>
  </si>
  <si>
    <t>-677.015862411732 99.9910907911824 -680.30266387677</t>
  </si>
  <si>
    <t>-668.060393864115 69.248597005188 -829.214337309446</t>
  </si>
  <si>
    <t>-632.268097379663 35.9811878972075 -918.630207382762</t>
  </si>
  <si>
    <t>-655.294273716506 109.511629071852 -767.823395035028</t>
  </si>
  <si>
    <t>-563.151243274474 224.047239704305 -763.833508375494</t>
  </si>
  <si>
    <t>-443.13809642869 210.390977744571 -471.264600039085</t>
  </si>
  <si>
    <t>-229.423182574692 124.826964826906 -350.240515822986</t>
  </si>
  <si>
    <t>-688.751439218215 56.1908965883404 -758.82767941998</t>
  </si>
  <si>
    <t>-574.895274973968 237.252186558516 -244.413877706795</t>
  </si>
  <si>
    <t>-591.018365918439 214.345215925741 210.419099604762</t>
  </si>
  <si>
    <t>-632.613990373637 172.366591264852 676.503687583324</t>
  </si>
  <si>
    <t>-503.263570995938 93.8077755083552 766.172479100835</t>
  </si>
  <si>
    <t>-656.435108645653 61.6192246086268 -214.044582730527</t>
  </si>
  <si>
    <t>-498.355469204626 -82.456780258914 188.336621691835</t>
  </si>
  <si>
    <t>-512.718753515608 -21.8421769173376 654.199909177909</t>
  </si>
  <si>
    <t>-492.844796332154 -169.621357262985 747.526671465816</t>
  </si>
  <si>
    <t>9763-20170724T160539.796894300.bin</t>
  </si>
  <si>
    <t>-615.783289423421 149.566271402809 -229.51217891781</t>
  </si>
  <si>
    <t>-652.874851145683 146.409910608124 -344.760053933399</t>
  </si>
  <si>
    <t>-670.17255447892 134.261955357061 -464.107446102553</t>
  </si>
  <si>
    <t>-677.652711827726 119.34414018291 -572.349460859347</t>
  </si>
  <si>
    <t>-677.123701718788 100.41453395776 -680.220773726884</t>
  </si>
  <si>
    <t>-668.134861786864 69.8229806317815 -829.161612078696</t>
  </si>
  <si>
    <t>-632.183022767717 36.7031259422038 -918.568209737499</t>
  </si>
  <si>
    <t>-655.420312383494 110.046215419691 -767.733929893092</t>
  </si>
  <si>
    <t>-563.71454426458 224.925171601213 -763.801902040734</t>
  </si>
  <si>
    <t>-444.899921303614 212.522694526779 -470.688523386549</t>
  </si>
  <si>
    <t>-231.802072946864 126.121920739062 -349.172090441807</t>
  </si>
  <si>
    <t>-688.803897207006 56.6714702236306 -758.785895640244</t>
  </si>
  <si>
    <t>-575.089840431388 237.323641061433 -244.311078542361</t>
  </si>
  <si>
    <t>-591.005246538787 214.194506340767 210.517927091443</t>
  </si>
  <si>
    <t>-632.807674096596 172.255928027756 676.57613365754</t>
  </si>
  <si>
    <t>-503.39084960554 93.7686485889874 766.211765022531</t>
  </si>
  <si>
    <t>-656.37943871243 61.8016528886224 -213.976328764643</t>
  </si>
  <si>
    <t>-498.426854202418 -82.1763627886651 188.48982305596</t>
  </si>
  <si>
    <t>-512.70925820322 -21.8502786657969 654.271037330663</t>
  </si>
  <si>
    <t>-492.784668507882 -169.638230262098 747.573014825842</t>
  </si>
  <si>
    <t>9763-20170724T160539.825971500.bin</t>
  </si>
  <si>
    <t>-615.760412448766 149.487939706936 -229.467386282181</t>
  </si>
  <si>
    <t>-652.86614613942 146.344923818696 -344.71099880385</t>
  </si>
  <si>
    <t>-670.154627535939 134.259858202794 -464.066113180697</t>
  </si>
  <si>
    <t>-677.614326751968 119.422038306143 -572.320570149277</t>
  </si>
  <si>
    <t>-677.050507093255 100.597846507589 -680.210334486547</t>
  </si>
  <si>
    <t>-667.99677794787 70.1805948747608 -829.182864635917</t>
  </si>
  <si>
    <t>-631.970225019935 37.1822053366259 -918.604201803117</t>
  </si>
  <si>
    <t>-655.339568484015 110.349982356756 -767.70812346427</t>
  </si>
  <si>
    <t>-563.88929196728 225.427551276005 -763.685512416629</t>
  </si>
  <si>
    <t>-446.495195534244 213.928071008776 -469.96356977804</t>
  </si>
  <si>
    <t>-232.918678888991 127.363007702661 -349.408099994677</t>
  </si>
  <si>
    <t>-688.665998513452 56.9285627895224 -758.825947293778</t>
  </si>
  <si>
    <t>-575.031753499297 237.205623987836 -244.282492063537</t>
  </si>
  <si>
    <t>-590.939542916152 214.049206857287 210.545386183548</t>
  </si>
  <si>
    <t>-632.908662097923 172.154923131267 676.574858402015</t>
  </si>
  <si>
    <t>-503.390816770541 93.8419836560088 766.217041020834</t>
  </si>
  <si>
    <t>-656.395029788096 61.7556411486767 -213.972828008351</t>
  </si>
  <si>
    <t>-498.52593342451 -82.219095780152 188.527195067912</t>
  </si>
  <si>
    <t>-512.699916999375 -21.8907864019282 654.296594220186</t>
  </si>
  <si>
    <t>-492.785276603421 -169.657013782731 747.63488301743</t>
  </si>
  <si>
    <t>9763-20170724T160539.894761100.bin</t>
  </si>
  <si>
    <t>-615.837840713016 149.199621670851 -229.482994857863</t>
  </si>
  <si>
    <t>-653.055101871137 146.107396243745 -344.691999867528</t>
  </si>
  <si>
    <t>-670.376127390934 134.193114155553 -464.059432042805</t>
  </si>
  <si>
    <t>-677.825919107316 119.564843194931 -572.343176081794</t>
  </si>
  <si>
    <t>-677.20839864986 101.009030695125 -680.279000385793</t>
  </si>
  <si>
    <t>-668.030564145742 71.0290342590447 -829.33264145499</t>
  </si>
  <si>
    <t>-631.881683759513 38.3458306688467 -918.820318046846</t>
  </si>
  <si>
    <t>-655.488646829983 111.05581902348 -767.741404849212</t>
  </si>
  <si>
    <t>-564.55106029803 226.562386819987 -763.657592241824</t>
  </si>
  <si>
    <t>-451.228520149347 217.872079278337 -468.244889799865</t>
  </si>
  <si>
    <t>-237.362523689805 130.888520050854 -348.506588522171</t>
  </si>
  <si>
    <t>-688.69433100247 57.5326465877281 -759.020654600978</t>
  </si>
  <si>
    <t>-575.021378848573 236.829660194319 -244.31191917667</t>
  </si>
  <si>
    <t>-590.837761361219 213.637216846316 210.517371091412</t>
  </si>
  <si>
    <t>-633.098467231696 171.963400691114 676.547801265226</t>
  </si>
  <si>
    <t>-503.501541668021 93.8285914730918 766.231135538882</t>
  </si>
  <si>
    <t>-656.57548601937 61.571791987428 -213.99019701386</t>
  </si>
  <si>
    <t>-498.803981749885 -82.6936654621268 188.443970077007</t>
  </si>
  <si>
    <t>-512.809439956951 -22.1588666363621 654.155247199621</t>
  </si>
  <si>
    <t>-492.902128789958 -169.732363012568 747.799545615982</t>
  </si>
  <si>
    <t>9763-20170724T160539.922822800.bin</t>
  </si>
  <si>
    <t>-616.022826162324 148.971344941232 -229.532476482701</t>
  </si>
  <si>
    <t>-653.301062683709 145.892420548426 -344.722142573321</t>
  </si>
  <si>
    <t>-670.663039190825 134.033081154103 -464.089118548491</t>
  </si>
  <si>
    <t>-678.139264534851 119.473314530984 -572.380209055602</t>
  </si>
  <si>
    <t>-677.535921554472 101.006063986522 -680.331384245922</t>
  </si>
  <si>
    <t>-668.36353283524 71.1710631978322 -829.414399276383</t>
  </si>
  <si>
    <t>-632.167380645084 38.5984742923165 -918.923289010655</t>
  </si>
  <si>
    <t>-655.854848455575 111.158867876027 -767.791237636764</t>
  </si>
  <si>
    <t>-565.196138644719 226.882541645344 -763.713610182097</t>
  </si>
  <si>
    <t>-453.864350557458 219.629318154044 -467.506217149926</t>
  </si>
  <si>
    <t>-239.518973326411 132.727346083095 -348.568373401972</t>
  </si>
  <si>
    <t>-688.989226397544 57.5853739724453 -759.108527075762</t>
  </si>
  <si>
    <t>-575.213868169739 236.624319581872 -244.36237051522</t>
  </si>
  <si>
    <t>-590.872722936979 213.360035708638 210.468606190268</t>
  </si>
  <si>
    <t>-633.192425113342 171.874099850019 676.532890708785</t>
  </si>
  <si>
    <t>-503.443767250222 93.9999401029579 766.223529630663</t>
  </si>
  <si>
    <t>-656.722123342265 61.3513148906054 -214.041881019903</t>
  </si>
  <si>
    <t>-498.935756164793 -82.8547216629713 188.407788034686</t>
  </si>
  <si>
    <t>-512.867387045025 -22.3024631147287 654.113554503407</t>
  </si>
  <si>
    <t>-492.923534752491 -169.769428905585 747.917881460378</t>
  </si>
  <si>
    <t>9763-20170724T160539.995563200.bin</t>
  </si>
  <si>
    <t>-616.585616597096 148.572414564918 -229.714873458403</t>
  </si>
  <si>
    <t>-653.941830388128 145.495998050677 -344.87933362897</t>
  </si>
  <si>
    <t>-671.352285072218 133.761589014829 -464.251575279226</t>
  </si>
  <si>
    <t>-678.856874955266 119.36488174138 -572.562638478587</t>
  </si>
  <si>
    <t>-678.264527520173 101.11027218825 -680.549898869701</t>
  </si>
  <si>
    <t>-669.087413662994 71.6220563846509 -829.701535743773</t>
  </si>
  <si>
    <t>-632.766871617523 39.2621921457885 -919.237314770888</t>
  </si>
  <si>
    <t>-656.658767418179 111.512389100031 -767.999033904214</t>
  </si>
  <si>
    <t>-566.448848969115 227.554189583362 -763.687944322496</t>
  </si>
  <si>
    <t>-458.053614241865 222.468950570111 -466.348463234231</t>
  </si>
  <si>
    <t>-243.658823777658 135.052280678936 -347.877998253924</t>
  </si>
  <si>
    <t>-689.637251382109 57.8269460395127 -759.414094680967</t>
  </si>
  <si>
    <t>-575.941530312503 236.397049222545 -244.47398143797</t>
  </si>
  <si>
    <t>-591.155158996998 212.999028293818 210.365290306484</t>
  </si>
  <si>
    <t>-633.374681093876 171.748496897016 676.510733963761</t>
  </si>
  <si>
    <t>-503.535808461807 94.0235433396288 766.200272893199</t>
  </si>
  <si>
    <t>-657.086573362968 60.8185939643429 -214.284634436549</t>
  </si>
  <si>
    <t>-499.281426842429 -83.0140936315113 188.29125177943</t>
  </si>
  <si>
    <t>-513.0474870467 -22.622025673443 654.032271203726</t>
  </si>
  <si>
    <t>-492.881446990552 -169.830884169491 748.193799943272</t>
  </si>
  <si>
    <t>9763-20170724T160540.030650000.bin</t>
  </si>
  <si>
    <t>-616.976717827774 148.37558202469 -229.735561356903</t>
  </si>
  <si>
    <t>-654.372293156203 145.274986966437 -344.88650976667</t>
  </si>
  <si>
    <t>-671.800046924794 133.595946679126 -464.261820059358</t>
  </si>
  <si>
    <t>-679.310077558167 119.280139065579 -572.583098584558</t>
  </si>
  <si>
    <t>-678.712409718974 101.135985962717 -680.589124920073</t>
  </si>
  <si>
    <t>-669.51594872587 71.8311352874618 -829.775726381121</t>
  </si>
  <si>
    <t>-633.131859616679 39.5904774092774 -919.328609743977</t>
  </si>
  <si>
    <t>-657.136872980067 111.670008950956 -768.029794232868</t>
  </si>
  <si>
    <t>-567.143745042568 227.897885280583 -763.68341614929</t>
  </si>
  <si>
    <t>-459.829503542858 223.448702903404 -465.941950982002</t>
  </si>
  <si>
    <t>-244.838652679811 135.97137245733 -348.601704068548</t>
  </si>
  <si>
    <t>-690.033221213944 57.9253574583361 -759.500650242891</t>
  </si>
  <si>
    <t>-576.492385607967 236.304848228262 -244.480706206618</t>
  </si>
  <si>
    <t>-591.488486531539 212.922911657717 210.366638746432</t>
  </si>
  <si>
    <t>-633.44608336766 171.745893344326 676.513384130521</t>
  </si>
  <si>
    <t>-503.4464628287 94.2716953640352 766.186994200885</t>
  </si>
  <si>
    <t>-657.262736074142 60.5238916497094 -214.316002845298</t>
  </si>
  <si>
    <t>-499.31291427775 -82.9877913396215 188.317795608928</t>
  </si>
  <si>
    <t>-513.018125819099 -22.6630431131111 654.146547050038</t>
  </si>
  <si>
    <t>-492.783033793238 -169.841550966481 748.340881458803</t>
  </si>
  <si>
    <t>9763-20170724T160540.090418300.bin</t>
  </si>
  <si>
    <t>-617.925660019816 148.346971802242 -229.721375692579</t>
  </si>
  <si>
    <t>-655.406994167453 145.176023953547 -344.842562872234</t>
  </si>
  <si>
    <t>-672.891458295522 133.583055943143 -464.217992778564</t>
  </si>
  <si>
    <t>-680.43815073129 119.406894985426 -572.555083622266</t>
  </si>
  <si>
    <t>-679.860862997298 101.462513613987 -680.594475992065</t>
  </si>
  <si>
    <t>-670.674442244046 72.4960269478863 -829.847878152794</t>
  </si>
  <si>
    <t>-634.216917448568 40.5539967023403 -919.47781733729</t>
  </si>
  <si>
    <t>-658.377816877651 112.244902329047 -768.027713391342</t>
  </si>
  <si>
    <t>-568.864483768062 228.816411516916 -763.464273503944</t>
  </si>
  <si>
    <t>-463.302299618452 224.558819667084 -465.094212071439</t>
  </si>
  <si>
    <t>-249.915357287469 135.725245000526 -345.860562530849</t>
  </si>
  <si>
    <t>-691.100621961284 58.3805298637583 -759.587970674331</t>
  </si>
  <si>
    <t>-577.804584581912 236.455770675699 -244.499018745586</t>
  </si>
  <si>
    <t>-592.24541734284 213.12024506004 210.368599274846</t>
  </si>
  <si>
    <t>-633.523738919243 171.752190022947 676.519242783448</t>
  </si>
  <si>
    <t>-503.524408821914 94.3014745745684 766.213537809325</t>
  </si>
  <si>
    <t>-657.931795748592 60.2969941661968 -214.208095054529</t>
  </si>
  <si>
    <t>-499.48309223365 -82.7963157349759 188.378508840409</t>
  </si>
  <si>
    <t>-513.078522598017 -22.7254632524407 654.226605591419</t>
  </si>
  <si>
    <t>-492.603575491845 -169.836616502701 748.474166253429</t>
  </si>
  <si>
    <t>9763-20170724T160540.124507900.bin</t>
  </si>
  <si>
    <t>-618.536588786701 148.321219211252 -229.736848174854</t>
  </si>
  <si>
    <t>-656.086768645954 145.118933479069 -344.834765887185</t>
  </si>
  <si>
    <t>-673.611499640858 133.581455540706 -464.209654679823</t>
  </si>
  <si>
    <t>-681.179982079845 119.492077733598 -572.556533194931</t>
  </si>
  <si>
    <t>-680.608606009355 101.670954092054 -680.616322076551</t>
  </si>
  <si>
    <t>-671.411872893402 72.9145461969142 -829.909545968716</t>
  </si>
  <si>
    <t>-634.922930671852 41.1834944599939 -919.601814558747</t>
  </si>
  <si>
    <t>-659.172068462977 112.607092704365 -768.04191323247</t>
  </si>
  <si>
    <t>-570.030520698102 229.462587785981 -763.495262842509</t>
  </si>
  <si>
    <t>-465.085628889388 225.284687828199 -464.906421851399</t>
  </si>
  <si>
    <t>-252.557782689198 136.001581316676 -344.480099694397</t>
  </si>
  <si>
    <t>-691.790174663069 58.6696905301264 -759.662082188147</t>
  </si>
  <si>
    <t>-578.5382085879 236.539244708106 -244.53211394747</t>
  </si>
  <si>
    <t>-592.65798633464 213.188768087711 210.344871583805</t>
  </si>
  <si>
    <t>-633.567254656919 171.749770978361 676.523441643991</t>
  </si>
  <si>
    <t>-503.533591953832 94.3661764585868 766.225960601166</t>
  </si>
  <si>
    <t>-658.411200629306 60.1597481602898 -214.20564815941</t>
  </si>
  <si>
    <t>-499.730723510171 -82.6646550650353 188.385169375172</t>
  </si>
  <si>
    <t>-513.129986287946 -22.7866109848585 654.249873230839</t>
  </si>
  <si>
    <t>-492.564778584953 -169.864126987842 748.530109333981</t>
  </si>
  <si>
    <t>9763-20170724T160540.195718300.bin</t>
  </si>
  <si>
    <t>-619.636030648205 148.188132985871 -229.687301337986</t>
  </si>
  <si>
    <t>-657.338142982475 144.935792225232 -344.73415316695</t>
  </si>
  <si>
    <t>-674.981735367711 133.501391895689 -464.101418123042</t>
  </si>
  <si>
    <t>-682.638868910007 119.569876579867 -572.462492648029</t>
  </si>
  <si>
    <t>-682.133916341004 101.97231148959 -680.55938444749</t>
  </si>
  <si>
    <t>-673.003195356593 73.5957311332677 -829.929339582086</t>
  </si>
  <si>
    <t>-636.481242565262 42.2463414149511 -919.742164079321</t>
  </si>
  <si>
    <t>-660.815941192963 113.176882230131 -767.97993270909</t>
  </si>
  <si>
    <t>-572.382287308348 230.595775014338 -763.581136039818</t>
  </si>
  <si>
    <t>-469.031645975437 226.973529782782 -464.429416643846</t>
  </si>
  <si>
    <t>-258.727009758369 136.424094231256 -341.081152768232</t>
  </si>
  <si>
    <t>-693.270491684916 59.1261890711157 -759.695542161047</t>
  </si>
  <si>
    <t>-579.867055134684 236.499803397709 -244.568289818723</t>
  </si>
  <si>
    <t>-593.396851096229 213.299321359085 210.334268500829</t>
  </si>
  <si>
    <t>-633.612917350973 171.863373649012 676.570533113993</t>
  </si>
  <si>
    <t>-503.688216392183 94.2841263739724 766.26192834086</t>
  </si>
  <si>
    <t>-659.300811806406 59.8917774407712 -214.105281158309</t>
  </si>
  <si>
    <t>-500.1645874857 -82.5866971164251 188.428238735134</t>
  </si>
  <si>
    <t>-513.091643983648 -22.7875372929698 654.328340365702</t>
  </si>
  <si>
    <t>-492.53407656732 -169.870665476513 748.601599939474</t>
  </si>
  <si>
    <t>9763-20170724T160540.226805100.bin</t>
  </si>
  <si>
    <t>-620.320626036101 147.983216227379 -229.684768538458</t>
  </si>
  <si>
    <t>-658.125720773084 144.711304652011 -344.697243212835</t>
  </si>
  <si>
    <t>-675.884511740103 133.327020851157 -464.052176169577</t>
  </si>
  <si>
    <t>-683.648280737914 119.469866029023 -572.415127507066</t>
  </si>
  <si>
    <t>-683.250562510593 101.976111616583 -680.5292558755</t>
  </si>
  <si>
    <t>-674.268277675892 73.7740080854876 -829.941413596436</t>
  </si>
  <si>
    <t>-637.776960100225 42.5699163438815 -919.817194341135</t>
  </si>
  <si>
    <t>-662.050588645467 113.300551880026 -767.963024536051</t>
  </si>
  <si>
    <t>-573.882185200398 230.92596326442 -763.650537172376</t>
  </si>
  <si>
    <t>-471.629215022278 227.51736631888 -464.119416647101</t>
  </si>
  <si>
    <t>-263.095511015161 135.82718193142 -338.625725815709</t>
  </si>
  <si>
    <t>-694.434735187112 59.2045730940754 -759.699170996431</t>
  </si>
  <si>
    <t>-580.682948539214 236.307811174582 -244.589341961714</t>
  </si>
  <si>
    <t>-593.828145601173 213.179373234585 210.32825860046</t>
  </si>
  <si>
    <t>-633.719150922328 171.771942420769 676.588855694945</t>
  </si>
  <si>
    <t>-503.591930688445 94.5124217009409 766.262633453287</t>
  </si>
  <si>
    <t>-659.871647155863 59.6578266093948 -214.076874424313</t>
  </si>
  <si>
    <t>-500.516574369346 -82.6154709830016 188.442706636763</t>
  </si>
  <si>
    <t>-513.122342743623 -22.8054228339656 654.359646612117</t>
  </si>
  <si>
    <t>-492.481110570633 -169.881121530163 748.626307744227</t>
  </si>
  <si>
    <t>9763-20170724T160540.292995200.bin</t>
  </si>
  <si>
    <t>-621.657857073507 147.733148257181 -229.634564555593</t>
  </si>
  <si>
    <t>-659.716682068919 144.45882738513 -344.5634006709</t>
  </si>
  <si>
    <t>-677.676057388875 133.144229610817 -463.894820910139</t>
  </si>
  <si>
    <t>-685.595911457727 119.377526876841 -572.258069636999</t>
  </si>
  <si>
    <t>-685.327139258708 102.000683161724 -680.391439337816</t>
  </si>
  <si>
    <t>-676.494265200681 73.9879185912491 -829.848083305265</t>
  </si>
  <si>
    <t>-640.016078748253 42.9759517613679 -919.795783770971</t>
  </si>
  <si>
    <t>-664.246545167131 113.454161702414 -767.837382247369</t>
  </si>
  <si>
    <t>-576.380326922808 231.275555066327 -763.510323092814</t>
  </si>
  <si>
    <t>-476.605088819732 228.044490443852 -463.142734128995</t>
  </si>
  <si>
    <t>-276.181394807184 129.978250224543 -329.51857972103</t>
  </si>
  <si>
    <t>-696.558565343696 59.3111949587874 -759.598971590322</t>
  </si>
  <si>
    <t>-582.282237484263 236.271772166439 -244.646451890367</t>
  </si>
  <si>
    <t>-594.421378081394 213.099125248637 210.296759300107</t>
  </si>
  <si>
    <t>-633.612180643848 172.029312364905 676.594581017005</t>
  </si>
  <si>
    <t>-503.612768860555 94.5998898168664 766.307186462102</t>
  </si>
  <si>
    <t>-660.878211815017 59.2757112520433 -213.910437484731</t>
  </si>
  <si>
    <t>-501.048904176183 -82.6797262099462 188.533252519056</t>
  </si>
  <si>
    <t>-512.898265641244 -22.609851510417 654.57471179233</t>
  </si>
  <si>
    <t>-492.353913172128 -169.872957324314 748.56950776335</t>
  </si>
  <si>
    <t>9763-20170724T160540.327087000.bin</t>
  </si>
  <si>
    <t>-622.179061702947 147.857829027895 -229.528982049029</t>
  </si>
  <si>
    <t>-660.381768894816 144.570205818856 -344.409458056421</t>
  </si>
  <si>
    <t>-678.426488660667 133.299207345835 -463.732240540572</t>
  </si>
  <si>
    <t>-686.396847388 119.594388014602 -572.099633741589</t>
  </si>
  <si>
    <t>-686.150821045874 102.301266992786 -680.246470617328</t>
  </si>
  <si>
    <t>-677.319905799288 74.427100969654 -829.72915533092</t>
  </si>
  <si>
    <t>-640.830912407493 43.5187507620376 -919.707986775931</t>
  </si>
  <si>
    <t>-665.085518302946 113.843898559985 -767.684403319762</t>
  </si>
  <si>
    <t>-577.33626428798 231.756663360739 -763.268250375991</t>
  </si>
  <si>
    <t>-478.719442557335 228.079786037312 -462.52356523155</t>
  </si>
  <si>
    <t>-283.251787829147 126.427561774382 -324.316167704199</t>
  </si>
  <si>
    <t>-697.369136157067 59.6771729356885 -759.49100122658</t>
  </si>
  <si>
    <t>-583.025276746337 236.476662933458 -244.610706172239</t>
  </si>
  <si>
    <t>-594.636002059334 213.306451285672 210.346420525847</t>
  </si>
  <si>
    <t>-633.495579249406 172.326845034401 676.665058804967</t>
  </si>
  <si>
    <t>-503.683609338809 94.5611998329032 766.358233100342</t>
  </si>
  <si>
    <t>-661.11111282655 59.3618136642835 -213.677571974379</t>
  </si>
  <si>
    <t>-501.065651782324 -82.5438676828383 188.697787122145</t>
  </si>
  <si>
    <t>-512.527983447304 -22.2478255364483 654.845696691442</t>
  </si>
  <si>
    <t>-492.167709256565 -169.808821891295 748.412450998917</t>
  </si>
  <si>
    <t>9763-20170724T160540.393806800.bin</t>
  </si>
  <si>
    <t>-622.884384925845 148.301253925145 -229.172076593081</t>
  </si>
  <si>
    <t>-661.335433365534 144.966627875483 -343.968319172901</t>
  </si>
  <si>
    <t>-679.553147568105 133.795078766375 -463.274289015851</t>
  </si>
  <si>
    <t>-687.643628843834 120.239627282825 -571.651516634484</t>
  </si>
  <si>
    <t>-687.478596782507 103.154900910379 -679.831644756805</t>
  </si>
  <si>
    <t>-678.716667291887 75.6319326098242 -829.383415745145</t>
  </si>
  <si>
    <t>-642.188830641821 44.8973445299016 -919.406089089505</t>
  </si>
  <si>
    <t>-666.482294116838 114.919243418839 -767.256573146894</t>
  </si>
  <si>
    <t>-578.959734406579 232.995832256809 -762.688536864916</t>
  </si>
  <si>
    <t>-482.515742495319 226.907480492952 -461.279036382346</t>
  </si>
  <si>
    <t>-288.601942921268 125.065368776043 -321.037527117401</t>
  </si>
  <si>
    <t>-698.704821121043 60.7007215435735 -759.166184707547</t>
  </si>
  <si>
    <t>-584.414586842713 236.900784693455 -244.408669047581</t>
  </si>
  <si>
    <t>-595.035436055852 213.788968884947 210.575611013946</t>
  </si>
  <si>
    <t>-633.416819936748 172.822940075733 676.974663325165</t>
  </si>
  <si>
    <t>-503.688651567827 94.6928441813861 766.472184019034</t>
  </si>
  <si>
    <t>-661.116077866691 59.7659849747854 -213.120833344073</t>
  </si>
  <si>
    <t>-500.602055041156 -81.7852998365431 189.192602731137</t>
  </si>
  <si>
    <t>-511.582572813472 -21.3488425256667 655.324845750953</t>
  </si>
  <si>
    <t>-492.143132025104 -169.687457892064 747.851930086665</t>
  </si>
  <si>
    <t>9763-20170724T160540.428900700.bin</t>
  </si>
  <si>
    <t>-623.145866727931 148.483054116613 -228.9657790023</t>
  </si>
  <si>
    <t>-661.719950334587 145.143438910135 -343.720701922103</t>
  </si>
  <si>
    <t>-680.048001015949 134.03079950187 -463.01509086384</t>
  </si>
  <si>
    <t>-688.230596389074 120.5543911289 -571.395305744866</t>
  </si>
  <si>
    <t>-688.148657286911 103.574198060914 -679.591943281747</t>
  </si>
  <si>
    <t>-679.491545232367 76.2227760387582 -829.181382584494</t>
  </si>
  <si>
    <t>-642.980950328234 45.5362084666681 -919.227473622773</t>
  </si>
  <si>
    <t>-667.218887150305 115.44179355747 -767.018900210974</t>
  </si>
  <si>
    <t>-579.701077597883 233.51974810269 -762.416276199813</t>
  </si>
  <si>
    <t>-484.2210735749 226.4953653963 -460.72029606962</t>
  </si>
  <si>
    <t>-290.930117098427 124.502960126114 -319.730286027243</t>
  </si>
  <si>
    <t>-699.425158995444 61.2081311758625 -758.966464132126</t>
  </si>
  <si>
    <t>-584.952113808336 237.064702364944 -244.271096050324</t>
  </si>
  <si>
    <t>-595.149601810305 214.028282386981 210.726728888831</t>
  </si>
  <si>
    <t>-633.335394684537 173.126606770088 677.12207210038</t>
  </si>
  <si>
    <t>-503.765792635704 94.6232410122793 766.522551256193</t>
  </si>
  <si>
    <t>-661.131688420546 59.9069123452591 -212.855907120252</t>
  </si>
  <si>
    <t>-500.343994447682 -81.4495049800905 189.416817931174</t>
  </si>
  <si>
    <t>-511.234842166328 -20.9409022020891 655.48897108849</t>
  </si>
  <si>
    <t>-492.257725979207 -169.648423212013 747.518490630922</t>
  </si>
  <si>
    <t>9763-20170724T160540.489558300.bin</t>
  </si>
  <si>
    <t>-623.856721496218 148.609512031436 -228.641078907845</t>
  </si>
  <si>
    <t>-662.70640785044 145.260169438938 -343.302745476603</t>
  </si>
  <si>
    <t>-681.321765745753 134.228468181248 -462.560236317463</t>
  </si>
  <si>
    <t>-689.763578264511 120.864386834368 -570.934502202909</t>
  </si>
  <si>
    <t>-689.936574718019 104.037361789068 -679.154927763596</t>
  </si>
  <si>
    <t>-681.626046545677 76.9423941870034 -828.810604068387</t>
  </si>
  <si>
    <t>-645.233779732203 46.2575354638898 -918.905140045004</t>
  </si>
  <si>
    <t>-669.194665658264 116.046571020105 -766.60724567487</t>
  </si>
  <si>
    <t>-581.754417272205 234.201745159945 -762.260254837586</t>
  </si>
  <si>
    <t>-487.345365337806 226.544503670232 -460.242849320506</t>
  </si>
  <si>
    <t>-294.210371878095 124.387533036394 -319.158334053548</t>
  </si>
  <si>
    <t>-701.411642297033 61.8156836432067 -758.577839889344</t>
  </si>
  <si>
    <t>-585.977122987817 237.19640968173 -244.109349470144</t>
  </si>
  <si>
    <t>-595.281173154336 214.276246946511 210.913431940533</t>
  </si>
  <si>
    <t>-633.230416386484 173.677517206689 677.363062657564</t>
  </si>
  <si>
    <t>-503.905855832279 94.4735039108296 766.4999990377</t>
  </si>
  <si>
    <t>-661.642565759362 59.9317033135646 -212.498447564921</t>
  </si>
  <si>
    <t>-499.912433218409 -81.234153328968 189.463252906605</t>
  </si>
  <si>
    <t>-510.869215927611 -20.5836085164465 655.287286210208</t>
  </si>
  <si>
    <t>-492.567914778697 -169.637740094241 746.892077125817</t>
  </si>
  <si>
    <t>9763-20170724T160540.528663200.bin</t>
  </si>
  <si>
    <t>-624.248546822723 148.490875509627 -228.637014949314</t>
  </si>
  <si>
    <t>-663.259534561652 145.177310602954 -343.244862924811</t>
  </si>
  <si>
    <t>-682.057159871871 134.174485849423 -462.476407757209</t>
  </si>
  <si>
    <t>-690.670298332054 120.834247384202 -570.840137538275</t>
  </si>
  <si>
    <t>-691.019729777594 104.029504548434 -679.063739024359</t>
  </si>
  <si>
    <t>-682.958921122832 76.9638802563215 -828.738285700141</t>
  </si>
  <si>
    <t>-646.662775350937 46.2148238662355 -918.849766190088</t>
  </si>
  <si>
    <t>-670.387247656635 116.034969712463 -766.542320632485</t>
  </si>
  <si>
    <t>-582.820821552661 234.104005241277 -762.381762930406</t>
  </si>
  <si>
    <t>-488.831322587266 226.560125927604 -460.230772179178</t>
  </si>
  <si>
    <t>-295.440178346402 124.445960221376 -319.466226018361</t>
  </si>
  <si>
    <t>-702.663911297313 61.8441860820767 -758.481385147521</t>
  </si>
  <si>
    <t>-586.408129398203 237.065390715266 -244.133243075677</t>
  </si>
  <si>
    <t>-595.369391273454 214.266750868801 210.902573306045</t>
  </si>
  <si>
    <t>-633.226115977918 173.883060053603 677.391418091765</t>
  </si>
  <si>
    <t>-503.941325624818 94.4622218252446 766.393015082548</t>
  </si>
  <si>
    <t>-662.075168628226 59.8124689484562 -212.475899871641</t>
  </si>
  <si>
    <t>-499.935089936958 -81.3449870011609 189.323553964684</t>
  </si>
  <si>
    <t>-510.814189258016 -20.6316613758172 654.975448014986</t>
  </si>
  <si>
    <t>-492.838471854652 -169.652921160552 746.6979431281</t>
  </si>
  <si>
    <t>9763-20170724T160540.589840500.bin</t>
  </si>
  <si>
    <t>-625.209263551103 148.128446910703 -228.793447280072</t>
  </si>
  <si>
    <t>-664.470164491532 144.84530717482 -343.316881099492</t>
  </si>
  <si>
    <t>-683.596696974572 133.840880138676 -462.495963296534</t>
  </si>
  <si>
    <t>-692.53675730793 120.487954607031 -570.831587622455</t>
  </si>
  <si>
    <t>-693.240754373519 103.660562909465 -679.04982203011</t>
  </si>
  <si>
    <t>-685.699247713733 76.5544720044777 -828.744333098597</t>
  </si>
  <si>
    <t>-649.654720737775 45.6466744295633 -918.902281862544</t>
  </si>
  <si>
    <t>-672.822970176582 115.591255765551 -766.589208188851</t>
  </si>
  <si>
    <t>-584.936060225832 233.43017036198 -762.756178580906</t>
  </si>
  <si>
    <t>-491.481294068048 226.221147920402 -460.431076963144</t>
  </si>
  <si>
    <t>-291.413524236704 129.454909052836 -325.333900907773</t>
  </si>
  <si>
    <t>-705.249291320959 61.5048983855772 -758.429069459351</t>
  </si>
  <si>
    <t>-587.125656947512 236.733890985254 -244.353115425041</t>
  </si>
  <si>
    <t>-595.399388919594 213.957898117878 210.696794431815</t>
  </si>
  <si>
    <t>-633.176475653184 174.410712445525 677.378428913499</t>
  </si>
  <si>
    <t>-504.122257675816 94.3609794610597 766.15095469985</t>
  </si>
  <si>
    <t>-663.231188903865 59.4692629525323 -212.660004531285</t>
  </si>
  <si>
    <t>-500.688567668022 -81.5458041990541 189.026789413857</t>
  </si>
  <si>
    <t>-510.977645681862 -20.8589761125909 654.623158803371</t>
  </si>
  <si>
    <t>-493.250860785814 -169.724555684174 746.64642105054</t>
  </si>
  <si>
    <t>9763-20170724T160540.626938700.bin</t>
  </si>
  <si>
    <t>-625.536735305898 147.970906741356 -228.823793365054</t>
  </si>
  <si>
    <t>-664.92850422831 144.741027472027 -343.303695846428</t>
  </si>
  <si>
    <t>-684.250408265663 133.757520216019 -462.453125373737</t>
  </si>
  <si>
    <t>-693.39206013741 120.411977278633 -570.772966592446</t>
  </si>
  <si>
    <t>-694.32130912094 103.581709357145 -678.98912462043</t>
  </si>
  <si>
    <t>-687.116284099641 76.4618200707073 -828.697565924377</t>
  </si>
  <si>
    <t>-651.235466994638 45.4672861727117 -918.891173327242</t>
  </si>
  <si>
    <t>-674.05127573217 115.476140043329 -766.567791970115</t>
  </si>
  <si>
    <t>-585.932076380754 233.142272134202 -762.89822972102</t>
  </si>
  <si>
    <t>-492.575150038038 226.214723478896 -460.536383132411</t>
  </si>
  <si>
    <t>-290.943530448798 130.390044438388 -327.103359765194</t>
  </si>
  <si>
    <t>-706.557244750092 61.4469781553025 -758.344687110529</t>
  </si>
  <si>
    <t>-587.328759712543 236.560175128782 -244.427548897293</t>
  </si>
  <si>
    <t>-595.285777476058 213.721223494432 210.624865986652</t>
  </si>
  <si>
    <t>-633.160309634817 174.465111178588 677.335414443358</t>
  </si>
  <si>
    <t>-504.208579954585 94.219629615638 766.080108683855</t>
  </si>
  <si>
    <t>-663.631783349521 59.3732351350075 -212.626312792984</t>
  </si>
  <si>
    <t>-500.963967788618 -81.7807588222543 188.961020047843</t>
  </si>
  <si>
    <t>-510.937956226001 -20.8602897790588 654.60848627858</t>
  </si>
  <si>
    <t>-493.479336111847 -169.737071477813 746.664942754933</t>
  </si>
  <si>
    <t>9763-20170724T160540.694483600.bin</t>
  </si>
  <si>
    <t>-625.898044358895 147.731698683894 -228.840883452036</t>
  </si>
  <si>
    <t>-665.531264854568 144.601077524163 -343.240119438291</t>
  </si>
  <si>
    <t>-685.244700092374 133.65092510885 -462.32854278362</t>
  </si>
  <si>
    <t>-694.799761780443 120.310731423353 -570.613298228678</t>
  </si>
  <si>
    <t>-696.199810163229 103.462732318271 -678.821613907168</t>
  </si>
  <si>
    <t>-689.70668663268 76.2953014226898 -828.553868925773</t>
  </si>
  <si>
    <t>-654.111230269679 45.0781058203806 -918.783752083817</t>
  </si>
  <si>
    <t>-676.24844794453 115.272473359461 -766.484823562382</t>
  </si>
  <si>
    <t>-587.695811958915 232.628371184577 -763.298240050203</t>
  </si>
  <si>
    <t>-494.031682394103 225.803586402635 -461.029054349787</t>
  </si>
  <si>
    <t>-289.755762070065 131.682873668374 -330.435362202424</t>
  </si>
  <si>
    <t>-708.91093863653 61.3596175324017 -758.119191308096</t>
  </si>
  <si>
    <t>-587.561498791553 236.196260714999 -244.549941165664</t>
  </si>
  <si>
    <t>-595.029994061915 213.237378551795 210.504703575594</t>
  </si>
  <si>
    <t>-633.12875961495 174.510099296471 677.291320883384</t>
  </si>
  <si>
    <t>-504.270407005767 94.0669549722354 765.992733793253</t>
  </si>
  <si>
    <t>-664.054898409046 59.3231882612661 -212.448294132707</t>
  </si>
  <si>
    <t>-501.162973058956 -82.160037447585 188.932331237322</t>
  </si>
  <si>
    <t>-510.815762593287 -20.7984286680678 654.584348644857</t>
  </si>
  <si>
    <t>-493.965133543021 -169.752051828678 746.629902070969</t>
  </si>
  <si>
    <t>9763-20170724T160540.727571800.bin</t>
  </si>
  <si>
    <t>-626.046653260378 147.61003785706 -228.82337382083</t>
  </si>
  <si>
    <t>-665.785062343109 144.497906747958 -343.1868243612</t>
  </si>
  <si>
    <t>-685.693891808582 133.550843058081 -462.242959688289</t>
  </si>
  <si>
    <t>-695.462479338298 120.206241188673 -570.508050462959</t>
  </si>
  <si>
    <t>-697.112450819706 103.34622577201 -678.711005299009</t>
  </si>
  <si>
    <t>-691.00401978732 76.1534978314392 -828.454980876078</t>
  </si>
  <si>
    <t>-655.560467876619 44.7972076886654 -918.696442583834</t>
  </si>
  <si>
    <t>-677.322364000171 115.103710954 -766.417764729871</t>
  </si>
  <si>
    <t>-588.524679689802 232.285028664611 -763.573801556902</t>
  </si>
  <si>
    <t>-494.573720454781 226.288874930137 -461.376164339767</t>
  </si>
  <si>
    <t>-288.607026055441 132.610068109699 -333.141770483858</t>
  </si>
  <si>
    <t>-710.091253240313 61.2671718176757 -757.9781908216</t>
  </si>
  <si>
    <t>-587.652488850619 235.949444137387 -244.599749910068</t>
  </si>
  <si>
    <t>-594.878042781302 212.988364004492 210.458677631804</t>
  </si>
  <si>
    <t>-633.107737960406 174.382600254307 677.239450433</t>
  </si>
  <si>
    <t>-504.143276622398 94.1422988176314 765.970357728995</t>
  </si>
  <si>
    <t>-664.274087383843 59.2953426603924 -212.345264955914</t>
  </si>
  <si>
    <t>-501.207366637122 -82.2479795065149 188.943176916447</t>
  </si>
  <si>
    <t>-510.782548835328 -20.7809444923073 654.534270599072</t>
  </si>
  <si>
    <t>-494.151073177238 -169.746138753553 746.600898738587</t>
  </si>
  <si>
    <t>9763-20170724T160540.795255300.bin</t>
  </si>
  <si>
    <t>-626.482805477578 147.483930161237 -228.892292361719</t>
  </si>
  <si>
    <t>-666.400988288972 144.402586697624 -343.193887242494</t>
  </si>
  <si>
    <t>-686.645169618861 133.443659092059 -462.192441347588</t>
  </si>
  <si>
    <t>-696.780954536838 120.068944739315 -570.420018716064</t>
  </si>
  <si>
    <t>-698.861762487626 103.158369691909 -678.607540053975</t>
  </si>
  <si>
    <t>-693.417703535692 75.8728161733382 -828.360367652339</t>
  </si>
  <si>
    <t>-658.285912294374 44.268217512405 -918.637045265705</t>
  </si>
  <si>
    <t>-679.347592625777 114.794836718342 -766.392240181054</t>
  </si>
  <si>
    <t>-590.205857902063 231.710642646604 -764.073575904067</t>
  </si>
  <si>
    <t>-497.181998345514 227.027250268698 -461.566106051478</t>
  </si>
  <si>
    <t>-292.243656275414 131.983885299647 -332.689804049529</t>
  </si>
  <si>
    <t>-712.305378804468 61.0969238020077 -757.806375780286</t>
  </si>
  <si>
    <t>-587.848092351958 235.752877575374 -244.748906820636</t>
  </si>
  <si>
    <t>-594.88003524604 212.807265116858 210.313435266556</t>
  </si>
  <si>
    <t>-633.002917462392 174.497627137165 677.152179757342</t>
  </si>
  <si>
    <t>-504.215736244162 94.0264226346078 765.931447816277</t>
  </si>
  <si>
    <t>-665.015837022309 59.2471733688565 -212.344133962624</t>
  </si>
  <si>
    <t>-501.745801792218 -82.1124335946631 188.926426374646</t>
  </si>
  <si>
    <t>-510.922120570561 -20.8362509610301 654.487012932037</t>
  </si>
  <si>
    <t>-494.286964960103 -169.745749756189 746.643112890365</t>
  </si>
  <si>
    <t>9763-20170724T160540.830352000.bin</t>
  </si>
  <si>
    <t>-626.751528188526 147.445008439814 -228.915613268336</t>
  </si>
  <si>
    <t>-666.69947739694 144.37093582175 -343.206998676141</t>
  </si>
  <si>
    <t>-687.065578337509 133.416117448817 -462.18502064798</t>
  </si>
  <si>
    <t>-697.349614522073 120.044055421255 -570.399051998884</t>
  </si>
  <si>
    <t>-699.616260191013 103.13530689482 -678.583301005839</t>
  </si>
  <si>
    <t>-694.468882684109 75.8514371931265 -828.346695903014</t>
  </si>
  <si>
    <t>-659.479317620777 44.1739890720835 -918.653157531681</t>
  </si>
  <si>
    <t>-680.236683688564 114.749545174726 -766.400753795022</t>
  </si>
  <si>
    <t>-591.103374114127 231.694112654952 -764.407499138149</t>
  </si>
  <si>
    <t>-498.71516072078 227.422432754365 -461.698976971231</t>
  </si>
  <si>
    <t>-293.929040031877 132.483547376511 -332.504068258383</t>
  </si>
  <si>
    <t>-713.256142603553 61.0979201125101 -757.761326486276</t>
  </si>
  <si>
    <t>-587.989426866506 235.678786085949 -244.808748237291</t>
  </si>
  <si>
    <t>-594.923045582983 212.742027237841 210.255562356575</t>
  </si>
  <si>
    <t>-632.987573349939 174.460667674274 677.117724227749</t>
  </si>
  <si>
    <t>-504.237122747382 93.9497536064691 765.914248608031</t>
  </si>
  <si>
    <t>-665.377994672044 59.2565096464743 -212.356448880507</t>
  </si>
  <si>
    <t>-502.063012098135 -82.0915902516333 188.899797494098</t>
  </si>
  <si>
    <t>-510.965377735692 -20.8266346693454 654.514818273845</t>
  </si>
  <si>
    <t>-494.342709099346 -169.723879258448 746.692979287501</t>
  </si>
  <si>
    <t>9763-20170724T160540.892527300.bin</t>
  </si>
  <si>
    <t>-627.383365946052 147.174079073624 -229.022114759828</t>
  </si>
  <si>
    <t>-667.456773114297 144.121837015484 -343.270001501606</t>
  </si>
  <si>
    <t>-688.09375911309 133.171679504048 -462.201895331159</t>
  </si>
  <si>
    <t>-698.680940330432 119.799445688308 -570.386636132187</t>
  </si>
  <si>
    <t>-701.307535093449 102.88753502693 -678.562140228011</t>
  </si>
  <si>
    <t>-696.717599139538 75.5972972853187 -828.342555625413</t>
  </si>
  <si>
    <t>-661.971759235125 43.8488237524793 -918.71818475924</t>
  </si>
  <si>
    <t>-682.208806818434 114.47055478714 -766.445258414249</t>
  </si>
  <si>
    <t>-593.002893177413 231.361113103495 -764.918732456138</t>
  </si>
  <si>
    <t>-502.199718772127 227.914796143812 -461.720582298407</t>
  </si>
  <si>
    <t>-298.923567665165 132.522324273849 -330.491300727397</t>
  </si>
  <si>
    <t>-715.288189396027 60.8742220625682 -757.693657815195</t>
  </si>
  <si>
    <t>-588.278717913208 235.309936482608 -244.954335460776</t>
  </si>
  <si>
    <t>-595.035186330014 212.466907265576 210.117319375538</t>
  </si>
  <si>
    <t>-632.933445691199 174.40766619028 677.01733529478</t>
  </si>
  <si>
    <t>-504.263566942025 93.820642400399 765.861634374447</t>
  </si>
  <si>
    <t>-666.386240701924 59.0303467974452 -212.428531431346</t>
  </si>
  <si>
    <t>-503.036415730959 -82.3397625824307 188.805836332474</t>
  </si>
  <si>
    <t>-511.347144031814 -21.163277360283 654.282896238389</t>
  </si>
  <si>
    <t>-494.618781513056 -169.771117335592 746.907810208539</t>
  </si>
  <si>
    <t>9763-20170724T160540.924612700.bin</t>
  </si>
  <si>
    <t>-627.736545019173 146.964573612604 -229.118715428982</t>
  </si>
  <si>
    <t>-667.857935912273 143.897774036202 -343.349602927374</t>
  </si>
  <si>
    <t>-688.57749863004 132.936570509937 -462.266001367045</t>
  </si>
  <si>
    <t>-699.252246539281 119.558091340231 -570.441298668838</t>
  </si>
  <si>
    <t>-701.978453565289 102.644860842125 -678.614145113278</t>
  </si>
  <si>
    <t>-697.538324745163 75.3591528779766 -828.399944039639</t>
  </si>
  <si>
    <t>-662.856957502299 43.6256905056259 -918.805576076895</t>
  </si>
  <si>
    <t>-682.965172229458 114.229037266376 -766.515687511205</t>
  </si>
  <si>
    <t>-593.825192057961 231.17061921699 -765.079983505243</t>
  </si>
  <si>
    <t>-503.354602714668 228.101547758686 -461.778377577592</t>
  </si>
  <si>
    <t>-300.035359358456 132.828749773656 -330.528842666022</t>
  </si>
  <si>
    <t>-716.040707522063 60.6354413908455 -757.733254143977</t>
  </si>
  <si>
    <t>-588.441631030171 235.120300157 -245.076457807887</t>
  </si>
  <si>
    <t>-595.093053758992 212.284166250364 209.997100656451</t>
  </si>
  <si>
    <t>-632.90247776792 174.41368019069 676.949945286199</t>
  </si>
  <si>
    <t>-504.374606043739 93.6294228011689 765.820637033668</t>
  </si>
  <si>
    <t>-666.904053025675 58.8345878133737 -212.524357872528</t>
  </si>
  <si>
    <t>-503.588476246278 -82.522470426075 188.728482087751</t>
  </si>
  <si>
    <t>-511.642590447078 -21.4172068394221 654.144691682076</t>
  </si>
  <si>
    <t>-494.802950185118 -169.795476690332 747.11686291216</t>
  </si>
  <si>
    <t>9763-20170724T160540.993800800.bin</t>
  </si>
  <si>
    <t>-628.499416788986 146.539644668028 -229.150900972022</t>
  </si>
  <si>
    <t>-668.774679980758 143.440707760722 -343.326693693603</t>
  </si>
  <si>
    <t>-689.633289278512 132.482513122535 -462.219002331608</t>
  </si>
  <si>
    <t>-700.423617002682 119.125612620985 -570.385656162409</t>
  </si>
  <si>
    <t>-703.252570778579 102.25566584037 -678.562688995512</t>
  </si>
  <si>
    <t>-698.939782921771 75.0548050414861 -828.367613503445</t>
  </si>
  <si>
    <t>-664.217998298829 43.4557644393719 -918.804697029912</t>
  </si>
  <si>
    <t>-684.34511785705 113.908122978425 -766.477839557538</t>
  </si>
  <si>
    <t>-595.485015904173 231.055157409872 -765.073414903103</t>
  </si>
  <si>
    <t>-505.417111561281 228.213696666288 -461.649788346463</t>
  </si>
  <si>
    <t>-303.121369198716 132.344230643407 -329.258112953883</t>
  </si>
  <si>
    <t>-717.350992017827 60.2725674833384 -757.689240764184</t>
  </si>
  <si>
    <t>-589.047916372529 234.723351835233 -245.20490654227</t>
  </si>
  <si>
    <t>-595.296028162438 211.867607139 209.873426245262</t>
  </si>
  <si>
    <t>-632.892985960087 174.321517562273 676.878554816626</t>
  </si>
  <si>
    <t>-504.28660146466 93.6816419468457 765.766799008925</t>
  </si>
  <si>
    <t>-667.755537482703 58.433243374463 -212.410887590754</t>
  </si>
  <si>
    <t>-504.300671137952 -82.9898881824167 188.761968474495</t>
  </si>
  <si>
    <t>-511.878489973624 -21.5566871065587 654.40552809093</t>
  </si>
  <si>
    <t>-494.979177011978 -169.819851828877 747.550383098889</t>
  </si>
  <si>
    <t>9763-20170724T160541.027891800.bin</t>
  </si>
  <si>
    <t>-628.735924295858 146.416218130534 -229.063382656264</t>
  </si>
  <si>
    <t>-669.088402820998 143.301934541135 -343.211422042237</t>
  </si>
  <si>
    <t>-690.010592834889 132.357593527886 -462.093905434644</t>
  </si>
  <si>
    <t>-700.850669857583 119.027231343179 -570.25885785471</t>
  </si>
  <si>
    <t>-703.720048071304 102.199375234064 -678.441248198377</t>
  </si>
  <si>
    <t>-699.452637413145 75.0741568818669 -828.261217633749</t>
  </si>
  <si>
    <t>-664.667754734434 43.5771707308782 -918.709717300721</t>
  </si>
  <si>
    <t>-684.864303953148 113.911105038142 -766.359704337956</t>
  </si>
  <si>
    <t>-596.144089418573 231.172846958313 -764.9366974768</t>
  </si>
  <si>
    <t>-506.262976760853 228.316577408058 -461.457798701111</t>
  </si>
  <si>
    <t>-304.921886788426 132.051647795561 -327.90295438397</t>
  </si>
  <si>
    <t>-717.817351714756 60.2413618181722 -757.581402600218</t>
  </si>
  <si>
    <t>-589.354956516629 234.554744810487 -245.182608678458</t>
  </si>
  <si>
    <t>-595.427708070797 211.715188253371 209.898853711152</t>
  </si>
  <si>
    <t>-632.916604921896 174.249838989827 676.904794917002</t>
  </si>
  <si>
    <t>-504.221624078511 93.7167010625155 765.761554542704</t>
  </si>
  <si>
    <t>-667.878114593275 58.3761274089543 -212.203244660238</t>
  </si>
  <si>
    <t>-504.283155002917 -83.0353989870846 188.916660059047</t>
  </si>
  <si>
    <t>-511.754326554357 -21.4093882200286 654.645575557237</t>
  </si>
  <si>
    <t>-494.915878505705 -169.7797676196 747.630520298603</t>
  </si>
  <si>
    <t>9763-20170724T160541.095077100.bin</t>
  </si>
  <si>
    <t>-629.022943959895 146.343218435711 -228.798839666924</t>
  </si>
  <si>
    <t>-669.393089871398 143.161498376452 -342.938811832574</t>
  </si>
  <si>
    <t>-690.360327302943 132.262008804641 -461.817517187895</t>
  </si>
  <si>
    <t>-701.249435158642 119.021489124624 -569.988569936182</t>
  </si>
  <si>
    <t>-704.174400725853 102.333887965829 -678.191257751173</t>
  </si>
  <si>
    <t>-699.988653375165 75.4574837042348 -828.058310805096</t>
  </si>
  <si>
    <t>-665.052152114527 44.2055751670123 -918.533363931219</t>
  </si>
  <si>
    <t>-685.437649113489 114.233572774579 -766.109777850502</t>
  </si>
  <si>
    <t>-597.044695483202 231.732726013405 -764.483320119919</t>
  </si>
  <si>
    <t>-507.822909482383 228.238118877947 -460.816616412835</t>
  </si>
  <si>
    <t>-309.176047020512 130.521006831022 -324.314436244099</t>
  </si>
  <si>
    <t>-718.24371283827 60.4654300745733 -757.38369332031</t>
  </si>
  <si>
    <t>-590.021827468717 234.365859404468 -244.990850510862</t>
  </si>
  <si>
    <t>-595.737151316192 211.547792403934 210.096352669158</t>
  </si>
  <si>
    <t>-632.984541731539 174.418492821516 677.129659453637</t>
  </si>
  <si>
    <t>-504.149384796355 93.8603858443155 765.760385088929</t>
  </si>
  <si>
    <t>-667.809879052329 58.4110609537108 -211.768034695211</t>
  </si>
  <si>
    <t>-504.002408014446 -82.7323140738931 189.359524246011</t>
  </si>
  <si>
    <t>-511.404886684136 -20.9251320617868 655.12240988931</t>
  </si>
  <si>
    <t>-494.762717111424 -169.661439749037 747.556466170595</t>
  </si>
  <si>
    <t>9763-20170724T160541.127160300.bin</t>
  </si>
  <si>
    <t>-629.17059581842 146.2234661512 -228.644689352047</t>
  </si>
  <si>
    <t>-669.504121363177 142.986653445518 -342.796020129399</t>
  </si>
  <si>
    <t>-690.435580182117 132.118235175027 -461.683820704357</t>
  </si>
  <si>
    <t>-701.291576455688 118.942428942404 -569.866040751379</t>
  </si>
  <si>
    <t>-704.181450781741 102.357077053225 -678.085402074409</t>
  </si>
  <si>
    <t>-699.943554694155 75.662629356493 -827.98352207089</t>
  </si>
  <si>
    <t>-664.931647965648 44.5664229616862 -918.483216076441</t>
  </si>
  <si>
    <t>-685.456720997556 114.388623969656 -765.988760515854</t>
  </si>
  <si>
    <t>-597.311278773642 232.077610403938 -764.245759522958</t>
  </si>
  <si>
    <t>-508.232732315853 228.408866379545 -460.539009953523</t>
  </si>
  <si>
    <t>-309.024792377387 131.249602239267 -324.456879069811</t>
  </si>
  <si>
    <t>-718.180536063905 60.5597206256948 -757.327845221252</t>
  </si>
  <si>
    <t>-590.348138694608 234.200006701109 -244.87899862304</t>
  </si>
  <si>
    <t>-595.901205010926 211.414996609532 210.211868920781</t>
  </si>
  <si>
    <t>-633.044120104419 174.431453003005 677.262418358064</t>
  </si>
  <si>
    <t>-504.080074954524 93.9180947312236 765.746225349388</t>
  </si>
  <si>
    <t>-667.809172050403 58.2934728760829 -211.642824384544</t>
  </si>
  <si>
    <t>-503.919923225994 -82.704252975856 189.502574380471</t>
  </si>
  <si>
    <t>-511.382094573378 -20.8407004952803 655.140002387139</t>
  </si>
  <si>
    <t>-494.744111354924 -169.64022097617 747.473085394967</t>
  </si>
  <si>
    <t>9763-20170724T160541.194366400.bin</t>
  </si>
  <si>
    <t>-629.532039924645 145.83493662221 -228.467465754866</t>
  </si>
  <si>
    <t>-669.866122888516 142.507190668168 -342.616007358194</t>
  </si>
  <si>
    <t>-690.768494835946 131.688777745762 -461.513498092099</t>
  </si>
  <si>
    <t>-701.582171698222 118.620762876944 -569.713146055563</t>
  </si>
  <si>
    <t>-704.410985870704 102.208493892383 -677.960492372381</t>
  </si>
  <si>
    <t>-700.066416558419 75.8244676037377 -827.910359830748</t>
  </si>
  <si>
    <t>-664.971437914385 45.0295241569791 -918.480790741795</t>
  </si>
  <si>
    <t>-685.713940595944 114.47445542145 -765.837083287285</t>
  </si>
  <si>
    <t>-598.0423591657 232.519319031263 -763.986756707325</t>
  </si>
  <si>
    <t>-509.556852154237 228.389158323607 -460.112643946421</t>
  </si>
  <si>
    <t>-310.123312254962 131.531782675073 -324.145832217779</t>
  </si>
  <si>
    <t>-718.263728374328 60.5225126546113 -757.287253418223</t>
  </si>
  <si>
    <t>-590.909315120995 233.824830438644 -244.738679449387</t>
  </si>
  <si>
    <t>-596.352278866543 211.445074481115 210.373574773446</t>
  </si>
  <si>
    <t>-633.042824866559 174.637926715557 677.412754690904</t>
  </si>
  <si>
    <t>-504.129745408383 93.8430831173082 765.714062759014</t>
  </si>
  <si>
    <t>-668.052573061985 57.8089777639668 -211.513689433315</t>
  </si>
  <si>
    <t>-503.847033641446 -82.9637805263474 189.58132121879</t>
  </si>
  <si>
    <t>-511.388081108148 -20.7942665866026 655.128784254711</t>
  </si>
  <si>
    <t>-494.842327750989 -169.641612028542 747.401138775751</t>
  </si>
  <si>
    <t>9763-20170724T160541.229461000.bin</t>
  </si>
  <si>
    <t>-629.711791805621 145.677151547582 -228.41237023035</t>
  </si>
  <si>
    <t>-670.019128445523 142.309575891795 -342.569182404451</t>
  </si>
  <si>
    <t>-690.903295842241 131.504526861797 -461.471178746185</t>
  </si>
  <si>
    <t>-701.702220558311 118.474342677305 -569.676664238388</t>
  </si>
  <si>
    <t>-704.516743779361 102.1277479797 -677.934421489511</t>
  </si>
  <si>
    <t>-700.150898355657 75.8663606242098 -827.905253818272</t>
  </si>
  <si>
    <t>-665.019429582425 45.2106222583236 -918.508826298041</t>
  </si>
  <si>
    <t>-685.8446658619 114.48743141517 -765.803264354643</t>
  </si>
  <si>
    <t>-598.424589183017 232.713065162462 -763.883562196587</t>
  </si>
  <si>
    <t>-510.29845533384 228.536748173202 -459.905717755841</t>
  </si>
  <si>
    <t>-310.363436562624 132.023444855752 -324.431682714942</t>
  </si>
  <si>
    <t>-718.320661068055 60.4849563884736 -757.29228899281</t>
  </si>
  <si>
    <t>-591.084497592105 233.686866058498 -244.708908052364</t>
  </si>
  <si>
    <t>-596.577536438018 211.523511183867 210.413314108814</t>
  </si>
  <si>
    <t>-633.020884806788 174.741227117715 677.457193275333</t>
  </si>
  <si>
    <t>-504.209542599886 93.7297121815006 765.708484947219</t>
  </si>
  <si>
    <t>-668.218781378173 57.6825265377561 -211.438144927178</t>
  </si>
  <si>
    <t>-503.910131732658 -83.0735789057853 189.620539348827</t>
  </si>
  <si>
    <t>-511.368611312357 -20.739990499897 655.155766412729</t>
  </si>
  <si>
    <t>-494.885713029685 -169.629557179771 747.371460100744</t>
  </si>
  <si>
    <t>9763-20170724T160541.292632700.bin</t>
  </si>
  <si>
    <t>-629.988716199912 145.253655910268 -228.398525491353</t>
  </si>
  <si>
    <t>-670.280279589176 141.851156346611 -342.559984589226</t>
  </si>
  <si>
    <t>-691.08250612544 131.081934718085 -461.479525244596</t>
  </si>
  <si>
    <t>-701.777244286111 118.117984565734 -569.703341576136</t>
  </si>
  <si>
    <t>-704.455588629725 101.874387138622 -677.979978855471</t>
  </si>
  <si>
    <t>-699.865713753824 75.7968277485895 -827.976322539929</t>
  </si>
  <si>
    <t>-664.613552943818 45.3999731329691 -918.620122243711</t>
  </si>
  <si>
    <t>-685.711623933413 114.376191347545 -765.813383691574</t>
  </si>
  <si>
    <t>-598.34639884584 232.640461883215 -763.445891593962</t>
  </si>
  <si>
    <t>-511.422325204816 227.924699082407 -459.130025744789</t>
  </si>
  <si>
    <t>-311.451858071849 131.972540956698 -323.310005006099</t>
  </si>
  <si>
    <t>-718.081516434687 60.2945373179907 -757.401683451932</t>
  </si>
  <si>
    <t>-591.363468512537 233.174675346297 -244.739072128878</t>
  </si>
  <si>
    <t>-596.828044045689 211.237154982733 210.394480784171</t>
  </si>
  <si>
    <t>-633.023744254809 174.630441556297 677.49333025892</t>
  </si>
  <si>
    <t>-504.024164544574 93.8365080073222 765.669054465958</t>
  </si>
  <si>
    <t>-668.481604841822 57.3320033946179 -211.41142386551</t>
  </si>
  <si>
    <t>-504.154482259676 -83.3422406709462 189.668380738882</t>
  </si>
  <si>
    <t>-511.412338643901 -20.6908688111787 655.13207131491</t>
  </si>
  <si>
    <t>-494.996407611353 -169.613123457677 747.306826136923</t>
  </si>
  <si>
    <t>9763-20170724T160541.325722400.bin</t>
  </si>
  <si>
    <t>-630.132259068846 145.042780375425 -228.401068651228</t>
  </si>
  <si>
    <t>-670.433883719034 141.609763732326 -342.558010122022</t>
  </si>
  <si>
    <t>-691.198484023783 130.846613513228 -461.484634080992</t>
  </si>
  <si>
    <t>-701.838171040702 117.904842018232 -569.716657980372</t>
  </si>
  <si>
    <t>-704.439615436388 101.701169079081 -678.001111138727</t>
  </si>
  <si>
    <t>-699.719658505035 75.6983286360414 -828.006267890142</t>
  </si>
  <si>
    <t>-664.406857145794 45.3952596121335 -918.658019291827</t>
  </si>
  <si>
    <t>-685.649684661225 114.264109502346 -765.815988548292</t>
  </si>
  <si>
    <t>-598.31615806489 232.553510743836 -763.179814678927</t>
  </si>
  <si>
    <t>-511.681797122891 227.172652554856 -458.792382075439</t>
  </si>
  <si>
    <t>-311.931575710407 131.587118720303 -322.391055747314</t>
  </si>
  <si>
    <t>-717.966457554018 60.1435027815432 -757.451377996385</t>
  </si>
  <si>
    <t>-591.543044432829 232.947165842586 -244.752290429801</t>
  </si>
  <si>
    <t>-596.851666661534 211.032645290236 210.38417083671</t>
  </si>
  <si>
    <t>-633.051394473632 174.587282730634 677.54323740623</t>
  </si>
  <si>
    <t>-503.966591641255 93.8438656906596 765.640496796449</t>
  </si>
  <si>
    <t>-668.588177644483 57.1479357404539 -211.397891569701</t>
  </si>
  <si>
    <t>-504.199837286932 -83.5415204653914 189.651493814016</t>
  </si>
  <si>
    <t>-511.431794687591 -20.6958233204155 655.11058931894</t>
  </si>
  <si>
    <t>-495.064408496755 -169.616745027326 747.295988193233</t>
  </si>
  <si>
    <t>9763-20170724T160541.392525700.bin</t>
  </si>
  <si>
    <t>-630.362378752652 144.715985723187 -228.339659620135</t>
  </si>
  <si>
    <t>-670.646256074533 141.198526421306 -342.500230313073</t>
  </si>
  <si>
    <t>-691.306375941869 130.399168832151 -461.441839291606</t>
  </si>
  <si>
    <t>-701.815280432865 117.444318162832 -569.684955910004</t>
  </si>
  <si>
    <t>-704.249922315322 101.24667855786 -677.97428521818</t>
  </si>
  <si>
    <t>-699.260348182675 75.2726802769284 -827.975760692736</t>
  </si>
  <si>
    <t>-663.832345808017 45.0804373474371 -918.61945909267</t>
  </si>
  <si>
    <t>-685.335328290265 113.845666364088 -765.757377775676</t>
  </si>
  <si>
    <t>-598.104796175842 232.187928138098 -762.662548837406</t>
  </si>
  <si>
    <t>-511.542244609102 225.484781599228 -458.28089120536</t>
  </si>
  <si>
    <t>-311.7996299402 130.997777436485 -321.105219114706</t>
  </si>
  <si>
    <t>-717.600752011195 59.6851714442619 -757.452234688463</t>
  </si>
  <si>
    <t>-591.843979115617 232.631118410843 -244.703269958975</t>
  </si>
  <si>
    <t>-597.060157407832 210.873694363723 210.441765203337</t>
  </si>
  <si>
    <t>-633.085024533083 174.5971072121 677.624010437641</t>
  </si>
  <si>
    <t>-503.854331290753 93.9188619571066 765.566955682991</t>
  </si>
  <si>
    <t>-668.747104177441 56.8243623388787 -211.301172682324</t>
  </si>
  <si>
    <t>-504.069300657382 -83.9889449465859 189.585951547255</t>
  </si>
  <si>
    <t>-511.531270564374 -20.7709479858909 654.971175628695</t>
  </si>
  <si>
    <t>-495.129141131465 -169.611937116924 747.2795001135</t>
  </si>
  <si>
    <t>9763-20170724T160541.426614700.bin</t>
  </si>
  <si>
    <t>-630.53278580009 144.603570596745 -228.332060504713</t>
  </si>
  <si>
    <t>-670.809023871147 141.027933253905 -342.493554957383</t>
  </si>
  <si>
    <t>-691.41894203859 130.199038345165 -461.441206464124</t>
  </si>
  <si>
    <t>-701.865126313111 117.22817457365 -569.688445209214</t>
  </si>
  <si>
    <t>-704.219569673525 101.025082629478 -677.978733212679</t>
  </si>
  <si>
    <t>-699.100889570486 75.0537473185539 -827.976232297694</t>
  </si>
  <si>
    <t>-663.614025935515 44.8883781629802 -918.605904685292</t>
  </si>
  <si>
    <t>-685.229862301544 113.625873993644 -765.745312003569</t>
  </si>
  <si>
    <t>-597.909940386435 231.910344301751 -762.519262648396</t>
  </si>
  <si>
    <t>-511.463923518526 224.630095235669 -458.117734123047</t>
  </si>
  <si>
    <t>-311.892211384124 130.416594579562 -320.505969455008</t>
  </si>
  <si>
    <t>-717.501608294818 59.4646710959544 -757.468765470699</t>
  </si>
  <si>
    <t>-591.981097343391 232.571229760866 -244.705691556448</t>
  </si>
  <si>
    <t>-597.196595624474 210.944931095166 210.445710005726</t>
  </si>
  <si>
    <t>-633.055080945932 174.779867496628 677.656806346076</t>
  </si>
  <si>
    <t>-503.908689522036 93.8673656191934 765.508336294134</t>
  </si>
  <si>
    <t>-668.967255601394 56.6407699801953 -211.282094915913</t>
  </si>
  <si>
    <t>-504.054711929875 -84.1302722775126 189.52334170112</t>
  </si>
  <si>
    <t>-511.647791275102 -20.8845041303668 654.861931933509</t>
  </si>
  <si>
    <t>-495.177241168686 -169.635602288981 747.302991361608</t>
  </si>
  <si>
    <t>9763-20170724T160541.492744500.bin</t>
  </si>
  <si>
    <t>-631.085581819825 144.328084067643 -228.411156094939</t>
  </si>
  <si>
    <t>-671.368776642924 140.661908616689 -342.567203788097</t>
  </si>
  <si>
    <t>-691.92926060518 129.758494456727 -461.51659618656</t>
  </si>
  <si>
    <t>-702.306350673594 116.729268372166 -569.763602690064</t>
  </si>
  <si>
    <t>-704.566874606558 100.478071775601 -678.04854507973</t>
  </si>
  <si>
    <t>-699.291493882796 74.4518932951173 -828.031242750439</t>
  </si>
  <si>
    <t>-663.702358239464 44.3021234228092 -918.62601597988</t>
  </si>
  <si>
    <t>-685.50575853216 113.058393667959 -765.802579804799</t>
  </si>
  <si>
    <t>-598.10104091342 231.267047178598 -762.428459371334</t>
  </si>
  <si>
    <t>-511.261658668781 223.25927467618 -458.157192648835</t>
  </si>
  <si>
    <t>-312.0361578279 129.222713182214 -319.924056195179</t>
  </si>
  <si>
    <t>-717.745624353188 58.8769376689947 -757.534594596613</t>
  </si>
  <si>
    <t>-592.369361453768 232.363017784842 -244.775623072622</t>
  </si>
  <si>
    <t>-597.465910706672 210.941692303011 210.386778159286</t>
  </si>
  <si>
    <t>-633.075221125058 174.955720171802 677.700737976604</t>
  </si>
  <si>
    <t>-503.890970373224 93.8592157408114 765.326618350607</t>
  </si>
  <si>
    <t>-669.739523580893 56.2858852673353 -211.383716971848</t>
  </si>
  <si>
    <t>-504.530341441451 -84.2847606880575 189.369930079496</t>
  </si>
  <si>
    <t>-512.146601277583 -21.3147340606679 654.534653278777</t>
  </si>
  <si>
    <t>-495.315294206753 -169.664400336797 747.554094793965</t>
  </si>
  <si>
    <t>9763-20170724T160541.525831300.bin</t>
  </si>
  <si>
    <t>-631.436837177088 144.062456401592 -228.505965192021</t>
  </si>
  <si>
    <t>-671.716781635443 140.367270553516 -342.662456793036</t>
  </si>
  <si>
    <t>-692.236654057534 129.414346718422 -461.614258879838</t>
  </si>
  <si>
    <t>-702.561271728088 116.334022080293 -569.859896572018</t>
  </si>
  <si>
    <t>-704.753189686137 100.026980408316 -678.137931147672</t>
  </si>
  <si>
    <t>-699.365545184972 73.9195827234844 -828.102531143</t>
  </si>
  <si>
    <t>-663.722174510444 43.7650523053414 -918.674280488168</t>
  </si>
  <si>
    <t>-685.647453044613 112.571852176623 -765.887405820384</t>
  </si>
  <si>
    <t>-598.255804194341 230.792936192423 -762.497004274831</t>
  </si>
  <si>
    <t>-510.960791391451 222.416956914642 -458.366091499238</t>
  </si>
  <si>
    <t>-312.156718982468 128.057984719342 -319.746503043785</t>
  </si>
  <si>
    <t>-717.851412627585 58.3706909447253 -757.608464825688</t>
  </si>
  <si>
    <t>-592.592678568034 232.180367977812 -244.844733586243</t>
  </si>
  <si>
    <t>-597.604447833943 210.770586021662 210.319066303892</t>
  </si>
  <si>
    <t>-633.087563797837 174.90166369885 677.646392473347</t>
  </si>
  <si>
    <t>-503.762098090464 93.9801632710407 765.225753232492</t>
  </si>
  <si>
    <t>-670.178111306466 55.9332793489625 -211.539878769534</t>
  </si>
  <si>
    <t>-504.985263154802 -84.464395116051 189.281103669495</t>
  </si>
  <si>
    <t>-512.431653473826 -21.6121851749972 654.465355613796</t>
  </si>
  <si>
    <t>-495.442642956932 -169.733031896278 747.820030720885</t>
  </si>
  <si>
    <t>9763-20170724T160541.597542400.bin</t>
  </si>
  <si>
    <t>-631.907060958883 143.679054679132 -228.571444051422</t>
  </si>
  <si>
    <t>-672.159933751622 139.909924721517 -342.734896058862</t>
  </si>
  <si>
    <t>-692.59234324388 128.846236586359 -461.691571019176</t>
  </si>
  <si>
    <t>-702.812069690002 115.655351912889 -569.933898515788</t>
  </si>
  <si>
    <t>-704.873128087045 99.2297486990858 -678.196628118965</t>
  </si>
  <si>
    <t>-699.276453560598 72.9517598345153 -828.123681308513</t>
  </si>
  <si>
    <t>-663.532480135106 42.777102872861 -918.649093441616</t>
  </si>
  <si>
    <t>-685.702548294243 111.707633704941 -765.941357306459</t>
  </si>
  <si>
    <t>-598.362631272636 229.957156523191 -762.467492275371</t>
  </si>
  <si>
    <t>-510.054175812184 220.131009145996 -458.672710263852</t>
  </si>
  <si>
    <t>-311.906325878931 124.874667600154 -319.727634880919</t>
  </si>
  <si>
    <t>-717.803066948969 57.4502791428863 -757.62983736073</t>
  </si>
  <si>
    <t>-592.996921786435 231.929060618145 -244.95190830793</t>
  </si>
  <si>
    <t>-597.835110983511 210.571889470204 210.216271309723</t>
  </si>
  <si>
    <t>-633.091553047019 174.804107293097 677.573122934533</t>
  </si>
  <si>
    <t>-503.785918103351 93.841053970209 765.143372267748</t>
  </si>
  <si>
    <t>-670.636577422195 55.492450558118 -211.560747875758</t>
  </si>
  <si>
    <t>-505.5410563029 -84.8647676315034 189.314513686055</t>
  </si>
  <si>
    <t>-512.743331912406 -21.9032101639548 654.558248043425</t>
  </si>
  <si>
    <t>-495.62943946965 -169.726941014202 748.360096464416</t>
  </si>
  <si>
    <t>9763-20170724T160541.631633500.bin</t>
  </si>
  <si>
    <t>-632.142295382368 143.501087105377 -228.608302075302</t>
  </si>
  <si>
    <t>-672.398462745964 139.680089673002 -342.768967679457</t>
  </si>
  <si>
    <t>-692.74859035055 128.575437782235 -461.735826076035</t>
  </si>
  <si>
    <t>-702.858127901081 115.352787457968 -569.984649448611</t>
  </si>
  <si>
    <t>-704.772900818561 98.9015004349858 -678.245998934958</t>
  </si>
  <si>
    <t>-698.935817774169 72.5945260961471 -828.158996748343</t>
  </si>
  <si>
    <t>-663.086747331578 42.4349461865811 -918.647885151055</t>
  </si>
  <si>
    <t>-685.497803483508 111.383097105633 -765.96734661708</t>
  </si>
  <si>
    <t>-598.164963418382 229.615878595562 -762.363680121834</t>
  </si>
  <si>
    <t>-508.812499109858 218.852107293089 -458.906146788668</t>
  </si>
  <si>
    <t>-311.189150661943 122.696976051299 -319.833320874665</t>
  </si>
  <si>
    <t>-717.539265260065 57.0860264629619 -757.686977273007</t>
  </si>
  <si>
    <t>-593.230929706548 231.819154845555 -245.003849564502</t>
  </si>
  <si>
    <t>-597.991388452089 210.496035527985 210.166830645575</t>
  </si>
  <si>
    <t>-633.089855495227 174.700348098555 677.526250693145</t>
  </si>
  <si>
    <t>-503.807794636342 93.7298301373592 765.124378210246</t>
  </si>
  <si>
    <t>-670.912700254397 55.2358306100173 -211.554853655557</t>
  </si>
  <si>
    <t>-505.763440973357 -85.0525066760549 189.322407869603</t>
  </si>
  <si>
    <t>-512.96892501971 -22.1255499420665 654.544877319667</t>
  </si>
  <si>
    <t>-495.757655516717 -169.767770152617 748.614360946973</t>
  </si>
  <si>
    <t>9763-20170724T160541.693818200.bin</t>
  </si>
  <si>
    <t>-632.702098013209 143.219494490979 -228.515522517585</t>
  </si>
  <si>
    <t>-672.938027138107 139.247901018864 -342.678106160756</t>
  </si>
  <si>
    <t>-693.095394027371 128.052043238672 -461.669144724126</t>
  </si>
  <si>
    <t>-702.957910246695 114.77384208572 -569.934040559451</t>
  </si>
  <si>
    <t>-704.552712235172 98.2950523091506 -678.196491271019</t>
  </si>
  <si>
    <t>-698.194915648176 71.9808534405049 -828.086943594759</t>
  </si>
  <si>
    <t>-662.105495962571 41.9008534100967 -918.506633181703</t>
  </si>
  <si>
    <t>-685.070722578306 110.827751300852 -765.864858681123</t>
  </si>
  <si>
    <t>-597.88076038212 229.179727299625 -761.997641799786</t>
  </si>
  <si>
    <t>-505.621759087863 215.963722898129 -459.508427562621</t>
  </si>
  <si>
    <t>-308.809857044321 118.538808649644 -320.168785887593</t>
  </si>
  <si>
    <t>-716.945369599843 56.4203845092015 -757.665332902823</t>
  </si>
  <si>
    <t>-593.927833109055 231.650428277098 -244.978433573458</t>
  </si>
  <si>
    <t>-598.437344508861 210.412659129003 210.198682962413</t>
  </si>
  <si>
    <t>-633.187335056099 174.614409937997 677.614204184024</t>
  </si>
  <si>
    <t>-503.680267073217 93.8517810469311 765.071755143273</t>
  </si>
  <si>
    <t>-671.282373244712 54.8744528691966 -211.323146015455</t>
  </si>
  <si>
    <t>-505.797927532859 -85.2399095732305 189.476699032317</t>
  </si>
  <si>
    <t>-513.082699916237 -22.198959580601 654.876838136864</t>
  </si>
  <si>
    <t>-495.734731009482 -169.743822292087 749.073880800891</t>
  </si>
  <si>
    <t>9763-20170724T160541.729917100.bin</t>
  </si>
  <si>
    <t>-632.917647445839 143.144555178474 -228.361071125958</t>
  </si>
  <si>
    <t>-673.116897341049 139.089555862241 -342.533591163076</t>
  </si>
  <si>
    <t>-693.184792781206 127.836868959854 -461.534554894047</t>
  </si>
  <si>
    <t>-702.94452934454 114.518880355242 -569.803781342059</t>
  </si>
  <si>
    <t>-704.414968876552 98.0119333331661 -678.063658966517</t>
  </si>
  <si>
    <t>-697.862163015169 71.6709668730018 -827.941089499744</t>
  </si>
  <si>
    <t>-661.698137378073 41.6348349575599 -918.345641022543</t>
  </si>
  <si>
    <t>-684.863522293485 110.554201233411 -765.715260167677</t>
  </si>
  <si>
    <t>-597.80608214452 228.999114087563 -761.74060563452</t>
  </si>
  <si>
    <t>-504.085025126036 214.055125413 -459.781642345177</t>
  </si>
  <si>
    <t>-307.440841939315 116.750944484344 -320.121172148711</t>
  </si>
  <si>
    <t>-716.659630597544 56.0978574556434 -757.534754996281</t>
  </si>
  <si>
    <t>-594.30477040746 231.556378753222 -244.850926370853</t>
  </si>
  <si>
    <t>-598.698574063358 210.372101242064 210.329943697122</t>
  </si>
  <si>
    <t>-633.284209174841 174.515375532769 677.725685920323</t>
  </si>
  <si>
    <t>-503.552570914879 93.9706989986544 765.05131096219</t>
  </si>
  <si>
    <t>-671.330080477584 54.797636455605 -211.079212318155</t>
  </si>
  <si>
    <t>-505.591128479758 -85.2294575607591 189.646075031705</t>
  </si>
  <si>
    <t>-513.001946514444 -22.049191986159 655.148566754364</t>
  </si>
  <si>
    <t>-495.578079102115 -169.695760666515 749.172046048219</t>
  </si>
  <si>
    <t>9763-20170724T160541.794593500.bin</t>
  </si>
  <si>
    <t>-633.092154893448 143.24478187307 -227.833629529556</t>
  </si>
  <si>
    <t>-673.156312855614 139.034998374276 -342.04814425969</t>
  </si>
  <si>
    <t>-693.022995777829 127.685460854217 -461.073567865274</t>
  </si>
  <si>
    <t>-702.575273450984 114.301978219024 -569.353209652547</t>
  </si>
  <si>
    <t>-703.813948402362 97.75027349726 -677.609218948573</t>
  </si>
  <si>
    <t>-696.91474731005 71.3678612253789 -827.463653062711</t>
  </si>
  <si>
    <t>-660.663824672233 41.4239637804019 -917.864084679768</t>
  </si>
  <si>
    <t>-684.138943952959 110.312573578302 -765.230194061472</t>
  </si>
  <si>
    <t>-597.138263139845 228.798045338332 -761.033276269967</t>
  </si>
  <si>
    <t>-500.994134121961 210.002173169587 -460.052782818341</t>
  </si>
  <si>
    <t>-304.936511120147 113.240500194949 -319.195993532356</t>
  </si>
  <si>
    <t>-715.795781981489 55.770107689151 -757.085197458563</t>
  </si>
  <si>
    <t>-594.895924816959 231.628687195373 -244.404034579364</t>
  </si>
  <si>
    <t>-599.1682873695 210.585825694395 210.784534584688</t>
  </si>
  <si>
    <t>-633.465156174161 174.589357500234 678.10274822019</t>
  </si>
  <si>
    <t>-503.521382175847 93.9984768949398 765.069611285969</t>
  </si>
  <si>
    <t>-671.069692969638 54.9580305599541 -210.461344062842</t>
  </si>
  <si>
    <t>-504.962666694576 -84.7809383280924 190.211975535206</t>
  </si>
  <si>
    <t>-512.578116126926 -21.366448520406 655.854376726857</t>
  </si>
  <si>
    <t>-495.056630171646 -169.520681266775 749.057617569935</t>
  </si>
  <si>
    <t>9763-20170724T160541.826678800.bin</t>
  </si>
  <si>
    <t>-633.120001607498 143.303313726434 -227.582758744077</t>
  </si>
  <si>
    <t>-673.133633330278 139.029628051752 -341.81262945687</t>
  </si>
  <si>
    <t>-692.928457673384 127.645843357812 -460.846814437469</t>
  </si>
  <si>
    <t>-702.407982667898 114.241798609696 -569.130329134505</t>
  </si>
  <si>
    <t>-703.566474043189 97.6791738539462 -677.385574770013</t>
  </si>
  <si>
    <t>-696.549080559686 71.2902127534273 -827.233471368231</t>
  </si>
  <si>
    <t>-660.299326388175 41.373070838137 -917.64306799881</t>
  </si>
  <si>
    <t>-683.847527126016 110.251697117221 -764.995139346919</t>
  </si>
  <si>
    <t>-596.792336202797 228.695009170709 -760.675571910637</t>
  </si>
  <si>
    <t>-499.365317258849 208.07284147703 -460.227787400679</t>
  </si>
  <si>
    <t>-303.854765036931 111.440514304659 -318.524330022418</t>
  </si>
  <si>
    <t>-715.460635485246 55.681264378786 -756.86540541131</t>
  </si>
  <si>
    <t>-595.148201278559 231.647550467194 -244.17416546742</t>
  </si>
  <si>
    <t>-599.336601367506 210.700390855908 211.019641125453</t>
  </si>
  <si>
    <t>-633.556055421253 174.583202056356 678.287628299014</t>
  </si>
  <si>
    <t>-503.509922247797 93.9792873738406 765.089276018668</t>
  </si>
  <si>
    <t>-670.910467759056 55.0088310281344 -210.194767594734</t>
  </si>
  <si>
    <t>-504.669136468044 -84.5165618916474 190.497357764953</t>
  </si>
  <si>
    <t>-512.38695803751 -21.0549622233386 656.073199500323</t>
  </si>
  <si>
    <t>-494.854142987442 -169.448085473505 748.893435689574</t>
  </si>
  <si>
    <t>9763-20170724T160541.895331000.bin</t>
  </si>
  <si>
    <t>-633.134029596401 143.230616299412 -227.161717944537</t>
  </si>
  <si>
    <t>-673.112420662996 138.862212284194 -341.400343352846</t>
  </si>
  <si>
    <t>-692.79572614533 127.42400911858 -460.447848545893</t>
  </si>
  <si>
    <t>-702.142765903456 113.987345318152 -568.738861737209</t>
  </si>
  <si>
    <t>-703.137671407621 97.4081255544438 -676.993064927504</t>
  </si>
  <si>
    <t>-695.861001967761 71.0127512493291 -826.827505557727</t>
  </si>
  <si>
    <t>-659.620681640755 41.1186398137722 -917.248575437837</t>
  </si>
  <si>
    <t>-683.302221292566 109.996433391973 -764.574096838278</t>
  </si>
  <si>
    <t>-595.956359097753 228.192643108746 -759.961753647291</t>
  </si>
  <si>
    <t>-495.637396736395 204.407302078871 -460.701698488926</t>
  </si>
  <si>
    <t>-301.404194380622 107.491345731987 -317.443855071442</t>
  </si>
  <si>
    <t>-714.859190603985 55.3873282255379 -756.486677692585</t>
  </si>
  <si>
    <t>-595.442250065288 231.502251466881 -243.844260946652</t>
  </si>
  <si>
    <t>-599.524056803432 210.760326527474 211.359932130597</t>
  </si>
  <si>
    <t>-633.655166087194 174.622538662396 678.557532280666</t>
  </si>
  <si>
    <t>-503.513986821196 93.9355285981819 765.139246121008</t>
  </si>
  <si>
    <t>-670.708988432853 54.9305639646054 -209.80903958265</t>
  </si>
  <si>
    <t>-504.171331569005 -84.4390315463129 190.814190909377</t>
  </si>
  <si>
    <t>-512.140263490759 -20.6955212531382 656.204942011468</t>
  </si>
  <si>
    <t>-494.746453358091 -169.39586121352 748.558504890305</t>
  </si>
  <si>
    <t>9763-20170724T160541.930425600.bin</t>
  </si>
  <si>
    <t>-633.164109724833 143.160295621707 -227.04752097046</t>
  </si>
  <si>
    <t>-673.146978056228 138.77600467266 -341.28401374187</t>
  </si>
  <si>
    <t>-692.769398106704 127.322292516023 -460.339987777874</t>
  </si>
  <si>
    <t>-702.034379388324 113.871547878579 -568.636212536953</t>
  </si>
  <si>
    <t>-702.920597216255 97.277985002065 -676.889342694144</t>
  </si>
  <si>
    <t>-695.465187776374 70.8630318861369 -826.71146816951</t>
  </si>
  <si>
    <t>-659.207359243149 40.9669646199955 -917.124793764795</t>
  </si>
  <si>
    <t>-682.983368778733 109.856277205931 -764.44876153164</t>
  </si>
  <si>
    <t>-595.436851452999 227.913861995763 -759.698437624773</t>
  </si>
  <si>
    <t>-493.666912460887 202.33377423948 -461.076946050993</t>
  </si>
  <si>
    <t>-299.866581332459 105.217589391749 -317.369255703314</t>
  </si>
  <si>
    <t>-714.544536308883 55.2454367047278 -756.39084334805</t>
  </si>
  <si>
    <t>-595.527376312975 231.416243995073 -243.746206930478</t>
  </si>
  <si>
    <t>-599.524244863224 210.708861478425 211.460222906579</t>
  </si>
  <si>
    <t>-633.699331400617 174.624465360992 678.665333735823</t>
  </si>
  <si>
    <t>-503.609018026161 93.7780198088215 765.174717822072</t>
  </si>
  <si>
    <t>-670.692170328887 54.891847659982 -209.716679685798</t>
  </si>
  <si>
    <t>-504.033263817815 -84.555684897467 190.82895306436</t>
  </si>
  <si>
    <t>-512.056231251064 -20.627384984894 656.157410955381</t>
  </si>
  <si>
    <t>-494.817745131865 -169.394288814429 748.432885034159</t>
  </si>
  <si>
    <t>9763-20170724T160541.992781400.bin</t>
  </si>
  <si>
    <t>-633.380670945375 142.863269006287 -226.970879043253</t>
  </si>
  <si>
    <t>-673.406517543325 138.440156497892 -341.190749313157</t>
  </si>
  <si>
    <t>-692.998808467776 126.979193919393 -460.250898028002</t>
  </si>
  <si>
    <t>-702.206566660147 113.532080853315 -568.552632030772</t>
  </si>
  <si>
    <t>-703.005234977367 96.9518354099866 -676.808291224682</t>
  </si>
  <si>
    <t>-695.397338372247 70.564205769422 -826.62761496243</t>
  </si>
  <si>
    <t>-659.154044417102 40.6225045923613 -917.031743427236</t>
  </si>
  <si>
    <t>-682.937583726338 109.52314562209 -764.338985818657</t>
  </si>
  <si>
    <t>-594.921874729625 227.220012058226 -759.383899846684</t>
  </si>
  <si>
    <t>-489.748638453446 197.40032364082 -462.339182940341</t>
  </si>
  <si>
    <t>-296.374651632554 100.142530381143 -318.153614753295</t>
  </si>
  <si>
    <t>-714.589624891469 54.9566634887681 -756.335545047228</t>
  </si>
  <si>
    <t>-595.701934826709 231.028339435701 -243.706201585491</t>
  </si>
  <si>
    <t>-599.526017551104 210.439481715079 211.507058604289</t>
  </si>
  <si>
    <t>-633.736869384973 174.486005708468 678.743563296654</t>
  </si>
  <si>
    <t>-503.603305857035 93.6429283626981 765.191038397248</t>
  </si>
  <si>
    <t>-670.975514697897 54.6497574547686 -209.617663606009</t>
  </si>
  <si>
    <t>-503.916149097288 -84.9084209202354 190.722653539082</t>
  </si>
  <si>
    <t>-512.047180719655 -20.6433151278704 655.959763936861</t>
  </si>
  <si>
    <t>-494.970552019775 -169.408714575625 748.26772539026</t>
  </si>
  <si>
    <t>9763-20170724T160542.026871700.bin</t>
  </si>
  <si>
    <t>-633.495141594109 142.629245250566 -226.996598654984</t>
  </si>
  <si>
    <t>-673.536193173107 138.194313624499 -341.210639666908</t>
  </si>
  <si>
    <t>-693.158637459979 126.746160811346 -460.267237296508</t>
  </si>
  <si>
    <t>-702.399783657414 113.319169687665 -568.568540222949</t>
  </si>
  <si>
    <t>-703.238198605298 96.7663552538334 -676.828123106564</t>
  </si>
  <si>
    <t>-695.692166755919 70.4234691020479 -826.658351177254</t>
  </si>
  <si>
    <t>-659.474326392625 40.4381417533732 -917.058325958516</t>
  </si>
  <si>
    <t>-683.170044506379 109.343187002654 -764.357870433752</t>
  </si>
  <si>
    <t>-594.872075073881 226.837832124377 -759.327559832349</t>
  </si>
  <si>
    <t>-487.306853415738 194.641540131042 -463.389587763156</t>
  </si>
  <si>
    <t>-294.151536568123 97.6186596644961 -318.753342047987</t>
  </si>
  <si>
    <t>-714.892110223041 54.8155155742784 -756.368569474202</t>
  </si>
  <si>
    <t>-595.727513997389 230.767834762731 -243.737190994839</t>
  </si>
  <si>
    <t>-599.560147945813 210.301695226135 211.481680493107</t>
  </si>
  <si>
    <t>-633.735548858568 174.493819387199 678.767342639107</t>
  </si>
  <si>
    <t>-503.55719198743 93.6812813178694 765.175942397258</t>
  </si>
  <si>
    <t>-671.147961698031 54.4662596493022 -209.622430939008</t>
  </si>
  <si>
    <t>-503.970148270936 -85.1305901952683 190.654883724023</t>
  </si>
  <si>
    <t>-512.077644258817 -20.6883564342977 655.853492187526</t>
  </si>
  <si>
    <t>-495.041654969178 -169.414057713734 748.23284981635</t>
  </si>
  <si>
    <t>9763-20170724T160542.094046700.bin</t>
  </si>
  <si>
    <t>-633.901358534093 142.056113372715 -227.150340760357</t>
  </si>
  <si>
    <t>-673.949731991379 137.583722947285 -341.360523490278</t>
  </si>
  <si>
    <t>-693.647302119975 126.127098319966 -460.403781641416</t>
  </si>
  <si>
    <t>-702.98690049862 112.696872078581 -568.696311638424</t>
  </si>
  <si>
    <t>-703.955132211367 96.1416475486069 -676.954354095717</t>
  </si>
  <si>
    <t>-696.623346773298 69.7921138341555 -826.794161127499</t>
  </si>
  <si>
    <t>-660.494127939733 39.6699464066051 -917.184033249871</t>
  </si>
  <si>
    <t>-683.890522581218 108.646176332616 -764.495163698347</t>
  </si>
  <si>
    <t>-594.811943022636 225.53146864122 -759.316952222582</t>
  </si>
  <si>
    <t>-482.670718968783 188.500222441566 -465.651750901647</t>
  </si>
  <si>
    <t>-290.384458352873 91.6324690754934 -319.759049656547</t>
  </si>
  <si>
    <t>-715.844323039867 54.2557806722314 -756.494152230814</t>
  </si>
  <si>
    <t>-595.892916714115 230.262284128489 -243.895743763477</t>
  </si>
  <si>
    <t>-599.644773652959 210.017225399084 211.333601822618</t>
  </si>
  <si>
    <t>-633.700590752811 174.57460739224 678.719506961864</t>
  </si>
  <si>
    <t>-503.65088985119 93.5358458465744 765.109931590192</t>
  </si>
  <si>
    <t>-671.799062141657 53.8137696934491 -209.802027796814</t>
  </si>
  <si>
    <t>-504.432454521234 -85.7185772643347 190.418914804182</t>
  </si>
  <si>
    <t>-512.38942058904 -21.0911147063277 655.440658800745</t>
  </si>
  <si>
    <t>-495.263742420654 -169.48328717304 748.338441445648</t>
  </si>
  <si>
    <t>9763-20170724T160542.125128900.bin</t>
  </si>
  <si>
    <t>-634.146693547605 141.671644017265 -227.202086752908</t>
  </si>
  <si>
    <t>-674.220944582208 137.229747392913 -341.404228992343</t>
  </si>
  <si>
    <t>-693.95567448539 125.783430882921 -460.442408354492</t>
  </si>
  <si>
    <t>-703.334339984933 112.351182921388 -568.731202452794</t>
  </si>
  <si>
    <t>-704.348194998238 95.7804069878175 -676.986660169018</t>
  </si>
  <si>
    <t>-697.087129221334 69.3938123277921 -826.823335703425</t>
  </si>
  <si>
    <t>-661.020338299953 39.1964590792863 -917.212856422819</t>
  </si>
  <si>
    <t>-684.250508041705 108.221076594402 -764.528899349399</t>
  </si>
  <si>
    <t>-594.65722315903 224.722539250655 -759.336821491583</t>
  </si>
  <si>
    <t>-480.616681229219 185.507674353771 -466.68827613471</t>
  </si>
  <si>
    <t>-288.746286020202 88.7004455303331 -320.209124880228</t>
  </si>
  <si>
    <t>-716.349423348343 53.9169479395932 -756.521379923705</t>
  </si>
  <si>
    <t>-595.998390686974 229.869051842131 -243.950391298172</t>
  </si>
  <si>
    <t>-599.700873413675 209.77416448918 211.285903313026</t>
  </si>
  <si>
    <t>-633.747169030895 174.433810387665 678.711231032557</t>
  </si>
  <si>
    <t>-503.633677749866 93.4686187138527 765.074580424773</t>
  </si>
  <si>
    <t>-672.158083566248 53.4589258445969 -209.831830811032</t>
  </si>
  <si>
    <t>-504.69464008002 -86.1389507083748 190.325748522672</t>
  </si>
  <si>
    <t>-512.475949949954 -21.2192798782055 655.410569159414</t>
  </si>
  <si>
    <t>-495.409054633718 -169.516187241225 748.471157675257</t>
  </si>
  <si>
    <t>9763-20170724T160542.192313100.bin</t>
  </si>
  <si>
    <t>-634.448131325817 141.190779966288 -227.110965734389</t>
  </si>
  <si>
    <t>-674.604694114369 136.870865215778 -341.288956683719</t>
  </si>
  <si>
    <t>-694.410085746012 125.455409708787 -460.31833382788</t>
  </si>
  <si>
    <t>-703.849032264052 112.010532721988 -568.600314733892</t>
  </si>
  <si>
    <t>-704.920119385838 95.3858388085014 -676.846958209396</t>
  </si>
  <si>
    <t>-697.736568087252 68.8802588234123 -826.666291110261</t>
  </si>
  <si>
    <t>-661.770547423149 38.4935505907849 -917.032639811639</t>
  </si>
  <si>
    <t>-684.715739330148 107.669973686311 -764.386782711029</t>
  </si>
  <si>
    <t>-594.141567057162 223.394313542925 -759.113851635825</t>
  </si>
  <si>
    <t>-476.733345587916 180.600210897315 -468.304374136501</t>
  </si>
  <si>
    <t>-285.666925494526 83.8988041955006 -320.708635600843</t>
  </si>
  <si>
    <t>-717.114363617146 53.5463731133466 -756.364889480632</t>
  </si>
  <si>
    <t>-595.967531906527 229.177820112514 -243.919322444112</t>
  </si>
  <si>
    <t>-599.58870343558 209.291751193764 211.326810592266</t>
  </si>
  <si>
    <t>-633.820430954973 174.383275474794 678.797603845281</t>
  </si>
  <si>
    <t>-503.709715308702 93.311621033303 765.065203656351</t>
  </si>
  <si>
    <t>-672.788208182779 53.2632127956799 -209.530249481338</t>
  </si>
  <si>
    <t>-505.116690306866 -86.6035844132798 190.446284773345</t>
  </si>
  <si>
    <t>-512.380933323017 -21.0784825429059 655.648204732553</t>
  </si>
  <si>
    <t>-495.593261969534 -169.490362262702 748.576255173897</t>
  </si>
  <si>
    <t>9763-20170724T160542.224398100.bin</t>
  </si>
  <si>
    <t>-634.411619740674 140.97684619232 -227.033893520658</t>
  </si>
  <si>
    <t>-674.602294112322 136.731306572033 -341.202672604441</t>
  </si>
  <si>
    <t>-694.455917929292 125.347034396248 -460.226971491002</t>
  </si>
  <si>
    <t>-703.944385682096 111.91280908646 -568.506015859354</t>
  </si>
  <si>
    <t>-705.070656616573 95.2819325484547 -676.751068868794</t>
  </si>
  <si>
    <t>-697.969661346848 68.7506379295389 -826.569821654258</t>
  </si>
  <si>
    <t>-662.055773587716 38.2653503676129 -916.923633845003</t>
  </si>
  <si>
    <t>-684.842908675901 107.509621422987 -764.293508640914</t>
  </si>
  <si>
    <t>-593.818661347038 222.888178664941 -759.028229530742</t>
  </si>
  <si>
    <t>-475.029184526489 178.706259553651 -468.98821641762</t>
  </si>
  <si>
    <t>-284.424899031749 82.1868779674569 -320.677498637415</t>
  </si>
  <si>
    <t>-717.380450088695 53.4700923841117 -756.265881325623</t>
  </si>
  <si>
    <t>-595.718693657432 228.82598068837 -243.903911285579</t>
  </si>
  <si>
    <t>-599.315406827863 209.069135886662 211.348170233796</t>
  </si>
  <si>
    <t>-633.760613430292 174.515620965183 678.795199902481</t>
  </si>
  <si>
    <t>-503.870755443179 93.1007651180391 765.072427365944</t>
  </si>
  <si>
    <t>-672.889222497943 53.1748456875832 -209.388269471935</t>
  </si>
  <si>
    <t>-505.227073334004 -86.6881403251687 190.593508536575</t>
  </si>
  <si>
    <t>-512.271124007834 -20.9316163661003 655.778205654039</t>
  </si>
  <si>
    <t>-495.717922976362 -169.468572210032 748.548266275947</t>
  </si>
  <si>
    <t>9763-20170724T160542.291591500.bin</t>
  </si>
  <si>
    <t>-634.037055625953 140.517399924025 -226.875891575751</t>
  </si>
  <si>
    <t>-674.259819316477 136.451470521633 -341.03968683263</t>
  </si>
  <si>
    <t>-694.133851873822 125.125525333691 -460.066284832733</t>
  </si>
  <si>
    <t>-703.636100671766 111.696009083182 -568.344596072259</t>
  </si>
  <si>
    <t>-704.771623379312 95.0235355291877 -676.583178718211</t>
  </si>
  <si>
    <t>-697.679224666015 68.3876655817621 -826.383927740501</t>
  </si>
  <si>
    <t>-661.808565985367 37.6994181881892 -916.6861898552</t>
  </si>
  <si>
    <t>-684.427845473896 107.119696957212 -764.11705404052</t>
  </si>
  <si>
    <t>-592.700759159266 221.927482386596 -758.759890075094</t>
  </si>
  <si>
    <t>-471.22378493564 175.789466230465 -470.14105890097</t>
  </si>
  <si>
    <t>-281.647525477096 79.7549405165889 -320.206782192793</t>
  </si>
  <si>
    <t>-717.206837187713 53.226848032361 -756.086403355809</t>
  </si>
  <si>
    <t>-595.158979845554 228.106804858161 -243.777255644513</t>
  </si>
  <si>
    <t>-598.671397485552 208.500732086314 211.4819450826</t>
  </si>
  <si>
    <t>-633.802249300963 174.609037670859 678.971032938308</t>
  </si>
  <si>
    <t>-503.899439837434 93.0439838225161 765.086732307626</t>
  </si>
  <si>
    <t>-672.687846963612 52.9617699274406 -209.220089300197</t>
  </si>
  <si>
    <t>-505.114248015764 -87.1726365360214 190.703781572865</t>
  </si>
  <si>
    <t>-512.08970343452 -20.8302698857462 655.759571967714</t>
  </si>
  <si>
    <t>-496.218641776657 -169.495885012749 748.442625520239</t>
  </si>
  <si>
    <t>9763-20170724T160542.325683200.bin</t>
  </si>
  <si>
    <t>-634.05571242937 140.340541586161 -226.717706985287</t>
  </si>
  <si>
    <t>-674.281061932077 136.357219374087 -340.883672873554</t>
  </si>
  <si>
    <t>-694.118293078963 125.075118794263 -459.920568925098</t>
  </si>
  <si>
    <t>-703.571969047786 111.667216402863 -568.205747945691</t>
  </si>
  <si>
    <t>-704.644423784985 94.9973913946758 -676.445377188106</t>
  </si>
  <si>
    <t>-697.450032670066 68.3450157543869 -826.238290833029</t>
  </si>
  <si>
    <t>-661.578059971652 37.5872279875382 -916.516419895594</t>
  </si>
  <si>
    <t>-684.173719660952 107.044435110351 -763.956463968524</t>
  </si>
  <si>
    <t>-592.096136959865 221.574420024657 -758.591081202352</t>
  </si>
  <si>
    <t>-469.508216370134 174.816458048298 -470.542329145504</t>
  </si>
  <si>
    <t>-280.026364324865 79.1893991083991 -320.228730490096</t>
  </si>
  <si>
    <t>-717.092787078119 53.2314750371663 -755.962700012471</t>
  </si>
  <si>
    <t>-595.137071436089 227.83443810797 -243.613025323408</t>
  </si>
  <si>
    <t>-598.563544993312 208.195674255738 211.64543653973</t>
  </si>
  <si>
    <t>-633.975629238151 174.319768350761 679.114077355215</t>
  </si>
  <si>
    <t>-504.054319051002 92.7180642162816 765.167136044331</t>
  </si>
  <si>
    <t>-672.821379671837 52.866968552295 -209.096181656577</t>
  </si>
  <si>
    <t>-505.136075639548 -87.386059398714 190.739322247523</t>
  </si>
  <si>
    <t>-512.082713883564 -20.8473392246583 655.707527262898</t>
  </si>
  <si>
    <t>-496.385336933922 -169.509372000859 748.425965996073</t>
  </si>
  <si>
    <t>9763-20170724T160542.395880200.bin</t>
  </si>
  <si>
    <t>-634.482354460147 140.095074081381 -226.385000334306</t>
  </si>
  <si>
    <t>-674.786491107262 136.371418415942 -340.531948723322</t>
  </si>
  <si>
    <t>-694.689626123175 125.176545370853 -459.565983361393</t>
  </si>
  <si>
    <t>-704.198490728564 111.776587825174 -567.8474730069</t>
  </si>
  <si>
    <t>-705.322063559478 95.0450998026513 -676.076968581302</t>
  </si>
  <si>
    <t>-698.195713559847 68.2351751453407 -825.845087045769</t>
  </si>
  <si>
    <t>-662.43751310508 37.3194686556078 -916.114285849296</t>
  </si>
  <si>
    <t>-684.734700663033 106.907205743319 -763.58590643307</t>
  </si>
  <si>
    <t>-591.925961317193 220.861799569507 -758.156517570257</t>
  </si>
  <si>
    <t>-467.968860795986 172.996335235076 -470.87656453307</t>
  </si>
  <si>
    <t>-278.155586651502 78.7600495162487 -320.103645881102</t>
  </si>
  <si>
    <t>-717.963121178828 53.2882470351656 -755.568841370883</t>
  </si>
  <si>
    <t>-595.283315525971 227.373957773911 -243.288594059323</t>
  </si>
  <si>
    <t>-598.837022323207 207.732072336773 211.968708429469</t>
  </si>
  <si>
    <t>-634.255086092285 173.791485807613 679.390929077558</t>
  </si>
  <si>
    <t>-504.553407048408 91.9110138612239 765.510436552814</t>
  </si>
  <si>
    <t>-673.636973916634 52.8408679914578 -208.800935035668</t>
  </si>
  <si>
    <t>-505.225930146481 -87.5896536375387 190.667036968655</t>
  </si>
  <si>
    <t>-512.15934650955 -20.963222937839 655.552946110387</t>
  </si>
  <si>
    <t>-496.52399549586 -169.529972154637 748.434471584437</t>
  </si>
  <si>
    <t>9763-20170724T160542.429971200.bin</t>
  </si>
  <si>
    <t>-634.724453375356 140.033802687793 -226.232031981707</t>
  </si>
  <si>
    <t>-675.049082697837 136.405511560344 -340.374788759561</t>
  </si>
  <si>
    <t>-695.023347704013 125.217502257231 -459.397586273949</t>
  </si>
  <si>
    <t>-704.61637474958 111.792438080311 -567.668435659714</t>
  </si>
  <si>
    <t>-705.843255456952 95.0075092172626 -675.888618270313</t>
  </si>
  <si>
    <t>-698.879314461874 68.0967962075185 -825.646157672395</t>
  </si>
  <si>
    <t>-663.225196801879 37.1104801439262 -915.932477162864</t>
  </si>
  <si>
    <t>-685.287258234868 106.77276859244 -763.418043396508</t>
  </si>
  <si>
    <t>-592.222215583919 220.495595278444 -758.022742111307</t>
  </si>
  <si>
    <t>-467.388319627753 172.207146769703 -471.193666907115</t>
  </si>
  <si>
    <t>-277.57953759922 78.8006995315202 -319.899586943428</t>
  </si>
  <si>
    <t>-718.634019033248 53.2351473546123 -755.348245858816</t>
  </si>
  <si>
    <t>-595.225622434649 227.164081933676 -243.150170833134</t>
  </si>
  <si>
    <t>-598.950498231913 207.601658095264 212.109217993312</t>
  </si>
  <si>
    <t>-634.439779741365 173.539711106972 679.611534894107</t>
  </si>
  <si>
    <t>-504.754391145223 91.5451120734533 765.646961800095</t>
  </si>
  <si>
    <t>-674.142236975308 52.9281929800998 -208.638794296935</t>
  </si>
  <si>
    <t>-505.443584748032 -87.5630839139578 190.686395121982</t>
  </si>
  <si>
    <t>-512.206411036289 -20.9980026205155 655.560479683196</t>
  </si>
  <si>
    <t>-496.502963059103 -169.52405702021 748.495473196325</t>
  </si>
  <si>
    <t>9763-20170724T160542.493737500.bin</t>
  </si>
  <si>
    <t>-635.095272942883 140.02566015073 -225.974818984619</t>
  </si>
  <si>
    <t>-675.439923209462 136.571650691278 -340.115938081812</t>
  </si>
  <si>
    <t>-695.51088070025 125.408353221379 -459.124719524867</t>
  </si>
  <si>
    <t>-705.22240779902 111.950150837901 -567.380966936769</t>
  </si>
  <si>
    <t>-706.597682147631 95.0811298682013 -675.586336200035</t>
  </si>
  <si>
    <t>-699.870465905806 68.0037111469549 -825.324569872234</t>
  </si>
  <si>
    <t>-664.382163271825 36.873614251039 -915.626754686124</t>
  </si>
  <si>
    <t>-686.081369695728 106.689427692378 -763.145853219191</t>
  </si>
  <si>
    <t>-592.459990245711 219.980862457741 -757.823483419495</t>
  </si>
  <si>
    <t>-466.245032604539 170.682154615536 -471.771738844116</t>
  </si>
  <si>
    <t>-276.652134961759 78.9793478627796 -319.170400204766</t>
  </si>
  <si>
    <t>-719.612702509424 53.2798630276488 -754.99416993606</t>
  </si>
  <si>
    <t>-595.150862323335 226.939666402674 -242.862500377036</t>
  </si>
  <si>
    <t>-599.015438575962 207.472164085591 212.399758138738</t>
  </si>
  <si>
    <t>-634.706362642538 173.347671452268 679.96990566954</t>
  </si>
  <si>
    <t>-505.029245073109 91.0796372718146 765.756443666813</t>
  </si>
  <si>
    <t>-674.862900030417 53.1432241829282 -208.385862459485</t>
  </si>
  <si>
    <t>-506.126537915321 -87.529527072094 190.85947846507</t>
  </si>
  <si>
    <t>-512.319245156838 -21.0200547774887 655.733570728179</t>
  </si>
  <si>
    <t>-496.657554222908 -169.515358739199 748.724918531444</t>
  </si>
  <si>
    <t>9763-20170724T160542.524816100.bin</t>
  </si>
  <si>
    <t>-635.331088319848 140.188419025616 -225.785997673476</t>
  </si>
  <si>
    <t>-675.692293904115 136.817848662915 -339.923626882326</t>
  </si>
  <si>
    <t>-695.804608419903 125.654614877802 -458.925466610952</t>
  </si>
  <si>
    <t>-705.565155269577 112.16094687803 -567.172904118215</t>
  </si>
  <si>
    <t>-707.001790897188 95.2206101214394 -675.36632433412</t>
  </si>
  <si>
    <t>-700.37326499568 68.0067100377271 -825.084337782575</t>
  </si>
  <si>
    <t>-664.99018263011 36.7772473919206 -915.393493586322</t>
  </si>
  <si>
    <t>-686.476159258733 106.708607275354 -762.93972464045</t>
  </si>
  <si>
    <t>-592.537160128944 219.722733434885 -757.711486696599</t>
  </si>
  <si>
    <t>-465.806244745521 170.022606288582 -471.957418598331</t>
  </si>
  <si>
    <t>-276.420128310053 78.4363791763446 -319.029630942315</t>
  </si>
  <si>
    <t>-720.136178404994 53.3874587331131 -754.737808156197</t>
  </si>
  <si>
    <t>-595.206327695111 227.067790317589 -242.643886161959</t>
  </si>
  <si>
    <t>-599.052854382625 207.478578669183 212.613320890441</t>
  </si>
  <si>
    <t>-634.855065122226 173.352236907236 680.199200312907</t>
  </si>
  <si>
    <t>-505.142630737678 90.9298749362902 765.78395811008</t>
  </si>
  <si>
    <t>-675.302038459133 53.3816430005083 -208.211699091975</t>
  </si>
  <si>
    <t>-506.621468329288 -87.4837728444636 190.989345167239</t>
  </si>
  <si>
    <t>-512.431549230048 -21.0735791376521 655.811957527486</t>
  </si>
  <si>
    <t>-496.753657704639 -169.509162874613 748.895727375352</t>
  </si>
  <si>
    <t>9763-20170724T160542.592003100.bin</t>
  </si>
  <si>
    <t>-635.93840431016 140.571291365599 -225.556579752458</t>
  </si>
  <si>
    <t>-676.293147997704 137.287565007066 -339.699059523487</t>
  </si>
  <si>
    <t>-696.448946822987 126.141068514919 -458.695267693923</t>
  </si>
  <si>
    <t>-706.272996289857 112.626719049839 -566.934361048836</t>
  </si>
  <si>
    <t>-707.799763384237 95.6258347440632 -675.116922509533</t>
  </si>
  <si>
    <t>-701.326673781949 68.2824066718481 -824.818156426819</t>
  </si>
  <si>
    <t>-666.125572729215 36.8840050696756 -915.139799237686</t>
  </si>
  <si>
    <t>-687.220952655321 106.949985045148 -762.699177466253</t>
  </si>
  <si>
    <t>-592.526066444236 219.338573575713 -757.582636430851</t>
  </si>
  <si>
    <t>-465.24035278021 168.967589608462 -472.19286695163</t>
  </si>
  <si>
    <t>-276.092607531494 76.7972418919567 -319.321052828115</t>
  </si>
  <si>
    <t>-721.160566828326 53.8122024513232 -754.460933591714</t>
  </si>
  <si>
    <t>-595.401421718415 227.418850258117 -242.388508991864</t>
  </si>
  <si>
    <t>-599.340493166772 207.64172350761 212.859841497876</t>
  </si>
  <si>
    <t>-634.907794806156 173.366053400999 680.362618472228</t>
  </si>
  <si>
    <t>-505.184306239035 90.7850811089993 765.777549971842</t>
  </si>
  <si>
    <t>-676.357460339729 53.6884588628698 -208.114682816072</t>
  </si>
  <si>
    <t>-507.856564275289 -87.3850826336125 191.088679100877</t>
  </si>
  <si>
    <t>-513.039753662754 -21.5805171230493 655.698662328849</t>
  </si>
  <si>
    <t>-497.069162928581 -169.562071296113 749.453338033534</t>
  </si>
  <si>
    <t>9763-20170724T160542.625091300.bin</t>
  </si>
  <si>
    <t>-636.466927928687 140.622617573718 -225.653359834476</t>
  </si>
  <si>
    <t>-676.870249805761 137.348863844601 -339.778990791014</t>
  </si>
  <si>
    <t>-697.085772973693 126.226439053973 -458.76710190564</t>
  </si>
  <si>
    <t>-706.96857302682 112.737258913147 -567.004023721227</t>
  </si>
  <si>
    <t>-708.559090111163 95.7635034413104 -675.190151482623</t>
  </si>
  <si>
    <t>-702.179487569141 68.4590835571576 -824.902266571398</t>
  </si>
  <si>
    <t>-667.061750323339 37.0235724757677 -915.243549302482</t>
  </si>
  <si>
    <t>-687.981184207666 107.077347500225 -762.773833760617</t>
  </si>
  <si>
    <t>-592.990044895839 219.212536245338 -757.686016908007</t>
  </si>
  <si>
    <t>-465.058760658123 168.271137471382 -472.686451940285</t>
  </si>
  <si>
    <t>-276.120812813183 75.9174023407031 -319.665987186104</t>
  </si>
  <si>
    <t>-722.023242588176 54.0036604406419 -754.544815611564</t>
  </si>
  <si>
    <t>-595.611604598839 227.497424486888 -242.503248021143</t>
  </si>
  <si>
    <t>-599.557373203369 207.68217449348 212.743334808483</t>
  </si>
  <si>
    <t>-634.820680425821 173.33601097757 680.254308089987</t>
  </si>
  <si>
    <t>-505.059328407616 90.855435042057 765.708731144049</t>
  </si>
  <si>
    <t>-677.254817898787 53.7006816104351 -208.254312382014</t>
  </si>
  <si>
    <t>-508.821512341663 -87.5667393874319 190.909043504375</t>
  </si>
  <si>
    <t>-513.712627190406 -22.1902902302359 655.364697749984</t>
  </si>
  <si>
    <t>-497.319550261859 -169.630322391402 749.896335740607</t>
  </si>
  <si>
    <t>9763-20170724T160542.695080300.bin</t>
  </si>
  <si>
    <t>-638.128195647837 140.880711507213 -226.063578626959</t>
  </si>
  <si>
    <t>-678.621375802709 137.552009693581 -340.15577137391</t>
  </si>
  <si>
    <t>-698.979054076302 126.450691446414 -459.121714226039</t>
  </si>
  <si>
    <t>-709.013854675417 113.002555325691 -567.349683856835</t>
  </si>
  <si>
    <t>-710.780447748664 96.0870700549872 -675.542200076377</t>
  </si>
  <si>
    <t>-704.671671868507 68.8764019154628 -825.282817395633</t>
  </si>
  <si>
    <t>-669.728618820421 37.4026072747233 -915.678396583518</t>
  </si>
  <si>
    <t>-690.254092132977 107.389291093914 -763.139436504326</t>
  </si>
  <si>
    <t>-594.664237812669 219.036524142582 -758.16863630756</t>
  </si>
  <si>
    <t>-465.207861393105 166.547644796765 -474.140163270165</t>
  </si>
  <si>
    <t>-277.850316158561 72.5190791623368 -320.199232744688</t>
  </si>
  <si>
    <t>-724.495215858771 54.4431750293668 -754.915007308093</t>
  </si>
  <si>
    <t>-596.464663855098 227.998038964351 -242.984404610919</t>
  </si>
  <si>
    <t>-600.261965371112 208.044776695731 212.257427246937</t>
  </si>
  <si>
    <t>-634.400243358293 173.467675782819 679.775069601187</t>
  </si>
  <si>
    <t>-505.057558692443 90.7063110840104 765.59192312745</t>
  </si>
  <si>
    <t>-679.724451888645 53.8141901132199 -208.655114356106</t>
  </si>
  <si>
    <t>-511.45840992174 -87.1381225475627 190.690154108075</t>
  </si>
  <si>
    <t>-514.965958305081 -22.9973222730312 655.575742700321</t>
  </si>
  <si>
    <t>-497.199101597743 -169.694141753818 751.011008726697</t>
  </si>
  <si>
    <t>9763-20170724T160542.724156700.bin</t>
  </si>
  <si>
    <t>-638.842410689073 141.233873623338 -226.314270572383</t>
  </si>
  <si>
    <t>-679.303536837419 137.843800618064 -340.416042924045</t>
  </si>
  <si>
    <t>-699.699007418476 126.734330316803 -459.374723695182</t>
  </si>
  <si>
    <t>-709.79921703647 113.294630549445 -567.597681374917</t>
  </si>
  <si>
    <t>-711.663549120968 96.3999199309085 -675.791688027961</t>
  </si>
  <si>
    <t>-705.725197387429 69.2274359124758 -825.546098362227</t>
  </si>
  <si>
    <t>-670.868045869677 37.717170996995 -915.962221849647</t>
  </si>
  <si>
    <t>-691.182121747003 107.690470419803 -763.401120481188</t>
  </si>
  <si>
    <t>-595.38238617864 219.138260738233 -758.534562123801</t>
  </si>
  <si>
    <t>-465.033628314367 165.947201720084 -475.045386153342</t>
  </si>
  <si>
    <t>-279.063661538196 70.4372314056957 -320.335713531924</t>
  </si>
  <si>
    <t>-725.523288583521 54.8104374184325 -755.167844437997</t>
  </si>
  <si>
    <t>-596.913655534438 228.325297935724 -243.314291384376</t>
  </si>
  <si>
    <t>-600.629366477673 208.415125240307 211.930113186515</t>
  </si>
  <si>
    <t>-634.057512133546 173.499602473858 679.327677757769</t>
  </si>
  <si>
    <t>-505.01145977476 90.6856777521782 765.539524753447</t>
  </si>
  <si>
    <t>-680.539593196843 54.2212012688401 -208.740971138907</t>
  </si>
  <si>
    <t>-512.378108802254 -86.7199780912767 190.652275160591</t>
  </si>
  <si>
    <t>-515.140012938444 -23.0211965937772 655.90397296315</t>
  </si>
  <si>
    <t>-497.168728425092 -169.669578262946 751.375379606972</t>
  </si>
  <si>
    <t>9763-20170724T160542.795928100.bin</t>
  </si>
  <si>
    <t>-639.929633866519 142.082903592593 -226.479667826977</t>
  </si>
  <si>
    <t>-680.423953100452 138.705580377738 -340.56996181964</t>
  </si>
  <si>
    <t>-700.975129830174 127.639873162209 -459.505943011634</t>
  </si>
  <si>
    <t>-711.27006420561 114.242433186748 -567.715797310908</t>
  </si>
  <si>
    <t>-713.385056500402 97.3865860390008 -675.911279786049</t>
  </si>
  <si>
    <t>-707.855162922365 70.2584863421823 -825.689521990314</t>
  </si>
  <si>
    <t>-673.141714191273 38.6089149679406 -916.112129469585</t>
  </si>
  <si>
    <t>-693.049492786023 108.644615095613 -763.558806698779</t>
  </si>
  <si>
    <t>-596.865071661702 219.786718197381 -758.9474772731</t>
  </si>
  <si>
    <t>-465.671090604646 165.336236586031 -476.088033716799</t>
  </si>
  <si>
    <t>-281.339114830851 68.6021343725229 -320.183180939113</t>
  </si>
  <si>
    <t>-727.554410047503 55.8790874758322 -755.275808754968</t>
  </si>
  <si>
    <t>-597.91353144484 229.22133855611 -243.560740351661</t>
  </si>
  <si>
    <t>-601.37891017473 209.310813600091 211.685616442081</t>
  </si>
  <si>
    <t>-633.877013436526 173.690314257338 679.218313339655</t>
  </si>
  <si>
    <t>-504.953463569853 90.798441754233 765.53846620234</t>
  </si>
  <si>
    <t>-681.671485527759 55.056441295945 -208.606593234157</t>
  </si>
  <si>
    <t>-513.311180414968 -85.8004662665153 190.73262475908</t>
  </si>
  <si>
    <t>-515.179324752173 -22.8578749657106 656.368641416474</t>
  </si>
  <si>
    <t>-497.13420001369 -169.611108123433 751.664823592202</t>
  </si>
  <si>
    <t>9763-20170724T160542.825021900.bin</t>
  </si>
  <si>
    <t>-640.298972738995 142.403819193805 -226.428778534525</t>
  </si>
  <si>
    <t>-680.815326471631 139.061193071888 -340.512307474872</t>
  </si>
  <si>
    <t>-701.444310249256 128.022086022965 -459.437300039905</t>
  </si>
  <si>
    <t>-711.834494103581 114.640616194374 -567.640061793413</t>
  </si>
  <si>
    <t>-714.070603328716 97.7900615940157 -675.83388496874</t>
  </si>
  <si>
    <t>-708.736854521993 70.6556739379853 -825.617948907257</t>
  </si>
  <si>
    <t>-674.045092931186 38.8588881956966 -915.997351148052</t>
  </si>
  <si>
    <t>-693.811136563002 109.019949805622 -763.502624298305</t>
  </si>
  <si>
    <t>-597.495764486684 220.048839824173 -759.039113327276</t>
  </si>
  <si>
    <t>-466.313268037417 165.538841453525 -476.185879491406</t>
  </si>
  <si>
    <t>-282.45354013919 68.5955975643835 -319.853900326205</t>
  </si>
  <si>
    <t>-728.382594910174 56.3036679159277 -755.183803991805</t>
  </si>
  <si>
    <t>-598.378273143348 229.512429771544 -243.507011180535</t>
  </si>
  <si>
    <t>-601.641865974957 209.564144877749 211.739081212782</t>
  </si>
  <si>
    <t>-633.890805344813 173.742109080137 679.250764112456</t>
  </si>
  <si>
    <t>-504.907241194543 90.8836101307968 765.513298591331</t>
  </si>
  <si>
    <t>-681.937348325159 55.3901744694831 -208.47373920273</t>
  </si>
  <si>
    <t>-513.461890108328 -85.3521192390308 190.857313085854</t>
  </si>
  <si>
    <t>-515.120525996061 -22.7128280958445 656.563514664638</t>
  </si>
  <si>
    <t>-497.148208049543 -169.586721985343 751.687523625213</t>
  </si>
  <si>
    <t>9763-20170724T160542.891193400.bin</t>
  </si>
  <si>
    <t>-640.815657436048 142.940621861071 -226.067243115543</t>
  </si>
  <si>
    <t>-681.451452676132 139.72965128786 -340.112119588429</t>
  </si>
  <si>
    <t>-702.16776536282 128.732601616535 -459.025801610216</t>
  </si>
  <si>
    <t>-712.624860301315 115.347552967077 -567.221617254801</t>
  </si>
  <si>
    <t>-714.917647960209 98.4486595419771 -675.406781735662</t>
  </si>
  <si>
    <t>-709.653754002181 71.198346346838 -825.17225702814</t>
  </si>
  <si>
    <t>-674.878984319887 38.4158507394063 -915.16676311482</t>
  </si>
  <si>
    <t>-694.65654191861 109.583570887994 -763.087188402888</t>
  </si>
  <si>
    <t>-598.190956357868 220.484357893893 -758.81432451442</t>
  </si>
  <si>
    <t>-467.329750992625 166.762179645286 -475.661566421878</t>
  </si>
  <si>
    <t>-283.696061399658 69.9056754407629 -319.010533933567</t>
  </si>
  <si>
    <t>-729.309349850652 56.9277625256475 -754.724238426844</t>
  </si>
  <si>
    <t>-599.254710638005 229.914548334793 -243.145745083981</t>
  </si>
  <si>
    <t>-601.788547951295 209.671096290576 212.092133469666</t>
  </si>
  <si>
    <t>-634.047903849646 173.871119068891 679.576716177261</t>
  </si>
  <si>
    <t>-504.931430197674 90.8701427857618 765.502779463932</t>
  </si>
  <si>
    <t>-682.121429315107 56.0304977023443 -208.088843331267</t>
  </si>
  <si>
    <t>-513.442049676432 -84.6113873311008 191.191518280135</t>
  </si>
  <si>
    <t>-514.624728713993 -22.1211216097306 657.079055919464</t>
  </si>
  <si>
    <t>-496.973857797882 -169.475644140131 751.517467337346</t>
  </si>
  <si>
    <t>9763-20170724T160542.926304900.bin</t>
  </si>
  <si>
    <t>-640.930622796255 143.255880658194 -225.884046021044</t>
  </si>
  <si>
    <t>-681.683234946544 140.161782664906 -339.890489576157</t>
  </si>
  <si>
    <t>-702.472740247609 129.273970738692 -458.801348453117</t>
  </si>
  <si>
    <t>-712.976890017693 115.982631275319 -567.004283134646</t>
  </si>
  <si>
    <t>-715.297140533056 99.1715845634553 -675.202484099721</t>
  </si>
  <si>
    <t>-710.050924281953 72.0366290981153 -824.989462449094</t>
  </si>
  <si>
    <t>-675.201739447315 38.4551088351939 -914.660143759794</t>
  </si>
  <si>
    <t>-695.040975850332 110.370707895038 -762.875855159881</t>
  </si>
  <si>
    <t>-598.5390110859 221.232339105812 -758.522789187877</t>
  </si>
  <si>
    <t>-467.753692242715 167.838131346865 -475.273120285328</t>
  </si>
  <si>
    <t>-284.171714042568 70.9377957066868 -318.588543379842</t>
  </si>
  <si>
    <t>-729.703497383282 57.7152458144876 -754.550939103954</t>
  </si>
  <si>
    <t>-599.604959562193 230.162093703897 -242.936362379695</t>
  </si>
  <si>
    <t>-601.634352323203 209.867450951219 212.301694856128</t>
  </si>
  <si>
    <t>-634.086151122393 174.109369220988 679.768757177778</t>
  </si>
  <si>
    <t>-504.933820526509 90.9152061482537 765.453745696389</t>
  </si>
  <si>
    <t>-682.025960553946 56.4412785233337 -207.904396016169</t>
  </si>
  <si>
    <t>-513.266129184791 -84.1755662844305 191.350794878919</t>
  </si>
  <si>
    <t>-514.387287890708 -21.8021598761452 657.235118205605</t>
  </si>
  <si>
    <t>-496.958939486221 -169.409231782468 751.319747110384</t>
  </si>
  <si>
    <t>9763-20170724T160542.991998900.bin</t>
  </si>
  <si>
    <t>-641.542353844415 143.698752932007 -225.542737713958</t>
  </si>
  <si>
    <t>-682.516032145433 140.85712789589 -339.476510657194</t>
  </si>
  <si>
    <t>-703.446958314637 130.120245782431 -458.376337975478</t>
  </si>
  <si>
    <t>-714.046138750346 116.917953807804 -566.580691699992</t>
  </si>
  <si>
    <t>-716.429563529889 100.145593108018 -674.783616487381</t>
  </si>
  <si>
    <t>-711.239483146495 73.0098383703858 -824.572523595482</t>
  </si>
  <si>
    <t>-676.313973056666 37.5152958165834 -913.473292540021</t>
  </si>
  <si>
    <t>-696.154752738157 111.311623188583 -762.456953390699</t>
  </si>
  <si>
    <t>-599.477472347914 222.048781178067 -758.197877497519</t>
  </si>
  <si>
    <t>-469.16076025172 169.525641780133 -474.569450175043</t>
  </si>
  <si>
    <t>-285.56568872115 73.0786251234699 -317.620756604879</t>
  </si>
  <si>
    <t>-730.917047773976 58.7215889145459 -754.134180216625</t>
  </si>
  <si>
    <t>-600.535054056551 230.584667412447 -242.548795773375</t>
  </si>
  <si>
    <t>-601.528247434891 210.401525375464 212.697616217717</t>
  </si>
  <si>
    <t>-634.118238227934 174.879643459675 680.132684228263</t>
  </si>
  <si>
    <t>-504.821096225937 91.2795871852395 765.202041591972</t>
  </si>
  <si>
    <t>-682.375839839927 56.8423614665517 -207.753572668651</t>
  </si>
  <si>
    <t>-512.964093725219 -83.1561541349972 191.442789860575</t>
  </si>
  <si>
    <t>-514.285891106531 -21.5353554582498 657.243824310413</t>
  </si>
  <si>
    <t>-497.056440386379 -169.452606459193 750.876766410212</t>
  </si>
  <si>
    <t>9763-20170724T160543.024082900.bin</t>
  </si>
  <si>
    <t>-642.16605417416 143.957743485221 -225.408567613377</t>
  </si>
  <si>
    <t>-683.217649573359 141.25849999718 -339.317619016138</t>
  </si>
  <si>
    <t>-704.207065466522 130.532777207497 -458.208221931509</t>
  </si>
  <si>
    <t>-714.85269612386 117.284342921089 -566.402495264985</t>
  </si>
  <si>
    <t>-717.277574549004 100.408548391183 -674.5882509461</t>
  </si>
  <si>
    <t>-712.141713168811 73.0685893728639 -824.341932401973</t>
  </si>
  <si>
    <t>-677.376787710374 36.796509174018 -912.991462662363</t>
  </si>
  <si>
    <t>-696.984763917144 111.423240079098 -762.276605115933</t>
  </si>
  <si>
    <t>-600.163976351289 222.038691990802 -758.148840271469</t>
  </si>
  <si>
    <t>-470.252215249662 170.370006409007 -474.178050489121</t>
  </si>
  <si>
    <t>-286.822663079316 74.2138448725368 -316.857898961475</t>
  </si>
  <si>
    <t>-731.843544785923 58.908151116575 -753.884601706044</t>
  </si>
  <si>
    <t>-601.197682737957 230.860802737817 -242.333349849408</t>
  </si>
  <si>
    <t>-601.709687405927 210.666767867231 212.913375133489</t>
  </si>
  <si>
    <t>-634.258393278399 175.19356153608 680.400137065967</t>
  </si>
  <si>
    <t>-504.846264477232 91.3123322086615 765.016637291959</t>
  </si>
  <si>
    <t>-682.985977923829 57.0667889731722 -207.728995749383</t>
  </si>
  <si>
    <t>-512.948790518236 -82.5400546205703 191.338633440016</t>
  </si>
  <si>
    <t>-514.442030751257 -21.5174434587484 657.142858426131</t>
  </si>
  <si>
    <t>-497.144466432347 -169.452217661222 750.735513909351</t>
  </si>
  <si>
    <t>9763-20170724T160543.093302400.bin</t>
  </si>
  <si>
    <t>-643.614098519997 144.77443703069 -225.151871501912</t>
  </si>
  <si>
    <t>-684.622292275685 142.22831144133 -339.080228244657</t>
  </si>
  <si>
    <t>-705.568431602478 131.32375818363 -457.962113008646</t>
  </si>
  <si>
    <t>-716.180733396546 117.777182784632 -566.122659710996</t>
  </si>
  <si>
    <t>-718.582033133267 100.467387564835 -674.24048614397</t>
  </si>
  <si>
    <t>-713.428105892342 72.3833811704646 -823.855797861688</t>
  </si>
  <si>
    <t>-678.915870309188 35.033259566766 -912.155564658247</t>
  </si>
  <si>
    <t>-698.211092817026 111.002716961542 -761.969595799253</t>
  </si>
  <si>
    <t>-601.213989194176 221.43192589805 -758.350741444855</t>
  </si>
  <si>
    <t>-472.225413463598 172.262131009099 -473.516529889534</t>
  </si>
  <si>
    <t>-290.328119411762 76.0682494617542 -314.450074128818</t>
  </si>
  <si>
    <t>-733.206053254743 58.6166158334595 -753.341761533603</t>
  </si>
  <si>
    <t>-602.571633000613 231.927892083135 -241.780941125245</t>
  </si>
  <si>
    <t>-602.428988575287 211.708032716414 213.464982022017</t>
  </si>
  <si>
    <t>-634.825643094755 176.336317183195 681.253140348082</t>
  </si>
  <si>
    <t>-505.011102229295 91.5504466756804 764.337749531231</t>
  </si>
  <si>
    <t>-684.501173560484 57.6528538845405 -207.745461898336</t>
  </si>
  <si>
    <t>-513.076667940077 -81.0449531125805 191.045501931241</t>
  </si>
  <si>
    <t>-515.688803613638 -21.6629861001152 656.855322582857</t>
  </si>
  <si>
    <t>-497.295118641915 -169.249973623021 750.787660931849</t>
  </si>
  <si>
    <t>9763-20170724T160543.125387400.bin</t>
  </si>
  <si>
    <t>-644.173358778593 145.301143152068 -224.837474371896</t>
  </si>
  <si>
    <t>-685.078692235596 142.709019424117 -338.8015967582</t>
  </si>
  <si>
    <t>-705.977002613247 131.68232655977 -457.680827094219</t>
  </si>
  <si>
    <t>-716.571124601844 117.99530525109 -565.825629246689</t>
  </si>
  <si>
    <t>-718.981142221665 100.515009629346 -673.915652162902</t>
  </si>
  <si>
    <t>-713.868675477114 72.1629110697722 -823.48179537635</t>
  </si>
  <si>
    <t>-679.4000928842 34.509135528426 -911.669625249727</t>
  </si>
  <si>
    <t>-698.652079006779 110.90444465695 -761.671870569855</t>
  </si>
  <si>
    <t>-601.660654422305 221.376072953748 -758.312510839422</t>
  </si>
  <si>
    <t>-472.961318999055 173.248012369165 -473.169843472229</t>
  </si>
  <si>
    <t>-291.280853546385 77.7951641334771 -313.410626689923</t>
  </si>
  <si>
    <t>-733.609463632793 58.5112533245485 -752.935090984469</t>
  </si>
  <si>
    <t>-603.143919152276 232.690273361766 -241.196690218827</t>
  </si>
  <si>
    <t>-602.927718036973 212.326290753478 214.042850172112</t>
  </si>
  <si>
    <t>-635.523497370554 176.927757392167 682.164974606934</t>
  </si>
  <si>
    <t>-504.990258166946 91.8549553459302 763.817929038495</t>
  </si>
  <si>
    <t>-685.025191942035 57.9359419829229 -207.651284467068</t>
  </si>
  <si>
    <t>-513.187515655447 -80.0155040999032 191.220711407239</t>
  </si>
  <si>
    <t>-517.159737335404 -21.6379238281856 656.995522527022</t>
  </si>
  <si>
    <t>-497.335415720353 -168.872857028059 751.188883283954</t>
  </si>
  <si>
    <t>9763-20170724T160543.191600100.bin</t>
  </si>
  <si>
    <t>-644.33934685475 146.158228835819 -223.786139443678</t>
  </si>
  <si>
    <t>-684.754493676895 143.317474319703 -337.919117506712</t>
  </si>
  <si>
    <t>-705.387480959088 132.009092194848 -456.818214138759</t>
  </si>
  <si>
    <t>-715.841681832695 118.056744781655 -564.942490206608</t>
  </si>
  <si>
    <t>-718.2156149043 100.300283914934 -672.988422957264</t>
  </si>
  <si>
    <t>-713.163069090009 71.5530497029677 -822.481124766626</t>
  </si>
  <si>
    <t>-678.672808130823 33.6919663738793 -910.571793614612</t>
  </si>
  <si>
    <t>-698.075300298764 110.555609853506 -760.803926657203</t>
  </si>
  <si>
    <t>-601.642848490102 221.546316339476 -758.016356844986</t>
  </si>
  <si>
    <t>-473.024907496696 175.011132950905 -472.572633183608</t>
  </si>
  <si>
    <t>-291.862270056716 80.2871382504711 -311.794857351179</t>
  </si>
  <si>
    <t>-732.721957374079 57.9900906728003 -751.866700695259</t>
  </si>
  <si>
    <t>-603.982424921329 234.090803468555 -239.653667675975</t>
  </si>
  <si>
    <t>-603.610059345094 213.271206773662 215.565086265715</t>
  </si>
  <si>
    <t>-636.609714980856 177.920480243495 683.679843451705</t>
  </si>
  <si>
    <t>-504.869382503149 92.2694859196779 762.74882824663</t>
  </si>
  <si>
    <t>-684.351175189074 58.2758359584291 -207.148224731012</t>
  </si>
  <si>
    <t>-512.346177626379 -77.0194962984638 192.560522392391</t>
  </si>
  <si>
    <t>-522.100634459456 -21.0100112148382 658.226446830632</t>
  </si>
  <si>
    <t>-497.386110143589 -167.360601242716 752.641506599909</t>
  </si>
  <si>
    <t>9763-20170724T160543.225690100.bin</t>
  </si>
  <si>
    <t>-644.128325838919 146.449349171802 -223.218854342376</t>
  </si>
  <si>
    <t>-684.326533481962 143.412968425203 -337.42336403208</t>
  </si>
  <si>
    <t>-704.859438535343 131.943798574432 -456.324231863021</t>
  </si>
  <si>
    <t>-715.275017589444 117.859422218972 -564.435271507436</t>
  </si>
  <si>
    <t>-717.664257244156 99.9824585324038 -672.460988849688</t>
  </si>
  <si>
    <t>-712.690582688303 71.0778012867663 -821.926076498901</t>
  </si>
  <si>
    <t>-678.209363116235 33.2438482071625 -910.031753466726</t>
  </si>
  <si>
    <t>-697.695604865713 110.224127254564 -760.317322770492</t>
  </si>
  <si>
    <t>-601.803695220908 221.695114526425 -757.789555621096</t>
  </si>
  <si>
    <t>-472.943025080787 175.834191351362 -472.346215284112</t>
  </si>
  <si>
    <t>-291.690357689811 81.4535088466139 -311.468048387823</t>
  </si>
  <si>
    <t>-732.086929011857 57.5103405601471 -751.267616599645</t>
  </si>
  <si>
    <t>-604.384138483388 234.647767894225 -239.033585791226</t>
  </si>
  <si>
    <t>-603.977914831348 213.610345180467 216.175007483452</t>
  </si>
  <si>
    <t>-636.837060015908 178.138038718594 684.084398927046</t>
  </si>
  <si>
    <t>-504.769288721654 92.2887988744642 762.388426264061</t>
  </si>
  <si>
    <t>-683.665852905976 58.2776383232826 -206.74659752278</t>
  </si>
  <si>
    <t>-511.383867222653 -75.0644481039485 193.498954885236</t>
  </si>
  <si>
    <t>-524.858445473799 -20.4334639260176 659.164317993596</t>
  </si>
  <si>
    <t>-497.062225263559 -166.306929231029 753.460674181298</t>
  </si>
  <si>
    <t>9763-20170724T160543.290886900.bin</t>
  </si>
  <si>
    <t>-643.720948754646 146.5735266695 -222.387144771219</t>
  </si>
  <si>
    <t>-683.543097300888 143.04383645729 -336.709374041722</t>
  </si>
  <si>
    <t>-703.883428830336 131.281204664702 -455.61457188069</t>
  </si>
  <si>
    <t>-714.206866681781 117.006848253459 -563.709653776913</t>
  </si>
  <si>
    <t>-716.590123507984 99.0081442979274 -671.715258500912</t>
  </si>
  <si>
    <t>-711.699651523905 69.999766890103 -821.162933054484</t>
  </si>
  <si>
    <t>-677.27150838857 32.5290393015314 -909.444476897266</t>
  </si>
  <si>
    <t>-696.969658926831 109.373679449387 -759.635391881743</t>
  </si>
  <si>
    <t>-602.233610591342 221.834762751074 -757.591493985158</t>
  </si>
  <si>
    <t>-472.346471666192 177.491736271871 -472.373680486301</t>
  </si>
  <si>
    <t>-290.369396341744 84.0087100401915 -311.789301547459</t>
  </si>
  <si>
    <t>-730.757461509164 56.2964035739701 -750.438454265011</t>
  </si>
  <si>
    <t>-605.578915198385 235.297320247163 -238.460628198181</t>
  </si>
  <si>
    <t>-605.175721123573 214.330910396768 216.751285693713</t>
  </si>
  <si>
    <t>-636.746982490228 177.713676946644 684.055987557929</t>
  </si>
  <si>
    <t>-504.076788740399 92.7138976112731 762.268320370857</t>
  </si>
  <si>
    <t>-681.740111050511 57.8643947049704 -205.998931143504</t>
  </si>
  <si>
    <t>-508.2940145763 -71.918667528731 194.913116067781</t>
  </si>
  <si>
    <t>-528.798924832025 -19.5344783076066 660.627651343326</t>
  </si>
  <si>
    <t>-496.136507615467 -164.535705100526 754.70908486162</t>
  </si>
  <si>
    <t>9763-20170724T160543.327985100.bin</t>
  </si>
  <si>
    <t>-643.51845475879 146.583976695213 -222.219573192503</t>
  </si>
  <si>
    <t>-683.300339273467 142.745623415428 -336.545754187248</t>
  </si>
  <si>
    <t>-703.61859488831 130.81683626765 -455.438259245371</t>
  </si>
  <si>
    <t>-713.930930440837 116.445156766319 -563.521456538227</t>
  </si>
  <si>
    <t>-716.313254766596 98.3973896427574 -671.518931779871</t>
  </si>
  <si>
    <t>-711.433228759149 69.366754196539 -820.962521247174</t>
  </si>
  <si>
    <t>-677.026368464277 32.1125656095689 -909.344031094633</t>
  </si>
  <si>
    <t>-696.846818152498 108.839655222116 -759.464268773128</t>
  </si>
  <si>
    <t>-602.79083132088 221.862590411723 -757.534459943565</t>
  </si>
  <si>
    <t>-471.938681056814 178.366336006753 -472.62761834099</t>
  </si>
  <si>
    <t>-289.426700416109 85.7198887074658 -312.165436245152</t>
  </si>
  <si>
    <t>-730.338100293795 55.58423914322 -750.21261948421</t>
  </si>
  <si>
    <t>-606.104253903098 235.69322420731 -238.489262794858</t>
  </si>
  <si>
    <t>-605.784495333759 214.964297775928 216.733575517184</t>
  </si>
  <si>
    <t>-636.555679386233 177.645216527789 683.961155798698</t>
  </si>
  <si>
    <t>-503.990552261009 92.6674744926663 762.375343848567</t>
  </si>
  <si>
    <t>-680.950041524782 57.4921323827209 -205.614130380817</t>
  </si>
  <si>
    <t>-506.279029547397 -71.1092084351592 195.146910157151</t>
  </si>
  <si>
    <t>-529.879728135748 -19.5227363304234 660.886461811519</t>
  </si>
  <si>
    <t>-495.737211490733 -164.166003735043 754.993396672266</t>
  </si>
  <si>
    <t>9763-20170724T160543.390212200.bin</t>
  </si>
  <si>
    <t>-642.286713353642 145.788595215372 -222.35572512097</t>
  </si>
  <si>
    <t>-682.110224348434 141.209024370636 -336.640119856413</t>
  </si>
  <si>
    <t>-702.444572577981 129.078549134136 -455.509544860607</t>
  </si>
  <si>
    <t>-712.756966805265 114.735064921427 -563.596360760233</t>
  </si>
  <si>
    <t>-715.123218629302 96.9168323843683 -671.632379067684</t>
  </si>
  <si>
    <t>-710.201431041717 68.4070733596079 -821.174815073824</t>
  </si>
  <si>
    <t>-675.707500433036 31.9127956364864 -909.838897430008</t>
  </si>
  <si>
    <t>-695.976449274765 107.870036926168 -759.585617024411</t>
  </si>
  <si>
    <t>-603.165022423397 221.9119374167 -757.599807940669</t>
  </si>
  <si>
    <t>-470.328893690632 179.618169578164 -473.430898636837</t>
  </si>
  <si>
    <t>-287.053796345487 88.1353632826269 -313.171139251865</t>
  </si>
  <si>
    <t>-728.781937475595 54.17341847895 -750.428166460816</t>
  </si>
  <si>
    <t>-606.379203479693 235.61091901542 -238.80411418053</t>
  </si>
  <si>
    <t>-606.376783326739 215.526860633453 216.447669889303</t>
  </si>
  <si>
    <t>-636.083935913997 177.238796721417 683.614578623908</t>
  </si>
  <si>
    <t>-503.366496955955 93.0144399333376 762.581994066457</t>
  </si>
  <si>
    <t>-678.084318804886 55.774112332603 -205.462112492153</t>
  </si>
  <si>
    <t>-501.587961593096 -70.302800652807 195.301320598608</t>
  </si>
  <si>
    <t>-530.932813656439 -19.7685365262848 660.996489937575</t>
  </si>
  <si>
    <t>-495.192449800054 -163.967347728415 755.192095243446</t>
  </si>
  <si>
    <t>9763-20170724T160543.428325600.bin</t>
  </si>
  <si>
    <t>-641.221878966263 145.286875693487 -222.662862379975</t>
  </si>
  <si>
    <t>-681.08153130713 140.435638867575 -336.923417640031</t>
  </si>
  <si>
    <t>-701.495253942808 128.267984632678 -455.775355013403</t>
  </si>
  <si>
    <t>-711.893521872004 113.986542352628 -563.86227320855</t>
  </si>
  <si>
    <t>-714.357615001898 96.3241330553051 -671.921524564033</t>
  </si>
  <si>
    <t>-709.581632514003 68.1270194540175 -821.528077447223</t>
  </si>
  <si>
    <t>-675.077329229061 32.0532333552183 -910.360034530189</t>
  </si>
  <si>
    <t>-695.501900195933 107.580692415982 -759.899366493389</t>
  </si>
  <si>
    <t>-603.463974723377 222.257364908456 -757.889318698678</t>
  </si>
  <si>
    <t>-469.766639385877 180.158100771709 -474.095524880334</t>
  </si>
  <si>
    <t>-286.138185278936 89.2542116479624 -313.910995584207</t>
  </si>
  <si>
    <t>-727.887812752777 53.6260422060652 -750.764206470306</t>
  </si>
  <si>
    <t>-606.194748153064 235.504390816569 -239.130700449826</t>
  </si>
  <si>
    <t>-606.098479187573 215.32241578556 216.116834689429</t>
  </si>
  <si>
    <t>-635.791727311456 177.056065750953 683.299657210803</t>
  </si>
  <si>
    <t>-503.145712762943 93.0814393233707 762.652074833466</t>
  </si>
  <si>
    <t>-676.005823940276 55.0110862647014 -205.75742089379</t>
  </si>
  <si>
    <t>-499.258029578403 -69.9164263980642 195.255009783461</t>
  </si>
  <si>
    <t>-531.165488945578 -19.8396356618484 660.908114587537</t>
  </si>
  <si>
    <t>-494.936418743381 -163.877286072076 755.163707463946</t>
  </si>
  <si>
    <t>9763-20170724T160543.504139300.bin</t>
  </si>
  <si>
    <t>-638.753158693084 144.549744824449 -223.618226899116</t>
  </si>
  <si>
    <t>-678.650837264393 139.304907516261 -337.848234696311</t>
  </si>
  <si>
    <t>-699.338637071812 127.09236042297 -456.648079787372</t>
  </si>
  <si>
    <t>-710.076062163619 112.916090364538 -564.715695621534</t>
  </si>
  <si>
    <t>-712.966804256728 95.5031955500608 -672.804983612269</t>
  </si>
  <si>
    <t>-708.86932351635 67.802218380818 -822.524320167296</t>
  </si>
  <si>
    <t>-674.500284874391 32.5634762314423 -911.742878031929</t>
  </si>
  <si>
    <t>-694.903021948806 107.274211255135 -760.881585311694</t>
  </si>
  <si>
    <t>-604.357514527012 223.120377166475 -758.995044760915</t>
  </si>
  <si>
    <t>-469.484654854856 181.202746206558 -475.731209038259</t>
  </si>
  <si>
    <t>-285.371034494307 91.0403592097648 -315.68436652986</t>
  </si>
  <si>
    <t>-726.461728526866 52.8437658385014 -751.674522459157</t>
  </si>
  <si>
    <t>-605.305943826147 235.269104816337 -239.932230528427</t>
  </si>
  <si>
    <t>-604.665667510914 214.522093040672 215.289563004418</t>
  </si>
  <si>
    <t>-635.042812381233 176.658410709698 682.492126353822</t>
  </si>
  <si>
    <t>-502.465856869331 93.477960398752 762.790775100424</t>
  </si>
  <si>
    <t>-672.046094010963 53.815910156796 -206.684059830591</t>
  </si>
  <si>
    <t>-495.315090255811 -69.145443777162 194.942997889611</t>
  </si>
  <si>
    <t>-531.183262634114 -19.9173940568796 660.505198631264</t>
  </si>
  <si>
    <t>-494.377287596832 -163.686303880955 754.94729004905</t>
  </si>
  <si>
    <t>9763-20170724T160543.528204100.bin</t>
  </si>
  <si>
    <t>-637.327713513972 144.236449850876 -224.103171785343</t>
  </si>
  <si>
    <t>-677.180405276569 138.807162023573 -338.340267544079</t>
  </si>
  <si>
    <t>-698.00500954028 126.5762560422 -457.114357732688</t>
  </si>
  <si>
    <t>-708.939332141337 112.452649474797 -565.169048242303</t>
  </si>
  <si>
    <t>-712.098963193609 95.1606473390207 -673.270096836004</t>
  </si>
  <si>
    <t>-708.447369645529 67.6984152187747 -823.045048200725</t>
  </si>
  <si>
    <t>-674.223104027188 32.8457749419338 -912.470915840572</t>
  </si>
  <si>
    <t>-694.472648438073 107.16920320678 -761.40343340239</t>
  </si>
  <si>
    <t>-604.603022491506 223.553073068766 -759.600481909672</t>
  </si>
  <si>
    <t>-469.143281303122 181.662629444765 -476.612809063409</t>
  </si>
  <si>
    <t>-284.938917409259 91.7867995750232 -316.509299756699</t>
  </si>
  <si>
    <t>-725.653497340578 52.5300326910249 -752.145220531376</t>
  </si>
  <si>
    <t>-604.595305964311 235.140727258009 -240.352544028349</t>
  </si>
  <si>
    <t>-603.933983072001 214.226053285263 214.861549694158</t>
  </si>
  <si>
    <t>-634.683704632776 176.529892431714 682.110742751623</t>
  </si>
  <si>
    <t>-502.076126842965 93.7795735709858 762.802290294491</t>
  </si>
  <si>
    <t>-669.913072934596 53.3135984248343 -207.173353486914</t>
  </si>
  <si>
    <t>-493.423521061651 -69.0775042604309 194.734001800249</t>
  </si>
  <si>
    <t>-531.095564802983 -19.9344708667988 660.226116262178</t>
  </si>
  <si>
    <t>-494.286338684704 -163.637934561134 754.766562763897</t>
  </si>
  <si>
    <t>9763-20170724T160543.593960200.bin</t>
  </si>
  <si>
    <t>-634.74330043658 144.005650606891 -224.715849143703</t>
  </si>
  <si>
    <t>-674.22259336348 137.985133337027 -339.052786258433</t>
  </si>
  <si>
    <t>-695.027721294476 125.516820430006 -457.805755639754</t>
  </si>
  <si>
    <t>-706.088636215222 111.329619492225 -565.839197576198</t>
  </si>
  <si>
    <t>-709.516692940419 94.12595335438 -673.946218753315</t>
  </si>
  <si>
    <t>-706.381813587484 66.9447061561814 -823.784016087469</t>
  </si>
  <si>
    <t>-672.408160903316 32.7815950830545 -913.570818806293</t>
  </si>
  <si>
    <t>-692.551821669286 106.493325724698 -762.159526202009</t>
  </si>
  <si>
    <t>-604.107357826636 223.940083406895 -760.345185927708</t>
  </si>
  <si>
    <t>-466.997744595504 182.169480858058 -478.1354148692</t>
  </si>
  <si>
    <t>-282.5042382818 92.8562052047075 -318.050121771495</t>
  </si>
  <si>
    <t>-722.985901783525 51.4498941822901 -752.811240771628</t>
  </si>
  <si>
    <t>-603.10034098861 235.284988041582 -240.930444716775</t>
  </si>
  <si>
    <t>-603.035766675205 214.362682285725 214.283733120102</t>
  </si>
  <si>
    <t>-634.060692379614 176.422345888652 681.547678633352</t>
  </si>
  <si>
    <t>-501.469857565031 94.1882341810247 762.792579865869</t>
  </si>
  <si>
    <t>-666.302399766557 52.8197709932949 -207.74356620619</t>
  </si>
  <si>
    <t>-490.204472451335 -68.9630555391684 194.520248303098</t>
  </si>
  <si>
    <t>-531.008590864731 -19.8013913560117 659.838058109</t>
  </si>
  <si>
    <t>-493.960964995912 -163.464915782724 754.346114724179</t>
  </si>
  <si>
    <t>9763-20170724T160543.626046600.bin</t>
  </si>
  <si>
    <t>-633.354634429535 143.767836180734 -224.983869058268</t>
  </si>
  <si>
    <t>-672.676473911589 137.393038375787 -339.355779738766</t>
  </si>
  <si>
    <t>-693.483763421839 124.857831956917 -458.101298056481</t>
  </si>
  <si>
    <t>-704.610184799254 110.727715378556 -566.135555126337</t>
  </si>
  <si>
    <t>-708.16577278215 93.6967226689505 -674.265794167047</t>
  </si>
  <si>
    <t>-705.269902190966 66.8743548123139 -824.173033333916</t>
  </si>
  <si>
    <t>-671.397820497754 33.1397997611207 -914.160039501947</t>
  </si>
  <si>
    <t>-691.525660122214 106.372554409541 -762.49727652725</t>
  </si>
  <si>
    <t>-603.795810246767 224.382436073998 -760.542689664565</t>
  </si>
  <si>
    <t>-465.6963743862 182.472411756227 -478.836576410788</t>
  </si>
  <si>
    <t>-280.70294661231 93.6003996950421 -319.082899843439</t>
  </si>
  <si>
    <t>-721.576874879084 51.1122111769441 -753.190307343774</t>
  </si>
  <si>
    <t>-602.322863022074 235.23704622885 -241.258656455226</t>
  </si>
  <si>
    <t>-602.668045824075 214.584882739528 213.967704154504</t>
  </si>
  <si>
    <t>-633.641673860461 176.388562202283 681.108243754853</t>
  </si>
  <si>
    <t>-501.002580724364 94.5831626555964 762.70639284989</t>
  </si>
  <si>
    <t>-664.248010928146 52.3090856901515 -207.993181844429</t>
  </si>
  <si>
    <t>-488.574142758932 -68.8464637024026 194.645233281607</t>
  </si>
  <si>
    <t>-531.008993293751 -19.5699244945854 659.813376565984</t>
  </si>
  <si>
    <t>-493.914309207741 -163.386917267409 754.069234359789</t>
  </si>
  <si>
    <t>9763-20170724T160543.689785000.bin</t>
  </si>
  <si>
    <t>-630.339195491597 143.333140668035 -225.621474981618</t>
  </si>
  <si>
    <t>-669.409376981046 136.221773110879 -340.03624709723</t>
  </si>
  <si>
    <t>-690.182959444329 123.494708191231 -458.767263229139</t>
  </si>
  <si>
    <t>-701.364135514111 109.412225597693 -566.802113877732</t>
  </si>
  <si>
    <t>-705.056574902184 92.6458310328319 -674.969096408209</t>
  </si>
  <si>
    <t>-702.431988897718 66.4133553525653 -824.985721679503</t>
  </si>
  <si>
    <t>-668.636606168356 33.4395507700356 -915.282831623611</t>
  </si>
  <si>
    <t>-688.975546885039 105.874903271599 -763.223016996345</t>
  </si>
  <si>
    <t>-602.877886581654 225.049388701268 -761.021612381736</t>
  </si>
  <si>
    <t>-463.024219495187 182.806162619449 -480.232238556313</t>
  </si>
  <si>
    <t>-277.077872309347 94.4904951688973 -321.278321255849</t>
  </si>
  <si>
    <t>-718.210986036123 50.1659707313988 -753.992982023138</t>
  </si>
  <si>
    <t>-600.809206708141 235.235521329784 -242.025292462999</t>
  </si>
  <si>
    <t>-601.856292261674 214.820140235513 213.210711491648</t>
  </si>
  <si>
    <t>-632.755167890381 176.154174301431 680.219336170084</t>
  </si>
  <si>
    <t>-500.184546278286 95.1746974803634 762.747317939338</t>
  </si>
  <si>
    <t>-659.69702958756 51.4673945441316 -208.589103133972</t>
  </si>
  <si>
    <t>-484.879337732205 -68.212960845507 194.862379754635</t>
  </si>
  <si>
    <t>-531.708771831417 -19.12941614135 659.792474604911</t>
  </si>
  <si>
    <t>-493.796237406463 -163.221454021116 753.299895967974</t>
  </si>
  <si>
    <t>9763-20170724T160543.722875300.bin</t>
  </si>
  <si>
    <t>-628.999402632446 143.100302565636 -226.077350517233</t>
  </si>
  <si>
    <t>-668.058165365805 135.708673290812 -340.478287865547</t>
  </si>
  <si>
    <t>-688.840003706899 122.924741457578 -459.201884755335</t>
  </si>
  <si>
    <t>-700.033434513606 108.881755134408 -567.240448094271</t>
  </si>
  <si>
    <t>-703.741116828237 92.244083834694 -675.42677923677</t>
  </si>
  <si>
    <t>-701.138328568476 66.2826498605884 -825.491045523194</t>
  </si>
  <si>
    <t>-667.329890736782 33.6952502303675 -915.923402511355</t>
  </si>
  <si>
    <t>-687.89330401265 105.743433918601 -763.682081133994</t>
  </si>
  <si>
    <t>-602.599579082142 225.518964630735 -761.291805721893</t>
  </si>
  <si>
    <t>-461.687097494073 183.329729710261 -481.024218388845</t>
  </si>
  <si>
    <t>-275.362029920618 95.2716659643688 -322.371206401208</t>
  </si>
  <si>
    <t>-716.686586526389 49.7962129767614 -754.502487571143</t>
  </si>
  <si>
    <t>-465.743986154429 2.1069890604731 -369.623574909901</t>
  </si>
  <si>
    <t>-600.18093726799 235.214000599596 -242.555971456441</t>
  </si>
  <si>
    <t>-601.317441409116 214.728753421793 212.676676452876</t>
  </si>
  <si>
    <t>-632.268056289692 175.917707774905 679.555304566054</t>
  </si>
  <si>
    <t>-499.750853251613 95.5149513810418 762.730428337116</t>
  </si>
  <si>
    <t>-657.712562550593 51.0398434331369 -208.951078229895</t>
  </si>
  <si>
    <t>-482.845394233908 -67.9327134142243 194.68818851611</t>
  </si>
  <si>
    <t>-532.316568856801 -19.1261882031013 659.419019140304</t>
  </si>
  <si>
    <t>-493.563042917711 -163.136159193908 752.707850115246</t>
  </si>
  <si>
    <t>9763-20170724T160543.795069900.bin</t>
  </si>
  <si>
    <t>-626.284018625461 142.501125082958 -226.872120938124</t>
  </si>
  <si>
    <t>-665.312608880726 134.57726978915 -341.247679848841</t>
  </si>
  <si>
    <t>-686.056863754427 121.672808810195 -459.964638188269</t>
  </si>
  <si>
    <t>-697.208364099976 107.683018937765 -568.014518005294</t>
  </si>
  <si>
    <t>-700.864199077339 91.2539992285015 -676.23463432287</t>
  </si>
  <si>
    <t>-698.176432852807 65.7394415543658 -826.373869765832</t>
  </si>
  <si>
    <t>-664.371877248816 33.9938439961211 -917.106680561327</t>
  </si>
  <si>
    <t>-685.39087303213 105.223486700157 -764.48295184395</t>
  </si>
  <si>
    <t>-601.827046842348 226.181777378755 -761.871966828141</t>
  </si>
  <si>
    <t>-459.224029670073 184.133611397989 -482.439446270623</t>
  </si>
  <si>
    <t>-272.335252416491 96.5984738774005 -324.160515999634</t>
  </si>
  <si>
    <t>-713.340429256501 48.8342772431611 -755.400612739391</t>
  </si>
  <si>
    <t>-461.735959527219 2.80821927023999 -370.370634506451</t>
  </si>
  <si>
    <t>-599.029776529149 235.067031751278 -243.159467519034</t>
  </si>
  <si>
    <t>-600.149578331223 214.265348415594 212.058878880478</t>
  </si>
  <si>
    <t>-631.862801831425 175.288022574272 679.145597829244</t>
  </si>
  <si>
    <t>-498.944829358204 96.1561088846674 762.897966109463</t>
  </si>
  <si>
    <t>-653.405549850416 49.9216814165356 -209.775476798636</t>
  </si>
  <si>
    <t>-478.388341894837 -67.3342705230732 194.300845010512</t>
  </si>
  <si>
    <t>-534.178769063183 -19.530305737233 658.448030256986</t>
  </si>
  <si>
    <t>-493.233541299195 -163.041907785747 751.568540972644</t>
  </si>
  <si>
    <t>9763-20170724T160543.845205300.bin</t>
  </si>
  <si>
    <t>-624.512742629038 141.76771901785 -227.394326707821</t>
  </si>
  <si>
    <t>-663.470296777316 133.487771225857 -341.769050763714</t>
  </si>
  <si>
    <t>-684.081891076052 120.473456406021 -460.4970042236</t>
  </si>
  <si>
    <t>-695.086585466983 106.476141584966 -568.560993690881</t>
  </si>
  <si>
    <t>-698.569084514637 90.1237757747761 -676.798323854341</t>
  </si>
  <si>
    <t>-695.612986372096 64.7973520429314 -826.964357265882</t>
  </si>
  <si>
    <t>-662.241422300234 34.1069994504251 -918.219127271804</t>
  </si>
  <si>
    <t>-683.226341314609 104.34019271764 -765.030145949931</t>
  </si>
  <si>
    <t>-600.757717498349 226.082329647543 -762.282488989956</t>
  </si>
  <si>
    <t>-457.382257919091 184.793595191071 -483.132041607357</t>
  </si>
  <si>
    <t>-270.328106372161 97.0571462876483 -325.160283634564</t>
  </si>
  <si>
    <t>-710.615697607343 47.6667051550162 -756.011024763599</t>
  </si>
  <si>
    <t>-458.098051273687 0.344689145065786 -370.336201470702</t>
  </si>
  <si>
    <t>-598.408928709562 234.713739216821 -243.618131517175</t>
  </si>
  <si>
    <t>-599.714957479069 213.646340042029 211.587367508887</t>
  </si>
  <si>
    <t>-631.460463344056 174.3218621444 678.47263655163</t>
  </si>
  <si>
    <t>-498.254521816606 96.5293939196704 763.018592784278</t>
  </si>
  <si>
    <t>-650.501042526867 48.8505853412748 -210.378459000417</t>
  </si>
  <si>
    <t>-475.300212607474 -66.3115114876978 194.220141669358</t>
  </si>
  <si>
    <t>-537.144337040744 -20.24475784473 657.803165128362</t>
  </si>
  <si>
    <t>-492.886525811549 -162.917012554509 750.697670676622</t>
  </si>
  <si>
    <t>9763-20170724T160543.889831900.bin</t>
  </si>
  <si>
    <t>-622.895347728533 140.8924434756 -227.909708132815</t>
  </si>
  <si>
    <t>-661.862601900556 132.100766184971 -342.242827136901</t>
  </si>
  <si>
    <t>-682.347005776146 118.859319827181 -460.967847446122</t>
  </si>
  <si>
    <t>-693.177628441305 104.761990739555 -569.03645529134</t>
  </si>
  <si>
    <t>-696.42668526597 88.4063626227558 -677.280518871838</t>
  </si>
  <si>
    <t>-693.084019681401 63.1695412576375 -827.453450255963</t>
  </si>
  <si>
    <t>-660.542112902634 33.9312419474932 -919.481486757199</t>
  </si>
  <si>
    <t>-681.128554865141 102.800984730198 -765.491184959705</t>
  </si>
  <si>
    <t>-599.882411668473 225.306299841174 -762.621208708091</t>
  </si>
  <si>
    <t>-456.189506120464 185.274495777243 -483.450958814203</t>
  </si>
  <si>
    <t>-268.948241103695 97.3294981560537 -325.817134827263</t>
  </si>
  <si>
    <t>-707.997520119817 45.871140975207 -756.522109827476</t>
  </si>
  <si>
    <t>-597.81516869433 234.05645584233 -243.989132341092</t>
  </si>
  <si>
    <t>-599.093829019185 213.185918940126 211.22557171327</t>
  </si>
  <si>
    <t>-631.306864350113 173.681754531542 678.237327004236</t>
  </si>
  <si>
    <t>-497.644581122859 97.0344160221007 763.108365665968</t>
  </si>
  <si>
    <t>-647.84147879854 47.6853433873482 -210.865324888833</t>
  </si>
  <si>
    <t>-472.620282512419 -64.7585815784132 194.488303485699</t>
  </si>
  <si>
    <t>-540.897126202446 -21.1505106599982 657.415901769694</t>
  </si>
  <si>
    <t>-492.430036526247 -162.71623678369 749.901536976781</t>
  </si>
  <si>
    <t>9763-20170724T160543.927932900.bin</t>
  </si>
  <si>
    <t>-622.074658040278 140.343617498308 -228.173075855045</t>
  </si>
  <si>
    <t>-661.000479938337 131.32375127102 -342.502499644175</t>
  </si>
  <si>
    <t>-681.390105089745 118.038004623138 -461.238791694888</t>
  </si>
  <si>
    <t>-692.110702898504 103.97195892474 -569.322393176356</t>
  </si>
  <si>
    <t>-695.224614893966 87.7152506809948 -677.585445476909</t>
  </si>
  <si>
    <t>-691.666872399353 62.6838531766057 -827.787890212093</t>
  </si>
  <si>
    <t>-659.702482477019 34.5339922412918 -920.355883145972</t>
  </si>
  <si>
    <t>-679.997747215314 102.319954655211 -765.773947255201</t>
  </si>
  <si>
    <t>-599.617986882704 225.399894958368 -762.832988148312</t>
  </si>
  <si>
    <t>-456.030830879676 185.994336025395 -483.519283237741</t>
  </si>
  <si>
    <t>-269.086325775572 97.7590059426884 -325.695604452735</t>
  </si>
  <si>
    <t>-706.484323205009 45.1990560274469 -756.88211331092</t>
  </si>
  <si>
    <t>-597.714449333777 233.749400328067 -244.202760466758</t>
  </si>
  <si>
    <t>-599.022091277428 212.703311338225 211.003863054047</t>
  </si>
  <si>
    <t>-631.163544558758 172.876283490162 677.798384828025</t>
  </si>
  <si>
    <t>-497.341303944984 97.1356852262541 763.229548480601</t>
  </si>
  <si>
    <t>-646.335021499168 46.9464271937604 -211.231647512908</t>
  </si>
  <si>
    <t>-470.906452021796 -63.7135522798339 194.523010608993</t>
  </si>
  <si>
    <t>-543.002452927235 -21.7146694253047 657.064884010868</t>
  </si>
  <si>
    <t>-492.125006853751 -162.575789915173 749.331548501858</t>
  </si>
  <si>
    <t>9763-20170724T160543.993625900.bin</t>
  </si>
  <si>
    <t>-620.271370214517 139.672240019219 -228.666758256504</t>
  </si>
  <si>
    <t>-659.062637373848 130.249131424661 -343.009489040924</t>
  </si>
  <si>
    <t>-679.171164136437 116.837180304218 -461.779402291449</t>
  </si>
  <si>
    <t>-689.572806104265 102.76977647985 -569.894153435787</t>
  </si>
  <si>
    <t>-692.301006150463 86.6217579291178 -678.183722221584</t>
  </si>
  <si>
    <t>-688.136122786144 61.8541702319267 -828.414310867661</t>
  </si>
  <si>
    <t>-656.862707178605 35.6153970582811 -921.776387333389</t>
  </si>
  <si>
    <t>-677.140176250493 101.567019438453 -766.326547606722</t>
  </si>
  <si>
    <t>-598.726761500867 225.909746783508 -763.162969016576</t>
  </si>
  <si>
    <t>-456.799733254709 186.678631201183 -482.977755177595</t>
  </si>
  <si>
    <t>-271.306052017542 96.9897302123518 -324.263944112216</t>
  </si>
  <si>
    <t>-702.817784367786 44.059040916356 -757.557385515961</t>
  </si>
  <si>
    <t>-450.902406800667 0.920978218277469 -370.342313011139</t>
  </si>
  <si>
    <t>-597.325592143987 233.397780869374 -244.551826437668</t>
  </si>
  <si>
    <t>-598.451849011891 211.891383391493 210.633671597844</t>
  </si>
  <si>
    <t>-631.11494738694 172.217389459651 677.681579759869</t>
  </si>
  <si>
    <t>-496.851033365891 97.5516531767194 763.365584362068</t>
  </si>
  <si>
    <t>-642.975934493988 46.1025094615416 -211.891858859608</t>
  </si>
  <si>
    <t>-467.330539957112 -62.3596462313058 194.362136287319</t>
  </si>
  <si>
    <t>-545.412283416937 -23.0248262891089 655.948647203104</t>
  </si>
  <si>
    <t>-491.419120923109 -162.793346299975 748.10625463591</t>
  </si>
  <si>
    <t>9763-20170724T160544.027716600.bin</t>
  </si>
  <si>
    <t>-619.143939177713 139.421114521735 -228.880423445176</t>
  </si>
  <si>
    <t>-657.815172302444 129.806271535297 -343.247653903791</t>
  </si>
  <si>
    <t>-677.726636968651 116.394547981217 -462.051094040453</t>
  </si>
  <si>
    <t>-687.915311831449 102.407699855796 -570.196390666131</t>
  </si>
  <si>
    <t>-690.393541694113 86.4211125109523 -678.515984646168</t>
  </si>
  <si>
    <t>-685.841077783498 61.9623240321725 -828.785981961215</t>
  </si>
  <si>
    <t>-654.655330980165 36.5554336619066 -922.407099669641</t>
  </si>
  <si>
    <t>-675.233798447742 101.645116794828 -766.611206171278</t>
  </si>
  <si>
    <t>-597.749958339105 226.553100139457 -763.191058368631</t>
  </si>
  <si>
    <t>-457.022172371635 187.017945414744 -482.444089985149</t>
  </si>
  <si>
    <t>-272.863171458392 95.6048812068507 -323.160768392739</t>
  </si>
  <si>
    <t>-700.476952016622 43.9241019033304 -757.981047615366</t>
  </si>
  <si>
    <t>-449.175239510912 2.3396037332916 -369.902265000752</t>
  </si>
  <si>
    <t>-596.943775392947 233.212020327074 -244.637240823336</t>
  </si>
  <si>
    <t>-598.177804327346 211.732687536835 210.549285246871</t>
  </si>
  <si>
    <t>-631.093596734144 171.963881262801 677.568193596107</t>
  </si>
  <si>
    <t>-496.667823753691 97.6982642577823 763.346025606764</t>
  </si>
  <si>
    <t>-641.067158989145 45.7063480105176 -212.271993106702</t>
  </si>
  <si>
    <t>-465.387014783425 -62.0752353246924 194.148117262763</t>
  </si>
  <si>
    <t>-545.808956140681 -23.641269473623 655.290226559753</t>
  </si>
  <si>
    <t>-491.100243631885 -163.051559732255 747.568240163869</t>
  </si>
  <si>
    <t>9763-20170724T160544.093507600.bin</t>
  </si>
  <si>
    <t>-617.284485494111 139.229332270889 -229.139382102371</t>
  </si>
  <si>
    <t>-655.578728832869 129.220746073559 -343.599854348759</t>
  </si>
  <si>
    <t>-674.955879294736 115.761071500037 -462.485916715631</t>
  </si>
  <si>
    <t>-684.591631671477 101.879988471241 -570.695634826112</t>
  </si>
  <si>
    <t>-686.444051839724 86.1507800685108 -679.06537194442</t>
  </si>
  <si>
    <t>-680.942371811926 62.210972573022 -829.387071389727</t>
  </si>
  <si>
    <t>-649.562603322853 38.0448441578508 -923.271537939726</t>
  </si>
  <si>
    <t>-671.144164210905 101.851118623424 -767.052738412231</t>
  </si>
  <si>
    <t>-595.531706292585 227.918966409467 -762.925961976237</t>
  </si>
  <si>
    <t>-456.983457472212 188.077659802245 -481.140149019123</t>
  </si>
  <si>
    <t>-274.570153798574 93.7099471414217 -321.571461227104</t>
  </si>
  <si>
    <t>-695.609201413606 43.7560991005587 -758.696119696001</t>
  </si>
  <si>
    <t>-446.305493331914 5.55491229509198 -368.667886536383</t>
  </si>
  <si>
    <t>-596.284729225666 233.170062108415 -244.748681845612</t>
  </si>
  <si>
    <t>-597.841032034162 211.737042459646 210.439116532574</t>
  </si>
  <si>
    <t>-631.135647047447 171.683840343136 677.563479425188</t>
  </si>
  <si>
    <t>-496.3536521606 97.9646237298703 763.253625290852</t>
  </si>
  <si>
    <t>-638.15019661401 45.3458214479215 -212.83539303415</t>
  </si>
  <si>
    <t>-462.831871708545 -61.7754433493537 193.91534474534</t>
  </si>
  <si>
    <t>-545.650278993307 -23.9019328605366 654.49918926417</t>
  </si>
  <si>
    <t>-490.732744125136 -163.156095085564 746.88891727774</t>
  </si>
  <si>
    <t>9763-20170724T160544.125594000.bin</t>
  </si>
  <si>
    <t>-616.639532237147 139.247668101964 -229.221929300839</t>
  </si>
  <si>
    <t>-654.736684827548 129.070703244411 -343.733256177971</t>
  </si>
  <si>
    <t>-673.829518800557 115.573399901259 -462.661201398151</t>
  </si>
  <si>
    <t>-683.170604096076 101.71663276041 -570.899770141654</t>
  </si>
  <si>
    <t>-684.689514265603 86.072393100568 -679.287022816358</t>
  </si>
  <si>
    <t>-678.682693304743 62.316075842022 -829.618512242358</t>
  </si>
  <si>
    <t>-647.1279418541 38.5908920297341 -923.55675627129</t>
  </si>
  <si>
    <t>-669.262571282975 101.94790591923 -767.220670731173</t>
  </si>
  <si>
    <t>-594.391394982194 228.432384674548 -762.775642409669</t>
  </si>
  <si>
    <t>-456.862650067964 188.701429575935 -480.475383435499</t>
  </si>
  <si>
    <t>-275.392966013565 92.7049132992122 -320.802193444157</t>
  </si>
  <si>
    <t>-693.418537026042 43.7070457996019 -758.98235412058</t>
  </si>
  <si>
    <t>-445.205407592688 6.95830224072506 -367.978175671673</t>
  </si>
  <si>
    <t>-595.935770978932 233.135593115027 -244.790212593777</t>
  </si>
  <si>
    <t>-597.769466688963 211.892441520982 210.405392557928</t>
  </si>
  <si>
    <t>-631.114037531342 171.650803040262 677.524623785781</t>
  </si>
  <si>
    <t>-496.267971421684 98.0044886803259 763.176649232368</t>
  </si>
  <si>
    <t>-637.249105944271 45.3796425871444 -212.963678324589</t>
  </si>
  <si>
    <t>-462.021559982803 -61.4986358937297 193.890108547809</t>
  </si>
  <si>
    <t>-545.377921698484 -23.7464336345563 654.294662832319</t>
  </si>
  <si>
    <t>-490.689396486322 -163.122943639364 746.635679021333</t>
  </si>
  <si>
    <t>9763-20170724T160544.162283100.bin</t>
  </si>
  <si>
    <t>-616.165159888964 139.245748637192 -229.288185919796</t>
  </si>
  <si>
    <t>-654.153079365197 128.97568155745 -343.827570153535</t>
  </si>
  <si>
    <t>-673.014999097 115.469942633449 -462.791235462754</t>
  </si>
  <si>
    <t>-682.095574944534 101.644680594303 -571.05604843641</t>
  </si>
  <si>
    <t>-683.301344593711 86.0733010498841 -679.457732229436</t>
  </si>
  <si>
    <t>-676.80371941208 62.4636398810787 -829.791868958602</t>
  </si>
  <si>
    <t>-645.051041270867 39.0753830770843 -923.747942153763</t>
  </si>
  <si>
    <t>-667.715745551317 102.085750947657 -767.338565431166</t>
  </si>
  <si>
    <t>-593.442368603659 228.909872178242 -762.624237325729</t>
  </si>
  <si>
    <t>-456.777409887106 189.781875222437 -479.820645691635</t>
  </si>
  <si>
    <t>-276.477615048654 91.9716944192794 -319.923136979059</t>
  </si>
  <si>
    <t>-691.641706650103 43.7345955564624 -759.20883628134</t>
  </si>
  <si>
    <t>-444.143073213835 7.8919636171579 -367.562926474868</t>
  </si>
  <si>
    <t>-595.659535902188 233.156294335781 -244.832259576994</t>
  </si>
  <si>
    <t>-597.77461702868 211.988389518448 210.365598424318</t>
  </si>
  <si>
    <t>-631.103415508666 171.645439835742 677.50996617688</t>
  </si>
  <si>
    <t>-496.218077710865 97.9977980234441 763.098973203087</t>
  </si>
  <si>
    <t>-636.619002563393 45.3213130005861 -213.151537751206</t>
  </si>
  <si>
    <t>-461.582833118577 -61.0955795533027 193.905502994034</t>
  </si>
  <si>
    <t>-545.253185317207 -23.6461928423025 654.224200751291</t>
  </si>
  <si>
    <t>-490.571206946503 -163.076634625842 746.4877149052</t>
  </si>
  <si>
    <t>9763-20170724T160544.249515700.bin</t>
  </si>
  <si>
    <t>-615.030742391666 139.242378010006 -229.34216037126</t>
  </si>
  <si>
    <t>-652.709985673712 128.891280793267 -343.976123565486</t>
  </si>
  <si>
    <t>-671.109167578895 115.330606924862 -463.006177447208</t>
  </si>
  <si>
    <t>-679.708333733242 101.476741646816 -571.306540604887</t>
  </si>
  <si>
    <t>-680.369436652578 85.9038994444886 -679.712681138859</t>
  </si>
  <si>
    <t>-673.049019083085 62.3258601638813 -830.014027842448</t>
  </si>
  <si>
    <t>-640.964177003017 39.2818300919137 -923.942215988579</t>
  </si>
  <si>
    <t>-664.449876180916 101.992457538016 -767.519804402176</t>
  </si>
  <si>
    <t>-590.73530583306 229.153382496771 -762.539668977035</t>
  </si>
  <si>
    <t>-455.971610424748 191.0860879262 -478.680944231869</t>
  </si>
  <si>
    <t>-278.850159990623 88.9189221437664 -317.95779486324</t>
  </si>
  <si>
    <t>-688.126252170351 43.5243962414911 -759.500896059168</t>
  </si>
  <si>
    <t>-441.809057330926 8.29827635689639 -366.820270993255</t>
  </si>
  <si>
    <t>-594.509069034871 233.054517160879 -244.864965708028</t>
  </si>
  <si>
    <t>-597.24752391919 212.039141249118 210.336533573656</t>
  </si>
  <si>
    <t>-631.059349978381 171.551686582578 677.466699379264</t>
  </si>
  <si>
    <t>-496.13817861599 97.9087042275385 763.003253547193</t>
  </si>
  <si>
    <t>-635.458746014212 45.4793642549535 -213.230821091557</t>
  </si>
  <si>
    <t>-461.112287731802 -60.8122880141243 194.154853547215</t>
  </si>
  <si>
    <t>-545.222572123067 -23.471504906762 654.339596790194</t>
  </si>
  <si>
    <t>-490.510855351071 -163.014584537898 746.414898573757</t>
  </si>
  <si>
    <t>9763-20170724T160544.258539600.bin</t>
  </si>
  <si>
    <t>-614.429494133887 139.178339712846 -229.334909576319</t>
  </si>
  <si>
    <t>-652.016214763876 128.863879462401 -344.002384699235</t>
  </si>
  <si>
    <t>-670.245033655553 115.289757806278 -463.057123457544</t>
  </si>
  <si>
    <t>-678.659121130485 101.406747861925 -571.368373846097</t>
  </si>
  <si>
    <t>-679.104799615345 85.7898224007888 -679.769236282908</t>
  </si>
  <si>
    <t>-671.453886881533 62.1372502214267 -830.042435634954</t>
  </si>
  <si>
    <t>-639.240473861142 39.1213446085417 -923.933650448678</t>
  </si>
  <si>
    <t>-663.011540400247 101.842359006205 -767.551370900604</t>
  </si>
  <si>
    <t>-589.413138544119 229.056940293815 -762.460477985282</t>
  </si>
  <si>
    <t>-455.371363516415 191.294344551322 -478.219377344971</t>
  </si>
  <si>
    <t>-278.580290378007 88.624630823402 -317.452866485279</t>
  </si>
  <si>
    <t>-686.666841734739 43.3631690673265 -759.551132276247</t>
  </si>
  <si>
    <t>-440.806975343781 7.79615744527973 -366.78548106544</t>
  </si>
  <si>
    <t>-593.795872160038 232.979758698423 -244.857027541219</t>
  </si>
  <si>
    <t>-596.909254459753 212.024877778888 210.344916241402</t>
  </si>
  <si>
    <t>-630.976759923348 171.497345329844 677.40779892274</t>
  </si>
  <si>
    <t>-496.118484592693 97.8227329699121 763.016303801737</t>
  </si>
  <si>
    <t>-634.956952371333 45.3545621843293 -213.225453872998</t>
  </si>
  <si>
    <t>-460.810708992147 -60.7971527624973 194.282255225586</t>
  </si>
  <si>
    <t>-545.240043311728 -23.3653205430278 654.426394966869</t>
  </si>
  <si>
    <t>-490.649163404199 -163.016126413867 746.41016254692</t>
  </si>
  <si>
    <t>9763-20170724T160544.336749100.bin</t>
  </si>
  <si>
    <t>-613.747463837923 139.131170629639 -229.35160302719</t>
  </si>
  <si>
    <t>-651.250472914338 128.88934161393 -344.053099806097</t>
  </si>
  <si>
    <t>-669.343769412028 115.325631586014 -463.12956704235</t>
  </si>
  <si>
    <t>-677.614818242038 101.431480403711 -571.450430819856</t>
  </si>
  <si>
    <t>-677.897618744008 85.7856312180863 -679.847725844054</t>
  </si>
  <si>
    <t>-670.000001995582 62.0772443724729 -830.099348333209</t>
  </si>
  <si>
    <t>-637.671073403549 39.0292943718348 -923.942989911009</t>
  </si>
  <si>
    <t>-661.654971837908 101.80363471717 -767.608579365262</t>
  </si>
  <si>
    <t>-587.991552155764 228.971658541367 -762.470682386921</t>
  </si>
  <si>
    <t>-454.517789049202 191.569876948004 -477.914799910455</t>
  </si>
  <si>
    <t>-278.612333003925 87.5620686781888 -317.036904721487</t>
  </si>
  <si>
    <t>-685.333864648725 43.3313901168906 -759.62674620808</t>
  </si>
  <si>
    <t>-439.477594070995 6.5052286770815 -366.838416863392</t>
  </si>
  <si>
    <t>-592.940650143113 232.910934901718 -244.882665173218</t>
  </si>
  <si>
    <t>-596.450895379435 211.996911988763 210.318342079044</t>
  </si>
  <si>
    <t>-630.877217453028 171.356768800165 677.311320965625</t>
  </si>
  <si>
    <t>-496.076086725502 97.7292577623525 763.050232527002</t>
  </si>
  <si>
    <t>-634.444486280782 45.4208395771659 -213.252309555327</t>
  </si>
  <si>
    <t>-460.565698480424 -60.9896813478401 194.302158233942</t>
  </si>
  <si>
    <t>-545.281221317464 -23.3298434834849 654.428479747006</t>
  </si>
  <si>
    <t>-490.829643893735 -163.049648659988 746.389968391044</t>
  </si>
  <si>
    <t>9763-20170724T160544.389896600.bin</t>
  </si>
  <si>
    <t>-612.077466488871 139.003565065812 -229.299566682992</t>
  </si>
  <si>
    <t>-649.425506574476 129.030749996037 -344.075358077508</t>
  </si>
  <si>
    <t>-667.239078758723 115.42172772137 -463.188839431572</t>
  </si>
  <si>
    <t>-675.212594402001 101.359479057516 -571.510253611257</t>
  </si>
  <si>
    <t>-675.157165986663 85.4208382994932 -679.865301938917</t>
  </si>
  <si>
    <t>-666.751705596161 61.1772701155151 -830.003944330473</t>
  </si>
  <si>
    <t>-634.076707972986 37.5575852844179 -923.585108697446</t>
  </si>
  <si>
    <t>-658.415689308976 101.046646734217 -767.602977447631</t>
  </si>
  <si>
    <t>-583.84348180077 227.692080176128 -762.698261755965</t>
  </si>
  <si>
    <t>-451.856389094041 191.383076379785 -477.308635718964</t>
  </si>
  <si>
    <t>-281.833955473066 79.2735640077208 -315.549908704957</t>
  </si>
  <si>
    <t>-682.525999241168 42.7619821755225 -759.541372032429</t>
  </si>
  <si>
    <t>-437.004638098791 3.71728613179948 -367.899340075725</t>
  </si>
  <si>
    <t>-590.28337623193 232.352309783653 -244.965545073304</t>
  </si>
  <si>
    <t>-594.633155317318 211.289503374507 210.221267778565</t>
  </si>
  <si>
    <t>-630.489027434474 170.664517460418 676.962407745379</t>
  </si>
  <si>
    <t>-495.917987400312 97.4330668211774 763.399074582374</t>
  </si>
  <si>
    <t>-633.72788262439 45.6889641592923 -213.023221473247</t>
  </si>
  <si>
    <t>-460.147062760276 -61.9329386029676 194.34012489525</t>
  </si>
  <si>
    <t>-545.387483637313 -23.0458611648482 654.356976185744</t>
  </si>
  <si>
    <t>-491.387797989448 -163.129480592487 746.030967514067</t>
  </si>
  <si>
    <t>9763-20170724T160544.430029400.bin</t>
  </si>
  <si>
    <t>-611.697510297239 139.049671193278 -229.335839273836</t>
  </si>
  <si>
    <t>-649.12194808438 129.216692970583 -344.098812760592</t>
  </si>
  <si>
    <t>-666.899985082056 115.604140730229 -463.21723724383</t>
  </si>
  <si>
    <t>-674.796581361677 101.48140212087 -571.536319230108</t>
  </si>
  <si>
    <t>-674.620540473385 85.4264954496825 -679.874172212929</t>
  </si>
  <si>
    <t>-666.003542471468 60.9646042637085 -829.965270956294</t>
  </si>
  <si>
    <t>-633.210440022179 37.1080482410302 -923.445079824579</t>
  </si>
  <si>
    <t>-657.669359527608 100.890262894126 -767.600313429103</t>
  </si>
  <si>
    <t>-582.645223976179 227.272685581873 -762.591584435187</t>
  </si>
  <si>
    <t>-450.865518470021 191.193196127013 -477.077033937408</t>
  </si>
  <si>
    <t>-282.949916659115 76.1501774148358 -315.177351976999</t>
  </si>
  <si>
    <t>-681.963297187717 42.6861269988151 -759.508965988372</t>
  </si>
  <si>
    <t>-436.675810785237 3.16781626016586 -367.819953490564</t>
  </si>
  <si>
    <t>-589.521149293353 232.302501091183 -245.034704086648</t>
  </si>
  <si>
    <t>-594.018889238434 211.038923246446 210.14147045163</t>
  </si>
  <si>
    <t>-630.355354255051 170.507338694268 676.88036166452</t>
  </si>
  <si>
    <t>-495.873685124734 97.3555812344512 763.52335374919</t>
  </si>
  <si>
    <t>-633.814366250811 45.8521640809938 -213.010988025943</t>
  </si>
  <si>
    <t>-460.173864789105 -62.0650996752049 194.248803192197</t>
  </si>
  <si>
    <t>-545.449556398473 -22.8602770262464 654.311927601223</t>
  </si>
  <si>
    <t>-491.530212973239 -163.116020681563 745.769844512653</t>
  </si>
  <si>
    <t>9763-20170724T160544.490770600.bin</t>
  </si>
  <si>
    <t>-611.080164005146 139.31773717917 -229.38686393286</t>
  </si>
  <si>
    <t>-648.568277724928 129.615225863248 -344.140228739474</t>
  </si>
  <si>
    <t>-666.315587455807 115.991318081945 -463.261771137789</t>
  </si>
  <si>
    <t>-674.14741211139 101.799711746221 -571.576670126825</t>
  </si>
  <si>
    <t>-673.870870829251 85.6182234536188 -679.895395720445</t>
  </si>
  <si>
    <t>-665.078922043128 60.920717419287 -829.937861154868</t>
  </si>
  <si>
    <t>-632.109825099093 36.6426815358211 -923.246997534147</t>
  </si>
  <si>
    <t>-656.641252231193 100.87318795167 -767.603931926838</t>
  </si>
  <si>
    <t>-580.577264706652 226.610762669666 -762.308632343134</t>
  </si>
  <si>
    <t>-448.957356569127 190.300364946504 -476.749505692582</t>
  </si>
  <si>
    <t>-279.543861651853 78.4315099181861 -314.187429533619</t>
  </si>
  <si>
    <t>-681.296944444534 42.8239790287953 -759.493584958356</t>
  </si>
  <si>
    <t>-436.997483498535 3.37370534901675 -366.769090746602</t>
  </si>
  <si>
    <t>-588.15326414518 232.411073551699 -245.078431913749</t>
  </si>
  <si>
    <t>-593.351480402858 211.18004078116 210.09167339385</t>
  </si>
  <si>
    <t>-630.148024612792 170.485619617519 676.781637214501</t>
  </si>
  <si>
    <t>-495.904994253991 97.1720972231496 763.657719322362</t>
  </si>
  <si>
    <t>-633.925396178107 46.2687434445329 -212.979157464786</t>
  </si>
  <si>
    <t>-460.76520486256 -62.1221202649997 194.359317237539</t>
  </si>
  <si>
    <t>-545.821920250619 -22.4075593276675 654.528971737058</t>
  </si>
  <si>
    <t>-491.930533350606 -163.12388838522 745.293196324301</t>
  </si>
  <si>
    <t>9763-20170724T160544.522856300.bin</t>
  </si>
  <si>
    <t>-610.8751358265 139.520409872735 -229.407528494309</t>
  </si>
  <si>
    <t>-648.293176850012 129.830345798153 -344.184783019733</t>
  </si>
  <si>
    <t>-665.970054125179 116.209088255018 -463.317281700753</t>
  </si>
  <si>
    <t>-673.739286976542 102.014316394515 -571.63624542367</t>
  </si>
  <si>
    <t>-673.401856213962 85.8235894779491 -679.953329857858</t>
  </si>
  <si>
    <t>-664.527717695075 61.1062390585687 -829.987675180374</t>
  </si>
  <si>
    <t>-631.478940987489 36.6870851340689 -923.23188347578</t>
  </si>
  <si>
    <t>-656.048256450806 101.035891825456 -767.644752542706</t>
  </si>
  <si>
    <t>-579.588908436365 226.50054207618 -762.0707012342</t>
  </si>
  <si>
    <t>-447.647774496508 189.515857056814 -476.746546327388</t>
  </si>
  <si>
    <t>-272.880288227482 85.6758394641145 -314.52564539378</t>
  </si>
  <si>
    <t>-680.86034056414 43.0497948167915 -759.559438489329</t>
  </si>
  <si>
    <t>-437.010509899397 3.51463820017102 -366.252928309349</t>
  </si>
  <si>
    <t>-587.632671784473 232.589077893603 -245.133834911629</t>
  </si>
  <si>
    <t>-593.118137513813 211.361792398805 210.033020560061</t>
  </si>
  <si>
    <t>-630.064514557613 170.603427473486 676.758569855174</t>
  </si>
  <si>
    <t>-495.991221839409 97.0315914019304 763.67833730851</t>
  </si>
  <si>
    <t>-633.887207100557 46.4684981552164 -213.09777500521</t>
  </si>
  <si>
    <t>-461.112411298606 -62.0047621880149 194.382452082984</t>
  </si>
  <si>
    <t>-546.006782706843 -22.2428718732526 654.603574152398</t>
  </si>
  <si>
    <t>-492.110852015356 -163.13388578878 745.093640639742</t>
  </si>
  <si>
    <t>9763-20170724T160544.595065300.bin</t>
  </si>
  <si>
    <t>-610.416529677468 139.897250797942 -229.589083641078</t>
  </si>
  <si>
    <t>-647.900842947736 130.466365966517 -344.366256518221</t>
  </si>
  <si>
    <t>-665.55883678939 116.972177527725 -463.515956997865</t>
  </si>
  <si>
    <t>-673.276151186717 102.8430647815 -571.847134807529</t>
  </si>
  <si>
    <t>-672.852240792305 86.6724268757118 -680.166998384522</t>
  </si>
  <si>
    <t>-663.82215446682 61.9392379373489 -830.189423075654</t>
  </si>
  <si>
    <t>-630.616415520315 37.3247702009394 -923.326462016359</t>
  </si>
  <si>
    <t>-655.307890246756 101.834521583106 -767.829283427268</t>
  </si>
  <si>
    <t>-578.193025323903 226.913856527701 -761.894734580133</t>
  </si>
  <si>
    <t>-443.99860125675 188.921550392022 -477.756358855136</t>
  </si>
  <si>
    <t>-254.047086336226 102.424077482257 -322.583302777097</t>
  </si>
  <si>
    <t>-680.327450708827 43.9313357472197 -759.789082318133</t>
  </si>
  <si>
    <t>-437.855870068518 4.50793326940766 -365.531778443463</t>
  </si>
  <si>
    <t>-586.651974150981 232.808267481055 -245.226236079781</t>
  </si>
  <si>
    <t>-592.302105080191 211.35777509076 209.928241211204</t>
  </si>
  <si>
    <t>-629.924858925411 170.666991217403 676.670116470751</t>
  </si>
  <si>
    <t>-496.10660974113 96.7475276227422 763.687938878698</t>
  </si>
  <si>
    <t>-634.029276764171 47.0932511071233 -213.209717061106</t>
  </si>
  <si>
    <t>-461.214373560194 -62.2140278311729 194.030505842538</t>
  </si>
  <si>
    <t>-545.980040585264 -22.2210338734724 654.180428877845</t>
  </si>
  <si>
    <t>-492.557918107639 -163.285524419905 744.681305672428</t>
  </si>
  <si>
    <t>9763-20170724T160544.628143200.bin</t>
  </si>
  <si>
    <t>-610.127081388101 139.8818183073 -229.67151873017</t>
  </si>
  <si>
    <t>-647.640750005385 130.55846677521 -344.447725179459</t>
  </si>
  <si>
    <t>-665.323115694036 117.110503021845 -463.599168666816</t>
  </si>
  <si>
    <t>-673.061581101972 102.996173466617 -571.930823566162</t>
  </si>
  <si>
    <t>-672.65835782872 86.81299117093 -680.248802779522</t>
  </si>
  <si>
    <t>-663.657515132511 62.0330643483449 -830.265399216131</t>
  </si>
  <si>
    <t>-630.375470858412 37.3243604626755 -923.350143862311</t>
  </si>
  <si>
    <t>-655.060642395518 101.918444457706 -767.910103607771</t>
  </si>
  <si>
    <t>-577.594652516965 226.78291849152 -761.971460222588</t>
  </si>
  <si>
    <t>-441.765467883801 188.913939039051 -478.594415431296</t>
  </si>
  <si>
    <t>-249.585139546673 103.799435665166 -325.413735535369</t>
  </si>
  <si>
    <t>-680.219558363909 44.0763967869166 -759.865181596575</t>
  </si>
  <si>
    <t>-438.352039130689 4.05317255940281 -365.001419153496</t>
  </si>
  <si>
    <t>-586.152496445198 232.711047020985 -245.262208681108</t>
  </si>
  <si>
    <t>-591.975750070667 211.207862926635 209.887569422577</t>
  </si>
  <si>
    <t>-629.884702851141 170.585938623007 676.615718105426</t>
  </si>
  <si>
    <t>-496.116496368865 96.6452132808577 763.692370415847</t>
  </si>
  <si>
    <t>-633.941017845602 47.0775744640944 -213.349994330007</t>
  </si>
  <si>
    <t>-461.227634246443 -62.278437470723 193.920196009537</t>
  </si>
  <si>
    <t>-545.942910163993 -22.2472033316933 653.997827284797</t>
  </si>
  <si>
    <t>-492.750930084021 -163.350169035418 744.574258547639</t>
  </si>
  <si>
    <t>9763-20170724T160544.697335900.bin</t>
  </si>
  <si>
    <t>-609.634515615704 139.798385056494 -229.890674854277</t>
  </si>
  <si>
    <t>-647.101792999229 130.644880357888 -344.695801993789</t>
  </si>
  <si>
    <t>-664.867319861208 117.221861219256 -463.837739888324</t>
  </si>
  <si>
    <t>-672.739979052226 103.059713422112 -572.153519520461</t>
  </si>
  <si>
    <t>-672.533369401272 86.7523463829957 -680.453410805321</t>
  </si>
  <si>
    <t>-663.874022184541 61.7144915675622 -830.447257249227</t>
  </si>
  <si>
    <t>-630.605802408237 36.739710919248 -923.465887631485</t>
  </si>
  <si>
    <t>-654.933829817968 101.622313366301 -768.154722387158</t>
  </si>
  <si>
    <t>-576.601299143724 225.948513889623 -762.372748524824</t>
  </si>
  <si>
    <t>-437.520921041822 189.398505077191 -480.403027941025</t>
  </si>
  <si>
    <t>-237.499953215523 109.518933401067 -334.619231366163</t>
  </si>
  <si>
    <t>-680.477148442418 43.9636771223279 -760.004567118682</t>
  </si>
  <si>
    <t>-439.120641383156 1.43495303024429 -364.180491165048</t>
  </si>
  <si>
    <t>-585.361647035822 232.484433941149 -245.358841301429</t>
  </si>
  <si>
    <t>-591.309299593494 210.974443017123 209.788974177591</t>
  </si>
  <si>
    <t>-629.788266311512 170.475436201897 676.515048339314</t>
  </si>
  <si>
    <t>-496.149156080323 96.4370078706415 763.706877881269</t>
  </si>
  <si>
    <t>-633.789217238912 47.0876657306906 -213.694170051542</t>
  </si>
  <si>
    <t>-461.439707065176 -62.2695242741131 193.729882925256</t>
  </si>
  <si>
    <t>-546.010577866132 -22.2545981760006 653.886163448178</t>
  </si>
  <si>
    <t>-492.937123161484 -163.398128792358 744.468944553852</t>
  </si>
  <si>
    <t>9763-20170724T160544.726412800.bin</t>
  </si>
  <si>
    <t>-609.415332969256 139.813963833031 -229.961270704897</t>
  </si>
  <si>
    <t>-646.960863465329 130.811758639426 -344.752817483487</t>
  </si>
  <si>
    <t>-664.844002887518 117.444652039937 -463.883213608638</t>
  </si>
  <si>
    <t>-672.840356841556 103.292976600466 -572.191383438906</t>
  </si>
  <si>
    <t>-672.775332140944 86.9559265870287 -680.486946760525</t>
  </si>
  <si>
    <t>-664.332195016195 61.8345374522514 -830.479140806221</t>
  </si>
  <si>
    <t>-631.089523445085 36.7500529081458 -923.477339356813</t>
  </si>
  <si>
    <t>-655.22906560051 101.745723803562 -768.212419214725</t>
  </si>
  <si>
    <t>-576.573400597768 225.851993138774 -762.541443257947</t>
  </si>
  <si>
    <t>-436.129390935393 190.091570754882 -481.147042689806</t>
  </si>
  <si>
    <t>-234.691286770466 110.988978490372 -336.89888350927</t>
  </si>
  <si>
    <t>-680.907077283253 44.1540934384298 -760.012031270914</t>
  </si>
  <si>
    <t>-439.721403613327 0.537936185557101 -364.020429152119</t>
  </si>
  <si>
    <t>-584.928357339298 232.478675476489 -245.394611737583</t>
  </si>
  <si>
    <t>-590.917039743739 210.797916813603 209.744572138207</t>
  </si>
  <si>
    <t>-629.712526573838 170.443414716224 676.439019556782</t>
  </si>
  <si>
    <t>-496.187399917646 96.3262548895491 763.738528973181</t>
  </si>
  <si>
    <t>-633.810744107054 47.1974427256448 -213.814430200474</t>
  </si>
  <si>
    <t>-461.662082136771 -62.3559035009355 193.641772679464</t>
  </si>
  <si>
    <t>-546.031778589185 -22.2459565778101 653.832719766552</t>
  </si>
  <si>
    <t>-493.004879929299 -163.416675922105 744.400304214283</t>
  </si>
  <si>
    <t>9763-20170724T160544.794171400.bin</t>
  </si>
  <si>
    <t>-609.053294645232 139.834901827976 -230.075109638911</t>
  </si>
  <si>
    <t>-646.872977740229 131.087689895847 -344.796346519135</t>
  </si>
  <si>
    <t>-665.072715365601 117.869950127793 -463.895623147382</t>
  </si>
  <si>
    <t>-673.371903814082 103.808739667077 -572.192609472854</t>
  </si>
  <si>
    <t>-673.626187502227 87.5171675521544 -680.494864402531</t>
  </si>
  <si>
    <t>-665.643273153048 62.4125073645509 -830.515004187975</t>
  </si>
  <si>
    <t>-632.458734619666 37.146932923682 -923.485002375959</t>
  </si>
  <si>
    <t>-656.215806521426 102.259582722015 -768.255362666421</t>
  </si>
  <si>
    <t>-576.878101257829 225.945010712518 -762.740408452549</t>
  </si>
  <si>
    <t>-434.679228860758 191.986869806035 -482.004683273782</t>
  </si>
  <si>
    <t>-227.065970551898 116.706554930288 -344.630525359418</t>
  </si>
  <si>
    <t>-682.1350112581 44.7816313025535 -760.016088718101</t>
  </si>
  <si>
    <t>-584.0048511935 232.245752430016 -245.486439904796</t>
  </si>
  <si>
    <t>-589.496209154654 210.112277991025 209.637254426188</t>
  </si>
  <si>
    <t>-629.591201335661 170.175128408041 676.286724628905</t>
  </si>
  <si>
    <t>-496.152350683539 96.1652442873285 763.808846888906</t>
  </si>
  <si>
    <t>-633.984718998717 47.3596773328647 -213.957401717454</t>
  </si>
  <si>
    <t>-462.259448751362 -62.6091145906048 193.56558451164</t>
  </si>
  <si>
    <t>-546.128816577664 -22.2138665560813 653.824544638889</t>
  </si>
  <si>
    <t>-493.120155084267 -163.45437234583 744.29402561238</t>
  </si>
  <si>
    <t>9763-20170724T160544.827263100.bin</t>
  </si>
  <si>
    <t>-608.714087406045 139.813667378039 -230.131651029656</t>
  </si>
  <si>
    <t>-646.718839153776 131.225014839177 -344.803740915473</t>
  </si>
  <si>
    <t>-665.101971190694 118.113647928992 -463.886499244018</t>
  </si>
  <si>
    <t>-673.564524018666 104.129385555571 -572.180877497309</t>
  </si>
  <si>
    <t>-673.978749963645 87.8971392089702 -680.49157658035</t>
  </si>
  <si>
    <t>-666.213707335887 62.8580724311601 -830.53405069654</t>
  </si>
  <si>
    <t>-633.075471635671 37.5345066223977 -923.504802867466</t>
  </si>
  <si>
    <t>-656.653676294625 102.65948589137 -768.265586299336</t>
  </si>
  <si>
    <t>-577.050187080777 226.161696239499 -762.726245191626</t>
  </si>
  <si>
    <t>-434.113241257846 192.910058029014 -482.280974264068</t>
  </si>
  <si>
    <t>-225.679887629892 117.536162170803 -346.206071308459</t>
  </si>
  <si>
    <t>-682.645341456172 45.2146531896428 -760.024222361656</t>
  </si>
  <si>
    <t>-583.407111861302 232.110373356881 -245.531145714082</t>
  </si>
  <si>
    <t>-588.554771491104 209.583954011252 209.577363666255</t>
  </si>
  <si>
    <t>-629.501133503667 169.977639858394 676.160009077716</t>
  </si>
  <si>
    <t>-496.185565660096 95.9894760041088 763.888147359252</t>
  </si>
  <si>
    <t>-633.881429044404 47.4656969950313 -214.058350587079</t>
  </si>
  <si>
    <t>-462.526590298141 -62.8159147277197 193.535982329787</t>
  </si>
  <si>
    <t>-546.171511851329 -22.1893776925237 653.838573164978</t>
  </si>
  <si>
    <t>-493.211808770064 -163.477908522883 744.26174025665</t>
  </si>
  <si>
    <t>9763-20170724T160544.888459200.bin</t>
  </si>
  <si>
    <t>-607.941527276758 139.752270750926 -230.258863183162</t>
  </si>
  <si>
    <t>-646.248078611166 131.434617138733 -344.850476628957</t>
  </si>
  <si>
    <t>-665.081197310498 118.459756369394 -463.877958137428</t>
  </si>
  <si>
    <t>-674.009776457969 104.548476754409 -572.14427183751</t>
  </si>
  <si>
    <t>-674.947443665484 88.3423572579227 -680.455523392155</t>
  </si>
  <si>
    <t>-667.968350462711 63.2930413903139 -830.534918117545</t>
  </si>
  <si>
    <t>-635.025124323299 37.7549993606722 -923.516346028908</t>
  </si>
  <si>
    <t>-657.992839523336 103.059726053398 -768.309447289392</t>
  </si>
  <si>
    <t>-578.001842001227 226.361104034342 -763.220184448563</t>
  </si>
  <si>
    <t>-433.22150989816 193.745570546216 -483.647199542028</t>
  </si>
  <si>
    <t>-221.39283808268 119.054804045106 -352.529004827202</t>
  </si>
  <si>
    <t>-684.119906793202 45.6934765343078 -759.949564897774</t>
  </si>
  <si>
    <t>-582.183134737829 231.905142925471 -245.617165938745</t>
  </si>
  <si>
    <t>-586.687259845831 208.45432175282 209.451531289875</t>
  </si>
  <si>
    <t>-629.376323540239 169.594591619133 675.976503977858</t>
  </si>
  <si>
    <t>-496.143649649817 95.8734176641265 764.054618968336</t>
  </si>
  <si>
    <t>-633.557831067873 47.639667543207 -214.206593645949</t>
  </si>
  <si>
    <t>-462.859861028017 -63.2241571856953 193.505483469892</t>
  </si>
  <si>
    <t>-546.250227615921 -22.2038659282077 653.832223611523</t>
  </si>
  <si>
    <t>-493.382065211374 -163.550877834295 744.217494151939</t>
  </si>
  <si>
    <t>9763-20170724T160544.926564800.bin</t>
  </si>
  <si>
    <t>-607.603806059656 139.702832799881 -230.309288167936</t>
  </si>
  <si>
    <t>-645.980000902632 131.45962392273 -344.882935732569</t>
  </si>
  <si>
    <t>-665.036221236069 118.536038746477 -463.880414484789</t>
  </si>
  <si>
    <t>-674.230360386601 104.658952641153 -572.128997831067</t>
  </si>
  <si>
    <t>-675.497643643669 88.4732321942511 -680.439859530576</t>
  </si>
  <si>
    <t>-669.042879903115 63.4365458452867 -830.544859873092</t>
  </si>
  <si>
    <t>-636.296653580873 37.7887598278755 -923.565597493278</t>
  </si>
  <si>
    <t>-658.77394168266 103.164573594474 -768.342382710688</t>
  </si>
  <si>
    <t>-578.582731866461 226.327059309345 -763.548738086901</t>
  </si>
  <si>
    <t>-432.835032235695 194.21159189834 -484.421051143097</t>
  </si>
  <si>
    <t>-220.858469916239 118.880385799234 -353.909526579365</t>
  </si>
  <si>
    <t>-685.023819853836 45.8645082718137 -759.913846878194</t>
  </si>
  <si>
    <t>-581.682229225008 231.780784997619 -245.635176221162</t>
  </si>
  <si>
    <t>-586.068960967146 208.048039348935 209.419929115405</t>
  </si>
  <si>
    <t>-629.34293841928 169.412056931684 675.910440413056</t>
  </si>
  <si>
    <t>-496.144383599346 95.7822971665014 764.116499199527</t>
  </si>
  <si>
    <t>-633.367833387202 47.6534401499819 -214.284678290064</t>
  </si>
  <si>
    <t>-463.013593385786 -63.3003070507978 193.546619517327</t>
  </si>
  <si>
    <t>-546.335493506602 -22.2290627910904 653.883377140213</t>
  </si>
  <si>
    <t>-493.382760393263 -163.567478721772 744.232593082999</t>
  </si>
  <si>
    <t>9763-20170724T160544.989339500.bin</t>
  </si>
  <si>
    <t>-606.924403663418 139.766295319523 -230.334699612916</t>
  </si>
  <si>
    <t>-645.35750910917 131.592415668251 -344.894244588421</t>
  </si>
  <si>
    <t>-664.807971767353 118.736369551763 -463.835244553389</t>
  </si>
  <si>
    <t>-674.500285949262 104.910249845971 -572.046893834511</t>
  </si>
  <si>
    <t>-676.408845033029 88.7597402636529 -680.353557066605</t>
  </si>
  <si>
    <t>-670.994328025525 63.7504886803745 -830.50437318605</t>
  </si>
  <si>
    <t>-638.759741029442 37.9321977208185 -923.65652999385</t>
  </si>
  <si>
    <t>-660.110638121378 103.385420742366 -768.347006705804</t>
  </si>
  <si>
    <t>-579.545292323235 226.340432241628 -764.306064580986</t>
  </si>
  <si>
    <t>-433.173151794068 194.273602913334 -485.499506540642</t>
  </si>
  <si>
    <t>-225.493994428386 116.316694708565 -349.727028045126</t>
  </si>
  <si>
    <t>-686.669496345165 46.2472366500763 -759.787612346068</t>
  </si>
  <si>
    <t>-580.87019940782 231.789239089155 -245.643963590972</t>
  </si>
  <si>
    <t>-585.52665238672 207.780396589788 209.394073332146</t>
  </si>
  <si>
    <t>-629.275404242325 169.175206445711 675.82086750981</t>
  </si>
  <si>
    <t>-496.112989853698 95.6984465889891 764.208918981014</t>
  </si>
  <si>
    <t>-632.82363094235 47.7997042716593 -214.290892426953</t>
  </si>
  <si>
    <t>-462.797724870937 -63.3792167388133 193.616022127519</t>
  </si>
  <si>
    <t>-546.415760490747 -22.2524219990721 653.92496427485</t>
  </si>
  <si>
    <t>-493.329914872869 -163.584927472911 744.205174632316</t>
  </si>
  <si>
    <t>9763-20170724T160545.026438000.bin</t>
  </si>
  <si>
    <t>-606.722354511605 139.884188514256 -230.305234320299</t>
  </si>
  <si>
    <t>-645.187589242015 131.688303688112 -344.852428572689</t>
  </si>
  <si>
    <t>-664.84838223466 118.847699758287 -463.760553646589</t>
  </si>
  <si>
    <t>-674.80547394262 105.044476705466 -571.951047424266</t>
  </si>
  <si>
    <t>-677.05388031261 88.922213781738 -680.255566518837</t>
  </si>
  <si>
    <t>-672.190378289483 63.9536296973438 -830.431862447233</t>
  </si>
  <si>
    <t>-640.266792069845 38.0746666180733 -923.674180969105</t>
  </si>
  <si>
    <t>-660.963297186049 103.519610893432 -768.291653808779</t>
  </si>
  <si>
    <t>-580.253259512154 226.392522889964 -764.592938243968</t>
  </si>
  <si>
    <t>-434.315226821064 194.227812253447 -485.570155336661</t>
  </si>
  <si>
    <t>-228.281494389822 115.115146851372 -347.971618604669</t>
  </si>
  <si>
    <t>-687.721443458747 46.483191152658 -759.675242224634</t>
  </si>
  <si>
    <t>-580.555383155805 231.864084003022 -245.669498021125</t>
  </si>
  <si>
    <t>-585.396862030983 207.850678577684 209.366257422486</t>
  </si>
  <si>
    <t>-629.225857177121 169.1310937872 675.779244229999</t>
  </si>
  <si>
    <t>-496.123231145687 95.6330223886309 764.239599922121</t>
  </si>
  <si>
    <t>-632.750075489899 47.9085581232496 -214.220367680899</t>
  </si>
  <si>
    <t>-462.738085379596 -63.3115651740495 193.681135734985</t>
  </si>
  <si>
    <t>-546.465124708293 -22.2585169162332 653.953565101859</t>
  </si>
  <si>
    <t>-493.252791873885 -163.581797210878 744.17381677394</t>
  </si>
  <si>
    <t>9763-20170724T160545.094273100.bin</t>
  </si>
  <si>
    <t>-606.616538536093 140.125476631407 -230.272975121079</t>
  </si>
  <si>
    <t>-645.288803152417 131.981461917248 -344.754271641511</t>
  </si>
  <si>
    <t>-665.138388238134 119.265836295069 -463.644311290029</t>
  </si>
  <si>
    <t>-675.257377802634 105.597785632392 -571.836968514446</t>
  </si>
  <si>
    <t>-677.657640547166 89.6298687546653 -680.161086638882</t>
  </si>
  <si>
    <t>-672.994392659371 64.892309153156 -830.381965124493</t>
  </si>
  <si>
    <t>-641.354257385283 39.0947960016395 -923.74343594548</t>
  </si>
  <si>
    <t>-661.541062318058 104.297329937612 -768.180854601053</t>
  </si>
  <si>
    <t>-580.151659915938 226.681056107911 -764.428202155003</t>
  </si>
  <si>
    <t>-436.210848124855 195.828416410601 -484.222091399096</t>
  </si>
  <si>
    <t>-224.456116547173 118.337382830337 -354.61861941264</t>
  </si>
  <si>
    <t>-688.574478503008 47.3784100518335 -759.646885080589</t>
  </si>
  <si>
    <t>-579.930977667528 231.986715317254 -245.709827004661</t>
  </si>
  <si>
    <t>-585.022719556815 207.849344187388 209.316684365967</t>
  </si>
  <si>
    <t>-629.17021082623 169.059528678162 675.706700352029</t>
  </si>
  <si>
    <t>-496.145098590677 95.5476374128125 764.272092664168</t>
  </si>
  <si>
    <t>-633.20464688567 48.2835389660995 -214.091578961469</t>
  </si>
  <si>
    <t>-463.417806413448 -63.2241461560188 193.825300484012</t>
  </si>
  <si>
    <t>-546.768644235098 -22.2996351175891 654.225955023555</t>
  </si>
  <si>
    <t>-492.821950330021 -163.514330196411 744.179821688593</t>
  </si>
  <si>
    <t>9763-20170724T160545.125355300.bin</t>
  </si>
  <si>
    <t>-606.796065032021 140.241262877694 -230.258165770262</t>
  </si>
  <si>
    <t>-645.572285577372 132.176633546731 -344.709788299808</t>
  </si>
  <si>
    <t>-665.480014012994 119.591994578707 -463.604170658898</t>
  </si>
  <si>
    <t>-675.629153284005 106.067895481628 -571.811995393662</t>
  </si>
  <si>
    <t>-678.034974276799 90.2722021409554 -680.161260996111</t>
  </si>
  <si>
    <t>-673.351915285193 65.8058265988852 -830.425984098475</t>
  </si>
  <si>
    <t>-641.743179142042 40.1884675480544 -923.847692135108</t>
  </si>
  <si>
    <t>-661.913768202147 105.101767035263 -768.153014331092</t>
  </si>
  <si>
    <t>-580.315267726044 227.363768477054 -763.969976157353</t>
  </si>
  <si>
    <t>-436.984338874734 197.147108416802 -483.382251000957</t>
  </si>
  <si>
    <t>-220.132566283671 121.076612575899 -361.60124766234</t>
  </si>
  <si>
    <t>-688.934319017196 48.1610607068676 -759.723916118941</t>
  </si>
  <si>
    <t>-579.743172946992 232.03732750729 -245.717014016516</t>
  </si>
  <si>
    <t>-584.833650779319 207.723739207178 209.300131835491</t>
  </si>
  <si>
    <t>-629.164972041013 169.001285222318 675.676049864656</t>
  </si>
  <si>
    <t>-496.170135967461 95.4954294013255 764.291937313069</t>
  </si>
  <si>
    <t>-633.736967927195 48.4871134243058 -214.065668840016</t>
  </si>
  <si>
    <t>-464.137665500397 -63.2520341516756 193.865857781924</t>
  </si>
  <si>
    <t>-546.965382626464 -22.311117930848 654.41690087973</t>
  </si>
  <si>
    <t>-492.535734043989 -163.458686889261 744.184849754194</t>
  </si>
  <si>
    <t>9763-20170724T160545.191570500.bin</t>
  </si>
  <si>
    <t>-607.118287182592 140.391921947351 -230.275753768658</t>
  </si>
  <si>
    <t>-646.035713022721 132.492931468818 -344.691053308925</t>
  </si>
  <si>
    <t>-665.931057438155 120.202515793128 -463.618220354779</t>
  </si>
  <si>
    <t>-675.999139269379 107.00440454213 -571.873856411054</t>
  </si>
  <si>
    <t>-678.250144100373 91.5991696952615 -680.282659750179</t>
  </si>
  <si>
    <t>-673.271459578343 67.7471031243331 -830.636610124679</t>
  </si>
  <si>
    <t>-641.474955540851 42.6133901760634 -924.12604729351</t>
  </si>
  <si>
    <t>-662.028883094155 106.821622166751 -768.188900309725</t>
  </si>
  <si>
    <t>-580.306787096396 228.980610341261 -763.261383569945</t>
  </si>
  <si>
    <t>-437.307018081242 199.682414694981 -482.407523923336</t>
  </si>
  <si>
    <t>-213.261874652813 125.186105180182 -373.338340400738</t>
  </si>
  <si>
    <t>-688.919824191037 49.780230974437 -760.030427230077</t>
  </si>
  <si>
    <t>-447.181039012728 1.01563993576406 -364.345806432193</t>
  </si>
  <si>
    <t>-579.723244469371 232.179023731094 -245.7123724409</t>
  </si>
  <si>
    <t>-584.672997253062 207.556294877438 209.289747754553</t>
  </si>
  <si>
    <t>-629.147143496135 168.867996807849 675.617880356139</t>
  </si>
  <si>
    <t>-496.214877128063 95.3756342251052 764.338753279903</t>
  </si>
  <si>
    <t>-634.26622212555 48.6811058383314 -214.111291212544</t>
  </si>
  <si>
    <t>-465.330983177269 -63.2490284678165 194.043286242132</t>
  </si>
  <si>
    <t>-547.346627478915 -22.2677057583799 654.813957020369</t>
  </si>
  <si>
    <t>-492.368071067316 -163.428807115792 744.225385508764</t>
  </si>
  <si>
    <t>9763-20170724T160545.230673600.bin</t>
  </si>
  <si>
    <t>-607.364030704346 140.370143074849 -230.271522456934</t>
  </si>
  <si>
    <t>-646.290584485494 132.520956895579 -344.687107971342</t>
  </si>
  <si>
    <t>-666.151281159241 120.392719044052 -463.636672357054</t>
  </si>
  <si>
    <t>-676.167381028126 107.388309344673 -571.920723901594</t>
  </si>
  <si>
    <t>-678.343868620424 92.2247532418662 -680.365033005182</t>
  </si>
  <si>
    <t>-673.236706104321 68.7590499917658 -830.775423743586</t>
  </si>
  <si>
    <t>-641.325293429386 43.9060024416501 -924.300774904161</t>
  </si>
  <si>
    <t>-662.093009024469 107.693669899975 -768.222732120028</t>
  </si>
  <si>
    <t>-580.298040401572 229.783303797027 -762.945164351004</t>
  </si>
  <si>
    <t>-436.926770048335 200.745018257874 -482.253827179349</t>
  </si>
  <si>
    <t>-209.703110860736 127.584464550681 -379.011085505273</t>
  </si>
  <si>
    <t>-688.899886401575 50.5901707316427 -760.224271386702</t>
  </si>
  <si>
    <t>-447.657023183783 1.4300548924507 -364.118143251136</t>
  </si>
  <si>
    <t>-579.94436044189 232.147513768193 -245.692880568741</t>
  </si>
  <si>
    <t>-584.832697016009 207.520128525029 209.309528706881</t>
  </si>
  <si>
    <t>-629.167077384533 168.759502861673 675.61772040019</t>
  </si>
  <si>
    <t>-496.180681061925 95.3921931042687 764.360971835492</t>
  </si>
  <si>
    <t>-634.554730877497 48.6678703613202 -214.145055383409</t>
  </si>
  <si>
    <t>-465.947503682592 -63.293091529313 194.136647564279</t>
  </si>
  <si>
    <t>-547.510903659591 -22.2486845961648 654.992928678846</t>
  </si>
  <si>
    <t>-492.354791648803 -163.443143234453 744.242178287119</t>
  </si>
  <si>
    <t>9763-20170724T160545.295852800.bin</t>
  </si>
  <si>
    <t>-608.119580302007 140.393229034476 -230.323514658714</t>
  </si>
  <si>
    <t>-647.093992415602 132.672334868673 -344.731396188521</t>
  </si>
  <si>
    <t>-666.927752097366 120.846886237027 -463.716173427316</t>
  </si>
  <si>
    <t>-676.883804575018 108.191171597087 -572.047001215256</t>
  </si>
  <si>
    <t>-678.961326322378 93.4535465640997 -680.551839550556</t>
  </si>
  <si>
    <t>-673.672942901509 70.6625967784369 -831.059809686485</t>
  </si>
  <si>
    <t>-641.596429170812 46.2966476042768 -924.656702924226</t>
  </si>
  <si>
    <t>-662.690927234036 109.355317565663 -768.328663759315</t>
  </si>
  <si>
    <t>-581.053142544615 231.522981935715 -762.599347999057</t>
  </si>
  <si>
    <t>-435.448583623416 202.346637154069 -483.074243608736</t>
  </si>
  <si>
    <t>-207.156631516484 132.155674597065 -380.127284732357</t>
  </si>
  <si>
    <t>-689.334952950647 52.1383283181669 -760.600699661525</t>
  </si>
  <si>
    <t>-449.196729012887 3.16460929996515 -363.853038326895</t>
  </si>
  <si>
    <t>-580.702641320477 232.235057581358 -245.680983971171</t>
  </si>
  <si>
    <t>-585.363617262324 207.656779214439 209.326577148828</t>
  </si>
  <si>
    <t>-629.158748617091 168.821314584625 675.650215135939</t>
  </si>
  <si>
    <t>-496.217255582631 95.3795896238007 764.399217593587</t>
  </si>
  <si>
    <t>-635.369918753153 48.6362826865177 -214.257651899185</t>
  </si>
  <si>
    <t>-466.889460496091 -63.3424565972764 194.07155587926</t>
  </si>
  <si>
    <t>-547.626995152408 -22.2554571531207 655.079515910179</t>
  </si>
  <si>
    <t>-492.502181817585 -163.519022962011 744.238719094758</t>
  </si>
  <si>
    <t>9763-20170724T160545.327947700.bin</t>
  </si>
  <si>
    <t>-608.537857947226 140.367923140987 -230.306509601542</t>
  </si>
  <si>
    <t>-647.504521174215 132.692310657648 -344.720104753563</t>
  </si>
  <si>
    <t>-667.297202403335 120.995323154093 -463.724359496242</t>
  </si>
  <si>
    <t>-677.201397185795 108.487596406205 -572.076984306811</t>
  </si>
  <si>
    <t>-679.211630498025 93.9288012076647 -680.607477577233</t>
  </si>
  <si>
    <t>-673.81299832586 71.4176854877496 -831.153377843138</t>
  </si>
  <si>
    <t>-641.658200840502 47.245066007941 -924.773609664316</t>
  </si>
  <si>
    <t>-662.875206201534 109.992908691227 -768.342310304298</t>
  </si>
  <si>
    <t>-581.15262704305 232.131346295038 -762.466060788056</t>
  </si>
  <si>
    <t>-435.09030444176 202.42867571561 -483.235505085545</t>
  </si>
  <si>
    <t>-209.590326919527 135.407599845585 -372.330139546695</t>
  </si>
  <si>
    <t>-689.528367690775 52.7632548508079 -760.740541852294</t>
  </si>
  <si>
    <t>-450.015872369447 4.0727103701704 -363.914394721392</t>
  </si>
  <si>
    <t>-581.13074854219 232.204575293483 -245.646464805354</t>
  </si>
  <si>
    <t>-585.702829578005 207.711204754078 209.36660817031</t>
  </si>
  <si>
    <t>-629.181786753111 168.780228527681 675.680002632203</t>
  </si>
  <si>
    <t>-496.222666829297 95.3705905954955 764.42914647554</t>
  </si>
  <si>
    <t>-635.779320617262 48.5876224837971 -214.264700904223</t>
  </si>
  <si>
    <t>-467.210011696645 -63.4466559210962 194.012541587958</t>
  </si>
  <si>
    <t>-547.661228524633 -22.3085333308802 655.040802219796</t>
  </si>
  <si>
    <t>-492.56440831477 -163.574060061239 744.214146807745</t>
  </si>
  <si>
    <t>9763-20170724T160545.393900200.bin</t>
  </si>
  <si>
    <t>-609.337870388023 140.399734967608 -230.345309606623</t>
  </si>
  <si>
    <t>-648.391273054088 132.90596407108 -344.741497123472</t>
  </si>
  <si>
    <t>-668.116047420455 121.421823793808 -463.777634821243</t>
  </si>
  <si>
    <t>-677.894114813948 109.114302818624 -572.16460143758</t>
  </si>
  <si>
    <t>-679.713278473862 94.7613425572056 -680.725856300954</t>
  </si>
  <si>
    <t>-673.981830727259 72.5404438277387 -831.302688920844</t>
  </si>
  <si>
    <t>-641.695470862578 48.6377585258801 -924.946936568133</t>
  </si>
  <si>
    <t>-663.104721900231 110.959056432453 -768.385122653158</t>
  </si>
  <si>
    <t>-581.300547183113 233.005880203937 -762.259871684509</t>
  </si>
  <si>
    <t>-437.291509492808 202.425667909331 -482.05925221093</t>
  </si>
  <si>
    <t>-220.24908372118 135.617032315158 -355.286913395757</t>
  </si>
  <si>
    <t>-689.930883434676 53.7859911626563 -760.969171029409</t>
  </si>
  <si>
    <t>-451.734045887935 4.59259245802946 -364.031871332045</t>
  </si>
  <si>
    <t>-581.717612004015 232.160438352842 -245.650538904666</t>
  </si>
  <si>
    <t>-586.175903936347 207.849283175064 209.373475432405</t>
  </si>
  <si>
    <t>-629.155377435696 168.946314445438 675.720881417748</t>
  </si>
  <si>
    <t>-496.418956521592 95.1552894826093 764.487073506426</t>
  </si>
  <si>
    <t>-636.847096941976 48.6172495115297 -214.342352797533</t>
  </si>
  <si>
    <t>-467.892094520487 -63.50266577609 193.752083026979</t>
  </si>
  <si>
    <t>-547.649077565735 -22.397049720928 654.894745131153</t>
  </si>
  <si>
    <t>-492.634723769386 -163.648307390783 744.141728577088</t>
  </si>
  <si>
    <t>9763-20170724T160545.426968300.bin</t>
  </si>
  <si>
    <t>-609.621636225241 140.403043778784 -230.38856261386</t>
  </si>
  <si>
    <t>-648.693929614825 133.031180054332 -344.786149706328</t>
  </si>
  <si>
    <t>-668.37145333232 121.648944401753 -463.839988284233</t>
  </si>
  <si>
    <t>-678.078717424343 109.428337490506 -572.243280098722</t>
  </si>
  <si>
    <t>-679.798201175013 95.1595348451394 -680.817159005484</t>
  </si>
  <si>
    <t>-673.898149377695 73.0543169241257 -831.404417628779</t>
  </si>
  <si>
    <t>-641.518388191114 49.2637209233274 -925.045012985329</t>
  </si>
  <si>
    <t>-663.067056223199 111.413282636419 -768.442734477803</t>
  </si>
  <si>
    <t>-581.278843657994 233.447402081627 -762.096445162961</t>
  </si>
  <si>
    <t>-438.616904016926 202.674048931973 -481.228613252643</t>
  </si>
  <si>
    <t>-225.481788341932 133.198011031079 -349.363103464844</t>
  </si>
  <si>
    <t>-689.950454357685 54.2570604362527 -761.105833606768</t>
  </si>
  <si>
    <t>-452.437538768836 4.70055614221315 -364.157153475323</t>
  </si>
  <si>
    <t>-581.760278290585 232.111955240419 -245.663748009787</t>
  </si>
  <si>
    <t>-586.234848023729 207.835816893266 209.361751902709</t>
  </si>
  <si>
    <t>-629.145733668365 169.009803857514 675.727951930214</t>
  </si>
  <si>
    <t>-496.518348858249 95.0391574102555 764.507667211308</t>
  </si>
  <si>
    <t>-637.367794655536 48.6777463383526 -214.407435475722</t>
  </si>
  <si>
    <t>-468.352538927797 -63.6405549910821 193.607448979326</t>
  </si>
  <si>
    <t>-547.647467822482 -22.4151956043977 654.839737980847</t>
  </si>
  <si>
    <t>-492.699452816685 -163.685258912022 744.097726693082</t>
  </si>
  <si>
    <t>9763-20170724T160545.495173300.bin</t>
  </si>
  <si>
    <t>-610.041080350016 140.194467376886 -230.38109359285</t>
  </si>
  <si>
    <t>-649.07718864521 133.017759307045 -344.803464070171</t>
  </si>
  <si>
    <t>-668.529639934994 121.842132441867 -463.913829686619</t>
  </si>
  <si>
    <t>-677.95432175935 109.816105444573 -572.363879395727</t>
  </si>
  <si>
    <t>-679.311506062893 95.7523316595959 -680.969596164417</t>
  </si>
  <si>
    <t>-672.82454307341 73.9458057884613 -831.576346332585</t>
  </si>
  <si>
    <t>-640.088439354411 50.4056840916312 -925.156212238646</t>
  </si>
  <si>
    <t>-662.178527006148 112.152122035892 -768.490352416792</t>
  </si>
  <si>
    <t>-580.200346661532 234.027061341542 -761.483982321398</t>
  </si>
  <si>
    <t>-440.662358211354 202.381793033386 -479.147334025758</t>
  </si>
  <si>
    <t>-235.77531127106 126.418396172935 -338.105035178612</t>
  </si>
  <si>
    <t>-689.211159896981 55.0368685038195 -761.384924504637</t>
  </si>
  <si>
    <t>-452.983491984054 3.82002813163535 -364.379514739505</t>
  </si>
  <si>
    <t>-581.670412604165 231.853405210962 -245.655566935483</t>
  </si>
  <si>
    <t>-586.430252562599 207.742093121213 209.375877253191</t>
  </si>
  <si>
    <t>-629.149642644327 169.049891010482 675.755463568878</t>
  </si>
  <si>
    <t>-496.757685612173 94.7057096304266 764.574531973103</t>
  </si>
  <si>
    <t>-638.298648660805 48.463080069658 -214.460510344006</t>
  </si>
  <si>
    <t>-469.435579063623 -64.3256556387585 193.487665390552</t>
  </si>
  <si>
    <t>-547.799110707915 -22.4667711856096 654.849136544796</t>
  </si>
  <si>
    <t>-492.701071423872 -163.717442535529 744.045355211601</t>
  </si>
  <si>
    <t>9763-20170724T160545.523247000.bin</t>
  </si>
  <si>
    <t>-610.292727268632 139.973494695762 -230.362263111094</t>
  </si>
  <si>
    <t>-649.342833143648 132.919779616503 -344.787513551996</t>
  </si>
  <si>
    <t>-668.687431944717 121.864237899611 -463.926694134888</t>
  </si>
  <si>
    <t>-677.964006744498 109.945426111322 -572.401275249094</t>
  </si>
  <si>
    <t>-679.122016785443 95.9885156897431 -681.023158213236</t>
  </si>
  <si>
    <t>-672.305523590312 74.3305559862324 -831.636863673833</t>
  </si>
  <si>
    <t>-639.382298224021 50.8782534320737 -925.173118397042</t>
  </si>
  <si>
    <t>-661.749391549406 112.452348366492 -768.484452812672</t>
  </si>
  <si>
    <t>-579.671332815054 234.259360777185 -761.146726449989</t>
  </si>
  <si>
    <t>-441.355217764252 201.587135832159 -478.326407927066</t>
  </si>
  <si>
    <t>-240.705492296561 122.131977040407 -333.176073859451</t>
  </si>
  <si>
    <t>-688.893829109465 55.3747150959136 -761.505304227988</t>
  </si>
  <si>
    <t>-453.370753457524 3.2134638519417 -364.493149798203</t>
  </si>
  <si>
    <t>-581.608095236716 231.554473021167 -245.645070893533</t>
  </si>
  <si>
    <t>-586.475850029601 207.548698677754 209.390744407852</t>
  </si>
  <si>
    <t>-629.159564428926 168.977687801589 675.759711070524</t>
  </si>
  <si>
    <t>-496.799562609039 94.6276299381664 764.621466576197</t>
  </si>
  <si>
    <t>-638.872298214265 48.3581838846937 -214.423792935597</t>
  </si>
  <si>
    <t>-470.006835317221 -64.9591871789094 193.376780464705</t>
  </si>
  <si>
    <t>-547.839686479435 -22.4986984392203 654.791251192613</t>
  </si>
  <si>
    <t>-492.674985041026 -163.733491613194 743.971446605369</t>
  </si>
  <si>
    <t>9763-20170724T160545.596452500.bin</t>
  </si>
  <si>
    <t>-610.591610672786 139.442452423636 -230.35950408658</t>
  </si>
  <si>
    <t>-649.593359539708 132.552297326628 -344.811207898226</t>
  </si>
  <si>
    <t>-668.652711018026 121.640042212152 -464.009549425114</t>
  </si>
  <si>
    <t>-677.574679408125 109.838020886953 -572.526618877514</t>
  </si>
  <si>
    <t>-678.282619873042 95.9834986991705 -681.165506099278</t>
  </si>
  <si>
    <t>-670.74338910237 74.4513616444719 -831.76269692527</t>
  </si>
  <si>
    <t>-637.503996775929 51.100119204461 -925.212400036895</t>
  </si>
  <si>
    <t>-660.345099104227 112.452730882376 -768.511661182033</t>
  </si>
  <si>
    <t>-578.028903586739 234.048468870438 -760.719896337298</t>
  </si>
  <si>
    <t>-442.468908793145 200.228081175697 -476.702492379984</t>
  </si>
  <si>
    <t>-253.835807888584 109.010816305478 -322.627834862788</t>
  </si>
  <si>
    <t>-687.813493179511 55.5045231633485 -761.74452276539</t>
  </si>
  <si>
    <t>-453.564464408207 1.32081617279437 -365.033855603454</t>
  </si>
  <si>
    <t>-581.297296091099 230.728997838376 -245.661192996776</t>
  </si>
  <si>
    <t>-586.353755828976 207.045700425105 209.389471662805</t>
  </si>
  <si>
    <t>-629.159375854854 168.77107909039 675.730957528956</t>
  </si>
  <si>
    <t>-496.893532035003 94.4375814646608 764.746616698126</t>
  </si>
  <si>
    <t>-639.690726337698 48.0974472550361 -214.364882364883</t>
  </si>
  <si>
    <t>-470.883752260085 -66.2002112970008 193.186269427731</t>
  </si>
  <si>
    <t>-547.890413490929 -22.5341856304976 654.639407237923</t>
  </si>
  <si>
    <t>-492.676866521604 -163.779340171244 743.772941781773</t>
  </si>
  <si>
    <t>9763-20170724T160545.625530700.bin</t>
  </si>
  <si>
    <t>-610.699144764253 139.061768278894 -230.423060825729</t>
  </si>
  <si>
    <t>-649.639372832732 132.309860652873 -344.903870215993</t>
  </si>
  <si>
    <t>-668.564864128436 121.517583916198 -464.134498680449</t>
  </si>
  <si>
    <t>-677.337168569508 109.814557759871 -572.674487097525</t>
  </si>
  <si>
    <t>-677.867358182212 96.0491852658586 -681.325671512431</t>
  </si>
  <si>
    <t>-670.052911108903 74.6300612876391 -831.924974759364</t>
  </si>
  <si>
    <t>-636.726864398622 51.3499236943594 -925.361603166914</t>
  </si>
  <si>
    <t>-659.704278792488 112.552813501349 -768.618724189571</t>
  </si>
  <si>
    <t>-577.24474949671 234.048121276595 -760.584909379068</t>
  </si>
  <si>
    <t>-443.288792402208 199.560583710676 -475.887562865153</t>
  </si>
  <si>
    <t>-256.840291704951 104.626784195018 -321.399401794456</t>
  </si>
  <si>
    <t>-687.316985672638 55.6617394007519 -761.960222368564</t>
  </si>
  <si>
    <t>-453.450753157619 0.155896732438123 -365.273912911994</t>
  </si>
  <si>
    <t>-581.145451542525 230.248505349418 -245.681770976109</t>
  </si>
  <si>
    <t>-586.411957289635 206.709002716157 209.374005766019</t>
  </si>
  <si>
    <t>-629.188654835662 168.567163818518 675.717814370427</t>
  </si>
  <si>
    <t>-496.913072385821 94.3710034366968 764.833565800815</t>
  </si>
  <si>
    <t>-640.104652738479 47.8463563840533 -214.488279564179</t>
  </si>
  <si>
    <t>-471.40567674654 -66.7232156018854 193.031192546779</t>
  </si>
  <si>
    <t>-547.91494019407 -22.5533927750007 654.558138687052</t>
  </si>
  <si>
    <t>-492.685935298628 -163.808359763773 743.666432407083</t>
  </si>
  <si>
    <t>9763-20170724T160545.691711000.bin</t>
  </si>
  <si>
    <t>-610.804793660327 138.347567328372 -230.720826795442</t>
  </si>
  <si>
    <t>-649.492290767943 131.856387413772 -345.302481162958</t>
  </si>
  <si>
    <t>-668.159122031002 121.293828356245 -464.594306786967</t>
  </si>
  <si>
    <t>-676.699187936493 109.781222113037 -573.173205532294</t>
  </si>
  <si>
    <t>-677.000547979362 96.1873923158328 -681.846836772579</t>
  </si>
  <si>
    <t>-668.873350851297 74.9853934650089 -832.46041388644</t>
  </si>
  <si>
    <t>-635.463896865923 51.7804095967469 -925.885785687324</t>
  </si>
  <si>
    <t>-658.546792319733 112.765152012277 -769.064985307568</t>
  </si>
  <si>
    <t>-575.975848023352 234.156151737349 -760.681857297565</t>
  </si>
  <si>
    <t>-444.939643891897 197.790750101446 -474.861516743879</t>
  </si>
  <si>
    <t>-266.211848516993 93.65983864853 -317.206218267066</t>
  </si>
  <si>
    <t>-686.391902381066 55.9681753392922 -762.572080035161</t>
  </si>
  <si>
    <t>-580.790032186879 229.371469159496 -245.753297204834</t>
  </si>
  <si>
    <t>-586.308353623068 206.034511296934 209.309877290543</t>
  </si>
  <si>
    <t>-629.246637572227 168.228336610191 675.698704472921</t>
  </si>
  <si>
    <t>-496.984477376983 94.2028372010707 764.976142352417</t>
  </si>
  <si>
    <t>-640.657896102429 47.3026390650045 -214.983313865366</t>
  </si>
  <si>
    <t>-472.669996128161 -67.5215415696416 192.75818971438</t>
  </si>
  <si>
    <t>-548.05155630489 -22.5941030536685 654.466894380101</t>
  </si>
  <si>
    <t>-492.69961023212 -163.870632349169 743.464796462168</t>
  </si>
  <si>
    <t>9763-20170724T160545.725802400.bin</t>
  </si>
  <si>
    <t>-610.666164637117 138.042804222976 -230.853179987421</t>
  </si>
  <si>
    <t>-649.208880848554 131.68999588207 -345.49134959973</t>
  </si>
  <si>
    <t>-667.769961410753 121.25776618538 -464.811067201903</t>
  </si>
  <si>
    <t>-676.232606521975 109.856552048375 -573.407853026949</t>
  </si>
  <si>
    <t>-676.476310208061 96.3654204941072 -682.094436513891</t>
  </si>
  <si>
    <t>-668.290172980897 75.2958018784982 -832.723445870687</t>
  </si>
  <si>
    <t>-634.912023361419 52.1251511221576 -926.168599676507</t>
  </si>
  <si>
    <t>-657.929179916016 112.991368119876 -769.283668707252</t>
  </si>
  <si>
    <t>-575.149582093192 234.228369997645 -760.73753922181</t>
  </si>
  <si>
    <t>-446.186387237751 196.935866792239 -474.095029914333</t>
  </si>
  <si>
    <t>-269.540380858023 90.0271451707531 -315.953281234657</t>
  </si>
  <si>
    <t>-685.895385453768 56.2455448424678 -762.865854586547</t>
  </si>
  <si>
    <t>-580.455910786425 229.005683030392 -245.78536606649</t>
  </si>
  <si>
    <t>-586.1233101539 205.72777512913 209.279132418309</t>
  </si>
  <si>
    <t>-629.249913663664 168.181028948509 675.6739797905</t>
  </si>
  <si>
    <t>-496.992235750746 94.2159703198909 765.008117668029</t>
  </si>
  <si>
    <t>-640.70642804789 47.0697888934135 -215.260127028205</t>
  </si>
  <si>
    <t>-473.356445635675 -67.982746620974 192.67925670138</t>
  </si>
  <si>
    <t>-548.152712886117 -22.6085673669882 654.464611999051</t>
  </si>
  <si>
    <t>-492.666950356029 -163.882033315225 743.384042362577</t>
  </si>
  <si>
    <t>9763-20170724T160545.793002100.bin</t>
  </si>
  <si>
    <t>-609.962144258326 137.567687275528 -231.010782953206</t>
  </si>
  <si>
    <t>-648.351421306425 131.422261888995 -345.711731412237</t>
  </si>
  <si>
    <t>-666.837917643421 121.236410024109 -465.064383849151</t>
  </si>
  <si>
    <t>-675.267230098151 110.071141795323 -573.688254251207</t>
  </si>
  <si>
    <t>-675.511642338912 96.8286106915666 -682.405440277882</t>
  </si>
  <si>
    <t>-667.362176697372 76.1161359578923 -833.085872125865</t>
  </si>
  <si>
    <t>-634.146630636643 53.016967628764 -926.606629138524</t>
  </si>
  <si>
    <t>-656.875359438042 113.608113003508 -769.546066046864</t>
  </si>
  <si>
    <t>-573.809928908979 234.634760786178 -760.667324696132</t>
  </si>
  <si>
    <t>-448.298309247299 194.870737714618 -472.827326301404</t>
  </si>
  <si>
    <t>-278.679577541036 79.4025848516274 -313.019279892427</t>
  </si>
  <si>
    <t>-685.060758177373 56.9534263224355 -763.282752754825</t>
  </si>
  <si>
    <t>-579.314319119185 228.360473689767 -245.82929847325</t>
  </si>
  <si>
    <t>-585.3477947738 205.088118498968 209.230811798804</t>
  </si>
  <si>
    <t>-629.257175306461 167.962915816228 675.590701905206</t>
  </si>
  <si>
    <t>-496.927624836189 94.284550956583 765.055198340826</t>
  </si>
  <si>
    <t>-640.49166101142 46.7719112514965 -215.52060553893</t>
  </si>
  <si>
    <t>-474.657338968135 -69.4665925476377 192.701495957655</t>
  </si>
  <si>
    <t>-548.389850092861 -22.6355136389932 654.527392051933</t>
  </si>
  <si>
    <t>-492.760200600692 -163.960419941039 743.274883328249</t>
  </si>
  <si>
    <t>9763-20170724T160545.824084600.bin</t>
  </si>
  <si>
    <t>-609.468462742244 137.337838852046 -230.958949189869</t>
  </si>
  <si>
    <t>-647.853063966939 131.235427889453 -345.66373800566</t>
  </si>
  <si>
    <t>-666.384800453913 121.132116285366 -465.016458085985</t>
  </si>
  <si>
    <t>-674.875072940463 110.057193377546 -573.644802443752</t>
  </si>
  <si>
    <t>-675.200015004052 96.9206067437603 -682.374589918742</t>
  </si>
  <si>
    <t>-667.181954249709 76.3716141837724 -833.084355498725</t>
  </si>
  <si>
    <t>-634.103439575815 53.2686505877605 -926.652769542585</t>
  </si>
  <si>
    <t>-656.57530002616 113.763475180582 -769.50548425958</t>
  </si>
  <si>
    <t>-573.241621468788 234.596509499841 -760.437121585351</t>
  </si>
  <si>
    <t>-449.349707441788 193.778394063262 -472.043541210973</t>
  </si>
  <si>
    <t>-282.153572921025 74.4991335871659 -312.48165214733</t>
  </si>
  <si>
    <t>-684.884004959317 57.164445351458 -763.294446933881</t>
  </si>
  <si>
    <t>-578.550200796419 228.024428303702 -245.814928320424</t>
  </si>
  <si>
    <t>-584.86747918677 204.812777638534 209.244392113765</t>
  </si>
  <si>
    <t>-629.256294293778 167.921085297075 675.563659356041</t>
  </si>
  <si>
    <t>-496.966608954552 94.2457302462269 765.089546432503</t>
  </si>
  <si>
    <t>-640.291585927187 46.6255508214413 -215.423102040013</t>
  </si>
  <si>
    <t>-475.092511274571 -70.4835329422622 192.807749903356</t>
  </si>
  <si>
    <t>-548.50351431284 -22.6155950820919 654.579475061562</t>
  </si>
  <si>
    <t>-492.936972086787 -164.029886539641 743.224120493241</t>
  </si>
  <si>
    <t>9763-20170724T160545.892273800.bin</t>
  </si>
  <si>
    <t>-608.230277869128 136.640783443564 -230.811822713483</t>
  </si>
  <si>
    <t>-646.590290041866 130.54347726152 -345.525170582506</t>
  </si>
  <si>
    <t>-665.303619619327 120.576421617605 -464.860943006615</t>
  </si>
  <si>
    <t>-674.041565717874 109.67909743176 -573.487656596594</t>
  </si>
  <si>
    <t>-674.695250450404 96.7759986662691 -682.243912767831</t>
  </si>
  <si>
    <t>-667.215745554277 76.6100598851949 -833.033036761608</t>
  </si>
  <si>
    <t>-634.517779577544 53.5517648922119 -926.746246739132</t>
  </si>
  <si>
    <t>-656.251386640341 113.776256684003 -769.382715346004</t>
  </si>
  <si>
    <t>-572.548707184109 234.321688051572 -760.069876260591</t>
  </si>
  <si>
    <t>-450.380916844364 191.242068721825 -471.269929092473</t>
  </si>
  <si>
    <t>-287.687207095847 65.0430644857483 -312.378175287542</t>
  </si>
  <si>
    <t>-684.799049736691 57.2894176001466 -763.244507357433</t>
  </si>
  <si>
    <t>-576.756709491885 227.181678769662 -245.779316759575</t>
  </si>
  <si>
    <t>-583.910108307691 204.191331562558 209.278770151494</t>
  </si>
  <si>
    <t>-629.284198524075 167.767336982294 675.497965569081</t>
  </si>
  <si>
    <t>-497.04739376668 94.1797284835138 765.17405307067</t>
  </si>
  <si>
    <t>-639.562064204951 46.0859048765085 -215.184092745217</t>
  </si>
  <si>
    <t>-475.384393438729 -72.672628430043 192.982207951089</t>
  </si>
  <si>
    <t>-548.569352166509 -22.5456631050984 654.631980125424</t>
  </si>
  <si>
    <t>-493.333298301068 -164.216080801706 743.073931254012</t>
  </si>
  <si>
    <t>9763-20170724T160545.930377300.bin</t>
  </si>
  <si>
    <t>-607.406673622387 136.270380187705 -230.784336108709</t>
  </si>
  <si>
    <t>-645.774366646095 130.187079674597 -345.495741509916</t>
  </si>
  <si>
    <t>-664.639580070518 120.292016550187 -464.813669036578</t>
  </si>
  <si>
    <t>-673.57351392722 109.484176875375 -573.433275219657</t>
  </si>
  <si>
    <t>-674.480563005199 96.6958360843062 -682.201440338359</t>
  </si>
  <si>
    <t>-667.41122008236 76.7161348645102 -833.035149341613</t>
  </si>
  <si>
    <t>-634.952015065323 53.691661431676 -926.839564454727</t>
  </si>
  <si>
    <t>-656.209663696277 113.771965685089 -769.361831525409</t>
  </si>
  <si>
    <t>-572.357606651206 234.214458628328 -760.053531826551</t>
  </si>
  <si>
    <t>-450.503223180741 190.237339884318 -471.256400403306</t>
  </si>
  <si>
    <t>-289.976368505561 60.7646856346435 -312.795117311776</t>
  </si>
  <si>
    <t>-684.868796115744 57.3409945245148 -763.230011606259</t>
  </si>
  <si>
    <t>-575.769972370428 226.758245889597 -245.807857391323</t>
  </si>
  <si>
    <t>-583.360698096246 203.850427570866 209.247368180737</t>
  </si>
  <si>
    <t>-629.249400371015 167.828413916091 675.445255973368</t>
  </si>
  <si>
    <t>-497.188884126087 94.0498908787281 765.224244762591</t>
  </si>
  <si>
    <t>-638.894757128205 45.8258016423215 -215.07509163985</t>
  </si>
  <si>
    <t>-475.223653212758 -73.5141627351293 193.125119762091</t>
  </si>
  <si>
    <t>-548.511471564546 -22.4781171227742 654.623161805962</t>
  </si>
  <si>
    <t>-493.554117705392 -164.30404116807 742.989485955868</t>
  </si>
  <si>
    <t>9763-20170724T160545.990540800.bin</t>
  </si>
  <si>
    <t>-605.634337343818 135.349492956524 -230.875834216041</t>
  </si>
  <si>
    <t>-643.979104712888 129.344004082608 -345.598981655982</t>
  </si>
  <si>
    <t>-663.141039095204 119.610353642291 -464.882868514711</t>
  </si>
  <si>
    <t>-672.473953036304 108.985174523375 -573.487005615072</t>
  </si>
  <si>
    <t>-673.909216648485 96.4176056971044 -682.275092052328</t>
  </si>
  <si>
    <t>-667.705446239671 76.785741215599 -833.192733971148</t>
  </si>
  <si>
    <t>-635.745581278129 53.8103247617146 -927.180298145515</t>
  </si>
  <si>
    <t>-656.0204077517 113.635939610378 -769.486694153777</t>
  </si>
  <si>
    <t>-571.899991448463 233.907449238394 -760.423194765305</t>
  </si>
  <si>
    <t>-451.384351334758 187.982071317285 -471.367878092159</t>
  </si>
  <si>
    <t>-294.485635044799 52.1647984317142 -314.592538098223</t>
  </si>
  <si>
    <t>-684.880434650267 57.308526668048 -763.345861865274</t>
  </si>
  <si>
    <t>-573.742834950787 225.622516724029 -245.914376964274</t>
  </si>
  <si>
    <t>-582.093966333684 202.79252935951 209.131491588145</t>
  </si>
  <si>
    <t>-629.231052423531 167.811043880917 675.344880886444</t>
  </si>
  <si>
    <t>-497.339799203036 93.9234449638741 765.282861480197</t>
  </si>
  <si>
    <t>-637.315906423914 45.1200768393378 -215.160988402362</t>
  </si>
  <si>
    <t>-474.357831361682 -74.4372223740579 193.260840403337</t>
  </si>
  <si>
    <t>-548.211719945146 -22.3673334254506 654.474850905165</t>
  </si>
  <si>
    <t>-494.050363195438 -164.486079183836 742.862098212282</t>
  </si>
  <si>
    <t>9763-20170724T160546.029642900.bin</t>
  </si>
  <si>
    <t>-604.667555672822 134.963848453448 -230.932274085037</t>
  </si>
  <si>
    <t>-642.990429745019 129.024668149945 -345.666174678912</t>
  </si>
  <si>
    <t>-662.303685603215 119.416948355781 -464.935996662679</t>
  </si>
  <si>
    <t>-671.843883961122 108.932900175315 -573.535725143503</t>
  </si>
  <si>
    <t>-673.555312205215 96.5360449604902 -682.33934435922</t>
  </si>
  <si>
    <t>-667.805310699862 77.1735455912499 -833.309774293215</t>
  </si>
  <si>
    <t>-636.097481312323 54.2591129974348 -927.397662071512</t>
  </si>
  <si>
    <t>-655.879236822536 113.885195811827 -769.568454800747</t>
  </si>
  <si>
    <t>-571.674725297807 234.096287168163 -760.597321746704</t>
  </si>
  <si>
    <t>-452.148064586676 186.798704697832 -471.35262325078</t>
  </si>
  <si>
    <t>-296.74855564996 47.802117557289 -315.875947452466</t>
  </si>
  <si>
    <t>-684.819753137881 57.5965352653006 -763.45153626853</t>
  </si>
  <si>
    <t>-572.70294667889 225.149002571929 -245.953571089658</t>
  </si>
  <si>
    <t>-581.60353689087 202.339018045695 209.082784755027</t>
  </si>
  <si>
    <t>-629.214600702369 167.942987579069 675.312395322388</t>
  </si>
  <si>
    <t>-497.53179982248 93.7628824436063 765.314994027054</t>
  </si>
  <si>
    <t>-636.482661467599 44.8458165636885 -215.200453019729</t>
  </si>
  <si>
    <t>-473.66120257245 -74.6176016703955 193.303397586119</t>
  </si>
  <si>
    <t>-548.057401835965 -22.3641426760123 654.367878756912</t>
  </si>
  <si>
    <t>-494.266140499655 -164.579317754321 742.826096230723</t>
  </si>
  <si>
    <t>9763-20170724T160546.060225100.bin</t>
  </si>
  <si>
    <t>-603.616581642549 134.571347871495 -230.983302334087</t>
  </si>
  <si>
    <t>-641.866314935238 128.676604154357 -345.743996772813</t>
  </si>
  <si>
    <t>-661.310075448959 119.192728958574 -465.002263065274</t>
  </si>
  <si>
    <t>-671.051091238394 108.858362498988 -573.598628548313</t>
  </si>
  <si>
    <t>-673.044424210001 96.6523868061652 -682.41917189412</t>
  </si>
  <si>
    <t>-667.768073356709 77.6009743940301 -833.4462569016</t>
  </si>
  <si>
    <t>-636.317551231499 54.7505713610969 -927.636068966472</t>
  </si>
  <si>
    <t>-655.597774674655 114.159034920509 -769.662926382006</t>
  </si>
  <si>
    <t>-571.256561547219 234.276960540039 -760.693806914987</t>
  </si>
  <si>
    <t>-452.829691779928 185.522104911518 -471.238627390247</t>
  </si>
  <si>
    <t>-298.719129069071 43.4890754167984 -317.230163976258</t>
  </si>
  <si>
    <t>-684.607588539119 57.9022634684191 -763.579919622058</t>
  </si>
  <si>
    <t>-571.492098201079 224.665936028186 -245.991908010846</t>
  </si>
  <si>
    <t>-581.241103487867 202.114584685438 209.040044629791</t>
  </si>
  <si>
    <t>-629.212941511025 168.104857403046 675.316503157367</t>
  </si>
  <si>
    <t>-497.733291317564 93.5686142770112 765.321847907712</t>
  </si>
  <si>
    <t>-635.602681221077 44.5085781571345 -215.273368705252</t>
  </si>
  <si>
    <t>-472.955980729486 -74.7164802200841 193.369689480131</t>
  </si>
  <si>
    <t>-547.95267556662 -22.3975190541605 654.287769842122</t>
  </si>
  <si>
    <t>-494.335565409377 -164.635582497801 742.814913191048</t>
  </si>
  <si>
    <t>9763-20170724T160546.128428300.bin</t>
  </si>
  <si>
    <t>-601.165568849073 133.695994041146 -230.878723116442</t>
  </si>
  <si>
    <t>-639.325024320575 127.8217460708 -345.670441012003</t>
  </si>
  <si>
    <t>-659.089316684349 118.537483220388 -464.891834815131</t>
  </si>
  <si>
    <t>-669.286065360018 108.468147430602 -573.47129279418</t>
  </si>
  <si>
    <t>-671.897486522429 96.618688256646 -682.318039932198</t>
  </si>
  <si>
    <t>-667.644137586298 78.1637540703659 -833.451619377545</t>
  </si>
  <si>
    <t>-636.76277888702 55.463299033888 -927.865534362602</t>
  </si>
  <si>
    <t>-654.982135123119 114.439738495532 -769.602831788342</t>
  </si>
  <si>
    <t>-570.458415516863 234.449788846706 -760.787127996471</t>
  </si>
  <si>
    <t>-454.23318387977 182.079815427107 -471.071219111418</t>
  </si>
  <si>
    <t>-302.812219419635 34.1471198334373 -319.976413597946</t>
  </si>
  <si>
    <t>-684.070015436353 58.2193304935297 -763.556471970281</t>
  </si>
  <si>
    <t>-568.749116265444 223.697189371291 -245.988841761525</t>
  </si>
  <si>
    <t>-580.034074851422 201.657542268841 209.032606434819</t>
  </si>
  <si>
    <t>-629.195532769207 168.3474837879 675.293523168936</t>
  </si>
  <si>
    <t>-498.091296936514 93.1662822500139 765.310062144225</t>
  </si>
  <si>
    <t>-633.471630896571 43.7275584740985 -215.16828151991</t>
  </si>
  <si>
    <t>-471.413079314043 -75.3953517123703 193.738113060041</t>
  </si>
  <si>
    <t>-547.711289883881 -22.3785350839389 654.291181539231</t>
  </si>
  <si>
    <t>-494.42408085241 -164.707103674642 742.871976938861</t>
  </si>
  <si>
    <t>9763-20170724T160546.192111400.bin</t>
  </si>
  <si>
    <t>-598.009578176695 132.723322819128 -230.614229733059</t>
  </si>
  <si>
    <t>-636.134394347545 126.84896209364 -345.417540657551</t>
  </si>
  <si>
    <t>-656.310212967252 117.704571388902 -464.58068519242</t>
  </si>
  <si>
    <t>-667.060532463709 107.828112269744 -573.124493420598</t>
  </si>
  <si>
    <t>-670.404051844362 96.2438346521835 -681.979745841008</t>
  </si>
  <si>
    <t>-667.349937960072 78.2372929362534 -833.196240130732</t>
  </si>
  <si>
    <t>-637.081625002104 55.6605141208722 -927.838192385059</t>
  </si>
  <si>
    <t>-654.145996514495 114.305852174052 -769.339821642435</t>
  </si>
  <si>
    <t>-569.655250994377 234.387190741091 -761.13683356317</t>
  </si>
  <si>
    <t>-455.497745859094 178.541504506201 -471.248062001809</t>
  </si>
  <si>
    <t>-306.834561279871 23.8836736008993 -324.202779997023</t>
  </si>
  <si>
    <t>-683.256590651022 58.1033959774757 -763.235436883244</t>
  </si>
  <si>
    <t>-565.372235222357 222.463278761515 -245.802907897866</t>
  </si>
  <si>
    <t>-578.17570428182 200.803919107564 209.196583699153</t>
  </si>
  <si>
    <t>-629.291276457597 167.996678120569 675.285036013765</t>
  </si>
  <si>
    <t>-498.175875131139 92.9841269727935 765.425903924878</t>
  </si>
  <si>
    <t>-630.448801954841 42.9609965429602 -214.824687874205</t>
  </si>
  <si>
    <t>-469.478726851251 -76.8529639856099 194.309680446885</t>
  </si>
  <si>
    <t>-547.451147696732 -22.2866044451464 654.376584229302</t>
  </si>
  <si>
    <t>-494.569565387463 -164.782649382624 742.931179211733</t>
  </si>
  <si>
    <t>9763-20170724T160546.225200300.bin</t>
  </si>
  <si>
    <t>-596.336131663933 132.139414179183 -230.502363173442</t>
  </si>
  <si>
    <t>-634.474185604939 126.240594556732 -345.300032648338</t>
  </si>
  <si>
    <t>-654.915846956686 117.143854621523 -464.421573602082</t>
  </si>
  <si>
    <t>-666.010132175093 107.340277791059 -572.937303583622</t>
  </si>
  <si>
    <t>-669.800463629335 95.8589069476259 -681.788863413321</t>
  </si>
  <si>
    <t>-667.472845895215 78.026817212683 -833.038968043769</t>
  </si>
  <si>
    <t>-637.544950732657 55.4554251617546 -927.790360469026</t>
  </si>
  <si>
    <t>-653.947511466679 114.014160627561 -769.204137462553</t>
  </si>
  <si>
    <t>-569.498737691228 234.169651176099 -761.442322621406</t>
  </si>
  <si>
    <t>-456.467415106272 176.384143032504 -471.492502161429</t>
  </si>
  <si>
    <t>-309.926287547615 16.5577530540093 -327.884471758985</t>
  </si>
  <si>
    <t>-683.057960217691 57.8197879842035 -763.026890787814</t>
  </si>
  <si>
    <t>-563.807506573544 221.833006742281 -245.669677268362</t>
  </si>
  <si>
    <t>-577.15834103318 200.082120295384 209.30987777167</t>
  </si>
  <si>
    <t>-629.422491946339 167.504863665902 675.312707587873</t>
  </si>
  <si>
    <t>-498.083240923118 93.0327308827359 765.575769558528</t>
  </si>
  <si>
    <t>-628.693856625335 42.4077805769584 -214.678603292441</t>
  </si>
  <si>
    <t>-468.35247080016 -77.6630850202082 194.627262018672</t>
  </si>
  <si>
    <t>-547.368357326919 -22.2736741553849 654.420354327287</t>
  </si>
  <si>
    <t>-494.59995474882 -164.816101216201 742.967993899534</t>
  </si>
  <si>
    <t>9763-20170724T160546.297999600.bin</t>
  </si>
  <si>
    <t>-593.409965093279 130.905209365456 -229.907860620805</t>
  </si>
  <si>
    <t>-631.486751761887 124.880580459138 -344.719261382959</t>
  </si>
  <si>
    <t>-652.378396844294 115.825544494346 -463.765983745536</t>
  </si>
  <si>
    <t>-664.09029860743 106.124395522833 -572.225978816486</t>
  </si>
  <si>
    <t>-668.708877570321 94.8073409788983 -681.062749984881</t>
  </si>
  <si>
    <t>-667.750253460326 77.2651398647013 -832.361654195143</t>
  </si>
  <si>
    <t>-638.493107751794 54.6600982870359 -927.314333932157</t>
  </si>
  <si>
    <t>-653.619938400021 113.116108969509 -768.581166105477</t>
  </si>
  <si>
    <t>-569.546184194221 233.583489250105 -762.061819424867</t>
  </si>
  <si>
    <t>-459.586044094013 172.671497676785 -471.571468713334</t>
  </si>
  <si>
    <t>-314.558883630253 4.68561557766088 -335.962116826444</t>
  </si>
  <si>
    <t>-682.728922505623 56.937891238839 -762.252005080941</t>
  </si>
  <si>
    <t>-561.426589597586 220.65638930644 -244.923861990475</t>
  </si>
  <si>
    <t>-575.746734523572 198.660870415122 210.014345797356</t>
  </si>
  <si>
    <t>-630.397186195864 166.424212144158 676.158909214346</t>
  </si>
  <si>
    <t>-498.102387750999 92.9241731772208 765.821301422349</t>
  </si>
  <si>
    <t>-625.326653174358 41.1854910382651 -214.141649586657</t>
  </si>
  <si>
    <t>-466.149208957628 -79.1057108588852 195.553716862186</t>
  </si>
  <si>
    <t>-547.326772094096 -22.3370439922587 654.706184146522</t>
  </si>
  <si>
    <t>-494.437961658912 -164.853534484262 743.223722246321</t>
  </si>
  <si>
    <t>9763-20170724T160546.325070400.bin</t>
  </si>
  <si>
    <t>-592.285780344934 130.253945937649 -229.332250513603</t>
  </si>
  <si>
    <t>-630.314825022713 124.100411070678 -344.152741290616</t>
  </si>
  <si>
    <t>-651.41790859861 115.037817186044 -463.16146785408</t>
  </si>
  <si>
    <t>-663.427699162297 105.375561210373 -571.592332249226</t>
  </si>
  <si>
    <t>-668.451195026599 94.1400878943823 -680.419634180697</t>
  </si>
  <si>
    <t>-668.166091592223 76.7532815066852 -831.739239400849</t>
  </si>
  <si>
    <t>-639.271236987616 54.1254703215657 -926.797341837686</t>
  </si>
  <si>
    <t>-653.747425032689 112.536536797329 -767.985134614057</t>
  </si>
  <si>
    <t>-569.749671448652 233.12298100285 -762.128260777874</t>
  </si>
  <si>
    <t>-462.394266069341 170.437460240951 -471.04150927578</t>
  </si>
  <si>
    <t>-682.837115956541 56.356198333277 -761.584875629034</t>
  </si>
  <si>
    <t>-560.752030590876 219.987605260201 -244.199485480428</t>
  </si>
  <si>
    <t>-575.501987516036 198.055657632934 210.728058310306</t>
  </si>
  <si>
    <t>-631.193575130351 165.976366850896 676.931986310831</t>
  </si>
  <si>
    <t>-498.064256374234 93.0047949854784 765.787159664101</t>
  </si>
  <si>
    <t>-623.799217340625 40.5165606111211 -213.65661182101</t>
  </si>
  <si>
    <t>-465.156155736865 -79.7750520438792 196.245779564875</t>
  </si>
  <si>
    <t>-547.334630189011 -22.3744572772764 655.049998583617</t>
  </si>
  <si>
    <t>-494.313197492026 -164.865647610481 743.528853080561</t>
  </si>
  <si>
    <t>9763-20170724T160546.394260600.bin</t>
  </si>
  <si>
    <t>-590.455992628591 129.101744087171 -227.972445754713</t>
  </si>
  <si>
    <t>-628.448331433934 122.733311150068 -342.793188239888</t>
  </si>
  <si>
    <t>-649.86644187298 113.753386341954 -461.751994430211</t>
  </si>
  <si>
    <t>-662.304239631765 104.277580553557 -570.151195331838</t>
  </si>
  <si>
    <t>-667.898021716881 93.3340315229309 -678.980358304128</t>
  </si>
  <si>
    <t>-668.552681529702 76.4564494590029 -830.356409105233</t>
  </si>
  <si>
    <t>-640.201389372344 53.8985631299645 -925.594792076878</t>
  </si>
  <si>
    <t>-653.764273491376 112.038579262134 -766.574515005733</t>
  </si>
  <si>
    <t>-569.780830690697 232.599398107651 -761.302862925486</t>
  </si>
  <si>
    <t>-468.446885785013 165.231134763301 -469.105765740311</t>
  </si>
  <si>
    <t>-682.761793653871 55.8098904152723 -760.179961790825</t>
  </si>
  <si>
    <t>-559.841731316358 218.990487899527 -242.649264163511</t>
  </si>
  <si>
    <t>-575.022329895963 196.870732815813 212.255087612162</t>
  </si>
  <si>
    <t>-632.631446491678 165.48468304242 678.200526768835</t>
  </si>
  <si>
    <t>-498.106543147329 93.1912930293195 765.494391957691</t>
  </si>
  <si>
    <t>-620.924985840935 39.2960099580496 -212.506230847765</t>
  </si>
  <si>
    <t>-463.302958721279 -80.8425051317088 197.834719461389</t>
  </si>
  <si>
    <t>-547.264294461794 -22.401929998071 655.99322172251</t>
  </si>
  <si>
    <t>-493.954861086543 -164.861208267766 744.350335225492</t>
  </si>
  <si>
    <t>9763-20170724T160546.426362200.bin</t>
  </si>
  <si>
    <t>-589.604551848012 128.548536976038 -227.407598608046</t>
  </si>
  <si>
    <t>-627.603028715527 122.090871016948 -342.221427536307</t>
  </si>
  <si>
    <t>-649.14399078204 113.23578248441 -461.167503486215</t>
  </si>
  <si>
    <t>-661.738130065974 103.956446236346 -569.565426776564</t>
  </si>
  <si>
    <t>-667.532293092391 93.2900804332053 -678.41170432075</t>
  </si>
  <si>
    <t>-668.50938192274 76.8798767500275 -829.837503940703</t>
  </si>
  <si>
    <t>-640.363872124912 54.4928237493971 -925.177087313651</t>
  </si>
  <si>
    <t>-653.633558586466 112.289685787799 -765.979927111385</t>
  </si>
  <si>
    <t>-569.682367625564 232.893575515069 -760.556083984281</t>
  </si>
  <si>
    <t>-470.48440540754 163.399610569996 -468.123960334899</t>
  </si>
  <si>
    <t>-682.520493734943 55.9921394231681 -759.692510662577</t>
  </si>
  <si>
    <t>-559.402918792194 218.442147783756 -242.096630888397</t>
  </si>
  <si>
    <t>-574.441231639383 196.061196882131 212.799595306863</t>
  </si>
  <si>
    <t>-633.085660187038 165.197986767983 678.53721168014</t>
  </si>
  <si>
    <t>-498.018103787095 93.3812618550303 765.385501927664</t>
  </si>
  <si>
    <t>-619.586493130897 38.7457874902746 -211.973931281069</t>
  </si>
  <si>
    <t>-462.418594493216 -81.2325708848916 198.588029587076</t>
  </si>
  <si>
    <t>-547.194297146886 -22.385938440136 656.479736267817</t>
  </si>
  <si>
    <t>-493.816829824298 -164.866296169707 744.761655487838</t>
  </si>
  <si>
    <t>9763-20170724T160546.491541000.bin</t>
  </si>
  <si>
    <t>-587.634339584823 127.512984441824 -226.60114826328</t>
  </si>
  <si>
    <t>-625.723903929695 120.972339526304 -341.380078648298</t>
  </si>
  <si>
    <t>-647.37605793033 112.330147710365 -460.321479678167</t>
  </si>
  <si>
    <t>-660.073197936235 103.364734421982 -568.73397499966</t>
  </si>
  <si>
    <t>-665.969209750632 93.1338754899516 -677.616526675246</t>
  </si>
  <si>
    <t>-667.083374521228 77.455692177565 -829.11881877576</t>
  </si>
  <si>
    <t>-639.141694356161 55.4385992978823 -924.604362965245</t>
  </si>
  <si>
    <t>-652.329275833185 112.647052023568 -765.112491418793</t>
  </si>
  <si>
    <t>-569.15738531643 233.757219646701 -759.199591885085</t>
  </si>
  <si>
    <t>-470.244052271824 162.790068033063 -467.024934667915</t>
  </si>
  <si>
    <t>-680.851477354204 56.1385870883005 -759.055040388613</t>
  </si>
  <si>
    <t>-558.114587748505 217.458608310288 -241.379785981157</t>
  </si>
  <si>
    <t>-572.628857749747 194.437540236676 213.501537414615</t>
  </si>
  <si>
    <t>-633.519805964974 164.829368671312 678.917821212905</t>
  </si>
  <si>
    <t>-497.878790032253 93.6149462417357 765.367439885117</t>
  </si>
  <si>
    <t>-616.900686322113 37.6412716508228 -211.26056747875</t>
  </si>
  <si>
    <t>-460.664168107278 -81.675574096123 199.849277188661</t>
  </si>
  <si>
    <t>-547.119215567081 -22.3928346806608 657.337268443603</t>
  </si>
  <si>
    <t>-493.593464760583 -164.88583890638 745.508819205605</t>
  </si>
  <si>
    <t>9763-20170724T160546.525637000.bin</t>
  </si>
  <si>
    <t>-586.651163489878 126.954718014952 -226.423452155758</t>
  </si>
  <si>
    <t>-624.83415955371 120.417058309601 -341.17157773858</t>
  </si>
  <si>
    <t>-646.562511087512 111.863777498786 -460.105522425499</t>
  </si>
  <si>
    <t>-659.318203937328 103.018939785101 -568.520992360982</t>
  </si>
  <si>
    <t>-665.260956791678 92.9509697710216 -677.416150483971</t>
  </si>
  <si>
    <t>-666.42558073347 77.5462361291904 -828.94620280242</t>
  </si>
  <si>
    <t>-638.534523182185 55.7175174791148 -924.489802626668</t>
  </si>
  <si>
    <t>-651.774356345675 112.683755872692 -764.886704848953</t>
  </si>
  <si>
    <t>-569.145139734426 234.193905838053 -758.774860055455</t>
  </si>
  <si>
    <t>-469.261736177942 163.133252571597 -466.953153372802</t>
  </si>
  <si>
    <t>-680.046092920991 56.0410596561892 -758.910969846257</t>
  </si>
  <si>
    <t>-557.479502471762 216.989701433208 -241.18636566694</t>
  </si>
  <si>
    <t>-571.839682273394 193.735048416277 213.687944889576</t>
  </si>
  <si>
    <t>-633.635252033816 164.642914168129 679.018775906623</t>
  </si>
  <si>
    <t>-497.776078749549 93.763033743975 765.400675810214</t>
  </si>
  <si>
    <t>-615.654288861583 37.0092013867509 -211.08592983254</t>
  </si>
  <si>
    <t>-459.949557076009 -81.9416542851368 200.331684173466</t>
  </si>
  <si>
    <t>-547.087419467352 -22.4594316377716 657.656813466347</t>
  </si>
  <si>
    <t>-493.541784940039 -164.928441182052 745.855288435659</t>
  </si>
  <si>
    <t>9763-20170724T160546.591815500.bin</t>
  </si>
  <si>
    <t>-585.144316675702 125.716020536771 -226.222518621645</t>
  </si>
  <si>
    <t>-623.206347694328 119.104012160946 -341.006533645453</t>
  </si>
  <si>
    <t>-644.936050795905 110.666065442631 -459.948500454719</t>
  </si>
  <si>
    <t>-657.741522397882 102.002151063374 -568.37263461174</t>
  </si>
  <si>
    <t>-663.78144356479 92.190809763478 -677.286057132141</t>
  </si>
  <si>
    <t>-665.128941400331 77.2210000908642 -828.858090815167</t>
  </si>
  <si>
    <t>-637.307463512382 55.7000255671128 -924.491687972026</t>
  </si>
  <si>
    <t>-650.549612622508 112.247905208219 -764.721659963533</t>
  </si>
  <si>
    <t>-568.535447267135 234.132150200628 -758.17764177747</t>
  </si>
  <si>
    <t>-466.688414048631 164.029051246361 -466.803350186924</t>
  </si>
  <si>
    <t>-678.515766917246 55.4415092509371 -758.862691715533</t>
  </si>
  <si>
    <t>-556.648091105023 216.007910859751 -240.918435767345</t>
  </si>
  <si>
    <t>-571.204975385436 192.810782890502 213.95260786503</t>
  </si>
  <si>
    <t>-633.784981911504 164.358101493349 679.182961743442</t>
  </si>
  <si>
    <t>-497.593287708386 94.0272827019696 765.490005050513</t>
  </si>
  <si>
    <t>-613.467809857827 35.5114201248107 -210.983608905066</t>
  </si>
  <si>
    <t>-458.739072092003 -82.6395509849829 201.032180109977</t>
  </si>
  <si>
    <t>-547.069276479762 -22.6160898899384 658.168453135538</t>
  </si>
  <si>
    <t>-493.52744725068 -165.036695659008 746.447240625834</t>
  </si>
  <si>
    <t>9763-20170724T160546.623901600.bin</t>
  </si>
  <si>
    <t>-584.523474731925 125.064674178361 -226.203203348269</t>
  </si>
  <si>
    <t>-622.392380655455 118.40630115159 -341.048366114907</t>
  </si>
  <si>
    <t>-644.063553226059 110.033897859371 -460.005585395729</t>
  </si>
  <si>
    <t>-656.871581876135 101.473585688226 -568.437779694923</t>
  </si>
  <si>
    <t>-662.969377226778 91.8092744040609 -677.360955412596</t>
  </si>
  <si>
    <t>-664.454693347178 77.0879283455661 -828.956109355563</t>
  </si>
  <si>
    <t>-636.651476166279 55.6994244174393 -924.624802525821</t>
  </si>
  <si>
    <t>-649.86837570783 112.034664346376 -764.777645824625</t>
  </si>
  <si>
    <t>-568.081177653556 234.055125078069 -758.03670902103</t>
  </si>
  <si>
    <t>-465.655302423562 164.788536667963 -466.665310694823</t>
  </si>
  <si>
    <t>-677.726567000601 55.1687095847094 -758.982331051493</t>
  </si>
  <si>
    <t>-556.312717544676 215.45733980111 -240.831797991173</t>
  </si>
  <si>
    <t>-571.310175997557 192.697570909552 214.047018023823</t>
  </si>
  <si>
    <t>-633.779681141771 164.363623934241 679.273559761339</t>
  </si>
  <si>
    <t>-497.518422295591 94.1335138083218 765.552815319298</t>
  </si>
  <si>
    <t>-612.535684278216 34.7564833623799 -210.990602413551</t>
  </si>
  <si>
    <t>-458.229679753745 -82.9637153724843 201.306976347261</t>
  </si>
  <si>
    <t>-547.059767969673 -22.6385495281686 658.372894981112</t>
  </si>
  <si>
    <t>-493.527837913503 -165.07518965736 746.631889554288</t>
  </si>
  <si>
    <t>9763-20170724T160546.694122900.bin</t>
  </si>
  <si>
    <t>-583.393136403999 123.989255775967 -226.113875752488</t>
  </si>
  <si>
    <t>-621.038229244589 117.190030306309 -341.024327891854</t>
  </si>
  <si>
    <t>-642.655493056911 108.87960865017 -459.995695928773</t>
  </si>
  <si>
    <t>-655.4833764179 100.456600063717 -568.436290853038</t>
  </si>
  <si>
    <t>-661.668972520625 91.0093050868434 -677.373670195211</t>
  </si>
  <si>
    <t>-663.345926427358 76.6713702086181 -829.003499215334</t>
  </si>
  <si>
    <t>-635.647421943714 55.4234282491716 -924.733788558584</t>
  </si>
  <si>
    <t>-648.771611477614 111.500837052684 -764.758341460354</t>
  </si>
  <si>
    <t>-567.547849862116 233.869902296986 -757.535340809708</t>
  </si>
  <si>
    <t>-464.2509699459 165.667431963541 -466.220355015972</t>
  </si>
  <si>
    <t>-314.842549084761 0.334286872093116 -332.115421993161</t>
  </si>
  <si>
    <t>-676.436176530587 54.5301597407442 -759.06546961127</t>
  </si>
  <si>
    <t>-555.716587468068 214.561548538366 -240.693733842926</t>
  </si>
  <si>
    <t>-571.553411141271 192.635528975614 214.197601266473</t>
  </si>
  <si>
    <t>-633.777690834806 164.368283585185 679.462772531722</t>
  </si>
  <si>
    <t>-497.414446469444 94.2507876023105 765.672477008029</t>
  </si>
  <si>
    <t>-610.923285411995 33.4349243134816 -210.856334672571</t>
  </si>
  <si>
    <t>-456.837141725152 -83.4235832010845 201.768470767711</t>
  </si>
  <si>
    <t>-547.005680610802 -22.6467379702447 658.570230404256</t>
  </si>
  <si>
    <t>-493.650906003866 -165.162001818314 746.80955748351</t>
  </si>
  <si>
    <t>9763-20170724T160546.722174300.bin</t>
  </si>
  <si>
    <t>-582.866859609855 123.440187895223 -226.055754641242</t>
  </si>
  <si>
    <t>-620.433070302067 116.592923183299 -340.989110986743</t>
  </si>
  <si>
    <t>-642.000019791561 108.310545695985 -459.971718794286</t>
  </si>
  <si>
    <t>-654.793362087574 99.9451565698889 -568.420669801589</t>
  </si>
  <si>
    <t>-660.954818546174 90.5883304104252 -677.367210244127</t>
  </si>
  <si>
    <t>-662.608245883522 76.4110980931628 -829.01241420577</t>
  </si>
  <si>
    <t>-634.933289491113 55.2033217722828 -924.758500440537</t>
  </si>
  <si>
    <t>-648.085483819212 111.192358068306 -764.729700961191</t>
  </si>
  <si>
    <t>-567.131425244181 233.710284257362 -757.312384713643</t>
  </si>
  <si>
    <t>-463.395110523746 166.971496733153 -465.814753030564</t>
  </si>
  <si>
    <t>-311.33837372634 7.44221426502327 -327.716331359873</t>
  </si>
  <si>
    <t>-675.667842516674 54.1757869174746 -759.098572185112</t>
  </si>
  <si>
    <t>-555.308496487722 214.036517267713 -240.636590515969</t>
  </si>
  <si>
    <t>-571.482175885394 192.504923167695 214.261651436882</t>
  </si>
  <si>
    <t>-633.778768235053 164.353256842445 679.536913344118</t>
  </si>
  <si>
    <t>-497.384528924048 94.2612025605445 765.718321153816</t>
  </si>
  <si>
    <t>-610.272776302904 32.8397894117934 -210.808027731307</t>
  </si>
  <si>
    <t>-456.200724855214 -83.6669754473764 201.921517612812</t>
  </si>
  <si>
    <t>-546.912148535489 -22.6374886266913 658.582100645569</t>
  </si>
  <si>
    <t>-493.762918895661 -165.225690069798 746.827630012488</t>
  </si>
  <si>
    <t>9763-20170724T160546.790024600.bin</t>
  </si>
  <si>
    <t>-581.743278714073 122.372721381851 -226.045191894702</t>
  </si>
  <si>
    <t>-619.243848601365 115.478519096249 -340.99722903921</t>
  </si>
  <si>
    <t>-640.750777334436 107.199053402893 -459.990802247509</t>
  </si>
  <si>
    <t>-653.491193326075 98.8599922088724 -568.448232230764</t>
  </si>
  <si>
    <t>-659.600526081205 89.5547570107087 -677.401885432124</t>
  </si>
  <si>
    <t>-661.181763375593 75.4769886885199 -829.057171637026</t>
  </si>
  <si>
    <t>-633.525305778329 54.2945908022946 -924.814227325922</t>
  </si>
  <si>
    <t>-646.763938689913 110.251865659131 -764.747299195758</t>
  </si>
  <si>
    <t>-566.115261787464 232.96099004373 -757.008996697659</t>
  </si>
  <si>
    <t>-462.890958606073 168.86917521701 -464.736668573891</t>
  </si>
  <si>
    <t>-300.688207623329 26.996257485971 -319.119273410622</t>
  </si>
  <si>
    <t>-674.200146198579 53.1602385569227 -759.161719704106</t>
  </si>
  <si>
    <t>-554.421639557234 212.87311898392 -240.622989373031</t>
  </si>
  <si>
    <t>-571.109258795117 191.825027001311 214.279330478645</t>
  </si>
  <si>
    <t>-633.739069313495 164.247263335408 679.550675451146</t>
  </si>
  <si>
    <t>-497.25109211142 94.3949130955643 765.778178187782</t>
  </si>
  <si>
    <t>-608.916517360404 31.8124141430178 -210.836019707473</t>
  </si>
  <si>
    <t>-455.072469629152 -84.1622977911143 202.128284590372</t>
  </si>
  <si>
    <t>-546.753749620685 -22.6782457169666 658.529742114283</t>
  </si>
  <si>
    <t>-493.924188050569 -165.344293243603 746.841448674899</t>
  </si>
  <si>
    <t>9763-20170724T160546.828124900.bin</t>
  </si>
  <si>
    <t>-581.260710490317 121.768913558284 -226.082746279586</t>
  </si>
  <si>
    <t>-618.715701419899 114.866424051862 -341.049124959354</t>
  </si>
  <si>
    <t>-640.197586317603 106.573639010261 -460.046302635634</t>
  </si>
  <si>
    <t>-652.924137172546 98.2220070869505 -568.504276765374</t>
  </si>
  <si>
    <t>-659.028488262321 88.9045219486363 -677.45731626577</t>
  </si>
  <si>
    <t>-660.612073051522 74.8108016788769 -829.111153571881</t>
  </si>
  <si>
    <t>-632.94637218615 53.6171376799959 -924.863003422975</t>
  </si>
  <si>
    <t>-646.220750762272 109.605338364934 -764.806088798052</t>
  </si>
  <si>
    <t>-565.615021786702 232.343920590541 -756.953131883691</t>
  </si>
  <si>
    <t>-462.49770058963 169.730099572176 -464.322900012083</t>
  </si>
  <si>
    <t>-289.768100065621 44.7399461398738 -315.379953283418</t>
  </si>
  <si>
    <t>-673.602111345903 52.4882289069096 -759.212151401827</t>
  </si>
  <si>
    <t>-553.987792744505 212.174265571058 -240.653649781298</t>
  </si>
  <si>
    <t>-570.717628315767 191.220191621816 214.251454370283</t>
  </si>
  <si>
    <t>-633.708358637899 164.156895253576 679.516818798871</t>
  </si>
  <si>
    <t>-497.178573455487 94.4528907316501 765.798258441812</t>
  </si>
  <si>
    <t>-608.370654078859 31.2939851343133 -210.907865538309</t>
  </si>
  <si>
    <t>-454.671873120821 -84.4514081629241 202.174859925048</t>
  </si>
  <si>
    <t>-546.669996299705 -22.7140195305174 658.481901494053</t>
  </si>
  <si>
    <t>-493.985536446397 -165.401028873208 746.846397737767</t>
  </si>
  <si>
    <t>9763-20170724T160546.889300900.bin</t>
  </si>
  <si>
    <t>-580.536024018275 120.578781779976 -226.25642192163</t>
  </si>
  <si>
    <t>-617.93667891724 113.635637898959 -341.238124150769</t>
  </si>
  <si>
    <t>-639.404614725325 105.287007845204 -460.23393721823</t>
  </si>
  <si>
    <t>-652.135376450919 96.8819911526043 -568.68716207843</t>
  </si>
  <si>
    <t>-658.261162742441 87.5094879382762 -677.634444032365</t>
  </si>
  <si>
    <t>-659.892064586529 73.339498532019 -829.280489724852</t>
  </si>
  <si>
    <t>-632.136706916965 52.1227300156427 -925.001308555959</t>
  </si>
  <si>
    <t>-645.542177578633 108.195706960149 -764.999552331181</t>
  </si>
  <si>
    <t>-565.052612896399 230.959568332529 -756.495959869324</t>
  </si>
  <si>
    <t>-461.3894571492 169.851194674526 -463.740235261237</t>
  </si>
  <si>
    <t>-261.043671684019 80.2890972421137 -324.16144465662</t>
  </si>
  <si>
    <t>-672.79863490487 51.0229372429512 -759.364146632784</t>
  </si>
  <si>
    <t>-553.399720029264 210.848986693226 -240.788279637422</t>
  </si>
  <si>
    <t>-570.16422679647 189.97097313291 214.119050467024</t>
  </si>
  <si>
    <t>-633.635442305933 163.973176249563 679.39445185112</t>
  </si>
  <si>
    <t>-497.065576582352 94.5306379861615 765.823148266779</t>
  </si>
  <si>
    <t>-607.522047690456 30.3149629830275 -211.068665749027</t>
  </si>
  <si>
    <t>-454.069620312241 -84.9466749936034 202.240925506706</t>
  </si>
  <si>
    <t>-546.661228708368 -22.8882039437376 658.41358483929</t>
  </si>
  <si>
    <t>-494.006070431958 -165.525599924925 746.875558526887</t>
  </si>
  <si>
    <t>9763-20170724T160546.925436700.bin</t>
  </si>
  <si>
    <t>-580.434464577658 120.16528397219 -226.321963150268</t>
  </si>
  <si>
    <t>-617.819210529195 113.186236956764 -341.306643694036</t>
  </si>
  <si>
    <t>-639.227448052527 104.808595076555 -460.311043213226</t>
  </si>
  <si>
    <t>-651.886068429259 96.3819264517026 -568.771269727049</t>
  </si>
  <si>
    <t>-657.920984531272 86.993794488573 -677.722200646515</t>
  </si>
  <si>
    <t>-659.406086963564 72.8091093270914 -829.368461473146</t>
  </si>
  <si>
    <t>-631.560364539888 51.5968316175811 -925.064079293213</t>
  </si>
  <si>
    <t>-645.149629499065 107.68642233018 -765.078054665144</t>
  </si>
  <si>
    <t>-564.575710132376 230.36300767162 -756.142146956149</t>
  </si>
  <si>
    <t>-460.935238698158 169.682559857569 -463.289412164099</t>
  </si>
  <si>
    <t>-246.93280667884 93.9022854651914 -336.394285116875</t>
  </si>
  <si>
    <t>-672.348356213867 50.4843191001005 -759.461177665051</t>
  </si>
  <si>
    <t>-553.318597252711 210.417907932598 -240.85585427865</t>
  </si>
  <si>
    <t>-570.196936106928 189.656094587428 214.052616697459</t>
  </si>
  <si>
    <t>-633.624375109942 163.891076993809 679.354168858622</t>
  </si>
  <si>
    <t>-496.982721529387 94.6453584151461 765.827315792065</t>
  </si>
  <si>
    <t>-607.397785526611 29.9635199719796 -211.092896487835</t>
  </si>
  <si>
    <t>-453.842807854873 -85.1164575724119 202.229203109242</t>
  </si>
  <si>
    <t>-546.682247771836 -22.9989001885006 658.373250236822</t>
  </si>
  <si>
    <t>-493.990170601518 -165.587180092404 746.892416532935</t>
  </si>
  <si>
    <t>9763-20170724T160546.991584900.bin</t>
  </si>
  <si>
    <t>-580.771953523219 119.902287420645 -226.224393461241</t>
  </si>
  <si>
    <t>-618.21925108135 112.810121018633 -341.181706560383</t>
  </si>
  <si>
    <t>-639.504466585767 104.37472298361 -460.204145282393</t>
  </si>
  <si>
    <t>-651.973491153332 95.9199076979312 -568.684238273759</t>
  </si>
  <si>
    <t>-657.739249726361 86.5285246774833 -677.649259924146</t>
  </si>
  <si>
    <t>-658.766566473332 72.3661803865732 -829.301432546413</t>
  </si>
  <si>
    <t>-630.676156586265 51.1551338640418 -924.925846112143</t>
  </si>
  <si>
    <t>-644.741203187717 107.251376552312 -764.96465611533</t>
  </si>
  <si>
    <t>-564.066441086671 229.803529399331 -755.26926762112</t>
  </si>
  <si>
    <t>-461.698661428327 168.728186645297 -462.051226155397</t>
  </si>
  <si>
    <t>-232.389054345108 104.26400400207 -357.631161801604</t>
  </si>
  <si>
    <t>-671.882849298049 50.013746638431 -759.435532809998</t>
  </si>
  <si>
    <t>-553.516395483654 210.264788868358 -240.897009555424</t>
  </si>
  <si>
    <t>-570.558421153216 189.833204386661 214.020360095268</t>
  </si>
  <si>
    <t>-633.548253938878 163.992143356252 679.378823400847</t>
  </si>
  <si>
    <t>-496.950767271713 94.6469878841037 765.842005775757</t>
  </si>
  <si>
    <t>-607.841220590019 29.6713765444863 -210.829389747188</t>
  </si>
  <si>
    <t>-453.315441480509 -85.2418269717859 202.177120726335</t>
  </si>
  <si>
    <t>-546.682377038069 -23.2033319816871 658.231658539343</t>
  </si>
  <si>
    <t>-493.967834119132 -165.714674550697 746.861125734197</t>
  </si>
  <si>
    <t>9763-20170724T160547.032695500.bin</t>
  </si>
  <si>
    <t>-581.145328467802 120.005075825367 -226.168160353501</t>
  </si>
  <si>
    <t>-618.716268954939 112.885220156088 -341.08345621498</t>
  </si>
  <si>
    <t>-639.94490141357 104.433267820672 -460.1147988314</t>
  </si>
  <si>
    <t>-652.287066428545 95.9683516843752 -568.608608156321</t>
  </si>
  <si>
    <t>-657.849312693708 86.572103128088 -677.583798962845</t>
  </si>
  <si>
    <t>-658.513560435766 72.4087696762581 -829.237882026469</t>
  </si>
  <si>
    <t>-630.242713257798 51.2301203917325 -924.816242602295</t>
  </si>
  <si>
    <t>-644.663421419317 107.304405402811 -764.868724366327</t>
  </si>
  <si>
    <t>-563.942650933035 229.816782083014 -754.880371170221</t>
  </si>
  <si>
    <t>-461.348879655655 169.451826929744 -461.59422213493</t>
  </si>
  <si>
    <t>-229.658673833629 106.864286438221 -361.372153912887</t>
  </si>
  <si>
    <t>-671.775880195235 50.0468111443902 -759.402568137328</t>
  </si>
  <si>
    <t>-553.862393460529 210.445521266882 -240.90539842748</t>
  </si>
  <si>
    <t>-570.723906509699 190.061150127822 214.020761177118</t>
  </si>
  <si>
    <t>-633.550904963487 164.030223305617 679.424140351434</t>
  </si>
  <si>
    <t>-496.960860759877 94.6098720974533 765.83875911525</t>
  </si>
  <si>
    <t>-608.254704220777 29.6998875276904 -210.71386071486</t>
  </si>
  <si>
    <t>-453.135081996722 -85.1301977282405 202.093196352394</t>
  </si>
  <si>
    <t>-546.655524508257 -23.3068679281494 658.135571586011</t>
  </si>
  <si>
    <t>-493.983268688411 -165.777882152044 746.855174682098</t>
  </si>
  <si>
    <t>9763-20170724T160547.097878300.bin</t>
  </si>
  <si>
    <t>-582.245187781303 120.280105802025 -226.008396776859</t>
  </si>
  <si>
    <t>-620.138556322544 113.179441718841 -340.81893740068</t>
  </si>
  <si>
    <t>-641.389779724655 104.692412137499 -459.843991436543</t>
  </si>
  <si>
    <t>-653.626273285046 96.1788922755818 -568.345682630832</t>
  </si>
  <si>
    <t>-658.954890500514 86.720804226313 -677.327405195823</t>
  </si>
  <si>
    <t>-659.160637797526 72.4605409071844 -828.973639245575</t>
  </si>
  <si>
    <t>-630.51980479811 51.3318058380507 -924.452884624838</t>
  </si>
  <si>
    <t>-645.571315646916 107.428208603997 -764.588085051217</t>
  </si>
  <si>
    <t>-564.936311513531 229.948196059011 -753.977095742663</t>
  </si>
  <si>
    <t>-460.118652936478 170.318268624979 -461.327494480633</t>
  </si>
  <si>
    <t>-226.236903691543 112.168136570907 -363.552881848514</t>
  </si>
  <si>
    <t>-672.568004879127 50.1121815429935 -759.16169069572</t>
  </si>
  <si>
    <t>-554.798000237315 210.814650111587 -240.819588137803</t>
  </si>
  <si>
    <t>-570.761423606984 190.291315154577 214.132769744721</t>
  </si>
  <si>
    <t>-633.553074147035 164.232494615031 679.575731233205</t>
  </si>
  <si>
    <t>-496.930001419315 94.6282773091007 765.789951211234</t>
  </si>
  <si>
    <t>-609.594173389464 29.8003028016417 -210.457034665031</t>
  </si>
  <si>
    <t>-453.320687010317 -84.6017552526259 202.033510419673</t>
  </si>
  <si>
    <t>-546.733633692327 -23.5138289093397 658.133074798645</t>
  </si>
  <si>
    <t>-493.921216091227 -165.875221673579 746.945193471154</t>
  </si>
  <si>
    <t>9763-20170724T160547.124947700.bin</t>
  </si>
  <si>
    <t>-582.852035411253 120.34617695302 -225.937305600584</t>
  </si>
  <si>
    <t>-620.860074310871 113.281149507551 -340.712270229105</t>
  </si>
  <si>
    <t>-642.125484460332 104.820037466639 -459.73636161876</t>
  </si>
  <si>
    <t>-654.331977339061 96.329089266445 -568.243317570054</t>
  </si>
  <si>
    <t>-659.587374241823 86.8940666886915 -677.230483155322</t>
  </si>
  <si>
    <t>-659.645413759781 72.6686004063117 -828.880284330243</t>
  </si>
  <si>
    <t>-630.814634246455 51.6182816200189 -924.31957530587</t>
  </si>
  <si>
    <t>-646.144359380886 107.633410915945 -764.474592909823</t>
  </si>
  <si>
    <t>-565.241541772772 229.919975796809 -753.386846990941</t>
  </si>
  <si>
    <t>-458.654847539927 171.009847073362 -461.231070585125</t>
  </si>
  <si>
    <t>-223.451323427799 112.995887488577 -366.596662909969</t>
  </si>
  <si>
    <t>-673.095186702838 50.2923523780862 -759.085355632618</t>
  </si>
  <si>
    <t>-555.329129918835 210.946569030332 -240.757454198221</t>
  </si>
  <si>
    <t>-570.920915929531 190.342283020491 214.204114929422</t>
  </si>
  <si>
    <t>-633.554648822503 164.327566249106 679.649568937314</t>
  </si>
  <si>
    <t>-496.98681742234 94.5010649399726 765.771547937275</t>
  </si>
  <si>
    <t>-610.278582843007 29.7673681246533 -210.409467817482</t>
  </si>
  <si>
    <t>-453.743326432233 -84.4172084596626 202.042062758065</t>
  </si>
  <si>
    <t>-546.831463634634 -23.5886918872075 658.243961674308</t>
  </si>
  <si>
    <t>-493.914231125864 -165.913354887383 747.052559739426</t>
  </si>
  <si>
    <t>9763-20170724T160547.198151000.bin</t>
  </si>
  <si>
    <t>-584.087346368532 120.136100128034 -225.791756132588</t>
  </si>
  <si>
    <t>-622.193792552921 113.120031802483 -340.536986606031</t>
  </si>
  <si>
    <t>-643.440919400444 104.699508082371 -459.567350594067</t>
  </si>
  <si>
    <t>-655.581254612853 96.2499850185209 -568.084960406706</t>
  </si>
  <si>
    <t>-660.719362561658 86.8665480407601 -677.082248742241</t>
  </si>
  <si>
    <t>-660.560140468475 72.7280141352467 -828.740053251244</t>
  </si>
  <si>
    <t>-631.384885065717 51.8557145165041 -924.113743351241</t>
  </si>
  <si>
    <t>-647.201780162585 107.679357758428 -764.297279888495</t>
  </si>
  <si>
    <t>-565.201031367769 229.029189903836 -751.329512194229</t>
  </si>
  <si>
    <t>-448.857305922869 177.156633352156 -461.571728587981</t>
  </si>
  <si>
    <t>-213.959167757104 113.237772041257 -370.033128026364</t>
  </si>
  <si>
    <t>-674.059504113889 50.2882764664287 -758.974952903441</t>
  </si>
  <si>
    <t>-556.301794293247 210.80484673316 -240.704490132988</t>
  </si>
  <si>
    <t>-571.694617115821 190.544023520307 214.279312749481</t>
  </si>
  <si>
    <t>-633.491764312854 164.497144286614 679.733134246685</t>
  </si>
  <si>
    <t>-496.961904559716 94.4668195444428 765.74976804309</t>
  </si>
  <si>
    <t>-611.739493075502 29.4479381783451 -210.219032895033</t>
  </si>
  <si>
    <t>-454.838568357105 -84.7127215619057 202.100132011756</t>
  </si>
  <si>
    <t>-547.028212761126 -23.7325574436156 658.442248001878</t>
  </si>
  <si>
    <t>-494.06521158515 -166.022633977311 747.278905754332</t>
  </si>
  <si>
    <t>9763-20170724T160547.226224700.bin</t>
  </si>
  <si>
    <t>-584.771765759212 119.993687279314 -225.731314207345</t>
  </si>
  <si>
    <t>-622.949630895185 112.991404469231 -340.453553772844</t>
  </si>
  <si>
    <t>-644.160745600283 104.594965220677 -459.491995308587</t>
  </si>
  <si>
    <t>-656.222530331169 96.1771181096926 -568.020820562652</t>
  </si>
  <si>
    <t>-661.235257454762 86.8383656976791 -677.027857204385</t>
  </si>
  <si>
    <t>-660.852328862866 72.7784178309257 -828.692464683701</t>
  </si>
  <si>
    <t>-631.480846839002 52.056625903655 -924.038809493731</t>
  </si>
  <si>
    <t>-647.639421912248 107.719782953569 -764.214308657884</t>
  </si>
  <si>
    <t>-565.455870425275 228.940734065869 -750.700211419526</t>
  </si>
  <si>
    <t>-443.393320357095 180.836754974339 -462.649970098871</t>
  </si>
  <si>
    <t>-209.609366621941 113.550859270461 -370.673424688811</t>
  </si>
  <si>
    <t>-674.40406738268 50.2792814143268 -758.956950905249</t>
  </si>
  <si>
    <t>-556.875163185868 210.773184122243 -240.713983175944</t>
  </si>
  <si>
    <t>-572.096168596091 190.668305785953 214.282429264459</t>
  </si>
  <si>
    <t>-633.456090975136 164.569988306214 679.779913543534</t>
  </si>
  <si>
    <t>-496.986575450512 94.3773282083105 765.75997192931</t>
  </si>
  <si>
    <t>-612.518346975564 29.2447362874052 -210.082697764832</t>
  </si>
  <si>
    <t>-455.356698177523 -84.9755334248657 202.12068168164</t>
  </si>
  <si>
    <t>-547.12626133618 -23.8055932931027 658.509563238682</t>
  </si>
  <si>
    <t>-494.172992024956 -166.081379355072 747.374962938634</t>
  </si>
  <si>
    <t>9763-20170724T160547.290328700.bin</t>
  </si>
  <si>
    <t>-586.161940151496 119.548706709209 -225.621964107523</t>
  </si>
  <si>
    <t>-624.579683462395 112.555612748984 -340.264875530037</t>
  </si>
  <si>
    <t>-645.83750096608 104.183431879137 -459.296657021469</t>
  </si>
  <si>
    <t>-657.858813120964 95.8025405755413 -567.83280808796</t>
  </si>
  <si>
    <t>-662.746097254203 86.5215921322929 -676.850404206302</t>
  </si>
  <si>
    <t>-662.098573317875 72.5691492651335 -828.524071570341</t>
  </si>
  <si>
    <t>-632.482462714082 52.1328039600824 -923.856242669456</t>
  </si>
  <si>
    <t>-649.090645522502 107.507242620172 -764.00250757066</t>
  </si>
  <si>
    <t>-567.193273349202 228.863667950524 -750.20962030133</t>
  </si>
  <si>
    <t>-432.887846061235 187.450245526735 -466.602267740352</t>
  </si>
  <si>
    <t>-200.356623750684 118.388124367929 -372.784798851905</t>
  </si>
  <si>
    <t>-675.67954446743 49.9780704735435 -758.823901061362</t>
  </si>
  <si>
    <t>-558.118544432546 210.355072452776 -240.737669998652</t>
  </si>
  <si>
    <t>-572.654742485139 190.500165588003 214.292123241692</t>
  </si>
  <si>
    <t>-633.417279391255 164.629928563621 679.869531779734</t>
  </si>
  <si>
    <t>-496.978846774218 94.2813713382363 765.771483838164</t>
  </si>
  <si>
    <t>-614.059398139896 28.7633617959484 -209.823257795487</t>
  </si>
  <si>
    <t>-456.178311612824 -85.4482783061717 202.107416289419</t>
  </si>
  <si>
    <t>-547.234375316559 -23.9222210140426 658.578004179196</t>
  </si>
  <si>
    <t>-494.399566562229 -166.200715142199 747.509482597014</t>
  </si>
  <si>
    <t>9763-20170724T160547.328429700.bin</t>
  </si>
  <si>
    <t>-586.817690439314 119.297609631773 -225.651078965147</t>
  </si>
  <si>
    <t>-625.340812277233 112.318166691627 -340.25936307556</t>
  </si>
  <si>
    <t>-646.711312100562 103.962192327711 -459.272207977983</t>
  </si>
  <si>
    <t>-658.836236747183 95.6006004501789 -567.798245382704</t>
  </si>
  <si>
    <t>-663.828108023907 86.345721333937 -676.813434282598</t>
  </si>
  <si>
    <t>-663.326378949504 72.4382838480053 -828.49165857456</t>
  </si>
  <si>
    <t>-633.654225442234 52.1287680719706 -923.833527024278</t>
  </si>
  <si>
    <t>-650.291646165891 107.373364381449 -763.973767824642</t>
  </si>
  <si>
    <t>-568.459635722954 228.844613872804 -750.370536199571</t>
  </si>
  <si>
    <t>-429.827671127293 188.953378904635 -468.632858458104</t>
  </si>
  <si>
    <t>-198.201410633733 122.377663409911 -370.86270481964</t>
  </si>
  <si>
    <t>-676.805106155488 49.8104279425913 -758.783655332243</t>
  </si>
  <si>
    <t>-558.781507352549 210.123097256719 -240.777934850064</t>
  </si>
  <si>
    <t>-572.999608712554 190.373654851335 214.266514712149</t>
  </si>
  <si>
    <t>-633.398600128591 164.63227006109 679.889562170609</t>
  </si>
  <si>
    <t>-496.914463553392 94.3466038241233 765.770382145168</t>
  </si>
  <si>
    <t>-614.724383940621 28.4854664270222 -209.833923830254</t>
  </si>
  <si>
    <t>-456.58578025639 -85.5006946465828 202.060438189498</t>
  </si>
  <si>
    <t>-547.293218521056 -23.9914910489983 658.602025777046</t>
  </si>
  <si>
    <t>-494.494388069764 -166.257096723386 747.57543087286</t>
  </si>
  <si>
    <t>9763-20170724T160547.389631800.bin</t>
  </si>
  <si>
    <t>-588.073323042162 118.784745327732 -225.779971628179</t>
  </si>
  <si>
    <t>-626.701994602996 111.877821183967 -340.357075525895</t>
  </si>
  <si>
    <t>-648.344121095118 103.529961929835 -459.321407074962</t>
  </si>
  <si>
    <t>-660.783645981921 95.1476231873073 -567.810287047392</t>
  </si>
  <si>
    <t>-666.15978387799 85.8425077480558 -676.80275838319</t>
  </si>
  <si>
    <t>-666.264839869058 71.833418971901 -828.472571213586</t>
  </si>
  <si>
    <t>-636.678864172039 51.6410712965753 -923.866093540228</t>
  </si>
  <si>
    <t>-652.942495726106 106.798158771263 -764.029477292842</t>
  </si>
  <si>
    <t>-571.051007234779 228.250188979019 -750.980235812657</t>
  </si>
  <si>
    <t>-428.183722973904 187.433234288619 -471.500135182042</t>
  </si>
  <si>
    <t>-206.149181517145 122.432361299648 -352.682753538733</t>
  </si>
  <si>
    <t>-679.49427475578 49.2657850725111 -758.697286160064</t>
  </si>
  <si>
    <t>-560.061270937544 209.644015499202 -240.878524084964</t>
  </si>
  <si>
    <t>-573.582984555655 190.013171973962 214.192334231926</t>
  </si>
  <si>
    <t>-633.318793753153 164.675587474216 679.907181766784</t>
  </si>
  <si>
    <t>-496.87784104133 94.2924628958885 765.776809083418</t>
  </si>
  <si>
    <t>-615.953110994866 27.9052949199238 -210.03566658021</t>
  </si>
  <si>
    <t>-457.543204196308 -85.4560996178911 201.926943368764</t>
  </si>
  <si>
    <t>-547.484634578176 -24.1563801547793 658.678389099332</t>
  </si>
  <si>
    <t>-494.51794748003 -166.328044258326 747.702358866375</t>
  </si>
  <si>
    <t>9763-20170724T160547.421715700.bin</t>
  </si>
  <si>
    <t>-588.664071757867 118.547599246631 -225.830514274922</t>
  </si>
  <si>
    <t>-627.362312424232 111.680193856808 -340.386603010191</t>
  </si>
  <si>
    <t>-649.138698362627 103.332644204766 -459.32633523059</t>
  </si>
  <si>
    <t>-661.726849792065 94.931093758735 -567.796601620316</t>
  </si>
  <si>
    <t>-667.279141545419 85.5854864283442 -676.776797598652</t>
  </si>
  <si>
    <t>-667.658284869748 71.4958669581563 -828.438732641129</t>
  </si>
  <si>
    <t>-638.153329933995 51.3189148835529 -923.860589394182</t>
  </si>
  <si>
    <t>-654.170202624327 106.472126387373 -764.036532870365</t>
  </si>
  <si>
    <t>-572.118254095241 227.832586026932 -751.263371168785</t>
  </si>
  <si>
    <t>-429.308978877272 186.20605447624 -471.873153580505</t>
  </si>
  <si>
    <t>-214.25317993327 117.286500370681 -342.864909060798</t>
  </si>
  <si>
    <t>-680.81090826459 48.9879791904409 -758.629591765972</t>
  </si>
  <si>
    <t>-560.632265710763 209.382256175041 -240.90801877936</t>
  </si>
  <si>
    <t>-573.78188844526 189.762379442304 214.174128449129</t>
  </si>
  <si>
    <t>-633.309762733404 164.650354313061 679.91880686387</t>
  </si>
  <si>
    <t>-496.817208911197 94.3555828688141 765.77880806364</t>
  </si>
  <si>
    <t>-616.556065033797 27.6740835155833 -210.094480302385</t>
  </si>
  <si>
    <t>-458.017411278232 -85.5282056007898 201.862312598788</t>
  </si>
  <si>
    <t>-547.573159899343 -24.2243322725328 658.712777821946</t>
  </si>
  <si>
    <t>-494.53288322688 -166.35838643204 747.752952120711</t>
  </si>
  <si>
    <t>9763-20170724T160547.489902400.bin</t>
  </si>
  <si>
    <t>-589.731124121881 118.391605600289 -225.771704403401</t>
  </si>
  <si>
    <t>-628.665536879024 111.625539582679 -340.253715350232</t>
  </si>
  <si>
    <t>-650.637496473415 103.357220910339 -459.163256445444</t>
  </si>
  <si>
    <t>-663.384507296468 95.0146647035576 -567.6193932187</t>
  </si>
  <si>
    <t>-669.077371432589 85.7134720149975 -676.596128052424</t>
  </si>
  <si>
    <t>-669.63242239727 71.6690742118774 -828.26169526888</t>
  </si>
  <si>
    <t>-640.26335174772 51.5777763493602 -923.743573830985</t>
  </si>
  <si>
    <t>-655.971768647413 106.580969990943 -763.861021967712</t>
  </si>
  <si>
    <t>-573.330805553246 227.534687661479 -751.124170469571</t>
  </si>
  <si>
    <t>-433.572127632193 183.103964185167 -470.625314703661</t>
  </si>
  <si>
    <t>-233.075816588546 102.040018883825 -326.154147113472</t>
  </si>
  <si>
    <t>-682.801921464493 49.1855675929444 -758.447917029492</t>
  </si>
  <si>
    <t>-561.49559349865 209.240852091871 -240.920828821353</t>
  </si>
  <si>
    <t>-574.040570804983 189.592290478158 214.177117572037</t>
  </si>
  <si>
    <t>-633.233681476871 164.714678220748 679.952423721677</t>
  </si>
  <si>
    <t>-496.779235027896 94.3200555380706 765.791178438785</t>
  </si>
  <si>
    <t>-617.79811035377 27.5657660786546 -209.961442907573</t>
  </si>
  <si>
    <t>-458.84963026651 -85.7310817602081 201.811429142161</t>
  </si>
  <si>
    <t>-547.710715854552 -24.3295163958123 658.767405707691</t>
  </si>
  <si>
    <t>-494.69245011592 -166.452090883019 747.838992166609</t>
  </si>
  <si>
    <t>9763-20170724T160547.521987400.bin</t>
  </si>
  <si>
    <t>-590.362448755193 118.425906383977 -225.733315260865</t>
  </si>
  <si>
    <t>-629.489282406985 111.718560980825 -340.153282896114</t>
  </si>
  <si>
    <t>-651.60169961482 103.509256056203 -459.040662992626</t>
  </si>
  <si>
    <t>-664.452716201698 95.220449264672 -567.488735174038</t>
  </si>
  <si>
    <t>-670.225611933312 85.9740073326541 -676.465964990744</t>
  </si>
  <si>
    <t>-670.866242690927 72.0072841554168 -828.138379821424</t>
  </si>
  <si>
    <t>-641.556850179229 51.9430756114673 -923.64424807256</t>
  </si>
  <si>
    <t>-657.132530400634 106.869260263484 -763.726089514598</t>
  </si>
  <si>
    <t>-574.377360976486 227.775143399454 -751.051685327745</t>
  </si>
  <si>
    <t>-436.183596295733 181.378150176043 -470.096187814554</t>
  </si>
  <si>
    <t>-241.255775280197 94.7225297491873 -321.314497908125</t>
  </si>
  <si>
    <t>-684.032959702432 49.5050834207173 -758.329984943821</t>
  </si>
  <si>
    <t>-562.002949028046 209.289155351735 -240.937085391922</t>
  </si>
  <si>
    <t>-574.209748245429 189.570730141932 214.167183111209</t>
  </si>
  <si>
    <t>-633.242165097273 164.651917094157 679.965141693752</t>
  </si>
  <si>
    <t>-496.751562258808 94.3142306113457 765.793124713457</t>
  </si>
  <si>
    <t>-618.577543807725 27.6162063662202 -209.848751397196</t>
  </si>
  <si>
    <t>-459.236601538668 -85.7987608933586 201.739854451671</t>
  </si>
  <si>
    <t>-547.758623653203 -24.3840309087159 658.758971333442</t>
  </si>
  <si>
    <t>-494.826556662588 -166.51327856757 747.871162131521</t>
  </si>
  <si>
    <t>9763-20170724T160547.589810200.bin</t>
  </si>
  <si>
    <t>-591.731056336769 118.710936457105 -225.848903906616</t>
  </si>
  <si>
    <t>-631.148357149153 112.0542471779 -340.171927002038</t>
  </si>
  <si>
    <t>-653.506847312103 103.924255898842 -459.018800739613</t>
  </si>
  <si>
    <t>-666.55936197682 95.7173715162633 -567.449125144951</t>
  </si>
  <si>
    <t>-672.511457401948 86.562514439109 -676.424283967094</t>
  </si>
  <si>
    <t>-673.376962653577 72.7326184173157 -828.108187110117</t>
  </si>
  <si>
    <t>-644.121075288074 52.6972648626768 -923.636593317608</t>
  </si>
  <si>
    <t>-659.471486553207 107.500844133941 -763.682015915786</t>
  </si>
  <si>
    <t>-576.658543577329 228.42316834371 -751.594179963801</t>
  </si>
  <si>
    <t>-441.014546750483 178.671243973164 -469.971019560054</t>
  </si>
  <si>
    <t>-255.748590243674 81.1141087210838 -315.694556158949</t>
  </si>
  <si>
    <t>-686.516405802846 50.2031289539477 -758.303500143244</t>
  </si>
  <si>
    <t>-563.039730388753 209.659651721447 -241.259401520277</t>
  </si>
  <si>
    <t>-574.44181391465 189.756819652466 213.857721076204</t>
  </si>
  <si>
    <t>-632.683908643991 164.896553758529 679.530157282056</t>
  </si>
  <si>
    <t>-496.768513124555 94.0603303187706 765.859445191073</t>
  </si>
  <si>
    <t>-620.264911287717 27.7992650083329 -209.81429717046</t>
  </si>
  <si>
    <t>-460.006617845595 -85.5925444683137 201.424384352312</t>
  </si>
  <si>
    <t>-547.912044428784 -24.5354480615185 658.648336944534</t>
  </si>
  <si>
    <t>-495.010472165772 -166.625146003411 747.841759915835</t>
  </si>
  <si>
    <t>9763-20170724T160547.625904100.bin</t>
  </si>
  <si>
    <t>-592.402375573898 118.982439034697 -226.205765400024</t>
  </si>
  <si>
    <t>-631.965739436041 112.383137833513 -340.481772439198</t>
  </si>
  <si>
    <t>-654.465669626088 104.270976039143 -459.303001828209</t>
  </si>
  <si>
    <t>-667.643905347072 96.0637717973666 -567.71805129661</t>
  </si>
  <si>
    <t>-673.718852000499 86.8929093409049 -676.685227774424</t>
  </si>
  <si>
    <t>-674.752324363675 73.024179213345 -828.364635146067</t>
  </si>
  <si>
    <t>-645.517354529859 52.9771205667644 -923.896911942393</t>
  </si>
  <si>
    <t>-660.743274176234 107.793618274038 -763.961539511736</t>
  </si>
  <si>
    <t>-578.015153051705 228.8092132233 -752.31433496463</t>
  </si>
  <si>
    <t>-443.095875172063 178.223300455035 -470.491665508777</t>
  </si>
  <si>
    <t>-261.952548368181 75.0173634595519 -314.999783440525</t>
  </si>
  <si>
    <t>-687.846959324635 50.5275306490516 -758.54081172318</t>
  </si>
  <si>
    <t>-563.470992236903 210.119899851371 -241.775387575292</t>
  </si>
  <si>
    <t>-574.525977319182 190.127239103284 213.346339015386</t>
  </si>
  <si>
    <t>-631.872838283115 165.252627333673 678.794660064069</t>
  </si>
  <si>
    <t>-496.730009997176 93.984634636593 765.977206289554</t>
  </si>
  <si>
    <t>-621.14361856625 27.9493793697036 -210.078781828121</t>
  </si>
  <si>
    <t>-460.417855253862 -85.2893862416847 201.019602739917</t>
  </si>
  <si>
    <t>-548.013155183035 -24.6348194192547 658.43803522765</t>
  </si>
  <si>
    <t>-495.034122501677 -166.66586237628 747.678834273495</t>
  </si>
  <si>
    <t>9763-20170724T160547.692711000.bin</t>
  </si>
  <si>
    <t>-593.556225520046 119.614240805334 -227.26822192198</t>
  </si>
  <si>
    <t>-633.357395828449 113.127472962664 -341.467984801586</t>
  </si>
  <si>
    <t>-656.159276628208 105.029286824564 -460.232819986393</t>
  </si>
  <si>
    <t>-669.636095047771 96.799173488092 -568.609264031767</t>
  </si>
  <si>
    <t>-676.035076520072 87.5725074412348 -677.553248061428</t>
  </si>
  <si>
    <t>-677.544603133976 73.5949286173809 -829.218495289452</t>
  </si>
  <si>
    <t>-648.407000344898 53.5077266858282 -924.772047897128</t>
  </si>
  <si>
    <t>-663.272570493249 108.382046245498 -764.882812174886</t>
  </si>
  <si>
    <t>-580.694231113683 229.584533469552 -754.189782092204</t>
  </si>
  <si>
    <t>-447.267410685135 177.160368684798 -471.99261327466</t>
  </si>
  <si>
    <t>-274.941584628751 61.8912131316774 -314.961128789021</t>
  </si>
  <si>
    <t>-690.480732741625 51.1771793981741 -759.339824152503</t>
  </si>
  <si>
    <t>-564.084804192639 210.826279781887 -243.01364396187</t>
  </si>
  <si>
    <t>-574.626936933239 190.733291053833 212.115703763186</t>
  </si>
  <si>
    <t>-630.559797910732 165.8547990739 677.950141613548</t>
  </si>
  <si>
    <t>-496.581556959681 93.8557914846288 766.321452449611</t>
  </si>
  <si>
    <t>-622.892834266851 28.3955861316867 -210.89316775857</t>
  </si>
  <si>
    <t>-461.346389398309 -84.6080063952206 199.948123905749</t>
  </si>
  <si>
    <t>-548.219486791921 -24.7992314885569 657.785944751252</t>
  </si>
  <si>
    <t>-495.145645731651 -166.741955057948 747.110848948394</t>
  </si>
  <si>
    <t>9763-20170724T160547.724795000.bin</t>
  </si>
  <si>
    <t>-594.175254998759 119.811062629618 -227.686300187839</t>
  </si>
  <si>
    <t>-634.015723902331 113.403008432364 -341.876775867566</t>
  </si>
  <si>
    <t>-656.920547449699 105.357968415439 -460.625260558402</t>
  </si>
  <si>
    <t>-670.516737329691 97.1678939685571 -568.989958225572</t>
  </si>
  <si>
    <t>-677.061144289773 87.975171291376 -677.928223186864</t>
  </si>
  <si>
    <t>-678.799679149279 74.0398575379065 -829.594930582738</t>
  </si>
  <si>
    <t>-649.742013612879 53.9483061665212 -925.171852754421</t>
  </si>
  <si>
    <t>-664.380558240254 108.785350169141 -765.269479996786</t>
  </si>
  <si>
    <t>-581.733493862806 229.964585795215 -754.924911660981</t>
  </si>
  <si>
    <t>-449.299155894371 176.251379619418 -472.502881376671</t>
  </si>
  <si>
    <t>-281.095105262588 54.9056998123694 -315.580395585803</t>
  </si>
  <si>
    <t>-691.680263892629 51.6263038187706 -759.704740633793</t>
  </si>
  <si>
    <t>-564.434076659365 211.030894798814 -243.423500006176</t>
  </si>
  <si>
    <t>-574.963086686293 190.97465292229 211.707852088895</t>
  </si>
  <si>
    <t>-630.174881369432 166.082683306524 677.651784207722</t>
  </si>
  <si>
    <t>-496.635665895266 93.7131515477524 766.384154996149</t>
  </si>
  <si>
    <t>-623.808376944939 28.5725310278117 -211.281828342471</t>
  </si>
  <si>
    <t>-461.979574318849 -84.459721495288 199.440516924368</t>
  </si>
  <si>
    <t>-548.322403939667 -24.8684341619942 657.465770259293</t>
  </si>
  <si>
    <t>-495.230709898213 -166.781272146239 746.82752175893</t>
  </si>
  <si>
    <t>9763-20170724T160547.790984400.bin</t>
  </si>
  <si>
    <t>-595.22116029176 120.100413121333 -228.250801052522</t>
  </si>
  <si>
    <t>-635.233753253887 113.826119504771 -342.388616678454</t>
  </si>
  <si>
    <t>-658.370842250877 105.865825295228 -461.097820995667</t>
  </si>
  <si>
    <t>-672.201544585474 97.7339173534756 -569.437294834117</t>
  </si>
  <si>
    <t>-679.004015614803 88.5833329369659 -678.363050382209</t>
  </si>
  <si>
    <t>-681.125584252083 74.6909500927927 -830.028906695637</t>
  </si>
  <si>
    <t>-652.287029098035 54.5149590276471 -925.654391661071</t>
  </si>
  <si>
    <t>-666.414271175712 109.356311727327 -765.726371592911</t>
  </si>
  <si>
    <t>-583.501002914374 230.429707552438 -756.117087548346</t>
  </si>
  <si>
    <t>-453.639181074897 174.421364178865 -472.947273422869</t>
  </si>
  <si>
    <t>-291.958684634695 42.5753990184078 -317.647150891006</t>
  </si>
  <si>
    <t>-693.959370730955 52.3195683684205 -760.116456549054</t>
  </si>
  <si>
    <t>-564.880930342089 211.227941374599 -244.007657325998</t>
  </si>
  <si>
    <t>-574.960421889105 191.212573582482 211.135641134393</t>
  </si>
  <si>
    <t>-629.573787102892 166.496183820643 677.280464950984</t>
  </si>
  <si>
    <t>-496.749707405363 93.3435151709671 766.443056871889</t>
  </si>
  <si>
    <t>-625.450731155086 28.8902562418375 -211.731245732688</t>
  </si>
  <si>
    <t>-463.185336145599 -84.5139234263365 198.716247107749</t>
  </si>
  <si>
    <t>-548.509010688231 -24.9136576182057 656.938791105013</t>
  </si>
  <si>
    <t>-495.463687510839 -166.850916545268 746.289372613441</t>
  </si>
  <si>
    <t>9763-20170724T160547.824072300.bin</t>
  </si>
  <si>
    <t>-595.585139580128 120.1491777618 -228.372756082613</t>
  </si>
  <si>
    <t>-635.736261546706 114.000368176621 -342.468780174255</t>
  </si>
  <si>
    <t>-659.041976852142 106.122751208667 -461.150529640478</t>
  </si>
  <si>
    <t>-673.036939000103 98.0490856646122 -569.473100999958</t>
  </si>
  <si>
    <t>-680.015707224273 88.940503326942 -678.391400208474</t>
  </si>
  <si>
    <t>-682.393971371018 75.0909909037628 -830.057275281434</t>
  </si>
  <si>
    <t>-653.699906877461 54.8396969117466 -925.710450342458</t>
  </si>
  <si>
    <t>-667.494956735836 109.700224069961 -765.767748310848</t>
  </si>
  <si>
    <t>-584.369447445986 230.642001792281 -756.469464295726</t>
  </si>
  <si>
    <t>-456.454634715994 172.44695490278 -472.854698880198</t>
  </si>
  <si>
    <t>-297.861840538383 35.0667971750886 -319.176311376012</t>
  </si>
  <si>
    <t>-695.188302396269 52.7377980637552 -760.131986097917</t>
  </si>
  <si>
    <t>-564.937813260711 211.213989484939 -244.091344635316</t>
  </si>
  <si>
    <t>-574.884647177012 191.069468870473 211.049188441801</t>
  </si>
  <si>
    <t>-629.577178035295 166.458072451803 677.229479920096</t>
  </si>
  <si>
    <t>-496.786538416156 93.2636470540504 766.407583168133</t>
  </si>
  <si>
    <t>-626.114980459222 29.0515906353389 -211.858957678249</t>
  </si>
  <si>
    <t>-463.765459315773 -84.6615518548447 198.469735080121</t>
  </si>
  <si>
    <t>-548.557653856006 -24.9176923344075 656.740868937256</t>
  </si>
  <si>
    <t>-495.596067815992 -166.889030855422 746.086869522792</t>
  </si>
  <si>
    <t>9763-20170724T160547.894262900.bin</t>
  </si>
  <si>
    <t>-596.268251153289 120.256697213979 -228.426225036788</t>
  </si>
  <si>
    <t>-636.551635864431 114.233292623889 -342.482262978409</t>
  </si>
  <si>
    <t>-660.09113213371 106.476498478454 -461.125804197034</t>
  </si>
  <si>
    <t>-674.339593685333 98.5053754133241 -569.422960686358</t>
  </si>
  <si>
    <t>-681.613559426645 89.4912384940458 -678.329829510512</t>
  </si>
  <si>
    <t>-684.445948629677 75.7620038052351 -829.998778305063</t>
  </si>
  <si>
    <t>-655.998135013004 55.3178215481189 -925.684457856599</t>
  </si>
  <si>
    <t>-669.174717064601 110.232571464712 -765.722171276954</t>
  </si>
  <si>
    <t>-585.503550433353 230.855491812736 -757.026160135661</t>
  </si>
  <si>
    <t>-461.949363613426 168.088894677175 -472.454654844325</t>
  </si>
  <si>
    <t>-307.698275743752 21.8980866713384 -322.531740070955</t>
  </si>
  <si>
    <t>-697.210682310493 53.4409675999032 -760.057714253629</t>
  </si>
  <si>
    <t>-565.244219826311 211.14748018624 -244.132651920511</t>
  </si>
  <si>
    <t>-574.883232417728 190.75616506458 211.003516458399</t>
  </si>
  <si>
    <t>-629.737199358238 166.222752646124 677.188278239013</t>
  </si>
  <si>
    <t>-496.85441983493 93.086811205384 766.277061670318</t>
  </si>
  <si>
    <t>-627.143396582105 29.3927416444176 -211.912234445828</t>
  </si>
  <si>
    <t>-464.838878187961 -84.9663798280653 198.254683013216</t>
  </si>
  <si>
    <t>-548.689325128335 -24.8680406974652 656.585773516091</t>
  </si>
  <si>
    <t>-495.835931325984 -166.941643314858 745.833326572924</t>
  </si>
  <si>
    <t>9763-20170724T160547.927353900.bin</t>
  </si>
  <si>
    <t>-596.576492723885 120.315317793645 -228.39837492439</t>
  </si>
  <si>
    <t>-636.914203323514 114.316779435512 -342.436443896199</t>
  </si>
  <si>
    <t>-660.549771485978 106.595631077156 -461.063203121456</t>
  </si>
  <si>
    <t>-674.902165447352 98.658298590022 -569.34924453852</t>
  </si>
  <si>
    <t>-682.297361016066 89.6777824347682 -678.250498788182</t>
  </si>
  <si>
    <t>-685.316328426067 75.9936094584793 -829.920137191485</t>
  </si>
  <si>
    <t>-656.994758404433 55.4398779144053 -925.619624117303</t>
  </si>
  <si>
    <t>-669.886579702975 110.406033726965 -765.650093360515</t>
  </si>
  <si>
    <t>-585.979573499826 230.87942781203 -757.258016611871</t>
  </si>
  <si>
    <t>-464.635488617729 165.857434618973 -472.242419369726</t>
  </si>
  <si>
    <t>-311.882493499345 16.0300887123435 -324.389982767522</t>
  </si>
  <si>
    <t>-698.074468468623 53.6908443427249 -759.972052162707</t>
  </si>
  <si>
    <t>-565.416966399888 211.187748743372 -244.140794336538</t>
  </si>
  <si>
    <t>-575.061395329927 190.815326897963 210.996079525386</t>
  </si>
  <si>
    <t>-629.695348783166 166.259461358518 677.126547328612</t>
  </si>
  <si>
    <t>-496.838654743559 93.0863806925965 766.22372186633</t>
  </si>
  <si>
    <t>-627.566711931401 29.4788237784414 -211.888792271095</t>
  </si>
  <si>
    <t>-465.226746242035 -85.0949108818411 198.204174173569</t>
  </si>
  <si>
    <t>-548.798374251698 -24.8690458306069 656.551151980495</t>
  </si>
  <si>
    <t>-495.897521880323 -166.95963321416 745.743491644107</t>
  </si>
  <si>
    <t>9763-20170724T160547.988454400.bin</t>
  </si>
  <si>
    <t>-597.317289755888 120.554956277182 -228.448716091538</t>
  </si>
  <si>
    <t>-637.640294258661 114.591989065073 -342.493909815441</t>
  </si>
  <si>
    <t>-661.402355155581 106.915801946208 -461.098408594438</t>
  </si>
  <si>
    <t>-675.928765522264 99.0176737423917 -569.363931683999</t>
  </si>
  <si>
    <t>-683.558261505816 90.0725234538634 -678.252119740781</t>
  </si>
  <si>
    <t>-686.965896791198 76.4312478106895 -829.917288300183</t>
  </si>
  <si>
    <t>-658.947096322149 55.6946337649561 -925.66648715629</t>
  </si>
  <si>
    <t>-671.225618800932 110.75278407829 -765.674081347564</t>
  </si>
  <si>
    <t>-586.93809315091 230.969549207092 -757.690889844331</t>
  </si>
  <si>
    <t>-469.411740362586 162.095053681852 -471.981111471881</t>
  </si>
  <si>
    <t>-319.051968234861 6.66754115112121 -327.494843043967</t>
  </si>
  <si>
    <t>-699.690698862837 54.1813098158261 -759.946121947088</t>
  </si>
  <si>
    <t>-565.855379356023 211.395894315958 -244.273508349771</t>
  </si>
  <si>
    <t>-575.672951971963 191.070796520461 210.861845786392</t>
  </si>
  <si>
    <t>-629.591316676953 166.255513379286 677.023247651573</t>
  </si>
  <si>
    <t>-496.81209289711 93.0267211819873 766.190161606505</t>
  </si>
  <si>
    <t>-628.638976110837 29.7707349611026 -211.907628815358</t>
  </si>
  <si>
    <t>-465.973688265055 -85.089723190931 197.97625508799</t>
  </si>
  <si>
    <t>-548.92512821272 -24.8995238346381 656.397627060569</t>
  </si>
  <si>
    <t>-496.021060946605 -167.008650841791 745.55857424303</t>
  </si>
  <si>
    <t>9763-20170724T160548.027564200.bin</t>
  </si>
  <si>
    <t>-597.646454102714 120.718085550351 -228.493367973693</t>
  </si>
  <si>
    <t>-637.951757830667 114.767182694947 -342.545461600893</t>
  </si>
  <si>
    <t>-661.760537423524 107.134698792619 -461.143163565681</t>
  </si>
  <si>
    <t>-676.355923603261 99.2870189069565 -569.403231683547</t>
  </si>
  <si>
    <t>-684.081145437144 90.4023711529283 -678.289674023352</t>
  </si>
  <si>
    <t>-687.649893193543 76.8544040594279 -829.959432556559</t>
  </si>
  <si>
    <t>-659.749011219809 56.0688875353824 -925.732518527769</t>
  </si>
  <si>
    <t>-671.781799314236 111.106532666013 -765.710566913816</t>
  </si>
  <si>
    <t>-587.227948315181 231.157602040604 -757.917130029491</t>
  </si>
  <si>
    <t>-471.591235155666 160.7368742473 -471.813517952517</t>
  </si>
  <si>
    <t>-322.949810205559 1.46204058901503 -329.759737572229</t>
  </si>
  <si>
    <t>-700.359880503818 54.5913667307732 -759.989808077058</t>
  </si>
  <si>
    <t>-566.056798020248 211.530973056521 -244.346986344909</t>
  </si>
  <si>
    <t>-576.099427227371 191.283844098036 210.786875384365</t>
  </si>
  <si>
    <t>-629.560302748544 166.222459610702 676.967332618203</t>
  </si>
  <si>
    <t>-496.882467501588 92.8764034649503 766.188736979284</t>
  </si>
  <si>
    <t>-629.08939312694 29.9539510675913 -211.93515535572</t>
  </si>
  <si>
    <t>-466.27487400361 -85.0250275649769 197.856176597426</t>
  </si>
  <si>
    <t>-548.979444228728 -24.9149125008018 656.330119953689</t>
  </si>
  <si>
    <t>-496.076354443962 -167.029211763857 745.4832972371</t>
  </si>
  <si>
    <t>9763-20170724T160548.091750800.bin</t>
  </si>
  <si>
    <t>-598.464825031708 121.225797609327 -228.559821990459</t>
  </si>
  <si>
    <t>-638.833819738641 115.346165360406 -342.593041705303</t>
  </si>
  <si>
    <t>-662.736711016818 107.814320094585 -461.178426956737</t>
  </si>
  <si>
    <t>-677.429027878334 100.069760472933 -569.432738223111</t>
  </si>
  <si>
    <t>-685.262343498089 91.301146137919 -678.320801934194</t>
  </si>
  <si>
    <t>-688.992591391581 77.9281075907143 -830.00226102805</t>
  </si>
  <si>
    <t>-661.264985426028 57.0806649727772 -925.812132314173</t>
  </si>
  <si>
    <t>-672.968306827835 112.061853541663 -765.728961057042</t>
  </si>
  <si>
    <t>-588.104830839201 231.89684688751 -758.107967807855</t>
  </si>
  <si>
    <t>-476.610241325621 157.880191190005 -471.268815299317</t>
  </si>
  <si>
    <t>-701.715798588205 55.6287143652035 -760.04668191133</t>
  </si>
  <si>
    <t>-566.539955133909 211.972208820561 -244.523780371147</t>
  </si>
  <si>
    <t>-576.84552887756 191.74297307176 210.605087098871</t>
  </si>
  <si>
    <t>-629.378526112885 166.212572468584 676.81871320969</t>
  </si>
  <si>
    <t>-496.995304933471 92.5476281102024 766.214853172416</t>
  </si>
  <si>
    <t>-630.264772621928 30.4973517062624 -211.938078852713</t>
  </si>
  <si>
    <t>-466.80636597322 -84.8297917764937 197.498917928204</t>
  </si>
  <si>
    <t>-549.087901396431 -24.9864515252466 656.102748307137</t>
  </si>
  <si>
    <t>-496.158583396021 -167.071133120635 745.287649171789</t>
  </si>
  <si>
    <t>9763-20170724T160548.125838700.bin</t>
  </si>
  <si>
    <t>-598.921497769238 121.599545092043 -228.620432713412</t>
  </si>
  <si>
    <t>-639.338539966057 115.768008283495 -342.639096812394</t>
  </si>
  <si>
    <t>-663.235118515405 108.313509607428 -461.230622825358</t>
  </si>
  <si>
    <t>-677.898163617168 100.653331337069 -569.494981180572</t>
  </si>
  <si>
    <t>-685.677644024825 91.9855688968591 -678.394963276503</t>
  </si>
  <si>
    <t>-689.306745963318 78.7715278782141 -830.092757365774</t>
  </si>
  <si>
    <t>-661.617772644088 57.9187282812663 -925.912755165901</t>
  </si>
  <si>
    <t>-673.298609359694 112.824160786829 -765.77256123601</t>
  </si>
  <si>
    <t>-588.245740538776 232.521274519231 -758.106924881968</t>
  </si>
  <si>
    <t>-478.974268477345 156.559626965994 -470.920850793787</t>
  </si>
  <si>
    <t>-702.103443356717 56.4123921439382 -760.169684039508</t>
  </si>
  <si>
    <t>-566.715048409672 212.318502707052 -244.648419315939</t>
  </si>
  <si>
    <t>-577.174477533262 192.046864650661 210.475007803861</t>
  </si>
  <si>
    <t>-629.225520933229 166.251957858659 676.689292554932</t>
  </si>
  <si>
    <t>-497.096831069388 92.3049249067872 766.229003869913</t>
  </si>
  <si>
    <t>-631.021909046698 30.927502005361 -211.914731587026</t>
  </si>
  <si>
    <t>-467.110564199418 -84.6835503807367 197.26112625061</t>
  </si>
  <si>
    <t>-549.121511533264 -25.0327211753872 655.942337514445</t>
  </si>
  <si>
    <t>-496.19053297169 -167.091823148933 745.16696350013</t>
  </si>
  <si>
    <t>9763-20170724T160548.194024300.bin</t>
  </si>
  <si>
    <t>-599.656031201457 122.350422157007 -228.766189852496</t>
  </si>
  <si>
    <t>-640.213043473333 116.631040946568 -342.740915059344</t>
  </si>
  <si>
    <t>-664.101692394298 109.338382517586 -461.343999900188</t>
  </si>
  <si>
    <t>-678.694083039395 101.849664350905 -569.629918918029</t>
  </si>
  <si>
    <t>-686.337208075574 93.3826363470762 -678.555327348555</t>
  </si>
  <si>
    <t>-689.706697810488 80.4816700321119 -830.285963688883</t>
  </si>
  <si>
    <t>-662.014935647558 59.6217263336582 -926.103685273982</t>
  </si>
  <si>
    <t>-673.756433873411 114.374903179246 -765.867485088712</t>
  </si>
  <si>
    <t>-588.395350588644 233.845890923779 -758.064024140641</t>
  </si>
  <si>
    <t>-483.092956604504 153.827604663023 -470.497032807957</t>
  </si>
  <si>
    <t>-702.675141710539 58.005031497954 -760.432460915446</t>
  </si>
  <si>
    <t>-566.940431232372 212.957221073606 -244.931288375829</t>
  </si>
  <si>
    <t>-577.458226236545 192.63337714768 210.188488326894</t>
  </si>
  <si>
    <t>-628.894319964427 166.432539820368 676.509657142009</t>
  </si>
  <si>
    <t>-497.236221290665 91.9538601857103 766.301573773222</t>
  </si>
  <si>
    <t>-632.2212076113 31.780424976844 -211.916128187203</t>
  </si>
  <si>
    <t>-467.708516268605 -84.3554921575158 196.869469735792</t>
  </si>
  <si>
    <t>-549.219132309762 -25.0429303407236 655.697374468793</t>
  </si>
  <si>
    <t>-496.245187677615 -167.106398517945 744.889583142253</t>
  </si>
  <si>
    <t>9763-20170724T160548.225106200.bin</t>
  </si>
  <si>
    <t>-599.753142757441 122.669367305202 -228.868510887619</t>
  </si>
  <si>
    <t>-640.313208791489 116.938775414347 -342.841572808838</t>
  </si>
  <si>
    <t>-664.195153655639 109.682356550803 -461.448220216963</t>
  </si>
  <si>
    <t>-678.776567227919 102.247869969847 -569.739389967196</t>
  </si>
  <si>
    <t>-686.403151606854 93.8580283753479 -678.67190354386</t>
  </si>
  <si>
    <t>-689.743025930602 81.0897728118507 -830.414511895293</t>
  </si>
  <si>
    <t>-662.076333153411 60.1971207393285 -926.232269546572</t>
  </si>
  <si>
    <t>-673.776277712969 114.911794681395 -765.962615046396</t>
  </si>
  <si>
    <t>-588.3580897754 234.379727241656 -758.472392485623</t>
  </si>
  <si>
    <t>-484.405075044458 153.148051942526 -470.7548315739</t>
  </si>
  <si>
    <t>-702.754172800207 58.5668877898427 -760.583557314202</t>
  </si>
  <si>
    <t>-566.791104188163 213.175344394926 -245.0181943287</t>
  </si>
  <si>
    <t>-577.297028456093 192.824177670024 210.100673869867</t>
  </si>
  <si>
    <t>-628.813644598109 166.526787587571 676.495931213442</t>
  </si>
  <si>
    <t>-497.301407502991 91.8272364323118 766.318112736862</t>
  </si>
  <si>
    <t>-632.51196479305 32.1525032075351 -211.975775697052</t>
  </si>
  <si>
    <t>-468.02326603071 -84.2077975967077 196.755658612897</t>
  </si>
  <si>
    <t>-549.277066225145 -25.0042165477839 655.661997931002</t>
  </si>
  <si>
    <t>-496.302387656753 -167.108945364745 744.787984766575</t>
  </si>
  <si>
    <t>9763-20170724T160548.291292100.bin</t>
  </si>
  <si>
    <t>-599.703863829153 122.951836823879 -228.866193305909</t>
  </si>
  <si>
    <t>-640.126965497316 117.234388075498 -342.888530443615</t>
  </si>
  <si>
    <t>-663.949236120943 110.023316192343 -461.509977247547</t>
  </si>
  <si>
    <t>-678.509801470816 102.640801247421 -569.807542750359</t>
  </si>
  <si>
    <t>-686.149108682882 94.3129755630123 -678.743813690375</t>
  </si>
  <si>
    <t>-689.542097791063 81.6401587017519 -830.493371550284</t>
  </si>
  <si>
    <t>-661.990032078514 60.5935282955788 -926.310329223046</t>
  </si>
  <si>
    <t>-673.499862072011 115.394424710987 -766.024742083718</t>
  </si>
  <si>
    <t>-587.741885565942 234.629402692022 -759.264384646927</t>
  </si>
  <si>
    <t>-488.80255204348 148.737302476213 -471.132870707398</t>
  </si>
  <si>
    <t>-702.581823545348 59.1004602473315 -760.673103833883</t>
  </si>
  <si>
    <t>-566.594623794057 213.425821192952 -244.984256966864</t>
  </si>
  <si>
    <t>-577.353936004041 193.028832018831 210.126562140585</t>
  </si>
  <si>
    <t>-628.786627782168 166.572052938077 676.457624892946</t>
  </si>
  <si>
    <t>-497.272562293311 91.8635862407093 766.269707458401</t>
  </si>
  <si>
    <t>-632.593201146679 32.5203073070122 -212.053758528451</t>
  </si>
  <si>
    <t>-468.654322430478 -84.3871225695418 196.742561400944</t>
  </si>
  <si>
    <t>-549.5038934992 -24.9298225008081 655.729564838314</t>
  </si>
  <si>
    <t>-496.398219449908 -167.114793581349 744.64928017479</t>
  </si>
  <si>
    <t>9763-20170724T160548.324378500.bin</t>
  </si>
  <si>
    <t>-599.745489140336 123.120083170103 -228.859499220189</t>
  </si>
  <si>
    <t>-640.065043442831 117.319614331843 -342.914400779751</t>
  </si>
  <si>
    <t>-663.804544629068 110.148852078454 -461.554874263679</t>
  </si>
  <si>
    <t>-678.298462650343 102.849657067855 -569.86694364895</t>
  </si>
  <si>
    <t>-685.878982171008 94.6501178705319 -678.817197576227</t>
  </si>
  <si>
    <t>-689.198124898504 82.2006286622916 -830.586761485992</t>
  </si>
  <si>
    <t>-661.754603125459 61.1279037876061 -926.429223724862</t>
  </si>
  <si>
    <t>-673.179091184383 115.855896688353 -766.060411727805</t>
  </si>
  <si>
    <t>-587.027823574753 234.868399807186 -759.656826420094</t>
  </si>
  <si>
    <t>-491.178386457193 145.947818631388 -471.399615273119</t>
  </si>
  <si>
    <t>-702.279818738068 59.5625105322845 -760.80636551416</t>
  </si>
  <si>
    <t>-566.692230053723 213.625005153668 -245.00281424438</t>
  </si>
  <si>
    <t>-577.473979283899 193.243748515305 210.108160439943</t>
  </si>
  <si>
    <t>-628.734227458011 166.60041186651 676.431314447351</t>
  </si>
  <si>
    <t>-497.165517882679 92.0104678632929 766.261866859699</t>
  </si>
  <si>
    <t>-632.658778860489 32.6480138955626 -212.027277191129</t>
  </si>
  <si>
    <t>-468.939717800273 -84.5801677995053 196.765188257831</t>
  </si>
  <si>
    <t>-549.642274769459 -24.8994137203752 655.76727296883</t>
  </si>
  <si>
    <t>-496.382888878663 -167.102626008976 744.565784259003</t>
  </si>
  <si>
    <t>9763-20170724T160548.394570500.bin</t>
  </si>
  <si>
    <t>-599.953202530762 123.291872739134 -228.684892614703</t>
  </si>
  <si>
    <t>-640.117341512132 117.241794556462 -342.781528118185</t>
  </si>
  <si>
    <t>-663.744108742053 110.185252715518 -461.451454873789</t>
  </si>
  <si>
    <t>-678.150764925968 103.126584853605 -569.791138919599</t>
  </si>
  <si>
    <t>-685.657258049602 95.2981050977028 -678.773808689263</t>
  </si>
  <si>
    <t>-688.886066412129 83.4940522059119 -830.596862898028</t>
  </si>
  <si>
    <t>-661.855754309496 62.2668438488608 -926.522525646125</t>
  </si>
  <si>
    <t>-672.858929746872 116.850307759467 -765.917612419149</t>
  </si>
  <si>
    <t>-585.684680628807 235.121708132055 -760.210763549311</t>
  </si>
  <si>
    <t>-493.734932598704 141.798617541005 -472.075012116462</t>
  </si>
  <si>
    <t>-702.056119025605 60.5833955521725 -760.921943017886</t>
  </si>
  <si>
    <t>-567.115679058963 213.895014133288 -244.930342111831</t>
  </si>
  <si>
    <t>-577.934991874633 193.76095497749 210.190877693346</t>
  </si>
  <si>
    <t>-628.723168233139 166.616004348998 676.457977033908</t>
  </si>
  <si>
    <t>-497.067146365919 92.1591372559399 766.270980579915</t>
  </si>
  <si>
    <t>-632.622493009583 32.7524964546772 -211.766879002263</t>
  </si>
  <si>
    <t>-468.905741038966 -85.2849736625924 196.793608279221</t>
  </si>
  <si>
    <t>-549.724479712075 -24.8218932747789 655.6557241208</t>
  </si>
  <si>
    <t>-496.353646767782 -167.090850418502 744.281984523236</t>
  </si>
  <si>
    <t>9763-20170724T160548.426661500.bin</t>
  </si>
  <si>
    <t>-599.957997977638 123.184364355162 -228.683139072924</t>
  </si>
  <si>
    <t>-640.03172801849 117.024235587419 -342.80559970179</t>
  </si>
  <si>
    <t>-663.49918252891 109.983283453029 -461.507987129309</t>
  </si>
  <si>
    <t>-677.732672024076 102.980528290894 -569.874269442746</t>
  </si>
  <si>
    <t>-685.036706977796 95.2441697097224 -678.877136606938</t>
  </si>
  <si>
    <t>-687.953736891169 83.6008096264568 -830.71903997171</t>
  </si>
  <si>
    <t>-661.044487640948 62.2678522214658 -926.655362821846</t>
  </si>
  <si>
    <t>-671.987172598079 116.851235330436 -765.970333389671</t>
  </si>
  <si>
    <t>-583.870003352016 234.523632920541 -760.83162472208</t>
  </si>
  <si>
    <t>-496.257322384771 138.974438239013 -472.074809726071</t>
  </si>
  <si>
    <t>-701.338908097939 60.6540406089025 -761.097178855196</t>
  </si>
  <si>
    <t>-567.236384827697 213.765487742923 -244.942389132417</t>
  </si>
  <si>
    <t>-578.374299453914 194.071186616188 210.190285340947</t>
  </si>
  <si>
    <t>-628.695946846789 166.654983124263 676.477845448559</t>
  </si>
  <si>
    <t>-497.039505739965 92.1915510445058 766.284811099013</t>
  </si>
  <si>
    <t>-632.572388380117 32.6301349757773 -211.709133882552</t>
  </si>
  <si>
    <t>-468.72232035145 -85.4904159259661 196.773826140229</t>
  </si>
  <si>
    <t>-549.737597117982 -24.7926490108066 655.557219634043</t>
  </si>
  <si>
    <t>-496.346720988185 -167.092489364749 744.121782483832</t>
  </si>
  <si>
    <t>9763-20170724T160548.491416600.bin</t>
  </si>
  <si>
    <t>-600.324214576317 122.631331294643 -228.839319361055</t>
  </si>
  <si>
    <t>-640.286193346426 116.507125107136 -343.002910700528</t>
  </si>
  <si>
    <t>-663.439592922588 109.638049411474 -461.777037745517</t>
  </si>
  <si>
    <t>-677.305004762152 102.833018377504 -570.203527530053</t>
  </si>
  <si>
    <t>-684.156503577097 95.3293424591729 -679.252201776361</t>
  </si>
  <si>
    <t>-686.35666385169 84.0395157127605 -831.132794299376</t>
  </si>
  <si>
    <t>-659.45496335239 62.76318728038 -927.083797924238</t>
  </si>
  <si>
    <t>-670.607275262177 117.092634149615 -766.22995220991</t>
  </si>
  <si>
    <t>-581.536864186476 233.939276785104 -760.673460726833</t>
  </si>
  <si>
    <t>-495.631817584537 136.370747406168 -472.07880033031</t>
  </si>
  <si>
    <t>-700.159030006732 60.9772119907611 -761.630622160608</t>
  </si>
  <si>
    <t>-567.568243459608 213.257061908633 -245.022846263886</t>
  </si>
  <si>
    <t>-578.981419275101 194.013004082205 210.122261556403</t>
  </si>
  <si>
    <t>-628.669849443885 166.723490210158 676.502354803508</t>
  </si>
  <si>
    <t>-497.057746081625 92.1528473146882 766.285328992753</t>
  </si>
  <si>
    <t>-632.976783561198 32.0516320468951 -212.020788764</t>
  </si>
  <si>
    <t>-468.703193554393 -85.432591319628 196.475579047054</t>
  </si>
  <si>
    <t>-549.808224399906 -24.8855393866099 655.283657050561</t>
  </si>
  <si>
    <t>-496.178905316179 -167.089725743749 743.85788469592</t>
  </si>
  <si>
    <t>9763-20170724T160548.524502300.bin</t>
  </si>
  <si>
    <t>-600.442055590333 122.257668380294 -229.009779140316</t>
  </si>
  <si>
    <t>-640.38153440839 116.229230591644 -343.186452366232</t>
  </si>
  <si>
    <t>-663.318663608833 109.527097113366 -462.012165100998</t>
  </si>
  <si>
    <t>-676.907583953366 102.896636978534 -570.484344945789</t>
  </si>
  <si>
    <t>-683.400788469273 95.5885821106908 -679.568152873597</t>
  </si>
  <si>
    <t>-685.017993047301 84.5897511581868 -831.477440974474</t>
  </si>
  <si>
    <t>-657.849260962816 63.4990647940872 -927.39429008177</t>
  </si>
  <si>
    <t>-669.487359017087 117.502256957723 -766.450749184108</t>
  </si>
  <si>
    <t>-580.106046286652 234.089855524522 -760.306952004353</t>
  </si>
  <si>
    <t>-495.500665729787 135.339354299454 -471.730270289474</t>
  </si>
  <si>
    <t>-699.117528221464 61.4104985607457 -762.073947975141</t>
  </si>
  <si>
    <t>-567.651069467158 212.831534819715 -245.104132279897</t>
  </si>
  <si>
    <t>-578.979941220482 193.651665679787 210.045809618715</t>
  </si>
  <si>
    <t>-628.637885246568 166.697196381802 676.45370222735</t>
  </si>
  <si>
    <t>-497.059084908371 92.1170944007931 766.277653901282</t>
  </si>
  <si>
    <t>-633.132404145943 31.7063448602457 -212.247863018496</t>
  </si>
  <si>
    <t>-468.890619112751 -85.5333445512429 196.331494777129</t>
  </si>
  <si>
    <t>-549.829607662216 -24.9350334844603 655.146768880377</t>
  </si>
  <si>
    <t>-496.178372533106 -167.10725530679 743.758979823054</t>
  </si>
  <si>
    <t>9763-20170724T160548.593326500.bin</t>
  </si>
  <si>
    <t>-600.424313894112 121.396274976117 -229.292318749403</t>
  </si>
  <si>
    <t>-640.387535636345 115.494290931515 -343.467156284739</t>
  </si>
  <si>
    <t>-662.940466316595 109.092948200733 -462.382913550935</t>
  </si>
  <si>
    <t>-676.009676768948 102.804302513603 -570.93951166162</t>
  </si>
  <si>
    <t>-681.808818064275 95.9070298396312 -680.089122717279</t>
  </si>
  <si>
    <t>-682.278290338022 85.5511530558849 -832.051401192716</t>
  </si>
  <si>
    <t>-654.472927237617 65.0275425936802 -927.908671492041</t>
  </si>
  <si>
    <t>-667.286796540691 118.212700169089 -766.77199837084</t>
  </si>
  <si>
    <t>-577.616119082393 234.544756351129 -759.251060319043</t>
  </si>
  <si>
    <t>-492.607374259157 133.125775210214 -471.72027211461</t>
  </si>
  <si>
    <t>-696.854259625306 62.0539986417052 -762.853566842169</t>
  </si>
  <si>
    <t>-567.618022048132 211.933546327386 -245.272379411329</t>
  </si>
  <si>
    <t>-578.670978836924 192.953649011278 209.892790693349</t>
  </si>
  <si>
    <t>-628.546960319241 166.70053520149 676.356264812491</t>
  </si>
  <si>
    <t>-497.094642928563 92.0084823726056 766.27231171388</t>
  </si>
  <si>
    <t>-633.045106011501 30.8831038289211 -212.629310151819</t>
  </si>
  <si>
    <t>-469.031959731618 -86.1830852276355 196.091743850571</t>
  </si>
  <si>
    <t>-549.81912502692 -24.9990555303048 654.879212778766</t>
  </si>
  <si>
    <t>-496.405377331182 -167.186651488888 743.610167389151</t>
  </si>
  <si>
    <t>9763-20170724T160548.624408300.bin</t>
  </si>
  <si>
    <t>-600.390535010512 120.945754843522 -229.3972900758</t>
  </si>
  <si>
    <t>-640.355252883625 115.112524859913 -343.575158854252</t>
  </si>
  <si>
    <t>-662.708732873838 108.823179680779 -462.534708072584</t>
  </si>
  <si>
    <t>-675.513892387515 102.650503982057 -571.129144085349</t>
  </si>
  <si>
    <t>-680.964511998986 95.8828250402639 -680.304971144547</t>
  </si>
  <si>
    <t>-680.861951934404 85.7197756403857 -832.280826704121</t>
  </si>
  <si>
    <t>-652.597980961157 65.4797033327513 -928.064276213237</t>
  </si>
  <si>
    <t>-666.103068201427 118.291326169853 -766.903739366247</t>
  </si>
  <si>
    <t>-576.247789279252 234.410236963206 -758.761657574355</t>
  </si>
  <si>
    <t>-491.64339794329 131.582333327432 -471.612300848771</t>
  </si>
  <si>
    <t>-695.711712699787 62.1417547551448 -763.168829655415</t>
  </si>
  <si>
    <t>-567.539266520334 211.440089594437 -245.328696239544</t>
  </si>
  <si>
    <t>-578.69816431869 192.685523573541 209.843105372537</t>
  </si>
  <si>
    <t>-628.528373615317 166.69434172412 676.325534342917</t>
  </si>
  <si>
    <t>-497.066569015527 92.0425378648545 766.261152513418</t>
  </si>
  <si>
    <t>-633.102313853154 30.4928685457464 -212.736972384407</t>
  </si>
  <si>
    <t>-469.040710587683 -86.4715988330181 195.993650540614</t>
  </si>
  <si>
    <t>-549.785173211323 -25.0424446203706 654.729764992717</t>
  </si>
  <si>
    <t>-496.520925306788 -167.227455939719 743.554515194103</t>
  </si>
  <si>
    <t>9763-20170724T160548.692598200.bin</t>
  </si>
  <si>
    <t>-600.215729211942 120.004845587835 -229.522647421984</t>
  </si>
  <si>
    <t>-640.004143192733 114.196374536942 -343.763362267548</t>
  </si>
  <si>
    <t>-661.934628297864 108.026339443891 -462.807682054284</t>
  </si>
  <si>
    <t>-674.255155104747 101.997242464334 -571.466298263238</t>
  </si>
  <si>
    <t>-679.118798202493 95.4072912831377 -680.68065875325</t>
  </si>
  <si>
    <t>-678.094094797159 85.525731469696 -832.671782742616</t>
  </si>
  <si>
    <t>-649.165724268538 65.8666305360007 -928.377780522532</t>
  </si>
  <si>
    <t>-663.710312449196 117.964673511621 -767.145051522477</t>
  </si>
  <si>
    <t>-573.449821801692 233.745448285891 -758.198202196878</t>
  </si>
  <si>
    <t>-490.675314095153 130.525761789383 -470.656447692894</t>
  </si>
  <si>
    <t>-693.384623387748 61.8314189956409 -763.695737861941</t>
  </si>
  <si>
    <t>-567.239057504758 210.408396105738 -245.427384488038</t>
  </si>
  <si>
    <t>-578.834301746376 192.236626574756 209.757105102944</t>
  </si>
  <si>
    <t>-628.599353157421 166.552845373375 676.321824106898</t>
  </si>
  <si>
    <t>-497.089033261862 91.9689399543022 766.242862178937</t>
  </si>
  <si>
    <t>-633.016022349796 29.6189185696892 -212.933630325607</t>
  </si>
  <si>
    <t>-468.793153631739 -86.9237275594819 195.852780337784</t>
  </si>
  <si>
    <t>-549.729248105603 -25.1303265866015 654.481943743579</t>
  </si>
  <si>
    <t>-496.66592262917 -167.297574623859 743.45525935656</t>
  </si>
  <si>
    <t>9763-20170724T160548.728691400.bin</t>
  </si>
  <si>
    <t>-600.054787292483 119.426602419225 -229.612144229607</t>
  </si>
  <si>
    <t>-639.850478926114 113.684037808651 -343.853602791754</t>
  </si>
  <si>
    <t>-661.714915259121 107.602952767329 -462.91474225035</t>
  </si>
  <si>
    <t>-673.944832825773 101.662594241788 -571.58846536489</t>
  </si>
  <si>
    <t>-678.686751119334 95.1690285953769 -680.813952907696</t>
  </si>
  <si>
    <t>-677.460669811306 85.4286102224346 -832.812748947406</t>
  </si>
  <si>
    <t>-648.224136873011 65.9708022472335 -928.466251604244</t>
  </si>
  <si>
    <t>-663.166944937078 117.808347827712 -767.23707382431</t>
  </si>
  <si>
    <t>-572.711749365309 233.363080310339 -757.677916000155</t>
  </si>
  <si>
    <t>-490.796317426826 129.724825575253 -470.040577020385</t>
  </si>
  <si>
    <t>-692.839340366173 61.668610990652 -763.878815993232</t>
  </si>
  <si>
    <t>-567.069817155184 209.821408245956 -245.446703619785</t>
  </si>
  <si>
    <t>-578.743212312668 191.848052337894 209.743798090712</t>
  </si>
  <si>
    <t>-628.663118159025 166.434304504913 676.312307228115</t>
  </si>
  <si>
    <t>-497.085038938575 91.9590308543479 766.224232611442</t>
  </si>
  <si>
    <t>-632.897023181622 29.0452513305193 -213.06588065645</t>
  </si>
  <si>
    <t>-468.669911676193 -87.0782882157916 195.838135201131</t>
  </si>
  <si>
    <t>-549.72728541183 -25.1537631313479 654.425816332787</t>
  </si>
  <si>
    <t>-496.644586546166 -167.302652866352 743.416910541054</t>
  </si>
  <si>
    <t>9763-20170724T160548.791872700.bin</t>
  </si>
  <si>
    <t>-599.490672014326 118.468039069747 -229.777859346448</t>
  </si>
  <si>
    <t>-639.095567633795 112.810785303897 -344.089952177172</t>
  </si>
  <si>
    <t>-660.510606324012 106.807799970906 -463.236634013846</t>
  </si>
  <si>
    <t>-672.229079296364 100.93025631103 -571.97020368325</t>
  </si>
  <si>
    <t>-676.355402890684 94.4890096415479 -681.223732642161</t>
  </si>
  <si>
    <t>-674.166939417644 84.808028479782 -833.215455193722</t>
  </si>
  <si>
    <t>-644.228425020373 65.6080241477068 -928.703923980586</t>
  </si>
  <si>
    <t>-660.291808443575 117.163756731662 -767.538185161561</t>
  </si>
  <si>
    <t>-570.091186551403 232.872470065211 -757.298962192341</t>
  </si>
  <si>
    <t>-490.048288546796 129.653415036988 -468.984768088578</t>
  </si>
  <si>
    <t>-689.978661607247 61.0194480175719 -764.389584306332</t>
  </si>
  <si>
    <t>-566.478840520947 208.779923416111 -245.463432749819</t>
  </si>
  <si>
    <t>-578.645427303799 191.282049030917 209.732694745558</t>
  </si>
  <si>
    <t>-628.792115936948 166.21469848507 676.317204551733</t>
  </si>
  <si>
    <t>-497.124283214076 91.8539970395207 766.192538839443</t>
  </si>
  <si>
    <t>-632.311775515158 28.1721535304607 -213.416592701905</t>
  </si>
  <si>
    <t>-468.420596380676 -87.4197385639329 195.772636505314</t>
  </si>
  <si>
    <t>-549.684176799464 -25.202031209597 654.304330449563</t>
  </si>
  <si>
    <t>-496.648305102761 -167.327900737745 743.360204961049</t>
  </si>
  <si>
    <t>9763-20170724T160548.823958000.bin</t>
  </si>
  <si>
    <t>-599.195676151776 117.963977578405 -229.782704124941</t>
  </si>
  <si>
    <t>-638.773878990194 112.36305952083 -344.106879439234</t>
  </si>
  <si>
    <t>-660.058932120071 106.387216535156 -463.278192702421</t>
  </si>
  <si>
    <t>-671.61762574118 100.523901676561 -572.029666568397</t>
  </si>
  <si>
    <t>-675.542160578651 94.0874843485649 -681.290853146148</t>
  </si>
  <si>
    <t>-673.030034707086 84.4042708989784 -833.277458493784</t>
  </si>
  <si>
    <t>-642.83552872473 65.2353939536386 -928.691449330812</t>
  </si>
  <si>
    <t>-659.334192803509 116.781514175687 -767.573067183516</t>
  </si>
  <si>
    <t>-569.559956057774 232.769331064482 -757.009798316935</t>
  </si>
  <si>
    <t>-489.737484372409 129.658799803845 -468.595494334153</t>
  </si>
  <si>
    <t>-688.949009987507 60.5960001494902 -764.483036132619</t>
  </si>
  <si>
    <t>-566.212574713244 208.185877013281 -245.405819036691</t>
  </si>
  <si>
    <t>-578.548951930494 190.878107313505 209.792883384713</t>
  </si>
  <si>
    <t>-629.004413585758 165.9222361078 676.376159988259</t>
  </si>
  <si>
    <t>-497.027716955656 92.0055378719969 766.164708650067</t>
  </si>
  <si>
    <t>-632.001760280478 27.7429424687825 -213.451280319367</t>
  </si>
  <si>
    <t>-468.199056717772 -87.7346020828422 195.805754058157</t>
  </si>
  <si>
    <t>-549.643431826206 -25.2151759641154 654.254706418919</t>
  </si>
  <si>
    <t>-496.65870811544 -167.342670028003 743.338336959136</t>
  </si>
  <si>
    <t>9763-20170724T160548.892174000.bin</t>
  </si>
  <si>
    <t>-598.858914126087 117.424798594192 -229.723272825825</t>
  </si>
  <si>
    <t>-638.357897328564 111.829282427354 -344.07502873673</t>
  </si>
  <si>
    <t>-659.372532599308 105.865117833382 -463.294929774029</t>
  </si>
  <si>
    <t>-670.607798045973 100.019119528934 -572.081219996407</t>
  </si>
  <si>
    <t>-674.130007342415 93.6090103513332 -681.357717971562</t>
  </si>
  <si>
    <t>-670.977093078082 83.9738458923082 -833.335509028661</t>
  </si>
  <si>
    <t>-640.150210485825 64.9351084217451 -928.573052570141</t>
  </si>
  <si>
    <t>-657.681926212546 116.394782121193 -767.57028876649</t>
  </si>
  <si>
    <t>-568.606923186487 232.858420487962 -756.443898852745</t>
  </si>
  <si>
    <t>-489.329613378943 129.725794630414 -467.887214120109</t>
  </si>
  <si>
    <t>-687.062394917978 60.0794267410911 -764.609534957041</t>
  </si>
  <si>
    <t>-566.115795339514 207.690567166812 -245.227643874369</t>
  </si>
  <si>
    <t>-578.716540341238 190.53071187482 209.969537697883</t>
  </si>
  <si>
    <t>-629.44703312374 165.416604192409 676.548785021184</t>
  </si>
  <si>
    <t>-497.107371562631 91.8594802903249 766.098100142729</t>
  </si>
  <si>
    <t>-631.473150411611 27.1984124694802 -213.494884054311</t>
  </si>
  <si>
    <t>-467.872868544605 -88.063051198523 195.903968036061</t>
  </si>
  <si>
    <t>-549.580063951542 -25.212180748935 654.24698200693</t>
  </si>
  <si>
    <t>-496.691806310693 -167.364807829111 743.347960427366</t>
  </si>
  <si>
    <t>9763-20170724T160548.928272100.bin</t>
  </si>
  <si>
    <t>-598.823154830945 117.283835611722 -229.64807788438</t>
  </si>
  <si>
    <t>-638.227646129179 111.637676574063 -344.029939848405</t>
  </si>
  <si>
    <t>-659.133455394708 105.678492197663 -463.269282121348</t>
  </si>
  <si>
    <t>-670.26409623823 99.8615942402446 -572.067758184528</t>
  </si>
  <si>
    <t>-673.675536346884 93.5056794165193 -681.350915887305</t>
  </si>
  <si>
    <t>-670.361817416654 83.9730507982786 -833.331697375412</t>
  </si>
  <si>
    <t>-639.311054322984 65.0545737846335 -928.520619636347</t>
  </si>
  <si>
    <t>-657.206933611014 116.386185652573 -767.534627152846</t>
  </si>
  <si>
    <t>-568.535567111943 233.132087395109 -756.190383532084</t>
  </si>
  <si>
    <t>-489.165538082585 129.936278277756 -467.68182503651</t>
  </si>
  <si>
    <t>-686.449097028925 59.9957490237725 -764.635275768004</t>
  </si>
  <si>
    <t>-566.216364194338 207.538816132661 -245.120603164929</t>
  </si>
  <si>
    <t>-578.898941656797 190.453896903343 210.07705866651</t>
  </si>
  <si>
    <t>-629.656114391176 165.206476371176 676.658255271754</t>
  </si>
  <si>
    <t>-497.061632335347 91.9413881227617 766.069919118873</t>
  </si>
  <si>
    <t>-631.280798063793 27.058975943035 -213.48066837258</t>
  </si>
  <si>
    <t>-467.774126766014 -88.1532026409568 195.96936837137</t>
  </si>
  <si>
    <t>-549.605953180944 -25.231514628249 654.284661700272</t>
  </si>
  <si>
    <t>-496.650985351118 -167.370991124098 743.367005243727</t>
  </si>
  <si>
    <t>9763-20170724T160548.993448500.bin</t>
  </si>
  <si>
    <t>-598.90333411173 117.400368781121 -229.481465952535</t>
  </si>
  <si>
    <t>-638.137262450787 111.594639959683 -343.91389827876</t>
  </si>
  <si>
    <t>-658.795914212979 105.556744363538 -463.192333340079</t>
  </si>
  <si>
    <t>-669.671207121937 99.7096939481846 -572.015123717966</t>
  </si>
  <si>
    <t>-672.79513775025 93.3687180355796 -681.307714957122</t>
  </si>
  <si>
    <t>-669.047843849916 83.9079363674205 -833.282919238666</t>
  </si>
  <si>
    <t>-637.468319021998 65.2664874454374 -928.352540301053</t>
  </si>
  <si>
    <t>-656.289834414229 116.396811722052 -767.445117662266</t>
  </si>
  <si>
    <t>-568.57722660826 233.832590054566 -755.676373337343</t>
  </si>
  <si>
    <t>-489.183367545964 130.482207827751 -467.229507884653</t>
  </si>
  <si>
    <t>-685.121980146442 59.791263258662 -764.632182630804</t>
  </si>
  <si>
    <t>-566.603842252403 207.765910485427 -244.91076432075</t>
  </si>
  <si>
    <t>-579.569195129886 190.831194907104 210.284681082128</t>
  </si>
  <si>
    <t>-629.910742434216 164.950526737952 676.800835850686</t>
  </si>
  <si>
    <t>-497.003158493251 92.0364606727057 766.034381589953</t>
  </si>
  <si>
    <t>-631.058627091722 27.0850321768194 -213.359738910436</t>
  </si>
  <si>
    <t>-467.524374849141 -87.9547327284586 196.127888494303</t>
  </si>
  <si>
    <t>-549.671498164884 -25.2664921886144 654.395432212267</t>
  </si>
  <si>
    <t>-496.424093406165 -167.346348451978 743.398543278607</t>
  </si>
  <si>
    <t>9763-20170724T160549.026537400.bin</t>
  </si>
  <si>
    <t>-598.971644478003 117.639321519017 -229.430114132731</t>
  </si>
  <si>
    <t>-638.105435502391 111.72972427627 -343.891672604757</t>
  </si>
  <si>
    <t>-658.617833863762 105.629099899041 -463.192013948315</t>
  </si>
  <si>
    <t>-669.34163888332 99.7458295790175 -572.027888343046</t>
  </si>
  <si>
    <t>-672.294964703702 93.3905666613568 -681.324381623519</t>
  </si>
  <si>
    <t>-668.29061299879 83.9343946217584 -833.293285847082</t>
  </si>
  <si>
    <t>-636.467696708311 65.4741379671102 -928.316943594819</t>
  </si>
  <si>
    <t>-655.753101872083 116.476405626565 -767.439302178963</t>
  </si>
  <si>
    <t>-568.507596512414 234.250208900557 -755.627544259885</t>
  </si>
  <si>
    <t>-489.190297252573 131.205791997577 -467.050340544703</t>
  </si>
  <si>
    <t>-684.371680194059 59.7605679835826 -764.664370595214</t>
  </si>
  <si>
    <t>-566.834741285915 208.119151719262 -244.881751693558</t>
  </si>
  <si>
    <t>-579.909533437796 191.141089119293 210.30880149254</t>
  </si>
  <si>
    <t>-629.927766602744 164.891776180446 676.79978751011</t>
  </si>
  <si>
    <t>-496.944094186341 92.1228114742714 766.038399678914</t>
  </si>
  <si>
    <t>-630.93918792461 27.2319600173626 -213.3249802004</t>
  </si>
  <si>
    <t>-467.353393075212 -87.7493663472258 196.15838102435</t>
  </si>
  <si>
    <t>-549.706990821613 -25.2756143835945 654.44123159462</t>
  </si>
  <si>
    <t>-496.278350639544 -167.328451775512 743.378756753761</t>
  </si>
  <si>
    <t>9763-20170724T160549.096654000.bin</t>
  </si>
  <si>
    <t>-599.151873366897 118.270625503024 -229.43256913846</t>
  </si>
  <si>
    <t>-638.120502966667 112.122756240742 -343.9377617787</t>
  </si>
  <si>
    <t>-658.337090364757 105.890087932466 -463.281992535698</t>
  </si>
  <si>
    <t>-668.738894859542 99.9400639056876 -572.145327270841</t>
  </si>
  <si>
    <t>-671.314966290911 93.575708200078 -681.450993163799</t>
  </si>
  <si>
    <t>-666.728781431539 84.1710742934592 -833.406664609155</t>
  </si>
  <si>
    <t>-634.33018901541 66.0074175944042 -928.292734002296</t>
  </si>
  <si>
    <t>-654.705600276631 116.820690086031 -767.509967267646</t>
  </si>
  <si>
    <t>-568.355252418807 235.23972519575 -755.516026758475</t>
  </si>
  <si>
    <t>-489.566982080584 131.933055293544 -466.887666338057</t>
  </si>
  <si>
    <t>-682.81040451665 59.8440323583527 -764.831903479044</t>
  </si>
  <si>
    <t>-567.377005353404 208.878262419374 -244.87058326787</t>
  </si>
  <si>
    <t>-580.535111666572 191.894526680441 210.317277100895</t>
  </si>
  <si>
    <t>-629.969693806115 164.801749807287 676.830986871593</t>
  </si>
  <si>
    <t>-496.824881823148 92.3318392473554 766.072706993804</t>
  </si>
  <si>
    <t>-630.753323013418 27.6820368370761 -213.332809837629</t>
  </si>
  <si>
    <t>-467.050356602943 -87.1881973288896 196.134886982676</t>
  </si>
  <si>
    <t>-549.77589999837 -25.3190547642623 654.469411066979</t>
  </si>
  <si>
    <t>-495.991260569668 -167.295577414592 743.314227778262</t>
  </si>
  <si>
    <t>9763-20170724T160549.124732200.bin</t>
  </si>
  <si>
    <t>-599.23925618856 118.662516285749 -229.43920486581</t>
  </si>
  <si>
    <t>-638.124079528474 112.404873086817 -343.967005232611</t>
  </si>
  <si>
    <t>-658.217123437385 106.153254432155 -463.33085165508</t>
  </si>
  <si>
    <t>-668.489831920497 100.229307360582 -572.208008783142</t>
  </si>
  <si>
    <t>-670.919077239352 93.9370531660297 -681.521176207143</t>
  </si>
  <si>
    <t>-666.109610501621 84.6837241784244 -833.479179774713</t>
  </si>
  <si>
    <t>-633.462535093166 66.6854680887081 -928.311747385129</t>
  </si>
  <si>
    <t>-654.330526062423 117.339534630399 -767.541604125957</t>
  </si>
  <si>
    <t>-568.484638933965 236.103946312712 -755.409322427616</t>
  </si>
  <si>
    <t>-489.432458535398 132.418805212571 -466.988774513298</t>
  </si>
  <si>
    <t>-682.144677754445 60.2166548724438 -764.943435550821</t>
  </si>
  <si>
    <t>-567.685308472262 209.420935837111 -244.875624052403</t>
  </si>
  <si>
    <t>-580.901469214314 192.367190640131 210.308032191993</t>
  </si>
  <si>
    <t>-629.931606414709 164.841853585459 676.812533796408</t>
  </si>
  <si>
    <t>-496.796757197215 92.3893042353459 766.083218196581</t>
  </si>
  <si>
    <t>-630.615456296411 27.9564242689496 -213.36259172825</t>
  </si>
  <si>
    <t>-466.85147873467 -86.8626346354724 196.09512612759</t>
  </si>
  <si>
    <t>-549.797977950719 -25.3531900355329 654.450779588186</t>
  </si>
  <si>
    <t>-495.891452042427 -167.29342908675 743.279596488721</t>
  </si>
  <si>
    <t>9763-20170724T160549.190912500.bin</t>
  </si>
  <si>
    <t>-599.38195236109 119.503161830492 -229.513448767044</t>
  </si>
  <si>
    <t>-638.160163488105 113.018719895454 -344.064790361799</t>
  </si>
  <si>
    <t>-658.031636975826 106.722098479681 -463.46350423501</t>
  </si>
  <si>
    <t>-668.054393931653 100.84248869233 -572.366361210556</t>
  </si>
  <si>
    <t>-670.182958183348 94.6849667238428 -681.693324287196</t>
  </si>
  <si>
    <t>-664.901588778422 85.7184905654856 -833.652949586577</t>
  </si>
  <si>
    <t>-631.742325519496 67.9945976428394 -928.359462751228</t>
  </si>
  <si>
    <t>-653.61473229095 118.38709155281 -767.635563221468</t>
  </si>
  <si>
    <t>-568.91754799267 237.953713074326 -755.234332414867</t>
  </si>
  <si>
    <t>-489.22890558476 133.560440868798 -467.244904900574</t>
  </si>
  <si>
    <t>-680.862057355712 60.9847513351451 -765.195529944113</t>
  </si>
  <si>
    <t>-568.273936381181 210.500965955294 -244.931882670792</t>
  </si>
  <si>
    <t>-581.414984802969 193.264634554253 210.247130693585</t>
  </si>
  <si>
    <t>-629.815682309067 165.002407877926 676.803150916691</t>
  </si>
  <si>
    <t>-496.755758560365 92.4709320491113 766.121442344667</t>
  </si>
  <si>
    <t>-630.352566559289 28.5190669036272 -213.414164577019</t>
  </si>
  <si>
    <t>-466.468332617858 -86.1212751667993 196.045495930321</t>
  </si>
  <si>
    <t>-549.878107410056 -25.4152649216194 654.43165138515</t>
  </si>
  <si>
    <t>-495.622273035798 -167.266687493473 743.189749770798</t>
  </si>
  <si>
    <t>9763-20170724T160549.229012400.bin</t>
  </si>
  <si>
    <t>-599.393400988426 119.849836467146 -229.503612276535</t>
  </si>
  <si>
    <t>-638.122822067169 113.261961296348 -344.065557621397</t>
  </si>
  <si>
    <t>-657.863219422159 106.973236471131 -463.48639411734</t>
  </si>
  <si>
    <t>-667.73208520908 101.151669721358 -572.406308607715</t>
  </si>
  <si>
    <t>-669.670938664083 95.1055964695811 -681.743110083496</t>
  </si>
  <si>
    <t>-664.088077254513 86.3523169190146 -833.704424027064</t>
  </si>
  <si>
    <t>-630.650529844979 68.7889689810092 -928.342841191629</t>
  </si>
  <si>
    <t>-653.057167177736 118.986772233903 -767.627044232452</t>
  </si>
  <si>
    <t>-568.760369581504 238.811439015661 -755.103149905594</t>
  </si>
  <si>
    <t>-489.005157098494 133.846817498136 -467.339865152844</t>
  </si>
  <si>
    <t>-680.059575817326 61.4638505655003 -765.305520673677</t>
  </si>
  <si>
    <t>-568.41841364636 210.957231888219 -244.924654988723</t>
  </si>
  <si>
    <t>-581.595048588347 193.633701596262 210.250033161162</t>
  </si>
  <si>
    <t>-629.766976445811 165.090095695511 676.792412760869</t>
  </si>
  <si>
    <t>-496.694552424437 92.5989217627407 766.124770956577</t>
  </si>
  <si>
    <t>-630.216733416712 28.7300020272321 -213.417829076313</t>
  </si>
  <si>
    <t>-466.307420242654 -85.7866896904391 196.066343642031</t>
  </si>
  <si>
    <t>-549.939682090203 -25.4384167102976 654.456635659549</t>
  </si>
  <si>
    <t>-495.423550170185 -167.2320110769 743.147561559082</t>
  </si>
  <si>
    <t>9763-20170724T160549.291078400.bin</t>
  </si>
  <si>
    <t>-599.384862052164 120.365329504094 -229.472326481454</t>
  </si>
  <si>
    <t>-638.066628060788 113.570718811313 -344.038282102524</t>
  </si>
  <si>
    <t>-657.570155865038 107.245105142385 -463.496184891247</t>
  </si>
  <si>
    <t>-667.144445118525 101.46483053181 -572.444506010311</t>
  </si>
  <si>
    <t>-668.707609914975 95.5368878758213 -681.793897735019</t>
  </si>
  <si>
    <t>-662.517735857766 87.0302807911357 -833.745667495298</t>
  </si>
  <si>
    <t>-628.536537978742 69.7261030765314 -928.23811008686</t>
  </si>
  <si>
    <t>-651.920765158819 119.636115986963 -767.583027204727</t>
  </si>
  <si>
    <t>-568.227483860879 239.874728120144 -754.823458690471</t>
  </si>
  <si>
    <t>-488.285551235502 134.102712871783 -467.407911283625</t>
  </si>
  <si>
    <t>-678.592411115349 61.9522000335226 -765.440184710778</t>
  </si>
  <si>
    <t>-568.697718784398 211.632688704188 -244.932117852885</t>
  </si>
  <si>
    <t>-581.813152107918 194.238062928177 210.241617543151</t>
  </si>
  <si>
    <t>-629.713162901126 165.192470659267 676.772928537742</t>
  </si>
  <si>
    <t>-496.561785341804 92.8589248019387 766.115447307051</t>
  </si>
  <si>
    <t>-629.939944304034 29.090504000023 -213.331775440966</t>
  </si>
  <si>
    <t>-465.940641917545 -85.4320759332186 196.114758217019</t>
  </si>
  <si>
    <t>-550.000404121889 -25.451563085421 654.491471649627</t>
  </si>
  <si>
    <t>-495.18143938659 -167.196797076291 743.072997217885</t>
  </si>
  <si>
    <t>9763-20170724T160549.325170500.bin</t>
  </si>
  <si>
    <t>-599.371482444417 120.554353563248 -229.470993981564</t>
  </si>
  <si>
    <t>-638.053375522105 113.710817442965 -344.033856976941</t>
  </si>
  <si>
    <t>-657.494588464764 107.409583821192 -463.503085053245</t>
  </si>
  <si>
    <t>-666.986004426869 101.682100583557 -572.461699782348</t>
  </si>
  <si>
    <t>-668.439170857668 95.8383262261436 -681.81711203761</t>
  </si>
  <si>
    <t>-662.06788595293 87.481957777482 -833.769602631024</t>
  </si>
  <si>
    <t>-627.891473542194 70.3018842942211 -928.214348834406</t>
  </si>
  <si>
    <t>-651.610012314232 120.049862635291 -767.566232169711</t>
  </si>
  <si>
    <t>-568.100626438682 240.413902767556 -754.760292099811</t>
  </si>
  <si>
    <t>-488.263759727212 133.936011435427 -467.576145530261</t>
  </si>
  <si>
    <t>-678.164016965821 62.3088384897501 -765.50430215931</t>
  </si>
  <si>
    <t>-568.810768326142 211.93278538042 -244.960296418874</t>
  </si>
  <si>
    <t>-581.877437012844 194.466449384515 210.212080541225</t>
  </si>
  <si>
    <t>-629.600203449269 165.330558257344 676.71107181678</t>
  </si>
  <si>
    <t>-496.550559178444 92.8864852732793 766.115515264512</t>
  </si>
  <si>
    <t>-629.820490104216 29.1863307010408 -213.323382706578</t>
  </si>
  <si>
    <t>-465.743536527005 -85.3331840746964 196.092872038316</t>
  </si>
  <si>
    <t>-549.986232882448 -25.4686983833274 654.443224859909</t>
  </si>
  <si>
    <t>-495.145491284271 -167.208322956279 743.020378025627</t>
  </si>
  <si>
    <t>9763-20170724T160549.390355400.bin</t>
  </si>
  <si>
    <t>-599.230515771398 120.713182274967 -229.612241442064</t>
  </si>
  <si>
    <t>-637.958641596079 113.845504924835 -344.158115689756</t>
  </si>
  <si>
    <t>-657.344420714813 107.650333539938 -463.641888829491</t>
  </si>
  <si>
    <t>-666.741389250313 102.071072904368 -572.616341451097</t>
  </si>
  <si>
    <t>-668.054972028522 96.4268408737403 -681.983945996749</t>
  </si>
  <si>
    <t>-661.442085749609 88.4007478226124 -833.9440222675</t>
  </si>
  <si>
    <t>-626.925835647222 71.418888856964 -928.300895023769</t>
  </si>
  <si>
    <t>-651.160781351578 120.857279396413 -767.65821011402</t>
  </si>
  <si>
    <t>-567.765672057053 241.252485462323 -754.588058810832</t>
  </si>
  <si>
    <t>-487.817581587893 132.934189097238 -468.124058948216</t>
  </si>
  <si>
    <t>-677.575365095106 63.0468328489292 -765.754504952426</t>
  </si>
  <si>
    <t>-568.840075724804 212.242286029193 -245.016433489888</t>
  </si>
  <si>
    <t>-581.632813915091 194.629311921724 210.15807646657</t>
  </si>
  <si>
    <t>-629.441886112264 165.654479734621 676.736081062194</t>
  </si>
  <si>
    <t>-496.55682683828 92.897003757693 766.130865636916</t>
  </si>
  <si>
    <t>-629.477005572088 29.2226461559501 -213.487104088583</t>
  </si>
  <si>
    <t>-465.607247922394 -85.1002482483223 196.067150654386</t>
  </si>
  <si>
    <t>-549.988319998204 -25.4986281434676 654.413712240319</t>
  </si>
  <si>
    <t>-495.065482427987 -167.221198181271 742.967099813694</t>
  </si>
  <si>
    <t>9763-20170724T160549.422449200.bin</t>
  </si>
  <si>
    <t>-599.125594781858 120.704401380276 -229.640373874593</t>
  </si>
  <si>
    <t>-637.834650198434 113.856355465983 -344.193991518853</t>
  </si>
  <si>
    <t>-657.177458070628 107.759005575351 -463.689840356584</t>
  </si>
  <si>
    <t>-666.524975958783 102.297254930064 -572.674387736635</t>
  </si>
  <si>
    <t>-667.777914021473 96.7982230854723 -682.050099639014</t>
  </si>
  <si>
    <t>-661.069150832498 89.0009524410361 -834.017890334816</t>
  </si>
  <si>
    <t>-626.436783818034 72.0985578206023 -928.346427498118</t>
  </si>
  <si>
    <t>-650.837485136706 121.360990017786 -767.677405050897</t>
  </si>
  <si>
    <t>-567.361704040214 241.717294940742 -754.482298914726</t>
  </si>
  <si>
    <t>-487.804272295232 132.040717640601 -468.426614650864</t>
  </si>
  <si>
    <t>-677.237837813292 63.5407972108494 -765.876224860393</t>
  </si>
  <si>
    <t>-568.834874315868 212.246324639132 -244.999608469135</t>
  </si>
  <si>
    <t>-581.622044967063 194.593435477301 210.173482097381</t>
  </si>
  <si>
    <t>-629.453245687541 165.661537211683 676.711449475804</t>
  </si>
  <si>
    <t>-496.56930889101 92.9057998207661 766.109288222545</t>
  </si>
  <si>
    <t>-629.272984540582 29.1638274204122 -213.589931215376</t>
  </si>
  <si>
    <t>-465.595168709288 -85.1010000945264 196.057277891147</t>
  </si>
  <si>
    <t>-549.995246310349 -25.5098897503299 654.422369503215</t>
  </si>
  <si>
    <t>-495.049584973341 -167.228373739991 742.968197116834</t>
  </si>
  <si>
    <t>9763-20170724T160549.494647200.bin</t>
  </si>
  <si>
    <t>-598.931328859313 120.554646782454 -229.652181029613</t>
  </si>
  <si>
    <t>-637.64063313493 113.774580637798 -344.209770956291</t>
  </si>
  <si>
    <t>-656.854728325156 107.841177245298 -463.73452388341</t>
  </si>
  <si>
    <t>-666.031528094 102.562051210065 -572.742690412488</t>
  </si>
  <si>
    <t>-667.05888648201 97.277594632804 -682.131278521168</t>
  </si>
  <si>
    <t>-659.979546391585 89.8096056267793 -834.098674880848</t>
  </si>
  <si>
    <t>-625.111384603096 72.9222913375529 -928.343206123679</t>
  </si>
  <si>
    <t>-649.879369564586 122.012126457716 -767.661534921918</t>
  </si>
  <si>
    <t>-566.19066186464 242.12387989138 -753.870799603935</t>
  </si>
  <si>
    <t>-486.631030184526 130.453794637582 -468.588194578033</t>
  </si>
  <si>
    <t>-676.344510164473 64.2157808295622 -766.054162897336</t>
  </si>
  <si>
    <t>-568.652914315114 212.11430313867 -244.982339412947</t>
  </si>
  <si>
    <t>-581.509796615856 194.570417125923 210.192969667228</t>
  </si>
  <si>
    <t>-629.400448961354 165.804198782984 676.750458431692</t>
  </si>
  <si>
    <t>-496.559569819844 92.922021937896 766.109299302649</t>
  </si>
  <si>
    <t>-629.080747841333 28.9937817903942 -213.631717405179</t>
  </si>
  <si>
    <t>-465.580130146287 -85.2844857479704 196.08249121773</t>
  </si>
  <si>
    <t>-549.984246282696 -25.5378454861284 654.387173969497</t>
  </si>
  <si>
    <t>-495.091070681907 -167.264614892701 742.952273009871</t>
  </si>
  <si>
    <t>9763-20170724T160549.526733300.bin</t>
  </si>
  <si>
    <t>-598.799592252034 120.420363238176 -229.643242858283</t>
  </si>
  <si>
    <t>-637.520531660173 113.70607129927 -344.200687925312</t>
  </si>
  <si>
    <t>-656.652574115392 107.882220149839 -463.744055774317</t>
  </si>
  <si>
    <t>-665.715823690352 102.718841341267 -572.767201811424</t>
  </si>
  <si>
    <t>-666.590213516105 97.5661494327971 -682.163374237806</t>
  </si>
  <si>
    <t>-659.257525455004 90.2973499522313 -834.12848012747</t>
  </si>
  <si>
    <t>-624.284003701166 73.4170013149712 -928.335199180373</t>
  </si>
  <si>
    <t>-649.239981082421 122.399917254053 -767.630420272294</t>
  </si>
  <si>
    <t>-565.432867004144 242.415498863277 -753.526613753667</t>
  </si>
  <si>
    <t>-485.62578711294 130.023786463506 -468.596450539096</t>
  </si>
  <si>
    <t>-675.763965227948 64.6273148323246 -766.146929601497</t>
  </si>
  <si>
    <t>-568.41991174315 211.970443585417 -244.948604287363</t>
  </si>
  <si>
    <t>-581.455309798562 194.499986766866 210.224491133967</t>
  </si>
  <si>
    <t>-629.423554619687 165.798604061706 676.752211830331</t>
  </si>
  <si>
    <t>-496.632798771767 92.8168861159243 766.10430561933</t>
  </si>
  <si>
    <t>-629.045081924703 28.8798015583386 -213.633785495977</t>
  </si>
  <si>
    <t>-465.625304053294 -85.4346477090505 196.102580501568</t>
  </si>
  <si>
    <t>-549.970417572091 -25.5348471569264 654.391367356796</t>
  </si>
  <si>
    <t>-495.138329022424 -167.287679630139 742.952566859457</t>
  </si>
  <si>
    <t>9763-20170724T160549.590847300.bin</t>
  </si>
  <si>
    <t>-598.557027131189 120.250782190302 -229.690769877022</t>
  </si>
  <si>
    <t>-637.237819099794 113.671988972069 -344.269725527153</t>
  </si>
  <si>
    <t>-656.288483110131 107.979872440669 -463.832348438545</t>
  </si>
  <si>
    <t>-665.26189265739 102.932904625063 -572.868317702957</t>
  </si>
  <si>
    <t>-666.030311889969 97.8940056711722 -682.270726579271</t>
  </si>
  <si>
    <t>-658.534017203507 90.7803649780317 -834.235196022056</t>
  </si>
  <si>
    <t>-623.514524559542 73.698880444495 -928.388516965679</t>
  </si>
  <si>
    <t>-648.517097857636 122.782407866815 -767.688598007285</t>
  </si>
  <si>
    <t>-564.485547869421 242.585728296246 -753.172647037371</t>
  </si>
  <si>
    <t>-484.565989717832 129.406865975282 -468.585799727363</t>
  </si>
  <si>
    <t>-675.184678691395 65.0734677533062 -766.302565486953</t>
  </si>
  <si>
    <t>-567.938654943867 211.754974203557 -244.976654966278</t>
  </si>
  <si>
    <t>-581.207219222474 194.3798474987 210.193402508414</t>
  </si>
  <si>
    <t>-629.340212670369 165.883102585464 676.725900975789</t>
  </si>
  <si>
    <t>-496.733055538455 92.6102108394862 766.112359786831</t>
  </si>
  <si>
    <t>-629.043283218007 28.7662158419214 -213.740610878313</t>
  </si>
  <si>
    <t>-465.834494735556 -85.7220430698558 196.031257104886</t>
  </si>
  <si>
    <t>-549.921017600457 -25.5630291509378 654.32980369238</t>
  </si>
  <si>
    <t>-495.356259903825 -167.366249031382 742.975459703139</t>
  </si>
  <si>
    <t>9763-20170724T160549.631951200.bin</t>
  </si>
  <si>
    <t>-598.325474769543 120.213760250707 -229.724103871263</t>
  </si>
  <si>
    <t>-636.993237840782 113.736737301867 -344.313207908534</t>
  </si>
  <si>
    <t>-656.003718267277 108.093201369904 -463.884652132658</t>
  </si>
  <si>
    <t>-664.930641067783 103.068901886281 -572.925487128715</t>
  </si>
  <si>
    <t>-665.642872440298 98.032065485249 -682.328321344528</t>
  </si>
  <si>
    <t>-658.058900110847 90.9003655759075 -834.287594001999</t>
  </si>
  <si>
    <t>-623.013043484448 73.6790097698886 -928.405677051583</t>
  </si>
  <si>
    <t>-648.046822171228 122.894748275104 -767.736607836121</t>
  </si>
  <si>
    <t>-563.876170357556 242.580624398013 -753.207499890442</t>
  </si>
  <si>
    <t>-483.906184872353 129.496853962568 -468.597123097251</t>
  </si>
  <si>
    <t>-674.782370172313 65.217040946058 -766.364113299378</t>
  </si>
  <si>
    <t>-567.541420656194 211.66732632661 -244.960660515767</t>
  </si>
  <si>
    <t>-581.071863439061 194.350565851516 210.203805048206</t>
  </si>
  <si>
    <t>-629.363299713193 165.843882859585 676.718463365789</t>
  </si>
  <si>
    <t>-496.807081785515 92.486022017707 766.110772345747</t>
  </si>
  <si>
    <t>-628.983944700607 28.7690937917014 -213.807388403372</t>
  </si>
  <si>
    <t>-465.914208667969 -85.8382154886642 195.986600985397</t>
  </si>
  <si>
    <t>-549.882452313387 -25.5847650088469 654.287903331211</t>
  </si>
  <si>
    <t>-495.480884063516 -167.411801178019 742.995668329028</t>
  </si>
  <si>
    <t>9763-20170724T160549.690124900.bin</t>
  </si>
  <si>
    <t>-597.892408535783 120.247783925593 -229.754850792077</t>
  </si>
  <si>
    <t>-636.511465514479 113.912489093348 -344.368299078896</t>
  </si>
  <si>
    <t>-655.502392336539 108.345235719839 -463.946442939371</t>
  </si>
  <si>
    <t>-664.425270431905 103.361857195464 -572.989517868773</t>
  </si>
  <si>
    <t>-665.147459498614 98.3379346293352 -682.392808117906</t>
  </si>
  <si>
    <t>-657.592633088585 91.1943940774834 -834.353094730523</t>
  </si>
  <si>
    <t>-622.552683518551 73.6612446346358 -928.415709150397</t>
  </si>
  <si>
    <t>-647.491441851385 123.158627791405 -767.801065328449</t>
  </si>
  <si>
    <t>-562.85190452461 242.534833908704 -753.373028451779</t>
  </si>
  <si>
    <t>-483.747519495599 129.185818507616 -468.626230392676</t>
  </si>
  <si>
    <t>-674.37933629943 65.5518023743064 -766.429742878283</t>
  </si>
  <si>
    <t>-566.905777626688 211.556644250081 -244.919078885604</t>
  </si>
  <si>
    <t>-580.651990809884 194.183933652959 210.236820191155</t>
  </si>
  <si>
    <t>-629.465556536146 165.718601647383 676.755395790834</t>
  </si>
  <si>
    <t>-496.829914944961 92.442587193178 766.096974162753</t>
  </si>
  <si>
    <t>-628.717272253075 28.9332449231854 -213.897565839902</t>
  </si>
  <si>
    <t>-466.005646602627 -86.025079698192 195.940353748826</t>
  </si>
  <si>
    <t>-549.814806577564 -25.5973504933299 654.261150994224</t>
  </si>
  <si>
    <t>-495.666321591131 -167.474459678935 743.043730119279</t>
  </si>
  <si>
    <t>9763-20170724T160549.724216000.bin</t>
  </si>
  <si>
    <t>-597.685468833507 120.310539050191 -229.739177537451</t>
  </si>
  <si>
    <t>-636.307503235708 114.032069131921 -344.354764275339</t>
  </si>
  <si>
    <t>-655.284143011808 108.504564649182 -463.936943523065</t>
  </si>
  <si>
    <t>-664.187003555854 103.549197946244 -572.982990100752</t>
  </si>
  <si>
    <t>-664.882559970292 98.5443607238446 -682.387310332635</t>
  </si>
  <si>
    <t>-657.283785824194 91.4178299207258 -834.346126761123</t>
  </si>
  <si>
    <t>-622.221395394261 73.756056008599 -928.376328748108</t>
  </si>
  <si>
    <t>-647.180684427223 123.364811840973 -767.786167718568</t>
  </si>
  <si>
    <t>-562.431158738348 242.649228626331 -753.284591915051</t>
  </si>
  <si>
    <t>-483.559795352455 128.966987125325 -468.605943898749</t>
  </si>
  <si>
    <t>-674.111275972818 65.7774531666182 -766.432155725961</t>
  </si>
  <si>
    <t>-566.656146209407 211.540746925327 -244.855693197001</t>
  </si>
  <si>
    <t>-580.35961177242 194.011537093773 210.295507246885</t>
  </si>
  <si>
    <t>-629.558732869304 165.608258029452 676.784842298139</t>
  </si>
  <si>
    <t>-496.79694663799 92.5030782540548 766.079059439712</t>
  </si>
  <si>
    <t>-628.530718565123 29.083208228338 -213.900475644317</t>
  </si>
  <si>
    <t>-466.011088229543 -86.0174669924952 195.973774596787</t>
  </si>
  <si>
    <t>-549.798358623199 -25.5898684336794 654.288831273091</t>
  </si>
  <si>
    <t>-495.71803088823 -167.493322129792 743.070849855686</t>
  </si>
  <si>
    <t>9763-20170724T160549.788414200.bin</t>
  </si>
  <si>
    <t>-597.394300548861 120.614368125363 -229.63080004216</t>
  </si>
  <si>
    <t>-636.036552704893 114.358668337457 -344.240738038581</t>
  </si>
  <si>
    <t>-654.966087616288 108.837403420084 -463.83058026422</t>
  </si>
  <si>
    <t>-663.798648278812 103.876492770197 -572.882124664171</t>
  </si>
  <si>
    <t>-664.396330102265 98.8524511516077 -682.286219345048</t>
  </si>
  <si>
    <t>-656.633339445627 91.6827081875672 -834.234690718717</t>
  </si>
  <si>
    <t>-621.504891863872 73.7387430567496 -928.186758938436</t>
  </si>
  <si>
    <t>-646.585816445011 123.640955918572 -767.671598478621</t>
  </si>
  <si>
    <t>-561.61356156841 242.77545785847 -753.097538046222</t>
  </si>
  <si>
    <t>-483.23067107695 128.797767028513 -468.402306419339</t>
  </si>
  <si>
    <t>-673.550604674269 66.0692650513165 -766.332657605525</t>
  </si>
  <si>
    <t>-566.454982258836 211.788063890206 -244.718599272436</t>
  </si>
  <si>
    <t>-579.995713864974 193.87921728371 210.422742687363</t>
  </si>
  <si>
    <t>-629.760133369976 165.337577707504 676.831927090582</t>
  </si>
  <si>
    <t>-496.728540976487 92.6324522740629 766.051149809936</t>
  </si>
  <si>
    <t>-628.178242600561 29.4907703162446 -213.835748532713</t>
  </si>
  <si>
    <t>-465.797824359995 -85.747113330802 196.055024003237</t>
  </si>
  <si>
    <t>-549.809645261666 -25.5706815962692 654.384669472951</t>
  </si>
  <si>
    <t>-495.644607822598 -167.493993973475 743.083149501943</t>
  </si>
  <si>
    <t>9763-20170724T160549.827514900.bin</t>
  </si>
  <si>
    <t>-597.287786932194 120.863916541466 -229.573169919574</t>
  </si>
  <si>
    <t>-635.925890133114 114.597538847849 -344.183969668806</t>
  </si>
  <si>
    <t>-654.854586638535 109.095574822504 -463.774923273578</t>
  </si>
  <si>
    <t>-663.687252896058 104.162704986006 -572.827759427689</t>
  </si>
  <si>
    <t>-664.285792837112 99.1760724383794 -682.233470448715</t>
  </si>
  <si>
    <t>-656.5247850161 92.0668944434215 -834.184939416768</t>
  </si>
  <si>
    <t>-621.380967978031 74.0066688241941 -928.108926283842</t>
  </si>
  <si>
    <t>-646.487351300297 124.003792957197 -767.610099327417</t>
  </si>
  <si>
    <t>-561.528580519338 243.119117805955 -752.891170166961</t>
  </si>
  <si>
    <t>-482.822372571136 129.207656188431 -468.258580586275</t>
  </si>
  <si>
    <t>-673.430187293084 66.4212281760822 -766.292186498349</t>
  </si>
  <si>
    <t>-566.411488101708 212.065900395033 -244.637465059775</t>
  </si>
  <si>
    <t>-579.899770986375 193.994189444181 210.498994673001</t>
  </si>
  <si>
    <t>-629.829367849371 165.293076429655 676.888703674564</t>
  </si>
  <si>
    <t>-496.692040676987 92.7078070668961 766.04776946006</t>
  </si>
  <si>
    <t>-627.994590131766 29.73473320434 -213.799554466814</t>
  </si>
  <si>
    <t>-465.666276113391 -85.4962911955365 196.113825339209</t>
  </si>
  <si>
    <t>-549.856532113642 -25.5730359622612 654.453351111431</t>
  </si>
  <si>
    <t>-495.525743109939 -167.480156880105 743.076527746327</t>
  </si>
  <si>
    <t>9763-20170724T160549.890588300.bin</t>
  </si>
  <si>
    <t>-597.179078368533 121.522386945606 -229.438667287155</t>
  </si>
  <si>
    <t>-635.747004649081 115.249457319232 -344.072713313553</t>
  </si>
  <si>
    <t>-654.539263210531 109.735527294574 -463.684636738281</t>
  </si>
  <si>
    <t>-663.221814517941 104.790441632949 -572.748895667011</t>
  </si>
  <si>
    <t>-663.644201334942 99.790178918103 -682.154808839046</t>
  </si>
  <si>
    <t>-655.611776996524 92.661026557786 -834.091204466323</t>
  </si>
  <si>
    <t>-620.361287905566 74.3267045511816 -927.922179907678</t>
  </si>
  <si>
    <t>-645.741494192585 124.629081801459 -767.506274886802</t>
  </si>
  <si>
    <t>-561.242046198915 244.06322151392 -752.595318360794</t>
  </si>
  <si>
    <t>-481.426258189124 131.493465021571 -467.738087110514</t>
  </si>
  <si>
    <t>-672.590200767026 67.0018937771104 -766.221718016641</t>
  </si>
  <si>
    <t>-566.395167440529 212.748764367369 -244.43966672045</t>
  </si>
  <si>
    <t>-580.032676450664 194.439582430927 210.682757396095</t>
  </si>
  <si>
    <t>-630.047111794183 165.119437169176 677.027016240946</t>
  </si>
  <si>
    <t>-496.661878410873 92.7988602980793 766.030531598983</t>
  </si>
  <si>
    <t>-627.83938489951 30.3395673757639 -213.726946468579</t>
  </si>
  <si>
    <t>-465.645701887784 -84.9917516346773 196.211546721587</t>
  </si>
  <si>
    <t>-549.968326556649 -25.5814508070607 654.603011216878</t>
  </si>
  <si>
    <t>-495.35436358493 -167.467133458888 743.086280576572</t>
  </si>
  <si>
    <t>9763-20170724T160549.924684600.bin</t>
  </si>
  <si>
    <t>-597.200608079773 121.865317175567 -229.361798397737</t>
  </si>
  <si>
    <t>-635.785538102039 115.611307307975 -343.991130350844</t>
  </si>
  <si>
    <t>-654.551145648696 110.044286343089 -463.604766040812</t>
  </si>
  <si>
    <t>-663.192366936667 105.023594626594 -572.668867794585</t>
  </si>
  <si>
    <t>-663.556657896429 99.9212044665537 -682.07040802654</t>
  </si>
  <si>
    <t>-655.42686832193 92.623197999957 -833.993499075878</t>
  </si>
  <si>
    <t>-620.137737823972 74.0716207396224 -927.767250078436</t>
  </si>
  <si>
    <t>-645.613816245482 124.671991148949 -767.439085993007</t>
  </si>
  <si>
    <t>-561.301178471642 244.271997683891 -752.586619428257</t>
  </si>
  <si>
    <t>-481.580596948483 133.447527587716 -467.019208489684</t>
  </si>
  <si>
    <t>-672.434250185915 67.0327287776449 -766.105372364462</t>
  </si>
  <si>
    <t>-566.358339536463 213.080808156798 -244.333353942618</t>
  </si>
  <si>
    <t>-580.076517803485 194.686354312806 210.783218691109</t>
  </si>
  <si>
    <t>-630.15725274453 165.121929907386 677.150503339659</t>
  </si>
  <si>
    <t>-496.67117568869 92.8086393371273 766.008625132388</t>
  </si>
  <si>
    <t>-627.919011737186 30.6655800152373 -213.67139876127</t>
  </si>
  <si>
    <t>-465.783044159029 -84.7521263976848 196.265599722967</t>
  </si>
  <si>
    <t>-549.995120091086 -25.6011355248534 654.67944722836</t>
  </si>
  <si>
    <t>-495.324175061729 -167.481239066858 743.136321062649</t>
  </si>
  <si>
    <t>9763-20170724T160549.995882300.bin</t>
  </si>
  <si>
    <t>-597.446715577868 122.479824558739 -229.166051545188</t>
  </si>
  <si>
    <t>-635.989626077607 116.330860658746 -343.81523862846</t>
  </si>
  <si>
    <t>-654.700965252986 110.671458549175 -463.433036065166</t>
  </si>
  <si>
    <t>-663.291097961907 105.492986397819 -572.493727219272</t>
  </si>
  <si>
    <t>-663.603702252378 100.1624944617 -681.884540717927</t>
  </si>
  <si>
    <t>-655.402904387907 92.4775966587085 -833.784784551203</t>
  </si>
  <si>
    <t>-620.01538800529 73.4507964078425 -927.426113920188</t>
  </si>
  <si>
    <t>-645.659996777156 124.71380948621 -767.310569535226</t>
  </si>
  <si>
    <t>-561.856445253934 244.672926307049 -752.726676502477</t>
  </si>
  <si>
    <t>-482.790532482835 138.582145466975 -465.186110577573</t>
  </si>
  <si>
    <t>-672.403006821446 67.0420424246652 -765.836671090472</t>
  </si>
  <si>
    <t>-566.531420371392 213.704393072278 -243.985271444003</t>
  </si>
  <si>
    <t>-580.284216966111 194.965974277029 211.116227189087</t>
  </si>
  <si>
    <t>-630.577706604706 165.075314794227 677.543895707523</t>
  </si>
  <si>
    <t>-496.811251783627 92.6812828163568 765.913315076693</t>
  </si>
  <si>
    <t>-628.225662555462 31.2915181277101 -213.594347137663</t>
  </si>
  <si>
    <t>-466.39742013784 -84.2985103608837 196.415646838948</t>
  </si>
  <si>
    <t>-550.036248969614 -25.6507648699937 654.933132398808</t>
  </si>
  <si>
    <t>-495.345177671628 -167.521597034758 743.392574072288</t>
  </si>
  <si>
    <t>9763-20170724T160550.030982900.bin</t>
  </si>
  <si>
    <t>-597.639596287403 122.735084999338 -229.041590499867</t>
  </si>
  <si>
    <t>-636.160551751135 116.605695442141 -343.699170197205</t>
  </si>
  <si>
    <t>-654.881192650747 110.867094735206 -463.311776848311</t>
  </si>
  <si>
    <t>-663.493825424392 105.579313270694 -572.365470059292</t>
  </si>
  <si>
    <t>-663.844056554557 100.102654345437 -681.748956901059</t>
  </si>
  <si>
    <t>-655.711621974036 92.1776137582992 -833.640582993121</t>
  </si>
  <si>
    <t>-620.290217810267 72.8699352755546 -927.211483613642</t>
  </si>
  <si>
    <t>-645.972553549412 124.534449042133 -767.224404370574</t>
  </si>
  <si>
    <t>-562.563041124052 244.766373328051 -752.74642003916</t>
  </si>
  <si>
    <t>-482.989302396617 142.17633111706 -464.077840026283</t>
  </si>
  <si>
    <t>-672.647456652957 66.8338711250672 -765.642097190393</t>
  </si>
  <si>
    <t>-566.762757927453 213.962000126697 -243.807658005194</t>
  </si>
  <si>
    <t>-580.421821016461 195.036884860523 211.288952871081</t>
  </si>
  <si>
    <t>-630.751233912865 165.02811763662 677.665075844521</t>
  </si>
  <si>
    <t>-496.794156954707 92.7680073328518 765.855176176002</t>
  </si>
  <si>
    <t>-628.346870037074 31.5362026557741 -213.541897792974</t>
  </si>
  <si>
    <t>-466.780069636791 -84.0816498557683 196.563315491622</t>
  </si>
  <si>
    <t>-550.108466932567 -25.6780446297182 655.154751199446</t>
  </si>
  <si>
    <t>-495.319329418262 -167.525904678112 743.590389139502</t>
  </si>
  <si>
    <t>9763-20170724T160550.093147200.bin</t>
  </si>
  <si>
    <t>-598.140351093129 123.35468115994 -228.883132164417</t>
  </si>
  <si>
    <t>-636.649664941067 117.241736859811 -343.545491001337</t>
  </si>
  <si>
    <t>-655.302957839766 111.301773167016 -463.158834135098</t>
  </si>
  <si>
    <t>-663.834433092281 105.740379349677 -572.20526263742</t>
  </si>
  <si>
    <t>-664.085291418587 99.8963759563221 -681.56993637606</t>
  </si>
  <si>
    <t>-655.79769150451 91.3616344233546 -833.420088720663</t>
  </si>
  <si>
    <t>-620.250065294828 71.5154279146379 -926.830382014586</t>
  </si>
  <si>
    <t>-646.151406834068 123.996253984357 -767.126453779609</t>
  </si>
  <si>
    <t>-563.162658184028 244.574844085657 -753.046527251242</t>
  </si>
  <si>
    <t>-484.946070842539 149.512753832336 -461.444741663988</t>
  </si>
  <si>
    <t>-672.778086207689 66.2796115863098 -765.335654436761</t>
  </si>
  <si>
    <t>-567.382104923698 214.673381350141 -243.660919639757</t>
  </si>
  <si>
    <t>-580.541857518565 195.269912344078 211.430288303827</t>
  </si>
  <si>
    <t>-630.800780926287 164.983830687909 677.682282749887</t>
  </si>
  <si>
    <t>-496.697680534336 92.9371755516236 765.825097539502</t>
  </si>
  <si>
    <t>-628.716663307727 32.077581703132 -213.46931149511</t>
  </si>
  <si>
    <t>-467.462552666225 -83.7304434834789 196.705413460916</t>
  </si>
  <si>
    <t>-550.217419703451 -25.7957815465113 655.438890636502</t>
  </si>
  <si>
    <t>-495.246596688467 -167.540966569582 743.926382274299</t>
  </si>
  <si>
    <t>9763-20170724T160550.125231900.bin</t>
  </si>
  <si>
    <t>-598.388627077575 123.719444749574 -228.847684571666</t>
  </si>
  <si>
    <t>-636.901242956832 117.562314063614 -343.506650079407</t>
  </si>
  <si>
    <t>-655.532795421918 111.464795779078 -463.115440448728</t>
  </si>
  <si>
    <t>-664.035595097697 105.714265949964 -572.154221741224</t>
  </si>
  <si>
    <t>-664.249789863156 99.6338029103279 -681.50621795628</t>
  </si>
  <si>
    <t>-655.903769369864 90.7208886853243 -833.331463362965</t>
  </si>
  <si>
    <t>-620.309806923773 70.6120895451888 -926.667810758432</t>
  </si>
  <si>
    <t>-646.30292042108 123.529806343031 -767.117225554058</t>
  </si>
  <si>
    <t>-563.638343225841 244.34362957361 -753.262880983914</t>
  </si>
  <si>
    <t>-485.551962092935 152.97741430753 -460.447251324553</t>
  </si>
  <si>
    <t>-320.399653685476 4.48029756847109 -325.113111714155</t>
  </si>
  <si>
    <t>-672.890272906381 65.7994157999397 -765.18964442033</t>
  </si>
  <si>
    <t>-567.692472472719 215.087915762583 -243.638201719225</t>
  </si>
  <si>
    <t>-580.728208000805 195.512939109004 211.449133115351</t>
  </si>
  <si>
    <t>-630.785129973586 165.00210393767 677.682030499743</t>
  </si>
  <si>
    <t>-496.581423630256 93.1543142628377 765.833958483626</t>
  </si>
  <si>
    <t>-628.91906678321 32.3755592796717 -213.412210342473</t>
  </si>
  <si>
    <t>-467.697621289115 -83.5146276887633 196.75216074706</t>
  </si>
  <si>
    <t>-550.284019127635 -25.8960725259017 655.559295303812</t>
  </si>
  <si>
    <t>-495.165234823276 -167.561424150423 744.082408394696</t>
  </si>
  <si>
    <t>9763-20170724T160550.190944600.bin</t>
  </si>
  <si>
    <t>-599.112277018003 124.512382147431 -228.71340449283</t>
  </si>
  <si>
    <t>-637.593547507978 118.221571878076 -343.375638934193</t>
  </si>
  <si>
    <t>-656.143728580889 111.810122681212 -462.980464143615</t>
  </si>
  <si>
    <t>-664.554708575184 105.702499346085 -572.007138620509</t>
  </si>
  <si>
    <t>-664.660470895951 99.1913989106379 -681.334328113548</t>
  </si>
  <si>
    <t>-656.148535736322 89.6027969208058 -833.109289265423</t>
  </si>
  <si>
    <t>-620.393736883537 69.0727863021943 -926.292401692886</t>
  </si>
  <si>
    <t>-646.656532972702 122.722873991613 -767.034465275172</t>
  </si>
  <si>
    <t>-564.727166692368 244.08856752827 -753.766835026137</t>
  </si>
  <si>
    <t>-486.949736761641 158.808540675232 -459.039520372055</t>
  </si>
  <si>
    <t>-310.333572929779 32.5975647527239 -315.792975755689</t>
  </si>
  <si>
    <t>-673.173014568038 64.968105327654 -764.872711423221</t>
  </si>
  <si>
    <t>-568.450679899074 216.051586080551 -243.566384307818</t>
  </si>
  <si>
    <t>-581.293541723032 196.281845710143 211.518049294784</t>
  </si>
  <si>
    <t>-630.793283130899 165.105564712134 677.765263042515</t>
  </si>
  <si>
    <t>-496.560675578224 93.2490356972521 765.866104537152</t>
  </si>
  <si>
    <t>-629.645360169742 33.0119159215621 -213.210603391897</t>
  </si>
  <si>
    <t>-468.277673582265 -82.8611218965968 196.901077095413</t>
  </si>
  <si>
    <t>-550.514018678665 -25.943042728554 655.962696213795</t>
  </si>
  <si>
    <t>-494.866412946446 -167.51016488453 744.312027072952</t>
  </si>
  <si>
    <t>9763-20170724T160550.223030300.bin</t>
  </si>
  <si>
    <t>-599.678223465538 124.921825103272 -228.561161095696</t>
  </si>
  <si>
    <t>-638.144382175328 118.511642227014 -343.221742518383</t>
  </si>
  <si>
    <t>-656.667115323803 111.963418890821 -462.823576962041</t>
  </si>
  <si>
    <t>-665.048401037733 105.725535169833 -571.845176739487</t>
  </si>
  <si>
    <t>-665.119985792787 99.0774143930239 -681.16410645462</t>
  </si>
  <si>
    <t>-656.556076572637 89.2914594850765 -832.923481229506</t>
  </si>
  <si>
    <t>-620.73519909963 68.603745513388 -926.04628358353</t>
  </si>
  <si>
    <t>-647.110949423699 122.508319658341 -766.890679209859</t>
  </si>
  <si>
    <t>-565.42724212623 244.070104663735 -753.782608261923</t>
  </si>
  <si>
    <t>-487.610761979076 159.797767255432 -458.775927325447</t>
  </si>
  <si>
    <t>-298.367452425998 52.655007756053 -316.12441957204</t>
  </si>
  <si>
    <t>-673.579852895505 64.7344243191328 -764.658889315472</t>
  </si>
  <si>
    <t>-569.029131657444 216.503778174578 -243.50363433803</t>
  </si>
  <si>
    <t>-581.700786250098 196.648824519686 211.581906531334</t>
  </si>
  <si>
    <t>-630.831554251867 165.115740297724 677.821822168007</t>
  </si>
  <si>
    <t>-496.466500238713 93.4421588445348 765.869820055679</t>
  </si>
  <si>
    <t>-630.21626063766 33.3635496825268 -212.984383302359</t>
  </si>
  <si>
    <t>-468.628163685112 -82.5786904269125 197.020913059011</t>
  </si>
  <si>
    <t>-550.633786104285 -25.932721786578 656.180156075433</t>
  </si>
  <si>
    <t>-494.686002784408 -167.475167859525 744.379422156053</t>
  </si>
  <si>
    <t>9763-20170724T160550.293487100.bin</t>
  </si>
  <si>
    <t>-600.841521311875 125.702988640977 -228.395530924479</t>
  </si>
  <si>
    <t>-639.315733215754 119.173617280817 -343.046812236819</t>
  </si>
  <si>
    <t>-657.771466143342 112.451710272373 -462.649313636991</t>
  </si>
  <si>
    <t>-666.061630738566 106.041841217641 -571.667821791059</t>
  </si>
  <si>
    <t>-666.011713099654 99.2111052533226 -680.975664938251</t>
  </si>
  <si>
    <t>-657.247718923188 89.1641138908576 -832.706457404724</t>
  </si>
  <si>
    <t>-621.202802836953 68.3560762646678 -925.716001676653</t>
  </si>
  <si>
    <t>-647.958455556529 122.525847188671 -766.724528051438</t>
  </si>
  <si>
    <t>-566.58763430363 244.263734006842 -753.420808870451</t>
  </si>
  <si>
    <t>-487.708138804576 159.60551843866 -458.807296034397</t>
  </si>
  <si>
    <t>-272.142682118461 85.5366906023667 -333.557944405808</t>
  </si>
  <si>
    <t>-674.292535302567 64.6933891828985 -764.416113110373</t>
  </si>
  <si>
    <t>-570.086198008371 217.379268908415 -243.492407911058</t>
  </si>
  <si>
    <t>-582.42903809637 197.412486968421 211.597324542499</t>
  </si>
  <si>
    <t>-630.683682557418 165.239160378586 677.724663779032</t>
  </si>
  <si>
    <t>-496.531638091355 93.3521857169271 765.923332084369</t>
  </si>
  <si>
    <t>-631.429946629709 34.0759829600479 -212.652874736348</t>
  </si>
  <si>
    <t>-469.130000527136 -82.1384858820013 196.99404120876</t>
  </si>
  <si>
    <t>-550.677422993017 -25.9123391966432 656.331588279152</t>
  </si>
  <si>
    <t>-494.575095334193 -167.473639505981 744.402282410815</t>
  </si>
  <si>
    <t>9763-20170724T160550.321561800.bin</t>
  </si>
  <si>
    <t>-601.496273589087 126.023163140909 -228.42378164376</t>
  </si>
  <si>
    <t>-639.972026431013 119.452084657503 -343.072219322211</t>
  </si>
  <si>
    <t>-658.381249538229 112.667076212887 -462.67834869913</t>
  </si>
  <si>
    <t>-666.60951117664 106.199520932564 -571.698100372549</t>
  </si>
  <si>
    <t>-666.477684772948 99.3153307716882 -681.002491252622</t>
  </si>
  <si>
    <t>-657.579172938668 89.2025969823301 -832.721106536934</t>
  </si>
  <si>
    <t>-621.393483648918 68.4291064330778 -925.68363088322</t>
  </si>
  <si>
    <t>-648.408074047763 122.619786072982 -766.750697217821</t>
  </si>
  <si>
    <t>-567.131290457311 244.416195119122 -753.146998756705</t>
  </si>
  <si>
    <t>-486.997143251351 158.567479895774 -459.217327864473</t>
  </si>
  <si>
    <t>-264.279318869428 93.7769174110936 -341.569639263412</t>
  </si>
  <si>
    <t>-674.624805110855 64.7346674999283 -764.42994670627</t>
  </si>
  <si>
    <t>-570.632773814129 217.711037652364 -243.610981523667</t>
  </si>
  <si>
    <t>-582.746975885394 197.716813716883 211.483649786421</t>
  </si>
  <si>
    <t>-630.528747868469 165.315375470391 677.617361210884</t>
  </si>
  <si>
    <t>-496.559530095738 93.2877252087615 765.978997627657</t>
  </si>
  <si>
    <t>-632.21899628713 34.386414891834 -212.583276163337</t>
  </si>
  <si>
    <t>-469.464627071946 -81.9064301536109 196.861026738502</t>
  </si>
  <si>
    <t>-550.685525413422 -25.9351737447671 656.307992607712</t>
  </si>
  <si>
    <t>-494.608807653527 -167.503812996819 744.383116936212</t>
  </si>
  <si>
    <t>9763-20170724T160550.390751000.bin</t>
  </si>
  <si>
    <t>-602.68369024365 126.629319050766 -228.771267764956</t>
  </si>
  <si>
    <t>-641.227447734926 120.063260876315 -343.397108586254</t>
  </si>
  <si>
    <t>-659.672398732925 113.219896205184 -462.994455879935</t>
  </si>
  <si>
    <t>-667.919140282427 106.691943072639 -572.009277207982</t>
  </si>
  <si>
    <t>-667.791495577069 99.7504687026506 -681.309924274368</t>
  </si>
  <si>
    <t>-658.883086472469 89.5714498633095 -833.023723975924</t>
  </si>
  <si>
    <t>-622.492627414241 68.9177245120006 -925.932915196679</t>
  </si>
  <si>
    <t>-649.831767694481 123.068974040721 -767.077359348645</t>
  </si>
  <si>
    <t>-568.860374108446 245.02223307706 -753.021346352627</t>
  </si>
  <si>
    <t>-485.771300749383 156.058990605045 -460.843360300414</t>
  </si>
  <si>
    <t>-257.35378869438 104.272628823017 -347.769563887098</t>
  </si>
  <si>
    <t>-675.817918573325 65.0815740167213 -764.71268559502</t>
  </si>
  <si>
    <t>-571.54237626384 218.437389776314 -244.112778470324</t>
  </si>
  <si>
    <t>-582.964046176654 198.251064028999 210.991361703895</t>
  </si>
  <si>
    <t>-629.852826263084 165.812510242641 677.148107926181</t>
  </si>
  <si>
    <t>-496.596069413718 93.1901178872431 766.098292133581</t>
  </si>
  <si>
    <t>-633.670018214172 34.9093736425186 -212.815177526999</t>
  </si>
  <si>
    <t>-470.322009436188 -81.4556363792567 196.372134945767</t>
  </si>
  <si>
    <t>-550.612078344383 -25.9730009638874 656.087935536693</t>
  </si>
  <si>
    <t>-494.864853087892 -167.600741571464 744.277254489091</t>
  </si>
  <si>
    <t>9763-20170724T160550.422838800.bin</t>
  </si>
  <si>
    <t>-603.109300518566 126.880846704589 -228.999995314352</t>
  </si>
  <si>
    <t>-641.728882299609 120.335510849725 -343.601516644215</t>
  </si>
  <si>
    <t>-660.1499516685 113.490790017629 -463.202353299827</t>
  </si>
  <si>
    <t>-668.333065515694 106.962429363605 -572.221953793341</t>
  </si>
  <si>
    <t>-668.099418995896 100.027250843696 -681.522915267844</t>
  </si>
  <si>
    <t>-658.999454172054 89.8694128426316 -833.226575747446</t>
  </si>
  <si>
    <t>-622.494063366494 69.300013633165 -926.109463548364</t>
  </si>
  <si>
    <t>-650.0794207868 123.379031907345 -767.268588076483</t>
  </si>
  <si>
    <t>-569.173243765261 245.359711719442 -753.147431451035</t>
  </si>
  <si>
    <t>-484.628354411801 155.470597964117 -461.671419567864</t>
  </si>
  <si>
    <t>-255.391121713432 107.359517043804 -348.633026932683</t>
  </si>
  <si>
    <t>-675.972413923607 65.3488277435943 -764.936303288043</t>
  </si>
  <si>
    <t>-571.825519938693 218.751544881329 -244.388760446602</t>
  </si>
  <si>
    <t>-583.019235841522 198.613013033919 210.723108694891</t>
  </si>
  <si>
    <t>-629.403962645067 166.307714219804 676.964423702104</t>
  </si>
  <si>
    <t>-496.575094984155 93.2092443302508 766.164263317562</t>
  </si>
  <si>
    <t>-634.292895443836 35.0689921041735 -212.959626961153</t>
  </si>
  <si>
    <t>-470.657873134144 -81.2829202514608 196.116781710683</t>
  </si>
  <si>
    <t>-550.571214191923 -26.0116128516779 655.921512956799</t>
  </si>
  <si>
    <t>-494.973983652359 -167.63323956824 744.215226579747</t>
  </si>
  <si>
    <t>9763-20170724T160550.491928200.bin</t>
  </si>
  <si>
    <t>-603.567620068186 126.984329596055 -229.414385157567</t>
  </si>
  <si>
    <t>-642.287033940783 120.539364584961 -343.987866344307</t>
  </si>
  <si>
    <t>-660.984686606454 113.606407832063 -463.540718837449</t>
  </si>
  <si>
    <t>-669.491491215746 106.942559602169 -572.527251867796</t>
  </si>
  <si>
    <t>-669.65423889261 99.8297379920791 -681.816990012877</t>
  </si>
  <si>
    <t>-661.178986614576 89.3934294452672 -833.537963523095</t>
  </si>
  <si>
    <t>-624.799222084133 68.7081809613733 -926.444545327424</t>
  </si>
  <si>
    <t>-652.021265349115 123.039052614159 -767.681771111329</t>
  </si>
  <si>
    <t>-571.199244985813 245.13390637945 -753.924683116528</t>
  </si>
  <si>
    <t>-483.675723212139 153.317830467318 -463.932175666273</t>
  </si>
  <si>
    <t>-255.928292857496 107.656753971957 -346.93565741958</t>
  </si>
  <si>
    <t>-677.836730019988 64.9833509372629 -765.130425011426</t>
  </si>
  <si>
    <t>-571.825008849505 218.812338692264 -244.880208863716</t>
  </si>
  <si>
    <t>-583.200062319256 199.111438489465 210.246312278132</t>
  </si>
  <si>
    <t>-628.964858163189 167.168494079379 676.661635478052</t>
  </si>
  <si>
    <t>-496.909144115346 92.940937398381 766.076816265561</t>
  </si>
  <si>
    <t>-635.207540014952 35.1040218318333 -213.302640874378</t>
  </si>
  <si>
    <t>-471.041799029345 -81.1905133437822 195.577331783834</t>
  </si>
  <si>
    <t>-550.383888511998 -26.1341280942231 655.478075483117</t>
  </si>
  <si>
    <t>-495.279016455283 -167.727916659217 744.124304291895</t>
  </si>
  <si>
    <t>9763-20170724T160550.525046400.bin</t>
  </si>
  <si>
    <t>-603.57475105062 126.810131646974 -229.558516806975</t>
  </si>
  <si>
    <t>-642.350745451546 120.419831932504 -344.116021694855</t>
  </si>
  <si>
    <t>-661.149023090046 113.424412418156 -463.649415871472</t>
  </si>
  <si>
    <t>-669.76573479229 106.659273636795 -572.621205249783</t>
  </si>
  <si>
    <t>-670.05706612403 99.40302818809 -681.901116353555</t>
  </si>
  <si>
    <t>-661.780306098884 88.7249939669118 -833.616217321538</t>
  </si>
  <si>
    <t>-625.465631569336 67.960776205113 -926.530570659187</t>
  </si>
  <si>
    <t>-652.475021948663 122.44833320349 -767.820593690999</t>
  </si>
  <si>
    <t>-571.367926797006 244.375581845672 -754.504462412065</t>
  </si>
  <si>
    <t>-483.400875959328 151.997437474737 -464.824927047392</t>
  </si>
  <si>
    <t>-260.082406622022 104.851644558868 -340.132671396178</t>
  </si>
  <si>
    <t>-678.409982979754 64.4510886348951 -765.153481587042</t>
  </si>
  <si>
    <t>-571.623630661875 218.560323438985 -245.064120644512</t>
  </si>
  <si>
    <t>-583.016406447445 199.016272845099 210.068720844389</t>
  </si>
  <si>
    <t>-628.883358352312 167.451255199048 676.577659795857</t>
  </si>
  <si>
    <t>-497.107705413645 92.7388979497371 766.002206321129</t>
  </si>
  <si>
    <t>-635.41392121438 35.0011966287161 -213.379912198838</t>
  </si>
  <si>
    <t>-471.099812927787 -81.2782641807296 195.444780407907</t>
  </si>
  <si>
    <t>-550.307455995964 -26.1813873130363 655.324626172209</t>
  </si>
  <si>
    <t>-495.394974047366 -167.758996256833 744.11596129373</t>
  </si>
  <si>
    <t>9763-20170724T160550.592215100.bin</t>
  </si>
  <si>
    <t>-603.119179033833 125.892680293901 -229.577146839049</t>
  </si>
  <si>
    <t>-642.124949061334 119.671333067127 -344.065808013988</t>
  </si>
  <si>
    <t>-661.31058368554 112.517005728178 -463.528272339224</t>
  </si>
  <si>
    <t>-670.343414260333 105.479478162291 -572.449059678788</t>
  </si>
  <si>
    <t>-671.116773663809 97.8261202500146 -681.699622968991</t>
  </si>
  <si>
    <t>-663.578280094395 86.4694237775709 -833.403882173356</t>
  </si>
  <si>
    <t>-627.69465064711 65.4220274947336 -926.42198512755</t>
  </si>
  <si>
    <t>-653.734562506352 120.388697422547 -767.787636910524</t>
  </si>
  <si>
    <t>-571.638257350057 241.793496298236 -755.456104462083</t>
  </si>
  <si>
    <t>-482.5591743525 150.515448092871 -465.767629343639</t>
  </si>
  <si>
    <t>-270.241640015767 94.7093240437284 -326.307885523277</t>
  </si>
  <si>
    <t>-680.09308762604 62.6001324085225 -764.771277315064</t>
  </si>
  <si>
    <t>-570.560584319906 217.32861545173 -245.193989474051</t>
  </si>
  <si>
    <t>-582.383176074241 198.225672282817 209.946645698377</t>
  </si>
  <si>
    <t>-628.849622384761 167.611930337622 676.46550493873</t>
  </si>
  <si>
    <t>-497.310573276981 92.4931708774816 765.897907264057</t>
  </si>
  <si>
    <t>-635.529519332187 34.3803119958743 -213.256311950122</t>
  </si>
  <si>
    <t>-470.792377652162 -81.9120186929442 195.394527681626</t>
  </si>
  <si>
    <t>-550.092475136462 -26.223617913485 655.108085192737</t>
  </si>
  <si>
    <t>-495.639010429048 -167.816674921822 744.157255151314</t>
  </si>
  <si>
    <t>9763-20170724T160550.624298000.bin</t>
  </si>
  <si>
    <t>-602.715919642651 125.332446485671 -229.530277069988</t>
  </si>
  <si>
    <t>-641.745813308919 119.099092460027 -344.010104779734</t>
  </si>
  <si>
    <t>-661.078965002125 111.795471166829 -463.439700209842</t>
  </si>
  <si>
    <t>-670.297468938425 104.56449762388 -572.332294037779</t>
  </si>
  <si>
    <t>-671.30942583502 96.6579911219783 -681.562842072473</t>
  </si>
  <si>
    <t>-664.157874941889 84.8859374842427 -833.254192697891</t>
  </si>
  <si>
    <t>-628.566250817318 63.6157898219051 -926.333628539876</t>
  </si>
  <si>
    <t>-654.004404719927 118.919904125275 -767.744550730864</t>
  </si>
  <si>
    <t>-571.280254003402 239.93401846366 -755.964116020799</t>
  </si>
  <si>
    <t>-482.208112723237 149.871278571096 -465.893438374124</t>
  </si>
  <si>
    <t>-277.77533852371 84.4377387757399 -319.033726024351</t>
  </si>
  <si>
    <t>-680.640138886477 61.269366893722 -764.526262291425</t>
  </si>
  <si>
    <t>-569.901687858882 216.612634890856 -245.252560907499</t>
  </si>
  <si>
    <t>-581.874062352538 197.715824805259 209.892674403498</t>
  </si>
  <si>
    <t>-628.849792143805 167.588018652237 676.411823263988</t>
  </si>
  <si>
    <t>-497.442809155707 92.2884425384359 765.886318761899</t>
  </si>
  <si>
    <t>-635.415246164182 33.9772551936385 -213.118998505095</t>
  </si>
  <si>
    <t>-470.551683168662 -82.4351627492117 195.446538972306</t>
  </si>
  <si>
    <t>-550.00669833549 -26.2194047916148 655.059564241267</t>
  </si>
  <si>
    <t>-495.753604188417 -167.84243825879 744.18320889343</t>
  </si>
  <si>
    <t>9763-20170724T160550.692491700.bin</t>
  </si>
  <si>
    <t>-601.522260905083 123.971840185843 -229.46136929927</t>
  </si>
  <si>
    <t>-640.601594145782 117.765501365896 -343.925772682338</t>
  </si>
  <si>
    <t>-660.258940120699 110.246911299602 -463.289186548156</t>
  </si>
  <si>
    <t>-669.88627224334 102.723038154539 -572.12650039944</t>
  </si>
  <si>
    <t>-671.423400341453 94.4256881345386 -681.321947609742</t>
  </si>
  <si>
    <t>-665.122692908209 82.0085391028051 -832.999586555336</t>
  </si>
  <si>
    <t>-630.161408418506 60.2745898627818 -926.210863275267</t>
  </si>
  <si>
    <t>-654.44788218974 116.249710817511 -767.680974581661</t>
  </si>
  <si>
    <t>-571.081897495221 236.892360027999 -756.703677869763</t>
  </si>
  <si>
    <t>-481.159802040688 148.57208698964 -466.359464508889</t>
  </si>
  <si>
    <t>-287.173149881461 67.6447676279688 -313.186384567544</t>
  </si>
  <si>
    <t>-681.373238329158 58.7557771185711 -764.092900122499</t>
  </si>
  <si>
    <t>-568.304646082686 214.99573138938 -245.283432881971</t>
  </si>
  <si>
    <t>-580.770063007051 196.497560253069 209.8649003757</t>
  </si>
  <si>
    <t>-628.887954246673 167.358112096589 676.336701711485</t>
  </si>
  <si>
    <t>-497.574291494789 92.0290077261668 765.92329681628</t>
  </si>
  <si>
    <t>-634.569159775087 32.9428532738655 -212.929531509696</t>
  </si>
  <si>
    <t>-469.928221756291 -83.5692100319193 195.697472595511</t>
  </si>
  <si>
    <t>-549.839981956348 -26.1315695894828 655.076458372536</t>
  </si>
  <si>
    <t>-495.900075158879 -167.854192720298 744.231969125139</t>
  </si>
  <si>
    <t>9763-20170724T160550.729592700.bin</t>
  </si>
  <si>
    <t>-600.933230811472 123.254655275328 -229.428644325288</t>
  </si>
  <si>
    <t>-639.991543906086 117.006602488011 -343.898017664225</t>
  </si>
  <si>
    <t>-659.727225458948 109.392728613866 -463.242439550707</t>
  </si>
  <si>
    <t>-669.467317317434 101.75912336996 -572.062016009251</t>
  </si>
  <si>
    <t>-671.159725385961 93.3271219806172 -681.244718237276</t>
  </si>
  <si>
    <t>-665.119170062808 80.6957845505281 -832.915491062687</t>
  </si>
  <si>
    <t>-630.37233460791 58.7724605516632 -926.16230199814</t>
  </si>
  <si>
    <t>-654.299806169249 115.013965786972 -767.661113071104</t>
  </si>
  <si>
    <t>-570.816627728903 235.591486490739 -756.948033511082</t>
  </si>
  <si>
    <t>-480.171473987396 147.91005938422 -466.635151107125</t>
  </si>
  <si>
    <t>-290.672019183645 59.3871753555645 -312.052722635564</t>
  </si>
  <si>
    <t>-681.284110109731 57.5554802401105 -763.950518306433</t>
  </si>
  <si>
    <t>-567.728057160167 214.168721088088 -245.292554769045</t>
  </si>
  <si>
    <t>-580.18430677118 195.69943544705 209.857379896227</t>
  </si>
  <si>
    <t>-628.932757521273 167.041083107896 676.29705016285</t>
  </si>
  <si>
    <t>-497.427784208788 92.1343197534156 765.957122411103</t>
  </si>
  <si>
    <t>-633.935002553224 32.3611619017745 -212.888312248714</t>
  </si>
  <si>
    <t>-469.49305897176 -84.1726687364796 195.812520973278</t>
  </si>
  <si>
    <t>-549.774373504254 -26.1081444313313 655.077870331374</t>
  </si>
  <si>
    <t>-495.90680726666 -167.851416871097 744.244148532257</t>
  </si>
  <si>
    <t>9763-20170724T160550.789478800.bin</t>
  </si>
  <si>
    <t>-599.71084861094 122.075817675952 -229.373363736193</t>
  </si>
  <si>
    <t>-638.710457776859 115.634283822284 -343.851977699226</t>
  </si>
  <si>
    <t>-658.560301771179 107.795985983673 -463.162984275804</t>
  </si>
  <si>
    <t>-668.47639909906 99.9419310799769 -571.950991294392</t>
  </si>
  <si>
    <t>-670.41830270482 91.268431994419 -681.110771719591</t>
  </si>
  <si>
    <t>-664.801128888873 78.2763106006305 -832.767106600164</t>
  </si>
  <si>
    <t>-630.34146559617 56.0793063442177 -926.055971027065</t>
  </si>
  <si>
    <t>-653.823511668991 112.760547051862 -767.626899218239</t>
  </si>
  <si>
    <t>-570.382091724913 233.411366836995 -757.269574896491</t>
  </si>
  <si>
    <t>-478.246431590743 147.069135134626 -467.024484013471</t>
  </si>
  <si>
    <t>-295.793497228112 45.5090911299267 -311.98093207573</t>
  </si>
  <si>
    <t>-680.749659730379 55.2892191110564 -763.700784952368</t>
  </si>
  <si>
    <t>-566.954964111718 212.978424511728 -245.267174189629</t>
  </si>
  <si>
    <t>-579.376516900858 194.607300880141 209.887643322023</t>
  </si>
  <si>
    <t>-629.024044281884 166.589490781194 676.286690627908</t>
  </si>
  <si>
    <t>-497.227479340652 92.3118884697415 766.041992717524</t>
  </si>
  <si>
    <t>-632.295746673272 31.2562410810035 -212.772978415973</t>
  </si>
  <si>
    <t>-468.120010465937 -84.9123143077757 196.138818804246</t>
  </si>
  <si>
    <t>-549.66639073057 -26.0970700694388 655.072834074091</t>
  </si>
  <si>
    <t>-495.748943291729 -167.820314208771 744.240881800122</t>
  </si>
  <si>
    <t>9763-20170724T160550.828584000.bin</t>
  </si>
  <si>
    <t>-599.154840563761 121.543376670947 -229.34649961012</t>
  </si>
  <si>
    <t>-638.121839513985 114.98884345129 -343.829786820788</t>
  </si>
  <si>
    <t>-657.993928017836 107.046943046669 -463.130278263493</t>
  </si>
  <si>
    <t>-667.953010406612 99.1024795645376 -571.907734059756</t>
  </si>
  <si>
    <t>-669.961120882021 90.340817787592 -681.059261191104</t>
  </si>
  <si>
    <t>-664.459791878817 77.2281830736035 -832.709461438881</t>
  </si>
  <si>
    <t>-630.050158674197 54.9769973664856 -926.00392986404</t>
  </si>
  <si>
    <t>-653.486318237711 111.789200413376 -767.609348544829</t>
  </si>
  <si>
    <t>-570.265976128969 232.58321036727 -757.367776701539</t>
  </si>
  <si>
    <t>-477.160156397608 147.001992006931 -467.206808534251</t>
  </si>
  <si>
    <t>-299.970404576124 36.1667250532196 -312.412208832122</t>
  </si>
  <si>
    <t>-680.301568225621 54.2710749501493 -763.608626228148</t>
  </si>
  <si>
    <t>-566.664825461128 212.431685804809 -245.243927545147</t>
  </si>
  <si>
    <t>-578.960803735521 194.086577585083 209.915274937349</t>
  </si>
  <si>
    <t>-629.06884557685 166.38818253621 676.288115229121</t>
  </si>
  <si>
    <t>-497.180476027402 92.3181176812463 766.080070339507</t>
  </si>
  <si>
    <t>-631.477184099487 30.7216654963222 -212.759146283122</t>
  </si>
  <si>
    <t>-467.279363007685 -85.1063875866885 196.240395392476</t>
  </si>
  <si>
    <t>-549.587277926516 -26.0962955855944 655.03745894562</t>
  </si>
  <si>
    <t>-495.628738790429 -167.801446672575 744.209394558012</t>
  </si>
  <si>
    <t>9763-20170724T160550.890750500.bin</t>
  </si>
  <si>
    <t>-598.035046687186 120.793274750263 -229.313862083977</t>
  </si>
  <si>
    <t>-637.004625401904 113.977786054862 -343.780975250278</t>
  </si>
  <si>
    <t>-656.903442105386 105.898473004408 -463.067648067205</t>
  </si>
  <si>
    <t>-666.89519840807 97.8776425211761 -571.836599716805</t>
  </si>
  <si>
    <t>-668.94420401886 89.0845752691275 -680.984831563397</t>
  </si>
  <si>
    <t>-663.507858725526 75.9727717478202 -832.637546475726</t>
  </si>
  <si>
    <t>-629.10888539615 53.780958602787 -925.94995283358</t>
  </si>
  <si>
    <t>-652.672125772334 110.609140579787 -767.554253424538</t>
  </si>
  <si>
    <t>-570.163397399541 231.883424623103 -757.25445573591</t>
  </si>
  <si>
    <t>-476.411083998902 146.136183731392 -467.350766668153</t>
  </si>
  <si>
    <t>-304.756474190448 23.4519552551099 -315.280629334372</t>
  </si>
  <si>
    <t>-679.154417321086 52.9395387496056 -763.517482411489</t>
  </si>
  <si>
    <t>-566.280159966969 211.807057510763 -245.214995939</t>
  </si>
  <si>
    <t>-578.039030926613 193.168158681282 209.946478321094</t>
  </si>
  <si>
    <t>-629.12200330509 166.176017970748 676.27158640598</t>
  </si>
  <si>
    <t>-497.017493273112 92.5454336384985 766.107231963233</t>
  </si>
  <si>
    <t>-629.614489821201 29.8653231713897 -212.744803457644</t>
  </si>
  <si>
    <t>-465.544675727921 -85.2079131555076 196.519113037585</t>
  </si>
  <si>
    <t>-549.453350782172 -26.1030648034732 654.982223997179</t>
  </si>
  <si>
    <t>-495.322086673995 -167.747440619674 744.146041061175</t>
  </si>
  <si>
    <t>9763-20170724T160550.927851100.bin</t>
  </si>
  <si>
    <t>-597.540738785893 120.450439632671 -229.319527264981</t>
  </si>
  <si>
    <t>-636.521426472726 113.510933357176 -343.775466209939</t>
  </si>
  <si>
    <t>-656.388160735951 105.381612204968 -463.064238519622</t>
  </si>
  <si>
    <t>-666.331916631491 97.3470827425549 -571.836487898663</t>
  </si>
  <si>
    <t>-668.313629977572 88.5718346855206 -680.987383928479</t>
  </si>
  <si>
    <t>-662.763283600282 75.5180441111363 -832.640977842386</t>
  </si>
  <si>
    <t>-628.292444809428 53.4481886796771 -925.955818085461</t>
  </si>
  <si>
    <t>-652.097944751164 110.184411838048 -767.545498812005</t>
  </si>
  <si>
    <t>-570.046877923891 231.765458504889 -757.136765134356</t>
  </si>
  <si>
    <t>-475.720856302663 146.173549863471 -467.373475682377</t>
  </si>
  <si>
    <t>-308.720663722675 14.2621315184306 -317.866364763656</t>
  </si>
  <si>
    <t>-678.340316010477 52.4034903669531 -763.532354280886</t>
  </si>
  <si>
    <t>-566.198007124715 211.534413112981 -245.186041392954</t>
  </si>
  <si>
    <t>-577.678464868795 192.723523442877 209.975462337891</t>
  </si>
  <si>
    <t>-629.292502389836 165.880523883046 676.275120690274</t>
  </si>
  <si>
    <t>-496.866757858932 92.8020234873452 766.088610644583</t>
  </si>
  <si>
    <t>-628.730633449412 29.4344230032768 -212.784839532888</t>
  </si>
  <si>
    <t>-464.73545782396 -85.1873708806188 196.63554778342</t>
  </si>
  <si>
    <t>-549.390826855336 -26.1255399159638 654.961420753972</t>
  </si>
  <si>
    <t>-495.167429176025 -167.72595803117 744.139058694983</t>
  </si>
  <si>
    <t>9763-20170724T160550.993032800.bin</t>
  </si>
  <si>
    <t>-596.533545952318 119.952259820921 -229.321666432609</t>
  </si>
  <si>
    <t>-635.449950245488 112.730644831779 -343.782006108368</t>
  </si>
  <si>
    <t>-655.235940503877 104.504031430367 -463.077578115537</t>
  </si>
  <si>
    <t>-665.097977316134 96.4616687639514 -571.856645895512</t>
  </si>
  <si>
    <t>-666.988210775675 87.7605062857699 -681.015112856068</t>
  </si>
  <si>
    <t>-661.29950368791 74.8968322722499 -832.679770955884</t>
  </si>
  <si>
    <t>-626.65165298526 53.1346825977498 -926.00146606537</t>
  </si>
  <si>
    <t>-650.933145176401 109.587876694811 -767.549277905285</t>
  </si>
  <si>
    <t>-569.760455869791 231.743977611729 -756.957479144307</t>
  </si>
  <si>
    <t>-475.241259449138 145.03680959135 -467.588763153694</t>
  </si>
  <si>
    <t>-313.377285245582 0.37095242109649 -324.362095872819</t>
  </si>
  <si>
    <t>-676.70011238917 51.5892283134231 -763.596546801581</t>
  </si>
  <si>
    <t>-565.90102873717 211.177291870013 -245.175115777145</t>
  </si>
  <si>
    <t>-577.187045664544 192.365943884448 209.991273198788</t>
  </si>
  <si>
    <t>-629.36308079247 165.687171320476 676.239948356673</t>
  </si>
  <si>
    <t>-496.764412332951 92.955153497594 766.079531251831</t>
  </si>
  <si>
    <t>-627.048319741868 28.7750553052288 -212.772179058499</t>
  </si>
  <si>
    <t>-463.055781553 -85.1041627259669 196.85651309853</t>
  </si>
  <si>
    <t>-549.234085628335 -26.1619331428703 654.905225998947</t>
  </si>
  <si>
    <t>-494.907820087603 -167.697436168552 744.123319424226</t>
  </si>
  <si>
    <t>9763-20170724T160551.026122000.bin</t>
  </si>
  <si>
    <t>-596.040938437061 119.729831837595 -229.332288681394</t>
  </si>
  <si>
    <t>-634.907329057246 112.389972348669 -343.802058019999</t>
  </si>
  <si>
    <t>-654.645419139455 104.145426456534 -463.104241977383</t>
  </si>
  <si>
    <t>-664.463970145076 96.1294553440173 -571.889261151208</t>
  </si>
  <si>
    <t>-666.310423719372 87.4972570740317 -681.05387380575</t>
  </si>
  <si>
    <t>-660.560074459301 74.7742067550284 -832.728150748716</t>
  </si>
  <si>
    <t>-625.820746811177 53.2088460512309 -926.061389595942</t>
  </si>
  <si>
    <t>-650.322183508118 109.449483723454 -767.568836297644</t>
  </si>
  <si>
    <t>-569.544295975797 231.857541531941 -756.874946971819</t>
  </si>
  <si>
    <t>-474.857010752583 144.869659222826 -467.645515535978</t>
  </si>
  <si>
    <t>-675.886700860371 51.358001708544 -763.665142599602</t>
  </si>
  <si>
    <t>-565.707964945485 211.067455748052 -245.153033794497</t>
  </si>
  <si>
    <t>-577.051664728745 192.297153696996 210.013513473468</t>
  </si>
  <si>
    <t>-629.422410382405 165.621898580519 676.259674117262</t>
  </si>
  <si>
    <t>-496.769064410319 92.958263166548 766.073932651013</t>
  </si>
  <si>
    <t>-626.250424303473 28.4299474880766 -212.801286971189</t>
  </si>
  <si>
    <t>-462.266107986883 -85.0015455595162 196.954888324027</t>
  </si>
  <si>
    <t>-549.181391172138 -26.1974621713771 654.882702364097</t>
  </si>
  <si>
    <t>-494.800896927836 -167.690630354128 744.134999034983</t>
  </si>
  <si>
    <t>9763-20170724T160551.090299800.bin</t>
  </si>
  <si>
    <t>-595.09226001812 119.314895010482 -229.341196409561</t>
  </si>
  <si>
    <t>-633.814530962529 111.794176333218 -343.848179732171</t>
  </si>
  <si>
    <t>-653.367758298089 103.574463973289 -463.18235444986</t>
  </si>
  <si>
    <t>-663.001622581504 95.664759345575 -571.991816060887</t>
  </si>
  <si>
    <t>-664.644957697174 87.222479226114 -681.174515919132</t>
  </si>
  <si>
    <t>-658.592932299818 74.8498352477075 -832.866055648512</t>
  </si>
  <si>
    <t>-623.669628689634 53.6107619820157 -926.205380149249</t>
  </si>
  <si>
    <t>-648.658965841972 109.449721126126 -767.619628171384</t>
  </si>
  <si>
    <t>-568.570356091498 232.270995399413 -756.540677117216</t>
  </si>
  <si>
    <t>-474.392116004277 143.962564693467 -467.545414258611</t>
  </si>
  <si>
    <t>-673.882604429777 51.1989263231451 -763.874850176952</t>
  </si>
  <si>
    <t>-565.298672810415 210.852086110971 -245.127867103701</t>
  </si>
  <si>
    <t>-576.856854697668 192.235436939309 210.039735709338</t>
  </si>
  <si>
    <t>-629.433669672267 165.594850917775 676.271624869989</t>
  </si>
  <si>
    <t>-496.751630737954 92.9691835796709 766.074199468657</t>
  </si>
  <si>
    <t>-624.733054315003 27.8244778767621 -212.848568196385</t>
  </si>
  <si>
    <t>-460.894087553019 -84.8495038029546 197.17466029922</t>
  </si>
  <si>
    <t>-549.097007460049 -26.2427922726254 654.86838264496</t>
  </si>
  <si>
    <t>-494.569226066908 -167.667460118126 744.139316174274</t>
  </si>
  <si>
    <t>9763-20170724T160551.125392300.bin</t>
  </si>
  <si>
    <t>-594.523168389471 119.036959083109 -229.364315707514</t>
  </si>
  <si>
    <t>-633.197198076314 111.467749923745 -343.884263417804</t>
  </si>
  <si>
    <t>-652.675367890713 103.303693422097 -463.23475981066</t>
  </si>
  <si>
    <t>-662.229468756401 95.4875711332984 -572.057845785679</t>
  </si>
  <si>
    <t>-663.780852310822 87.1821163293907 -681.252474838189</t>
  </si>
  <si>
    <t>-657.588010417841 75.0448665452504 -832.957247340888</t>
  </si>
  <si>
    <t>-622.631008516183 53.9286980555078 -926.311990386803</t>
  </si>
  <si>
    <t>-647.804299991135 109.581621531941 -767.654789374209</t>
  </si>
  <si>
    <t>-568.022472295522 232.595057653244 -756.37749654512</t>
  </si>
  <si>
    <t>-474.140705408493 144.000047456436 -467.373308640415</t>
  </si>
  <si>
    <t>-672.852011810159 51.2488108958096 -764.010313081796</t>
  </si>
  <si>
    <t>-564.985669933949 210.574064508538 -245.081556260713</t>
  </si>
  <si>
    <t>-576.665632925533 192.033067406481 210.086011428865</t>
  </si>
  <si>
    <t>-629.523538395685 165.478289740335 676.310897350916</t>
  </si>
  <si>
    <t>-496.645311391785 93.1489442808652 766.062504116719</t>
  </si>
  <si>
    <t>-623.909570493881 27.4880839948494 -212.934008840815</t>
  </si>
  <si>
    <t>-460.259586639537 -84.8332605745813 197.261383778242</t>
  </si>
  <si>
    <t>-549.043779227731 -26.2616627368243 654.856048174527</t>
  </si>
  <si>
    <t>-494.459112491269 -167.655061338612 744.141710179775</t>
  </si>
  <si>
    <t>9763-20170724T160551.198395700.bin</t>
  </si>
  <si>
    <t>-593.368446446802 118.473622674748 -229.360305889481</t>
  </si>
  <si>
    <t>-631.846567561845 110.866428507464 -343.943658068291</t>
  </si>
  <si>
    <t>-651.144911541649 102.800309715441 -463.329953114369</t>
  </si>
  <si>
    <t>-660.543146521473 95.126829897401 -572.176873748564</t>
  </si>
  <si>
    <t>-661.945918265687 87.016164807937 -681.388048695321</t>
  </si>
  <si>
    <t>-655.553855109282 75.2029992638131 -833.110259898368</t>
  </si>
  <si>
    <t>-620.57624870175 54.0949337261186 -926.458956401666</t>
  </si>
  <si>
    <t>-645.966276119239 109.646892756911 -767.729527123273</t>
  </si>
  <si>
    <t>-566.685083832066 232.948482927426 -756.089160503473</t>
  </si>
  <si>
    <t>-473.195342187072 144.080918111519 -467.041650547702</t>
  </si>
  <si>
    <t>-670.797957810898 51.2130861811256 -764.226121555169</t>
  </si>
  <si>
    <t>-564.265627651449 210.06763269768 -244.935028973765</t>
  </si>
  <si>
    <t>-576.265538177539 191.580316394849 210.226341186563</t>
  </si>
  <si>
    <t>-629.777812540264 165.148183345071 676.40623543125</t>
  </si>
  <si>
    <t>-496.555482742913 93.3060303501202 766.039028370793</t>
  </si>
  <si>
    <t>-622.343044416831 26.8912568232236 -213.087378120601</t>
  </si>
  <si>
    <t>-459.221753458239 -84.9151739214085 197.459141020818</t>
  </si>
  <si>
    <t>-548.931284241778 -26.2842646726676 654.857449421845</t>
  </si>
  <si>
    <t>-494.351808679103 -167.66195130008 744.171140739653</t>
  </si>
  <si>
    <t>9763-20170724T160551.230480400.bin</t>
  </si>
  <si>
    <t>-592.828377575772 118.243749439065 -229.334284279052</t>
  </si>
  <si>
    <t>-631.193999740811 110.614952199371 -343.953967893695</t>
  </si>
  <si>
    <t>-650.406206471308 102.556642189328 -463.354704084984</t>
  </si>
  <si>
    <t>-659.738289323221 94.9009177443936 -572.208401664569</t>
  </si>
  <si>
    <t>-661.086973287721 86.8178246515756 -681.422384027995</t>
  </si>
  <si>
    <t>-654.632319350157 75.052605582752 -833.145631345295</t>
  </si>
  <si>
    <t>-619.663066570779 53.8460282103581 -926.475258785606</t>
  </si>
  <si>
    <t>-645.1072003198 109.490585051765 -767.752919378461</t>
  </si>
  <si>
    <t>-566.047565297342 232.933924267409 -756.033985260948</t>
  </si>
  <si>
    <t>-472.386413618519 144.380500435734 -466.945763055354</t>
  </si>
  <si>
    <t>-669.869475778084 51.0260366584064 -764.27269244457</t>
  </si>
  <si>
    <t>-563.885439268707 209.829143671467 -244.83252861189</t>
  </si>
  <si>
    <t>-576.145214867556 191.415472188218 210.324822288471</t>
  </si>
  <si>
    <t>-629.954338691128 164.951835796927 676.49318601386</t>
  </si>
  <si>
    <t>-496.532910178977 93.3471121220468 766.019722827274</t>
  </si>
  <si>
    <t>-621.653974646368 26.6587451329583 -213.140173799259</t>
  </si>
  <si>
    <t>-458.806473441463 -84.9726097186312 197.562654158436</t>
  </si>
  <si>
    <t>-548.911617773682 -26.3196854542371 654.880459530201</t>
  </si>
  <si>
    <t>-494.274743658331 -167.665199121261 744.209977141461</t>
  </si>
  <si>
    <t>9763-20170724T160551.290458100.bin</t>
  </si>
  <si>
    <t>-591.767841472969 117.989751326554 -229.212781479682</t>
  </si>
  <si>
    <t>-629.863401330785 110.309751719465 -343.919092082015</t>
  </si>
  <si>
    <t>-648.889971088681 102.187932395593 -463.345290921493</t>
  </si>
  <si>
    <t>-658.091769971617 94.4640765606623 -572.205298780793</t>
  </si>
  <si>
    <t>-659.349223111278 86.2983316203311 -681.414220022322</t>
  </si>
  <si>
    <t>-652.809612226048 74.3995074545055 -833.123367879821</t>
  </si>
  <si>
    <t>-617.878189869402 52.8630743268213 -926.391571750994</t>
  </si>
  <si>
    <t>-643.319815861974 108.894649276996 -767.755497704737</t>
  </si>
  <si>
    <t>-564.495006454395 232.473188212713 -755.951385700208</t>
  </si>
  <si>
    <t>-470.690233343656 144.725108843311 -466.664128516433</t>
  </si>
  <si>
    <t>-668.086561506833 50.4340859940482 -764.237946603308</t>
  </si>
  <si>
    <t>-563.026730690648 209.59891427094 -244.613040017201</t>
  </si>
  <si>
    <t>-575.885567769125 191.308843743256 210.532841635379</t>
  </si>
  <si>
    <t>-630.170859179604 164.754894400472 676.610902618341</t>
  </si>
  <si>
    <t>-496.52825864073 93.3740669939152 765.986200666828</t>
  </si>
  <si>
    <t>-620.330688791758 26.3922799898078 -213.129324685151</t>
  </si>
  <si>
    <t>-457.953956482666 -85.1010027534899 197.797344959026</t>
  </si>
  <si>
    <t>-548.822713758457 -26.3512254799175 654.932478308241</t>
  </si>
  <si>
    <t>-494.204285419134 -167.689667714388 744.284571166651</t>
  </si>
  <si>
    <t>9763-20170724T160551.323555900.bin</t>
  </si>
  <si>
    <t>-591.158424507036 117.905480103432 -229.155655548182</t>
  </si>
  <si>
    <t>-629.134505254074 110.196850807203 -343.89977503858</t>
  </si>
  <si>
    <t>-648.097691822693 102.02093371115 -463.332243968822</t>
  </si>
  <si>
    <t>-657.266957803708 94.2333671310189 -572.190489295759</t>
  </si>
  <si>
    <t>-658.517500273613 85.9863771484804 -681.393514483097</t>
  </si>
  <si>
    <t>-651.995352850106 73.9541334767844 -833.092686001531</t>
  </si>
  <si>
    <t>-617.10711036867 52.1999172143164 -926.326695914456</t>
  </si>
  <si>
    <t>-642.482465915144 108.500149754577 -767.75533283595</t>
  </si>
  <si>
    <t>-563.655795239233 232.076364079098 -755.932901946021</t>
  </si>
  <si>
    <t>-469.759070206118 145.111292458839 -466.439127426211</t>
  </si>
  <si>
    <t>-667.279993440111 50.0558370332876 -764.185786764639</t>
  </si>
  <si>
    <t>-562.529571981594 209.475673803658 -244.511209120925</t>
  </si>
  <si>
    <t>-575.627989679839 191.206367882954 210.628669600936</t>
  </si>
  <si>
    <t>-630.272425168617 164.65292488534 676.683598345088</t>
  </si>
  <si>
    <t>-496.45897967853 93.4935155379808 765.979802436873</t>
  </si>
  <si>
    <t>-619.610456303851 26.3404319196814 -213.110034628007</t>
  </si>
  <si>
    <t>-457.526831679099 -85.1317937038903 197.93803645369</t>
  </si>
  <si>
    <t>-548.795219880535 -26.3558671413214 654.983405183295</t>
  </si>
  <si>
    <t>-494.174089822294 -167.701046026123 744.323227796393</t>
  </si>
  <si>
    <t>9763-20170724T160551.406771500.bin</t>
  </si>
  <si>
    <t>-589.987786825693 117.907091069612 -228.950099369423</t>
  </si>
  <si>
    <t>-627.782186222938 110.188188313625 -343.753526353404</t>
  </si>
  <si>
    <t>-646.573505767385 101.905014930544 -463.205632475016</t>
  </si>
  <si>
    <t>-655.594649159767 93.9706392027554 -572.065836180642</t>
  </si>
  <si>
    <t>-656.706257633313 85.5207407434948 -681.254711789341</t>
  </si>
  <si>
    <t>-650.002810063532 73.141961739803 -832.918158873597</t>
  </si>
  <si>
    <t>-615.140252515954 50.8867598660415 -926.043495460966</t>
  </si>
  <si>
    <t>-640.51438096185 107.814547742497 -767.644375878701</t>
  </si>
  <si>
    <t>-561.587038269478 231.332227824381 -755.751458160148</t>
  </si>
  <si>
    <t>-466.923231165714 145.563342936965 -466.15057709911</t>
  </si>
  <si>
    <t>-665.423569937416 49.4235970396733 -763.979495264499</t>
  </si>
  <si>
    <t>-561.570649834814 209.423031939276 -244.174810576981</t>
  </si>
  <si>
    <t>-574.912292905701 190.900217130262 210.94780538044</t>
  </si>
  <si>
    <t>-630.621735593113 164.430634715024 676.961209307844</t>
  </si>
  <si>
    <t>-496.437300468191 93.583413849899 765.948377312673</t>
  </si>
  <si>
    <t>-618.263321061532 26.4088174681731 -213.03292972082</t>
  </si>
  <si>
    <t>-456.72582549952 -85.1199986732418 198.214723542371</t>
  </si>
  <si>
    <t>-548.749947798795 -26.3695841759961 655.133250403297</t>
  </si>
  <si>
    <t>-494.073357603499 -167.721992957755 744.427555471931</t>
  </si>
  <si>
    <t>9763-20170724T160551.454899100.bin</t>
  </si>
  <si>
    <t>-589.483313010604 118.011000498544 -228.818331322183</t>
  </si>
  <si>
    <t>-627.211768100839 110.268718086602 -343.641757897983</t>
  </si>
  <si>
    <t>-646.000116487623 101.89722004995 -463.088390567108</t>
  </si>
  <si>
    <t>-655.046072014198 93.8522998102301 -571.938308676112</t>
  </si>
  <si>
    <t>-656.210973652724 85.2584168320072 -681.115453689511</t>
  </si>
  <si>
    <t>-649.611934496541 72.642251440695 -832.763959207426</t>
  </si>
  <si>
    <t>-614.820871605727 50.0581081864516 -925.836614909659</t>
  </si>
  <si>
    <t>-640.050367235603 107.405180550138 -767.548697025574</t>
  </si>
  <si>
    <t>-561.078986208645 230.913433226074 -755.81934455088</t>
  </si>
  <si>
    <t>-465.694964305199 145.752074670617 -466.275443819228</t>
  </si>
  <si>
    <t>-665.013254686795 49.0438290797135 -763.779663919112</t>
  </si>
  <si>
    <t>-561.213161130886 209.487857507438 -243.968592023944</t>
  </si>
  <si>
    <t>-574.526807212382 190.748089494108 211.146001658566</t>
  </si>
  <si>
    <t>-630.840477400762 164.310280985023 677.121615434998</t>
  </si>
  <si>
    <t>-496.40076398418 93.7007660310915 765.912233893485</t>
  </si>
  <si>
    <t>-617.643484365284 26.5637632436124 -212.939671923632</t>
  </si>
  <si>
    <t>-456.402739781496 -85.0542819166499 198.400252037683</t>
  </si>
  <si>
    <t>-548.71480569648 -26.3632090166777 655.24754183166</t>
  </si>
  <si>
    <t>-494.044115932873 -167.739419937548 744.507797235786</t>
  </si>
  <si>
    <t>9763-20170724T160551.493010000.bin</t>
  </si>
  <si>
    <t>-588.329846348569 118.301914577607 -228.514956053521</t>
  </si>
  <si>
    <t>-625.902078289606 110.577998711602 -343.390963023993</t>
  </si>
  <si>
    <t>-644.660325996416 101.980076126816 -462.826155636683</t>
  </si>
  <si>
    <t>-653.735566405016 93.6234847863125 -571.650092155595</t>
  </si>
  <si>
    <t>-654.98953036096 84.6056602191632 -680.792027515122</t>
  </si>
  <si>
    <t>-648.578695578158 71.2791595543356 -832.387903282271</t>
  </si>
  <si>
    <t>-613.933443880976 47.9794119205571 -925.338416853829</t>
  </si>
  <si>
    <t>-638.864901660661 106.317032610958 -767.342408141618</t>
  </si>
  <si>
    <t>-559.633529824482 229.69052750622 -756.239164399433</t>
  </si>
  <si>
    <t>-464.21819878461 145.757815977336 -466.347101353741</t>
  </si>
  <si>
    <t>-663.965615083564 48.0344963019254 -763.280425034729</t>
  </si>
  <si>
    <t>-560.209187125136 209.741813783606 -243.584254929981</t>
  </si>
  <si>
    <t>-573.727978718963 190.572423928921 211.506331286961</t>
  </si>
  <si>
    <t>-631.072560270592 164.262144607766 677.343090592346</t>
  </si>
  <si>
    <t>-496.37044291447 93.7970906412088 765.850277128899</t>
  </si>
  <si>
    <t>-616.304250057801 26.8710689967979 -212.784918138247</t>
  </si>
  <si>
    <t>-455.868115643631 -84.8148505986405 198.851071697334</t>
  </si>
  <si>
    <t>-548.723581969273 -26.3308208283211 655.590142523555</t>
  </si>
  <si>
    <t>-493.953178720156 -167.75573738017 744.712111255188</t>
  </si>
  <si>
    <t>9763-20170724T160551.522087200.bin</t>
  </si>
  <si>
    <t>-587.772688598016 118.492080031643 -228.322989504991</t>
  </si>
  <si>
    <t>-625.270902809404 110.768072956269 -343.223023405172</t>
  </si>
  <si>
    <t>-644.002668653796 102.072550700962 -462.655292562591</t>
  </si>
  <si>
    <t>-653.075877837595 93.5839165952959 -571.469356638589</t>
  </si>
  <si>
    <t>-654.350805726448 84.3881142144205 -680.596073599071</t>
  </si>
  <si>
    <t>-647.994361711011 70.7639799003321 -832.167754641446</t>
  </si>
  <si>
    <t>-613.434410667514 47.1458014043155 -925.069882199935</t>
  </si>
  <si>
    <t>-638.21742976739 105.912393763529 -767.191553715638</t>
  </si>
  <si>
    <t>-558.851110997085 229.213817289013 -756.288466323207</t>
  </si>
  <si>
    <t>-463.732750987408 145.796254227803 -466.150207988099</t>
  </si>
  <si>
    <t>-304.498235193915 0.0409432688029483 -321.092329456453</t>
  </si>
  <si>
    <t>-663.396373336932 47.6720497907952 -763.012528047495</t>
  </si>
  <si>
    <t>-559.701403172833 209.905487075296 -243.337439598669</t>
  </si>
  <si>
    <t>-573.318383824969 190.509401402763 211.740730029565</t>
  </si>
  <si>
    <t>-631.272984419074 164.210606105281 677.546131753734</t>
  </si>
  <si>
    <t>-496.393998225265 93.8007531859246 765.827628379754</t>
  </si>
  <si>
    <t>-615.692780851192 27.1031786640735 -212.644929052704</t>
  </si>
  <si>
    <t>-455.685428193012 -84.7206082987709 199.120593981448</t>
  </si>
  <si>
    <t>-548.751133425557 -26.3063634495902 655.81587132882</t>
  </si>
  <si>
    <t>-493.932645519042 -167.768760402467 744.848642410671</t>
  </si>
  <si>
    <t>9763-20170724T160551.591820100.bin</t>
  </si>
  <si>
    <t>-586.8454818965 119.055035093533 -227.882667096042</t>
  </si>
  <si>
    <t>-624.262142346373 111.367833054808 -342.811801769412</t>
  </si>
  <si>
    <t>-642.931893105999 102.468719528335 -462.238824152348</t>
  </si>
  <si>
    <t>-651.961079446892 93.6964163973237 -571.033939400231</t>
  </si>
  <si>
    <t>-653.206414746157 84.1163710048299 -680.128118310068</t>
  </si>
  <si>
    <t>-646.826023621182 69.85258609929 -831.639935994066</t>
  </si>
  <si>
    <t>-612.381960918472 45.680467759955 -924.442385494236</t>
  </si>
  <si>
    <t>-637.007279469427 105.252623775165 -766.806715506935</t>
  </si>
  <si>
    <t>-557.53320792971 228.533798783159 -756.276741320472</t>
  </si>
  <si>
    <t>-462.550067139664 145.999337106888 -465.841799689879</t>
  </si>
  <si>
    <t>-302.019710063307 4.87722207797606 -317.664187104328</t>
  </si>
  <si>
    <t>-662.291100076547 47.0750113503345 -762.394389837913</t>
  </si>
  <si>
    <t>-558.777239782484 210.441731949184 -242.869601120461</t>
  </si>
  <si>
    <t>-572.747282223372 190.610369941082 212.179054609646</t>
  </si>
  <si>
    <t>-631.531090978758 164.13312651759 677.764979144215</t>
  </si>
  <si>
    <t>-496.348716832646 93.9619814120117 765.772107559675</t>
  </si>
  <si>
    <t>-614.781742138803 27.7361651330521 -212.246193278894</t>
  </si>
  <si>
    <t>-455.13874067928 -84.5901319108086 199.52386312479</t>
  </si>
  <si>
    <t>-548.692201094473 -26.3445343620429 656.099670385929</t>
  </si>
  <si>
    <t>-493.983633467572 -167.8480557186 745.134781578464</t>
  </si>
  <si>
    <t>9763-20170724T160551.630924300.bin</t>
  </si>
  <si>
    <t>-586.365664316601 119.420583503817 -227.777928567549</t>
  </si>
  <si>
    <t>-623.767815853782 111.746422085693 -342.712836905546</t>
  </si>
  <si>
    <t>-642.468171151252 102.765366357426 -462.12884772482</t>
  </si>
  <si>
    <t>-651.545159541792 93.8792801567417 -570.91071791141</t>
  </si>
  <si>
    <t>-652.859112723188 84.145441363605 -679.990314206201</t>
  </si>
  <si>
    <t>-646.596848313499 69.6252391707224 -831.482825313698</t>
  </si>
  <si>
    <t>-612.204073006018 45.2145851608705 -924.241860443628</t>
  </si>
  <si>
    <t>-636.691573158365 105.119534123674 -766.714431686784</t>
  </si>
  <si>
    <t>-557.094476347313 228.331167706158 -756.362877336335</t>
  </si>
  <si>
    <t>-462.06093900485 145.985368525128 -465.890928042498</t>
  </si>
  <si>
    <t>-300.898410972978 7.30318798553958 -316.104470745672</t>
  </si>
  <si>
    <t>-662.043982800525 46.9802536308262 -762.189948983898</t>
  </si>
  <si>
    <t>-558.224203451345 210.785624647443 -242.790778789485</t>
  </si>
  <si>
    <t>-572.352170737725 190.789754865869 212.245662977545</t>
  </si>
  <si>
    <t>-631.46420841909 164.18788192585 677.75292835578</t>
  </si>
  <si>
    <t>-496.342750264778 93.9306122424955 765.784852434241</t>
  </si>
  <si>
    <t>-614.377006318904 28.1390990612322 -212.091726675114</t>
  </si>
  <si>
    <t>-454.837184852646 -84.4303768808229 199.651889275363</t>
  </si>
  <si>
    <t>-548.64332918406 -26.3675853649863 656.193887800632</t>
  </si>
  <si>
    <t>-494.034843441463 -167.899311835309 745.245536402857</t>
  </si>
  <si>
    <t>9763-20170724T160551.692598900.bin</t>
  </si>
  <si>
    <t>-585.538662315563 120.170155953507 -227.672642698093</t>
  </si>
  <si>
    <t>-622.839837122628 112.566436920857 -342.644932712161</t>
  </si>
  <si>
    <t>-641.586632525705 103.448089334811 -462.043262361375</t>
  </si>
  <si>
    <t>-650.770126604011 94.3508630619856 -570.798784674553</t>
  </si>
  <si>
    <t>-652.257639901803 84.3168705277203 -679.849105383025</t>
  </si>
  <si>
    <t>-646.30784446905 69.2855254394594 -831.30416909097</t>
  </si>
  <si>
    <t>-612.017463904288 44.3792399433516 -923.969330895061</t>
  </si>
  <si>
    <t>-636.205840706348 104.971009516443 -766.671330873851</t>
  </si>
  <si>
    <t>-556.442456528431 228.112294649382 -756.789257689712</t>
  </si>
  <si>
    <t>-460.622743376656 146.483922000123 -466.372923052496</t>
  </si>
  <si>
    <t>-296.224417580192 15.1839265876567 -313.48225648832</t>
  </si>
  <si>
    <t>-661.67506592434 46.901832655218 -761.908668092756</t>
  </si>
  <si>
    <t>-557.29272519074 211.558927611216 -242.651663462689</t>
  </si>
  <si>
    <t>-571.762560700896 191.095874728982 212.353330747816</t>
  </si>
  <si>
    <t>-631.429349665601 164.255543981472 677.794295740341</t>
  </si>
  <si>
    <t>-496.344053607656 93.9338187729381 765.8302873161</t>
  </si>
  <si>
    <t>-613.641020164541 28.8564191184246 -212.079301702786</t>
  </si>
  <si>
    <t>-454.430801511895 -83.9006749809757 199.74058578087</t>
  </si>
  <si>
    <t>-548.600516982968 -26.465572608681 656.340179500139</t>
  </si>
  <si>
    <t>-494.011818898593 -167.968240760856 745.450197475865</t>
  </si>
  <si>
    <t>9763-20170724T160551.725683900.bin</t>
  </si>
  <si>
    <t>-585.151701376836 120.506049617476 -227.652883474329</t>
  </si>
  <si>
    <t>-622.404462651219 112.943845068123 -342.643456735115</t>
  </si>
  <si>
    <t>-641.166182905817 103.735443668909 -462.032713040509</t>
  </si>
  <si>
    <t>-650.391501412855 94.5036123499951 -570.773224680999</t>
  </si>
  <si>
    <t>-651.950310398717 84.2821286365381 -679.805114220317</t>
  </si>
  <si>
    <t>-646.131194538129 68.9353430094693 -831.233738046211</t>
  </si>
  <si>
    <t>-611.904289506449 43.7805092825054 -923.855059529948</t>
  </si>
  <si>
    <t>-635.971203124161 104.754368086308 -766.683771127699</t>
  </si>
  <si>
    <t>-556.223900439304 227.932684667698 -757.065462614359</t>
  </si>
  <si>
    <t>-459.654770690795 146.927937467514 -466.722794349531</t>
  </si>
  <si>
    <t>-294.666758253388 17.2271256504418 -313.104070566099</t>
  </si>
  <si>
    <t>-661.440842555498 46.6971536267304 -761.778678307937</t>
  </si>
  <si>
    <t>-556.897842876383 211.87198142495 -242.575114674281</t>
  </si>
  <si>
    <t>-571.490123446223 191.195757574715 212.416391985836</t>
  </si>
  <si>
    <t>-631.471171308957 164.217071529683 677.835458262317</t>
  </si>
  <si>
    <t>-496.322602719623 93.9797105949604 765.841641649659</t>
  </si>
  <si>
    <t>-613.284437998823 29.1855763012361 -212.082569477077</t>
  </si>
  <si>
    <t>-454.286910387828 -83.7318183632929 199.775543104161</t>
  </si>
  <si>
    <t>-548.593396969792 -26.5203548574987 656.403412456747</t>
  </si>
  <si>
    <t>-493.995047683603 -168.005047663764 745.535864979747</t>
  </si>
  <si>
    <t>9763-20170724T160551.789874400.bin</t>
  </si>
  <si>
    <t>-584.333516074597 121.234032799541 -227.573947793776</t>
  </si>
  <si>
    <t>-621.437713139857 113.709124433351 -342.615035589651</t>
  </si>
  <si>
    <t>-640.209738270387 104.303267910774 -461.987259929547</t>
  </si>
  <si>
    <t>-649.514165211711 94.7970173675812 -570.697415168413</t>
  </si>
  <si>
    <t>-651.224775548272 84.2041597662035 -679.691475553859</t>
  </si>
  <si>
    <t>-645.694221300678 68.239679145498 -831.067079720008</t>
  </si>
  <si>
    <t>-611.620943025617 42.6602728725711 -923.628927496674</t>
  </si>
  <si>
    <t>-635.411150815041 104.321732951497 -766.683371216212</t>
  </si>
  <si>
    <t>-555.645503440456 227.53426830487 -757.685142275225</t>
  </si>
  <si>
    <t>-457.839777559225 147.923957988614 -467.370730380252</t>
  </si>
  <si>
    <t>-292.893255839571 19.255025929675 -312.842405396525</t>
  </si>
  <si>
    <t>-660.871454727803 46.2852349961984 -761.492839882786</t>
  </si>
  <si>
    <t>-556.181552835644 212.636499779504 -242.363509671782</t>
  </si>
  <si>
    <t>-571.052416912953 191.534619418745 212.599433409231</t>
  </si>
  <si>
    <t>-631.526685836848 164.296868924605 677.953729045243</t>
  </si>
  <si>
    <t>-496.334438345524 94.0001497034755 765.845368686009</t>
  </si>
  <si>
    <t>-612.329538452761 29.8589684363137 -212.117468920277</t>
  </si>
  <si>
    <t>-453.923268711101 -83.2757781994133 199.908828586554</t>
  </si>
  <si>
    <t>-548.598797772684 -26.6237550082699 656.552544246325</t>
  </si>
  <si>
    <t>-493.967236674647 -168.068097693436 745.728783710264</t>
  </si>
  <si>
    <t>9763-20170724T160551.827978900.bin</t>
  </si>
  <si>
    <t>-583.967978503966 121.668307260311 -227.499332890711</t>
  </si>
  <si>
    <t>-620.99593717231 114.160627955217 -342.566108758936</t>
  </si>
  <si>
    <t>-639.749135691333 104.646678780855 -461.932686732437</t>
  </si>
  <si>
    <t>-649.062988576479 94.9890533864464 -570.628676175199</t>
  </si>
  <si>
    <t>-650.811218750951 84.1894464057868 -679.601957445043</t>
  </si>
  <si>
    <t>-645.36350672215 67.8787164757096 -830.943488493656</t>
  </si>
  <si>
    <t>-611.358867170516 42.0710114205156 -923.467185840005</t>
  </si>
  <si>
    <t>-635.021309962992 104.097627938059 -766.646193114103</t>
  </si>
  <si>
    <t>-555.210359677217 227.289718765676 -757.934951985063</t>
  </si>
  <si>
    <t>-456.908035824912 148.737415741807 -467.500120174373</t>
  </si>
  <si>
    <t>-290.003928732375 23.815288502622 -312.002467576386</t>
  </si>
  <si>
    <t>-660.526511811587 46.0938824597422 -761.312917989047</t>
  </si>
  <si>
    <t>-555.854755620846 213.087933752136 -242.245990758107</t>
  </si>
  <si>
    <t>-570.917702321221 191.781746906439 212.701038795962</t>
  </si>
  <si>
    <t>-631.564186132741 164.333959632756 678.02244847301</t>
  </si>
  <si>
    <t>-496.305370408445 94.0721908376024 765.839549313652</t>
  </si>
  <si>
    <t>-611.933612202087 30.3006112312285 -212.079161742923</t>
  </si>
  <si>
    <t>-453.721240204477 -83.002237935608 199.975364509896</t>
  </si>
  <si>
    <t>-548.584603016535 -26.6624073864332 656.625995078651</t>
  </si>
  <si>
    <t>-493.938243870709 -168.098010117061 745.806872435221</t>
  </si>
  <si>
    <t>9763-20170724T160551.896810200.bin</t>
  </si>
  <si>
    <t>-583.358361660435 122.728622280448 -227.228420395777</t>
  </si>
  <si>
    <t>-620.287716389666 115.199489827786 -342.325547681558</t>
  </si>
  <si>
    <t>-638.982756759404 105.487970096782 -461.685180552389</t>
  </si>
  <si>
    <t>-648.264445913377 95.5779671944517 -570.361348863663</t>
  </si>
  <si>
    <t>-650.002891148125 84.4512837693667 -679.30181806723</t>
  </si>
  <si>
    <t>-644.567133496407 67.6067520182719 -830.585303997175</t>
  </si>
  <si>
    <t>-610.630296524173 41.3971109084148 -923.020945507822</t>
  </si>
  <si>
    <t>-634.190931540561 104.039795021992 -766.414528346046</t>
  </si>
  <si>
    <t>-554.190681532319 227.159971895696 -758.172923368849</t>
  </si>
  <si>
    <t>-454.985381794872 149.498318525867 -467.805559511112</t>
  </si>
  <si>
    <t>-285.782821939055 27.9387281148815 -312.126978435245</t>
  </si>
  <si>
    <t>-659.753626971061 46.0800987417808 -760.879575946699</t>
  </si>
  <si>
    <t>-555.267769718338 214.113411364152 -241.941181198051</t>
  </si>
  <si>
    <t>-570.701780888923 192.368484679032 212.97264954625</t>
  </si>
  <si>
    <t>-631.738996704835 164.370479911984 678.247805150223</t>
  </si>
  <si>
    <t>-496.305256983883 94.1426505381214 765.822145994546</t>
  </si>
  <si>
    <t>-611.322339894913 31.3493512244638 -211.840952344383</t>
  </si>
  <si>
    <t>-453.235305209987 -82.2807306613986 200.171632452248</t>
  </si>
  <si>
    <t>-548.563323950875 -26.72029538417 656.807447006383</t>
  </si>
  <si>
    <t>-493.858719241517 -168.145743454053 745.96896640396</t>
  </si>
  <si>
    <t>9763-20170724T160551.924884200.bin</t>
  </si>
  <si>
    <t>-583.10466717247 123.330045901 -227.083051735166</t>
  </si>
  <si>
    <t>-619.986103867565 115.807786911401 -342.196010934926</t>
  </si>
  <si>
    <t>-638.698925470073 105.982802138451 -461.543699872293</t>
  </si>
  <si>
    <t>-648.025359716588 95.9224690558262 -570.202172309565</t>
  </si>
  <si>
    <t>-649.838910153656 84.5974861966051 -679.120881028947</t>
  </si>
  <si>
    <t>-644.539817081122 67.4279808324841 -830.37284233845</t>
  </si>
  <si>
    <t>-610.635845245794 41.0255259048351 -922.76548537677</t>
  </si>
  <si>
    <t>-634.085790988303 103.990079371785 -766.288087426164</t>
  </si>
  <si>
    <t>-554.04876613698 227.102099977351 -758.305492767158</t>
  </si>
  <si>
    <t>-454.504553412632 149.571469745451 -468.019147758901</t>
  </si>
  <si>
    <t>-285.271785690534 28.1678034484021 -312.251837904619</t>
  </si>
  <si>
    <t>-659.68314242824 46.0599143787231 -760.608837759747</t>
  </si>
  <si>
    <t>-554.984909423808 214.723745382035 -241.763021732705</t>
  </si>
  <si>
    <t>-570.568557840639 192.680104344958 213.131379611148</t>
  </si>
  <si>
    <t>-631.823030939338 164.398355113357 678.348852122829</t>
  </si>
  <si>
    <t>-496.317008219519 94.1600342578176 765.802864840857</t>
  </si>
  <si>
    <t>-611.112429028435 31.964351067928 -211.714972726347</t>
  </si>
  <si>
    <t>-453.122504148561 -81.9148944468902 200.266035092039</t>
  </si>
  <si>
    <t>-548.549759480906 -26.7528479528642 656.913576593839</t>
  </si>
  <si>
    <t>-493.842769651808 -168.179869401869 746.07104580796</t>
  </si>
  <si>
    <t>9763-20170724T160551.995748300.bin</t>
  </si>
  <si>
    <t>-582.521878559821 124.569393791429 -226.836892994917</t>
  </si>
  <si>
    <t>-619.265982005109 117.018487509446 -341.991827774488</t>
  </si>
  <si>
    <t>-637.973885351679 106.953990019866 -461.320279425455</t>
  </si>
  <si>
    <t>-647.355151670687 96.5901916659132 -569.945480130296</t>
  </si>
  <si>
    <t>-649.285100590879 84.874567807145 -678.821017349101</t>
  </si>
  <si>
    <t>-644.214115618131 67.0704827831801 -830.007364006904</t>
  </si>
  <si>
    <t>-610.368382218235 40.4283536543601 -922.352534378439</t>
  </si>
  <si>
    <t>-633.626000218457 103.884956737373 -766.089236525656</t>
  </si>
  <si>
    <t>-553.357719763399 226.864792848986 -758.728754810488</t>
  </si>
  <si>
    <t>-453.25304472413 150.306876070497 -468.376998594569</t>
  </si>
  <si>
    <t>-286.36880068026 25.9178201098059 -312.43128677148</t>
  </si>
  <si>
    <t>-659.289674512524 46.0115951137016 -760.13475936807</t>
  </si>
  <si>
    <t>-554.332438921469 215.993332292801 -241.517897881313</t>
  </si>
  <si>
    <t>-570.277914997776 193.366030329711 213.335156891368</t>
  </si>
  <si>
    <t>-631.877140725258 164.447312928767 678.418641129966</t>
  </si>
  <si>
    <t>-496.276712886553 94.2717537748124 765.776671984819</t>
  </si>
  <si>
    <t>-610.548914549728 33.1798668683209 -211.506962129948</t>
  </si>
  <si>
    <t>-452.953404107755 -81.1842311452151 200.490805691625</t>
  </si>
  <si>
    <t>-548.599508409994 -26.8149167994793 657.192883238187</t>
  </si>
  <si>
    <t>-493.786904005692 -168.228391857304 746.306996623121</t>
  </si>
  <si>
    <t>9763-20170724T160552.024825500.bin</t>
  </si>
  <si>
    <t>-582.255622143946 125.215220167764 -226.745524056194</t>
  </si>
  <si>
    <t>-618.949870871559 117.684935526729 -341.917732585471</t>
  </si>
  <si>
    <t>-637.667135450127 107.562204149658 -461.239914811244</t>
  </si>
  <si>
    <t>-647.082866926493 97.1134914232073 -569.853896495564</t>
  </si>
  <si>
    <t>-649.074151289722 85.2806164470912 -678.715631100072</t>
  </si>
  <si>
    <t>-644.117364553392 67.2794160887368 -829.882423426277</t>
  </si>
  <si>
    <t>-610.287151598235 40.5824929256164 -922.217527694095</t>
  </si>
  <si>
    <t>-633.467494609202 104.171326112632 -766.019293730455</t>
  </si>
  <si>
    <t>-553.10490144545 227.111300423368 -758.826201166321</t>
  </si>
  <si>
    <t>-452.832003956675 150.714325690967 -468.489994524624</t>
  </si>
  <si>
    <t>-286.725225021816 25.6678516980119 -312.240332525884</t>
  </si>
  <si>
    <t>-659.153607140114 46.3175371066282 -759.972263561035</t>
  </si>
  <si>
    <t>-554.041064002632 216.69108921014 -241.417616989531</t>
  </si>
  <si>
    <t>-570.133067951241 193.780479177154 213.416256719089</t>
  </si>
  <si>
    <t>-631.859563669534 164.521765715714 678.445005959187</t>
  </si>
  <si>
    <t>-496.28405065858 94.2732977911883 765.783162021714</t>
  </si>
  <si>
    <t>-610.323924355387 33.8064989741977 -211.424923339297</t>
  </si>
  <si>
    <t>-452.917049432518 -80.8455551381849 200.564961634539</t>
  </si>
  <si>
    <t>-548.61657816954 -26.8396204995549 657.318356280999</t>
  </si>
  <si>
    <t>-493.750881603099 -168.251992949907 746.401523733929</t>
  </si>
  <si>
    <t>9763-20170724T160552.091011800.bin</t>
  </si>
  <si>
    <t>-581.797888502105 126.517159480179 -226.565372663058</t>
  </si>
  <si>
    <t>-618.425250176001 118.990964073834 -341.759139570394</t>
  </si>
  <si>
    <t>-637.140205757953 108.751864821871 -461.071719536782</t>
  </si>
  <si>
    <t>-646.582749325173 98.1492709038007 -569.668545282609</t>
  </si>
  <si>
    <t>-648.631201173956 86.1138577142503 -678.506965633561</t>
  </si>
  <si>
    <t>-643.786365144126 67.7808225504023 -829.637431254294</t>
  </si>
  <si>
    <t>-610.017379499871 41.0274236739115 -921.978669702909</t>
  </si>
  <si>
    <t>-633.067739719552 104.803405010845 -765.861633243163</t>
  </si>
  <si>
    <t>-552.66509941107 227.72919374338 -758.908824433472</t>
  </si>
  <si>
    <t>-451.676274604217 151.740440031833 -468.713652888454</t>
  </si>
  <si>
    <t>-286.347894030667 25.961476114315 -312.22659688241</t>
  </si>
  <si>
    <t>-658.79238665445 46.981816107831 -759.67206815502</t>
  </si>
  <si>
    <t>-553.494989685788 218.012131531246 -241.241507509765</t>
  </si>
  <si>
    <t>-569.92999178189 194.635515191689 213.556347603065</t>
  </si>
  <si>
    <t>-631.835812270719 164.612324809723 678.478993806652</t>
  </si>
  <si>
    <t>-496.253020617152 94.361025029737 765.803535239664</t>
  </si>
  <si>
    <t>-609.970920093783 35.0421435963965 -211.200396071527</t>
  </si>
  <si>
    <t>-452.950294455632 -80.163362698094 200.782468945676</t>
  </si>
  <si>
    <t>-548.724480186434 -26.8081991579215 657.636205154591</t>
  </si>
  <si>
    <t>-493.629872833768 -168.259574494429 746.515851103865</t>
  </si>
  <si>
    <t>9763-20170724T160552.124096400.bin</t>
  </si>
  <si>
    <t>-581.559624698559 127.00114897087 -226.448426181805</t>
  </si>
  <si>
    <t>-618.178489629389 119.477090753107 -341.64510796423</t>
  </si>
  <si>
    <t>-636.901434381721 109.1922584149 -460.952260345429</t>
  </si>
  <si>
    <t>-646.358720207901 98.5291268177493 -569.541961493211</t>
  </si>
  <si>
    <t>-648.429958898085 86.4140584378226 -678.371165455093</t>
  </si>
  <si>
    <t>-643.625574550131 67.950504177981 -829.487012479689</t>
  </si>
  <si>
    <t>-609.883700318061 41.1804784159631 -921.83337329083</t>
  </si>
  <si>
    <t>-632.881879233515 105.024653408355 -765.745482976143</t>
  </si>
  <si>
    <t>-552.377076270493 227.894719300309 -758.901914360585</t>
  </si>
  <si>
    <t>-451.063407795454 152.009459728793 -468.792951424872</t>
  </si>
  <si>
    <t>-286.635777795469 25.2315395610362 -312.162919068939</t>
  </si>
  <si>
    <t>-658.620772722322 47.2155523660351 -759.500499050483</t>
  </si>
  <si>
    <t>-553.183494603667 218.479005149202 -241.148755773873</t>
  </si>
  <si>
    <t>-569.748329945235 194.89561080573 213.633758985193</t>
  </si>
  <si>
    <t>-631.853827956139 164.623245499185 678.517706332495</t>
  </si>
  <si>
    <t>-496.246297174452 94.3961088189442 765.823263311793</t>
  </si>
  <si>
    <t>-609.815952320831 35.5165144564426 -211.064420657848</t>
  </si>
  <si>
    <t>-453.129987717393 -80.0078511178403 200.956554930612</t>
  </si>
  <si>
    <t>-548.862306540899 -26.734216663089 657.880583952606</t>
  </si>
  <si>
    <t>-493.555260709644 -168.245028451317 746.533560395138</t>
  </si>
  <si>
    <t>9763-20170724T160552.189275600.bin</t>
  </si>
  <si>
    <t>-581.247435379999 127.602990649352 -226.197225717935</t>
  </si>
  <si>
    <t>-617.854996133021 120.065043571046 -341.396590333542</t>
  </si>
  <si>
    <t>-636.624234107152 109.752693866566 -460.694244666832</t>
  </si>
  <si>
    <t>-646.14741541738 99.0589698152187 -569.275031738145</t>
  </si>
  <si>
    <t>-648.308768827078 86.9074324186813 -678.098363861831</t>
  </si>
  <si>
    <t>-643.654968191977 68.3867358821808 -829.211952670943</t>
  </si>
  <si>
    <t>-609.973283745034 41.6705716650531 -921.595767883688</t>
  </si>
  <si>
    <t>-632.830383891983 105.477382841558 -765.493690084997</t>
  </si>
  <si>
    <t>-552.140805895117 228.220734867582 -758.75428405822</t>
  </si>
  <si>
    <t>-450.139590162719 152.440306362109 -468.859086420942</t>
  </si>
  <si>
    <t>-291.808390057903 15.5643520094768 -314.462509325806</t>
  </si>
  <si>
    <t>-658.597930853032 47.6856987578922 -759.204144905163</t>
  </si>
  <si>
    <t>-552.722825689627 219.054478850387 -240.898495510409</t>
  </si>
  <si>
    <t>-569.441878246792 195.073442743077 213.857512608504</t>
  </si>
  <si>
    <t>-631.973136897343 164.628225068567 678.669409650927</t>
  </si>
  <si>
    <t>-496.214502576071 94.5305049497924 765.844027378846</t>
  </si>
  <si>
    <t>-609.68657332964 36.1154110995451 -210.795336514849</t>
  </si>
  <si>
    <t>-453.942797380543 -80.1942074436854 201.361914056383</t>
  </si>
  <si>
    <t>-549.258222857847 -26.6058764244276 658.418451064577</t>
  </si>
  <si>
    <t>-493.40661733584 -168.228060737737 746.550567176791</t>
  </si>
  <si>
    <t>9763-20170724T160552.223378000.bin</t>
  </si>
  <si>
    <t>-581.139781324442 127.712860964642 -226.072202667236</t>
  </si>
  <si>
    <t>-617.681257221184 120.189052225734 -341.293404041531</t>
  </si>
  <si>
    <t>-636.41916582353 109.895069752421 -460.597610912875</t>
  </si>
  <si>
    <t>-645.928923021965 99.2192635647621 -569.181381550211</t>
  </si>
  <si>
    <t>-648.092082049088 87.0866355865542 -678.006822737992</t>
  </si>
  <si>
    <t>-643.456715707903 68.5930740181068 -829.124339628703</t>
  </si>
  <si>
    <t>-609.803439529706 41.9196481143108 -921.530931218202</t>
  </si>
  <si>
    <t>-632.610667701364 105.6663002137 -765.399437432528</t>
  </si>
  <si>
    <t>-551.764934346154 228.314695712701 -758.659504327943</t>
  </si>
  <si>
    <t>-450.244541722193 152.659484139215 -468.56276991974</t>
  </si>
  <si>
    <t>-293.575495112359 13.5405971747405 -314.475860575977</t>
  </si>
  <si>
    <t>-658.404787646097 47.8854803055096 -759.119492162621</t>
  </si>
  <si>
    <t>-552.54872326927 219.124530846093 -240.753684936756</t>
  </si>
  <si>
    <t>-569.325729683466 194.979748885739 213.991545721732</t>
  </si>
  <si>
    <t>-632.09339413869 164.572897594053 678.768385171379</t>
  </si>
  <si>
    <t>-496.193947815517 94.6186049323505 765.838746306281</t>
  </si>
  <si>
    <t>-609.599104943174 36.2911272673268 -210.707075739513</t>
  </si>
  <si>
    <t>-454.378485583942 -80.5679517778387 201.492193070645</t>
  </si>
  <si>
    <t>-549.380822325706 -26.5792392697667 658.590221269497</t>
  </si>
  <si>
    <t>-493.372245447971 -168.24767247893 746.548260366798</t>
  </si>
  <si>
    <t>9763-20170724T160552.293560500.bin</t>
  </si>
  <si>
    <t>-580.793136405406 127.796329280376 -225.889213645693</t>
  </si>
  <si>
    <t>-617.360655209685 120.423320001566 -341.112025642742</t>
  </si>
  <si>
    <t>-636.049917702562 110.376127740003 -460.444850001426</t>
  </si>
  <si>
    <t>-645.483021792756 99.9625250990975 -569.06079229443</t>
  </si>
  <si>
    <t>-647.535911976189 88.1311979225272 -677.921389473355</t>
  </si>
  <si>
    <t>-642.711164894623 70.0976539173782 -829.088643122602</t>
  </si>
  <si>
    <t>-609.041801089687 43.6494773389566 -921.554077947278</t>
  </si>
  <si>
    <t>-631.947017455801 106.977630222631 -765.237890099579</t>
  </si>
  <si>
    <t>-551.006346665084 229.545678475034 -758.074366819968</t>
  </si>
  <si>
    <t>-450.501171341883 153.02949321093 -467.849908320059</t>
  </si>
  <si>
    <t>-297.714384555024 6.9838875087346 -316.294804495682</t>
  </si>
  <si>
    <t>-657.74491735498 49.1762436174406 -759.165873908557</t>
  </si>
  <si>
    <t>-552.12398787577 219.16141639084 -240.495618724505</t>
  </si>
  <si>
    <t>-568.791380145413 194.637736649079 214.233344319111</t>
  </si>
  <si>
    <t>-632.24398063409 164.577937878793 678.920744652505</t>
  </si>
  <si>
    <t>-496.218623671294 94.6643934227995 765.827098305246</t>
  </si>
  <si>
    <t>-609.289537479514 36.516323250497 -210.584775799941</t>
  </si>
  <si>
    <t>-454.959324745079 -81.2609723349824 201.687387429824</t>
  </si>
  <si>
    <t>-549.416848693627 -26.5450506861212 658.75548315739</t>
  </si>
  <si>
    <t>-493.592879914685 -168.367120507517 746.583207558783</t>
  </si>
  <si>
    <t>9763-20170724T160552.326649400.bin</t>
  </si>
  <si>
    <t>-580.625335951493 127.770299803446 -225.849967630657</t>
  </si>
  <si>
    <t>-617.282103501665 120.479331733282 -341.04942689128</t>
  </si>
  <si>
    <t>-636.001709799239 110.560976174351 -460.388368128604</t>
  </si>
  <si>
    <t>-645.436586244547 100.283183491975 -569.017094042228</t>
  </si>
  <si>
    <t>-647.464448330427 88.6076936097729 -677.895076937599</t>
  </si>
  <si>
    <t>-642.576391688856 70.8120056253624 -829.088432181525</t>
  </si>
  <si>
    <t>-608.890168308052 44.4660081054142 -921.576866066716</t>
  </si>
  <si>
    <t>-631.856252003878 107.599081697697 -765.176692736485</t>
  </si>
  <si>
    <t>-550.976636292498 230.197885545708 -757.800169085726</t>
  </si>
  <si>
    <t>-451.039746466912 152.91093374034 -467.58371037299</t>
  </si>
  <si>
    <t>-299.835695454113 3.65753866224736 -317.574494832955</t>
  </si>
  <si>
    <t>-657.622007892675 49.773181985769 -759.203434969631</t>
  </si>
  <si>
    <t>-551.994993947108 219.107098914925 -240.40691985116</t>
  </si>
  <si>
    <t>-568.398439986129 194.339096909147 214.318418158929</t>
  </si>
  <si>
    <t>-632.304892277631 164.576610208607 678.977069902689</t>
  </si>
  <si>
    <t>-496.220171421473 94.6980242629638 765.818503199436</t>
  </si>
  <si>
    <t>-609.088593709827 36.529740269541 -210.587970652949</t>
  </si>
  <si>
    <t>-455.092881146286 -81.489162835167 201.740266079516</t>
  </si>
  <si>
    <t>-549.401333379408 -26.5541858008701 658.806136474404</t>
  </si>
  <si>
    <t>-493.72925305887 -168.443078361411 746.622311988879</t>
  </si>
  <si>
    <t>9763-20170724T160552.412889700.bin</t>
  </si>
  <si>
    <t>-580.611499528584 127.413318041799 -225.881200911555</t>
  </si>
  <si>
    <t>-617.627816893849 120.365585932474 -340.980810312593</t>
  </si>
  <si>
    <t>-636.398303776154 110.928634550421 -460.350740953509</t>
  </si>
  <si>
    <t>-645.747189045546 101.169091556019 -569.034832106826</t>
  </si>
  <si>
    <t>-647.554710504812 90.0873746684083 -677.978628232315</t>
  </si>
  <si>
    <t>-642.220191856685 73.1884117997661 -829.259813641217</t>
  </si>
  <si>
    <t>-608.274415644783 47.308967142701 -921.78507880562</t>
  </si>
  <si>
    <t>-631.674617823668 109.589274533499 -765.098447019453</t>
  </si>
  <si>
    <t>-550.513553801277 231.93370687255 -756.725495314659</t>
  </si>
  <si>
    <t>-451.548976354483 151.652481880119 -466.989167433007</t>
  </si>
  <si>
    <t>-657.48657998032 51.7419691943226 -759.546776391689</t>
  </si>
  <si>
    <t>-413.378927368403 0.211638756710272 -374.800163140002</t>
  </si>
  <si>
    <t>-552.281704194066 218.768900438833 -240.279109904582</t>
  </si>
  <si>
    <t>-567.258293277172 193.321065804073 214.457990158163</t>
  </si>
  <si>
    <t>-632.398386060706 164.528017910398 679.007058914624</t>
  </si>
  <si>
    <t>-496.138612897617 94.924756905579 765.795121515731</t>
  </si>
  <si>
    <t>-608.778442707315 36.1502941909262 -210.817840477317</t>
  </si>
  <si>
    <t>-455.219686225582 -81.4271607443598 201.799325598001</t>
  </si>
  <si>
    <t>-549.409537499482 -26.7169750144321 658.84026284757</t>
  </si>
  <si>
    <t>-493.712852269914 -168.552072901394 746.727753507817</t>
  </si>
  <si>
    <t>9763-20170724T160552.430940900.bin</t>
  </si>
  <si>
    <t>-580.694014515206 127.284241971654 -225.913226032777</t>
  </si>
  <si>
    <t>-617.779908162441 120.283121237259 -340.9932760693</t>
  </si>
  <si>
    <t>-636.532899059411 110.936100961447 -460.373099987232</t>
  </si>
  <si>
    <t>-645.828880821263 101.271922473574 -569.070164821665</t>
  </si>
  <si>
    <t>-647.546696299321 90.2967243517401 -678.026293637136</t>
  </si>
  <si>
    <t>-642.049007143235 73.5558110078466 -829.319116045304</t>
  </si>
  <si>
    <t>-608.01422858922 47.7693688948377 -921.837665634685</t>
  </si>
  <si>
    <t>-631.560860679309 109.884611941675 -765.107310371706</t>
  </si>
  <si>
    <t>-550.256237780084 232.114937855061 -756.503345547899</t>
  </si>
  <si>
    <t>-451.573161727051 151.276878017951 -466.825937843926</t>
  </si>
  <si>
    <t>-657.40221958443 52.0417432507363 -759.645990182785</t>
  </si>
  <si>
    <t>-552.448828716977 218.658918283294 -240.272967785059</t>
  </si>
  <si>
    <t>-567.129460213358 193.095288875033 214.467247352744</t>
  </si>
  <si>
    <t>-632.460065844534 164.414337209106 678.9959683514</t>
  </si>
  <si>
    <t>-496.16268271256 94.8940450144928 765.791479529794</t>
  </si>
  <si>
    <t>-608.800079152208 35.9763423112361 -210.892438922208</t>
  </si>
  <si>
    <t>-455.222250753337 -81.3546285650211 201.78774786457</t>
  </si>
  <si>
    <t>-549.411707096931 -26.8032103900605 658.816457449207</t>
  </si>
  <si>
    <t>-493.642828497384 -168.570741474031 746.767151312276</t>
  </si>
  <si>
    <t>9763-20170724T160552.489921500.bin</t>
  </si>
  <si>
    <t>-581.097276932869 126.817665117658 -226.017195811925</t>
  </si>
  <si>
    <t>-618.512902371524 120.01072401959 -341.002188668349</t>
  </si>
  <si>
    <t>-637.199322857036 111.126102347567 -460.427638355134</t>
  </si>
  <si>
    <t>-646.266897083056 101.972022945884 -569.188144726993</t>
  </si>
  <si>
    <t>-647.585676332776 91.5900971834035 -678.207888118248</t>
  </si>
  <si>
    <t>-641.355665198503 75.7519656466834 -829.569598088714</t>
  </si>
  <si>
    <t>-606.978291053894 50.4293812058004 -922.089572178857</t>
  </si>
  <si>
    <t>-631.108408533063 111.665814331515 -765.08620804848</t>
  </si>
  <si>
    <t>-549.168016928209 233.365769451 -755.28045139053</t>
  </si>
  <si>
    <t>-451.892275548048 150.058787062938 -465.826539736696</t>
  </si>
  <si>
    <t>-657.11607158095 53.853902978304 -760.107213160523</t>
  </si>
  <si>
    <t>-552.998157470857 218.470612253142 -240.281492827731</t>
  </si>
  <si>
    <t>-566.996227880965 192.662615265451 214.46643443842</t>
  </si>
  <si>
    <t>-632.471344412181 164.3886479815 678.973561346002</t>
  </si>
  <si>
    <t>-496.123877565755 94.9985505626989 765.794595878354</t>
  </si>
  <si>
    <t>-609.087931351644 35.2497333638989 -211.092876930379</t>
  </si>
  <si>
    <t>-455.142922073883 -81.1340509234346 201.718744919877</t>
  </si>
  <si>
    <t>-549.425359566739 -27.0121236037496 658.8497162016</t>
  </si>
  <si>
    <t>-493.293123297613 -168.572975270082 746.901977848223</t>
  </si>
  <si>
    <t>9763-20170724T160552.528014400.bin</t>
  </si>
  <si>
    <t>-581.431734933734 126.655078150261 -226.054566536795</t>
  </si>
  <si>
    <t>-618.934046753325 119.929320188321 -341.016030882415</t>
  </si>
  <si>
    <t>-637.49479136877 111.293495728178 -460.479314264027</t>
  </si>
  <si>
    <t>-646.358334741552 102.426241720261 -569.280343150583</t>
  </si>
  <si>
    <t>-647.381651396903 92.3893781249321 -678.335695465914</t>
  </si>
  <si>
    <t>-640.645451882132 77.0884363292107 -829.730894885234</t>
  </si>
  <si>
    <t>-606.037530390682 52.0169165456948 -922.23328681196</t>
  </si>
  <si>
    <t>-630.569809074812 112.753471655817 -765.082585518608</t>
  </si>
  <si>
    <t>-548.357161032208 234.203272900722 -754.514281682074</t>
  </si>
  <si>
    <t>-451.579474736013 149.453993572535 -465.312354728141</t>
  </si>
  <si>
    <t>-656.682210693781 54.9637893314414 -760.403849282649</t>
  </si>
  <si>
    <t>-553.263718500297 218.411640016259 -240.326610614368</t>
  </si>
  <si>
    <t>-567.270232150045 192.790525264267 214.431589029758</t>
  </si>
  <si>
    <t>-632.400453130279 164.420246707593 678.91576658314</t>
  </si>
  <si>
    <t>-496.146600422362 94.9487746879329 765.818668254793</t>
  </si>
  <si>
    <t>-609.494302122734 34.9951307169458 -211.083824763877</t>
  </si>
  <si>
    <t>-455.266367538125 -81.182785791759 201.680140737647</t>
  </si>
  <si>
    <t>-549.481476712082 -27.0560453416333 658.878239344554</t>
  </si>
  <si>
    <t>-493.178735931795 -168.581975827702 746.877719976838</t>
  </si>
  <si>
    <t>9763-20170724T160552.588059800.bin</t>
  </si>
  <si>
    <t>-582.12180300246 126.454469148159 -226.229232531691</t>
  </si>
  <si>
    <t>-619.715672890475 119.918166358874 -341.171718376647</t>
  </si>
  <si>
    <t>-637.965217575276 111.78095606938 -460.718039076139</t>
  </si>
  <si>
    <t>-646.376602945976 103.482846382805 -569.599711095789</t>
  </si>
  <si>
    <t>-646.77421582363 94.1306251523702 -678.72003181287</t>
  </si>
  <si>
    <t>-638.986936862675 79.8985336838718 -830.169132323186</t>
  </si>
  <si>
    <t>-603.934611777949 55.3096451131357 -922.633590166752</t>
  </si>
  <si>
    <t>-629.272036792559 115.066250871366 -765.193923072192</t>
  </si>
  <si>
    <t>-546.565284185058 236.056025553894 -753.051729644348</t>
  </si>
  <si>
    <t>-450.201691339955 148.638186547 -464.506451473663</t>
  </si>
  <si>
    <t>-655.593113864004 57.3253154438885 -761.121212824276</t>
  </si>
  <si>
    <t>-553.571317547454 218.419679167615 -240.617479513759</t>
  </si>
  <si>
    <t>-568.038397742682 193.511810574791 214.165914866267</t>
  </si>
  <si>
    <t>-631.945000427027 164.66359913981 678.591757160996</t>
  </si>
  <si>
    <t>-496.189182374989 94.7910166368911 765.95129534539</t>
  </si>
  <si>
    <t>-610.518041209973 34.5639062552871 -211.171558373609</t>
  </si>
  <si>
    <t>-455.875493595605 -81.670319578189 201.421436098478</t>
  </si>
  <si>
    <t>-549.558339174612 -27.0677995059075 658.720131469173</t>
  </si>
  <si>
    <t>-493.263089878935 -168.65106809647 746.632153921162</t>
  </si>
  <si>
    <t>9763-20170724T160552.626165100.bin</t>
  </si>
  <si>
    <t>-582.380460015025 126.117429558688 -226.471112772734</t>
  </si>
  <si>
    <t>-619.971318630681 119.706353446574 -341.421525963665</t>
  </si>
  <si>
    <t>-638.090035172735 111.791507332438 -461.002649298089</t>
  </si>
  <si>
    <t>-646.3289603823 103.732905066404 -569.915621212026</t>
  </si>
  <si>
    <t>-646.49941895914 94.6581475751379 -679.059938533483</t>
  </si>
  <si>
    <t>-638.33905722593 80.8512020166229 -830.528666614259</t>
  </si>
  <si>
    <t>-603.108471904541 56.4700281011449 -922.980598759322</t>
  </si>
  <si>
    <t>-628.747176216722 115.819582283478 -765.427731692734</t>
  </si>
  <si>
    <t>-545.946127077669 236.68485084355 -752.656194238289</t>
  </si>
  <si>
    <t>-448.754440493803 148.440903948527 -464.640665061036</t>
  </si>
  <si>
    <t>-655.152393045775 58.1010651245999 -761.589049215077</t>
  </si>
  <si>
    <t>-553.603249525227 218.068750792235 -240.866087765468</t>
  </si>
  <si>
    <t>-568.141041453773 193.482056042378 213.932463330432</t>
  </si>
  <si>
    <t>-631.707220212875 164.757116599859 678.432448184037</t>
  </si>
  <si>
    <t>-496.213195211859 94.687528726457 766.040328864853</t>
  </si>
  <si>
    <t>-610.98443808535 34.174063876397 -211.416314574716</t>
  </si>
  <si>
    <t>-456.388578989413 -82.1237041702534 201.176258171345</t>
  </si>
  <si>
    <t>-549.593386553519 -27.0594815739073 658.560645191157</t>
  </si>
  <si>
    <t>-493.430092822128 -168.715068957727 746.440621802594</t>
  </si>
  <si>
    <t>9763-20170724T160552.688336100.bin</t>
  </si>
  <si>
    <t>-582.589659559919 124.87069319135 -226.929972557423</t>
  </si>
  <si>
    <t>-620.164764868084 118.831503111494 -341.905837226524</t>
  </si>
  <si>
    <t>-638.063342128382 111.357984561052 -461.5484343205</t>
  </si>
  <si>
    <t>-646.018478717918 103.722286821478 -570.51292492139</t>
  </si>
  <si>
    <t>-645.820055520506 95.0929818211798 -679.693224480286</t>
  </si>
  <si>
    <t>-637.059412471778 81.9267955596831 -831.185496842135</t>
  </si>
  <si>
    <t>-601.484466281994 57.8634204470902 -923.588676349202</t>
  </si>
  <si>
    <t>-627.64547569002 116.582922154073 -765.891970271699</t>
  </si>
  <si>
    <t>-544.621867143328 237.192745689977 -752.349177787723</t>
  </si>
  <si>
    <t>-446.451558666152 148.029724137505 -464.949104551392</t>
  </si>
  <si>
    <t>-654.22605940269 58.9218300015314 -762.417793373865</t>
  </si>
  <si>
    <t>-553.5480605071 216.641029698495 -241.10544309761</t>
  </si>
  <si>
    <t>-568.037866037275 192.532025930127 213.720272798071</t>
  </si>
  <si>
    <t>-631.640130936115 164.748773409958 678.431605768903</t>
  </si>
  <si>
    <t>-496.287511858417 94.5335835820204 766.141441983826</t>
  </si>
  <si>
    <t>-611.476593623958 33.0780165587157 -212.061217881375</t>
  </si>
  <si>
    <t>-457.452112540521 -83.231094996059 200.741833213204</t>
  </si>
  <si>
    <t>-549.687673284129 -27.0513138351996 658.229322942367</t>
  </si>
  <si>
    <t>-493.840476210196 -168.856113563978 746.07006728432</t>
  </si>
  <si>
    <t>9763-20170724T160552.722427100.bin</t>
  </si>
  <si>
    <t>-582.618212859365 124.073392201596 -227.118746192939</t>
  </si>
  <si>
    <t>-620.14738322438 118.246140721973 -342.120633364138</t>
  </si>
  <si>
    <t>-637.948018824905 110.982896516804 -461.790724122765</t>
  </si>
  <si>
    <t>-645.793853445374 103.535113749865 -570.776206083791</t>
  </si>
  <si>
    <t>-645.46552476801 95.091359223316 -679.970706167233</t>
  </si>
  <si>
    <t>-636.503438830438 82.1801285559261 -831.473064761305</t>
  </si>
  <si>
    <t>-600.809911054735 58.2310604312781 -923.860452593094</t>
  </si>
  <si>
    <t>-627.138471908493 116.709050356572 -766.105200633507</t>
  </si>
  <si>
    <t>-544.057181270497 237.26146525793 -752.282738654748</t>
  </si>
  <si>
    <t>-445.538266134015 147.848473942792 -465.079713437207</t>
  </si>
  <si>
    <t>-653.799330154604 59.0768115038813 -762.770897623895</t>
  </si>
  <si>
    <t>-553.481454561188 215.665765365765 -241.102106022629</t>
  </si>
  <si>
    <t>-567.893418076408 191.80013642438 213.738896070816</t>
  </si>
  <si>
    <t>-631.768339482994 164.642502363734 678.516623947079</t>
  </si>
  <si>
    <t>-496.305501643697 94.5188366047087 766.129436440602</t>
  </si>
  <si>
    <t>-611.631960479809 32.4506530196268 -212.419968329963</t>
  </si>
  <si>
    <t>-458.065449055135 -83.8472898549394 200.556792946015</t>
  </si>
  <si>
    <t>-549.690238065479 -27.0424375946329 658.075751610587</t>
  </si>
  <si>
    <t>-494.104292046953 -168.941890401789 745.929336667587</t>
  </si>
  <si>
    <t>9763-20170724T160552.795207700.bin</t>
  </si>
  <si>
    <t>-582.509561447546 122.281289562011 -227.257178055576</t>
  </si>
  <si>
    <t>-619.911814495646 116.783220444594 -342.316498766581</t>
  </si>
  <si>
    <t>-637.474094610283 109.856934552853 -462.041875579868</t>
  </si>
  <si>
    <t>-645.059850958203 102.713718238456 -571.066117430322</t>
  </si>
  <si>
    <t>-644.427824437183 94.5730677357606 -680.282294341854</t>
  </si>
  <si>
    <t>-634.999346865662 82.0805461423683 -831.791500261263</t>
  </si>
  <si>
    <t>-599.053751982802 58.3466247498257 -924.1365004535</t>
  </si>
  <si>
    <t>-625.767274853021 116.397313416671 -766.292976129717</t>
  </si>
  <si>
    <t>-542.591064048079 236.832851482586 -752.096003698679</t>
  </si>
  <si>
    <t>-444.819501139455 147.611147673053 -464.578299110452</t>
  </si>
  <si>
    <t>-652.575019653455 58.8189024477756 -763.213634291847</t>
  </si>
  <si>
    <t>-553.220504443721 213.417153566936 -240.925474670562</t>
  </si>
  <si>
    <t>-567.425794186263 189.934149466724 213.94203387103</t>
  </si>
  <si>
    <t>-632.215451815466 164.320816355824 678.79245013648</t>
  </si>
  <si>
    <t>-496.307966529684 94.5913762951056 766.030458286366</t>
  </si>
  <si>
    <t>-611.672633698937 31.0585167173863 -212.863145588062</t>
  </si>
  <si>
    <t>-458.981341010143 -85.2148846847426 200.44489762635</t>
  </si>
  <si>
    <t>-549.644069198598 -27.0313570223741 657.882455796606</t>
  </si>
  <si>
    <t>-494.588451067729 -169.114217265898 745.773527671964</t>
  </si>
  <si>
    <t>9763-20170724T160552.830285800.bin</t>
  </si>
  <si>
    <t>-582.445931986223 121.295035109911 -227.291405931638</t>
  </si>
  <si>
    <t>-619.837041504021 115.965830570721 -342.362324889323</t>
  </si>
  <si>
    <t>-637.308355438146 109.200674333128 -462.110086461627</t>
  </si>
  <si>
    <t>-644.779309052984 102.199110256357 -571.151450159308</t>
  </si>
  <si>
    <t>-644.000091629403 94.1960784296268 -680.376862948246</t>
  </si>
  <si>
    <t>-634.33381599917 81.8905988207805 -831.88648175051</t>
  </si>
  <si>
    <t>-598.262772388251 58.2893965616645 -924.216624065844</t>
  </si>
  <si>
    <t>-625.189484623084 116.119498110421 -766.329720069313</t>
  </si>
  <si>
    <t>-542.052624491133 236.562671651009 -751.991905962339</t>
  </si>
  <si>
    <t>-445.33812167933 147.686020642931 -464.010234923927</t>
  </si>
  <si>
    <t>-652.032176780492 58.5513171382456 -763.366700733539</t>
  </si>
  <si>
    <t>-553.144220917065 212.194010435732 -240.82142863484</t>
  </si>
  <si>
    <t>-567.054959089691 188.778719131524 214.058692939028</t>
  </si>
  <si>
    <t>-632.454093423572 164.100540091814 678.896313081664</t>
  </si>
  <si>
    <t>-496.234350716599 94.7654623793333 765.961487931891</t>
  </si>
  <si>
    <t>-611.618684830964 30.3567908032987 -213.027261958887</t>
  </si>
  <si>
    <t>-459.370806082475 -85.8809959653065 200.454302403082</t>
  </si>
  <si>
    <t>-549.631292456276 -27.0456996503181 657.852684731773</t>
  </si>
  <si>
    <t>-494.760726726181 -169.194761243069 745.752526186693</t>
  </si>
  <si>
    <t>9763-20170724T160552.890993800.bin</t>
  </si>
  <si>
    <t>-582.146167078314 119.505751516771 -227.353318132854</t>
  </si>
  <si>
    <t>-619.502063833706 114.397377844442 -342.445581310031</t>
  </si>
  <si>
    <t>-636.786770753973 107.843735983769 -462.232273324942</t>
  </si>
  <si>
    <t>-644.026795344433 101.030790811921 -571.3012169601</t>
  </si>
  <si>
    <t>-642.955040578559 93.2145045020081 -680.537622982993</t>
  </si>
  <si>
    <t>-632.818847779504 81.167743802873 -832.037355385804</t>
  </si>
  <si>
    <t>-596.518698052907 57.7915984012832 -924.334812893007</t>
  </si>
  <si>
    <t>-623.895331488421 115.292582846181 -766.396051393399</t>
  </si>
  <si>
    <t>-541.137874728679 235.989731443979 -752.011104663517</t>
  </si>
  <si>
    <t>-447.39694136643 148.110074536084 -462.743085256809</t>
  </si>
  <si>
    <t>-650.71227153635 57.7035335814646 -763.61095168304</t>
  </si>
  <si>
    <t>-552.833427510731 209.978673040633 -240.699461496719</t>
  </si>
  <si>
    <t>-566.004919606555 186.404918689335 214.194496499048</t>
  </si>
  <si>
    <t>-632.768055499043 163.692710310819 678.951740624213</t>
  </si>
  <si>
    <t>-496.08929909375 95.0650746835095 765.857885581698</t>
  </si>
  <si>
    <t>-611.263012140723 29.037551965308 -213.303896005399</t>
  </si>
  <si>
    <t>-459.803945998301 -86.933905584481 200.54199770645</t>
  </si>
  <si>
    <t>-549.691416098125 -27.1643289648237 657.865608106809</t>
  </si>
  <si>
    <t>-494.922709537241 -169.340933140018 745.784461250842</t>
  </si>
  <si>
    <t>9763-20170724T160552.923076700.bin</t>
  </si>
  <si>
    <t>-581.998892468752 118.761014690484 -227.399602556498</t>
  </si>
  <si>
    <t>-619.344292391075 113.749494869709 -342.499545272166</t>
  </si>
  <si>
    <t>-636.544786259197 107.308083221704 -462.30438216515</t>
  </si>
  <si>
    <t>-643.677965243276 100.603977374002 -571.387047128178</t>
  </si>
  <si>
    <t>-642.468673012816 92.9045167764107 -680.630500118564</t>
  </si>
  <si>
    <t>-632.109546066435 81.029151729228 -832.128522249238</t>
  </si>
  <si>
    <t>-595.679780351349 57.7772412472355 -924.406417491531</t>
  </si>
  <si>
    <t>-623.314428194908 115.094313369875 -766.438877978595</t>
  </si>
  <si>
    <t>-540.866830969173 235.994522253443 -751.976462978984</t>
  </si>
  <si>
    <t>-448.912269523515 148.516821204242 -462.014018311128</t>
  </si>
  <si>
    <t>-650.071881550693 57.4729127453061 -763.75171240936</t>
  </si>
  <si>
    <t>-552.746674704765 209.111637302481 -240.676805896743</t>
  </si>
  <si>
    <t>-565.517095920786 185.418429220818 214.222365002186</t>
  </si>
  <si>
    <t>-632.866956972594 163.509296527167 678.936673418762</t>
  </si>
  <si>
    <t>-496.016412280398 95.2115271944901 765.832310930034</t>
  </si>
  <si>
    <t>-611.043875914187 28.4912688957386 -213.452287634833</t>
  </si>
  <si>
    <t>-459.84511090589 -87.2929723601001 200.541144327612</t>
  </si>
  <si>
    <t>-549.665615206142 -27.2454507553828 657.826718409947</t>
  </si>
  <si>
    <t>-495.053032976488 -169.438079538603 745.816647587351</t>
  </si>
  <si>
    <t>9763-20170724T160552.994337100.bin</t>
  </si>
  <si>
    <t>-581.865634407354 117.676858264785 -227.57774173992</t>
  </si>
  <si>
    <t>-619.21052561312 112.776414709768 -342.682674199542</t>
  </si>
  <si>
    <t>-636.210147964881 106.456148178714 -462.522656779501</t>
  </si>
  <si>
    <t>-643.078388834441 99.8715010958736 -571.629591523662</t>
  </si>
  <si>
    <t>-641.52073728718 92.3048294688895 -680.877828962925</t>
  </si>
  <si>
    <t>-630.591105747627 80.6313349151369 -832.351475035198</t>
  </si>
  <si>
    <t>-593.808664074167 57.5695344703618 -924.537104698954</t>
  </si>
  <si>
    <t>-622.190429771518 114.675991000445 -766.599530205747</t>
  </si>
  <si>
    <t>-540.461850782112 236.054730195052 -752.001125204958</t>
  </si>
  <si>
    <t>-451.899827709579 149.45155594701 -460.723095449101</t>
  </si>
  <si>
    <t>-648.663814289049 56.9170077379731 -764.058462893614</t>
  </si>
  <si>
    <t>-552.874820501347 207.844453273472 -240.711036667855</t>
  </si>
  <si>
    <t>-564.709890178233 183.887686469969 214.199516576707</t>
  </si>
  <si>
    <t>-632.926550916271 163.346762462354 678.881358106883</t>
  </si>
  <si>
    <t>-495.901334668751 95.4471283199844 765.81375938263</t>
  </si>
  <si>
    <t>-610.69333027379 27.6292776778371 -213.776498209773</t>
  </si>
  <si>
    <t>-459.532165180818 -87.6484062325878 200.372108871311</t>
  </si>
  <si>
    <t>-549.549883431166 -27.5227315920142 657.609532678368</t>
  </si>
  <si>
    <t>-495.106953927058 -169.619540994543 745.859024126174</t>
  </si>
  <si>
    <t>9763-20170724T160553.030444100.bin</t>
  </si>
  <si>
    <t>-581.974025298395 117.276927227979 -227.68698315935</t>
  </si>
  <si>
    <t>-619.340967837501 112.401125082896 -342.785881946278</t>
  </si>
  <si>
    <t>-636.250542535534 106.142950524973 -462.641889664282</t>
  </si>
  <si>
    <t>-642.990113294649 99.6316154698218 -571.761341408465</t>
  </si>
  <si>
    <t>-641.256486849231 92.1560499849263 -681.013064702409</t>
  </si>
  <si>
    <t>-630.033239119803 80.6286197584766 -832.476466516278</t>
  </si>
  <si>
    <t>-593.01663172445 57.6974693117743 -924.600892357041</t>
  </si>
  <si>
    <t>-621.858942338535 114.654483342769 -766.686462648619</t>
  </si>
  <si>
    <t>-540.61561064227 236.320356578815 -751.95556377765</t>
  </si>
  <si>
    <t>-453.145526346127 150.539832041093 -460.104759207156</t>
  </si>
  <si>
    <t>-648.139373894633 56.8038705588597 -764.230906820828</t>
  </si>
  <si>
    <t>-553.197557222253 207.40806455159 -240.737062340333</t>
  </si>
  <si>
    <t>-564.296982281679 183.241372579776 214.181012060942</t>
  </si>
  <si>
    <t>-632.941477540311 163.298976031761 678.853203504247</t>
  </si>
  <si>
    <t>-495.824032171218 95.6130212264395 765.806827067276</t>
  </si>
  <si>
    <t>-610.568740390442 27.2922483682289 -213.96035541084</t>
  </si>
  <si>
    <t>-459.43722674517 -87.6401647495691 200.295037236589</t>
  </si>
  <si>
    <t>-549.533269550575 -27.6786864802295 657.53431904704</t>
  </si>
  <si>
    <t>-495.011890677876 -169.681931875797 745.885972415477</t>
  </si>
  <si>
    <t>9763-20170724T160553.094107400.bin</t>
  </si>
  <si>
    <t>-582.44529664961 116.597612254651 -227.91008499279</t>
  </si>
  <si>
    <t>-619.786604241927 111.669813815874 -343.015024694903</t>
  </si>
  <si>
    <t>-636.440069421202 105.451450301777 -462.908932875098</t>
  </si>
  <si>
    <t>-642.851543362403 99.0168297224111 -572.05259602807</t>
  </si>
  <si>
    <t>-640.693407300752 91.6595214619599 -681.304934297696</t>
  </si>
  <si>
    <t>-628.780519344027 80.3411157326248 -832.731436592592</t>
  </si>
  <si>
    <t>-591.194319643921 57.6838705100081 -924.692949053568</t>
  </si>
  <si>
    <t>-621.149691503563 114.384550608398 -766.885117548961</t>
  </si>
  <si>
    <t>-540.958731521294 236.741725764344 -751.947629595977</t>
  </si>
  <si>
    <t>-455.049999314307 153.114526762846 -459.010232792435</t>
  </si>
  <si>
    <t>-646.953630476283 56.3136291247308 -764.574621700729</t>
  </si>
  <si>
    <t>-554.329258709294 206.686589500744 -240.814854177695</t>
  </si>
  <si>
    <t>-564.020056525921 182.176546134822 214.117057329887</t>
  </si>
  <si>
    <t>-632.974644426758 163.151264056844 678.782437547456</t>
  </si>
  <si>
    <t>-495.594306715495 96.0693862951307 765.789190094968</t>
  </si>
  <si>
    <t>-610.412869108532 26.5495576397643 -214.357161374805</t>
  </si>
  <si>
    <t>-459.285655551208 -87.2572604420375 200.210322529847</t>
  </si>
  <si>
    <t>-549.590633133632 -27.9552955752431 657.500450159236</t>
  </si>
  <si>
    <t>-494.778296592046 -169.788283808098 745.945494538683</t>
  </si>
  <si>
    <t>9763-20170724T160553.128199800.bin</t>
  </si>
  <si>
    <t>-582.866136922607 116.388954557716 -228.04765532855</t>
  </si>
  <si>
    <t>-620.196616514526 111.437962855232 -343.155095174597</t>
  </si>
  <si>
    <t>-636.749198135103 105.236712041691 -463.063942539464</t>
  </si>
  <si>
    <t>-643.031381031226 98.8379467490947 -572.217152908071</t>
  </si>
  <si>
    <t>-640.70592057322 91.5383789962978 -681.469905335115</t>
  </si>
  <si>
    <t>-628.52071618816 80.325125262769 -832.882465446332</t>
  </si>
  <si>
    <t>-590.644864199585 57.8003202985105 -924.7576324094</t>
  </si>
  <si>
    <t>-621.145817667012 114.382969103012 -767.014604149693</t>
  </si>
  <si>
    <t>-541.515670794065 237.08758498155 -751.997580342155</t>
  </si>
  <si>
    <t>-456.43873862842 154.384900804832 -458.555310882608</t>
  </si>
  <si>
    <t>-646.678722599067 56.1903674420948 -764.759725246959</t>
  </si>
  <si>
    <t>-555.044298198661 206.578782999381 -240.877223554645</t>
  </si>
  <si>
    <t>-564.325347633334 181.999809498663 214.059524971246</t>
  </si>
  <si>
    <t>-632.978051856139 163.12839555864 678.760114278806</t>
  </si>
  <si>
    <t>-495.515691213488 96.2442856783052 765.789561536629</t>
  </si>
  <si>
    <t>-610.585980937608 26.2645133685292 -214.552839278379</t>
  </si>
  <si>
    <t>-459.381023916659 -86.9739360561746 200.141921258791</t>
  </si>
  <si>
    <t>-549.668995618614 -28.0894989091903 657.514727039018</t>
  </si>
  <si>
    <t>-494.630199076175 -169.834342336093 745.960359205347</t>
  </si>
  <si>
    <t>9763-20170724T160553.191895200.bin</t>
  </si>
  <si>
    <t>-584.187186577762 116.489984663487 -228.21985505482</t>
  </si>
  <si>
    <t>-621.417572565161 111.350087174881 -343.351472312414</t>
  </si>
  <si>
    <t>-637.661457962534 105.111306169961 -463.300491021112</t>
  </si>
  <si>
    <t>-643.577089777543 98.7443165943209 -572.476204532993</t>
  </si>
  <si>
    <t>-640.797800488442 91.5432164057015 -681.724859522656</t>
  </si>
  <si>
    <t>-627.891724566417 80.537657218608 -833.092904084957</t>
  </si>
  <si>
    <t>-589.403728179036 58.2278314557905 -924.765863696484</t>
  </si>
  <si>
    <t>-621.07039465608 114.60813262853 -767.171797368945</t>
  </si>
  <si>
    <t>-542.545864354633 237.992886834438 -751.917216690664</t>
  </si>
  <si>
    <t>-459.357307269407 157.107875963288 -457.428602760622</t>
  </si>
  <si>
    <t>-646.134146302705 56.2064099634629 -765.062728195792</t>
  </si>
  <si>
    <t>-556.814355627317 206.967369512331 -241.033178490818</t>
  </si>
  <si>
    <t>-565.622276281344 182.61192765349 213.924894063091</t>
  </si>
  <si>
    <t>-632.947057188041 163.21821703691 678.762573385984</t>
  </si>
  <si>
    <t>-495.388325543552 96.5459682740998 765.802310466903</t>
  </si>
  <si>
    <t>-611.408387656664 26.086315113798 -214.750735617622</t>
  </si>
  <si>
    <t>-459.698088167226 -86.3834424802437 199.96869211719</t>
  </si>
  <si>
    <t>-549.83905247411 -28.3496433811313 657.501468812667</t>
  </si>
  <si>
    <t>-494.350012533383 -169.925682949697 745.936204890303</t>
  </si>
  <si>
    <t>9763-20170724T160553.230991000.bin</t>
  </si>
  <si>
    <t>-584.954737670868 116.686343596471 -228.23827043551</t>
  </si>
  <si>
    <t>-622.119229692015 111.433987503178 -343.386183647747</t>
  </si>
  <si>
    <t>-638.160915783547 105.126866268704 -463.358926539438</t>
  </si>
  <si>
    <t>-643.837700634487 98.7186389131361 -572.544789417727</t>
  </si>
  <si>
    <t>-640.763821086562 91.498266063651 -681.784207372249</t>
  </si>
  <si>
    <t>-627.391528621112 80.4896389091996 -833.111653561397</t>
  </si>
  <si>
    <t>-588.617628108774 58.2247601447934 -924.675107823218</t>
  </si>
  <si>
    <t>-620.885382484002 114.608751698745 -767.183897598995</t>
  </si>
  <si>
    <t>-542.876657043441 238.321285738821 -751.856494133569</t>
  </si>
  <si>
    <t>-460.586099174927 158.406546092006 -456.851303819241</t>
  </si>
  <si>
    <t>-645.731394169122 56.1123910241147 -765.124111694414</t>
  </si>
  <si>
    <t>-557.767984216342 207.315959988377 -241.094626104995</t>
  </si>
  <si>
    <t>-566.437346749458 183.135467644097 213.87547132162</t>
  </si>
  <si>
    <t>-632.924114020007 163.320737625584 678.802162164192</t>
  </si>
  <si>
    <t>-495.325094451202 96.7001429113202 765.817787702502</t>
  </si>
  <si>
    <t>-611.944161003181 26.1170712296591 -214.759156323883</t>
  </si>
  <si>
    <t>-459.905597052609 -86.1763206115072 199.887864592729</t>
  </si>
  <si>
    <t>-549.917517201921 -28.4620529694832 657.478165795209</t>
  </si>
  <si>
    <t>-494.254603433815 -169.979293436516 745.897708734192</t>
  </si>
  <si>
    <t>9763-20170724T160553.306423200.bin</t>
  </si>
  <si>
    <t>-586.689702927654 117.391180894746 -228.327419639968</t>
  </si>
  <si>
    <t>-623.796691028463 111.919014625984 -343.483583340499</t>
  </si>
  <si>
    <t>-639.495467239332 105.428364501235 -463.491807493662</t>
  </si>
  <si>
    <t>-644.744544619337 98.874119638195 -572.690394914371</t>
  </si>
  <si>
    <t>-641.126295821546 91.5300731132945 -681.905006825429</t>
  </si>
  <si>
    <t>-626.878397998902 80.3749526227136 -833.14181215448</t>
  </si>
  <si>
    <t>-587.556333716924 58.1257589596482 -924.474943055003</t>
  </si>
  <si>
    <t>-620.945628814178 114.637917831907 -767.234431445094</t>
  </si>
  <si>
    <t>-543.937340630192 238.940178576034 -751.749135129425</t>
  </si>
  <si>
    <t>-463.061523040333 161.256058206398 -455.758441965224</t>
  </si>
  <si>
    <t>-645.419695587366 55.9835532068037 -765.213963738899</t>
  </si>
  <si>
    <t>-559.81239282237 208.391801354718 -241.192405018131</t>
  </si>
  <si>
    <t>-567.943041615445 184.303897855185 213.79246828732</t>
  </si>
  <si>
    <t>-632.888513636806 163.54726503194 678.88420623105</t>
  </si>
  <si>
    <t>-495.268716139041 96.8735164453376 765.826190695278</t>
  </si>
  <si>
    <t>-613.42329832098 26.4315248961345 -214.780637208684</t>
  </si>
  <si>
    <t>-460.560225027969 -85.5856887469918 199.637907138786</t>
  </si>
  <si>
    <t>-550.087878547793 -28.6653804369591 657.435979328741</t>
  </si>
  <si>
    <t>-494.149158519539 -170.09243966161 745.825772396027</t>
  </si>
  <si>
    <t>9763-20170724T160553.321463100.bin</t>
  </si>
  <si>
    <t>-587.613633555693 117.754456289098 -228.358862907917</t>
  </si>
  <si>
    <t>-624.679106379301 112.211564368577 -343.524891722136</t>
  </si>
  <si>
    <t>-640.228426815004 105.645346115696 -463.548589380543</t>
  </si>
  <si>
    <t>-645.298087004936 99.0250019999489 -572.751588091681</t>
  </si>
  <si>
    <t>-641.457044625087 91.6187986260613 -681.954506946546</t>
  </si>
  <si>
    <t>-626.855041435521 80.383732520188 -833.151517489649</t>
  </si>
  <si>
    <t>-587.284676807586 58.1263552863734 -924.375342203471</t>
  </si>
  <si>
    <t>-621.162463884457 114.716823945756 -767.259570614654</t>
  </si>
  <si>
    <t>-544.54393417293 239.274545381593 -751.774711125128</t>
  </si>
  <si>
    <t>-464.209358727492 162.746098110617 -455.33599407086</t>
  </si>
  <si>
    <t>-645.469549492322 55.9929020342322 -765.243483959763</t>
  </si>
  <si>
    <t>-560.820799255599 208.933517114014 -241.234599473693</t>
  </si>
  <si>
    <t>-568.737818054181 184.873248122939 213.755635468987</t>
  </si>
  <si>
    <t>-632.887378525261 163.643061363979 678.921735388673</t>
  </si>
  <si>
    <t>-495.237438075459 96.9710964008261 765.817415057913</t>
  </si>
  <si>
    <t>-614.285099636931 26.6106785964939 -214.813116593916</t>
  </si>
  <si>
    <t>-461.045445558507 -85.1849374485018 199.526135365271</t>
  </si>
  <si>
    <t>-550.198271407429 -28.7732054585608 657.445996956497</t>
  </si>
  <si>
    <t>-494.084970351398 -170.145154967761 745.81328937054</t>
  </si>
  <si>
    <t>9763-20170724T160553.391295400.bin</t>
  </si>
  <si>
    <t>-589.481087274918 118.466440906885 -228.395967557539</t>
  </si>
  <si>
    <t>-626.565569870181 112.851424019972 -343.552423795873</t>
  </si>
  <si>
    <t>-641.928873257841 106.135774533309 -463.591680245454</t>
  </si>
  <si>
    <t>-646.746511161163 99.3563224969157 -572.796424354467</t>
  </si>
  <si>
    <t>-642.570419287442 91.7717590736172 -681.974807224335</t>
  </si>
  <si>
    <t>-627.418460087818 80.2726357359859 -833.097717569988</t>
  </si>
  <si>
    <t>-587.434554470714 57.9084414025274 -924.114924877748</t>
  </si>
  <si>
    <t>-622.076369908123 114.766087423975 -767.260239660986</t>
  </si>
  <si>
    <t>-545.947261411951 239.642006895022 -751.912541706697</t>
  </si>
  <si>
    <t>-466.88868042289 165.476197420564 -454.531703143727</t>
  </si>
  <si>
    <t>-646.168953915279 55.9553603315935 -765.200778835308</t>
  </si>
  <si>
    <t>-562.670549513665 209.947229636431 -241.322146522663</t>
  </si>
  <si>
    <t>-570.372102715489 186.036306990113 213.679639339817</t>
  </si>
  <si>
    <t>-632.844094059265 163.905936417942 678.993750221699</t>
  </si>
  <si>
    <t>-495.237333964441 97.0377970747068 765.806965066086</t>
  </si>
  <si>
    <t>-616.179140464872 26.9899997452158 -214.829258511883</t>
  </si>
  <si>
    <t>-462.109644552297 -84.5760623294932 199.264141574102</t>
  </si>
  <si>
    <t>-550.356079099165 -28.9504768212778 657.446995872063</t>
  </si>
  <si>
    <t>-494.010439836805 -170.237477462123 745.802339669851</t>
  </si>
  <si>
    <t>9763-20170724T160553.424384300.bin</t>
  </si>
  <si>
    <t>-590.423812436002 118.870338436415 -228.390297248641</t>
  </si>
  <si>
    <t>-627.536598195766 113.210797808743 -343.535452904018</t>
  </si>
  <si>
    <t>-642.837135715154 106.420676114881 -463.578627771345</t>
  </si>
  <si>
    <t>-647.56022409712 99.5652734065836 -572.782744471827</t>
  </si>
  <si>
    <t>-643.252474486714 91.8977167667401 -681.950017452034</t>
  </si>
  <si>
    <t>-627.879474295924 80.2779775900194 -833.041541396024</t>
  </si>
  <si>
    <t>-587.743257445365 57.8410581721014 -923.97371411582</t>
  </si>
  <si>
    <t>-622.662745437358 114.835589615987 -767.227762658625</t>
  </si>
  <si>
    <t>-546.638567825894 239.771458676109 -751.862833378315</t>
  </si>
  <si>
    <t>-468.369698783119 166.047000748052 -454.163509406047</t>
  </si>
  <si>
    <t>-646.700388489866 56.0030769561877 -765.148918975298</t>
  </si>
  <si>
    <t>-563.544377735772 210.479840731555 -241.36686631101</t>
  </si>
  <si>
    <t>-571.141770280896 186.683218319663 213.642601522923</t>
  </si>
  <si>
    <t>-632.805758859263 164.055440775821 679.021108425419</t>
  </si>
  <si>
    <t>-495.247094216176 97.0481448307521 765.803299294903</t>
  </si>
  <si>
    <t>-617.19207217328 27.2763858898579 -214.753937919874</t>
  </si>
  <si>
    <t>-462.69692781534 -84.3966979513932 199.151871628754</t>
  </si>
  <si>
    <t>-550.436612932921 -29.0217620394662 657.46062210432</t>
  </si>
  <si>
    <t>-494.007321715771 -170.28856329639 745.794928969926</t>
  </si>
  <si>
    <t>9763-20170724T160553.493573500.bin</t>
  </si>
  <si>
    <t>-592.248558346938 119.8071791197 -228.262780009833</t>
  </si>
  <si>
    <t>-629.438153555969 114.052124354781 -343.378361628916</t>
  </si>
  <si>
    <t>-644.688905505615 107.163523672403 -463.422216030831</t>
  </si>
  <si>
    <t>-649.31418728522 100.220726799798 -572.625051047734</t>
  </si>
  <si>
    <t>-644.855584547609 92.4697827246098 -681.780409075145</t>
  </si>
  <si>
    <t>-629.218571916648 80.7399115571307 -832.836439384648</t>
  </si>
  <si>
    <t>-588.937141274381 58.2050230644668 -923.680025267283</t>
  </si>
  <si>
    <t>-624.111935683679 115.343487565573 -767.03789645061</t>
  </si>
  <si>
    <t>-548.110099446164 240.275093324025 -751.575070590523</t>
  </si>
  <si>
    <t>-469.978218662473 167.007112775675 -453.727055638133</t>
  </si>
  <si>
    <t>-648.163049507971 56.5164720766904 -764.959571531311</t>
  </si>
  <si>
    <t>-565.167674500836 211.704621516216 -241.39435342462</t>
  </si>
  <si>
    <t>-572.76609761771 188.131270171458 213.626744152402</t>
  </si>
  <si>
    <t>-632.759794019969 164.364134928415 679.128313403319</t>
  </si>
  <si>
    <t>-495.318675513897 96.986353863324 765.809854735694</t>
  </si>
  <si>
    <t>-619.207609196611 27.9399763314971 -214.479722590491</t>
  </si>
  <si>
    <t>-463.884129032009 -84.1103314254419 199.01402801855</t>
  </si>
  <si>
    <t>-550.617491539703 -29.095028702114 657.554120409497</t>
  </si>
  <si>
    <t>-494.027657281829 -170.365878440024 745.779089077716</t>
  </si>
  <si>
    <t>9763-20170724T160553.524688100.bin</t>
  </si>
  <si>
    <t>-593.180609889964 120.213549413769 -228.187166681695</t>
  </si>
  <si>
    <t>-630.44050873019 114.419689697598 -343.278145972102</t>
  </si>
  <si>
    <t>-645.743055918708 107.476021553614 -463.312248419183</t>
  </si>
  <si>
    <t>-650.406555560724 100.478980956658 -572.509980177087</t>
  </si>
  <si>
    <t>-645.97768409446 92.6700882934408 -681.662395942673</t>
  </si>
  <si>
    <t>-630.372681147934 80.8572824677567 -832.715160955331</t>
  </si>
  <si>
    <t>-590.109052454144 58.2436359142168 -923.547160729983</t>
  </si>
  <si>
    <t>-625.216567649582 115.482688985898 -766.932075375649</t>
  </si>
  <si>
    <t>-549.027171265336 240.337497599834 -751.60270748578</t>
  </si>
  <si>
    <t>-470.85889307446 167.684798696102 -453.613615398638</t>
  </si>
  <si>
    <t>-649.338208739572 56.6855344654568 -764.82586826298</t>
  </si>
  <si>
    <t>-565.915315835718 212.168644829942 -241.41975441733</t>
  </si>
  <si>
    <t>-573.621566863428 188.794753716145 213.609771800285</t>
  </si>
  <si>
    <t>-632.717499372572 164.516700635803 679.16757736354</t>
  </si>
  <si>
    <t>-495.354789117982 96.9369435340798 765.816151510836</t>
  </si>
  <si>
    <t>-620.360901423685 28.2272842216428 -214.279354786082</t>
  </si>
  <si>
    <t>-464.439676081543 -84.0632817403653 198.924100206604</t>
  </si>
  <si>
    <t>-550.706976625597 -29.1306250270648 657.571235426961</t>
  </si>
  <si>
    <t>-494.020847445215 -170.398200113415 745.739694565848</t>
  </si>
  <si>
    <t>9763-20170724T160553.594508100.bin</t>
  </si>
  <si>
    <t>-594.928567115938 120.723530065976 -228.089360560015</t>
  </si>
  <si>
    <t>-632.283017282721 114.891650199867 -343.147822898683</t>
  </si>
  <si>
    <t>-647.699948761083 107.833749674853 -463.160600252814</t>
  </si>
  <si>
    <t>-652.474966393667 100.704528782169 -572.344977243984</t>
  </si>
  <si>
    <t>-648.16525725167 92.7366886945301 -681.49069291806</t>
  </si>
  <si>
    <t>-632.733634651045 80.6765526188012 -832.54174711315</t>
  </si>
  <si>
    <t>-592.603496710187 57.8853363479354 -923.388328485153</t>
  </si>
  <si>
    <t>-627.405218480149 115.370250759718 -766.808379683769</t>
  </si>
  <si>
    <t>-550.658517071395 239.86920324884 -751.654376200826</t>
  </si>
  <si>
    <t>-473.030362980043 167.81616962148 -453.37856715175</t>
  </si>
  <si>
    <t>-651.717995502722 56.6554262360298 -764.604401621599</t>
  </si>
  <si>
    <t>-567.171342080405 212.816205608893 -241.511961485313</t>
  </si>
  <si>
    <t>-575.12989009615 189.70761666972 213.5268683291</t>
  </si>
  <si>
    <t>-632.593578397833 164.786848796335 679.15317781824</t>
  </si>
  <si>
    <t>-495.512669103463 96.6861325886819 765.840112283601</t>
  </si>
  <si>
    <t>-622.537798815158 28.6373561132757 -214.017626229011</t>
  </si>
  <si>
    <t>-465.679432324271 -84.0883467291103 198.712368179212</t>
  </si>
  <si>
    <t>-550.847112023938 -29.1771767768416 657.568608946395</t>
  </si>
  <si>
    <t>-494.061329498609 -170.466292312635 745.638291226399</t>
  </si>
  <si>
    <t>9763-20170724T160553.626609400.bin</t>
  </si>
  <si>
    <t>-595.802766806517 121.031609780388 -228.182162500178</t>
  </si>
  <si>
    <t>-633.213459912264 115.220114822942 -343.223273661084</t>
  </si>
  <si>
    <t>-648.66583887958 108.183255251222 -463.232760243841</t>
  </si>
  <si>
    <t>-653.464000536202 101.071451668181 -572.417364626193</t>
  </si>
  <si>
    <t>-649.168013643359 93.1191317224946 -681.564690228001</t>
  </si>
  <si>
    <t>-633.745884280813 81.0776241414053 -832.618188910493</t>
  </si>
  <si>
    <t>-593.666892217626 58.2461630053526 -923.477273297682</t>
  </si>
  <si>
    <t>-628.3548381346 115.739042726323 -766.873026347346</t>
  </si>
  <si>
    <t>-551.173045084819 239.932510970359 -751.493646849153</t>
  </si>
  <si>
    <t>-473.521099365935 167.43845924008 -453.330939340729</t>
  </si>
  <si>
    <t>-652.784616701809 57.0721226143546 -764.690443464206</t>
  </si>
  <si>
    <t>-567.904012769087 213.326730472463 -241.701766098636</t>
  </si>
  <si>
    <t>-575.877672923296 190.296242621119 213.340694579014</t>
  </si>
  <si>
    <t>-632.378136490359 164.851758872291 678.940648788849</t>
  </si>
  <si>
    <t>-495.524609706751 96.6003272493695 765.868034078405</t>
  </si>
  <si>
    <t>-623.56169680651 28.8094588935585 -214.050256302901</t>
  </si>
  <si>
    <t>-466.48791181566 -84.1248856589441 198.540705717732</t>
  </si>
  <si>
    <t>-550.948508696886 -29.1886282692876 657.547506597243</t>
  </si>
  <si>
    <t>-494.076811438336 -170.492480804848 745.538084069665</t>
  </si>
  <si>
    <t>9763-20170724T160553.689295600.bin</t>
  </si>
  <si>
    <t>-597.601655169698 121.708690627054 -228.41336842172</t>
  </si>
  <si>
    <t>-635.267668259047 115.876723758757 -343.370222345198</t>
  </si>
  <si>
    <t>-650.951742615963 108.903378732386 -463.353370099181</t>
  </si>
  <si>
    <t>-655.945793152297 101.881874126255 -572.534922390844</t>
  </si>
  <si>
    <t>-651.83017660956 94.052208678577 -681.697999933231</t>
  </si>
  <si>
    <t>-636.640884525792 82.2144373947574 -832.791344124518</t>
  </si>
  <si>
    <t>-596.784694050806 59.352248901673 -923.740615525822</t>
  </si>
  <si>
    <t>-631.059583855196 116.750608194429 -766.996012241338</t>
  </si>
  <si>
    <t>-553.312222479039 240.535398849163 -750.952711470361</t>
  </si>
  <si>
    <t>-473.46207556373 164.588550589111 -454.233669804364</t>
  </si>
  <si>
    <t>-655.663684557917 58.1540600825131 -764.878577125912</t>
  </si>
  <si>
    <t>-569.381530277681 214.200781498184 -242.17693894301</t>
  </si>
  <si>
    <t>-576.555556306243 191.145325758525 212.877593481287</t>
  </si>
  <si>
    <t>-631.923054591837 165.090880419875 678.606186938521</t>
  </si>
  <si>
    <t>-495.508437843578 96.5469742511175 765.992104746899</t>
  </si>
  <si>
    <t>-625.695932968973 29.2396812430391 -214.030657419939</t>
  </si>
  <si>
    <t>-468.131988000246 -84.3760368889277 198.186181044383</t>
  </si>
  <si>
    <t>-551.205668772738 -29.1639304777968 657.462619437915</t>
  </si>
  <si>
    <t>-494.124732368728 -170.522118271915 745.23023355387</t>
  </si>
  <si>
    <t>9763-20170724T160553.728399800.bin</t>
  </si>
  <si>
    <t>-598.38742535751 121.954433142483 -228.492526965054</t>
  </si>
  <si>
    <t>-636.292899484987 116.163016002527 -343.372543445794</t>
  </si>
  <si>
    <t>-652.204054835279 109.230920412355 -463.328236982057</t>
  </si>
  <si>
    <t>-657.395394637302 102.248220121301 -572.503109709756</t>
  </si>
  <si>
    <t>-653.467582140114 94.4598513428596 -681.676027882123</t>
  </si>
  <si>
    <t>-638.528268570581 82.682911480415 -832.798898762557</t>
  </si>
  <si>
    <t>-598.823328918116 59.8156225037835 -923.813136918721</t>
  </si>
  <si>
    <t>-632.784402151347 117.170147874825 -766.992047000966</t>
  </si>
  <si>
    <t>-554.804610979301 240.767769361017 -750.707203286008</t>
  </si>
  <si>
    <t>-472.905623871945 163.077520489299 -454.999773799719</t>
  </si>
  <si>
    <t>-657.492592434664 58.6174385723389 -764.87155621501</t>
  </si>
  <si>
    <t>-569.999644338335 214.538082778513 -242.318439392996</t>
  </si>
  <si>
    <t>-576.697208312854 191.356142712265 212.736949404369</t>
  </si>
  <si>
    <t>-631.766552204424 165.276344146823 678.54758558617</t>
  </si>
  <si>
    <t>-495.559942007477 96.438884932219 766.027120872884</t>
  </si>
  <si>
    <t>-626.687816456738 29.4116282618807 -213.988894401232</t>
  </si>
  <si>
    <t>-468.855071477483 -84.5895917389189 198.01866615029</t>
  </si>
  <si>
    <t>-551.256401777842 -29.1255562001586 657.372781681508</t>
  </si>
  <si>
    <t>-494.258090834314 -170.561171126448 745.069222240036</t>
  </si>
  <si>
    <t>9763-20170724T160553.794593500.bin</t>
  </si>
  <si>
    <t>-599.571141776834 121.853495270396 -228.518405214405</t>
  </si>
  <si>
    <t>-637.862452364862 116.101480667051 -343.272456309639</t>
  </si>
  <si>
    <t>-654.271474760396 109.241713840857 -463.165112552341</t>
  </si>
  <si>
    <t>-659.954311780484 102.339923924238 -572.320510009177</t>
  </si>
  <si>
    <t>-656.555709060158 94.6504515487832 -681.518403429006</t>
  </si>
  <si>
    <t>-642.38762305069 83.0313928848138 -832.727898615993</t>
  </si>
  <si>
    <t>-603.100769941717 60.1888211175753 -923.929485743588</t>
  </si>
  <si>
    <t>-636.155444138279 117.38578055171 -766.895768601878</t>
  </si>
  <si>
    <t>-557.407981068713 240.479044932987 -750.419805885689</t>
  </si>
  <si>
    <t>-470.142604902842 159.758977454135 -457.068073225698</t>
  </si>
  <si>
    <t>-661.157735253795 58.9590856239536 -764.748895050817</t>
  </si>
  <si>
    <t>-570.680098722844 214.298316542353 -242.452959794461</t>
  </si>
  <si>
    <t>-577.000833713501 191.344355715194 212.619311995841</t>
  </si>
  <si>
    <t>-631.686473219489 165.503520262825 678.571779927668</t>
  </si>
  <si>
    <t>-495.715071933579 96.1662536240258 766.022524073212</t>
  </si>
  <si>
    <t>-628.320906536061 29.3423538109992 -213.823719254426</t>
  </si>
  <si>
    <t>-469.944022827482 -85.268700509298 197.805657524198</t>
  </si>
  <si>
    <t>-551.24637175833 -29.0452836141949 657.205939373694</t>
  </si>
  <si>
    <t>-494.676334697531 -170.682171234545 744.854997665716</t>
  </si>
  <si>
    <t>9763-20170724T160553.827693700.bin</t>
  </si>
  <si>
    <t>-600.077508383597 121.528889508618 -228.478186518808</t>
  </si>
  <si>
    <t>-638.535751268112 115.802117362863 -343.177598531127</t>
  </si>
  <si>
    <t>-655.231187807702 108.991960062913 -463.033600527464</t>
  </si>
  <si>
    <t>-661.219971716018 102.144950455082 -572.176223677437</t>
  </si>
  <si>
    <t>-658.172531719726 94.5204502546403 -681.388968577633</t>
  </si>
  <si>
    <t>-644.537351149516 83.0024798340858 -832.655008304303</t>
  </si>
  <si>
    <t>-605.543130030299 60.1901689007523 -923.989694291047</t>
  </si>
  <si>
    <t>-637.988290762557 117.276700022734 -766.812078320429</t>
  </si>
  <si>
    <t>-558.801034281992 240.093065711096 -750.365494165155</t>
  </si>
  <si>
    <t>-468.726777027113 158.227936628446 -458.182365911543</t>
  </si>
  <si>
    <t>-663.152874442723 58.9207456372976 -764.636946746968</t>
  </si>
  <si>
    <t>-571.002977678895 213.923233182606 -242.49293957424</t>
  </si>
  <si>
    <t>-577.210239751124 191.120293730398 212.588541426033</t>
  </si>
  <si>
    <t>-631.707384362119 165.574553095477 678.599672390759</t>
  </si>
  <si>
    <t>-495.805519069406 96.0218259869241 765.987373770577</t>
  </si>
  <si>
    <t>-629.00083925623 29.0871845666202 -213.744431378058</t>
  </si>
  <si>
    <t>-470.372245519753 -85.6615372572612 197.749632223819</t>
  </si>
  <si>
    <t>-551.208210437346 -29.0318104272685 657.134404662066</t>
  </si>
  <si>
    <t>-494.89441002355 -170.74167758691 744.830294985351</t>
  </si>
  <si>
    <t>9763-20170724T160553.891583700.bin</t>
  </si>
  <si>
    <t>-600.823010033679 120.737377578127 -228.448820022749</t>
  </si>
  <si>
    <t>-639.559843379842 115.064717680333 -343.057101748566</t>
  </si>
  <si>
    <t>-656.763740949762 108.287560536488 -462.842993658692</t>
  </si>
  <si>
    <t>-663.304558356015 101.458638616369 -571.955161740223</t>
  </si>
  <si>
    <t>-660.898895801727 93.8396913334284 -681.184226151059</t>
  </si>
  <si>
    <t>-648.245756724759 82.3154574973546 -832.535169002332</t>
  </si>
  <si>
    <t>-609.892366598333 59.4494334262561 -924.127534718652</t>
  </si>
  <si>
    <t>-641.061232167579 116.502859698252 -766.713179561144</t>
  </si>
  <si>
    <t>-560.859643019427 238.706618349803 -750.664379032972</t>
  </si>
  <si>
    <t>-467.586767057483 154.635655780724 -460.116039220675</t>
  </si>
  <si>
    <t>-666.627513020957 58.3263032248576 -764.420871771736</t>
  </si>
  <si>
    <t>-571.352759484298 213.04142684104 -242.615582376242</t>
  </si>
  <si>
    <t>-577.701694751851 190.789381531629 212.491122495126</t>
  </si>
  <si>
    <t>-631.726650886958 165.600630386204 678.580862562928</t>
  </si>
  <si>
    <t>-495.89871490292 95.8211584624125 765.902749592482</t>
  </si>
  <si>
    <t>-630.14694958404 28.4596241229826 -213.578000634036</t>
  </si>
  <si>
    <t>-471.064196958178 -86.3773017752251 197.716081609796</t>
  </si>
  <si>
    <t>-551.069225719843 -29.0283542830527 657.039874484648</t>
  </si>
  <si>
    <t>-495.415352767329 -170.89067777595 744.910438761152</t>
  </si>
  <si>
    <t>9763-20170724T160553.924671900.bin</t>
  </si>
  <si>
    <t>-601.188360692413 120.349297430125 -228.466655292728</t>
  </si>
  <si>
    <t>-640.050713335693 114.699034400654 -343.033710385518</t>
  </si>
  <si>
    <t>-657.51166055885 107.940081931389 -462.783329636819</t>
  </si>
  <si>
    <t>-664.337964752612 101.124059285949 -571.878750494912</t>
  </si>
  <si>
    <t>-662.2694462958 93.5140114460921 -681.115556133479</t>
  </si>
  <si>
    <t>-650.137566970343 81.996518990512 -832.509540028465</t>
  </si>
  <si>
    <t>-612.157928800464 59.0953441751467 -924.248656041821</t>
  </si>
  <si>
    <t>-642.625696137549 116.136914087051 -766.699918410098</t>
  </si>
  <si>
    <t>-561.958351992628 238.08650953839 -750.935728895647</t>
  </si>
  <si>
    <t>-467.840312540595 153.943804824081 -460.680669464877</t>
  </si>
  <si>
    <t>-668.385525921977 58.0482346349672 -764.344956762764</t>
  </si>
  <si>
    <t>-571.537480127395 212.60944272606 -242.727605397698</t>
  </si>
  <si>
    <t>-577.92408177448 190.661743963325 212.393512294401</t>
  </si>
  <si>
    <t>-631.669069288075 165.674693326364 678.525604211465</t>
  </si>
  <si>
    <t>-495.966051106451 95.6824609540581 765.871423598486</t>
  </si>
  <si>
    <t>-630.687519631987 28.1150969783198 -213.536711366316</t>
  </si>
  <si>
    <t>-471.266080839225 -86.6228686007496 197.653867167053</t>
  </si>
  <si>
    <t>-550.98905039128 -29.0634181523703 656.97326456798</t>
  </si>
  <si>
    <t>-495.586105211259 -170.931432624939 744.993091418512</t>
  </si>
  <si>
    <t>9763-20170724T160553.993859300.bin</t>
  </si>
  <si>
    <t>-601.925835897472 119.470606872288 -228.492010914521</t>
  </si>
  <si>
    <t>-640.994030804996 113.871785939751 -342.991549879361</t>
  </si>
  <si>
    <t>-658.818598462776 107.125770230109 -462.688337182629</t>
  </si>
  <si>
    <t>-666.037224360295 100.306514658638 -571.758241033859</t>
  </si>
  <si>
    <t>-664.422749149118 92.6797360107439 -681.001376354488</t>
  </si>
  <si>
    <t>-652.983913518517 81.125965045569 -832.446743352019</t>
  </si>
  <si>
    <t>-615.581534465519 58.2075052961222 -924.418425898969</t>
  </si>
  <si>
    <t>-645.044252185356 115.226380010494 -766.666366435722</t>
  </si>
  <si>
    <t>-563.749130564203 236.782638750362 -751.260283485236</t>
  </si>
  <si>
    <t>-469.93977645181 153.459301597266 -460.669156438224</t>
  </si>
  <si>
    <t>-671.046143227668 57.250027205449 -764.207332876374</t>
  </si>
  <si>
    <t>-571.981918947144 211.591020058976 -242.891439466824</t>
  </si>
  <si>
    <t>-577.977714459906 189.917810815537 212.247991932356</t>
  </si>
  <si>
    <t>-631.638207137107 165.744672437868 678.521168021273</t>
  </si>
  <si>
    <t>-496.07765356309 95.4292001433953 765.828566160246</t>
  </si>
  <si>
    <t>-631.683839707629 27.3729283281946 -213.43460158282</t>
  </si>
  <si>
    <t>-471.642803576901 -87.0472807997837 197.60371639251</t>
  </si>
  <si>
    <t>-550.861025741809 -29.1758683297037 656.900976607023</t>
  </si>
  <si>
    <t>-495.883014278651 -171.02718207569 745.213706309002</t>
  </si>
  <si>
    <t>9763-20170724T160554.028959600.bin</t>
  </si>
  <si>
    <t>-602.32956019227 119.031155130501 -228.512993735074</t>
  </si>
  <si>
    <t>-641.568727152478 113.425988433338 -342.953743519</t>
  </si>
  <si>
    <t>-659.619614966699 106.69573091586 -462.617471465056</t>
  </si>
  <si>
    <t>-667.063419543436 99.9020116901229 -571.67389917453</t>
  </si>
  <si>
    <t>-665.693115121574 92.3135213532646 -680.923121554514</t>
  </si>
  <si>
    <t>-654.611700182924 80.8276230218439 -832.400053170034</t>
  </si>
  <si>
    <t>-617.456203651193 57.9679403001717 -924.48635852214</t>
  </si>
  <si>
    <t>-646.522098889816 114.900904661853 -766.624008780943</t>
  </si>
  <si>
    <t>-565.245803639187 236.486185146095 -751.234348750512</t>
  </si>
  <si>
    <t>-471.643035158261 153.095215382008 -460.59586496318</t>
  </si>
  <si>
    <t>-672.507536563229 56.9188078178704 -764.128511208424</t>
  </si>
  <si>
    <t>-572.42236097016 211.155435632374 -242.952286558043</t>
  </si>
  <si>
    <t>-577.956739489985 189.388091945592 212.188653552604</t>
  </si>
  <si>
    <t>-631.662071459619 165.661570156085 678.473050521318</t>
  </si>
  <si>
    <t>-496.044296296971 95.4715153699519 765.792483294935</t>
  </si>
  <si>
    <t>-632.049539437896 26.9577827483165 -213.425189526403</t>
  </si>
  <si>
    <t>-471.764428437531 -87.1619733566588 197.601602578024</t>
  </si>
  <si>
    <t>-550.855817471065 -29.266821486621 656.913079657317</t>
  </si>
  <si>
    <t>-495.929806492443 -171.046044200093 745.373900412507</t>
  </si>
  <si>
    <t>9763-20170724T160554.096154300.bin</t>
  </si>
  <si>
    <t>-603.233700996997 118.510539412346 -228.558372406761</t>
  </si>
  <si>
    <t>-642.83610810457 112.826227053541 -342.870135994628</t>
  </si>
  <si>
    <t>-661.306955815639 106.094335570915 -462.469788424058</t>
  </si>
  <si>
    <t>-669.148334048206 99.3363330656641 -571.500489007973</t>
  </si>
  <si>
    <t>-668.190377962682 91.823628139312 -680.759267793858</t>
  </si>
  <si>
    <t>-657.694600786597 80.4872155454036 -832.289150492767</t>
  </si>
  <si>
    <t>-620.872423698045 57.8125351191127 -924.555017962383</t>
  </si>
  <si>
    <t>-649.428597026845 114.529940589244 -766.519257176127</t>
  </si>
  <si>
    <t>-568.597335176686 236.416783712556 -751.208890094718</t>
  </si>
  <si>
    <t>-474.470350038255 152.53591971306 -460.880995423438</t>
  </si>
  <si>
    <t>-675.24869642977 56.4765365007838 -763.964628506269</t>
  </si>
  <si>
    <t>-573.4906182994 210.761639731791 -243.151601698289</t>
  </si>
  <si>
    <t>-578.056632366915 188.914506909065 211.996241704976</t>
  </si>
  <si>
    <t>-631.41526453094 165.789722946821 678.251123480801</t>
  </si>
  <si>
    <t>-496.060217630669 95.3565802160977 765.782237519888</t>
  </si>
  <si>
    <t>-632.778709818018 26.3715206995914 -213.29528995128</t>
  </si>
  <si>
    <t>-471.571817155902 -87.276544959735 197.501573726517</t>
  </si>
  <si>
    <t>-550.793381029182 -29.4772793563091 656.811662459154</t>
  </si>
  <si>
    <t>-496.009616755228 -171.095559813112 745.617770126548</t>
  </si>
  <si>
    <t>9763-20170724T160554.124236100.bin</t>
  </si>
  <si>
    <t>-603.794202340753 118.471441676041 -228.58022950069</t>
  </si>
  <si>
    <t>-643.585587428304 112.675343575979 -342.82059276423</t>
  </si>
  <si>
    <t>-662.283786073659 105.90316562634 -462.382482753451</t>
  </si>
  <si>
    <t>-670.343344671776 99.1393635981115 -571.396987495488</t>
  </si>
  <si>
    <t>-669.614668234042 91.6516816276132 -680.659361852042</t>
  </si>
  <si>
    <t>-659.447147380628 80.3828738133961 -832.216690096705</t>
  </si>
  <si>
    <t>-622.751479721214 57.8188325996309 -924.560011351552</t>
  </si>
  <si>
    <t>-651.084052247678 114.416190921183 -766.454236065386</t>
  </si>
  <si>
    <t>-570.529850566056 236.497378799789 -751.264167887099</t>
  </si>
  <si>
    <t>-475.685733437801 152.654119119173 -461.158839074165</t>
  </si>
  <si>
    <t>-676.807820870179 56.3218112854693 -763.86030935306</t>
  </si>
  <si>
    <t>-574.256570086452 210.842937010871 -243.301541147557</t>
  </si>
  <si>
    <t>-578.540960228998 189.081972789726 211.853173950541</t>
  </si>
  <si>
    <t>-631.241372722018 165.874849024072 678.14520131852</t>
  </si>
  <si>
    <t>-496.053025131227 95.3043644350773 765.823196955788</t>
  </si>
  <si>
    <t>-633.16046229972 26.2330519352977 -213.162620325496</t>
  </si>
  <si>
    <t>-471.254120021084 -87.0970800388577 197.446993495671</t>
  </si>
  <si>
    <t>-550.7390557373 -29.5307269635605 656.741670074532</t>
  </si>
  <si>
    <t>-496.026846553686 -171.103505089311 745.664296257027</t>
  </si>
  <si>
    <t>9763-20170724T160554.193420300.bin</t>
  </si>
  <si>
    <t>-604.910615345311 118.760900402048 -228.967672417283</t>
  </si>
  <si>
    <t>-644.877067552306 112.661460762002 -343.131040053471</t>
  </si>
  <si>
    <t>-663.889071581656 105.790013166846 -462.63799991968</t>
  </si>
  <si>
    <t>-672.285353531005 99.0227044267394 -571.626724454521</t>
  </si>
  <si>
    <t>-671.94326634824 91.619319309317 -680.896708557243</t>
  </si>
  <si>
    <t>-662.361708356177 80.5600949667273 -832.507710556858</t>
  </si>
  <si>
    <t>-625.881811078272 58.2800215748816 -925.00522806914</t>
  </si>
  <si>
    <t>-653.820601876969 114.535788449868 -766.738218390982</t>
  </si>
  <si>
    <t>-573.618776781395 236.816093559265 -751.461524801257</t>
  </si>
  <si>
    <t>-477.532073440872 152.32823048848 -461.952876496834</t>
  </si>
  <si>
    <t>-679.381822472575 56.3712206195976 -764.110748445143</t>
  </si>
  <si>
    <t>-575.526972677823 211.495271399627 -244.072262014346</t>
  </si>
  <si>
    <t>-580.143271702093 190.492473486804 211.114762442576</t>
  </si>
  <si>
    <t>-629.968048565617 166.780554169472 677.29173601948</t>
  </si>
  <si>
    <t>-495.882752987183 95.3412239447043 765.954408294527</t>
  </si>
  <si>
    <t>-634.08969694937 26.1169004667447 -213.256521625595</t>
  </si>
  <si>
    <t>-470.553523433705 -86.1358308597967 197.003057565163</t>
  </si>
  <si>
    <t>-550.738478707268 -29.663594403411 656.410575302855</t>
  </si>
  <si>
    <t>-495.886603101823 -171.074854052247 745.503988293839</t>
  </si>
  <si>
    <t>9763-20170724T160554.224498200.bin</t>
  </si>
  <si>
    <t>-605.513593747495 119.122780638571 -229.41263904903</t>
  </si>
  <si>
    <t>-645.52349750989 112.8520686427 -343.551613526801</t>
  </si>
  <si>
    <t>-664.629021694187 105.948384194136 -463.041689572595</t>
  </si>
  <si>
    <t>-673.128358884917 99.2106774614485 -572.02435904204</t>
  </si>
  <si>
    <t>-672.906357602562 91.8966361701407 -681.300636444461</t>
  </si>
  <si>
    <t>-663.507947967823 81.0244674533158 -832.936562900817</t>
  </si>
  <si>
    <t>-627.128353229689 58.9236163879857 -925.516567820297</t>
  </si>
  <si>
    <t>-654.922256304189 114.934162351976 -767.13891581419</t>
  </si>
  <si>
    <t>-574.782053031147 237.262661646629 -751.781216872529</t>
  </si>
  <si>
    <t>-478.069245064886 152.341570680178 -462.607894600424</t>
  </si>
  <si>
    <t>-680.410617724237 56.7360053250154 -764.54579413158</t>
  </si>
  <si>
    <t>-576.077073009284 212.052117248178 -244.787258456332</t>
  </si>
  <si>
    <t>-580.607179378668 191.395335183422 210.416531053095</t>
  </si>
  <si>
    <t>-629.210090068288 167.583098410272 676.729802706085</t>
  </si>
  <si>
    <t>-495.95721813141 95.3020345407929 765.963400234455</t>
  </si>
  <si>
    <t>-634.738921907165 26.2636127260782 -213.464369169029</t>
  </si>
  <si>
    <t>-470.27994415317 -85.6161218228362 196.528129588991</t>
  </si>
  <si>
    <t>-550.781120584349 -29.7275818567659 656.078851015142</t>
  </si>
  <si>
    <t>-495.763183725785 -171.044702218774 745.219320423601</t>
  </si>
  <si>
    <t>9763-20170724T160554.293849300.bin</t>
  </si>
  <si>
    <t>-606.698325100296 119.45239623657 -230.101073439411</t>
  </si>
  <si>
    <t>-646.981493930592 112.988601487148 -344.132989192191</t>
  </si>
  <si>
    <t>-666.391523000584 106.029639086156 -463.570755843305</t>
  </si>
  <si>
    <t>-675.174132441635 99.3032475594202 -572.531707372603</t>
  </si>
  <si>
    <t>-675.240615534632 92.0645723857924 -681.813184196587</t>
  </si>
  <si>
    <t>-666.245834803799 81.3664271293512 -833.486050539055</t>
  </si>
  <si>
    <t>-630.118331249549 59.4820470508425 -926.215990837709</t>
  </si>
  <si>
    <t>-657.511995389097 115.212274825378 -767.67491608873</t>
  </si>
  <si>
    <t>-577.413935371274 237.548014174353 -752.319342375423</t>
  </si>
  <si>
    <t>-478.646577657897 152.608572639288 -463.84671833578</t>
  </si>
  <si>
    <t>-318.170506237668 4.40249254524861 -322.6926988195</t>
  </si>
  <si>
    <t>-682.939416656149 56.9878668488266 -765.075952092985</t>
  </si>
  <si>
    <t>-577.208808113276 212.446906500747 -245.616772775238</t>
  </si>
  <si>
    <t>-581.144183758962 192.083856444445 209.605799015542</t>
  </si>
  <si>
    <t>-628.634191072111 168.418534169749 676.313524019753</t>
  </si>
  <si>
    <t>-496.119652489609 95.1773352256159 765.863166184988</t>
  </si>
  <si>
    <t>-636.131401820827 26.353563828518 -213.875598995646</t>
  </si>
  <si>
    <t>-470.3680889249 -84.7336242156696 195.807002027236</t>
  </si>
  <si>
    <t>-550.899752591524 -29.7909913689562 655.488147495528</t>
  </si>
  <si>
    <t>-495.582147513884 -170.975921256369 744.652596307419</t>
  </si>
  <si>
    <t>9763-20170724T160554.326938900.bin</t>
  </si>
  <si>
    <t>-607.283063597151 119.418006591705 -230.401015966733</t>
  </si>
  <si>
    <t>-647.659661040839 112.959207204905 -344.400221199545</t>
  </si>
  <si>
    <t>-667.205528759883 106.018877932072 -463.816957368559</t>
  </si>
  <si>
    <t>-676.127354128059 99.3179602505668 -572.768045887748</t>
  </si>
  <si>
    <t>-676.348522651886 92.1154471222908 -682.051720378418</t>
  </si>
  <si>
    <t>-667.583921416594 81.4803605081252 -833.742519311144</t>
  </si>
  <si>
    <t>-631.575336431782 59.6633643560085 -926.534583123607</t>
  </si>
  <si>
    <t>-658.750267321959 115.29888142641 -767.930662272599</t>
  </si>
  <si>
    <t>-578.551424875214 237.607952646684 -752.647968923377</t>
  </si>
  <si>
    <t>-478.786510383982 152.352989939118 -464.612050666987</t>
  </si>
  <si>
    <t>-317.768934509204 5.37444429177094 -322.792770608487</t>
  </si>
  <si>
    <t>-684.173727777395 57.0732045341667 -765.317388323642</t>
  </si>
  <si>
    <t>-577.710383855582 212.403728841282 -245.886173405279</t>
  </si>
  <si>
    <t>-581.171647647948 191.927345026965 209.335060947474</t>
  </si>
  <si>
    <t>-628.46538966148 168.672124674086 676.149327069847</t>
  </si>
  <si>
    <t>-496.072887915392 95.2632816811597 765.742171559512</t>
  </si>
  <si>
    <t>-636.784426150513 26.3568638004433 -214.153793461024</t>
  </si>
  <si>
    <t>-470.769119536608 -84.6566441274047 195.446727604586</t>
  </si>
  <si>
    <t>-550.939274949032 -29.8078418043124 655.246799354673</t>
  </si>
  <si>
    <t>-495.582069943288 -170.96025938303 744.438107865795</t>
  </si>
  <si>
    <t>9763-20170724T160554.392730900.bin</t>
  </si>
  <si>
    <t>-608.096283879417 119.123062512527 -230.610922837629</t>
  </si>
  <si>
    <t>-648.60556298719 112.711917992205 -344.565785606988</t>
  </si>
  <si>
    <t>-668.512147418573 105.801160476493 -463.924577054901</t>
  </si>
  <si>
    <t>-677.853372461314 99.1270602861105 -572.842360760933</t>
  </si>
  <si>
    <t>-678.585268914927 91.9569604761548 -682.125963613533</t>
  </si>
  <si>
    <t>-670.623076657134 81.3771686737148 -833.864726944165</t>
  </si>
  <si>
    <t>-635.017847607964 59.5918776029484 -926.819777903797</t>
  </si>
  <si>
    <t>-661.375933733089 115.143265104239 -768.082777251578</t>
  </si>
  <si>
    <t>-580.994463095728 237.395262100503 -753.304793016343</t>
  </si>
  <si>
    <t>-478.969633898643 151.701009338907 -466.192263673329</t>
  </si>
  <si>
    <t>-319.48412552411 2.25829681653113 -325.219515357346</t>
  </si>
  <si>
    <t>-686.916305709374 56.9734817317512 -765.367204963893</t>
  </si>
  <si>
    <t>-578.179503068225 211.973028522925 -246.157388900075</t>
  </si>
  <si>
    <t>-581.098976967486 191.617888822608 209.073049239564</t>
  </si>
  <si>
    <t>-628.289934554726 168.842272363175 675.913358679865</t>
  </si>
  <si>
    <t>-496.199120767762 95.0345958190089 765.623771867426</t>
  </si>
  <si>
    <t>-637.885001400107 26.2079869981817 -214.312506957417</t>
  </si>
  <si>
    <t>-471.47809145191 -85.0830711979654 195.05366590405</t>
  </si>
  <si>
    <t>-550.930304683378 -29.8022188535424 654.835178497604</t>
  </si>
  <si>
    <t>-495.940394466392 -171.010272737829 744.165502730494</t>
  </si>
  <si>
    <t>9763-20170724T160554.425830800.bin</t>
  </si>
  <si>
    <t>-608.195580306376 118.860428022311 -230.702146596062</t>
  </si>
  <si>
    <t>-648.759598311837 112.520382736398 -344.641376425219</t>
  </si>
  <si>
    <t>-668.852212457503 105.609764708806 -463.968990344922</t>
  </si>
  <si>
    <t>-678.416209995071 98.9088052814718 -572.865749475216</t>
  </si>
  <si>
    <t>-679.425211914802 91.68637326316 -682.143645821164</t>
  </si>
  <si>
    <t>-671.904145295992 81.0083418969302 -833.898074521652</t>
  </si>
  <si>
    <t>-636.558979669378 59.1874366802524 -926.944090438112</t>
  </si>
  <si>
    <t>-662.393212410737 114.785250344236 -768.159450430355</t>
  </si>
  <si>
    <t>-581.702360408592 236.891179911091 -753.799117431528</t>
  </si>
  <si>
    <t>-479.022712595785 152.007280715501 -466.679157317127</t>
  </si>
  <si>
    <t>-321.090265348505 0.167707870102959 -326.521594449763</t>
  </si>
  <si>
    <t>-688.070818672202 56.6807546809271 -765.343542632251</t>
  </si>
  <si>
    <t>-578.095944011684 211.662098041653 -246.280153110394</t>
  </si>
  <si>
    <t>-581.086282910456 191.520625316633 208.959396718148</t>
  </si>
  <si>
    <t>-628.20960249519 168.927814697651 675.81505590548</t>
  </si>
  <si>
    <t>-496.310736463324 94.854871440954 765.589228287057</t>
  </si>
  <si>
    <t>-638.154759956243 26.0377784351763 -214.407178265129</t>
  </si>
  <si>
    <t>-471.733153178542 -85.52280372565 194.879717187752</t>
  </si>
  <si>
    <t>-550.871806379533 -29.8191622598329 654.617226305897</t>
  </si>
  <si>
    <t>-496.281577992307 -171.087021713037 744.097940761151</t>
  </si>
  <si>
    <t>9763-20170724T160554.490996900.bin</t>
  </si>
  <si>
    <t>-608.16474035328 118.366061102418 -230.901612679582</t>
  </si>
  <si>
    <t>-648.732953269571 112.169913192728 -344.84744658128</t>
  </si>
  <si>
    <t>-669.056698406735 105.276642327093 -464.136862404011</t>
  </si>
  <si>
    <t>-678.925364085375 98.5395316797444 -573.004254694057</t>
  </si>
  <si>
    <t>-680.335096719503 91.2296488451916 -682.271756162699</t>
  </si>
  <si>
    <t>-673.469954262257 80.3774777343767 -834.045076408768</t>
  </si>
  <si>
    <t>-638.639076731849 58.4255977465473 -927.254051447827</t>
  </si>
  <si>
    <t>-663.522769812844 114.162689489425 -768.375291896945</t>
  </si>
  <si>
    <t>-582.340319018396 235.991409592677 -754.650325911818</t>
  </si>
  <si>
    <t>-480.55452413549 152.330943009054 -466.853948146492</t>
  </si>
  <si>
    <t>-323.010491775193 0.0793602174903754 -326.706354847214</t>
  </si>
  <si>
    <t>-689.492333703325 56.1958037123493 -765.405069077698</t>
  </si>
  <si>
    <t>-577.647860871643 211.039042167437 -246.501503612867</t>
  </si>
  <si>
    <t>-581.033609624958 191.164306302775 208.747000626494</t>
  </si>
  <si>
    <t>-628.134047649981 168.793397700401 675.637763298333</t>
  </si>
  <si>
    <t>-496.495516981759 94.4813832723166 765.596258556271</t>
  </si>
  <si>
    <t>-638.537435451529 25.7526510209 -214.598158359987</t>
  </si>
  <si>
    <t>-472.390460674493 -86.2718332214531 194.673614847061</t>
  </si>
  <si>
    <t>-550.846792596476 -29.8713365802353 654.348720494401</t>
  </si>
  <si>
    <t>-496.807958365991 -171.185538095592 744.090595132018</t>
  </si>
  <si>
    <t>9763-20170724T160554.526092200.bin</t>
  </si>
  <si>
    <t>-608.076207180511 118.088048838678 -230.977276018121</t>
  </si>
  <si>
    <t>-648.673122304931 111.975110133048 -344.917235078286</t>
  </si>
  <si>
    <t>-669.115566466288 105.1516427617 -464.190523030391</t>
  </si>
  <si>
    <t>-679.128863143004 98.4730301573368 -573.048058382055</t>
  </si>
  <si>
    <t>-680.720011502314 91.2181820263363 -682.317039855549</t>
  </si>
  <si>
    <t>-674.144829080342 80.4393803092255 -834.108288237217</t>
  </si>
  <si>
    <t>-639.565013663389 58.4733946778267 -927.407235113764</t>
  </si>
  <si>
    <t>-664.031471576792 114.174589249347 -768.438202298404</t>
  </si>
  <si>
    <t>-582.866226786632 236.042167561664 -754.945605728276</t>
  </si>
  <si>
    <t>-481.349396342439 153.186374531136 -466.82152044982</t>
  </si>
  <si>
    <t>-690.076908890117 56.2426343211939 -765.452618904143</t>
  </si>
  <si>
    <t>-577.41999138558 210.633653543347 -246.573366926858</t>
  </si>
  <si>
    <t>-580.982266125958 190.932555426136 208.681343028113</t>
  </si>
  <si>
    <t>-628.149461113457 168.633376474558 675.599269313057</t>
  </si>
  <si>
    <t>-496.46055447607 94.4577580027881 765.596599664747</t>
  </si>
  <si>
    <t>-638.565437770873 25.6119934739829 -214.694423403478</t>
  </si>
  <si>
    <t>-472.625602198819 -86.6573797639564 194.59435365738</t>
  </si>
  <si>
    <t>-550.805781025087 -29.8745526043049 654.253836281519</t>
  </si>
  <si>
    <t>-497.009405997383 -171.216997438697 744.096863484571</t>
  </si>
  <si>
    <t>9763-20170724T160554.590268600.bin</t>
  </si>
  <si>
    <t>-607.850693319912 117.730831959606 -230.992135858213</t>
  </si>
  <si>
    <t>-648.570550867418 111.653296028997 -344.890237290741</t>
  </si>
  <si>
    <t>-669.231031148727 104.824118877201 -464.12558838579</t>
  </si>
  <si>
    <t>-679.479769190084 98.1264795222924 -572.960014970891</t>
  </si>
  <si>
    <t>-681.344082943468 90.8404036350094 -682.222598827103</t>
  </si>
  <si>
    <t>-675.186882127859 80.0070147355566 -834.027599323498</t>
  </si>
  <si>
    <t>-640.956533583531 57.9949337537894 -927.444432236822</t>
  </si>
  <si>
    <t>-664.85831557557 113.750629169225 -768.395172902852</t>
  </si>
  <si>
    <t>-583.566556367968 235.60024119782 -755.451486432298</t>
  </si>
  <si>
    <t>-484.587486435367 154.428801126197 -465.968229541824</t>
  </si>
  <si>
    <t>-690.964169166739 55.850299575284 -765.321868378902</t>
  </si>
  <si>
    <t>-576.991939425362 210.082498803694 -246.618121350478</t>
  </si>
  <si>
    <t>-580.610937337497 190.431438194608 208.638265485439</t>
  </si>
  <si>
    <t>-628.205623720607 168.362726979859 675.573521291995</t>
  </si>
  <si>
    <t>-496.482713735808 94.2828500815767 765.599961952418</t>
  </si>
  <si>
    <t>-638.545558297572 25.3848429864761 -214.653895898615</t>
  </si>
  <si>
    <t>-472.709484721772 -87.0750964959175 194.624465288704</t>
  </si>
  <si>
    <t>-550.759045569837 -29.8232858436709 654.222025304766</t>
  </si>
  <si>
    <t>-497.164812157776 -171.202314447545 744.128257720232</t>
  </si>
  <si>
    <t>9763-20170724T160554.627370000.bin</t>
  </si>
  <si>
    <t>-607.780211021596 117.632478354124 -230.952977503905</t>
  </si>
  <si>
    <t>-648.591787831939 111.569307433261 -344.818901241486</t>
  </si>
  <si>
    <t>-669.349621129808 104.746743001132 -464.037694265585</t>
  </si>
  <si>
    <t>-679.688076797544 98.0527013049025 -572.864064293712</t>
  </si>
  <si>
    <t>-681.642931773804 90.7689751665459 -682.125007951641</t>
  </si>
  <si>
    <t>-675.612337115119 79.9377763717844 -833.935168110789</t>
  </si>
  <si>
    <t>-641.499772053596 57.962117397778 -927.403756040366</t>
  </si>
  <si>
    <t>-665.231431178959 113.681470335961 -768.311048100884</t>
  </si>
  <si>
    <t>-584.014469898111 235.589276662396 -755.527936511003</t>
  </si>
  <si>
    <t>-486.428215013645 155.092364736797 -465.384222411354</t>
  </si>
  <si>
    <t>-691.329955435265 55.7790107363999 -765.216688162268</t>
  </si>
  <si>
    <t>-576.908164502849 210.007489164507 -246.595636539469</t>
  </si>
  <si>
    <t>-580.425966220835 190.177559985557 208.653883413982</t>
  </si>
  <si>
    <t>-628.222169398965 168.248388741956 675.555768619788</t>
  </si>
  <si>
    <t>-496.495658616257 94.215701214405 765.615728275012</t>
  </si>
  <si>
    <t>-638.471440472226 25.3283066295453 -214.60366731403</t>
  </si>
  <si>
    <t>-472.557153966823 -87.0308240835943 194.670721766802</t>
  </si>
  <si>
    <t>-550.738808221913 -29.7733787843488 654.250752018498</t>
  </si>
  <si>
    <t>-497.1378597035 -171.165547958478 744.13236707874</t>
  </si>
  <si>
    <t>9763-20170724T160554.693575300.bin</t>
  </si>
  <si>
    <t>-607.579343310134 117.63956126499 -230.852771990393</t>
  </si>
  <si>
    <t>-648.460302349257 111.438667516898 -344.686518092548</t>
  </si>
  <si>
    <t>-669.361757813396 104.526783740826 -463.875019880897</t>
  </si>
  <si>
    <t>-679.85938771447 97.773955680002 -572.68254128951</t>
  </si>
  <si>
    <t>-682.002151255167 90.4541214952676 -681.937625834437</t>
  </si>
  <si>
    <t>-676.261231571529 79.597644058214 -833.757084634599</t>
  </si>
  <si>
    <t>-642.318554823579 57.7254127846747 -927.311942114415</t>
  </si>
  <si>
    <t>-665.786989300676 113.366455039926 -768.160786696537</t>
  </si>
  <si>
    <t>-584.769455844744 235.431564882853 -755.566859874186</t>
  </si>
  <si>
    <t>-488.503200628234 157.269993008738 -464.345642753247</t>
  </si>
  <si>
    <t>-691.815853671685 55.4361156699088 -765.002568957921</t>
  </si>
  <si>
    <t>-576.78125478559 209.945165530192 -246.578878455555</t>
  </si>
  <si>
    <t>-580.230858715829 190.104735630892 208.670591923607</t>
  </si>
  <si>
    <t>-628.223797701218 167.945474168448 675.50202284173</t>
  </si>
  <si>
    <t>-496.418357856582 94.1645729382292 765.653106048461</t>
  </si>
  <si>
    <t>-638.189904143701 25.3621067501722 -214.392998857266</t>
  </si>
  <si>
    <t>-471.950589487418 -86.8860646735477 194.779903554083</t>
  </si>
  <si>
    <t>-550.710965772458 -29.6612618753063 654.287331350368</t>
  </si>
  <si>
    <t>-497.050623875037 -171.085188134985 744.083612409031</t>
  </si>
  <si>
    <t>9763-20170724T160554.730663200.bin</t>
  </si>
  <si>
    <t>-607.545193324177 117.669809837202 -230.81053522097</t>
  </si>
  <si>
    <t>-648.403338740675 111.372324795249 -344.647057912214</t>
  </si>
  <si>
    <t>-669.330077010601 104.411263762351 -463.828344122655</t>
  </si>
  <si>
    <t>-679.870053470416 97.6333108128365 -572.630107048814</t>
  </si>
  <si>
    <t>-682.07462363903 90.307102664422 -681.883487220246</t>
  </si>
  <si>
    <t>-676.439349176763 79.4611077309735 -833.707818734365</t>
  </si>
  <si>
    <t>-642.544836473522 57.6585281302225 -927.29629341278</t>
  </si>
  <si>
    <t>-665.956813866425 113.242001667433 -768.119192054457</t>
  </si>
  <si>
    <t>-584.932997213555 235.301323182275 -755.550146251988</t>
  </si>
  <si>
    <t>-489.354062083358 158.049062190918 -463.860256540024</t>
  </si>
  <si>
    <t>-691.90877722412 55.2782199160638 -764.941463322734</t>
  </si>
  <si>
    <t>-576.880048973075 210.040122363751 -246.588129846074</t>
  </si>
  <si>
    <t>-580.381817460724 190.192937085482 208.660701310806</t>
  </si>
  <si>
    <t>-628.217770451383 167.859540792787 675.495792647215</t>
  </si>
  <si>
    <t>-496.322030793357 94.2412536460026 765.647732652145</t>
  </si>
  <si>
    <t>-638.003672251682 25.3260487420562 -214.351525168875</t>
  </si>
  <si>
    <t>-471.620729418854 -86.7206926221133 194.818344401329</t>
  </si>
  <si>
    <t>-550.717584588422 -29.6272671118218 654.295575602408</t>
  </si>
  <si>
    <t>-496.944031276078 -171.03451484599 744.05011763387</t>
  </si>
  <si>
    <t>9763-20170724T160554.794582200.bin</t>
  </si>
  <si>
    <t>-608.062011999774 118.055877199288 -230.702751040989</t>
  </si>
  <si>
    <t>-648.886298944393 111.597143325602 -344.542446177652</t>
  </si>
  <si>
    <t>-669.845645079547 104.580853746772 -463.714891317547</t>
  </si>
  <si>
    <t>-680.441794014328 97.798251090652 -572.510790312677</t>
  </si>
  <si>
    <t>-682.728587685321 90.5134690691468 -681.765241042098</t>
  </si>
  <si>
    <t>-677.234007531728 79.7735364214241 -833.602273845274</t>
  </si>
  <si>
    <t>-643.377429807583 58.1084755863076 -927.236398791688</t>
  </si>
  <si>
    <t>-666.789711328297 113.552382802632 -768.006396315221</t>
  </si>
  <si>
    <t>-586.03481910049 235.751383576656 -755.033908195614</t>
  </si>
  <si>
    <t>-489.785136267489 157.544389252907 -463.819433632282</t>
  </si>
  <si>
    <t>-692.540625074753 55.4989147521619 -764.831914959754</t>
  </si>
  <si>
    <t>-577.626315721735 210.631936026741 -246.566482058258</t>
  </si>
  <si>
    <t>-580.87444125681 190.636390149503 208.677657809912</t>
  </si>
  <si>
    <t>-628.133789783862 168.014707955621 675.476042615699</t>
  </si>
  <si>
    <t>-496.355431507767 94.2355492994132 765.668129817664</t>
  </si>
  <si>
    <t>-638.328470788028 25.5537604613955 -214.112429925397</t>
  </si>
  <si>
    <t>-470.841715387005 -86.1882497926931 194.690155181628</t>
  </si>
  <si>
    <t>-550.761282500278 -29.6336501214637 654.166570316976</t>
  </si>
  <si>
    <t>-496.620121484759 -170.919640854742 743.891366966623</t>
  </si>
  <si>
    <t>9763-20170724T160554.827677100.bin</t>
  </si>
  <si>
    <t>-608.731960529419 118.457089282347 -230.54917733332</t>
  </si>
  <si>
    <t>-649.520931887728 111.907469059973 -344.396257157211</t>
  </si>
  <si>
    <t>-670.451355947693 104.872218113779 -463.572548908583</t>
  </si>
  <si>
    <t>-681.023394235834 98.1041601398301 -572.371722536949</t>
  </si>
  <si>
    <t>-683.287988128521 90.8665339588747 -681.630055058291</t>
  </si>
  <si>
    <t>-677.763590520609 80.2277885499022 -833.472921402978</t>
  </si>
  <si>
    <t>-643.890255992037 58.6593102708125 -927.123185232105</t>
  </si>
  <si>
    <t>-667.366159753313 113.977884874673 -767.854911078373</t>
  </si>
  <si>
    <t>-586.641403029109 236.168316386858 -754.62995629221</t>
  </si>
  <si>
    <t>-489.232994706228 156.683599937783 -464.147724371083</t>
  </si>
  <si>
    <t>-693.049757466764 55.8923402238233 -764.719508467165</t>
  </si>
  <si>
    <t>-578.328050539494 211.110343664616 -246.522728857046</t>
  </si>
  <si>
    <t>-581.275734820121 190.993647104917 208.718268926167</t>
  </si>
  <si>
    <t>-628.084650682981 168.191184902161 675.506709911414</t>
  </si>
  <si>
    <t>-496.397331399858 94.2487615404239 765.698041208566</t>
  </si>
  <si>
    <t>-638.973774625017 25.8998402205768 -213.85470074936</t>
  </si>
  <si>
    <t>-470.368813254489 -86.0219778506141 194.438771534809</t>
  </si>
  <si>
    <t>-550.709119242488 -29.6670807422183 653.919506137202</t>
  </si>
  <si>
    <t>-496.451706408358 -170.874100793789 743.698200670287</t>
  </si>
  <si>
    <t>9763-20170724T160554.890843900.bin</t>
  </si>
  <si>
    <t>-610.121538670004 119.727460635147 -230.217262474219</t>
  </si>
  <si>
    <t>-650.947133066714 113.129847805895 -344.048451065478</t>
  </si>
  <si>
    <t>-671.919945325781 106.070465377895 -463.215952601659</t>
  </si>
  <si>
    <t>-682.531840636243 99.2989858253982 -572.011206375415</t>
  </si>
  <si>
    <t>-684.837108834465 92.0818059487524 -681.269716405532</t>
  </si>
  <si>
    <t>-679.369314827169 81.5011690029457 -833.118865580796</t>
  </si>
  <si>
    <t>-645.513241742938 60.0854905171334 -926.810376953911</t>
  </si>
  <si>
    <t>-668.924975106556 115.216301872506 -767.490155807272</t>
  </si>
  <si>
    <t>-588.080094988175 237.27318607961 -753.868194211239</t>
  </si>
  <si>
    <t>-486.772979878933 153.972110039531 -465.798852770444</t>
  </si>
  <si>
    <t>-694.652302391123 57.1492579641188 -764.370537820333</t>
  </si>
  <si>
    <t>-579.461961463106 212.393467379042 -246.392860826297</t>
  </si>
  <si>
    <t>-582.104163341431 192.145309032 208.844092989304</t>
  </si>
  <si>
    <t>-628.020716609411 168.415582267695 675.577858163444</t>
  </si>
  <si>
    <t>-496.922394754278 93.6096538851273 765.9150834908</t>
  </si>
  <si>
    <t>-640.692346920417 27.1032325436911 -213.316119957397</t>
  </si>
  <si>
    <t>-469.616952427856 -85.6409210807058 193.721548531806</t>
  </si>
  <si>
    <t>-550.510352994375 -29.7723706645857 653.164938795228</t>
  </si>
  <si>
    <t>-496.344053172073 -170.856702782016 743.191234988334</t>
  </si>
  <si>
    <t>9763-20170724T160554.926950900.bin</t>
  </si>
  <si>
    <t>-610.779331265396 120.461704551921 -230.100772867408</t>
  </si>
  <si>
    <t>-651.665072267883 113.947733096139 -343.915162838856</t>
  </si>
  <si>
    <t>-672.691827338977 106.918558058544 -463.074919125939</t>
  </si>
  <si>
    <t>-683.350148658257 100.15806227604 -571.866252993594</t>
  </si>
  <si>
    <t>-685.698507473361 92.9404789370892 -681.123858387141</t>
  </si>
  <si>
    <t>-680.287344114404 82.3504127993563 -832.974341813417</t>
  </si>
  <si>
    <t>-646.462917384857 60.9780268871789 -926.687185954507</t>
  </si>
  <si>
    <t>-669.752801195689 116.040548959268 -767.347318470275</t>
  </si>
  <si>
    <t>-588.58547225521 237.877376660045 -753.570217203041</t>
  </si>
  <si>
    <t>-484.899314703783 152.142815274183 -467.065547432596</t>
  </si>
  <si>
    <t>-695.610503539466 58.0317429976458 -764.223222579628</t>
  </si>
  <si>
    <t>-579.796483886488 213.129570160605 -246.358455350579</t>
  </si>
  <si>
    <t>-582.630711182844 192.724919062419 208.870334925069</t>
  </si>
  <si>
    <t>-628.013312182107 168.482698124272 675.665183779591</t>
  </si>
  <si>
    <t>-497.253621811171 93.1469527078016 766.052914912294</t>
  </si>
  <si>
    <t>-641.784042081382 27.8726487976016 -213.162296205346</t>
  </si>
  <si>
    <t>-469.962676724389 -85.3337545879372 193.432651240139</t>
  </si>
  <si>
    <t>-550.505519188011 -29.8063199721275 652.901045913153</t>
  </si>
  <si>
    <t>-496.349894390646 -170.84490521438 743.005447183232</t>
  </si>
  <si>
    <t>9763-20170724T160554.993122300.bin</t>
  </si>
  <si>
    <t>-611.605550654304 121.424645701806 -230.241416716846</t>
  </si>
  <si>
    <t>-652.367471350127 114.971013816161 -344.103758798572</t>
  </si>
  <si>
    <t>-673.363682595589 107.918970297499 -463.267445165006</t>
  </si>
  <si>
    <t>-684.035633574467 101.101665231447 -572.053861409657</t>
  </si>
  <si>
    <t>-686.439888784165 93.7909132307138 -681.304184663081</t>
  </si>
  <si>
    <t>-681.150822216973 83.0330907955179 -833.147161691619</t>
  </si>
  <si>
    <t>-647.443191800795 61.5502585574468 -926.876931586385</t>
  </si>
  <si>
    <t>-670.313940106229 116.684122801403 -767.549175014836</t>
  </si>
  <si>
    <t>-587.803272184861 237.614580848647 -753.769762641133</t>
  </si>
  <si>
    <t>-479.968254984181 146.78104014174 -470.384712072553</t>
  </si>
  <si>
    <t>-696.668166154313 58.9021021104427 -764.373434626223</t>
  </si>
  <si>
    <t>-579.703873895762 213.845765942546 -246.505877154081</t>
  </si>
  <si>
    <t>-583.240087749412 193.959110810978 208.740905905477</t>
  </si>
  <si>
    <t>-627.949722209142 168.961796272053 675.700466771019</t>
  </si>
  <si>
    <t>-497.588194082013 92.7342197959542 765.915400140697</t>
  </si>
  <si>
    <t>-643.285036133845 28.9740662904526 -213.314265007559</t>
  </si>
  <si>
    <t>-471.795499223047 -84.9047769646393 193.232940768481</t>
  </si>
  <si>
    <t>-550.786625172588 -29.7510113902063 652.942614069936</t>
  </si>
  <si>
    <t>-496.619504002495 -170.824305868047 742.985648745331</t>
  </si>
  <si>
    <t>9763-20170724T160555.059300500.bin</t>
  </si>
  <si>
    <t>-612.259378165376 121.890178193577 -230.386021468709</t>
  </si>
  <si>
    <t>-652.927485662062 115.796472686277 -344.301786535382</t>
  </si>
  <si>
    <t>-673.896381974726 108.868231993664 -463.477513609871</t>
  </si>
  <si>
    <t>-684.575661172132 102.049609234904 -572.263152895982</t>
  </si>
  <si>
    <t>-687.02168600183 94.6155194637859 -681.504240603078</t>
  </si>
  <si>
    <t>-681.828967320886 83.5507327971411 -833.328415548235</t>
  </si>
  <si>
    <t>-648.349130037474 61.7389109235512 -927.063820488662</t>
  </si>
  <si>
    <t>-670.599215414263 117.172901894795 -767.78181699254</t>
  </si>
  <si>
    <t>-586.177985194983 236.831118781714 -754.228464433271</t>
  </si>
  <si>
    <t>-474.962006140752 140.558894033011 -473.96285168403</t>
  </si>
  <si>
    <t>-697.653863157056 59.7203208261158 -764.520001221201</t>
  </si>
  <si>
    <t>-579.7896511838 214.05350620427 -246.542772911416</t>
  </si>
  <si>
    <t>-583.526229599153 194.173729157214 208.70277951685</t>
  </si>
  <si>
    <t>-628.005544403301 169.156555548949 675.733920092146</t>
  </si>
  <si>
    <t>-497.811490566413 92.4153085798571 765.755043312642</t>
  </si>
  <si>
    <t>-644.578673759103 29.7428088286276 -213.582529759151</t>
  </si>
  <si>
    <t>-473.925080429843 -85.1374907711736 193.034705991638</t>
  </si>
  <si>
    <t>-551.055136318058 -29.7411275202683 653.060801912181</t>
  </si>
  <si>
    <t>-496.920067446618 -170.817069593052 743.119114041022</t>
  </si>
  <si>
    <t>9763-20170724T160555.091394700.bin</t>
  </si>
  <si>
    <t>-612.514441090936 122.021885222402 -230.396329928842</t>
  </si>
  <si>
    <t>-653.182028605981 116.1554204027 -344.324014031735</t>
  </si>
  <si>
    <t>-674.155007734046 109.282199911794 -463.502285599787</t>
  </si>
  <si>
    <t>-684.842267338687 102.43804569153 -572.285678758639</t>
  </si>
  <si>
    <t>-687.301737659672 94.901118124787 -681.519265446598</t>
  </si>
  <si>
    <t>-682.134653017625 83.6108482722418 -833.327876545965</t>
  </si>
  <si>
    <t>-648.842176109533 61.6049715447962 -927.084619712824</t>
  </si>
  <si>
    <t>-670.708050739637 117.242840147507 -767.820285508318</t>
  </si>
  <si>
    <t>-585.318704406862 236.216542964055 -754.427735869981</t>
  </si>
  <si>
    <t>-473.050740386108 137.599559687043 -475.399496385703</t>
  </si>
  <si>
    <t>-698.133789119076 59.9700636322393 -764.494177727685</t>
  </si>
  <si>
    <t>-579.592210187217 213.913255032061 -246.508982895217</t>
  </si>
  <si>
    <t>-583.263915593621 194.003103973803 208.735716202317</t>
  </si>
  <si>
    <t>-628.02818424025 169.201905246547 675.778490401264</t>
  </si>
  <si>
    <t>-497.880673375158 92.2812831881026 765.713776840304</t>
  </si>
  <si>
    <t>-645.280858095668 30.1209805956046 -213.550425795753</t>
  </si>
  <si>
    <t>-474.735756917191 -85.5612538221062 192.884974681339</t>
  </si>
  <si>
    <t>-551.062276258324 -29.7648132429547 652.97990569745</t>
  </si>
  <si>
    <t>-497.198901995098 -170.864604456609 743.163594551902</t>
  </si>
  <si>
    <t>9763-20170724T160555.122475500.bin</t>
  </si>
  <si>
    <t>-612.598098863412 122.032349315405 -230.320170203408</t>
  </si>
  <si>
    <t>-653.309833089332 116.424867468243 -344.245119915236</t>
  </si>
  <si>
    <t>-674.344952061441 109.640189480169 -463.417516985318</t>
  </si>
  <si>
    <t>-685.097438575827 102.805643682386 -572.194955719974</t>
  </si>
  <si>
    <t>-687.632030254669 95.2080988692642 -681.422604963393</t>
  </si>
  <si>
    <t>-682.580377656597 83.7606036791619 -833.223344363681</t>
  </si>
  <si>
    <t>-649.523250421375 61.6170238303787 -927.03093676486</t>
  </si>
  <si>
    <t>-670.935644063057 117.379922834332 -767.747624418758</t>
  </si>
  <si>
    <t>-584.759833362305 235.798525282146 -754.565105330262</t>
  </si>
  <si>
    <t>-471.201705707209 134.854203248612 -476.894538317129</t>
  </si>
  <si>
    <t>-698.695444487114 60.2716858903177 -764.364743630307</t>
  </si>
  <si>
    <t>-579.174608742358 213.696975692784 -246.442542750424</t>
  </si>
  <si>
    <t>-582.926819455136 193.755918217351 208.800225743732</t>
  </si>
  <si>
    <t>-627.989667008552 169.226711415078 675.727887930194</t>
  </si>
  <si>
    <t>-497.994644539359 92.0927518936287 765.700980037283</t>
  </si>
  <si>
    <t>-645.865560389881 30.3331715108156 -213.470479973037</t>
  </si>
  <si>
    <t>-475.441977396932 -86.0724804980832 192.809175464915</t>
  </si>
  <si>
    <t>-551.044589625436 -29.7509363633264 652.920469960215</t>
  </si>
  <si>
    <t>-497.50091506961 -170.914502559421 743.194723837444</t>
  </si>
  <si>
    <t>9763-20170724T160555.189194500.bin</t>
  </si>
  <si>
    <t>-612.415537516815 122.045161399315 -230.288558327266</t>
  </si>
  <si>
    <t>-653.236750260022 116.833554118738 -344.193261082432</t>
  </si>
  <si>
    <t>-674.408999742585 110.166803677605 -463.347983974665</t>
  </si>
  <si>
    <t>-685.299210940862 103.326303829131 -572.111301329064</t>
  </si>
  <si>
    <t>-687.985712989343 95.6128880093693 -681.32727052713</t>
  </si>
  <si>
    <t>-683.161082097307 83.8912372962768 -833.114484115597</t>
  </si>
  <si>
    <t>-650.542445542312 61.576092846766 -927.034888490288</t>
  </si>
  <si>
    <t>-671.143260123716 117.494461653143 -767.697958915443</t>
  </si>
  <si>
    <t>-583.560285023479 234.926883902165 -755.030725614269</t>
  </si>
  <si>
    <t>-470.262278655003 129.19568641538 -479.040293019778</t>
  </si>
  <si>
    <t>-699.448282172422 60.661092033715 -764.208779538587</t>
  </si>
  <si>
    <t>-578.066842784002 213.35702263893 -246.454624660882</t>
  </si>
  <si>
    <t>-582.214047830665 193.445641324962 208.785948808906</t>
  </si>
  <si>
    <t>-627.873725346733 169.316857714425 675.667639535184</t>
  </si>
  <si>
    <t>-498.274470439057 91.6748874682664 765.774636459757</t>
  </si>
  <si>
    <t>-646.605236612984 30.7478153212096 -213.440461026994</t>
  </si>
  <si>
    <t>-476.60733861741 -86.6836829589083 192.722292553016</t>
  </si>
  <si>
    <t>-551.095178232775 -29.606261605559 652.974405157369</t>
  </si>
  <si>
    <t>-498.016971461569 -170.949080015676 743.243133715893</t>
  </si>
  <si>
    <t>9763-20170724T160555.225290900.bin</t>
  </si>
  <si>
    <t>-612.248971007831 122.10314711162 -230.287302542562</t>
  </si>
  <si>
    <t>-653.095780278314 117.076335566057 -344.191040369736</t>
  </si>
  <si>
    <t>-674.288314229836 110.484933109579 -463.346405158243</t>
  </si>
  <si>
    <t>-685.195684564189 103.666430898629 -572.10941557844</t>
  </si>
  <si>
    <t>-687.898718639342 95.9285744694341 -681.323233008051</t>
  </si>
  <si>
    <t>-683.097046791009 84.1242017586023 -833.104692576349</t>
  </si>
  <si>
    <t>-650.682766492591 61.7756829326379 -927.088006566938</t>
  </si>
  <si>
    <t>-670.954806222843 117.706234779828 -767.70030586183</t>
  </si>
  <si>
    <t>-582.678181155819 234.672830166038 -755.398797735416</t>
  </si>
  <si>
    <t>-472.012539070824 125.546134885349 -479.662225902855</t>
  </si>
  <si>
    <t>-699.488514099008 60.9882533347306 -764.191901681955</t>
  </si>
  <si>
    <t>-577.526813472281 213.284137942973 -246.479657122675</t>
  </si>
  <si>
    <t>-581.911612696906 193.263961382925 208.753974868788</t>
  </si>
  <si>
    <t>-627.798976804929 169.125655659939 675.556013367756</t>
  </si>
  <si>
    <t>-498.288690671065 91.5456065879428 765.844056253829</t>
  </si>
  <si>
    <t>-646.783798639073 30.9952052375797 -213.44453730141</t>
  </si>
  <si>
    <t>-477.000544510145 -87.013045615789 192.640890621868</t>
  </si>
  <si>
    <t>-551.107671117588 -29.5510179269065 652.931065662217</t>
  </si>
  <si>
    <t>-498.210970401826 -170.961182796999 743.200904059516</t>
  </si>
  <si>
    <t>9763-20170724T160555.294673700.bin</t>
  </si>
  <si>
    <t>-611.692919828928 122.394198005813 -230.389834224281</t>
  </si>
  <si>
    <t>-652.584500737747 117.529302462596 -344.284719679642</t>
  </si>
  <si>
    <t>-673.742659615447 111.092615219582 -463.454470507353</t>
  </si>
  <si>
    <t>-684.586706669467 104.40335642254 -572.232012303703</t>
  </si>
  <si>
    <t>-687.194130179347 96.7807264681085 -681.456137695305</t>
  </si>
  <si>
    <t>-682.226871499467 85.1182135233983 -833.243303134169</t>
  </si>
  <si>
    <t>-650.128303344654 62.840375935808 -927.351587938562</t>
  </si>
  <si>
    <t>-670.024451173031 118.573081218864 -767.785010421601</t>
  </si>
  <si>
    <t>-580.664925950578 234.789193423335 -756.285468702439</t>
  </si>
  <si>
    <t>-480.678079394818 115.745093918145 -480.573021573816</t>
  </si>
  <si>
    <t>-698.82503356967 61.9839166311112 -764.379411281947</t>
  </si>
  <si>
    <t>-576.590737128911 213.413003756274 -246.612157145817</t>
  </si>
  <si>
    <t>-581.404007464577 193.264097116587 208.61148760697</t>
  </si>
  <si>
    <t>-627.585816807172 168.816723232157 675.319686208651</t>
  </si>
  <si>
    <t>-498.351272305915 91.2753841891945 766.035079616508</t>
  </si>
  <si>
    <t>-646.540651714827 31.4616279343836 -213.540538726653</t>
  </si>
  <si>
    <t>-477.002870159816 -87.196033148253 192.45819638912</t>
  </si>
  <si>
    <t>-551.059388431184 -29.4593109500443 652.727358308346</t>
  </si>
  <si>
    <t>-498.417420650037 -170.957072800047 743.008637048227</t>
  </si>
  <si>
    <t>9763-20170724T160555.327770400.bin</t>
  </si>
  <si>
    <t>-611.367874811589 122.609072240455 -230.500944783401</t>
  </si>
  <si>
    <t>-652.330059483102 117.745784085235 -344.370493440879</t>
  </si>
  <si>
    <t>-673.388744062661 111.370846938699 -463.561233335032</t>
  </si>
  <si>
    <t>-684.07160038197 104.753900187048 -572.359001853431</t>
  </si>
  <si>
    <t>-686.446661693288 97.2152801544444 -681.594397054149</t>
  </si>
  <si>
    <t>-681.083009326574 85.6777301950178 -833.377571114921</t>
  </si>
  <si>
    <t>-649.053564667931 63.459464318978 -927.523381914995</t>
  </si>
  <si>
    <t>-669.024323174819 119.064935859128 -767.857989216524</t>
  </si>
  <si>
    <t>-579.334655785031 235.038535292887 -756.549778572827</t>
  </si>
  <si>
    <t>-486.284343120741 109.654612227989 -481.219576290232</t>
  </si>
  <si>
    <t>-697.888100782465 62.5006514391871 -764.578346389277</t>
  </si>
  <si>
    <t>-576.298054977672 213.56735102932 -246.711434592016</t>
  </si>
  <si>
    <t>-581.116053558826 193.172949134127 208.501140914759</t>
  </si>
  <si>
    <t>-627.529971295726 168.522803629367 675.206982326647</t>
  </si>
  <si>
    <t>-498.241836417069 91.2982964946389 766.116103809096</t>
  </si>
  <si>
    <t>-646.144278738213 31.7358557109692 -213.651192090644</t>
  </si>
  <si>
    <t>-476.776994047642 -86.9329937139919 192.415475225554</t>
  </si>
  <si>
    <t>-551.095983670936 -29.3930308976474 652.698321694721</t>
  </si>
  <si>
    <t>-498.39035679284 -170.919921974395 742.896920665508</t>
  </si>
  <si>
    <t>9763-20170724T160555.362854700.bin</t>
  </si>
  <si>
    <t>-611.216693349825 122.967830565028 -230.587744400718</t>
  </si>
  <si>
    <t>-652.297344537006 118.04595753596 -344.411953391252</t>
  </si>
  <si>
    <t>-673.218673570588 111.770867728992 -463.632289474556</t>
  </si>
  <si>
    <t>-683.668560613359 105.299395481378 -572.46142103709</t>
  </si>
  <si>
    <t>-685.701610180665 97.9550392474239 -681.717052637371</t>
  </si>
  <si>
    <t>-679.749374128524 86.7334134539115 -833.501870184204</t>
  </si>
  <si>
    <t>-647.743379450043 64.6318648445586 -927.683310728529</t>
  </si>
  <si>
    <t>-667.951062663947 119.98724421873 -767.867301999821</t>
  </si>
  <si>
    <t>-577.977716233221 235.720509381985 -756.516341331323</t>
  </si>
  <si>
    <t>-491.74224716247 104.680613240957 -481.601548470255</t>
  </si>
  <si>
    <t>-696.814941634356 63.4101492957302 -764.816310389919</t>
  </si>
  <si>
    <t>-576.385785602154 213.998892233902 -246.794656257929</t>
  </si>
  <si>
    <t>-580.84417133252 193.158851602557 208.40144858895</t>
  </si>
  <si>
    <t>-627.485056831945 168.246467895313 675.100424199008</t>
  </si>
  <si>
    <t>-498.237156484176 91.1869892504994 766.206569743507</t>
  </si>
  <si>
    <t>-645.789339033295 32.0419797093236 -213.717679837983</t>
  </si>
  <si>
    <t>-476.388594579086 -86.3712045946713 192.409570776455</t>
  </si>
  <si>
    <t>-551.158312576561 -29.2987992862027 652.709363523049</t>
  </si>
  <si>
    <t>-498.250393136318 -170.846847455906 742.756056802257</t>
  </si>
  <si>
    <t>9763-20170724T160555.424024300.bin</t>
  </si>
  <si>
    <t>-611.912093660319 123.861761100469 -230.704150474377</t>
  </si>
  <si>
    <t>-653.329257127172 118.591606123626 -344.390804648488</t>
  </si>
  <si>
    <t>-673.690604244872 112.482159696697 -463.716735165906</t>
  </si>
  <si>
    <t>-683.254901598994 106.324889508167 -572.645450190954</t>
  </si>
  <si>
    <t>-684.021996680175 99.4316465877253 -681.946433376135</t>
  </si>
  <si>
    <t>-675.91864067702 88.9544127899974 -833.68505775322</t>
  </si>
  <si>
    <t>-643.679257743585 67.121276036218 -927.84931670472</t>
  </si>
  <si>
    <t>-665.053827980627 121.885869189518 -767.727518099156</t>
  </si>
  <si>
    <t>-574.236020716388 236.986406875006 -756.548476769022</t>
  </si>
  <si>
    <t>-500.911287456939 96.4690826590636 -482.569353139003</t>
  </si>
  <si>
    <t>-693.954415634082 65.2946649481967 -765.363390187915</t>
  </si>
  <si>
    <t>-578.331196769072 215.309242463634 -246.902841077268</t>
  </si>
  <si>
    <t>-580.88139463337 193.21999975228 208.24907986865</t>
  </si>
  <si>
    <t>-627.481066136586 167.743925047704 674.992219764897</t>
  </si>
  <si>
    <t>-497.89381568647 91.4672017623209 766.274844262124</t>
  </si>
  <si>
    <t>-645.262762603783 32.5542986764026 -213.867591008654</t>
  </si>
  <si>
    <t>-475.495557255802 -84.6646529242823 192.453082701607</t>
  </si>
  <si>
    <t>-551.309104843122 -29.0985549124337 652.772514742076</t>
  </si>
  <si>
    <t>-497.699546131256 -170.644619505287 742.406453949788</t>
  </si>
  <si>
    <t>9763-20170724T160555.509763200.bin</t>
  </si>
  <si>
    <t>-614.076758144687 124.290655595283 -230.907413998901</t>
  </si>
  <si>
    <t>-655.772757194573 118.542793201755 -344.468931270744</t>
  </si>
  <si>
    <t>-675.225303422085 112.652815954584 -463.957333139773</t>
  </si>
  <si>
    <t>-683.463656200188 106.915335878363 -573.017158464537</t>
  </si>
  <si>
    <t>-682.400969619995 100.62264095873 -682.352143334892</t>
  </si>
  <si>
    <t>-671.236809501949 91.1330137631337 -833.96121703828</t>
  </si>
  <si>
    <t>-638.549572391404 69.6314756353379 -928.047443273406</t>
  </si>
  <si>
    <t>-661.783980060357 123.672496153646 -767.593010682618</t>
  </si>
  <si>
    <t>-569.912152945938 237.832453572483 -755.575257652142</t>
  </si>
  <si>
    <t>-508.596825358628 88.0886228931954 -483.539664095539</t>
  </si>
  <si>
    <t>-690.569232098433 66.9912586872556 -766.164789934094</t>
  </si>
  <si>
    <t>-582.350443987315 216.342542421805 -246.90601729183</t>
  </si>
  <si>
    <t>-582.169512522137 193.180362150008 208.199634056635</t>
  </si>
  <si>
    <t>-627.634339767039 167.225956508823 675.031647800944</t>
  </si>
  <si>
    <t>-497.361488546321 92.0414682853791 766.244508534618</t>
  </si>
  <si>
    <t>-645.63814470625 32.3779628982993 -214.249885143667</t>
  </si>
  <si>
    <t>-474.896995311236 -82.3036441097584 192.386625964524</t>
  </si>
  <si>
    <t>-551.545084632334 -29.0532996758743 652.82507652649</t>
  </si>
  <si>
    <t>-496.835130141637 -170.395268010908 742.115482902978</t>
  </si>
  <si>
    <t>9763-20170724T160555.525805200.bin</t>
  </si>
  <si>
    <t>-615.759287996924 124.475000843961 -231.100233903662</t>
  </si>
  <si>
    <t>-657.567224498887 118.621770395836 -344.615131026098</t>
  </si>
  <si>
    <t>-676.368652965231 113.003911627372 -464.220775829253</t>
  </si>
  <si>
    <t>-683.695093821917 107.633994026913 -573.364446395715</t>
  </si>
  <si>
    <t>-681.397980983646 101.809833161263 -682.70635247713</t>
  </si>
  <si>
    <t>-668.188448486651 93.0577344133462 -834.19536057007</t>
  </si>
  <si>
    <t>-635.039696700025 71.8734923284189 -928.19207505281</t>
  </si>
  <si>
    <t>-659.717179953112 125.315954145587 -767.557755396467</t>
  </si>
  <si>
    <t>-567.352351076936 238.957178659748 -754.573469803669</t>
  </si>
  <si>
    <t>-511.998044428049 84.6095574991632 -483.835728530566</t>
  </si>
  <si>
    <t>-688.34938261331 68.5445219710082 -766.774620529815</t>
  </si>
  <si>
    <t>-584.931521480618 216.944718060651 -246.88416601128</t>
  </si>
  <si>
    <t>-583.347473152748 193.382097356226 208.198238322403</t>
  </si>
  <si>
    <t>-627.762089035084 166.940356452807 675.116896497095</t>
  </si>
  <si>
    <t>-497.147148456598 92.2205155337037 766.222318941648</t>
  </si>
  <si>
    <t>-646.446607051723 32.1678632217861 -214.605714550627</t>
  </si>
  <si>
    <t>-475.023069459108 -80.9602323581935 192.178812631239</t>
  </si>
  <si>
    <t>-551.66732683989 -29.1218275690903 652.780529525338</t>
  </si>
  <si>
    <t>-496.393490557794 -170.28538814438 742.005847186938</t>
  </si>
  <si>
    <t>9763-20170724T160555.594265500.bin</t>
  </si>
  <si>
    <t>-620.331351784866 124.659703115907 -231.650885298171</t>
  </si>
  <si>
    <t>-661.966050105942 118.777630432079 -345.227884837764</t>
  </si>
  <si>
    <t>-678.874023999207 113.793238842832 -465.143879097764</t>
  </si>
  <si>
    <t>-683.768463013759 109.208690789539 -574.459390801947</t>
  </si>
  <si>
    <t>-678.327662978782 104.345236504021 -683.736908957952</t>
  </si>
  <si>
    <t>-660.027607739611 97.077881392644 -834.774395446828</t>
  </si>
  <si>
    <t>-625.376586281967 76.7329524011009 -928.414014760222</t>
  </si>
  <si>
    <t>-654.032854163829 128.791709294612 -767.608842115739</t>
  </si>
  <si>
    <t>-561.207394345998 241.741289972232 -751.914522539551</t>
  </si>
  <si>
    <t>-516.687463198677 79.520651033567 -483.793954398185</t>
  </si>
  <si>
    <t>-682.216802532879 71.7951804675756 -768.281278369447</t>
  </si>
  <si>
    <t>-464.364160559299 1.71337012041886 -380.541190721509</t>
  </si>
  <si>
    <t>-590.979346937552 217.905233795506 -246.807595343409</t>
  </si>
  <si>
    <t>-586.988625800938 194.333125063582 208.259489130937</t>
  </si>
  <si>
    <t>-628.049769372942 166.725604425728 675.388008133434</t>
  </si>
  <si>
    <t>-496.828058608886 92.5907814083748 766.09853006723</t>
  </si>
  <si>
    <t>-649.489985602411 31.4976289776184 -215.626747292965</t>
  </si>
  <si>
    <t>-476.6718379288 -77.947040576888 191.575174654874</t>
  </si>
  <si>
    <t>-551.955877253914 -29.2939003627541 652.702673002038</t>
  </si>
  <si>
    <t>-495.840047372908 -170.107328063273 741.955694177319</t>
  </si>
  <si>
    <t>9763-20170724T160555.629358700.bin</t>
  </si>
  <si>
    <t>-622.834103370069 124.86778098151 -231.956193411453</t>
  </si>
  <si>
    <t>-664.104203225482 118.975009122631 -345.665653632752</t>
  </si>
  <si>
    <t>-680.07527082503 114.305406297326 -465.722747684057</t>
  </si>
  <si>
    <t>-683.886486779435 110.117752943699 -575.097283991031</t>
  </si>
  <si>
    <t>-677.13130113061 105.750267557894 -684.322385965592</t>
  </si>
  <si>
    <t>-656.773003322709 99.2629280146543 -835.131697265125</t>
  </si>
  <si>
    <t>-621.47912005134 79.4136337064665 -928.637513662744</t>
  </si>
  <si>
    <t>-651.78680992652 130.674235235032 -767.741955942093</t>
  </si>
  <si>
    <t>-559.02833528983 243.47376839263 -750.535994325049</t>
  </si>
  <si>
    <t>-518.255128951754 77.3217444298218 -484.23298988304</t>
  </si>
  <si>
    <t>-679.774964122111 73.5925931915906 -769.064638990815</t>
  </si>
  <si>
    <t>-465.768719830824 3.22675875189771 -380.088349654119</t>
  </si>
  <si>
    <t>-594.034686908879 218.449098864358 -246.843378804085</t>
  </si>
  <si>
    <t>-589.368715145583 195.208248315367 208.234481949355</t>
  </si>
  <si>
    <t>-628.112414394086 166.960460039365 675.510638717667</t>
  </si>
  <si>
    <t>-496.868607227896 92.5767135081496 765.985150849848</t>
  </si>
  <si>
    <t>-651.478227977322 31.2625163121436 -216.280099808171</t>
  </si>
  <si>
    <t>-478.198263146678 -76.4336559774533 191.19160665484</t>
  </si>
  <si>
    <t>-552.143338666159 -29.3614708869766 652.710720187546</t>
  </si>
  <si>
    <t>-495.897073183718 -170.091453487076 742.013323146603</t>
  </si>
  <si>
    <t>9763-20170724T160555.692531900.bin</t>
  </si>
  <si>
    <t>-627.857392407991 125.803680393777 -232.323089989361</t>
  </si>
  <si>
    <t>-668.209577960954 119.970210452032 -346.364743945208</t>
  </si>
  <si>
    <t>-682.198358552155 115.906803082123 -466.690762679827</t>
  </si>
  <si>
    <t>-683.784975641533 112.465061502782 -576.14621305454</t>
  </si>
  <si>
    <t>-674.386822171611 109.023889932664 -685.209051189885</t>
  </si>
  <si>
    <t>-649.94036340613 103.995812591357 -835.465704720892</t>
  </si>
  <si>
    <t>-613.155580080826 85.2341301346203 -928.620823273982</t>
  </si>
  <si>
    <t>-646.964948954633 134.838194957195 -767.695523776308</t>
  </si>
  <si>
    <t>-554.38826799502 247.360263239878 -747.709399601372</t>
  </si>
  <si>
    <t>-519.592252792948 74.6003082385578 -484.784618886304</t>
  </si>
  <si>
    <t>-674.54947415219 77.602854014385 -770.26820853205</t>
  </si>
  <si>
    <t>-467.741173408053 8.00495383228986 -379.154225727162</t>
  </si>
  <si>
    <t>-599.743951225379 219.850392333126 -246.738937839885</t>
  </si>
  <si>
    <t>-594.048192930796 197.331167726473 208.363396899</t>
  </si>
  <si>
    <t>-628.471203437265 167.707086408884 676.09069301158</t>
  </si>
  <si>
    <t>-496.68313455155 92.9645077439463 765.471731973433</t>
  </si>
  <si>
    <t>-655.783699468509 31.7960901964111 -217.114632797616</t>
  </si>
  <si>
    <t>-482.021386415305 -73.8458430316005 190.689419833512</t>
  </si>
  <si>
    <t>-552.506995896788 -29.3046961983789 652.927320896816</t>
  </si>
  <si>
    <t>-496.616794567019 -170.145625208094 742.278513522477</t>
  </si>
  <si>
    <t>9763-20170724T160555.724617200.bin</t>
  </si>
  <si>
    <t>-630.24732115513 126.222850187531 -232.206743956074</t>
  </si>
  <si>
    <t>-670.087468199091 120.364615362217 -346.426903280357</t>
  </si>
  <si>
    <t>-683.18099899749 116.512324055858 -466.860711867409</t>
  </si>
  <si>
    <t>-683.805715528088 113.355940925661 -576.334502690196</t>
  </si>
  <si>
    <t>-673.300147622803 110.292268653832 -685.307431874183</t>
  </si>
  <si>
    <t>-647.171818470217 105.882826582854 -835.30024765368</t>
  </si>
  <si>
    <t>-609.744269120786 87.6231639152747 -928.298990122826</t>
  </si>
  <si>
    <t>-645.053384786509 136.493094248 -767.392678339617</t>
  </si>
  <si>
    <t>-552.667000342652 248.904473148894 -746.230494674031</t>
  </si>
  <si>
    <t>-519.7402876749 73.0863883753852 -485.098279591667</t>
  </si>
  <si>
    <t>-672.412181309746 79.1746680794399 -770.473509065478</t>
  </si>
  <si>
    <t>-468.660532840983 9.98285228258646 -378.288360108122</t>
  </si>
  <si>
    <t>-602.235829632783 220.282356035015 -246.452503387765</t>
  </si>
  <si>
    <t>-596.244908180096 198.356412605485 208.674945319813</t>
  </si>
  <si>
    <t>-628.814194875538 168.247268982992 676.591388226188</t>
  </si>
  <si>
    <t>-496.534763737622 93.26798194562 765.043462524775</t>
  </si>
  <si>
    <t>-658.089473326583 32.0874933020018 -217.226342682912</t>
  </si>
  <si>
    <t>-484.073245650557 -72.9217354432271 190.63287067357</t>
  </si>
  <si>
    <t>-552.723327548852 -29.2691088755778 653.162230428139</t>
  </si>
  <si>
    <t>-497.068187202851 -170.198539755434 742.52060139216</t>
  </si>
  <si>
    <t>9763-20170724T160555.790809900.bin</t>
  </si>
  <si>
    <t>-634.135439405466 127.322191052979 -231.577290156523</t>
  </si>
  <si>
    <t>-673.305359030086 121.367795739591 -346.023969017182</t>
  </si>
  <si>
    <t>-684.872159877295 117.786256459839 -466.622322059262</t>
  </si>
  <si>
    <t>-683.773808797961 115.03746910075 -576.103348150314</t>
  </si>
  <si>
    <t>-671.216659863417 112.55055636523 -684.873574917004</t>
  </si>
  <si>
    <t>-641.914395280643 109.123908111689 -834.304611064425</t>
  </si>
  <si>
    <t>-603.255007714604 91.7735121311744 -926.972971627278</t>
  </si>
  <si>
    <t>-641.437463362011 139.384481914203 -766.209332195897</t>
  </si>
  <si>
    <t>-549.198614444739 251.655793373116 -743.476365619865</t>
  </si>
  <si>
    <t>-520.058997082859 72.4710043975329 -484.18911697882</t>
  </si>
  <si>
    <t>-668.322099266815 81.8956114255252 -770.162970068407</t>
  </si>
  <si>
    <t>-470.248641819882 14.5546373128436 -376.46386260423</t>
  </si>
  <si>
    <t>-605.946633368078 221.45946194135 -245.641701926139</t>
  </si>
  <si>
    <t>-599.864854141848 200.651595363363 209.537138639545</t>
  </si>
  <si>
    <t>-629.440230966236 169.620459979061 677.568476613322</t>
  </si>
  <si>
    <t>-496.329171178849 93.8125940761777 764.044613979224</t>
  </si>
  <si>
    <t>-662.251734090182 33.1618119813224 -216.709735244736</t>
  </si>
  <si>
    <t>-487.604293887106 -71.9336003468884 190.857306290786</t>
  </si>
  <si>
    <t>-553.075223088512 -29.1116660831203 653.815417707686</t>
  </si>
  <si>
    <t>-497.711497461533 -170.232169576956 743.053263022394</t>
  </si>
  <si>
    <t>9763-20170724T160555.828909100.bin</t>
  </si>
  <si>
    <t>-635.502174740128 127.680983783215 -231.09263618116</t>
  </si>
  <si>
    <t>-674.424179462292 121.638052686625 -345.619186235153</t>
  </si>
  <si>
    <t>-685.39285541024 118.114202855285 -466.275157925382</t>
  </si>
  <si>
    <t>-683.614140830604 115.487394332793 -575.75019082541</t>
  </si>
  <si>
    <t>-670.243230972148 113.19777292509 -684.427822138649</t>
  </si>
  <si>
    <t>-639.679719632243 110.128063675876 -833.613765376982</t>
  </si>
  <si>
    <t>-600.605835642241 93.210126398089 -926.188040113301</t>
  </si>
  <si>
    <t>-639.889689793122 140.279416943426 -765.468603712809</t>
  </si>
  <si>
    <t>-547.934957060389 252.648774328361 -741.943822071197</t>
  </si>
  <si>
    <t>-519.965493132101 73.2139747459382 -482.700607021747</t>
  </si>
  <si>
    <t>-666.516567695144 82.6932072003444 -769.73860126079</t>
  </si>
  <si>
    <t>-470.908028410883 16.2857231087571 -375.237811253742</t>
  </si>
  <si>
    <t>-607.177718580995 221.87560248143 -245.218963587867</t>
  </si>
  <si>
    <t>-601.189902855034 201.680852186399 209.988695828523</t>
  </si>
  <si>
    <t>-629.664245198506 170.229606011246 677.978888465826</t>
  </si>
  <si>
    <t>-496.239640608339 94.0063950982658 763.602503519001</t>
  </si>
  <si>
    <t>-663.624654390155 33.4434536511112 -216.317244487885</t>
  </si>
  <si>
    <t>-488.563800781564 -71.6465514410518 191.07387913561</t>
  </si>
  <si>
    <t>-553.139906592452 -29.0052259680103 654.13924135892</t>
  </si>
  <si>
    <t>-498.021279310149 -170.24795334165 743.335314150453</t>
  </si>
  <si>
    <t>9763-20170724T160555.895110900.bin</t>
  </si>
  <si>
    <t>-637.226211196654 127.670891616534 -230.495711323748</t>
  </si>
  <si>
    <t>-675.95847462235 121.485940039548 -345.079122995048</t>
  </si>
  <si>
    <t>-686.765037453338 117.999647083598 -465.750717571347</t>
  </si>
  <si>
    <t>-684.85174637305 115.489943483894 -575.226225190169</t>
  </si>
  <si>
    <t>-671.358001611698 113.405556274394 -683.892754625386</t>
  </si>
  <si>
    <t>-640.635001080615 110.717244015492 -833.05326177087</t>
  </si>
  <si>
    <t>-601.446039290311 94.3787387782522 -925.683090259816</t>
  </si>
  <si>
    <t>-641.025279748599 140.745424997056 -764.85456319377</t>
  </si>
  <si>
    <t>-550.097179283643 253.724827902366 -740.307282073251</t>
  </si>
  <si>
    <t>-521.844284334061 76.429287131087 -479.627032013091</t>
  </si>
  <si>
    <t>-667.432679234473 83.0680476275684 -769.254262497369</t>
  </si>
  <si>
    <t>-473.492228527253 18.5318556515451 -373.739959655698</t>
  </si>
  <si>
    <t>-608.979692076529 221.933254463393 -244.730626791403</t>
  </si>
  <si>
    <t>-603.631843345933 203.025141937339 210.540194056543</t>
  </si>
  <si>
    <t>-629.792147552085 170.8602096344 678.327572961493</t>
  </si>
  <si>
    <t>-496.045522764991 94.2355515305233 763.086111883998</t>
  </si>
  <si>
    <t>-665.390180646588 33.4463357994637 -215.703303055017</t>
  </si>
  <si>
    <t>-489.429264841405 -71.2960209309274 191.389347968625</t>
  </si>
  <si>
    <t>-553.202768217544 -28.9051110598973 654.54869784535</t>
  </si>
  <si>
    <t>-498.213548827714 -170.193930652297 743.751616584768</t>
  </si>
  <si>
    <t>9763-20170724T160555.927197000.bin</t>
  </si>
  <si>
    <t>-637.498807990753 127.430965099323 -230.381850966396</t>
  </si>
  <si>
    <t>-676.254329835582 121.189608495616 -344.954398097459</t>
  </si>
  <si>
    <t>-687.278414327497 117.555691037897 -465.601836885155</t>
  </si>
  <si>
    <t>-685.641059338424 114.871188861366 -575.077730589713</t>
  </si>
  <si>
    <t>-672.500165412232 112.568333039523 -683.783167117955</t>
  </si>
  <si>
    <t>-642.343500236807 109.529390961066 -833.052534896435</t>
  </si>
  <si>
    <t>-603.347419425336 93.2088595610564 -925.76684302801</t>
  </si>
  <si>
    <t>-642.409111610705 139.686567228599 -764.909627290551</t>
  </si>
  <si>
    <t>-552.18064336524 253.300498323256 -740.494997482321</t>
  </si>
  <si>
    <t>-521.904657965517 80.4081230209774 -477.098336363619</t>
  </si>
  <si>
    <t>-668.964658999413 82.0615037708656 -769.101384501791</t>
  </si>
  <si>
    <t>-474.412437526312 17.9976406138458 -373.549979231452</t>
  </si>
  <si>
    <t>-609.281822297891 221.644954754756 -244.723172616877</t>
  </si>
  <si>
    <t>-604.443124724784 203.457626420198 210.582787113705</t>
  </si>
  <si>
    <t>-629.767546551025 171.101972004207 678.376823813784</t>
  </si>
  <si>
    <t>-496.020957598829 94.2515981823212 762.930840976707</t>
  </si>
  <si>
    <t>-665.629661923055 33.2190600604877 -215.505504039239</t>
  </si>
  <si>
    <t>-489.384628147959 -71.2794584968274 191.526853719291</t>
  </si>
  <si>
    <t>-553.189961846657 -28.8409113396617 654.683648181376</t>
  </si>
  <si>
    <t>-498.24408270063 -170.144268475815 743.890192584011</t>
  </si>
  <si>
    <t>9763-20170724T160555.992386400.bin</t>
  </si>
  <si>
    <t>-637.524101793341 126.518428728311 -230.269681137959</t>
  </si>
  <si>
    <t>-676.365139217605 120.076671990182 -344.802153197945</t>
  </si>
  <si>
    <t>-687.715915115513 115.824782312902 -465.399143005808</t>
  </si>
  <si>
    <t>-686.478029791176 112.442017580407 -574.861015301785</t>
  </si>
  <si>
    <t>-673.839582940235 109.320628364048 -683.605520464539</t>
  </si>
  <si>
    <t>-644.48485301582 105.036701773547 -833.00402189808</t>
  </si>
  <si>
    <t>-605.88218687247 88.5365973111032 -925.851093102697</t>
  </si>
  <si>
    <t>-644.328845582746 135.828503282756 -765.14581848497</t>
  </si>
  <si>
    <t>-556.314204628588 251.361023392204 -742.221946664391</t>
  </si>
  <si>
    <t>-517.311870707702 91.329512320202 -471.935280376109</t>
  </si>
  <si>
    <t>-670.617887610315 78.036015929328 -768.653943493343</t>
  </si>
  <si>
    <t>-473.597375334355 14.5604716191224 -373.417454335372</t>
  </si>
  <si>
    <t>-609.330038770579 220.585549697006 -244.797402304559</t>
  </si>
  <si>
    <t>-605.085849352303 203.39654962886 210.553221176871</t>
  </si>
  <si>
    <t>-629.775173092819 171.341181481426 678.520571321859</t>
  </si>
  <si>
    <t>-495.945063693125 94.2671676661305 762.738157084279</t>
  </si>
  <si>
    <t>-665.60748068225 32.3285482518334 -215.234434916587</t>
  </si>
  <si>
    <t>-488.74083026272 -71.4792634578321 191.705152993699</t>
  </si>
  <si>
    <t>-553.064472630221 -28.8563879024091 654.750246531374</t>
  </si>
  <si>
    <t>-498.07718763533 -170.028030733534 744.139707298517</t>
  </si>
  <si>
    <t>9763-20170724T160556.024471100.bin</t>
  </si>
  <si>
    <t>-637.209207376022 126.130588937803 -230.392114561264</t>
  </si>
  <si>
    <t>-676.111882975525 119.684162325506 -344.903319658483</t>
  </si>
  <si>
    <t>-687.622805040216 115.158420298074 -465.475199200626</t>
  </si>
  <si>
    <t>-686.573591587019 111.440229143852 -574.928155030457</t>
  </si>
  <si>
    <t>-674.167815416924 107.90908067554 -683.686904982713</t>
  </si>
  <si>
    <t>-645.181068353732 102.990948054158 -833.137949741851</t>
  </si>
  <si>
    <t>-606.756190061504 86.3764083598387 -926.038083010551</t>
  </si>
  <si>
    <t>-644.996555840241 134.134505218589 -765.440345410917</t>
  </si>
  <si>
    <t>-558.28982872282 250.760765735595 -743.255973090029</t>
  </si>
  <si>
    <t>-515.327420933272 96.2757872638449 -470.355210822745</t>
  </si>
  <si>
    <t>-671.017076735655 76.1996046113613 -768.580624426309</t>
  </si>
  <si>
    <t>-472.286433951373 13.2757300126184 -373.226634152687</t>
  </si>
  <si>
    <t>-609.13449204095 220.208880516992 -244.899749119524</t>
  </si>
  <si>
    <t>-604.809465997397 202.937793005674 210.446999136465</t>
  </si>
  <si>
    <t>-629.739568719577 171.296261749068 678.460394675922</t>
  </si>
  <si>
    <t>-495.967104744718 94.1573532729833 762.710220870572</t>
  </si>
  <si>
    <t>-665.152426921125 32.021881170617 -215.325810209829</t>
  </si>
  <si>
    <t>-488.366872523457 -71.7530836874473 191.657351126395</t>
  </si>
  <si>
    <t>-552.951264984177 -28.9256588629707 654.676276764937</t>
  </si>
  <si>
    <t>-498.097057312094 -170.009652979078 744.285646348455</t>
  </si>
  <si>
    <t>9763-20170724T160556.090667600.bin</t>
  </si>
  <si>
    <t>-636.427378311219 125.625538483059 -230.605037688325</t>
  </si>
  <si>
    <t>-675.43785127565 119.097066812436 -345.074918460296</t>
  </si>
  <si>
    <t>-687.259989709483 114.268102384567 -465.604940039692</t>
  </si>
  <si>
    <t>-686.576787406824 110.216525934491 -575.048819434571</t>
  </si>
  <si>
    <t>-674.619569710136 106.310527943992 -683.845057129211</t>
  </si>
  <si>
    <t>-646.337308461637 100.845569150263 -833.411962253691</t>
  </si>
  <si>
    <t>-608.425194553326 84.1926006818635 -926.515854204298</t>
  </si>
  <si>
    <t>-646.103163602402 132.358636009166 -765.885658789613</t>
  </si>
  <si>
    <t>-560.843019720615 250.274030875408 -744.650373381831</t>
  </si>
  <si>
    <t>-514.433838380193 101.666318958489 -469.063585066894</t>
  </si>
  <si>
    <t>-671.59951371626 74.1686361057991 -768.580824197986</t>
  </si>
  <si>
    <t>-468.684700280617 10.7606543475758 -373.615724448229</t>
  </si>
  <si>
    <t>-608.697840256306 219.723318800673 -245.054046913758</t>
  </si>
  <si>
    <t>-603.548231703039 201.789365431957 210.258505428904</t>
  </si>
  <si>
    <t>-629.731618738878 170.934172858912 678.38766762021</t>
  </si>
  <si>
    <t>-495.757107379486 94.2314349413689 762.714573654148</t>
  </si>
  <si>
    <t>-664.007066310243 31.5741054049797 -215.503900677531</t>
  </si>
  <si>
    <t>-487.767164369403 -71.8446906423699 191.806447986708</t>
  </si>
  <si>
    <t>-552.953484042452 -29.1035309924439 654.756968143892</t>
  </si>
  <si>
    <t>-497.757069112304 -169.86446990513 744.663695046802</t>
  </si>
  <si>
    <t>9763-20170724T160556.122753700.bin</t>
  </si>
  <si>
    <t>-635.976268758654 125.568480847095 -230.589351106355</t>
  </si>
  <si>
    <t>-675.063137120917 118.901552511365 -345.025325096883</t>
  </si>
  <si>
    <t>-687.095727355861 113.911905988975 -465.527942451323</t>
  </si>
  <si>
    <t>-686.656420864495 109.719183156436 -574.967673421617</t>
  </si>
  <si>
    <t>-674.99441757006 105.683303067987 -683.791233391853</t>
  </si>
  <si>
    <t>-647.171835487258 100.056841204637 -833.438322091013</t>
  </si>
  <si>
    <t>-609.54561012104 83.4317045913454 -926.663026758601</t>
  </si>
  <si>
    <t>-646.858273571702 131.699601797437 -765.973185649735</t>
  </si>
  <si>
    <t>-562.377782916054 250.223415507415 -745.339714757976</t>
  </si>
  <si>
    <t>-511.517632652285 106.413287946978 -467.998710702128</t>
  </si>
  <si>
    <t>-672.106655297718 73.3931514064693 -768.47513976698</t>
  </si>
  <si>
    <t>-467.560945146124 9.60941421497273 -373.641548665647</t>
  </si>
  <si>
    <t>-608.407667260635 219.604871848092 -245.083653878121</t>
  </si>
  <si>
    <t>-602.999813617992 201.482419769363 210.218428443022</t>
  </si>
  <si>
    <t>-629.654166220896 170.712421271468 678.262130283767</t>
  </si>
  <si>
    <t>-495.643455081209 94.2532963978372 762.752623990605</t>
  </si>
  <si>
    <t>-663.428490713579 31.5514454316476 -215.387088008477</t>
  </si>
  <si>
    <t>-487.215813759706 -71.6982164516021 191.977935804967</t>
  </si>
  <si>
    <t>-552.937479596897 -29.0927122063076 654.893430603171</t>
  </si>
  <si>
    <t>-497.518199895105 -169.757169017118 744.814095860396</t>
  </si>
  <si>
    <t>9763-20170724T160556.188940000.bin</t>
  </si>
  <si>
    <t>-634.79963974879 125.598685746716 -230.508410743888</t>
  </si>
  <si>
    <t>-673.987963092086 118.605965180959 -344.890122933205</t>
  </si>
  <si>
    <t>-686.615849725907 113.205684590292 -465.314141839284</t>
  </si>
  <si>
    <t>-686.915155883465 108.616639526196 -574.738548644091</t>
  </si>
  <si>
    <t>-676.184983718989 104.164877356853 -683.641698865995</t>
  </si>
  <si>
    <t>-649.848650824308 97.9443853549294 -833.534036884925</t>
  </si>
  <si>
    <t>-612.977560546871 81.2443153826607 -927.046730811541</t>
  </si>
  <si>
    <t>-648.970281317433 129.900196854577 -766.221514172016</t>
  </si>
  <si>
    <t>-564.883963000048 248.900651040422 -746.5624997707</t>
  </si>
  <si>
    <t>-510.884150641203 112.968581720366 -465.862121282273</t>
  </si>
  <si>
    <t>-674.032935615992 71.4934545768474 -768.201153287004</t>
  </si>
  <si>
    <t>-466.181663419831 7.23357427598285 -373.733765961275</t>
  </si>
  <si>
    <t>-607.468389204054 219.716055119375 -245.237704534647</t>
  </si>
  <si>
    <t>-602.33126589834 201.469787916937 210.062626270813</t>
  </si>
  <si>
    <t>-629.423681741527 170.451436205366 678.002271380843</t>
  </si>
  <si>
    <t>-495.504770946105 94.232175242325 762.854268610834</t>
  </si>
  <si>
    <t>-662.006082979493 31.5437372869292 -215.107629517065</t>
  </si>
  <si>
    <t>-485.579598074929 -71.4086695655096 192.240100861207</t>
  </si>
  <si>
    <t>-552.909534943565 -29.0103472064554 655.083459122198</t>
  </si>
  <si>
    <t>-496.961410238924 -169.531762794465 744.900364440971</t>
  </si>
  <si>
    <t>9763-20170724T160556.227042000.bin</t>
  </si>
  <si>
    <t>-634.096618776666 125.677989775333 -230.484939931469</t>
  </si>
  <si>
    <t>-673.349828205943 118.526109799113 -344.834597002082</t>
  </si>
  <si>
    <t>-686.280493310019 112.99558416163 -465.220542458376</t>
  </si>
  <si>
    <t>-686.94835249142 108.294058170538 -574.638488786368</t>
  </si>
  <si>
    <t>-676.678005554579 103.73052987329 -683.581367892462</t>
  </si>
  <si>
    <t>-651.070639667819 97.3515671321979 -833.593426390852</t>
  </si>
  <si>
    <t>-614.608207673405 80.6660057556692 -927.268624564485</t>
  </si>
  <si>
    <t>-649.83824047969 129.366695025479 -766.31451574429</t>
  </si>
  <si>
    <t>-565.611245660373 248.41943987815 -747.199657101983</t>
  </si>
  <si>
    <t>-512.181447491521 115.69371792564 -464.860660801269</t>
  </si>
  <si>
    <t>-674.964008886877 70.9813804753376 -768.120930246838</t>
  </si>
  <si>
    <t>-465.208961987014 6.23352207339917 -374.502696982596</t>
  </si>
  <si>
    <t>-606.878802224725 219.826432592696 -245.351414780318</t>
  </si>
  <si>
    <t>-601.945077045402 201.588024712638 209.951371784128</t>
  </si>
  <si>
    <t>-629.26356761431 170.252419206611 677.801425210997</t>
  </si>
  <si>
    <t>-495.416388137893 94.221734270717 762.9353430945</t>
  </si>
  <si>
    <t>-661.090587255396 31.6122483923525 -214.990947797992</t>
  </si>
  <si>
    <t>-484.735508995642 -71.2770188466359 192.403676443943</t>
  </si>
  <si>
    <t>-552.922966406551 -28.9627173510421 655.153722409012</t>
  </si>
  <si>
    <t>-496.661070876894 -169.412157177761 744.88716000113</t>
  </si>
  <si>
    <t>9763-20170724T160556.298030300.bin</t>
  </si>
  <si>
    <t>-632.773996758082 125.557903057023 -230.536776722492</t>
  </si>
  <si>
    <t>-672.322652976853 118.184823296929 -344.770521624926</t>
  </si>
  <si>
    <t>-685.887153753476 112.21489935449 -465.065800921605</t>
  </si>
  <si>
    <t>-687.264351479101 107.018175214027 -574.454691917548</t>
  </si>
  <si>
    <t>-677.834764325505 101.856970835189 -683.446948606609</t>
  </si>
  <si>
    <t>-653.526395224225 94.5365002018236 -833.631940441747</t>
  </si>
  <si>
    <t>-617.841722678259 77.6027697477386 -927.561884409417</t>
  </si>
  <si>
    <t>-651.617744558356 126.931519567423 -766.551000432651</t>
  </si>
  <si>
    <t>-567.237657276115 246.111877611409 -749.149644612985</t>
  </si>
  <si>
    <t>-513.787286068784 125.437891378532 -461.456897301801</t>
  </si>
  <si>
    <t>-676.946464149676 68.6196182238159 -767.808287157677</t>
  </si>
  <si>
    <t>-464.31234019187 3.57870566701763 -375.540623827891</t>
  </si>
  <si>
    <t>-605.818781555794 219.547675501894 -245.625523047569</t>
  </si>
  <si>
    <t>-601.128766557413 201.360486517121 209.681963184099</t>
  </si>
  <si>
    <t>-629.016104763581 170.005409377989 677.523411968228</t>
  </si>
  <si>
    <t>-495.289566367051 94.2106055836425 763.056294900958</t>
  </si>
  <si>
    <t>-659.667564583424 31.4817519742885 -214.779744877056</t>
  </si>
  <si>
    <t>-482.97340759127 -71.3408845003692 192.484660412199</t>
  </si>
  <si>
    <t>-552.809133183246 -28.921249807335 655.007918694138</t>
  </si>
  <si>
    <t>-496.265448329224 -169.256277126501 744.743069275106</t>
  </si>
  <si>
    <t>9763-20170724T160556.327106400.bin</t>
  </si>
  <si>
    <t>-632.116803002709 125.352373401343 -230.660348880826</t>
  </si>
  <si>
    <t>-671.736859914444 117.952654522408 -344.867550854475</t>
  </si>
  <si>
    <t>-685.559162872175 111.788212242463 -465.123659601139</t>
  </si>
  <si>
    <t>-687.246937888916 106.34892557692 -574.496387676157</t>
  </si>
  <si>
    <t>-678.204490754627 100.879473683339 -683.506323158881</t>
  </si>
  <si>
    <t>-654.511131748713 93.0638750466001 -833.764646364096</t>
  </si>
  <si>
    <t>-619.151694878849 75.9233587411597 -927.780076778831</t>
  </si>
  <si>
    <t>-652.278139446225 125.657880400525 -766.790311400286</t>
  </si>
  <si>
    <t>-567.768090278675 244.805601760577 -750.024132266961</t>
  </si>
  <si>
    <t>-514.647062159065 130.661344816324 -459.618532333959</t>
  </si>
  <si>
    <t>-677.711276667907 67.386194330915 -767.769779288122</t>
  </si>
  <si>
    <t>-464.302079878458 2.57060220623021 -375.926290107426</t>
  </si>
  <si>
    <t>-605.138724040862 219.333569159029 -245.763552308017</t>
  </si>
  <si>
    <t>-600.665306791055 201.115029218102 209.544753590581</t>
  </si>
  <si>
    <t>-628.922418993527 169.945993658891 677.409166885124</t>
  </si>
  <si>
    <t>-495.243553743288 94.2115785838273 763.069981815557</t>
  </si>
  <si>
    <t>-658.996381564977 31.3735558019052 -214.826825317243</t>
  </si>
  <si>
    <t>-482.38487270935 -71.3438703152101 192.500028605141</t>
  </si>
  <si>
    <t>-552.770152455069 -28.8948626832016 654.961362137884</t>
  </si>
  <si>
    <t>-496.229282537754 -169.216617103852 744.71905475432</t>
  </si>
  <si>
    <t>9763-20170724T160556.389282300.bin</t>
  </si>
  <si>
    <t>-631.214077081234 124.794986704212 -230.864917043378</t>
  </si>
  <si>
    <t>-670.875864647522 117.478387710049 -345.063098763306</t>
  </si>
  <si>
    <t>-685.017714323069 111.080187441641 -465.269712837975</t>
  </si>
  <si>
    <t>-687.112440648362 105.300672487342 -574.618082585091</t>
  </si>
  <si>
    <t>-678.594553508418 99.3631559770608 -683.645790622344</t>
  </si>
  <si>
    <t>-655.750206268776 90.7652102230297 -833.992680055613</t>
  </si>
  <si>
    <t>-620.81602893754 73.2329872460832 -928.094873278634</t>
  </si>
  <si>
    <t>-653.036978977646 123.662286966066 -767.184498840541</t>
  </si>
  <si>
    <t>-568.046334091663 242.675915201329 -751.516563732895</t>
  </si>
  <si>
    <t>-518.544355085539 140.091682330383 -456.199491739486</t>
  </si>
  <si>
    <t>-678.679204373443 65.4768541156045 -767.75312485301</t>
  </si>
  <si>
    <t>-463.585300101455 0.762417565458009 -376.383212188515</t>
  </si>
  <si>
    <t>-604.107384635351 218.708302017038 -245.891845132661</t>
  </si>
  <si>
    <t>-599.760813368082 200.470166574427 209.416972926676</t>
  </si>
  <si>
    <t>-628.928714039985 170.039160726048 677.43923844448</t>
  </si>
  <si>
    <t>-495.304398550757 94.1085038781205 763.011364869864</t>
  </si>
  <si>
    <t>-658.172312446656 30.9521837098657 -215.065687432575</t>
  </si>
  <si>
    <t>-482.196122863805 -71.5313758705142 192.594961391582</t>
  </si>
  <si>
    <t>-552.716129776623 -28.8148508443107 655.003171121602</t>
  </si>
  <si>
    <t>-496.341601776543 -169.173396868156 744.808000992091</t>
  </si>
  <si>
    <t>9763-20170724T160556.429391900.bin</t>
  </si>
  <si>
    <t>-630.955521832917 124.632476093484 -230.84909138391</t>
  </si>
  <si>
    <t>-670.654898700933 117.432295096315 -345.041592972229</t>
  </si>
  <si>
    <t>-684.861502524908 110.979232612088 -465.23764074267</t>
  </si>
  <si>
    <t>-687.028305643575 105.078390092222 -574.578086451254</t>
  </si>
  <si>
    <t>-678.596798623907 98.9476973791809 -683.601847911645</t>
  </si>
  <si>
    <t>-655.88854956259 90.0058618976698 -833.949393101273</t>
  </si>
  <si>
    <t>-621.034996333282 72.2740954528931 -928.044020003225</t>
  </si>
  <si>
    <t>-653.065138962943 123.033729267877 -767.210200699437</t>
  </si>
  <si>
    <t>-568.024586148862 241.99841973386 -751.825664202535</t>
  </si>
  <si>
    <t>-521.316399581728 141.759066446538 -455.250800792617</t>
  </si>
  <si>
    <t>-678.807241958198 64.8910968527757 -767.640393964172</t>
  </si>
  <si>
    <t>-463.161314422852 0.386320189595608 -376.49282209862</t>
  </si>
  <si>
    <t>-603.85404769046 218.519505659011 -245.82400153406</t>
  </si>
  <si>
    <t>-599.319520298943 200.05573762792 209.473921478387</t>
  </si>
  <si>
    <t>-629.02506043533 170.125902683033 677.540614923557</t>
  </si>
  <si>
    <t>-495.241644956957 94.2221860376867 762.887760875191</t>
  </si>
  <si>
    <t>-657.826230480609 30.8961786226387 -215.114228255236</t>
  </si>
  <si>
    <t>-482.243848465396 -71.8162298104614 192.658503386439</t>
  </si>
  <si>
    <t>-552.702730966955 -28.8025040130021 655.032488630979</t>
  </si>
  <si>
    <t>-496.529400743676 -169.193479366199 744.912542521918</t>
  </si>
  <si>
    <t>9763-20170724T160556.494592600.bin</t>
  </si>
  <si>
    <t>-630.636578396634 124.483453124554 -230.477897576548</t>
  </si>
  <si>
    <t>-670.2853730731 117.304475577973 -344.689239802057</t>
  </si>
  <si>
    <t>-684.595877791004 110.84021763147 -464.872342306038</t>
  </si>
  <si>
    <t>-686.921146361644 104.927906235534 -574.209047938088</t>
  </si>
  <si>
    <t>-678.711520766765 98.7913188408706 -683.249348641141</t>
  </si>
  <si>
    <t>-656.374717466467 89.8538946415531 -833.652810276815</t>
  </si>
  <si>
    <t>-621.687216387393 72.0322687959647 -927.791734774867</t>
  </si>
  <si>
    <t>-653.425973011713 122.897171737847 -766.926681854751</t>
  </si>
  <si>
    <t>-568.751831301091 242.087981349177 -751.443837149474</t>
  </si>
  <si>
    <t>-520.062105580123 142.780207134949 -454.874329087764</t>
  </si>
  <si>
    <t>-679.090192815303 64.7196274813427 -767.281159240251</t>
  </si>
  <si>
    <t>-462.534334634452 0.291546235716623 -376.387547540742</t>
  </si>
  <si>
    <t>-603.689306947032 218.008251852992 -245.379868601665</t>
  </si>
  <si>
    <t>-598.990182420073 199.766045103361 209.9254046248</t>
  </si>
  <si>
    <t>-629.362223568059 170.568747819962 678.053875739136</t>
  </si>
  <si>
    <t>-495.208901656404 94.3874205581426 762.568987877795</t>
  </si>
  <si>
    <t>-657.47009253096 30.9018257774721 -214.758861897292</t>
  </si>
  <si>
    <t>-482.002690659155 -72.3606113293126 192.924467425454</t>
  </si>
  <si>
    <t>-552.586340089552 -28.7509525927119 655.135430940799</t>
  </si>
  <si>
    <t>-497.115299264311 -169.287583373854 745.223950270235</t>
  </si>
  <si>
    <t>9763-20170724T160556.524673300.bin</t>
  </si>
  <si>
    <t>-630.469009916499 124.47307004498 -230.248422810906</t>
  </si>
  <si>
    <t>-670.037904493764 117.279705036685 -344.486519764871</t>
  </si>
  <si>
    <t>-684.418810516024 110.796917911218 -464.660356514378</t>
  </si>
  <si>
    <t>-686.870735172683 104.883135960398 -573.994066743268</t>
  </si>
  <si>
    <t>-678.849144882214 98.7708633949981 -683.049772308153</t>
  </si>
  <si>
    <t>-656.834966770615 89.9030021443814 -833.504871565738</t>
  </si>
  <si>
    <t>-622.201224469044 72.1270037740007 -927.672232763173</t>
  </si>
  <si>
    <t>-653.816541263852 122.947863758761 -766.782682827834</t>
  </si>
  <si>
    <t>-569.506553935114 242.447258212795 -751.513962082936</t>
  </si>
  <si>
    <t>-518.612119436872 143.100222318019 -455.328063523369</t>
  </si>
  <si>
    <t>-679.334498980958 64.7057364696154 -767.083635757635</t>
  </si>
  <si>
    <t>-462.431983899497 0.644018829418656 -376.114313375443</t>
  </si>
  <si>
    <t>-603.399838190904 217.963758244228 -245.133905091635</t>
  </si>
  <si>
    <t>-599.231867961214 200.032596727034 210.188749193024</t>
  </si>
  <si>
    <t>-629.503680139995 170.945813653 678.341489089597</t>
  </si>
  <si>
    <t>-495.301325889673 94.3240856881919 762.379266421105</t>
  </si>
  <si>
    <t>-657.507928580923 30.9492963404603 -214.549280166672</t>
  </si>
  <si>
    <t>-482.1594629997 -72.4809310401349 193.142667759094</t>
  </si>
  <si>
    <t>-552.573899320116 -28.6987692852126 655.316734423266</t>
  </si>
  <si>
    <t>-497.318790636061 -169.303342695183 745.431814947283</t>
  </si>
  <si>
    <t>9763-20170724T160556.557764000.bin</t>
  </si>
  <si>
    <t>-630.320249786681 124.54669944653 -230.03097152572</t>
  </si>
  <si>
    <t>-669.789163397444 117.369135943948 -344.30471491341</t>
  </si>
  <si>
    <t>-684.270416944899 110.865993068749 -464.465262574824</t>
  </si>
  <si>
    <t>-686.897277904997 104.938319703673 -573.794231511826</t>
  </si>
  <si>
    <t>-679.13351306317 98.8280971505237 -682.868713184883</t>
  </si>
  <si>
    <t>-657.560492109342 89.9903732771841 -833.389528240359</t>
  </si>
  <si>
    <t>-622.974155664145 72.2980602946077 -927.590142636363</t>
  </si>
  <si>
    <t>-654.426100587929 123.056567437911 -766.683275264743</t>
  </si>
  <si>
    <t>-570.696576986156 242.981296627281 -751.619816058598</t>
  </si>
  <si>
    <t>-516.953639288226 144.334653705619 -455.70290930404</t>
  </si>
  <si>
    <t>-679.785745144666 64.7449265756195 -766.894227939026</t>
  </si>
  <si>
    <t>-462.273363313653 1.33922530084556 -375.900529134171</t>
  </si>
  <si>
    <t>-602.996944046108 218.03473324096 -244.933821760084</t>
  </si>
  <si>
    <t>-599.449325911329 200.3484281558 210.403615320009</t>
  </si>
  <si>
    <t>-629.586057114357 171.143656165323 678.508560133818</t>
  </si>
  <si>
    <t>-495.298186373915 94.3049555179773 762.210952638386</t>
  </si>
  <si>
    <t>-657.597340932227 31.1160780570126 -214.361457496581</t>
  </si>
  <si>
    <t>-482.533718455293 -72.5129737616965 193.402416988242</t>
  </si>
  <si>
    <t>-552.623688189535 -28.6437851480662 655.590038776817</t>
  </si>
  <si>
    <t>-497.429658637978 -169.291237536077 745.675750503192</t>
  </si>
  <si>
    <t>9763-20170724T160556.625949600.bin</t>
  </si>
  <si>
    <t>-629.913327588815 124.816130129637 -229.606356378384</t>
  </si>
  <si>
    <t>-669.160778315189 117.651888185227 -343.957256882182</t>
  </si>
  <si>
    <t>-683.59730770735 111.082299811144 -464.119577952607</t>
  </si>
  <si>
    <t>-686.260636878405 105.087272531579 -573.443917806057</t>
  </si>
  <si>
    <t>-678.61022451834 98.9175575801146 -682.523127357944</t>
  </si>
  <si>
    <t>-657.272643925176 90.0192760011855 -833.073823891953</t>
  </si>
  <si>
    <t>-622.651407875481 72.6082149440717 -927.314046485627</t>
  </si>
  <si>
    <t>-654.158446583636 123.166314300205 -766.406837205838</t>
  </si>
  <si>
    <t>-571.456837978093 243.9230798102 -751.931835593869</t>
  </si>
  <si>
    <t>-516.592509735574 148.249847525193 -455.24552999956</t>
  </si>
  <si>
    <t>-679.269212301477 64.7467439651441 -766.512788853616</t>
  </si>
  <si>
    <t>-460.11777287366 2.1455602528938 -375.94189769334</t>
  </si>
  <si>
    <t>-602.12509323105 218.237899720235 -244.740889544471</t>
  </si>
  <si>
    <t>-599.496887912824 200.885148869031 210.615705147822</t>
  </si>
  <si>
    <t>-629.480273394322 171.211727615393 678.469212743018</t>
  </si>
  <si>
    <t>-495.327682430561 94.0997225971919 762.137180559086</t>
  </si>
  <si>
    <t>-657.502382439057 31.4959841340701 -213.938229733227</t>
  </si>
  <si>
    <t>-482.970808738067 -72.9122100705642 193.855009210882</t>
  </si>
  <si>
    <t>-552.692517556252 -28.5116434316208 656.03166649648</t>
  </si>
  <si>
    <t>-497.551376050178 -169.242599710782 746.019209145293</t>
  </si>
  <si>
    <t>9763-20170724T160556.692129900.bin</t>
  </si>
  <si>
    <t>-629.051293714116 125.032806500329 -229.498571208577</t>
  </si>
  <si>
    <t>-668.468880706191 117.798213378516 -343.786583418262</t>
  </si>
  <si>
    <t>-683.426645732834 111.06197222872 -463.875917680794</t>
  </si>
  <si>
    <t>-686.704057866758 104.902749122982 -573.174425027607</t>
  </si>
  <si>
    <t>-679.806067082868 98.5706877334555 -682.294489304441</t>
  </si>
  <si>
    <t>-659.651242737232 89.4628891442171 -832.995576478156</t>
  </si>
  <si>
    <t>-625.443173247643 72.1389725329175 -927.402606975312</t>
  </si>
  <si>
    <t>-656.179992067263 122.773385056902 -766.427650944739</t>
  </si>
  <si>
    <t>-574.436220557498 244.282488196166 -753.158136129611</t>
  </si>
  <si>
    <t>-517.507467715285 153.794366819138 -455.236750743914</t>
  </si>
  <si>
    <t>-366.269113125503 3.95864375363772 -305.843628732398</t>
  </si>
  <si>
    <t>-680.958201960563 64.2122983598538 -766.202226750018</t>
  </si>
  <si>
    <t>-459.550561795687 3.00806836141123 -376.048017918919</t>
  </si>
  <si>
    <t>-601.257641606934 218.304369742536 -244.787484873267</t>
  </si>
  <si>
    <t>-598.916758320814 200.865389746647 210.567325954528</t>
  </si>
  <si>
    <t>-629.333944705957 171.096899888513 678.397328320397</t>
  </si>
  <si>
    <t>-495.316575722531 93.967912206338 762.266118383361</t>
  </si>
  <si>
    <t>-656.727563798998 31.7537120305497 -213.640118039332</t>
  </si>
  <si>
    <t>-482.144303219422 -73.3529820234589 193.951556292896</t>
  </si>
  <si>
    <t>-552.556616514689 -28.446671425469 656.04756863816</t>
  </si>
  <si>
    <t>-497.712417704678 -169.24373314359 746.113212441856</t>
  </si>
  <si>
    <t>9763-20170724T160556.723212800.bin</t>
  </si>
  <si>
    <t>-628.518720532596 125.114877110021 -229.552967250678</t>
  </si>
  <si>
    <t>-667.996099137029 117.861057221553 -343.818932930585</t>
  </si>
  <si>
    <t>-683.15803903909 111.02833964228 -463.87727373044</t>
  </si>
  <si>
    <t>-686.679215233043 104.755460247515 -573.161678589383</t>
  </si>
  <si>
    <t>-680.082951999855 98.286166489992 -682.292285844657</t>
  </si>
  <si>
    <t>-660.405871175124 88.9655828922166 -833.043571807886</t>
  </si>
  <si>
    <t>-626.327806156339 71.6245640354321 -927.494392405474</t>
  </si>
  <si>
    <t>-656.754206553712 122.382719247077 -766.538924329296</t>
  </si>
  <si>
    <t>-575.191698632357 244.079090382789 -753.83713372185</t>
  </si>
  <si>
    <t>-519.451005283911 156.692842976026 -454.767122379755</t>
  </si>
  <si>
    <t>-366.932747432516 9.51436060033006 -304.039899894043</t>
  </si>
  <si>
    <t>-681.470609485768 63.7964916609355 -766.142770644326</t>
  </si>
  <si>
    <t>-458.526358571989 2.85324459793628 -376.181314709307</t>
  </si>
  <si>
    <t>-600.729184668922 218.3377881051 -244.854294755312</t>
  </si>
  <si>
    <t>-598.525407421103 200.701744724884 210.493623192799</t>
  </si>
  <si>
    <t>-629.25517768912 170.998806684266 678.332894295575</t>
  </si>
  <si>
    <t>-495.306217464226 93.8994278957396 762.338070003002</t>
  </si>
  <si>
    <t>-656.211788075584 31.9220027770905 -213.625105797601</t>
  </si>
  <si>
    <t>-481.704514259627 -73.3508578990097 193.956235922649</t>
  </si>
  <si>
    <t>-552.520296968691 -28.4538351037943 656.022710188978</t>
  </si>
  <si>
    <t>-497.651580534475 -169.219396059009 746.122599907629</t>
  </si>
  <si>
    <t>9763-20170724T160556.793188300.bin</t>
  </si>
  <si>
    <t>-627.400273921272 125.378921227126 -229.622503044638</t>
  </si>
  <si>
    <t>-666.957123093263 118.0859701859 -343.858406508417</t>
  </si>
  <si>
    <t>-682.414760945237 111.068760816281 -463.868433399812</t>
  </si>
  <si>
    <t>-686.292793394656 104.583827094699 -573.128594320155</t>
  </si>
  <si>
    <t>-680.141014560654 97.8658794042724 -682.269978004862</t>
  </si>
  <si>
    <t>-661.16961340834 88.1695890407059 -833.088111215173</t>
  </si>
  <si>
    <t>-627.331005184315 70.8066269911521 -927.620931699334</t>
  </si>
  <si>
    <t>-657.29844477087 121.790545395692 -766.698619439181</t>
  </si>
  <si>
    <t>-576.523100418635 244.100601916078 -754.896631513454</t>
  </si>
  <si>
    <t>-522.358475939084 164.182763169565 -453.457585492004</t>
  </si>
  <si>
    <t>-365.528219519025 22.9235581945341 -301.496562521222</t>
  </si>
  <si>
    <t>-681.829362939486 63.129166151291 -766.012900203095</t>
  </si>
  <si>
    <t>-456.571896946773 3.01470968301328 -376.863967231877</t>
  </si>
  <si>
    <t>-599.484576168219 218.485807666081 -244.970063756607</t>
  </si>
  <si>
    <t>-597.632021865115 200.589373831554 210.369359279905</t>
  </si>
  <si>
    <t>-629.081315844145 170.814624216547 678.159750176023</t>
  </si>
  <si>
    <t>-495.255292781191 93.8257680455399 762.46171510076</t>
  </si>
  <si>
    <t>-655.170522661701 32.2636560445387 -213.628228017445</t>
  </si>
  <si>
    <t>-480.855396855494 -73.2353763636427 193.976773119836</t>
  </si>
  <si>
    <t>-552.502363993724 -28.4361807348394 656.007876658619</t>
  </si>
  <si>
    <t>-497.358580363196 -169.105518513368 746.09010149476</t>
  </si>
  <si>
    <t>9763-20170724T160556.827281100.bin</t>
  </si>
  <si>
    <t>-626.809859165347 125.53581289637 -229.681296577061</t>
  </si>
  <si>
    <t>-666.367327669996 118.200698626448 -343.914438566167</t>
  </si>
  <si>
    <t>-681.969369731695 111.040049185837 -463.897224210651</t>
  </si>
  <si>
    <t>-686.038063677428 104.39499371663 -573.140704962677</t>
  </si>
  <si>
    <t>-680.136235588143 97.493002392649 -682.284501026053</t>
  </si>
  <si>
    <t>-661.572332477149 87.521707984941 -833.135319318126</t>
  </si>
  <si>
    <t>-627.876893425954 70.1195160597497 -927.71215152272</t>
  </si>
  <si>
    <t>-657.581827553231 121.288551778456 -766.827111939675</t>
  </si>
  <si>
    <t>-577.272295142633 243.962020482354 -755.504122277004</t>
  </si>
  <si>
    <t>-524.074297952446 166.973664697991 -453.131963555158</t>
  </si>
  <si>
    <t>-364.28676066075 29.2078338654967 -301.044573249955</t>
  </si>
  <si>
    <t>-681.990771678658 62.5788089277719 -765.950083892789</t>
  </si>
  <si>
    <t>-455.684207924253 2.81701877586875 -377.091513765331</t>
  </si>
  <si>
    <t>-598.800257939435 218.576511846882 -245.058135668432</t>
  </si>
  <si>
    <t>-597.201697546663 200.579462007798 210.278201426752</t>
  </si>
  <si>
    <t>-628.931778055889 170.676613008891 677.987581213864</t>
  </si>
  <si>
    <t>-495.238622718656 93.7465502228381 762.553600818966</t>
  </si>
  <si>
    <t>-654.697966780206 32.4394798878895 -213.647444184076</t>
  </si>
  <si>
    <t>-480.453580063738 -73.2558071488572 193.937023547125</t>
  </si>
  <si>
    <t>-552.451056149609 -28.4161820150352 655.945207584697</t>
  </si>
  <si>
    <t>-497.285867895599 -169.072794488639 746.034166704516</t>
  </si>
  <si>
    <t>9763-20170724T160556.895151500.bin</t>
  </si>
  <si>
    <t>-625.427310985042 125.822147672956 -229.904839756752</t>
  </si>
  <si>
    <t>-664.932531666669 118.422087776726 -344.151906238082</t>
  </si>
  <si>
    <t>-680.862691737661 111.042854745987 -464.078303822883</t>
  </si>
  <si>
    <t>-685.386594056561 104.151069084672 -573.288614571127</t>
  </si>
  <si>
    <t>-680.096851815394 96.9609306198624 -682.445285762159</t>
  </si>
  <si>
    <t>-662.542463497044 86.5534995021444 -833.387391487386</t>
  </si>
  <si>
    <t>-629.127229890779 69.0986852308604 -928.053825266615</t>
  </si>
  <si>
    <t>-658.191599560846 120.545830142688 -767.217018113171</t>
  </si>
  <si>
    <t>-578.771614386819 243.885153409741 -756.991904258506</t>
  </si>
  <si>
    <t>-525.856228581353 171.825473245731 -453.35809582471</t>
  </si>
  <si>
    <t>-359.000180536935 42.8868605576799 -301.121427611533</t>
  </si>
  <si>
    <t>-682.427864095659 61.7711033716359 -765.983147831347</t>
  </si>
  <si>
    <t>-453.807089912112 2.45833345551046 -377.717468459714</t>
  </si>
  <si>
    <t>-597.307690664337 218.82006867061 -245.359620296537</t>
  </si>
  <si>
    <t>-596.270149005836 200.459247047822 209.963964514407</t>
  </si>
  <si>
    <t>-628.682360072468 170.286707979561 677.643528052152</t>
  </si>
  <si>
    <t>-495.178811577292 93.5967292351052 762.725612956074</t>
  </si>
  <si>
    <t>-653.370860080318 32.8320612169243 -213.825459335683</t>
  </si>
  <si>
    <t>-479.861471580097 -73.3417813099386 193.948000468495</t>
  </si>
  <si>
    <t>-552.445294917722 -28.3497620711616 655.913755884571</t>
  </si>
  <si>
    <t>-497.196644245708 -169.016500576958 745.935755620848</t>
  </si>
  <si>
    <t>9763-20170724T160556.929241800.bin</t>
  </si>
  <si>
    <t>-624.775490464676 125.999421701297 -230.045877562187</t>
  </si>
  <si>
    <t>-664.292540262341 118.570557630201 -344.28700137565</t>
  </si>
  <si>
    <t>-680.472463725418 111.095813456226 -464.174116123029</t>
  </si>
  <si>
    <t>-685.320435116836 104.097015412518 -573.363648541394</t>
  </si>
  <si>
    <t>-680.451801275325 96.782596221444 -682.531528129132</t>
  </si>
  <si>
    <t>-663.580622249364 86.1880765312685 -833.538662170054</t>
  </si>
  <si>
    <t>-630.355628509342 68.646386694589 -928.255952078174</t>
  </si>
  <si>
    <t>-658.973275977613 120.279878543862 -767.43686002239</t>
  </si>
  <si>
    <t>-579.988461725336 243.943241779317 -757.67729183269</t>
  </si>
  <si>
    <t>-525.9737484275 173.298502878516 -453.904454153326</t>
  </si>
  <si>
    <t>-356.119822475092 49.0439005779272 -301.089287646432</t>
  </si>
  <si>
    <t>-683.117896321468 61.4717930146903 -766.008543807819</t>
  </si>
  <si>
    <t>-453.229056133844 2.5947889701456 -378.089091694626</t>
  </si>
  <si>
    <t>-596.603030386203 218.970513191428 -245.519015939441</t>
  </si>
  <si>
    <t>-595.753134196919 200.445019003005 209.798223599404</t>
  </si>
  <si>
    <t>-628.489358903118 170.046898307147 677.390403029764</t>
  </si>
  <si>
    <t>-495.098629267353 93.5771426235281 762.846831673235</t>
  </si>
  <si>
    <t>-652.773362794076 33.0415949222077 -213.917491468249</t>
  </si>
  <si>
    <t>-479.532737238516 -73.2822343788389 193.931272387906</t>
  </si>
  <si>
    <t>-552.449614007117 -28.313536778141 655.880659730465</t>
  </si>
  <si>
    <t>-497.150618780028 -168.986127091813 745.862506457581</t>
  </si>
  <si>
    <t>9763-20170724T160556.991005900.bin</t>
  </si>
  <si>
    <t>-623.471643766875 126.537530706074 -230.304217639213</t>
  </si>
  <si>
    <t>-663.069738882137 119.054225605243 -344.513567560838</t>
  </si>
  <si>
    <t>-679.620445292029 111.399872945153 -464.338745470623</t>
  </si>
  <si>
    <t>-684.923233373064 104.19358162464 -573.493635808085</t>
  </si>
  <si>
    <t>-680.626804639016 96.6305971520933 -682.668686379427</t>
  </si>
  <si>
    <t>-664.670012786459 85.6507764739167 -833.747603172119</t>
  </si>
  <si>
    <t>-631.71092250665 67.9603254026442 -928.530043924903</t>
  </si>
  <si>
    <t>-659.68493167771 119.919989022927 -767.765107903906</t>
  </si>
  <si>
    <t>-581.032315597481 243.836275917523 -758.655852591208</t>
  </si>
  <si>
    <t>-526.110979001438 175.64609518528 -454.484913672014</t>
  </si>
  <si>
    <t>-347.950098749412 66.5250672012273 -299.586978380398</t>
  </si>
  <si>
    <t>-683.775852520512 61.098038662208 -766.034587250754</t>
  </si>
  <si>
    <t>-451.697502286479 2.42322618838898 -378.731120558227</t>
  </si>
  <si>
    <t>-595.234926456697 219.391650596804 -245.882554672258</t>
  </si>
  <si>
    <t>-594.694738460227 200.371118530847 209.414645127839</t>
  </si>
  <si>
    <t>-628.195326545026 169.653277852856 676.965639515044</t>
  </si>
  <si>
    <t>-494.996674860864 93.5350614888675 763.033346952309</t>
  </si>
  <si>
    <t>-651.580564429826 33.7235927072697 -214.036543906104</t>
  </si>
  <si>
    <t>-478.67488333704 -73.1310394334021 193.815683377045</t>
  </si>
  <si>
    <t>-552.344832132612 -28.1821726290411 655.70253933647</t>
  </si>
  <si>
    <t>-497.133141078575 -168.949601114862 745.589716072914</t>
  </si>
  <si>
    <t>9763-20170724T160557.025096300.bin</t>
  </si>
  <si>
    <t>-622.890350157125 126.877534863303 -230.371255704807</t>
  </si>
  <si>
    <t>-662.537470689618 119.357102110552 -344.561308460751</t>
  </si>
  <si>
    <t>-679.245892716505 111.635980270138 -464.360162971013</t>
  </si>
  <si>
    <t>-684.735484166476 104.356954453952 -573.501007811777</t>
  </si>
  <si>
    <t>-680.66975750488 96.7079782031069 -682.678849034713</t>
  </si>
  <si>
    <t>-665.077556757238 85.5950550854391 -833.786128547019</t>
  </si>
  <si>
    <t>-632.284863309696 67.853349018678 -928.616851799531</t>
  </si>
  <si>
    <t>-659.905977871606 119.911403454883 -767.842579039441</t>
  </si>
  <si>
    <t>-581.206004354461 243.828909194647 -758.925733056775</t>
  </si>
  <si>
    <t>-526.766504301268 176.191938761925 -454.54485431858</t>
  </si>
  <si>
    <t>-346.129844916224 70.7472779212139 -299.968450516911</t>
  </si>
  <si>
    <t>-684.047164944216 61.1130819004022 -766.009346247839</t>
  </si>
  <si>
    <t>-451.236373375201 2.43136747697963 -379.113120500875</t>
  </si>
  <si>
    <t>-594.610226381799 219.682532306824 -245.969520356035</t>
  </si>
  <si>
    <t>-594.129131534844 200.417561584139 209.317506599368</t>
  </si>
  <si>
    <t>-628.120769485425 169.587789886567 676.870591701544</t>
  </si>
  <si>
    <t>-494.980502115277 93.5412398766243 763.091816325439</t>
  </si>
  <si>
    <t>-650.996762920412 34.1275178520598 -214.06307755642</t>
  </si>
  <si>
    <t>-478.2458837635 -72.9280760910722 193.80196952477</t>
  </si>
  <si>
    <t>-552.296779643596 -28.1022146266826 655.647317317802</t>
  </si>
  <si>
    <t>-497.121188664582 -168.923706255651 745.472032904611</t>
  </si>
  <si>
    <t>9763-20170724T160557.096797100.bin</t>
  </si>
  <si>
    <t>-621.785867697237 127.619604135046 -230.395953143942</t>
  </si>
  <si>
    <t>-661.524489341967 120.062358529458 -344.551731195018</t>
  </si>
  <si>
    <t>-678.590025256411 112.284320403294 -464.296520207505</t>
  </si>
  <si>
    <t>-684.511171030572 104.95080975678 -573.411303064054</t>
  </si>
  <si>
    <t>-680.983222833785 97.2480975991757 -682.604107155059</t>
  </si>
  <si>
    <t>-666.245474138848 86.0642516745331 -833.791716554178</t>
  </si>
  <si>
    <t>-633.775915448846 68.2890528743708 -928.727380596083</t>
  </si>
  <si>
    <t>-660.641079359079 120.38686700443 -767.886780298419</t>
  </si>
  <si>
    <t>-581.727554205441 244.169058812908 -759.335382714647</t>
  </si>
  <si>
    <t>-527.623360459651 180.51384962929 -454.037250347943</t>
  </si>
  <si>
    <t>-342.167441109598 81.3356267094139 -301.028102286553</t>
  </si>
  <si>
    <t>-684.891895988068 61.6386079697782 -765.904932430008</t>
  </si>
  <si>
    <t>-450.96391704281 2.63565561669043 -379.392027952568</t>
  </si>
  <si>
    <t>-593.314454698413 220.254560363502 -246.065538826064</t>
  </si>
  <si>
    <t>-593.23900851392 200.646989819616 209.207066315936</t>
  </si>
  <si>
    <t>-628.011741560934 169.652828827942 676.727244086814</t>
  </si>
  <si>
    <t>-494.960007671654 93.5861700739617 763.067355930284</t>
  </si>
  <si>
    <t>-650.168804801883 35.0259147394172 -213.964451667323</t>
  </si>
  <si>
    <t>-477.576094877985 -72.7223789101533 193.78515112907</t>
  </si>
  <si>
    <t>-552.224581024418 -27.9956626445014 655.540905169381</t>
  </si>
  <si>
    <t>-497.195980021701 -168.926705424823 745.283807637342</t>
  </si>
  <si>
    <t>9763-20170724T160557.127878600.bin</t>
  </si>
  <si>
    <t>-621.225635875857 127.955953523571 -230.393194773259</t>
  </si>
  <si>
    <t>-661.005084645594 120.414429856451 -344.535711914699</t>
  </si>
  <si>
    <t>-678.253846825393 112.613617609416 -464.252893964931</t>
  </si>
  <si>
    <t>-684.399448536643 105.244934215011 -573.352743891218</t>
  </si>
  <si>
    <t>-681.153637138035 97.4938208640483 -682.550880118571</t>
  </si>
  <si>
    <t>-666.866797478349 86.2294139592241 -833.77587066979</t>
  </si>
  <si>
    <t>-634.587694846256 68.3936518778166 -928.764980525761</t>
  </si>
  <si>
    <t>-661.006170556504 120.562666215226 -767.898719007171</t>
  </si>
  <si>
    <t>-581.819623103233 244.2195462785 -759.614903499767</t>
  </si>
  <si>
    <t>-529.376138483627 181.846292025377 -453.762947668266</t>
  </si>
  <si>
    <t>-341.965257957551 84.6729287335652 -301.853268179208</t>
  </si>
  <si>
    <t>-685.370418802287 61.8644312700599 -765.828235400564</t>
  </si>
  <si>
    <t>-451.036903243035 2.50912545732467 -379.557686738327</t>
  </si>
  <si>
    <t>-592.594807037737 220.501306217226 -246.077892811234</t>
  </si>
  <si>
    <t>-592.770478404621 200.748669342964 209.18839576286</t>
  </si>
  <si>
    <t>-628.004572334985 169.763408962453 676.730693309451</t>
  </si>
  <si>
    <t>-495.050041147291 93.4942993150041 763.041920675484</t>
  </si>
  <si>
    <t>-649.747150196942 35.4250293255825 -213.926371838516</t>
  </si>
  <si>
    <t>-477.291917605477 -72.6192829892977 193.803066489924</t>
  </si>
  <si>
    <t>-552.178390581422 -27.9519193556996 655.511725251786</t>
  </si>
  <si>
    <t>-497.314960480007 -168.947292471083 745.254783866425</t>
  </si>
  <si>
    <t>9763-20170724T160557.194578000.bin</t>
  </si>
  <si>
    <t>-620.317086815717 128.550184206259 -230.298817697353</t>
  </si>
  <si>
    <t>-660.191979200705 121.271110775461 -344.425102168464</t>
  </si>
  <si>
    <t>-677.702049300795 113.535706731222 -464.108603462792</t>
  </si>
  <si>
    <t>-684.153335000746 106.147722076125 -573.189481252309</t>
  </si>
  <si>
    <t>-681.28218893619 98.3009538929605 -682.391250859548</t>
  </si>
  <si>
    <t>-667.586703110245 86.8258432997588 -833.655190314433</t>
  </si>
  <si>
    <t>-635.579079376985 68.8694922333659 -928.713365014637</t>
  </si>
  <si>
    <t>-661.341094311466 121.19820234823 -767.833864968781</t>
  </si>
  <si>
    <t>-581.248872337179 244.234622636949 -759.682376920732</t>
  </si>
  <si>
    <t>-531.374719764788 184.877600211579 -452.802126411555</t>
  </si>
  <si>
    <t>-338.986343295383 93.5541026941064 -303.507775240375</t>
  </si>
  <si>
    <t>-685.952005561151 62.6081973411476 -765.617384868845</t>
  </si>
  <si>
    <t>-450.307825835582 1.88485590585583 -379.879484668377</t>
  </si>
  <si>
    <t>-591.305483433316 220.968675867967 -245.939842092949</t>
  </si>
  <si>
    <t>-591.58702794507 200.66986940335 209.302487377045</t>
  </si>
  <si>
    <t>-628.095366657286 169.998337425062 676.849510111145</t>
  </si>
  <si>
    <t>-495.22088969128 93.3425313634559 762.941166678885</t>
  </si>
  <si>
    <t>-649.175784716112 36.2058354851085 -213.867225404328</t>
  </si>
  <si>
    <t>-476.831721568354 -72.6112900260473 193.703707785787</t>
  </si>
  <si>
    <t>-552.025136623797 -27.9963159099102 655.32019609776</t>
  </si>
  <si>
    <t>-497.679718874657 -169.06143990465 745.268517665579</t>
  </si>
  <si>
    <t>9763-20170724T160557.226672800.bin</t>
  </si>
  <si>
    <t>-620.123553682348 128.901214475128 -230.181460909404</t>
  </si>
  <si>
    <t>-660.018600316284 121.77830804073 -344.310486978532</t>
  </si>
  <si>
    <t>-677.609084739179 114.105740568599 -463.986236775032</t>
  </si>
  <si>
    <t>-684.158826673335 106.739762482644 -573.062745314684</t>
  </si>
  <si>
    <t>-681.411804698317 98.8827447409667 -682.26701401146</t>
  </si>
  <si>
    <t>-667.914998249955 87.3622436360322 -833.545384367157</t>
  </si>
  <si>
    <t>-636.015034525949 69.3497622594575 -928.629094365979</t>
  </si>
  <si>
    <t>-661.547109258684 121.739449491416 -767.738224608481</t>
  </si>
  <si>
    <t>-581.144007263403 244.585520595939 -759.387443926065</t>
  </si>
  <si>
    <t>-531.292456634602 184.256490387303 -452.693192931441</t>
  </si>
  <si>
    <t>-333.917094987554 100.341999120987 -305.576179375514</t>
  </si>
  <si>
    <t>-686.226740840753 63.1799447544583 -765.480501133186</t>
  </si>
  <si>
    <t>-449.990723100887 1.78717973482253 -380.025512155733</t>
  </si>
  <si>
    <t>-590.949604983299 221.256912334063 -245.755149139522</t>
  </si>
  <si>
    <t>-590.943673041435 200.466086381738 209.465015692901</t>
  </si>
  <si>
    <t>-628.198560436233 170.038400000657 676.935671672809</t>
  </si>
  <si>
    <t>-495.430482229584 93.1068108932006 762.945428684135</t>
  </si>
  <si>
    <t>-649.170396397024 36.5943247708444 -213.786116964984</t>
  </si>
  <si>
    <t>-476.652277242324 -72.63121094999 193.601828388455</t>
  </si>
  <si>
    <t>-551.963920872716 -28.0756469169396 655.204456154161</t>
  </si>
  <si>
    <t>-497.788375508582 -169.107907615864 745.306708779393</t>
  </si>
  <si>
    <t>9763-20170724T160557.294858800.bin</t>
  </si>
  <si>
    <t>-619.662802205104 129.703573032292 -229.808085530412</t>
  </si>
  <si>
    <t>-659.73136370515 122.898867203687 -343.895930952033</t>
  </si>
  <si>
    <t>-677.66144074811 115.448506985626 -463.535182544854</t>
  </si>
  <si>
    <t>-684.58529498887 108.255025411295 -572.600141708132</t>
  </si>
  <si>
    <t>-682.277523297235 100.549476092674 -681.82538195907</t>
  </si>
  <si>
    <t>-669.456437865899 89.2239831548213 -833.177148302142</t>
  </si>
  <si>
    <t>-637.883807616296 71.2113769676141 -928.37013239616</t>
  </si>
  <si>
    <t>-662.70190430627 123.477546096064 -767.344070481363</t>
  </si>
  <si>
    <t>-582.120254591198 246.159392139122 -758.495432119239</t>
  </si>
  <si>
    <t>-528.276011175297 183.026457547496 -453.042986080178</t>
  </si>
  <si>
    <t>-318.252845694354 114.720958629138 -315.686764216857</t>
  </si>
  <si>
    <t>-687.556827243812 64.9927878154854 -765.073127392923</t>
  </si>
  <si>
    <t>-450.399904062396 2.34229194098566 -380.153300451538</t>
  </si>
  <si>
    <t>-590.066230025978 221.880154107819 -245.434809861082</t>
  </si>
  <si>
    <t>-589.849825123036 200.393145729463 209.752904464032</t>
  </si>
  <si>
    <t>-628.20606403953 170.101548268973 677.025478332753</t>
  </si>
  <si>
    <t>-495.812014093567 92.5552859945203 763.059767093032</t>
  </si>
  <si>
    <t>-649.222243975895 37.5492576695808 -213.493184088305</t>
  </si>
  <si>
    <t>-476.37299278473 -72.699079184976 193.478753840045</t>
  </si>
  <si>
    <t>-551.804586534905 -28.1729699339071 654.975779158197</t>
  </si>
  <si>
    <t>-498.103985350125 -169.199095223868 745.371412782616</t>
  </si>
  <si>
    <t>9763-20170724T160557.328946000.bin</t>
  </si>
  <si>
    <t>-619.185679774698 130.080095555754 -229.748544486098</t>
  </si>
  <si>
    <t>-659.250475028562 123.329802041333 -343.84078218214</t>
  </si>
  <si>
    <t>-677.294428395247 115.928696439961 -463.466138582346</t>
  </si>
  <si>
    <t>-684.370033358819 108.780708923616 -572.524340005217</t>
  </si>
  <si>
    <t>-682.261973720807 101.124149007203 -681.756993326542</t>
  </si>
  <si>
    <t>-669.767154563589 89.8722784636359 -833.141431083361</t>
  </si>
  <si>
    <t>-638.378401105388 71.8807280985047 -928.399246976619</t>
  </si>
  <si>
    <t>-662.803791537436 124.065680078766 -767.298908966191</t>
  </si>
  <si>
    <t>-582.078430957418 246.655389551955 -758.377290642416</t>
  </si>
  <si>
    <t>-526.074983636875 182.480134928082 -453.530771481337</t>
  </si>
  <si>
    <t>-310.168579092116 120.353101030197 -322.509034279508</t>
  </si>
  <si>
    <t>-687.787612633725 65.6361386444064 -765.018212039043</t>
  </si>
  <si>
    <t>-450.219414969378 2.16525970333896 -380.401602656757</t>
  </si>
  <si>
    <t>-589.186048476093 222.159762383495 -245.375990506537</t>
  </si>
  <si>
    <t>-589.537432028615 200.797580548674 209.817581249511</t>
  </si>
  <si>
    <t>-628.15411052128 170.195906562844 677.026445244673</t>
  </si>
  <si>
    <t>-495.909428812338 92.4025803548109 763.067494519465</t>
  </si>
  <si>
    <t>-649.051204655641 38.0301576396785 -213.37692881452</t>
  </si>
  <si>
    <t>-476.383014632336 -72.7269274837449 193.533665757743</t>
  </si>
  <si>
    <t>-551.772209940998 -28.1427866657286 655.001035216876</t>
  </si>
  <si>
    <t>-498.27501817033 -169.225341448702 745.429280999546</t>
  </si>
  <si>
    <t>9763-20170724T160557.393698200.bin</t>
  </si>
  <si>
    <t>-617.971341868911 130.75376929758 -229.716824995317</t>
  </si>
  <si>
    <t>-657.96386822996 124.202054514914 -343.846064621577</t>
  </si>
  <si>
    <t>-676.331257633465 116.915706709852 -463.429198856091</t>
  </si>
  <si>
    <t>-683.864665497523 109.836117246128 -572.461221685839</t>
  </si>
  <si>
    <t>-682.378904426865 102.212660370237 -681.706416108571</t>
  </si>
  <si>
    <t>-670.917516802329 90.9697361543722 -833.173355148753</t>
  </si>
  <si>
    <t>-639.993636276014 72.9880714070716 -928.585000370191</t>
  </si>
  <si>
    <t>-663.358571711633 125.096832563608 -767.362121423526</t>
  </si>
  <si>
    <t>-582.115773351345 247.35909197553 -758.570816140332</t>
  </si>
  <si>
    <t>-522.502000987188 182.338069953923 -454.589403902002</t>
  </si>
  <si>
    <t>-300.61297239962 125.298588919917 -331.488607134596</t>
  </si>
  <si>
    <t>-688.619156247669 66.7918405292237 -764.945770917586</t>
  </si>
  <si>
    <t>-449.854991174013 1.62745402124187 -380.90996985009</t>
  </si>
  <si>
    <t>-587.496054735967 222.780745742412 -245.393144049222</t>
  </si>
  <si>
    <t>-589.138698056577 201.44557373659 209.798825857243</t>
  </si>
  <si>
    <t>-627.997652807436 170.235388309788 676.911059339321</t>
  </si>
  <si>
    <t>-496.086414103949 92.0861785634406 763.141233476254</t>
  </si>
  <si>
    <t>-648.260494869517 38.7351556974795 -213.427389065545</t>
  </si>
  <si>
    <t>-476.197122951441 -72.6317794431484 193.573047935278</t>
  </si>
  <si>
    <t>-551.799703627944 -28.0582991758693 655.073348992304</t>
  </si>
  <si>
    <t>-498.5513213498 -169.252171192254 745.474744501043</t>
  </si>
  <si>
    <t>9763-20170724T160557.424775800.bin</t>
  </si>
  <si>
    <t>-617.22773834844 131.125690279782 -229.809557264141</t>
  </si>
  <si>
    <t>-657.164038090847 124.659413201954 -343.963373745386</t>
  </si>
  <si>
    <t>-675.634751476506 117.357144539988 -463.529557717773</t>
  </si>
  <si>
    <t>-683.329321292581 110.219592455408 -572.546470197519</t>
  </si>
  <si>
    <t>-682.073009170587 102.49338923081 -681.787492260486</t>
  </si>
  <si>
    <t>-671.000962788799 91.0602886223187 -833.269050859071</t>
  </si>
  <si>
    <t>-640.242078101555 73.0107019692487 -928.721045426508</t>
  </si>
  <si>
    <t>-663.187545995317 125.233293869208 -767.511448415629</t>
  </si>
  <si>
    <t>-581.65263988494 247.263005458457 -758.700725588715</t>
  </si>
  <si>
    <t>-520.11786674003 183.004343736601 -454.940181137683</t>
  </si>
  <si>
    <t>-295.804538075863 127.056751285714 -335.795425361396</t>
  </si>
  <si>
    <t>-688.6124523053 67.0048705571344 -764.974908847737</t>
  </si>
  <si>
    <t>-449.261622712091 1.06620538233369 -381.203394933978</t>
  </si>
  <si>
    <t>-586.52131545155 223.063685691563 -245.458425094827</t>
  </si>
  <si>
    <t>-588.714669716594 201.689512838988 209.729487153705</t>
  </si>
  <si>
    <t>-627.880686626417 170.24003140841 676.801355472016</t>
  </si>
  <si>
    <t>-496.173543689164 91.9290199792072 763.196517417424</t>
  </si>
  <si>
    <t>-647.738740109442 39.2170058673505 -213.493182575339</t>
  </si>
  <si>
    <t>-476.044362122149 -72.5718276425175 193.547247367335</t>
  </si>
  <si>
    <t>-551.812660160208 -28.0320607417898 655.054925649623</t>
  </si>
  <si>
    <t>-498.665500666059 -169.267581989725 745.450798755503</t>
  </si>
  <si>
    <t>9763-20170724T160557.493592600.bin</t>
  </si>
  <si>
    <t>-615.665939101635 131.730433937945 -229.998447791807</t>
  </si>
  <si>
    <t>-655.630360290063 125.456379132303 -344.153102952522</t>
  </si>
  <si>
    <t>-674.353040642452 118.17246174193 -463.681240547962</t>
  </si>
  <si>
    <t>-682.369561182722 110.98073927988 -572.67140783855</t>
  </si>
  <si>
    <t>-681.529061853011 103.130518742154 -681.907457495068</t>
  </si>
  <si>
    <t>-671.131856208603 91.4525500033608 -833.418349032946</t>
  </si>
  <si>
    <t>-640.685452375528 73.3207414187032 -928.954918090905</t>
  </si>
  <si>
    <t>-662.951597600259 125.699695919566 -767.743796338088</t>
  </si>
  <si>
    <t>-581.172251305341 247.595753246859 -758.815804359289</t>
  </si>
  <si>
    <t>-514.734710054859 185.802715049247 -455.576946340207</t>
  </si>
  <si>
    <t>-287.159732330135 130.387833312641 -342.524293852005</t>
  </si>
  <si>
    <t>-688.512886116388 67.5398129839186 -765.015150206791</t>
  </si>
  <si>
    <t>-447.654256545322 0.285277774146834 -381.478382842617</t>
  </si>
  <si>
    <t>-584.644664266581 223.55578972264 -245.665036587636</t>
  </si>
  <si>
    <t>-587.453091317907 201.623267774012 209.492875804098</t>
  </si>
  <si>
    <t>-627.581512094234 169.953518833731 676.426228527182</t>
  </si>
  <si>
    <t>-496.103985513867 91.8391895472721 763.347584025012</t>
  </si>
  <si>
    <t>-646.547455701138 39.9174559799678 -213.719296725598</t>
  </si>
  <si>
    <t>-475.742131076616 -72.3055727197809 193.575638186553</t>
  </si>
  <si>
    <t>-551.898596045214 -27.9445886710575 655.053028727506</t>
  </si>
  <si>
    <t>-498.717145600295 -169.246974859066 745.32419952755</t>
  </si>
  <si>
    <t>9763-20170724T160557.525663500.bin</t>
  </si>
  <si>
    <t>-614.819364579398 131.926582992108 -230.146262841176</t>
  </si>
  <si>
    <t>-654.789549308318 125.677757399025 -344.300293970387</t>
  </si>
  <si>
    <t>-673.679345127458 118.363996575686 -463.800359709191</t>
  </si>
  <si>
    <t>-681.914087899626 111.12322503971 -572.770952436014</t>
  </si>
  <si>
    <t>-681.358608998351 103.202158361423 -682.003743761683</t>
  </si>
  <si>
    <t>-671.426426421245 91.4027664385167 -833.536352721415</t>
  </si>
  <si>
    <t>-641.138825694898 73.2034194635535 -929.110564529436</t>
  </si>
  <si>
    <t>-663.028768030505 125.69555683942 -767.913152020846</t>
  </si>
  <si>
    <t>-581.387403992078 247.700336401984 -759.122767995443</t>
  </si>
  <si>
    <t>-512.285420747431 187.233901627787 -456.212096042709</t>
  </si>
  <si>
    <t>-283.477727433449 132.086136278197 -345.542332185201</t>
  </si>
  <si>
    <t>-688.613440288341 67.5517175877883 -765.06263239339</t>
  </si>
  <si>
    <t>-583.672088165975 223.672877224659 -245.780930381315</t>
  </si>
  <si>
    <t>-586.596384594022 201.387560498225 209.359220163902</t>
  </si>
  <si>
    <t>-627.436242270746 169.681647265754 676.223907251581</t>
  </si>
  <si>
    <t>-496.028606133468 91.8056986501592 763.464233757382</t>
  </si>
  <si>
    <t>-645.830378602994 40.1614175125208 -213.874139420581</t>
  </si>
  <si>
    <t>-475.512867920214 -72.1632520496853 193.59695844325</t>
  </si>
  <si>
    <t>-551.989907474218 -27.8697594168473 655.09680476278</t>
  </si>
  <si>
    <t>-498.656069328004 -169.208319362451 745.221288243922</t>
  </si>
  <si>
    <t>9763-20170724T160557.593375900.bin</t>
  </si>
  <si>
    <t>-612.949828402383 132.134366397411 -230.353198965522</t>
  </si>
  <si>
    <t>-652.980129422424 125.812455863751 -344.482146886805</t>
  </si>
  <si>
    <t>-672.347728992116 118.422455057335 -463.900854676389</t>
  </si>
  <si>
    <t>-681.186731546942 111.110824005145 -572.819524115728</t>
  </si>
  <si>
    <t>-681.406366130355 103.116136585117 -682.048114404406</t>
  </si>
  <si>
    <t>-672.725892480201 91.2111027525721 -833.649379070195</t>
  </si>
  <si>
    <t>-642.868466898843 72.9448169109689 -929.345967525868</t>
  </si>
  <si>
    <t>-663.811150324734 125.560122371473 -768.123937360165</t>
  </si>
  <si>
    <t>-582.277784763668 247.62653522535 -759.499038936111</t>
  </si>
  <si>
    <t>-504.314186816187 193.394220085386 -457.560675261361</t>
  </si>
  <si>
    <t>-273.440851557528 136.215933982716 -352.34581706977</t>
  </si>
  <si>
    <t>-689.322336356877 67.3972748974645 -765.017108339781</t>
  </si>
  <si>
    <t>-581.779932659106 223.827361202649 -246.077097785746</t>
  </si>
  <si>
    <t>-585.225313385166 201.004803066789 209.032674499184</t>
  </si>
  <si>
    <t>-627.10327979609 168.934948963184 675.691361633844</t>
  </si>
  <si>
    <t>-495.751556706253 91.8849256259816 763.745489005485</t>
  </si>
  <si>
    <t>-643.97920155409 40.4733430035678 -214.001664808276</t>
  </si>
  <si>
    <t>-474.49708220553 -72.2287059998489 193.713528345181</t>
  </si>
  <si>
    <t>-552.210583027307 -27.6662733667722 655.137913054085</t>
  </si>
  <si>
    <t>-498.445675502111 -169.104440794236 744.849160248011</t>
  </si>
  <si>
    <t>9763-20170724T160557.631479000.bin</t>
  </si>
  <si>
    <t>-612.04302847607 132.097440729845 -230.479651213009</t>
  </si>
  <si>
    <t>-652.10335292434 125.672361629763 -344.592446809612</t>
  </si>
  <si>
    <t>-671.718626141859 118.200878695086 -463.965689479241</t>
  </si>
  <si>
    <t>-680.870830053228 110.825404730408 -572.854140072486</t>
  </si>
  <si>
    <t>-681.492373759223 102.776473650535 -682.077136945547</t>
  </si>
  <si>
    <t>-673.461164612442 90.8060617273011 -833.708978017241</t>
  </si>
  <si>
    <t>-643.814294742938 72.5172436744972 -929.466813609427</t>
  </si>
  <si>
    <t>-664.298642260676 125.197512618952 -768.240025586275</t>
  </si>
  <si>
    <t>-582.892861283347 247.388841953161 -759.772676215277</t>
  </si>
  <si>
    <t>-499.466187405774 197.554890905895 -458.537243723745</t>
  </si>
  <si>
    <t>-268.032708088158 137.661471950661 -356.100137822285</t>
  </si>
  <si>
    <t>-689.730901740835 67.0075753496117 -764.993318626892</t>
  </si>
  <si>
    <t>-580.949926163162 223.77112554937 -246.195630215883</t>
  </si>
  <si>
    <t>-584.688241889702 200.92520666234 208.910591945338</t>
  </si>
  <si>
    <t>-627.030709629223 168.664605203473 675.563378252404</t>
  </si>
  <si>
    <t>-495.618727062896 92.0109997990724 763.873207674494</t>
  </si>
  <si>
    <t>-643.017151139592 40.4311761035015 -214.077442886953</t>
  </si>
  <si>
    <t>-473.802160086487 -72.3663234188102 193.722295610309</t>
  </si>
  <si>
    <t>-552.269055741957 -27.6360812999633 655.03021831429</t>
  </si>
  <si>
    <t>-498.203524444377 -169.038195334005 744.617536705575</t>
  </si>
  <si>
    <t>9763-20170724T160557.692141200.bin</t>
  </si>
  <si>
    <t>-610.179326748316 131.997557438718 -230.665860350996</t>
  </si>
  <si>
    <t>-650.295424837497 125.430000987627 -344.750747558636</t>
  </si>
  <si>
    <t>-670.323351093364 117.855044372752 -464.048886855827</t>
  </si>
  <si>
    <t>-679.995421412494 110.399564724378 -572.88691798557</t>
  </si>
  <si>
    <t>-681.282719351247 102.281827449725 -682.099145059008</t>
  </si>
  <si>
    <t>-674.326283248115 90.225493616218 -833.777348889101</t>
  </si>
  <si>
    <t>-644.98341240863 71.9376333646762 -929.628805912295</t>
  </si>
  <si>
    <t>-664.756694315835 124.678407163454 -768.398895681714</t>
  </si>
  <si>
    <t>-583.855416121611 247.107064771814 -759.463120448794</t>
  </si>
  <si>
    <t>-486.936928504931 207.104008167682 -460.811667634018</t>
  </si>
  <si>
    <t>-255.184550803184 140.579571264096 -363.305830180419</t>
  </si>
  <si>
    <t>-690.05186427804 66.4417127311465 -764.929924561503</t>
  </si>
  <si>
    <t>-579.350285094697 223.791082451017 -246.361731512455</t>
  </si>
  <si>
    <t>-583.788218195657 200.45837199463 208.713621032638</t>
  </si>
  <si>
    <t>-627.040320506418 167.928406523359 675.333597470983</t>
  </si>
  <si>
    <t>-495.554787585274 91.9525621082905 764.118364100125</t>
  </si>
  <si>
    <t>-640.870310359781 40.2876768428744 -214.263317256257</t>
  </si>
  <si>
    <t>-472.247500569297 -72.6388425135285 193.74603963307</t>
  </si>
  <si>
    <t>-552.282445382082 -27.6045793134633 654.788426087873</t>
  </si>
  <si>
    <t>-497.681127361115 -168.918614609362 744.189496549929</t>
  </si>
  <si>
    <t>9763-20170724T160557.727235400.bin</t>
  </si>
  <si>
    <t>-609.186572979584 131.843773921164 -230.779939712071</t>
  </si>
  <si>
    <t>-649.320801968973 125.185156657384 -344.853234432924</t>
  </si>
  <si>
    <t>-669.507903891998 117.598050196104 -464.12388906808</t>
  </si>
  <si>
    <t>-679.381169526273 110.169543378326 -572.945773908408</t>
  </si>
  <si>
    <t>-680.925575499524 102.120251318916 -682.159607113152</t>
  </si>
  <si>
    <t>-674.383241906263 90.2048980904253 -833.867346967502</t>
  </si>
  <si>
    <t>-645.157238129648 72.0296219328961 -929.775993567092</t>
  </si>
  <si>
    <t>-664.736067256931 124.640149041288 -768.491051433273</t>
  </si>
  <si>
    <t>-584.850664633779 247.727820891062 -758.97224529524</t>
  </si>
  <si>
    <t>-478.136308285778 212.556196470022 -463.064840555518</t>
  </si>
  <si>
    <t>-246.784574478753 141.614729606313 -367.745787163462</t>
  </si>
  <si>
    <t>-689.820031124305 66.3139291370155 -764.991720145989</t>
  </si>
  <si>
    <t>-578.519440404142 223.600598242115 -246.426188565657</t>
  </si>
  <si>
    <t>-583.178429678965 200.152369354252 208.640953481931</t>
  </si>
  <si>
    <t>-627.053080180456 167.628413030888 675.241017915496</t>
  </si>
  <si>
    <t>-495.487020266382 91.9909689229989 764.195291477686</t>
  </si>
  <si>
    <t>-639.660685901988 40.1410950109337 -214.381912625071</t>
  </si>
  <si>
    <t>-471.337955619072 -72.7020835843077 193.774387597853</t>
  </si>
  <si>
    <t>-552.212898300631 -27.5830691457015 654.652171185413</t>
  </si>
  <si>
    <t>-497.55971098934 -168.905960482816 744.00754563935</t>
  </si>
  <si>
    <t>9763-20170724T160557.793421400.bin</t>
  </si>
  <si>
    <t>-607.207223252231 131.492246771726 -230.792565439501</t>
  </si>
  <si>
    <t>-647.496209508684 124.700411672553 -344.803379616086</t>
  </si>
  <si>
    <t>-667.948847911717 117.217545766673 -464.035289026747</t>
  </si>
  <si>
    <t>-678.103286632524 109.996141189657 -572.845196116724</t>
  </si>
  <si>
    <t>-679.967112501475 102.275330148171 -682.077879553517</t>
  </si>
  <si>
    <t>-673.904742316671 90.951480125201 -833.8508543758</t>
  </si>
  <si>
    <t>-644.744061265056 73.1305773223407 -929.845898131955</t>
  </si>
  <si>
    <t>-664.329832865555 125.249052772823 -768.391454192858</t>
  </si>
  <si>
    <t>-586.773411218885 249.689183923447 -757.402950780129</t>
  </si>
  <si>
    <t>-458.444072461821 224.330684958632 -469.176017978727</t>
  </si>
  <si>
    <t>-227.903786768657 145.079064133354 -378.553551889122</t>
  </si>
  <si>
    <t>-688.844455583208 66.6748313681539 -765.000408868642</t>
  </si>
  <si>
    <t>-577.044399577711 223.346309063441 -246.462969707238</t>
  </si>
  <si>
    <t>-582.008867023074 199.396780958027 208.574851879182</t>
  </si>
  <si>
    <t>-627.089565040987 166.866405650948 675.040495530108</t>
  </si>
  <si>
    <t>-495.488583971355 91.8318873027754 764.452564647456</t>
  </si>
  <si>
    <t>-637.208965238278 39.7341963264669 -214.381285303069</t>
  </si>
  <si>
    <t>-469.349913221561 -73.0002357917447 193.995964763648</t>
  </si>
  <si>
    <t>-552.051691647752 -27.4910387791811 654.453551499364</t>
  </si>
  <si>
    <t>-497.412423943649 -168.890665556522 743.696019151286</t>
  </si>
  <si>
    <t>9763-20170724T160557.825505300.bin</t>
  </si>
  <si>
    <t>-606.382179283316 131.173736821982 -230.745808446992</t>
  </si>
  <si>
    <t>-646.751884696082 124.241805759783 -344.719714573761</t>
  </si>
  <si>
    <t>-667.360178092333 116.75226606886 -463.924518207359</t>
  </si>
  <si>
    <t>-677.683730339314 109.58988082693 -572.722259430722</t>
  </si>
  <si>
    <t>-679.743627348173 101.998701775859 -681.960542026851</t>
  </si>
  <si>
    <t>-673.979752287589 90.9341028210492 -833.764237210449</t>
  </si>
  <si>
    <t>-644.865413189304 73.3120805397514 -929.810045247005</t>
  </si>
  <si>
    <t>-664.435774578065 125.185499232193 -768.276237801653</t>
  </si>
  <si>
    <t>-587.938157724981 250.300500319733 -756.941477219333</t>
  </si>
  <si>
    <t>-449.450746366296 229.92210465682 -473.05394748211</t>
  </si>
  <si>
    <t>-219.214507020649 148.320232195175 -383.75390402082</t>
  </si>
  <si>
    <t>-688.624410923674 66.474178456089 -764.915351140927</t>
  </si>
  <si>
    <t>-576.463330501061 223.017511848403 -246.487831695012</t>
  </si>
  <si>
    <t>-581.631975907107 199.12974953513 208.550912561567</t>
  </si>
  <si>
    <t>-627.142017660017 166.619420076172 675.038804778026</t>
  </si>
  <si>
    <t>-495.42460526524 91.890154998697 764.535009983483</t>
  </si>
  <si>
    <t>-636.142950709396 39.3830193282854 -214.279410919366</t>
  </si>
  <si>
    <t>-468.306827779322 -73.228510316784 194.141152507666</t>
  </si>
  <si>
    <t>-551.961414558027 -27.4389472291302 654.379298792094</t>
  </si>
  <si>
    <t>-497.341505031866 -168.881622269741 743.565400446898</t>
  </si>
  <si>
    <t>9763-20170724T160557.895361600.bin</t>
  </si>
  <si>
    <t>-604.915642412896 130.376228414553 -230.653386792548</t>
  </si>
  <si>
    <t>-645.190334681746 123.095351461772 -344.63913864673</t>
  </si>
  <si>
    <t>-665.984194122074 115.436798851284 -463.800831976289</t>
  </si>
  <si>
    <t>-676.591030742675 108.198889050278 -572.566426566834</t>
  </si>
  <si>
    <t>-679.048624385452 100.611210889661 -681.79676281692</t>
  </si>
  <si>
    <t>-673.955051328067 89.634645995437 -833.630623360644</t>
  </si>
  <si>
    <t>-644.89782589977 72.3085699178141 -929.747638229562</t>
  </si>
  <si>
    <t>-664.296606341723 123.91864489941 -768.176620917984</t>
  </si>
  <si>
    <t>-588.491967088099 249.47365978724 -757.306482563227</t>
  </si>
  <si>
    <t>-440.561609858202 234.025593407123 -477.906749372198</t>
  </si>
  <si>
    <t>-209.695633130528 152.70156288576 -389.98987137748</t>
  </si>
  <si>
    <t>-688.121003175748 65.0642134805682 -764.721114056998</t>
  </si>
  <si>
    <t>-575.574895360608 222.281089735704 -246.477072806511</t>
  </si>
  <si>
    <t>-581.427826097403 198.890459134116 208.579249598843</t>
  </si>
  <si>
    <t>-627.209606225207 166.43965612202 675.021569235961</t>
  </si>
  <si>
    <t>-495.434871878087 91.9035114494066 764.594420798119</t>
  </si>
  <si>
    <t>-634.077842494433 38.4785565576899 -214.148846143946</t>
  </si>
  <si>
    <t>-466.268440879251 -73.7359352685257 194.391920636245</t>
  </si>
  <si>
    <t>-551.745981113186 -27.374104010871 654.20102823299</t>
  </si>
  <si>
    <t>-497.307812521214 -168.905654141034 743.357204938217</t>
  </si>
  <si>
    <t>9763-20170724T160557.925441000.bin</t>
  </si>
  <si>
    <t>-604.285381287357 129.916336184036 -230.693689444411</t>
  </si>
  <si>
    <t>-644.43864591563 122.56283525195 -344.717527177606</t>
  </si>
  <si>
    <t>-665.282017193573 114.845064116164 -463.866759017912</t>
  </si>
  <si>
    <t>-676.005125229849 107.560677375775 -572.617992605455</t>
  </si>
  <si>
    <t>-678.651221627646 99.9334914916299 -681.84089981252</t>
  </si>
  <si>
    <t>-673.894134911455 88.9100285543602 -833.682506420624</t>
  </si>
  <si>
    <t>-644.906133393884 71.7202534739235 -929.844781603256</t>
  </si>
  <si>
    <t>-664.148127960552 123.237243266004 -768.264141342251</t>
  </si>
  <si>
    <t>-588.768406932531 249.045937719688 -757.726233602772</t>
  </si>
  <si>
    <t>-438.832394044725 234.65213166786 -479.341244308538</t>
  </si>
  <si>
    <t>-208.883589479615 153.868334400115 -388.569437269383</t>
  </si>
  <si>
    <t>-687.849902777986 64.3378594822223 -764.730693522525</t>
  </si>
  <si>
    <t>-575.179250460993 221.88295222756 -246.492174509347</t>
  </si>
  <si>
    <t>-581.34302046666 198.696372517866 208.570577873297</t>
  </si>
  <si>
    <t>-627.226245331815 166.387859781225 675.019627494609</t>
  </si>
  <si>
    <t>-495.379323025227 91.9959194234009 764.606139906038</t>
  </si>
  <si>
    <t>-633.223617725129 37.9892043903571 -214.235353429456</t>
  </si>
  <si>
    <t>-465.447981866768 -73.8420134776793 194.424366142975</t>
  </si>
  <si>
    <t>-551.630953790133 -27.3959381062516 654.057247395898</t>
  </si>
  <si>
    <t>-497.345599774502 -168.942035225306 743.283466416271</t>
  </si>
  <si>
    <t>9763-20170724T160557.993312800.bin</t>
  </si>
  <si>
    <t>-602.878279819148 129.239723274574 -230.917919500791</t>
  </si>
  <si>
    <t>-642.857399506965 121.871053312359 -345.001964777242</t>
  </si>
  <si>
    <t>-663.708607239289 114.13258568867 -464.148584828096</t>
  </si>
  <si>
    <t>-674.515679047917 106.835587817364 -572.890589771002</t>
  </si>
  <si>
    <t>-677.323096093716 99.2065026712071 -682.109402024662</t>
  </si>
  <si>
    <t>-672.870294057932 88.1958794126444 -833.961093870251</t>
  </si>
  <si>
    <t>-643.894983992885 71.2570744968896 -930.171815723096</t>
  </si>
  <si>
    <t>-663.121499221288 122.568506533945 -768.566904882501</t>
  </si>
  <si>
    <t>-588.343063606519 248.724622625246 -758.099551257031</t>
  </si>
  <si>
    <t>-439.06111246259 235.241926385457 -479.317593945233</t>
  </si>
  <si>
    <t>-213.975294664671 152.29298949143 -378.829408029301</t>
  </si>
  <si>
    <t>-686.559489247246 63.5670369723077 -764.976159290878</t>
  </si>
  <si>
    <t>-574.075656120755 221.203133576632 -246.574131906995</t>
  </si>
  <si>
    <t>-580.685271704249 198.157987810956 208.489506044006</t>
  </si>
  <si>
    <t>-627.211531200968 166.425572143055 674.975352935603</t>
  </si>
  <si>
    <t>-495.474976829134 91.9148066762464 764.625461716241</t>
  </si>
  <si>
    <t>-631.515173212933 37.3322540794443 -214.589964158402</t>
  </si>
  <si>
    <t>-464.204782740559 -73.9843261837814 194.40089430765</t>
  </si>
  <si>
    <t>-551.263696297216 -27.4049060674447 653.78173012777</t>
  </si>
  <si>
    <t>-497.655747350872 -169.065132036116 743.236069318293</t>
  </si>
  <si>
    <t>9763-20170724T160558.056482000.bin</t>
  </si>
  <si>
    <t>-601.560487193138 128.789923479885 -231.02385090834</t>
  </si>
  <si>
    <t>-641.468121162102 121.510959044491 -345.13873075082</t>
  </si>
  <si>
    <t>-662.255058365374 113.893697650933 -464.304361955696</t>
  </si>
  <si>
    <t>-673.007167424764 106.727065931313 -573.060389183263</t>
  </si>
  <si>
    <t>-675.762849148234 99.2537562216726 -682.291287620809</t>
  </si>
  <si>
    <t>-671.241188229796 88.4905911449307 -834.158879617272</t>
  </si>
  <si>
    <t>-642.185316046743 71.7176242985333 -930.374265722477</t>
  </si>
  <si>
    <t>-661.581790188118 122.780015791258 -768.707608735406</t>
  </si>
  <si>
    <t>-587.031159161997 249.057928810496 -757.645255568159</t>
  </si>
  <si>
    <t>-442.571070289416 234.526236362819 -476.386858076352</t>
  </si>
  <si>
    <t>-221.248241785681 149.319384000216 -369.625364494708</t>
  </si>
  <si>
    <t>-684.901996294184 63.725876559434 -765.216704863238</t>
  </si>
  <si>
    <t>-572.89724118904 220.70101165596 -246.603295104048</t>
  </si>
  <si>
    <t>-579.687347718792 197.633899410861 208.456556137381</t>
  </si>
  <si>
    <t>-627.192302326562 166.427506820444 674.945875411041</t>
  </si>
  <si>
    <t>-495.487442498475 91.9080800016013 764.63533582419</t>
  </si>
  <si>
    <t>-630.094738294262 36.9158586008773 -214.735913422951</t>
  </si>
  <si>
    <t>-463.132871164461 -74.4798617818085 194.375841630374</t>
  </si>
  <si>
    <t>-550.892632612589 -27.4416229922556 653.51717321909</t>
  </si>
  <si>
    <t>-498.05589533486 -169.201012318044 743.27284124033</t>
  </si>
  <si>
    <t>9763-20170724T160558.092590800.bin</t>
  </si>
  <si>
    <t>-601.006378453335 128.651899608962 -230.951567486617</t>
  </si>
  <si>
    <t>-640.903852802942 121.366032819091 -345.069505086914</t>
  </si>
  <si>
    <t>-661.613210375485 113.7637314201 -464.249575170631</t>
  </si>
  <si>
    <t>-672.26748914067 106.616969003868 -573.01671457307</t>
  </si>
  <si>
    <t>-674.897257675226 99.1692122725099 -682.252514352942</t>
  </si>
  <si>
    <t>-670.17199452237 88.4459494278015 -834.116465426386</t>
  </si>
  <si>
    <t>-641.036267459581 71.659418060621 -930.305353784473</t>
  </si>
  <si>
    <t>-660.554805060902 122.700150112618 -768.640744987731</t>
  </si>
  <si>
    <t>-586.070090868901 248.988009017908 -757.241310586126</t>
  </si>
  <si>
    <t>-445.089583237818 233.450763582296 -474.276160191203</t>
  </si>
  <si>
    <t>-225.87817144812 147.716089590896 -363.650772657146</t>
  </si>
  <si>
    <t>-683.970814591872 63.6810882485015 -765.201842619254</t>
  </si>
  <si>
    <t>-572.282132803796 220.530083911221 -246.562213198342</t>
  </si>
  <si>
    <t>-579.306300827485 197.540762812202 208.497991892134</t>
  </si>
  <si>
    <t>-627.189856684662 166.423329880103 674.938751961105</t>
  </si>
  <si>
    <t>-495.506048695778 91.8872209353453 764.645234957692</t>
  </si>
  <si>
    <t>-629.599622603075 36.7968866776926 -214.627884104039</t>
  </si>
  <si>
    <t>-462.712377276169 -74.7956516469344 194.460615709314</t>
  </si>
  <si>
    <t>-550.776511716777 -27.4156937333764 653.485450095342</t>
  </si>
  <si>
    <t>-498.185239716154 -169.239992499455 743.28266514962</t>
  </si>
  <si>
    <t>9763-20170724T160558.125679000.bin</t>
  </si>
  <si>
    <t>-600.469139525576 128.452550158751 -230.842803502922</t>
  </si>
  <si>
    <t>-640.343251741453 121.111409562475 -344.965339687198</t>
  </si>
  <si>
    <t>-660.89641212867 113.521656012824 -464.173288798178</t>
  </si>
  <si>
    <t>-671.354197218626 106.410960056478 -572.961736747159</t>
  </si>
  <si>
    <t>-673.732480224075 99.0220742363679 -682.207394680102</t>
  </si>
  <si>
    <t>-668.600382226801 88.403525281562 -834.065514354063</t>
  </si>
  <si>
    <t>-639.334556926935 71.6304777987768 -930.21724751971</t>
  </si>
  <si>
    <t>-659.108872050651 122.593121441839 -768.537518571459</t>
  </si>
  <si>
    <t>-584.685491157379 248.878223864697 -756.78533599556</t>
  </si>
  <si>
    <t>-447.666628536528 231.635580030254 -471.978948330346</t>
  </si>
  <si>
    <t>-233.569632886318 145.05365796332 -352.362377571188</t>
  </si>
  <si>
    <t>-682.633324875877 63.6108710485476 -765.208376603245</t>
  </si>
  <si>
    <t>-571.691703512266 220.290653749301 -246.526416242975</t>
  </si>
  <si>
    <t>-579.012578546781 197.512971698559 208.539723036767</t>
  </si>
  <si>
    <t>-627.17503446299 166.449336713502 674.936194068435</t>
  </si>
  <si>
    <t>-495.565336695798 91.814339792495 764.669211344622</t>
  </si>
  <si>
    <t>-629.098239635144 36.5929930723992 -214.458926063355</t>
  </si>
  <si>
    <t>-462.235433341533 -75.0577736355715 194.623663056045</t>
  </si>
  <si>
    <t>-550.731876948584 -27.3478762657267 653.536574942347</t>
  </si>
  <si>
    <t>-498.237476945397 -169.243749616297 743.277423115115</t>
  </si>
  <si>
    <t>9763-20170724T160558.195882600.bin</t>
  </si>
  <si>
    <t>-599.758610925571 127.875534948899 -230.697030854497</t>
  </si>
  <si>
    <t>-639.568240080974 120.384296562025 -344.832329032968</t>
  </si>
  <si>
    <t>-659.856678736008 112.790471868078 -464.085350052531</t>
  </si>
  <si>
    <t>-669.991894658655 105.727172878978 -572.907363772779</t>
  </si>
  <si>
    <t>-671.96420903238 98.4322910064905 -682.167425020004</t>
  </si>
  <si>
    <t>-666.182156034078 87.9881626584749 -834.014271021757</t>
  </si>
  <si>
    <t>-636.728264966473 71.2362901751017 -930.112368563931</t>
  </si>
  <si>
    <t>-656.868414766217 122.06152332778 -768.400374039136</t>
  </si>
  <si>
    <t>-582.812734297284 248.504246404712 -755.94996704934</t>
  </si>
  <si>
    <t>-452.230625959473 228.092814639302 -468.342823611845</t>
  </si>
  <si>
    <t>-247.11672669182 140.515050400782 -334.550056795825</t>
  </si>
  <si>
    <t>-680.612670358496 63.1571908782755 -765.253124026468</t>
  </si>
  <si>
    <t>-570.92224327969 219.654275863312 -246.515897275126</t>
  </si>
  <si>
    <t>-578.663265602849 197.20782690854 208.559952481207</t>
  </si>
  <si>
    <t>-627.191208087115 166.205639978894 674.922823406252</t>
  </si>
  <si>
    <t>-495.440094950438 91.8928881963095 764.715778080753</t>
  </si>
  <si>
    <t>-628.481475790283 36.1306441155079 -214.161477113993</t>
  </si>
  <si>
    <t>-461.424396439273 -75.5945048548365 194.821510150773</t>
  </si>
  <si>
    <t>-550.705121872117 -27.2573000747377 653.573153038314</t>
  </si>
  <si>
    <t>-498.192105132431 -169.240402290941 743.165040775109</t>
  </si>
  <si>
    <t>9763-20170724T160558.228969400.bin</t>
  </si>
  <si>
    <t>-599.599352742447 127.625702950621 -230.685989200248</t>
  </si>
  <si>
    <t>-639.349117296317 120.058909274046 -344.837173913316</t>
  </si>
  <si>
    <t>-659.547552511883 112.563218503242 -464.111741273521</t>
  </si>
  <si>
    <t>-669.587899417608 105.652104304119 -572.952270147768</t>
  </si>
  <si>
    <t>-671.451643247341 98.5681651346683 -682.227994659397</t>
  </si>
  <si>
    <t>-665.50405011083 88.4745173159999 -834.092235575793</t>
  </si>
  <si>
    <t>-635.990854067953 71.8451910761405 -930.193442106413</t>
  </si>
  <si>
    <t>-656.223323826807 122.380849111725 -768.387336250937</t>
  </si>
  <si>
    <t>-582.294880929981 248.832785564653 -755.393278367116</t>
  </si>
  <si>
    <t>-454.441642687034 226.011436963034 -466.742959945641</t>
  </si>
  <si>
    <t>-259.009779308232 134.101446612889 -321.825775773136</t>
  </si>
  <si>
    <t>-680.047964324331 63.5005184002002 -765.406839868624</t>
  </si>
  <si>
    <t>-570.857319992567 219.491754040009 -246.521895752461</t>
  </si>
  <si>
    <t>-578.675124183591 197.056556731545 208.553002293269</t>
  </si>
  <si>
    <t>-627.198175435467 166.114922249285 674.92475457634</t>
  </si>
  <si>
    <t>-495.421456491836 91.8819649162569 764.746120120568</t>
  </si>
  <si>
    <t>-628.235196293607 35.8593863110139 -214.149959710541</t>
  </si>
  <si>
    <t>-461.189510464052 -75.7370830852685 194.872864453708</t>
  </si>
  <si>
    <t>-550.734752173865 -27.2684519807058 653.565556685169</t>
  </si>
  <si>
    <t>-498.123049930374 -169.240493597614 743.117117562479</t>
  </si>
  <si>
    <t>9763-20170724T160558.290047300.bin</t>
  </si>
  <si>
    <t>-599.617904564006 126.958486954874 -230.784086300338</t>
  </si>
  <si>
    <t>-639.185711019849 119.270280080993 -344.990408837168</t>
  </si>
  <si>
    <t>-659.045451040798 112.198814008958 -464.347769162599</t>
  </si>
  <si>
    <t>-668.711305692642 105.875528236034 -573.257886412969</t>
  </si>
  <si>
    <t>-670.13055577491 99.5729702810852 -682.588133406053</t>
  </si>
  <si>
    <t>-663.492093783881 90.7563577259873 -834.503291719005</t>
  </si>
  <si>
    <t>-633.609000003941 74.6691634225247 -930.582396472199</t>
  </si>
  <si>
    <t>-654.495107521465 124.102376288147 -768.473011869772</t>
  </si>
  <si>
    <t>-580.428960414154 250.299402547425 -753.852411197139</t>
  </si>
  <si>
    <t>-453.932531976396 223.674517617783 -464.930485019311</t>
  </si>
  <si>
    <t>-284.776634307737 112.271982373389 -301.780778852165</t>
  </si>
  <si>
    <t>-678.363885368718 65.2122856564879 -766.098219680122</t>
  </si>
  <si>
    <t>-571.257542795162 218.98374354518 -246.531674941863</t>
  </si>
  <si>
    <t>-579.015208424808 196.726813026306 208.553019921996</t>
  </si>
  <si>
    <t>-627.241210640302 165.963129824827 674.959646306321</t>
  </si>
  <si>
    <t>-495.286930979735 92.0487232334865 764.783053826168</t>
  </si>
  <si>
    <t>-627.825574578871 35.0433446383806 -214.362322718576</t>
  </si>
  <si>
    <t>-460.929208991101 -75.9176342405144 194.894201113926</t>
  </si>
  <si>
    <t>-550.8150332393 -27.3560163822958 653.52596451237</t>
  </si>
  <si>
    <t>-497.870106099661 -169.224715421561 743.044882783432</t>
  </si>
  <si>
    <t>9763-20170724T160558.322130600.bin</t>
  </si>
  <si>
    <t>-599.576563451421 126.589420792189 -230.674377693167</t>
  </si>
  <si>
    <t>-639.013171666123 118.785432851992 -344.918135048888</t>
  </si>
  <si>
    <t>-658.672996054069 111.900870713799 -464.319543847691</t>
  </si>
  <si>
    <t>-668.127604706305 105.854892915519 -573.263972147552</t>
  </si>
  <si>
    <t>-669.304256714822 99.9289790397397 -682.618244251807</t>
  </si>
  <si>
    <t>-662.295421504165 91.7312450863697 -834.551311478875</t>
  </si>
  <si>
    <t>-632.313143128106 75.8427076035543 -930.632500399848</t>
  </si>
  <si>
    <t>-653.370205988806 124.771824856438 -768.357974354942</t>
  </si>
  <si>
    <t>-578.962701748921 250.651441996796 -753.057216218562</t>
  </si>
  <si>
    <t>-452.400575197265 221.971453827146 -464.360735344301</t>
  </si>
  <si>
    <t>-297.713155609276 97.8616291735227 -296.103149790213</t>
  </si>
  <si>
    <t>-677.423089139778 65.9450730266203 -766.293400518443</t>
  </si>
  <si>
    <t>-571.340953475927 218.622707165292 -246.461544077433</t>
  </si>
  <si>
    <t>-579.210237521472 196.664151591865 208.635650570528</t>
  </si>
  <si>
    <t>-627.290594889692 165.877121469919 675.017865092784</t>
  </si>
  <si>
    <t>-495.278666063245 92.0384801178209 764.818819893363</t>
  </si>
  <si>
    <t>-627.646317410524 34.601670914597 -214.214546769506</t>
  </si>
  <si>
    <t>-460.548139780946 -76.1276175228029 195.022427030322</t>
  </si>
  <si>
    <t>-550.864236490265 -27.3441258579369 653.542116351636</t>
  </si>
  <si>
    <t>-497.717202550644 -169.19005323813 742.977236651125</t>
  </si>
  <si>
    <t>9763-20170724T160558.390885300.bin</t>
  </si>
  <si>
    <t>-599.208259492871 125.422903758554 -230.533717475911</t>
  </si>
  <si>
    <t>-638.476023583824 117.535666101247 -344.8300315464</t>
  </si>
  <si>
    <t>-657.77446870462 110.930398236834 -464.305989724586</t>
  </si>
  <si>
    <t>-666.819739626386 105.255726518229 -573.305308438908</t>
  </si>
  <si>
    <t>-667.503268804403 99.8033413698133 -682.688371358032</t>
  </si>
  <si>
    <t>-659.722026023116 92.3546664924756 -834.622362844004</t>
  </si>
  <si>
    <t>-629.60068474322 76.6823115642012 -930.695605649083</t>
  </si>
  <si>
    <t>-650.851377445317 124.951960321482 -768.202113856632</t>
  </si>
  <si>
    <t>-574.802401319472 249.757094438064 -751.759054465032</t>
  </si>
  <si>
    <t>-451.465472695931 223.965370080567 -461.398919912363</t>
  </si>
  <si>
    <t>-316.492317230551 81.2570140021587 -290.933018216632</t>
  </si>
  <si>
    <t>-675.478561407215 66.3490218692632 -766.590401418731</t>
  </si>
  <si>
    <t>-570.965615589115 217.302186002316 -246.381331899218</t>
  </si>
  <si>
    <t>-579.637662864956 196.45320485852 208.753663745485</t>
  </si>
  <si>
    <t>-627.351915317262 165.622017214829 675.09180090259</t>
  </si>
  <si>
    <t>-495.15726876804 92.121534817951 764.901397124945</t>
  </si>
  <si>
    <t>-627.353402025274 33.4734238219251 -213.997594944793</t>
  </si>
  <si>
    <t>-459.75135873605 -77.0611822483706 195.085858439793</t>
  </si>
  <si>
    <t>-550.825092464924 -27.2777421396329 653.379941211899</t>
  </si>
  <si>
    <t>-497.591468889213 -169.175674548839 742.680922126658</t>
  </si>
  <si>
    <t>9763-20170724T160558.425978500.bin</t>
  </si>
  <si>
    <t>-598.872892932972 124.680278039037 -230.587542193975</t>
  </si>
  <si>
    <t>-637.998510698915 116.87482555827 -344.938103874485</t>
  </si>
  <si>
    <t>-657.090711502052 110.403278971112 -464.454589736818</t>
  </si>
  <si>
    <t>-665.923694851239 104.861820673017 -573.478018266072</t>
  </si>
  <si>
    <t>-666.369588126036 99.5501826192976 -682.869277466145</t>
  </si>
  <si>
    <t>-658.232555015001 92.3003126804642 -834.794285466078</t>
  </si>
  <si>
    <t>-628.068062138893 76.7109917526577 -930.867519884411</t>
  </si>
  <si>
    <t>-649.38141902641 124.753362714981 -768.300923177588</t>
  </si>
  <si>
    <t>-572.692955024163 249.09100600147 -751.417948118448</t>
  </si>
  <si>
    <t>-452.317824145285 223.941317442924 -459.761500678585</t>
  </si>
  <si>
    <t>-322.939824789084 77.4372074755177 -288.180872093495</t>
  </si>
  <si>
    <t>-674.284452612139 66.2629592931257 -766.843598228259</t>
  </si>
  <si>
    <t>-570.428673875606 216.451003865697 -246.381269638334</t>
  </si>
  <si>
    <t>-579.578818786407 195.995462052766 208.762110102883</t>
  </si>
  <si>
    <t>-627.401704423016 165.419250848321 675.139742045477</t>
  </si>
  <si>
    <t>-495.152911074713 92.0583022143576 764.983716339764</t>
  </si>
  <si>
    <t>-627.241881318023 32.8548337779853 -214.083524628415</t>
  </si>
  <si>
    <t>-459.737588755373 -77.6338059905904 195.052377635757</t>
  </si>
  <si>
    <t>-550.840592139883 -27.2560417522473 653.302566563087</t>
  </si>
  <si>
    <t>-497.595206105939 -169.188799896546 742.541185525729</t>
  </si>
  <si>
    <t>9763-20170724T160558.492741000.bin</t>
  </si>
  <si>
    <t>-598.12647459151 122.687832289012 -230.803176073913</t>
  </si>
  <si>
    <t>-637.075603351075 115.330632628706 -345.243728619317</t>
  </si>
  <si>
    <t>-655.857214981258 109.281781642572 -464.831480444496</t>
  </si>
  <si>
    <t>-664.356983678085 104.112891562215 -573.89971722006</t>
  </si>
  <si>
    <t>-664.41850037048 99.1661035876643 -683.308915764268</t>
  </si>
  <si>
    <t>-655.695895247503 92.4164443179932 -835.224688210162</t>
  </si>
  <si>
    <t>-625.288853158806 77.0739663457753 -931.261107793533</t>
  </si>
  <si>
    <t>-647.018113657305 124.614788736604 -768.58465128848</t>
  </si>
  <si>
    <t>-569.827469040558 248.563819875314 -751.066452983057</t>
  </si>
  <si>
    <t>-454.4951828782 224.131809159901 -457.318654576805</t>
  </si>
  <si>
    <t>-335.528247332447 74.0156899540943 -281.381028482082</t>
  </si>
  <si>
    <t>-672.092687844764 66.1910750502107 -767.428657588576</t>
  </si>
  <si>
    <t>-569.329890826387 214.211053785316 -246.261738639155</t>
  </si>
  <si>
    <t>-579.107480240335 194.125889585022 208.88499370318</t>
  </si>
  <si>
    <t>-627.785338496585 164.652231218619 675.421823918102</t>
  </si>
  <si>
    <t>-495.165928816429 91.8962200195688 765.211402609353</t>
  </si>
  <si>
    <t>-626.811465137015 31.167547870655 -214.661132262144</t>
  </si>
  <si>
    <t>-460.302929606886 -79.15112791049 194.927001113879</t>
  </si>
  <si>
    <t>-550.789502573674 -27.2701673747224 653.128606408197</t>
  </si>
  <si>
    <t>-497.935267614607 -169.31149182031 742.427085812357</t>
  </si>
  <si>
    <t>9763-20170724T160558.526832700.bin</t>
  </si>
  <si>
    <t>-597.868187596448 121.671513657261 -230.843838377213</t>
  </si>
  <si>
    <t>-636.762318025258 114.521077273938 -345.316163023617</t>
  </si>
  <si>
    <t>-655.36537576826 108.656494785069 -464.941043495053</t>
  </si>
  <si>
    <t>-663.653602908311 103.644238958246 -574.032836141681</t>
  </si>
  <si>
    <t>-663.454579310532 98.8435123774477 -683.448473051156</t>
  </si>
  <si>
    <t>-654.319971618368 92.2857113108951 -835.348137396248</t>
  </si>
  <si>
    <t>-623.690559095109 77.0611042244054 -931.332770069918</t>
  </si>
  <si>
    <t>-645.791206951289 124.386205673279 -768.641857761881</t>
  </si>
  <si>
    <t>-568.531505049431 248.272242805907 -750.960934094686</t>
  </si>
  <si>
    <t>-455.918045203515 224.362733372265 -456.117395853573</t>
  </si>
  <si>
    <t>-339.386511259302 70.4307298997098 -281.855004818243</t>
  </si>
  <si>
    <t>-670.932336199965 65.988421187147 -767.632743741425</t>
  </si>
  <si>
    <t>-568.970645235477 213.126441697202 -246.136262398557</t>
  </si>
  <si>
    <t>-578.826216747594 193.11815976276 209.012234324547</t>
  </si>
  <si>
    <t>-628.003956460297 164.341794329867 675.560765117017</t>
  </si>
  <si>
    <t>-495.220436786995 91.8174551514096 765.295170918544</t>
  </si>
  <si>
    <t>-626.64418341192 30.3040394871412 -214.843953014232</t>
  </si>
  <si>
    <t>-460.694244880082 -80.0869992784005 194.951181027145</t>
  </si>
  <si>
    <t>-550.758293060841 -27.2945405454402 653.095106687771</t>
  </si>
  <si>
    <t>-498.156071095375 -169.389340672014 742.457251039149</t>
  </si>
  <si>
    <t>9763-20170724T160558.590175500.bin</t>
  </si>
  <si>
    <t>-597.434995213096 119.926864975243 -230.856337708528</t>
  </si>
  <si>
    <t>-636.335001093952 113.024701340912 -345.341970988296</t>
  </si>
  <si>
    <t>-654.69932703818 107.351260617907 -465.012848445611</t>
  </si>
  <si>
    <t>-662.671582255746 102.481741580198 -574.134683461492</t>
  </si>
  <si>
    <t>-662.057500870044 97.790159645122 -683.553437147162</t>
  </si>
  <si>
    <t>-652.244922981028 91.3459097662969 -835.415907102562</t>
  </si>
  <si>
    <t>-621.288862263108 76.2119169705175 -931.309823058803</t>
  </si>
  <si>
    <t>-643.947128131008 123.367723868547 -768.642577450345</t>
  </si>
  <si>
    <t>-566.686924501859 247.243743431093 -751.012987212832</t>
  </si>
  <si>
    <t>-461.72907208672 222.685328880393 -453.410955949413</t>
  </si>
  <si>
    <t>-337.858094517464 65.9475154177919 -286.883901804239</t>
  </si>
  <si>
    <t>-669.226279098639 65.0268130294364 -767.80034955568</t>
  </si>
  <si>
    <t>-568.46319363976 211.195082534011 -246.044655067187</t>
  </si>
  <si>
    <t>-578.19470620588 191.681492602478 209.128177622207</t>
  </si>
  <si>
    <t>-628.044166157782 164.081873025276 675.576922986977</t>
  </si>
  <si>
    <t>-495.142335027467 91.8589128108838 765.379232211895</t>
  </si>
  <si>
    <t>-626.190414542447 28.7030531429803 -215.036680413031</t>
  </si>
  <si>
    <t>-460.7877058875 -81.6253660334871 194.996522415613</t>
  </si>
  <si>
    <t>-550.6328949915 -27.3952740777695 652.912355980939</t>
  </si>
  <si>
    <t>-498.557134797779 -169.545446792124 742.49449526173</t>
  </si>
  <si>
    <t>9763-20170724T160558.624272200.bin</t>
  </si>
  <si>
    <t>-597.245414346176 119.280721305805 -230.973034935176</t>
  </si>
  <si>
    <t>-636.1985804494 112.533630283989 -345.449844387605</t>
  </si>
  <si>
    <t>-654.5789872511 106.999501337945 -465.124904840466</t>
  </si>
  <si>
    <t>-662.550301079505 102.251022301167 -574.25217122745</t>
  </si>
  <si>
    <t>-661.919923769557 97.6764352521445 -683.675816610287</t>
  </si>
  <si>
    <t>-652.068490948912 91.3919910366085 -835.542323650509</t>
  </si>
  <si>
    <t>-620.977045569215 76.3284325552379 -931.403713949701</t>
  </si>
  <si>
    <t>-643.800625988085 123.349124084195 -768.734357702898</t>
  </si>
  <si>
    <t>-567.159287906935 247.540339013139 -750.80016840634</t>
  </si>
  <si>
    <t>-464.393501077567 221.016202620704 -452.602422782368</t>
  </si>
  <si>
    <t>-336.791846369973 64.1006182280214 -289.086940393446</t>
  </si>
  <si>
    <t>-669.054230733378 64.9962386952523 -767.957852689096</t>
  </si>
  <si>
    <t>-568.275348087174 210.621930622471 -246.047490171135</t>
  </si>
  <si>
    <t>-578.025234431145 191.186735710244 209.128163817052</t>
  </si>
  <si>
    <t>-628.038369765555 164.011383246866 675.581938693341</t>
  </si>
  <si>
    <t>-495.094990706131 91.9247277341271 765.432268074547</t>
  </si>
  <si>
    <t>-626.092508096844 28.060960405041 -215.211913595032</t>
  </si>
  <si>
    <t>-460.683428634671 -82.0671871812958 194.872686336486</t>
  </si>
  <si>
    <t>-550.543040356909 -27.4835218889414 652.758919019981</t>
  </si>
  <si>
    <t>-498.645601931947 -169.611291420205 742.480007675194</t>
  </si>
  <si>
    <t>9763-20170724T160558.692962800.bin</t>
  </si>
  <si>
    <t>-596.919618945493 118.55650268451 -231.03167854571</t>
  </si>
  <si>
    <t>-635.761773043201 111.776185829835 -345.544239376904</t>
  </si>
  <si>
    <t>-653.914014559237 106.279349068916 -465.255673635655</t>
  </si>
  <si>
    <t>-661.630915393213 101.592904863577 -574.403974011179</t>
  </si>
  <si>
    <t>-660.698491188673 97.1081400336818 -683.829247934241</t>
  </si>
  <si>
    <t>-650.378925768025 90.9766024611633 -835.670882809833</t>
  </si>
  <si>
    <t>-618.894250938536 76.0602610275037 -931.426815348851</t>
  </si>
  <si>
    <t>-642.370461060864 122.889352561235 -768.810128064268</t>
  </si>
  <si>
    <t>-566.026248808748 247.364544517458 -750.926004308122</t>
  </si>
  <si>
    <t>-466.225169501586 223.813191493362 -451.47432543547</t>
  </si>
  <si>
    <t>-331.82497040116 65.4107231324606 -294.990274067787</t>
  </si>
  <si>
    <t>-667.519551136758 64.48989994166 -768.16112956883</t>
  </si>
  <si>
    <t>-567.996173967794 209.947495122794 -246.055686849784</t>
  </si>
  <si>
    <t>-577.984515491298 190.987646157599 209.134900102856</t>
  </si>
  <si>
    <t>-628.044236630819 163.990684598078 675.644907932638</t>
  </si>
  <si>
    <t>-495.10401353556 91.9181934800936 765.511273855496</t>
  </si>
  <si>
    <t>-625.666492805259 27.1967759015956 -215.303508992749</t>
  </si>
  <si>
    <t>-460.327319136717 -82.4119854247479 194.948200208227</t>
  </si>
  <si>
    <t>-550.557898628132 -27.5405675231748 652.725428823785</t>
  </si>
  <si>
    <t>-498.494948873563 -169.617002596096 742.431993501375</t>
  </si>
  <si>
    <t>9763-20170724T160558.726050300.bin</t>
  </si>
  <si>
    <t>-596.792010272518 118.289597435456 -231.027605773958</t>
  </si>
  <si>
    <t>-635.625036974376 111.495959992629 -345.542420705483</t>
  </si>
  <si>
    <t>-653.779019231267 105.960396286904 -465.251993460162</t>
  </si>
  <si>
    <t>-661.502120774587 101.226572632145 -574.397698719057</t>
  </si>
  <si>
    <t>-660.580783536328 96.680514831138 -683.820478033597</t>
  </si>
  <si>
    <t>-650.281769902657 90.4481579343471 -835.659422281321</t>
  </si>
  <si>
    <t>-618.687696749452 75.5365456125644 -931.380072764962</t>
  </si>
  <si>
    <t>-642.28324479195 122.413467801309 -768.822573379363</t>
  </si>
  <si>
    <t>-566.193050572141 246.935461355072 -750.903591916514</t>
  </si>
  <si>
    <t>-468.576931664343 223.574368276668 -450.717743533048</t>
  </si>
  <si>
    <t>-328.928498448528 69.1715218678723 -294.832755626047</t>
  </si>
  <si>
    <t>-667.394319129683 63.9980539977923 -768.128206941093</t>
  </si>
  <si>
    <t>-568.017002490232 209.700846998185 -246.021447063962</t>
  </si>
  <si>
    <t>-578.090586358439 190.860476678595 209.172195168555</t>
  </si>
  <si>
    <t>-628.093282264178 163.88104089548 675.689251592275</t>
  </si>
  <si>
    <t>-495.04623363018 91.9774212030088 765.532824640759</t>
  </si>
  <si>
    <t>-625.390759251308 26.8649966312398 -215.403461266152</t>
  </si>
  <si>
    <t>-460.133313819577 -82.5195580682944 194.941053828734</t>
  </si>
  <si>
    <t>-550.554975558275 -27.5622071540702 652.705908881412</t>
  </si>
  <si>
    <t>-498.390187052667 -169.61523170685 742.390314200912</t>
  </si>
  <si>
    <t>9763-20170724T160558.790295800.bin</t>
  </si>
  <si>
    <t>-596.682450553915 118.127956307156 -230.953996078438</t>
  </si>
  <si>
    <t>-635.462644556792 111.198253565566 -345.4786372185</t>
  </si>
  <si>
    <t>-653.483906151514 105.523523968614 -465.201546150391</t>
  </si>
  <si>
    <t>-661.054278051623 100.663539877018 -574.352562835964</t>
  </si>
  <si>
    <t>-659.948379526239 95.9903872552231 -683.768180934702</t>
  </si>
  <si>
    <t>-649.360233642343 89.5807620928576 -835.580033938706</t>
  </si>
  <si>
    <t>-617.511610355588 74.7836933509307 -931.234057173551</t>
  </si>
  <si>
    <t>-641.596487986592 121.670030311935 -768.774906067505</t>
  </si>
  <si>
    <t>-566.257640690071 246.724123522412 -750.886889986885</t>
  </si>
  <si>
    <t>-467.064986327847 228.137542262204 -450.884293236632</t>
  </si>
  <si>
    <t>-315.961102616502 84.6626359857216 -295.241660582396</t>
  </si>
  <si>
    <t>-666.493746843787 63.1637171424115 -768.041073513861</t>
  </si>
  <si>
    <t>-568.228131774263 209.509863880736 -245.895656705263</t>
  </si>
  <si>
    <t>-578.206581258221 190.667953719666 209.299891586248</t>
  </si>
  <si>
    <t>-628.2869810048 163.652809020404 675.890865437802</t>
  </si>
  <si>
    <t>-494.939660045696 92.1148002766927 765.580949944169</t>
  </si>
  <si>
    <t>-624.98556832552 26.7522189186361 -215.304536902127</t>
  </si>
  <si>
    <t>-459.668861131319 -82.5837248020214 195.029145506799</t>
  </si>
  <si>
    <t>-550.557933975787 -27.6454089208062 652.664027632025</t>
  </si>
  <si>
    <t>-498.114811092767 -169.608399106285 742.328620999883</t>
  </si>
  <si>
    <t>9763-20170724T160558.831412400.bin</t>
  </si>
  <si>
    <t>-596.808995503701 118.09420842538 -230.889064927846</t>
  </si>
  <si>
    <t>-635.64638216307 111.10764658007 -345.39083166372</t>
  </si>
  <si>
    <t>-653.640379717753 105.271491584078 -465.110141612836</t>
  </si>
  <si>
    <t>-661.151738677356 100.225983773107 -574.256736414999</t>
  </si>
  <si>
    <t>-659.953094558487 95.329110613377 -683.661581081641</t>
  </si>
  <si>
    <t>-649.202097779682 88.5698903109167 -835.446764784944</t>
  </si>
  <si>
    <t>-617.164769795766 73.7345803583726 -931.031795589208</t>
  </si>
  <si>
    <t>-641.604957082974 120.8529883195 -768.715932911363</t>
  </si>
  <si>
    <t>-566.871439719564 246.285224586775 -751.116073335097</t>
  </si>
  <si>
    <t>-466.283763193947 228.931857374091 -451.50437827244</t>
  </si>
  <si>
    <t>-308.280921261415 93.6326753254459 -295.391172700175</t>
  </si>
  <si>
    <t>-666.313251918844 62.2682289858183 -767.857153975432</t>
  </si>
  <si>
    <t>-568.622063531518 209.577555942171 -245.783966621276</t>
  </si>
  <si>
    <t>-578.335695391552 190.589969921281 209.411382707341</t>
  </si>
  <si>
    <t>-628.446415864283 163.55191223699 676.040813016155</t>
  </si>
  <si>
    <t>-494.877408202964 92.2218597495018 765.566547022622</t>
  </si>
  <si>
    <t>-624.835125200326 26.6333435433055 -215.289786385396</t>
  </si>
  <si>
    <t>-459.481509709591 -82.4849872051504 195.086960584541</t>
  </si>
  <si>
    <t>-550.575390648783 -27.7073976516353 652.693840198268</t>
  </si>
  <si>
    <t>-497.945113497351 -169.605185231244 742.351917274841</t>
  </si>
  <si>
    <t>9763-20170724T160558.892573800.bin</t>
  </si>
  <si>
    <t>-597.708551129 118.362198948174 -230.616207802451</t>
  </si>
  <si>
    <t>-636.629542032715 111.143379198617 -345.075111455886</t>
  </si>
  <si>
    <t>-654.517511013486 104.797237235538 -464.784454587626</t>
  </si>
  <si>
    <t>-661.856603162384 99.1782916015145 -573.914761617991</t>
  </si>
  <si>
    <t>-660.41126627963 93.595092263974 -683.283736482057</t>
  </si>
  <si>
    <t>-649.243032667596 85.763815415931 -834.987318405038</t>
  </si>
  <si>
    <t>-616.77832567081 70.8467981265119 -930.415212061733</t>
  </si>
  <si>
    <t>-641.995575612985 118.586903536263 -768.481408132521</t>
  </si>
  <si>
    <t>-568.361617471282 244.785130788759 -751.75167214203</t>
  </si>
  <si>
    <t>-461.85525169121 231.50801431869 -453.982851280352</t>
  </si>
  <si>
    <t>-286.430990161911 116.782521718698 -300.013806317751</t>
  </si>
  <si>
    <t>-666.373658633902 59.8709575356686 -767.244994778833</t>
  </si>
  <si>
    <t>-570.064137846509 210.048361032158 -245.512803978106</t>
  </si>
  <si>
    <t>-578.836284301076 190.623863342635 209.68322246187</t>
  </si>
  <si>
    <t>-628.728737193094 163.363654685692 676.307570262189</t>
  </si>
  <si>
    <t>-494.704240822213 92.4724482816159 765.500531178579</t>
  </si>
  <si>
    <t>-625.225119818325 26.7038870134086 -215.051662712749</t>
  </si>
  <si>
    <t>-459.427155243328 -81.9096481037725 195.279640336915</t>
  </si>
  <si>
    <t>-550.751997951797 -27.9246035321007 652.853748605373</t>
  </si>
  <si>
    <t>-497.382758546575 -169.546406789994 742.511393131513</t>
  </si>
  <si>
    <t>9763-20170724T160558.927667400.bin</t>
  </si>
  <si>
    <t>-598.485642683495 118.538555040318 -230.535751122251</t>
  </si>
  <si>
    <t>-637.470584892528 111.243887728883 -344.968026128427</t>
  </si>
  <si>
    <t>-655.365374455525 104.591538650668 -464.65963688587</t>
  </si>
  <si>
    <t>-662.68857397715 98.6060398273862 -573.771654198136</t>
  </si>
  <si>
    <t>-661.206878373589 92.5680432215399 -683.115890819973</t>
  </si>
  <si>
    <t>-649.968426877346 84.0144662102041 -834.775214273569</t>
  </si>
  <si>
    <t>-617.379762676561 69.0410165854141 -930.152179773319</t>
  </si>
  <si>
    <t>-642.855970932522 117.196796588144 -768.433291760753</t>
  </si>
  <si>
    <t>-569.819837543493 243.845697276782 -752.410627265096</t>
  </si>
  <si>
    <t>-459.89439978009 231.781662906607 -455.835173628856</t>
  </si>
  <si>
    <t>-273.017614959454 130.964657854409 -305.651699192814</t>
  </si>
  <si>
    <t>-667.026171179926 58.4015803532441 -766.908239316729</t>
  </si>
  <si>
    <t>-571.03166479661 210.391455439009 -245.397446546733</t>
  </si>
  <si>
    <t>-579.302493834742 190.824130842294 209.801837974022</t>
  </si>
  <si>
    <t>-628.851420245239 163.305725092475 676.415231478422</t>
  </si>
  <si>
    <t>-494.626811717907 92.6046458920373 765.458051893813</t>
  </si>
  <si>
    <t>-625.816341923643 26.7490265448237 -215.017566344601</t>
  </si>
  <si>
    <t>-459.675104832851 -81.4894083768763 195.273952262485</t>
  </si>
  <si>
    <t>-550.889142814521 -28.1294004234555 652.939582829529</t>
  </si>
  <si>
    <t>-496.954948386079 -169.503005275587 742.650856563995</t>
  </si>
  <si>
    <t>9763-20170724T160558.992353600.bin</t>
  </si>
  <si>
    <t>-600.72495315132 119.297022538377 -230.676030486177</t>
  </si>
  <si>
    <t>-639.92511916541 111.912609566607 -345.02895088899</t>
  </si>
  <si>
    <t>-657.929441439471 104.673212560259 -464.670147341027</t>
  </si>
  <si>
    <t>-665.310782689782 97.9580012331107 -573.735683652469</t>
  </si>
  <si>
    <t>-663.849287801426 90.9918555070906 -683.025155685756</t>
  </si>
  <si>
    <t>-652.602243077771 80.9432587531423 -834.591957163617</t>
  </si>
  <si>
    <t>-619.842664914405 65.8084028608409 -929.884939001885</t>
  </si>
  <si>
    <t>-645.684983330559 114.855408879004 -768.599350151066</t>
  </si>
  <si>
    <t>-573.850346397348 242.288988185023 -753.82588617305</t>
  </si>
  <si>
    <t>-455.409202270837 231.988220021065 -460.480133326778</t>
  </si>
  <si>
    <t>-250.209133282903 150.477069587903 -323.035832711449</t>
  </si>
  <si>
    <t>-669.472403620769 55.9235374349955 -766.457425405865</t>
  </si>
  <si>
    <t>-573.664091060878 211.631856643107 -245.488226064491</t>
  </si>
  <si>
    <t>-580.701489233234 191.552623994342 209.709474154733</t>
  </si>
  <si>
    <t>-628.798329555523 163.299399382464 676.325888710096</t>
  </si>
  <si>
    <t>-494.450475205934 92.8293764755538 765.36597356911</t>
  </si>
  <si>
    <t>-627.654407890209 27.042575531932 -215.241400426631</t>
  </si>
  <si>
    <t>-460.777054795808 -80.3228541796914 194.98090859924</t>
  </si>
  <si>
    <t>-551.328869672024 -28.8091159766941 652.983896901745</t>
  </si>
  <si>
    <t>-495.99820396781 -169.450375420433 742.995459775983</t>
  </si>
  <si>
    <t>9763-20170724T160559.027447500.bin</t>
  </si>
  <si>
    <t>-602.53612831809 119.635139702329 -230.890773721461</t>
  </si>
  <si>
    <t>-641.88257115351 112.306356091398 -345.197177479365</t>
  </si>
  <si>
    <t>-659.945965205742 104.876377273055 -464.817728642458</t>
  </si>
  <si>
    <t>-667.345930982694 97.8863632120278 -573.864664959168</t>
  </si>
  <si>
    <t>-665.869733589969 90.5411663161556 -683.129147164967</t>
  </si>
  <si>
    <t>-654.569113769267 79.856315953291 -834.648444154232</t>
  </si>
  <si>
    <t>-621.735399491228 64.6705510904001 -929.907707699203</t>
  </si>
  <si>
    <t>-647.740833317572 114.071361318855 -768.803074281536</t>
  </si>
  <si>
    <t>-576.052318337979 241.63946534732 -754.34142752053</t>
  </si>
  <si>
    <t>-452.911914791608 233.041311246783 -462.881800490477</t>
  </si>
  <si>
    <t>-240.323798468482 158.496125310181 -332.914953087463</t>
  </si>
  <si>
    <t>-671.397761413245 55.0966799746482 -766.408694644968</t>
  </si>
  <si>
    <t>-575.548792173357 212.347128386576 -245.575452383812</t>
  </si>
  <si>
    <t>-581.743081262174 192.014792742154 209.62334145799</t>
  </si>
  <si>
    <t>-628.807950614032 163.294162294231 676.318792783396</t>
  </si>
  <si>
    <t>-494.351133459064 92.9890234329721 765.324720716091</t>
  </si>
  <si>
    <t>-629.520631050581 26.98683838683 -215.567947175945</t>
  </si>
  <si>
    <t>-462.17781788614 -79.7108750662114 194.638841366105</t>
  </si>
  <si>
    <t>-551.835215652382 -29.4656780774581 652.980016763022</t>
  </si>
  <si>
    <t>-495.000729420852 -169.357374432655 743.222269395935</t>
  </si>
  <si>
    <t>9763-20170724T160559.095645500.bin</t>
  </si>
  <si>
    <t>-606.99756634301 119.705597351006 -231.402609542643</t>
  </si>
  <si>
    <t>-646.795120366924 112.686293495571 -345.572026499548</t>
  </si>
  <si>
    <t>-664.981543456496 104.997507732889 -465.157646624029</t>
  </si>
  <si>
    <t>-672.358818129819 97.5293822602548 -574.174399446696</t>
  </si>
  <si>
    <t>-670.729500963168 89.453780264337 -683.385104005339</t>
  </si>
  <si>
    <t>-659.086229554148 77.4838490868706 -834.782492440312</t>
  </si>
  <si>
    <t>-626.095551830502 62.1167780397634 -929.958387412358</t>
  </si>
  <si>
    <t>-652.493079175935 112.290620413521 -769.223879817109</t>
  </si>
  <si>
    <t>-581.266722526658 240.227414331867 -755.463002267007</t>
  </si>
  <si>
    <t>-449.645092225748 233.630729789807 -467.681081719064</t>
  </si>
  <si>
    <t>-230.347553799025 163.766797095519 -346.562612376387</t>
  </si>
  <si>
    <t>-675.982937042985 53.2697505298904 -766.363935183532</t>
  </si>
  <si>
    <t>-580.196740416714 213.478388301363 -245.767126158568</t>
  </si>
  <si>
    <t>-584.563900939446 192.760520193521 209.435332121406</t>
  </si>
  <si>
    <t>-628.85020708067 163.200182484379 676.271117679333</t>
  </si>
  <si>
    <t>-494.216228473191 93.1582044652619 765.216753435921</t>
  </si>
  <si>
    <t>-633.64613546453 25.8499126573156 -216.413011837292</t>
  </si>
  <si>
    <t>-465.556373491652 -78.8778765291033 193.99602113682</t>
  </si>
  <si>
    <t>-553.983587745199 -31.7678995362994 652.966427477211</t>
  </si>
  <si>
    <t>-492.727464913287 -169.325646504693 743.900917074432</t>
  </si>
  <si>
    <t>9763-20170724T160559.129738700.bin</t>
  </si>
  <si>
    <t>-608.575486913298 119.36140744752 -231.528879082377</t>
  </si>
  <si>
    <t>-648.581981693718 112.527488778203 -345.636690564712</t>
  </si>
  <si>
    <t>-666.78199073838 104.763974448774 -465.215368789033</t>
  </si>
  <si>
    <t>-674.091902304811 97.1119973424707 -574.223755982537</t>
  </si>
  <si>
    <t>-672.318054682334 88.7295796148774 -683.409172867936</t>
  </si>
  <si>
    <t>-660.39678632221 76.200085892845 -834.739569571237</t>
  </si>
  <si>
    <t>-627.308975344451 60.7448666711268 -929.867467721477</t>
  </si>
  <si>
    <t>-653.938968172335 111.254804079303 -769.29969712813</t>
  </si>
  <si>
    <t>-582.70814676922 239.172845932177 -755.744759604595</t>
  </si>
  <si>
    <t>-448.596089472829 234.180413012509 -469.082356892188</t>
  </si>
  <si>
    <t>-226.423495331981 165.831457773086 -352.421414482042</t>
  </si>
  <si>
    <t>-677.404159462579 52.233228266356 -766.261479593589</t>
  </si>
  <si>
    <t>-582.465410637111 213.812644226795 -245.733644919383</t>
  </si>
  <si>
    <t>-585.588515880314 192.937249835307 209.471890864731</t>
  </si>
  <si>
    <t>-628.950446883046 163.002894238324 676.362466281637</t>
  </si>
  <si>
    <t>-494.135621124197 93.214495033332 765.233440343934</t>
  </si>
  <si>
    <t>-634.100319196488 24.7372851541456 -216.775315834769</t>
  </si>
  <si>
    <t>-465.75675990401 -79.2956157592544 193.70654636201</t>
  </si>
  <si>
    <t>-556.313027947938 -34.4212921260541 652.403490157371</t>
  </si>
  <si>
    <t>-492.358742160307 -170.00818018985 744.433617377579</t>
  </si>
  <si>
    <t>9763-20170724T160559.194671400.bin</t>
  </si>
  <si>
    <t>-611.473647425672 119.61097351001 -231.95810416294</t>
  </si>
  <si>
    <t>-652.090433565704 113.417330568299 -345.886723849835</t>
  </si>
  <si>
    <t>-670.348705890112 105.773577002334 -465.464212755491</t>
  </si>
  <si>
    <t>-677.483407529316 97.9955759560394 -574.475401333414</t>
  </si>
  <si>
    <t>-675.310948736534 89.2395151269802 -683.624205815819</t>
  </si>
  <si>
    <t>-662.61118884788 75.921916499452 -834.824012129074</t>
  </si>
  <si>
    <t>-629.238930793227 60.3779250633977 -929.837990005321</t>
  </si>
  <si>
    <t>-656.554530195657 111.342515270286 -769.542899065177</t>
  </si>
  <si>
    <t>-585.17220857109 239.281586747685 -756.444617190906</t>
  </si>
  <si>
    <t>-450.930862790619 234.907286110351 -469.832856125655</t>
  </si>
  <si>
    <t>-224.495466369801 169.150945476355 -360.082373530607</t>
  </si>
  <si>
    <t>-679.906277861267 52.2866468024852 -766.302666206847</t>
  </si>
  <si>
    <t>-586.946814666841 214.727773050536 -245.697749701277</t>
  </si>
  <si>
    <t>-587.613896299908 194.143338605422 209.531302200609</t>
  </si>
  <si>
    <t>-628.894286945672 162.783860442618 676.392295596984</t>
  </si>
  <si>
    <t>-493.896434151182 93.3608941893672 765.27169263382</t>
  </si>
  <si>
    <t>-635.905994749673 25.148191891607 -217.524493684912</t>
  </si>
  <si>
    <t>-467.328465527877 -77.7876023588792 193.137693430657</t>
  </si>
  <si>
    <t>-575.095881769051 -35.8452573588595 648.710360504819</t>
  </si>
  <si>
    <t>-503.880908196564 -164.954530335222 744.641238607974</t>
  </si>
  <si>
    <t>9763-20170724T160559.229766300.bin</t>
  </si>
  <si>
    <t>-614.076895757128 121.193195469448 -232.125936190784</t>
  </si>
  <si>
    <t>-654.933649638373 115.014062779332 -345.969428725972</t>
  </si>
  <si>
    <t>-673.270516636722 107.343902360867 -465.533141290877</t>
  </si>
  <si>
    <t>-680.407793135493 99.5112679108729 -574.540340370575</t>
  </si>
  <si>
    <t>-678.17061062753 90.6602067148317 -683.68016806687</t>
  </si>
  <si>
    <t>-665.312802244321 77.1608551166007 -834.850392524388</t>
  </si>
  <si>
    <t>-631.848814403979 61.6420208460854 -929.836300526139</t>
  </si>
  <si>
    <t>-659.381884764153 112.682138646866 -769.612550718183</t>
  </si>
  <si>
    <t>-588.392329180225 240.862554511583 -756.723918836775</t>
  </si>
  <si>
    <t>-455.700114365516 234.912453223321 -469.420015578631</t>
  </si>
  <si>
    <t>-227.883642461403 169.880411385768 -362.123259304811</t>
  </si>
  <si>
    <t>-682.622088307754 53.5856533076501 -766.311934100185</t>
  </si>
  <si>
    <t>-589.859775590562 215.667452923412 -245.747437864414</t>
  </si>
  <si>
    <t>-589.413135640316 195.678113153541 209.508504382971</t>
  </si>
  <si>
    <t>-628.83164773893 162.793966538415 676.392998644268</t>
  </si>
  <si>
    <t>-493.757274553043 93.5423553952262 765.289822218033</t>
  </si>
  <si>
    <t>-638.451672741495 27.5568770530476 -217.674437733035</t>
  </si>
  <si>
    <t>-470.961111378481 -74.4207560652842 193.671037389517</t>
  </si>
  <si>
    <t>-592.000388346505 -29.6599572874877 645.786187921667</t>
  </si>
  <si>
    <t>-515.782394637851 -154.972946648737 742.899465710326</t>
  </si>
  <si>
    <t>9763-20170724T160559.292945900.bin</t>
  </si>
  <si>
    <t>-619.305287329981 121.44669261907 -232.913135545791</t>
  </si>
  <si>
    <t>-660.164423257304 115.034485158738 -346.742974292299</t>
  </si>
  <si>
    <t>-678.392855710116 107.359930961453 -466.32295322653</t>
  </si>
  <si>
    <t>-685.384038741979 99.5980413309162 -575.344681624201</t>
  </si>
  <si>
    <t>-682.953018722709 90.8793621041677 -684.490970965906</t>
  </si>
  <si>
    <t>-669.77727655177 77.6168351092631 -835.654871808843</t>
  </si>
  <si>
    <t>-636.06289951946 62.4630563121641 -930.611034549381</t>
  </si>
  <si>
    <t>-664.18364858172 113.112481393999 -770.373340032728</t>
  </si>
  <si>
    <t>-594.797295896873 242.061122347235 -757.173878722635</t>
  </si>
  <si>
    <t>-466.802986715304 231.851864119051 -467.865282768134</t>
  </si>
  <si>
    <t>-238.724293413396 167.250241719369 -360.866525328006</t>
  </si>
  <si>
    <t>-687.030624109865 53.8576977208813 -767.165926915095</t>
  </si>
  <si>
    <t>-596.038672342717 215.198904063047 -246.242917321626</t>
  </si>
  <si>
    <t>-593.557921018601 197.170661788837 209.088280268373</t>
  </si>
  <si>
    <t>-628.709421916092 162.777432253784 676.326635746633</t>
  </si>
  <si>
    <t>-493.432713389129 93.9447121700339 765.241089796907</t>
  </si>
  <si>
    <t>-642.453409858118 27.8420991892835 -218.653601839028</t>
  </si>
  <si>
    <t>-481.279936812405 -70.227094856451 196.151457123617</t>
  </si>
  <si>
    <t>-633.581373428327 -5.73928885289092 635.966186171076</t>
  </si>
  <si>
    <t>-554.492851064575 -125.501603450773 737.678960449423</t>
  </si>
  <si>
    <t>9763-20170724T160559.327045000.bin</t>
  </si>
  <si>
    <t>-621.909402506584 120.099933234341 -233.253063618508</t>
  </si>
  <si>
    <t>-662.749411737077 113.552858162253 -347.081988819497</t>
  </si>
  <si>
    <t>-680.927564449132 105.980256354913 -466.676110209128</t>
  </si>
  <si>
    <t>-687.856949268487 98.4074872915778 -575.715122419459</t>
  </si>
  <si>
    <t>-685.345909731808 89.9741321436904 -684.882047354814</t>
  </si>
  <si>
    <t>-672.03834794387 77.2076648387786 -836.077081590062</t>
  </si>
  <si>
    <t>-638.20756580375 62.4320028004518 -931.051551905366</t>
  </si>
  <si>
    <t>-666.649357108158 112.544550705472 -770.692154637045</t>
  </si>
  <si>
    <t>-598.204509808975 241.986254946052 -757.236266283307</t>
  </si>
  <si>
    <t>-473.190251850509 229.191047005667 -466.729935320714</t>
  </si>
  <si>
    <t>-246.639825600144 164.254430155238 -356.729186717185</t>
  </si>
  <si>
    <t>-689.203649213995 53.1683750463096 -767.663791866923</t>
  </si>
  <si>
    <t>-599.05052233903 213.860221632069 -246.530186059154</t>
  </si>
  <si>
    <t>-595.415606898558 196.640997380172 208.824565264443</t>
  </si>
  <si>
    <t>-628.717613044443 162.690943773305 676.311164345079</t>
  </si>
  <si>
    <t>-493.313264071102 94.1106344288191 765.226412720825</t>
  </si>
  <si>
    <t>-644.691864761643 26.3049912874035 -219.057008225784</t>
  </si>
  <si>
    <t>-488.830065565639 -68.9618871229993 198.422311464754</t>
  </si>
  <si>
    <t>-659.068673774061 9.36790793098498 629.504925294587</t>
  </si>
  <si>
    <t>-582.180568177197 -108.638799426997 734.890589709061</t>
  </si>
  <si>
    <t>9763-20170724T160559.400250200.bin</t>
  </si>
  <si>
    <t>-627.422296718529 115.097306123104 -233.609567553292</t>
  </si>
  <si>
    <t>-668.289637513825 108.149289765752 -347.404901983637</t>
  </si>
  <si>
    <t>-686.345803224552 100.731167378792 -467.027216976134</t>
  </si>
  <si>
    <t>-693.093992349451 93.5326531421429 -576.102956520776</t>
  </si>
  <si>
    <t>-690.325939596259 85.711133512059 -685.309193215763</t>
  </si>
  <si>
    <t>-676.578352996514 74.0449811594469 -836.553672812398</t>
  </si>
  <si>
    <t>-642.494099005471 60.0915471699168 -931.561959709409</t>
  </si>
  <si>
    <t>-671.71096697951 109.027061138881 -770.937449020788</t>
  </si>
  <si>
    <t>-605.130973751198 239.409753294951 -756.930729469831</t>
  </si>
  <si>
    <t>-487.318133039885 221.018741006032 -463.727544211594</t>
  </si>
  <si>
    <t>-264.788833820896 155.609690837596 -346.065255932448</t>
  </si>
  <si>
    <t>-693.611511476546 49.3867100836799 -768.327945445837</t>
  </si>
  <si>
    <t>-605.164846413097 209.220117697453 -247.007457635275</t>
  </si>
  <si>
    <t>-598.397448498579 194.256319387292 208.391157029982</t>
  </si>
  <si>
    <t>-628.65204486078 162.734880382277 676.237195203445</t>
  </si>
  <si>
    <t>-493.145249043321 94.3496650302332 765.146630689578</t>
  </si>
  <si>
    <t>-649.697903942431 20.681412408343 -219.567507675612</t>
  </si>
  <si>
    <t>-509.196551024256 -63.6376921649601 205.646920123763</t>
  </si>
  <si>
    <t>-714.767077851011 41.3557496216172 615.554263181954</t>
  </si>
  <si>
    <t>-637.749232562619 -66.7331797255667 731.003647152603</t>
  </si>
  <si>
    <t>9763-20170724T160559.428327700.bin</t>
  </si>
  <si>
    <t>-630.22700146793 111.861451837637 -233.747125269382</t>
  </si>
  <si>
    <t>-671.213467806958 104.768336046748 -347.490708652883</t>
  </si>
  <si>
    <t>-689.236046624043 97.4616151919777 -467.12498076835</t>
  </si>
  <si>
    <t>-695.885218452677 90.4759088783123 -576.220616000256</t>
  </si>
  <si>
    <t>-692.947016695927 82.9829620215878 -685.445462193476</t>
  </si>
  <si>
    <t>-678.886812509685 71.8979734864829 -836.704911878164</t>
  </si>
  <si>
    <t>-644.675993424543 58.3913550600514 -931.73207228051</t>
  </si>
  <si>
    <t>-674.311409719531 106.683683283325 -770.963484234151</t>
  </si>
  <si>
    <t>-608.5364206852 237.373697660533 -756.41576869884</t>
  </si>
  <si>
    <t>-493.849093119751 216.682223259658 -462.128775137277</t>
  </si>
  <si>
    <t>-270.480926987495 153.18293990395 -345.010863131791</t>
  </si>
  <si>
    <t>-695.904657974666 46.9217488238485 -768.590962086608</t>
  </si>
  <si>
    <t>-608.126629402214 206.147702060871 -247.248653433586</t>
  </si>
  <si>
    <t>-599.818008617545 192.584853305028 208.168448785763</t>
  </si>
  <si>
    <t>-628.522014724948 163.023521196314 676.128394884571</t>
  </si>
  <si>
    <t>-493.127940503501 94.5021992727945 765.104708573582</t>
  </si>
  <si>
    <t>-652.42531442609 17.5176817721049 -219.711970565502</t>
  </si>
  <si>
    <t>-521.493060004639 -58.8695768062807 210.031449898604</t>
  </si>
  <si>
    <t>-740.574661266363 57.6084349282021 609.79564782432</t>
  </si>
  <si>
    <t>-661.029289873507 -43.5323967189288 729.739721004177</t>
  </si>
  <si>
    <t>9763-20170724T160559.494117600.bin</t>
  </si>
  <si>
    <t>-636.541547520095 105.479379875783 -234.37244224476</t>
  </si>
  <si>
    <t>-677.561742150369 98.143824883289 -348.088524348857</t>
  </si>
  <si>
    <t>-695.389530523327 91.1959095868715 -467.773428153123</t>
  </si>
  <si>
    <t>-701.75896463241 84.7978794267567 -576.921652795749</t>
  </si>
  <si>
    <t>-698.432856607202 78.1653398438179 -686.191076690223</t>
  </si>
  <si>
    <t>-683.717462976311 68.5686855174295 -837.489960491828</t>
  </si>
  <si>
    <t>-649.181356403405 56.0679836884799 -932.537160337931</t>
  </si>
  <si>
    <t>-679.715205639687 102.807204089456 -771.424722965281</t>
  </si>
  <si>
    <t>-615.062128209097 233.9111638651 -755.396398209931</t>
  </si>
  <si>
    <t>-504.413012890323 209.274185311706 -459.869728995794</t>
  </si>
  <si>
    <t>-279.57777211439 149.988026278005 -343.352259647708</t>
  </si>
  <si>
    <t>-700.742033031909 42.8224885476898 -769.665119886575</t>
  </si>
  <si>
    <t>-614.740691556421 199.907402619305 -247.807341148395</t>
  </si>
  <si>
    <t>-603.117168823662 189.017525617663 207.60895534304</t>
  </si>
  <si>
    <t>-628.511524091165 163.48855872371 676.175544133488</t>
  </si>
  <si>
    <t>-493.278194571294 94.4704293699017 765.01219911003</t>
  </si>
  <si>
    <t>-658.621784274117 11.7719120676579 -220.1554702269</t>
  </si>
  <si>
    <t>-550.210613832116 -48.622209363662 218.316059290742</t>
  </si>
  <si>
    <t>-779.475479858801 82.8489325122919 607.7608670597</t>
  </si>
  <si>
    <t>-695.108557380104 -8.50942691819182 732.177036329161</t>
  </si>
  <si>
    <t>9763-20170724T160559.527203300.bin</t>
  </si>
  <si>
    <t>-640.274327454773 101.60598596958 -234.626646076554</t>
  </si>
  <si>
    <t>-680.956851179468 94.1162001241505 -348.453883021824</t>
  </si>
  <si>
    <t>-698.499512781981 87.3297668591886 -468.190079429447</t>
  </si>
  <si>
    <t>-704.633336652647 81.2190060892922 -577.368333677594</t>
  </si>
  <si>
    <t>-701.092900735031 75.0221977293588 -686.656616967257</t>
  </si>
  <si>
    <t>-686.100398204277 66.1916916055977 -837.974967783921</t>
  </si>
  <si>
    <t>-651.408245258052 54.1873535511113 -933.029352213358</t>
  </si>
  <si>
    <t>-682.354590840354 100.142041337388 -771.746139582557</t>
  </si>
  <si>
    <t>-617.919087283978 231.218091896743 -754.842411246225</t>
  </si>
  <si>
    <t>-507.565082015559 205.063178379062 -459.335818013949</t>
  </si>
  <si>
    <t>-280.338956654488 148.517479311405 -346.141837470623</t>
  </si>
  <si>
    <t>-703.113646145787 40.0557865320714 -770.296423601007</t>
  </si>
  <si>
    <t>-618.378697336282 195.962287317854 -247.990407957015</t>
  </si>
  <si>
    <t>-605.437410963094 187.050531029164 207.433329221372</t>
  </si>
  <si>
    <t>-628.639175107589 163.536292678578 676.293834664784</t>
  </si>
  <si>
    <t>-493.312087155201 94.4656278378527 764.946736249871</t>
  </si>
  <si>
    <t>-662.25757066141 7.28832455701763 -220.886158630401</t>
  </si>
  <si>
    <t>-567.111942776532 -42.9965238671364 221.919006318487</t>
  </si>
  <si>
    <t>-784.996730812578 88.0365789667385 617.77900529854</t>
  </si>
  <si>
    <t>-697.280402558188 -4.37391491765698 739.062367361962</t>
  </si>
  <si>
    <t>9763-20170724T160559.593946800.bin</t>
  </si>
  <si>
    <t>-648.818231403332 92.9473571695223 -235.660117064051</t>
  </si>
  <si>
    <t>-688.548958663855 85.8736850083083 -349.849541033635</t>
  </si>
  <si>
    <t>-705.277011379834 79.6756325241774 -469.734252270255</t>
  </si>
  <si>
    <t>-710.742102784004 74.1866277932204 -578.980864327689</t>
  </si>
  <si>
    <t>-706.604666315501 68.7137153859317 -688.286909396537</t>
  </si>
  <si>
    <t>-690.85890015299 61.006572440491 -839.589972530227</t>
  </si>
  <si>
    <t>-655.809990424932 49.8970180608062 -934.622341055131</t>
  </si>
  <si>
    <t>-687.553686481116 94.5019166987563 -773.106528982044</t>
  </si>
  <si>
    <t>-623.05442465891 225.139369133855 -753.66101722029</t>
  </si>
  <si>
    <t>-507.855836289125 196.96333070657 -460.196153060537</t>
  </si>
  <si>
    <t>-277.125039444029 145.200657186879 -351.909451989686</t>
  </si>
  <si>
    <t>-708.098078300037 34.3316457615801 -772.179577882602</t>
  </si>
  <si>
    <t>-626.483496028125 187.279248570523 -248.313114748116</t>
  </si>
  <si>
    <t>-611.753462282926 182.011369034038 207.112929081581</t>
  </si>
  <si>
    <t>-629.017968559043 163.502898016825 676.606122456881</t>
  </si>
  <si>
    <t>-493.481670376655 94.291322201706 764.82841878641</t>
  </si>
  <si>
    <t>-602.691719918755 -31.6102893564678 227.009918920251</t>
  </si>
  <si>
    <t>-784.885453981671 91.8336461632887 642.673921560423</t>
  </si>
  <si>
    <t>-688.915523129089 -10.9493875676337 748.357097400539</t>
  </si>
  <si>
    <t>9763-20170724T160559.624017300.bin</t>
  </si>
  <si>
    <t>-654.500270548196 88.7965627638475 -236.39542235313</t>
  </si>
  <si>
    <t>-693.465575234753 82.4794892105988 -350.892568545805</t>
  </si>
  <si>
    <t>-709.550042308304 76.8415896601375 -470.892860582174</t>
  </si>
  <si>
    <t>-714.496643740068 71.7949037796632 -580.185737667912</t>
  </si>
  <si>
    <t>-709.909333935513 66.7113694719599 -689.492449591675</t>
  </si>
  <si>
    <t>-693.612705837795 59.5008438430477 -840.761762173348</t>
  </si>
  <si>
    <t>-658.325509975387 48.7949681584792 -935.752320744888</t>
  </si>
  <si>
    <t>-690.567152283991 92.7836248980595 -774.159224885935</t>
  </si>
  <si>
    <t>-625.744670138445 223.042846794978 -753.024420018363</t>
  </si>
  <si>
    <t>-503.112466347155 195.747810712202 -462.50326165189</t>
  </si>
  <si>
    <t>-271.006602740771 143.491477729053 -357.440386123258</t>
  </si>
  <si>
    <t>-711.079718985553 32.5989821404935 -773.500245181735</t>
  </si>
  <si>
    <t>-631.608327475857 183.236960727413 -248.427682972057</t>
  </si>
  <si>
    <t>-615.241762528956 178.695022739825 206.950395511912</t>
  </si>
  <si>
    <t>-629.296879258352 163.29423347968 676.830495300982</t>
  </si>
  <si>
    <t>-493.611452255094 94.1004465945389 764.837281201566</t>
  </si>
  <si>
    <t>-618.633263932153 -27.8307082254139 228.068916134077</t>
  </si>
  <si>
    <t>-784.31468885253 90.2117558443667 652.25702684124</t>
  </si>
  <si>
    <t>-683.776321880284 -15.8328731091979 750.186005796293</t>
  </si>
  <si>
    <t>9763-20170724T160559.690217700.bin</t>
  </si>
  <si>
    <t>-668.774296536824 81.3313619358298 -237.277046415895</t>
  </si>
  <si>
    <t>-705.89340518895 77.0528267818313 -352.479642031186</t>
  </si>
  <si>
    <t>-720.504904523857 72.4135826576508 -472.710830484099</t>
  </si>
  <si>
    <t>-724.307004961949 67.8652861359199 -582.071383062294</t>
  </si>
  <si>
    <t>-718.777396048371 62.8899121250513 -691.339497720521</t>
  </si>
  <si>
    <t>-701.391200081464 55.4377346321662 -842.475672141018</t>
  </si>
  <si>
    <t>-665.633462891876 44.9380232243886 -937.313230822683</t>
  </si>
  <si>
    <t>-698.795301619278 88.8167132848314 -775.902290229069</t>
  </si>
  <si>
    <t>-633.865896405877 219.027660285098 -754.054794517353</t>
  </si>
  <si>
    <t>-492.109705802533 199.314123031151 -471.738108372291</t>
  </si>
  <si>
    <t>-259.483028361823 146.654162814098 -368.037222998585</t>
  </si>
  <si>
    <t>-719.372777403422 28.6535024819277 -775.302900583721</t>
  </si>
  <si>
    <t>-644.760072593795 175.825846603893 -247.830336702794</t>
  </si>
  <si>
    <t>-622.276558126088 171.551086310286 207.289174213007</t>
  </si>
  <si>
    <t>-630.053651410428 162.472107263344 677.500040985114</t>
  </si>
  <si>
    <t>-493.852867803923 93.6502132272585 765.000902816426</t>
  </si>
  <si>
    <t>-646.450679511035 -25.2158020399097 227.344016584243</t>
  </si>
  <si>
    <t>-786.76379796339 85.8453843442048 661.491443302084</t>
  </si>
  <si>
    <t>-680.234339059847 -21.9565481521383 750.787163813557</t>
  </si>
  <si>
    <t>9763-20170724T160559.722299800.bin</t>
  </si>
  <si>
    <t>-675.763023332792 77.9297342642124 -237.8364704137</t>
  </si>
  <si>
    <t>-711.897108201235 75.099538385303 -353.396456806578</t>
  </si>
  <si>
    <t>-725.841166782457 70.9634140855098 -473.725439768525</t>
  </si>
  <si>
    <t>-729.190541136945 66.4823105564728 -583.103329866251</t>
  </si>
  <si>
    <t>-723.367909068574 61.1869517880068 -692.341249576503</t>
  </si>
  <si>
    <t>-705.747148438731 52.88772495496 -843.406294968334</t>
  </si>
  <si>
    <t>-669.875291143717 42.0266543411487 -938.159724141767</t>
  </si>
  <si>
    <t>-703.143704031521 86.6014456221312 -777.002016745473</t>
  </si>
  <si>
    <t>-637.415542588279 216.584864583141 -756.202221380669</t>
  </si>
  <si>
    <t>-491.06893649556 199.323665470316 -476.075729540524</t>
  </si>
  <si>
    <t>-258.358564165756 148.841092217302 -371.483775148993</t>
  </si>
  <si>
    <t>-723.943907254969 26.5182666729065 -776.127388749984</t>
  </si>
  <si>
    <t>-651.584605182587 172.228143427532 -247.27531961758</t>
  </si>
  <si>
    <t>-625.010480729934 167.987660246167 207.624055241978</t>
  </si>
  <si>
    <t>-630.432625594073 162.027739568169 677.883023159939</t>
  </si>
  <si>
    <t>-493.838417370393 93.5730591289666 765.058078083155</t>
  </si>
  <si>
    <t>-657.017652730726 -25.4801810724991 225.872999768795</t>
  </si>
  <si>
    <t>-786.89752403016 85.2117466152777 662.965570853832</t>
  </si>
  <si>
    <t>-679.44150343551 -22.4643274538942 751.29776589253</t>
  </si>
  <si>
    <t>9763-20170724T160559.791058500.bin</t>
  </si>
  <si>
    <t>-690.707774339122 72.3583665516289 -238.422547316648</t>
  </si>
  <si>
    <t>-724.590210060448 71.2762377585639 -354.692066184894</t>
  </si>
  <si>
    <t>-737.157863478402 67.3972576772771 -475.180986133834</t>
  </si>
  <si>
    <t>-739.660017333851 62.5337490494369 -584.565338392683</t>
  </si>
  <si>
    <t>-733.404496164751 56.2372452807331 -693.726011438601</t>
  </si>
  <si>
    <t>-715.62422208885 45.8996546715725 -844.646681118605</t>
  </si>
  <si>
    <t>-679.877126210748 34.110242013511 -939.336433593866</t>
  </si>
  <si>
    <t>-712.910639523621 80.4445015137399 -778.675359177294</t>
  </si>
  <si>
    <t>-646.322286093618 210.241529429799 -760.129532993884</t>
  </si>
  <si>
    <t>-494.150712377305 197.954993688249 -482.859005175524</t>
  </si>
  <si>
    <t>-260.018291574793 153.399532334934 -378.748926826812</t>
  </si>
  <si>
    <t>-734.072252069196 20.5029277408375 -777.062626744814</t>
  </si>
  <si>
    <t>-666.137813625886 164.854947419093 -245.761586914282</t>
  </si>
  <si>
    <t>-630.291959815713 162.595688636854 208.515400940155</t>
  </si>
  <si>
    <t>-631.391103917172 161.136698305381 678.788670826423</t>
  </si>
  <si>
    <t>-493.564285854676 93.9316841125192 764.990482505483</t>
  </si>
  <si>
    <t>-677.976350973323 -19.5297788089349 223.115743505104</t>
  </si>
  <si>
    <t>-788.092945054047 84.8587294526885 666.697377346181</t>
  </si>
  <si>
    <t>-678.969199880409 -22.5230167528496 753.326934868253</t>
  </si>
  <si>
    <t>9763-20170724T160559.825152300.bin</t>
  </si>
  <si>
    <t>-697.216701135483 69.666046879438 -239.04354324954</t>
  </si>
  <si>
    <t>-729.93502088851 69.1767784409551 -355.650084177988</t>
  </si>
  <si>
    <t>-741.790131961887 65.3030251370024 -476.211436009409</t>
  </si>
  <si>
    <t>-743.850792471333 60.2025091396499 -585.594066419524</t>
  </si>
  <si>
    <t>-737.36415621465 53.4258415921131 -694.712606277239</t>
  </si>
  <si>
    <t>-719.486648258975 42.1663594911058 -845.555765550904</t>
  </si>
  <si>
    <t>-683.720261323454 29.856717707451 -940.171912858771</t>
  </si>
  <si>
    <t>-716.784481674708 77.1028039428907 -779.79043831554</t>
  </si>
  <si>
    <t>-650.405874413971 207.066953347417 -761.978726179517</t>
  </si>
  <si>
    <t>-496.29152674921 196.064428616268 -485.728919540513</t>
  </si>
  <si>
    <t>-264.870162468737 154.701108751268 -374.484618321555</t>
  </si>
  <si>
    <t>-738.009257447299 17.1939049079783 -777.834067039601</t>
  </si>
  <si>
    <t>-672.785036682558 161.57594412105 -245.262087224768</t>
  </si>
  <si>
    <t>-632.306093387263 160.068041763637 208.628608206878</t>
  </si>
  <si>
    <t>-631.90893992918 160.77491406983 679.198009006375</t>
  </si>
  <si>
    <t>-493.464279198497 94.1241523179515 764.83826077411</t>
  </si>
  <si>
    <t>-689.390885360774 -15.3630302560643 221.676437473571</t>
  </si>
  <si>
    <t>-788.870265883409 84.6967165494452 668.950419420926</t>
  </si>
  <si>
    <t>-678.923655908257 -22.5120156663991 754.749859927868</t>
  </si>
  <si>
    <t>9763-20170724T160559.890344200.bin</t>
  </si>
  <si>
    <t>-709.108188711849 65.949720172222 -239.655625613178</t>
  </si>
  <si>
    <t>-739.48666853939 66.1088455388663 -356.894419822959</t>
  </si>
  <si>
    <t>-750.002234879352 62.0996185464785 -477.575390318012</t>
  </si>
  <si>
    <t>-751.29160702108 56.5542801866798 -586.948332135691</t>
  </si>
  <si>
    <t>-744.486410335837 49.0066311703229 -695.996869534772</t>
  </si>
  <si>
    <t>-726.644485592769 36.3327091437116 -846.731924597673</t>
  </si>
  <si>
    <t>-690.840517176611 23.0802766752147 -941.206265415848</t>
  </si>
  <si>
    <t>-723.90537500185 71.87681892609 -781.294651227554</t>
  </si>
  <si>
    <t>-657.533645688475 202.008454900733 -764.703956181028</t>
  </si>
  <si>
    <t>-504.61809929429 188.845420340355 -487.88301112308</t>
  </si>
  <si>
    <t>-286.20117745186 146.785153784627 -353.098019464262</t>
  </si>
  <si>
    <t>-745.172718578289 12.0040824896118 -778.777841265586</t>
  </si>
  <si>
    <t>-684.755624595672 157.366624530219 -244.367172088559</t>
  </si>
  <si>
    <t>-634.94450252978 155.965286489896 208.594861834793</t>
  </si>
  <si>
    <t>-632.615204679001 160.227084369254 679.53462631339</t>
  </si>
  <si>
    <t>-493.161878695816 94.7128186630839 764.411967945135</t>
  </si>
  <si>
    <t>-710.182138571553 -8.6908139736845 220.40531850209</t>
  </si>
  <si>
    <t>-790.140751236506 84.0711202722941 673.169284890235</t>
  </si>
  <si>
    <t>-678.965053996817 -22.6991692302224 757.925288937404</t>
  </si>
  <si>
    <t>9763-20170724T160559.923433200.bin</t>
  </si>
  <si>
    <t>-713.898689024427 64.7604365415164 -239.345694324588</t>
  </si>
  <si>
    <t>-743.56982723818 65.1352620509424 -356.764875526595</t>
  </si>
  <si>
    <t>-753.621322684454 61.0246350381283 -477.482067743976</t>
  </si>
  <si>
    <t>-754.599962043161 55.2601897443344 -586.846956343005</t>
  </si>
  <si>
    <t>-747.597255615767 47.3668561231134 -695.858523762107</t>
  </si>
  <si>
    <t>-729.601628376746 34.0814220620152 -846.522564090403</t>
  </si>
  <si>
    <t>-693.770338047218 20.4633607393987 -940.934685362428</t>
  </si>
  <si>
    <t>-726.877644877469 69.8729797840983 -781.21958183384</t>
  </si>
  <si>
    <t>-660.263278622982 199.965318427231 -765.146634308616</t>
  </si>
  <si>
    <t>-509.348910360714 185.744251863309 -487.281808437829</t>
  </si>
  <si>
    <t>-297.691130286332 138.784846625646 -343.623055152255</t>
  </si>
  <si>
    <t>-748.250608038269 10.0466677093575 -778.497149496735</t>
  </si>
  <si>
    <t>-689.240478737696 156.048694265573 -243.902279345216</t>
  </si>
  <si>
    <t>-635.883919747421 154.771997976845 208.656146209626</t>
  </si>
  <si>
    <t>-632.779880726584 160.216673176918 679.482079342415</t>
  </si>
  <si>
    <t>-493.06728878272 95.0427863697676 764.19494415458</t>
  </si>
  <si>
    <t>-718.702704695667 -6.29284771399375 220.455677574013</t>
  </si>
  <si>
    <t>-790.671643822651 83.701440138627 675.054250642577</t>
  </si>
  <si>
    <t>-679.017762203865 -22.8381283922458 759.471311406279</t>
  </si>
  <si>
    <t>9763-20170724T160559.995158400.bin</t>
  </si>
  <si>
    <t>-721.484332613903 63.0647899073317 -238.761643067308</t>
  </si>
  <si>
    <t>-750.113815203899 63.6228840259907 -356.438567846869</t>
  </si>
  <si>
    <t>-759.525091577625 59.1612904781798 -477.194854538012</t>
  </si>
  <si>
    <t>-760.101783499659 52.8722533991415 -586.533735335517</t>
  </si>
  <si>
    <t>-752.878897058491 44.2544510222051 -695.475930466199</t>
  </si>
  <si>
    <t>-734.769607866722 29.7598714627395 -846.014846871162</t>
  </si>
  <si>
    <t>-699.000620801416 15.4071446275195 -940.341733749062</t>
  </si>
  <si>
    <t>-731.850302932182 65.9881170251622 -780.961616526395</t>
  </si>
  <si>
    <t>-664.57495133037 195.874260742847 -765.746605081068</t>
  </si>
  <si>
    <t>-518.468738701373 179.917993993545 -485.417167887788</t>
  </si>
  <si>
    <t>-318.388974603194 121.364074386842 -329.912852373817</t>
  </si>
  <si>
    <t>-753.714490382541 6.35845336206125 -777.850380065919</t>
  </si>
  <si>
    <t>-696.083845346888 153.70690342509 -243.162224903743</t>
  </si>
  <si>
    <t>-637.830983097851 153.322100400754 208.7936040804</t>
  </si>
  <si>
    <t>-632.917031247159 160.304807915194 679.4961059149</t>
  </si>
  <si>
    <t>-493.010288232168 95.3873131289863 764.085292473126</t>
  </si>
  <si>
    <t>-732.284843851997 -2.89497199692028 221.057106588691</t>
  </si>
  <si>
    <t>-791.399027293497 83.1495125715519 678.350024875149</t>
  </si>
  <si>
    <t>-679.019687197005 -23.025033593944 762.262849765169</t>
  </si>
  <si>
    <t>9763-20170724T160600.028245500.bin</t>
  </si>
  <si>
    <t>-724.7549964811 62.6220091912069 -238.405626320518</t>
  </si>
  <si>
    <t>-752.970875398369 63.1555094029382 -356.182540763101</t>
  </si>
  <si>
    <t>-762.226988277754 58.4720385143576 -476.94237598956</t>
  </si>
  <si>
    <t>-762.77329331469 51.9070695476748 -586.265197075518</t>
  </si>
  <si>
    <t>-755.631301214451 42.9412572562289 -695.184707019869</t>
  </si>
  <si>
    <t>-737.750512821298 27.8904640261194 -845.696195942151</t>
  </si>
  <si>
    <t>-702.091101229815 13.1660337703947 -940.007369714221</t>
  </si>
  <si>
    <t>-734.553595592787 64.294090413915 -780.75408151325</t>
  </si>
  <si>
    <t>-666.622737615148 193.905330131026 -766.109844352746</t>
  </si>
  <si>
    <t>-522.834941137601 176.535526227461 -484.667890135313</t>
  </si>
  <si>
    <t>-321.320467942763 121.34565879138 -329.786999107257</t>
  </si>
  <si>
    <t>-756.770798464448 4.80587960846583 -777.4449487424</t>
  </si>
  <si>
    <t>-698.913764430476 153.329419487437 -242.873419366875</t>
  </si>
  <si>
    <t>-639.025913347359 152.982638541674 208.868753146146</t>
  </si>
  <si>
    <t>-632.955299109499 160.370340668905 679.533971447681</t>
  </si>
  <si>
    <t>-492.974590856909 95.5477515002931 764.073538317501</t>
  </si>
  <si>
    <t>-737.922510275327 -1.35524781248864 221.453299649049</t>
  </si>
  <si>
    <t>-791.58009019257 82.974093844977 679.83467333912</t>
  </si>
  <si>
    <t>-678.996164724195 -23.0920237861412 763.610256126166</t>
  </si>
  <si>
    <t>9763-20170724T160600.091439100.bin</t>
  </si>
  <si>
    <t>-730.849834630651 61.4718132680339 -237.582874251055</t>
  </si>
  <si>
    <t>-758.145268111274 62.2590368648314 -355.574941423198</t>
  </si>
  <si>
    <t>-767.159802180765 57.389337613567 -476.345880455258</t>
  </si>
  <si>
    <t>-767.77567940359 50.481014107387 -585.647014351657</t>
  </si>
  <si>
    <t>-760.994274035298 41.0006908054065 -694.546007037027</t>
  </si>
  <si>
    <t>-743.918607998563 25.058466995906 -845.05928383175</t>
  </si>
  <si>
    <t>-708.548241539793 9.6402999732361 -939.368346961914</t>
  </si>
  <si>
    <t>-739.938443777665 61.6836414057493 -780.285323194228</t>
  </si>
  <si>
    <t>-670.140852527368 190.375674192039 -766.403765840605</t>
  </si>
  <si>
    <t>-529.670254216521 170.398215448013 -483.463662822365</t>
  </si>
  <si>
    <t>-316.591124331113 130.873847181692 -339.668071026612</t>
  </si>
  <si>
    <t>-763.0097088722 2.54113604438862 -776.638337603318</t>
  </si>
  <si>
    <t>-703.837120510484 151.804616920911 -242.155521143039</t>
  </si>
  <si>
    <t>-641.902248546256 152.872757725112 209.309467312076</t>
  </si>
  <si>
    <t>-632.933234478885 160.649081917205 679.687002899412</t>
  </si>
  <si>
    <t>-493.001767094619 95.6501328023194 764.172740298267</t>
  </si>
  <si>
    <t>-748.333130540423 1.37611035988812 222.216454077217</t>
  </si>
  <si>
    <t>-791.931004846025 82.577773346193 682.388707835109</t>
  </si>
  <si>
    <t>-678.978897431224 -23.2691069495784 765.945698173759</t>
  </si>
  <si>
    <t>9763-20170724T160600.126534800.bin</t>
  </si>
  <si>
    <t>-733.618697642267 60.9174804654033 -237.283087850287</t>
  </si>
  <si>
    <t>-760.351906154838 61.7870169793314 -355.403351966856</t>
  </si>
  <si>
    <t>-769.216155348358 56.8366980505305 -476.181972742519</t>
  </si>
  <si>
    <t>-769.869475227727 49.7921690570638 -585.474196882697</t>
  </si>
  <si>
    <t>-763.29977488869 40.1146696024557 -694.368920340055</t>
  </si>
  <si>
    <t>-746.69948128038 23.8362155509926 -844.899408640557</t>
  </si>
  <si>
    <t>-711.529118885401 8.06257604864845 -939.224450185714</t>
  </si>
  <si>
    <t>-742.317331752727 60.5300665278148 -780.190287738429</t>
  </si>
  <si>
    <t>-671.515554835907 188.706362845509 -766.605036833198</t>
  </si>
  <si>
    <t>-531.591423092211 167.647176397565 -483.47269198704</t>
  </si>
  <si>
    <t>-312.242264023431 133.703418222868 -347.91506520605</t>
  </si>
  <si>
    <t>-765.771863385706 1.54778764240041 -776.398444622344</t>
  </si>
  <si>
    <t>-706.122025630862 151.13199774755 -241.852408074709</t>
  </si>
  <si>
    <t>-643.399599290551 152.951483946111 209.501352359774</t>
  </si>
  <si>
    <t>-632.912540676095 160.7901321183 679.801405638494</t>
  </si>
  <si>
    <t>-493.006490896411 95.7057498573058 764.263401128993</t>
  </si>
  <si>
    <t>-752.827218120822 2.11802573306659 222.524109025922</t>
  </si>
  <si>
    <t>-792.131832326482 82.2979327580647 683.369712280047</t>
  </si>
  <si>
    <t>-678.969952181259 -23.3703832812957 766.868859559323</t>
  </si>
  <si>
    <t>9763-20170724T160600.190885300.bin</t>
  </si>
  <si>
    <t>-738.374950152946 59.8772193603261 -236.596786017507</t>
  </si>
  <si>
    <t>-764.249248107458 60.7403305977059 -354.908184872519</t>
  </si>
  <si>
    <t>-772.807460761635 55.5684538126065 -475.699665839213</t>
  </si>
  <si>
    <t>-773.41726176197 48.2403265962857 -584.973536175769</t>
  </si>
  <si>
    <t>-767.039366921676 38.1987090086011 -693.846437307559</t>
  </si>
  <si>
    <t>-750.950959073381 21.3319044196276 -844.36789053643</t>
  </si>
  <si>
    <t>-716.051979635325 4.96478252112047 -938.692664218657</t>
  </si>
  <si>
    <t>-746.072349292898 58.1696538511585 -779.776153180376</t>
  </si>
  <si>
    <t>-673.703193621969 185.474089892759 -766.584698578697</t>
  </si>
  <si>
    <t>-532.839699456915 162.123183544531 -484.098662015094</t>
  </si>
  <si>
    <t>-302.460703555278 134.803218249466 -366.535005059786</t>
  </si>
  <si>
    <t>-710.262445459615 149.928342284279 -241.246437261198</t>
  </si>
  <si>
    <t>-646.176251239064 153.037850162217 209.90874538526</t>
  </si>
  <si>
    <t>-632.896285549961 161.048644265708 680.050817045785</t>
  </si>
  <si>
    <t>-493.00595001132 95.8297717767612 764.4350488197</t>
  </si>
  <si>
    <t>-760.723512687583 3.50972899809267 223.092213186871</t>
  </si>
  <si>
    <t>-792.420072098884 81.7410416149714 684.989553693894</t>
  </si>
  <si>
    <t>-679.022077175916 -23.6583032045244 768.508327989068</t>
  </si>
  <si>
    <t>9763-20170724T160600.227986700.bin</t>
  </si>
  <si>
    <t>-740.363463194574 59.45260032544 -236.298843186934</t>
  </si>
  <si>
    <t>-765.767798338606 60.2362473512308 -354.71269424513</t>
  </si>
  <si>
    <t>-774.108116984893 54.9800655580145 -475.515717774089</t>
  </si>
  <si>
    <t>-774.627992092104 47.5722860456506 -584.784554616868</t>
  </si>
  <si>
    <t>-768.268455743561 37.4468473796692 -693.650980384084</t>
  </si>
  <si>
    <t>-752.319107215365 20.4575324096008 -844.173380830401</t>
  </si>
  <si>
    <t>-717.54007401135 3.91116352067729 -938.511091363403</t>
  </si>
  <si>
    <t>-747.277068635025 57.3064123821162 -779.600454824443</t>
  </si>
  <si>
    <t>-674.305856673916 184.277983350399 -766.488500322654</t>
  </si>
  <si>
    <t>-532.294490476276 158.459276689976 -484.793000792663</t>
  </si>
  <si>
    <t>-298.798924037 133.352913889402 -373.027645050902</t>
  </si>
  <si>
    <t>-712.11297054225 149.495450880026 -240.971441298987</t>
  </si>
  <si>
    <t>-647.394594671964 153.098899865011 210.089785484262</t>
  </si>
  <si>
    <t>-632.906016028323 161.157080129034 680.184444069812</t>
  </si>
  <si>
    <t>-492.966835996212 95.964179816576 764.507756828542</t>
  </si>
  <si>
    <t>-764.142150918192 4.0809151048486 223.367740049868</t>
  </si>
  <si>
    <t>-792.595701031425 81.4317995343959 685.68126895442</t>
  </si>
  <si>
    <t>-679.015261808514 -23.7373747488832 769.242270930407</t>
  </si>
  <si>
    <t>9763-20170724T160600.293166200.bin</t>
  </si>
  <si>
    <t>-743.484154576013 59.1583406309178 -235.717226932313</t>
  </si>
  <si>
    <t>-767.86611382284 59.7540260694179 -354.346707331432</t>
  </si>
  <si>
    <t>-775.85182186618 54.3353096371761 -475.166584504662</t>
  </si>
  <si>
    <t>-776.333191292068 46.7842585089302 -584.425816204471</t>
  </si>
  <si>
    <t>-770.220517953191 36.5148053927728 -693.292807096334</t>
  </si>
  <si>
    <t>-754.912777363997 19.3194576265064 -843.85837916573</t>
  </si>
  <si>
    <t>-720.421178474868 2.46332787397705 -938.247027715438</t>
  </si>
  <si>
    <t>-749.364010728425 56.1625239906693 -779.323910549186</t>
  </si>
  <si>
    <t>-675.043066491143 182.378186681449 -766.294058816379</t>
  </si>
  <si>
    <t>-530.709900907938 146.64161559962 -486.871420447212</t>
  </si>
  <si>
    <t>-297.498173887653 130.698764305869 -372.853132766603</t>
  </si>
  <si>
    <t>-715.438110654329 149.380727587262 -240.355419058448</t>
  </si>
  <si>
    <t>-649.284679003677 153.657338256228 210.491696207655</t>
  </si>
  <si>
    <t>-632.899913779643 161.383714064813 680.426405234865</t>
  </si>
  <si>
    <t>-492.866267767306 96.2523288542759 764.640341690264</t>
  </si>
  <si>
    <t>-769.445561569034 4.91952422237796 223.929548649945</t>
  </si>
  <si>
    <t>-792.860551866415 80.8508892700729 686.819699511367</t>
  </si>
  <si>
    <t>-679.104816249784 -24.0346137370107 770.498696175399</t>
  </si>
  <si>
    <t>9763-20170724T160600.329257700.bin</t>
  </si>
  <si>
    <t>-744.396757060835 59.160345286057 -235.420865068442</t>
  </si>
  <si>
    <t>-768.23165473412 59.6248519982694 -354.162171002563</t>
  </si>
  <si>
    <t>-776.038156543629 54.1261698313672 -474.990023380559</t>
  </si>
  <si>
    <t>-776.511299822759 46.5219455832457 -584.245678644826</t>
  </si>
  <si>
    <t>-770.545439049198 36.216813288833 -693.117542657453</t>
  </si>
  <si>
    <t>-755.602920234793 18.9886356611078 -843.715980363841</t>
  </si>
  <si>
    <t>-721.272706800252 2.03461355491072 -938.145838944487</t>
  </si>
  <si>
    <t>-749.773285871546 55.7944007795529 -779.184917204017</t>
  </si>
  <si>
    <t>-674.883545351757 181.730298717501 -766.436665135689</t>
  </si>
  <si>
    <t>-530.756924199856 140.193779680333 -487.71034714348</t>
  </si>
  <si>
    <t>-301.100302904427 129.869826375128 -366.082611171418</t>
  </si>
  <si>
    <t>-716.526575888211 149.275577168534 -240.091837816515</t>
  </si>
  <si>
    <t>-649.920548066852 153.992993874852 210.684227627865</t>
  </si>
  <si>
    <t>-632.86385443057 161.567076400711 680.527149832705</t>
  </si>
  <si>
    <t>-492.784455533251 96.4418784958054 764.669798261956</t>
  </si>
  <si>
    <t>-770.935356322752 5.26120931775654 224.220192606522</t>
  </si>
  <si>
    <t>-792.948458787453 80.6506787582673 687.307143462973</t>
  </si>
  <si>
    <t>-679.144349782995 -24.1639983424307 771.009104318316</t>
  </si>
  <si>
    <t>9763-20170724T160600.392946400.bin</t>
  </si>
  <si>
    <t>-745.730501357919 58.7733015398853 -234.931191212057</t>
  </si>
  <si>
    <t>-768.593578332197 59.0570952026792 -353.863811220406</t>
  </si>
  <si>
    <t>-776.010788186002 53.3375717458298 -474.706106440257</t>
  </si>
  <si>
    <t>-776.376160390981 45.519091884373 -583.947101475615</t>
  </si>
  <si>
    <t>-770.548213866461 34.9865518461452 -692.80456291958</t>
  </si>
  <si>
    <t>-756.053970842928 17.4281322953245 -843.408842665288</t>
  </si>
  <si>
    <t>-722.016807790603 0.217151285551154 -937.898062905196</t>
  </si>
  <si>
    <t>-749.818385817697 54.2854387771567 -778.945027477572</t>
  </si>
  <si>
    <t>-673.935086621729 179.687208257259 -766.805778389059</t>
  </si>
  <si>
    <t>-532.852409447868 130.465584893113 -487.773268982574</t>
  </si>
  <si>
    <t>-305.900238591644 127.31167629828 -360.789740932452</t>
  </si>
  <si>
    <t>-717.93974860482 148.780526660528 -239.647457031903</t>
  </si>
  <si>
    <t>-651.450296873253 154.400713011812 211.135384956024</t>
  </si>
  <si>
    <t>-632.789695791416 161.839527404985 680.78384998104</t>
  </si>
  <si>
    <t>-492.619478719923 96.7599063430725 764.810437606352</t>
  </si>
  <si>
    <t>-773.355934995787 5.6521485032788 224.716144029636</t>
  </si>
  <si>
    <t>-793.140159089509 80.2853057105876 688.129829154208</t>
  </si>
  <si>
    <t>-679.304734787199 -24.4501314583188 771.888364759553</t>
  </si>
  <si>
    <t>9763-20170724T160600.425044100.bin</t>
  </si>
  <si>
    <t>-746.046453157842 58.6520173307526 -234.732330164451</t>
  </si>
  <si>
    <t>-768.467467519458 58.8500499475326 -353.749534935524</t>
  </si>
  <si>
    <t>-775.733975287606 53.0558899522769 -474.597228915765</t>
  </si>
  <si>
    <t>-776.082623056663 45.1793876451363 -583.834215178331</t>
  </si>
  <si>
    <t>-770.356709811808 34.6011856476341 -692.69261695075</t>
  </si>
  <si>
    <t>-756.126671104376 16.9942289105363 -843.316292045775</t>
  </si>
  <si>
    <t>-749.73311415687 53.8531832302399 -778.86891113908</t>
  </si>
  <si>
    <t>-673.523875057272 179.009197271132 -766.824244012269</t>
  </si>
  <si>
    <t>-532.687896986253 129.085555950526 -487.791878926288</t>
  </si>
  <si>
    <t>-305.368075956189 126.318770921587 -361.458537000586</t>
  </si>
  <si>
    <t>-718.171376976655 148.671296995465 -239.51011714471</t>
  </si>
  <si>
    <t>-652.237981808025 154.643106019474 211.349976412499</t>
  </si>
  <si>
    <t>-632.750995867116 161.985835751665 680.917647433575</t>
  </si>
  <si>
    <t>-492.552531435962 96.8829355607213 764.879031670575</t>
  </si>
  <si>
    <t>-773.938679074754 5.62155297346044 224.939768727484</t>
  </si>
  <si>
    <t>-793.222544754354 80.117355121962 688.423040231713</t>
  </si>
  <si>
    <t>-679.350125968537 -24.5493256076754 772.217250180496</t>
  </si>
  <si>
    <t>9763-20170724T160600.492331200.bin</t>
  </si>
  <si>
    <t>-745.97622797203 58.0612807209511 -234.4850419105</t>
  </si>
  <si>
    <t>-767.588813735714 58.1251882834595 -353.651845674224</t>
  </si>
  <si>
    <t>-774.61270333941 52.1880716009464 -474.506971069552</t>
  </si>
  <si>
    <t>-774.973722457134 44.1881750949474 -583.734892388603</t>
  </si>
  <si>
    <t>-769.490995302195 33.4972221335295 -692.594873158189</t>
  </si>
  <si>
    <t>-755.836851464535 15.7487620956574 -843.255205962643</t>
  </si>
  <si>
    <t>-749.178691989972 52.6604182990363 -778.864908514899</t>
  </si>
  <si>
    <t>-672.440435749053 177.529797837779 -766.956109597492</t>
  </si>
  <si>
    <t>-529.258768896188 130.394750246615 -488.633496305684</t>
  </si>
  <si>
    <t>-298.019651570994 125.723263607716 -369.684943708515</t>
  </si>
  <si>
    <t>-718.152919350692 148.112770424044 -239.302614829088</t>
  </si>
  <si>
    <t>-653.450036536956 154.991468080604 211.722754857413</t>
  </si>
  <si>
    <t>-632.634012152487 162.216795401558 681.133269373063</t>
  </si>
  <si>
    <t>-492.391709441733 97.107290952074 765.016266886531</t>
  </si>
  <si>
    <t>-774.845506449989 5.8005375302655 225.087312376163</t>
  </si>
  <si>
    <t>-793.37504874385 79.8071772974629 688.810334840376</t>
  </si>
  <si>
    <t>-679.492731124187 -24.781436038161 772.688533909459</t>
  </si>
  <si>
    <t>9763-20170724T160600.524400000.bin</t>
  </si>
  <si>
    <t>-745.675542867566 57.6704070905703 -234.448985614541</t>
  </si>
  <si>
    <t>-766.801523033396 57.6314189170737 -353.702856280461</t>
  </si>
  <si>
    <t>-773.674656260407 51.6434582257698 -474.564207523698</t>
  </si>
  <si>
    <t>-774.036777825839 43.6224342138569 -583.790597102192</t>
  </si>
  <si>
    <t>-768.691934232446 32.9369308976713 -692.657866669814</t>
  </si>
  <si>
    <t>-755.370986075883 15.224495367321 -843.352398895496</t>
  </si>
  <si>
    <t>-748.576196248463 52.1233524196718 -778.968884637443</t>
  </si>
  <si>
    <t>-671.483428137782 176.746406291232 -766.904081130275</t>
  </si>
  <si>
    <t>-525.979020693791 132.329256912296 -489.340130200351</t>
  </si>
  <si>
    <t>-292.975350413362 126.139154517701 -373.957950131572</t>
  </si>
  <si>
    <t>-717.844966344341 147.710043735732 -239.261513704825</t>
  </si>
  <si>
    <t>-653.70787523537 154.819693576271 211.841094662498</t>
  </si>
  <si>
    <t>-632.569056196274 162.233862636574 681.213803643975</t>
  </si>
  <si>
    <t>-492.228057899411 97.322606691089 765.085418186023</t>
  </si>
  <si>
    <t>-774.929828253149 5.7747832986322 225.116056825321</t>
  </si>
  <si>
    <t>-793.430707637884 79.6632562527934 688.896257059784</t>
  </si>
  <si>
    <t>-679.515760061289 -24.8496350562016 772.824511220277</t>
  </si>
  <si>
    <t>9763-20170724T160600.592127300.bin</t>
  </si>
  <si>
    <t>-744.518654072468 56.591010497795 -234.379365630544</t>
  </si>
  <si>
    <t>-765.072194577966 56.5058299606587 -353.733239389094</t>
  </si>
  <si>
    <t>-771.885550024395 50.5080398507846 -474.597539088789</t>
  </si>
  <si>
    <t>-772.402077745871 42.4996487918986 -583.824095521563</t>
  </si>
  <si>
    <t>-767.419015272946 31.8512070946167 -692.712250685432</t>
  </si>
  <si>
    <t>-754.81453439352 14.2184616857269 -843.477650491491</t>
  </si>
  <si>
    <t>-747.765270245996 51.1051331375263 -779.114704473113</t>
  </si>
  <si>
    <t>-670.30580810794 175.531283574185 -767.017587534469</t>
  </si>
  <si>
    <t>-518.271328384352 137.524107788617 -492.013608466038</t>
  </si>
  <si>
    <t>-286.191579523331 127.457850489975 -375.053373175565</t>
  </si>
  <si>
    <t>-716.787084809549 146.284280291372 -239.132816655422</t>
  </si>
  <si>
    <t>-652.854797498 153.810343510338 211.992073994885</t>
  </si>
  <si>
    <t>-632.397962544756 162.149597381357 681.272400880258</t>
  </si>
  <si>
    <t>-491.752550949504 97.9958579164431 765.216887995568</t>
  </si>
  <si>
    <t>-773.870785901735 5.25971679875761 225.131944952607</t>
  </si>
  <si>
    <t>-793.458496691827 79.4882465553414 688.955489250624</t>
  </si>
  <si>
    <t>-679.596278865718 -25.0175089313693 772.964125020697</t>
  </si>
  <si>
    <t>9763-20170724T160600.626219400.bin</t>
  </si>
  <si>
    <t>-743.801059987258 56.336402057738 -234.387839194299</t>
  </si>
  <si>
    <t>-764.250510908259 56.1792027311931 -353.759597695219</t>
  </si>
  <si>
    <t>-771.128002740645 50.128514393396 -474.617554781518</t>
  </si>
  <si>
    <t>-771.770751966023 42.0816980927548 -583.840595394552</t>
  </si>
  <si>
    <t>-766.981659667964 31.4049229874911 -692.734721006218</t>
  </si>
  <si>
    <t>-754.716931654563 13.7434997421035 -843.524814169237</t>
  </si>
  <si>
    <t>-747.556783753276 50.6567297823744 -779.189238934514</t>
  </si>
  <si>
    <t>-670.167939097281 175.127967334952 -767.334017809427</t>
  </si>
  <si>
    <t>-515.034560394291 140.265420925092 -493.647342092777</t>
  </si>
  <si>
    <t>-285.834966020055 130.025271609867 -371.153468723965</t>
  </si>
  <si>
    <t>-716.176329671341 146.013332629724 -239.15426348736</t>
  </si>
  <si>
    <t>-652.093335087492 153.301873321648 211.953259986412</t>
  </si>
  <si>
    <t>-632.309544609278 162.162008458034 681.290260242008</t>
  </si>
  <si>
    <t>-491.570027487172 98.2609204408973 765.269705103549</t>
  </si>
  <si>
    <t>-772.943365256117 4.79102334769254 225.19369706226</t>
  </si>
  <si>
    <t>-793.470282801646 79.4396156789026 688.969443843192</t>
  </si>
  <si>
    <t>-679.656644470261 -25.1348667000016 772.958387455289</t>
  </si>
  <si>
    <t>9763-20170724T160600.692907800.bin</t>
  </si>
  <si>
    <t>-742.267155393085 56.491957710773 -234.350055956652</t>
  </si>
  <si>
    <t>-762.799298524391 56.2677011905228 -353.70751348003</t>
  </si>
  <si>
    <t>-770.003372909372 50.1191167135239 -474.541528065544</t>
  </si>
  <si>
    <t>-771.038858079959 41.9757709761102 -583.754353710326</t>
  </si>
  <si>
    <t>-766.73902962651 31.1962107951167 -692.658808404042</t>
  </si>
  <si>
    <t>-755.253285630271 13.3874658877576 -843.49286035718</t>
  </si>
  <si>
    <t>-747.834627089735 50.3946515641539 -779.240698673075</t>
  </si>
  <si>
    <t>-671.02277359009 175.315836448784 -768.176342482591</t>
  </si>
  <si>
    <t>-514.515062998161 141.395515948142 -495.154491574162</t>
  </si>
  <si>
    <t>-292.631888791516 131.726506479579 -359.816409313739</t>
  </si>
  <si>
    <t>-714.731085792143 146.317661131854 -239.15782260512</t>
  </si>
  <si>
    <t>-650.907977873224 153.021791921148 211.995468930562</t>
  </si>
  <si>
    <t>-632.143319688386 162.254726870874 681.301485457045</t>
  </si>
  <si>
    <t>-491.323632232383 98.6324671429225 765.358276003749</t>
  </si>
  <si>
    <t>-771.230275172269 4.53202476747924 225.269244569764</t>
  </si>
  <si>
    <t>-793.437602435573 79.3917879701974 688.957938643208</t>
  </si>
  <si>
    <t>-679.740518764165 -25.3482057589422 772.898521038661</t>
  </si>
  <si>
    <t>9763-20170724T160600.725994600.bin</t>
  </si>
  <si>
    <t>-741.437986302086 56.7118752625986 -234.426794714653</t>
  </si>
  <si>
    <t>-761.912945412561 56.3918750284158 -353.793809748051</t>
  </si>
  <si>
    <t>-769.263480855331 50.1684553396124 -474.615137214096</t>
  </si>
  <si>
    <t>-770.512409192631 41.9703961348614 -583.821734753481</t>
  </si>
  <si>
    <t>-766.505948906493 31.1509226464721 -692.733413419393</t>
  </si>
  <si>
    <t>-755.50964834689 13.3039808393125 -843.599402629122</t>
  </si>
  <si>
    <t>-747.938429020773 50.3505953349693 -779.387745065972</t>
  </si>
  <si>
    <t>-671.602466867111 175.567544427606 -768.567139670436</t>
  </si>
  <si>
    <t>-515.13693103572 141.579183036087 -495.529569383714</t>
  </si>
  <si>
    <t>-294.850448503614 129.538090850446 -357.794465488068</t>
  </si>
  <si>
    <t>-713.975582639138 146.60880009709 -239.232504152893</t>
  </si>
  <si>
    <t>-650.370078591988 153.113980492386 211.954446250532</t>
  </si>
  <si>
    <t>-632.065133931341 162.334419904041 681.30117594658</t>
  </si>
  <si>
    <t>-491.236367906707 98.7684502644474 765.385278807496</t>
  </si>
  <si>
    <t>-770.714826313693 4.59483818757803 225.245057210841</t>
  </si>
  <si>
    <t>-793.432976158169 79.3374499005479 688.925251684417</t>
  </si>
  <si>
    <t>-679.751528049074 -25.4320313599717 772.850185826676</t>
  </si>
  <si>
    <t>9763-20170724T160600.759085200.bin</t>
  </si>
  <si>
    <t>-740.535844812828 57.0911298002688 -234.474540540371</t>
  </si>
  <si>
    <t>-760.960604264507 56.6414956248968 -353.849675154177</t>
  </si>
  <si>
    <t>-768.424985796771 50.3612059314232 -474.661237711674</t>
  </si>
  <si>
    <t>-769.841508906356 42.144963922651 -583.864345358607</t>
  </si>
  <si>
    <t>-766.065401635626 31.342789565412 -692.785991316043</t>
  </si>
  <si>
    <t>-755.453162437399 13.5581004625319 -843.686875579583</t>
  </si>
  <si>
    <t>-747.780917186569 50.6040568193696 -779.486796002518</t>
  </si>
  <si>
    <t>-671.79378737177 176.022641914901 -768.750559789307</t>
  </si>
  <si>
    <t>-515.784570550173 142.99089796266 -495.334793989844</t>
  </si>
  <si>
    <t>-297.973955420854 126.709122913756 -354.141551086883</t>
  </si>
  <si>
    <t>-713.037507581002 147.119629389497 -239.342631485946</t>
  </si>
  <si>
    <t>-649.922919695371 153.254085377531 211.918479050494</t>
  </si>
  <si>
    <t>-632.001942393745 162.429492795404 681.300572008337</t>
  </si>
  <si>
    <t>-491.168043223101 98.8884416234785 765.394919766475</t>
  </si>
  <si>
    <t>-770.197659513388 4.75180532888817 225.260602731979</t>
  </si>
  <si>
    <t>-793.444351368264 79.2784539523518 688.91858252051</t>
  </si>
  <si>
    <t>-679.784887199189 -25.5349810835662 772.818426444605</t>
  </si>
  <si>
    <t>9763-20170724T160600.831305500.bin</t>
  </si>
  <si>
    <t>-738.559859492611 58.1601164529395 -234.625763839665</t>
  </si>
  <si>
    <t>-759.155292248703 57.5448822382468 -353.970854332817</t>
  </si>
  <si>
    <t>-766.94826895806 51.2108673328974 -474.758871467428</t>
  </si>
  <si>
    <t>-768.720800306888 42.9984782644483 -583.956964232379</t>
  </si>
  <si>
    <t>-765.356714314152 32.255524576811 -692.898036859427</t>
  </si>
  <si>
    <t>-755.371969022648 14.6141798977324 -843.858568044725</t>
  </si>
  <si>
    <t>-747.579545097362 51.6594199554579 -779.672566995856</t>
  </si>
  <si>
    <t>-672.398456692632 177.622774140775 -769.191485074471</t>
  </si>
  <si>
    <t>-517.993341811168 144.793149124257 -494.842209816511</t>
  </si>
  <si>
    <t>-306.656961748925 119.06591829256 -345.453079891129</t>
  </si>
  <si>
    <t>-711.098929737379 148.466712277125 -239.62945955217</t>
  </si>
  <si>
    <t>-649.27446105822 153.928523452852 211.81887610343</t>
  </si>
  <si>
    <t>-631.869537480487 162.671903919902 681.266324517311</t>
  </si>
  <si>
    <t>-491.065143676704 99.0804927612819 765.37207334243</t>
  </si>
  <si>
    <t>-769.002626978447 5.30271051259274 225.267342369844</t>
  </si>
  <si>
    <t>-793.444912299496 79.1555754966246 688.91941023049</t>
  </si>
  <si>
    <t>-679.81464928239 -25.7038356805342 772.80134582062</t>
  </si>
  <si>
    <t>9763-20170724T160600.890139700.bin</t>
  </si>
  <si>
    <t>-736.532902221211 59.4012433141429 -234.718458895608</t>
  </si>
  <si>
    <t>-757.329754382478 58.6830112547962 -354.028094485189</t>
  </si>
  <si>
    <t>-765.357284349944 52.3317356375312 -474.799674781362</t>
  </si>
  <si>
    <t>-767.352856834984 44.1397769919738 -583.995726477707</t>
  </si>
  <si>
    <t>-764.221394412644 33.453627686215 -692.949117641692</t>
  </si>
  <si>
    <t>-754.568773209805 15.929352061434 -843.944886719223</t>
  </si>
  <si>
    <t>-746.71393325837 52.9568081419784 -779.756233973176</t>
  </si>
  <si>
    <t>-672.31651596891 179.418472043278 -769.614625384498</t>
  </si>
  <si>
    <t>-520.173514404065 142.844972205692 -494.47630682874</t>
  </si>
  <si>
    <t>-318.658750977537 102.239918443524 -335.149387330132</t>
  </si>
  <si>
    <t>-709.138705442223 149.852758658529 -239.867778727583</t>
  </si>
  <si>
    <t>-648.609494782055 154.644722205967 211.76361698403</t>
  </si>
  <si>
    <t>-631.733902679992 162.920297920827 681.227709769337</t>
  </si>
  <si>
    <t>-490.908540112101 99.3582752847378 765.320506244528</t>
  </si>
  <si>
    <t>-767.215191492434 5.7449922650369 225.333435482034</t>
  </si>
  <si>
    <t>-793.384109331486 79.1659385079909 688.985377725891</t>
  </si>
  <si>
    <t>-679.878266608652 -25.8885874556513 772.791580691483</t>
  </si>
  <si>
    <t>9763-20170724T160600.929243200.bin</t>
  </si>
  <si>
    <t>-735.600370597236 60.0646496320007 -234.780434638896</t>
  </si>
  <si>
    <t>-756.486769056432 59.2660844085387 -354.07386166365</t>
  </si>
  <si>
    <t>-764.617172143785 52.8487934956793 -474.835226311509</t>
  </si>
  <si>
    <t>-766.711555052305 44.601217785741 -584.025123598755</t>
  </si>
  <si>
    <t>-763.684902763338 33.8624981917922 -692.976379246839</t>
  </si>
  <si>
    <t>-754.184623067127 16.2672290162959 -843.973522525303</t>
  </si>
  <si>
    <t>-746.275207783055 53.3288681735989 -779.811192224642</t>
  </si>
  <si>
    <t>-672.148929741981 179.958994221089 -769.865576441142</t>
  </si>
  <si>
    <t>-521.751882675054 141.644925004825 -494.005155561484</t>
  </si>
  <si>
    <t>-326.085980368496 90.6701989383571 -330.424913715604</t>
  </si>
  <si>
    <t>-708.219881847828 150.626997653083 -239.991605554052</t>
  </si>
  <si>
    <t>-648.140216725225 154.944386623067 211.704654511683</t>
  </si>
  <si>
    <t>-631.669926726619 163.038814333781 681.201451339676</t>
  </si>
  <si>
    <t>-490.821375837436 99.521797846734 765.289435146453</t>
  </si>
  <si>
    <t>-766.523054697284 6.06624362131265 225.349486338575</t>
  </si>
  <si>
    <t>-793.33228815231 79.1767868666275 689.003553660172</t>
  </si>
  <si>
    <t>-679.896744482108 -25.9752013600103 772.782708762522</t>
  </si>
  <si>
    <t>9763-20170724T160600.989915300.bin</t>
  </si>
  <si>
    <t>-734.090528389566 61.3622535737866 -234.909832309365</t>
  </si>
  <si>
    <t>-754.97009934278 60.3903276341493 -354.203297764808</t>
  </si>
  <si>
    <t>-763.206584288323 53.9546584133013 -474.956352835157</t>
  </si>
  <si>
    <t>-765.441358825955 45.7527138077953 -584.146979149711</t>
  </si>
  <si>
    <t>-762.598935456017 35.1206297249005 -693.11358303276</t>
  </si>
  <si>
    <t>-753.399371183016 17.7362849192461 -844.153873618269</t>
  </si>
  <si>
    <t>-721.754697332592 0.168516712456949 -939.406052505346</t>
  </si>
  <si>
    <t>-745.418151369608 54.7309144790404 -779.961871203997</t>
  </si>
  <si>
    <t>-671.954399118475 181.745099506476 -770.236213411278</t>
  </si>
  <si>
    <t>-525.581856364775 138.72409440177 -492.90883349562</t>
  </si>
  <si>
    <t>-337.07378279475 71.4328041078179 -326.840718694956</t>
  </si>
  <si>
    <t>-706.741129609317 152.069652562448 -240.148138472165</t>
  </si>
  <si>
    <t>-647.446377780658 155.76282177927 211.657314631899</t>
  </si>
  <si>
    <t>-631.592439729602 163.222289095786 681.18381823914</t>
  </si>
  <si>
    <t>-490.659380812068 99.8434515078222 765.234434223481</t>
  </si>
  <si>
    <t>-766.240770463148 7.0125511880392 225.305402686909</t>
  </si>
  <si>
    <t>-793.280143299416 79.1382315774626 689.067474641603</t>
  </si>
  <si>
    <t>-679.92364354698 -26.1547829244305 772.776475090686</t>
  </si>
  <si>
    <t>9763-20170724T160601.029018100.bin</t>
  </si>
  <si>
    <t>-733.52090267284 62.1219363525854 -234.971862940065</t>
  </si>
  <si>
    <t>-754.412225966651 61.0580890112892 -354.262429373074</t>
  </si>
  <si>
    <t>-762.693260395581 54.6019145495775 -475.011350116184</t>
  </si>
  <si>
    <t>-764.98055091984 46.4109154809064 -584.201630408288</t>
  </si>
  <si>
    <t>-762.202250734006 35.8192193533048 -693.173821772337</t>
  </si>
  <si>
    <t>-753.103164268211 18.521796781785 -844.230195283441</t>
  </si>
  <si>
    <t>-721.525351379066 0.968449985760572 -939.507147615067</t>
  </si>
  <si>
    <t>-745.119869177317 55.4957280012804 -780.026641606895</t>
  </si>
  <si>
    <t>-672.18024006217 182.833736658829 -770.467248857733</t>
  </si>
  <si>
    <t>-527.304701150497 137.875739712292 -492.661512080486</t>
  </si>
  <si>
    <t>-341.662197581357 63.4180389239659 -326.42376161125</t>
  </si>
  <si>
    <t>-706.115498126588 153.021668861766 -240.272658158331</t>
  </si>
  <si>
    <t>-647.349178229575 156.283185577823 211.60523265904</t>
  </si>
  <si>
    <t>-631.561757775227 163.35631219622 681.171372197948</t>
  </si>
  <si>
    <t>-490.627663997197 99.9489330940262 765.198727048464</t>
  </si>
  <si>
    <t>-766.600095871867 7.63601086753715 225.278424330483</t>
  </si>
  <si>
    <t>-793.318884968364 79.0918504072388 689.14573586574</t>
  </si>
  <si>
    <t>-679.929691526845 -26.2133726642137 772.795082726265</t>
  </si>
  <si>
    <t>9763-20170724T160601.093467000.bin</t>
  </si>
  <si>
    <t>-732.519668037658 63.8635692485218 -235.079177863952</t>
  </si>
  <si>
    <t>-753.576162168952 62.6607502548407 -354.339320692222</t>
  </si>
  <si>
    <t>-761.941486547269 56.2162233504187 -475.083014673809</t>
  </si>
  <si>
    <t>-764.269396914291 48.0968206916177 -584.277777593645</t>
  </si>
  <si>
    <t>-761.494767856857 37.6372558421272 -693.262962969241</t>
  </si>
  <si>
    <t>-752.360901322203 20.586420083335 -844.345143046418</t>
  </si>
  <si>
    <t>-720.813664694234 3.13634826911766 -939.651283260914</t>
  </si>
  <si>
    <t>-744.471341930594 57.4869681567516 -780.087772285297</t>
  </si>
  <si>
    <t>-671.975252471734 185.06754198908 -770.574150777221</t>
  </si>
  <si>
    <t>-531.308660272173 136.130330407763 -491.281741356274</t>
  </si>
  <si>
    <t>-350.155261562049 49.4632943383563 -326.011262316864</t>
  </si>
  <si>
    <t>-704.899730545845 155.186492381 -240.49591188244</t>
  </si>
  <si>
    <t>-647.5269000245 157.851636271407 211.564783948033</t>
  </si>
  <si>
    <t>-631.508517303628 163.705819265919 681.152434560473</t>
  </si>
  <si>
    <t>-490.679357362708 99.9917750946845 765.12379911069</t>
  </si>
  <si>
    <t>-766.962338463262 8.95780752910969 225.2776299104</t>
  </si>
  <si>
    <t>-793.326851356062 79.0473189709971 689.34618026752</t>
  </si>
  <si>
    <t>-679.872880083238 -26.3032537629676 772.850464219105</t>
  </si>
  <si>
    <t>9763-20170724T160601.125554200.bin</t>
  </si>
  <si>
    <t>-731.926183410801 64.643835124418 -235.160505293282</t>
  </si>
  <si>
    <t>-753.038088105888 63.4302142379327 -354.410750828064</t>
  </si>
  <si>
    <t>-761.404890062568 57.0401119920407 -475.15718797929</t>
  </si>
  <si>
    <t>-763.711236070424 48.9961312594744 -584.358211061665</t>
  </si>
  <si>
    <t>-760.891269298214 38.6383355854809 -693.351863581202</t>
  </si>
  <si>
    <t>-751.669050963953 21.7563754235396 -844.447729116554</t>
  </si>
  <si>
    <t>-720.092215044068 4.3859286392933 -939.758435781387</t>
  </si>
  <si>
    <t>-743.862616543128 58.6031355758362 -780.149119789942</t>
  </si>
  <si>
    <t>-671.691670447772 186.364899279144 -770.619152262077</t>
  </si>
  <si>
    <t>-532.532536861409 135.919232572182 -490.840399379051</t>
  </si>
  <si>
    <t>-353.165151617858 44.0127356045671 -326.454922182605</t>
  </si>
  <si>
    <t>-704.151984950637 156.128432011426 -240.639358646044</t>
  </si>
  <si>
    <t>-647.725812357751 158.595044276267 211.541673545534</t>
  </si>
  <si>
    <t>-631.452778622621 163.875152468542 681.111142033014</t>
  </si>
  <si>
    <t>-490.657738989998 100.086473525998 765.08295789008</t>
  </si>
  <si>
    <t>-766.698728671488 9.53148061280172 225.247022145197</t>
  </si>
  <si>
    <t>-793.288783931783 79.0564367643606 689.41764602702</t>
  </si>
  <si>
    <t>-679.841531076542 -26.3444578665808 772.86751059772</t>
  </si>
  <si>
    <t>9763-20170724T160601.188221300.bin</t>
  </si>
  <si>
    <t>-730.312955853499 65.7174485405978 -235.400454067463</t>
  </si>
  <si>
    <t>-751.315989919045 64.4704302778655 -354.669572058919</t>
  </si>
  <si>
    <t>-759.582119570132 58.2251716034377 -475.430515951851</t>
  </si>
  <si>
    <t>-761.800019095303 50.3816905108458 -584.647832530905</t>
  </si>
  <si>
    <t>-758.893967845074 40.291453693658 -693.664342503765</t>
  </si>
  <si>
    <t>-749.553884954289 23.8496425345795 -844.801462657383</t>
  </si>
  <si>
    <t>-717.9044778275 6.65393912749505 -940.119826279518</t>
  </si>
  <si>
    <t>-741.892889943136 60.5464227930504 -780.39990830368</t>
  </si>
  <si>
    <t>-670.194068553606 188.600342614069 -771.006460047513</t>
  </si>
  <si>
    <t>-534.783452659088 134.211077208505 -490.12930105758</t>
  </si>
  <si>
    <t>-358.783543400753 30.9666958239836 -328.863303263081</t>
  </si>
  <si>
    <t>-765.480351642236 1.70275295948727 -775.456101879458</t>
  </si>
  <si>
    <t>-702.676345342016 157.392847606904 -240.8607083034</t>
  </si>
  <si>
    <t>-648.24516621023 160.107612703711 211.563460068952</t>
  </si>
  <si>
    <t>-631.331390665365 164.212350720703 681.051705300705</t>
  </si>
  <si>
    <t>-490.379723451213 100.687126200464 764.960472428687</t>
  </si>
  <si>
    <t>-765.755164815861 10.4693899876263 225.018757633081</t>
  </si>
  <si>
    <t>-793.167166728352 79.0743059781189 689.39846645358</t>
  </si>
  <si>
    <t>-679.759740335952 -26.4203060093237 772.784031964727</t>
  </si>
  <si>
    <t>9763-20170724T160601.229499400.bin</t>
  </si>
  <si>
    <t>-729.594942773893 65.9615157208991 -235.503099601606</t>
  </si>
  <si>
    <t>-750.487671870309 64.7164915672588 -354.791637609877</t>
  </si>
  <si>
    <t>-758.6730254544 58.5596992109829 -475.562695285473</t>
  </si>
  <si>
    <t>-760.83062886841 50.827895769472 -584.789243579663</t>
  </si>
  <si>
    <t>-757.877561705513 40.8786189875755 -693.817313151908</t>
  </si>
  <si>
    <t>-748.486364637909 24.6612356954874 -844.975626793027</t>
  </si>
  <si>
    <t>-716.804965134805 7.52635130367298 -940.294271592405</t>
  </si>
  <si>
    <t>-740.864538086908 61.2693665750112 -780.51873485794</t>
  </si>
  <si>
    <t>-669.438104716226 189.488040453553 -771.3178463579</t>
  </si>
  <si>
    <t>-536.721815102691 132.453128138143 -489.680457006299</t>
  </si>
  <si>
    <t>-361.155546911672 25.0139046190243 -330.698249864979</t>
  </si>
  <si>
    <t>-764.418725362538 2.40459272836893 -775.6667230736</t>
  </si>
  <si>
    <t>-702.164933304389 157.616310755445 -240.921054427199</t>
  </si>
  <si>
    <t>-648.559934705883 161.2058593881 211.595604340823</t>
  </si>
  <si>
    <t>-631.264806942288 164.390905119922 681.030716961667</t>
  </si>
  <si>
    <t>-490.060505338628 101.304227387933 764.845595651761</t>
  </si>
  <si>
    <t>-765.349941712542 10.7091306935031 224.851211784504</t>
  </si>
  <si>
    <t>-793.113157630561 79.0351834552794 689.278919312564</t>
  </si>
  <si>
    <t>-679.724947465878 -26.4748591226762 772.671097951067</t>
  </si>
  <si>
    <t>9763-20170724T160601.290334400.bin</t>
  </si>
  <si>
    <t>-728.429312903065 66.3665878550676 -235.806022396103</t>
  </si>
  <si>
    <t>-749.044513349523 65.0604854609903 -355.142109221877</t>
  </si>
  <si>
    <t>-757.001140540216 59.1249407748135 -475.939633692322</t>
  </si>
  <si>
    <t>-758.97127955982 51.7022823580676 -585.191153492322</t>
  </si>
  <si>
    <t>-755.849572549135 42.1677582968971 -694.251613063055</t>
  </si>
  <si>
    <t>-746.242910143533 26.6338112315382 -845.468106145372</t>
  </si>
  <si>
    <t>-714.525477749899 9.64872456501439 -940.801685771239</t>
  </si>
  <si>
    <t>-738.732082542612 62.9574287983278 -780.8376447305</t>
  </si>
  <si>
    <t>-667.566903276386 191.318851841878 -771.977129228655</t>
  </si>
  <si>
    <t>-542.908507739201 125.787455493879 -488.51263111319</t>
  </si>
  <si>
    <t>-366.833784738142 8.36881584695016 -337.341769895779</t>
  </si>
  <si>
    <t>-762.255124456342 4.05666965841806 -776.28127680422</t>
  </si>
  <si>
    <t>-701.022610210416 158.029046781048 -241.197814055424</t>
  </si>
  <si>
    <t>-649.372803254646 163.287631501618 211.529935202495</t>
  </si>
  <si>
    <t>-631.156128959236 164.899662801402 680.94997266161</t>
  </si>
  <si>
    <t>-489.459535552098 102.560770318529 764.493113188575</t>
  </si>
  <si>
    <t>-764.485241271759 10.8066103300446 224.511576062437</t>
  </si>
  <si>
    <t>-793.029095187724 78.9101380368759 688.96654101035</t>
  </si>
  <si>
    <t>-679.674941586896 -26.6241017657399 772.37438702959</t>
  </si>
  <si>
    <t>9763-20170724T160601.324425800.bin</t>
  </si>
  <si>
    <t>-727.809810005519 66.8292134121057 -235.939273804811</t>
  </si>
  <si>
    <t>-748.309580626417 65.4870699034332 -355.294764285817</t>
  </si>
  <si>
    <t>-756.123852466498 59.7507810905913 -476.111168686273</t>
  </si>
  <si>
    <t>-757.952473268945 52.6013874277967 -585.383223703657</t>
  </si>
  <si>
    <t>-754.675056485272 43.4318997775561 -694.470497982126</t>
  </si>
  <si>
    <t>-744.835672596182 28.4999795147025 -845.73254542787</t>
  </si>
  <si>
    <t>-713.05748015057 11.669748314785 -941.073494698033</t>
  </si>
  <si>
    <t>-737.451103662933 64.57651391691 -780.94929932689</t>
  </si>
  <si>
    <t>-666.25799509581 192.932531785083 -772.187861443577</t>
  </si>
  <si>
    <t>-547.459706656354 121.543956334285 -487.623584964204</t>
  </si>
  <si>
    <t>-760.927609804248 5.63712500272868 -776.658381009252</t>
  </si>
  <si>
    <t>-700.44059367334 158.538908645823 -241.352046080759</t>
  </si>
  <si>
    <t>-650.25301107239 164.079572544053 211.536654842763</t>
  </si>
  <si>
    <t>-631.174251017561 165.050361656487 680.974914121451</t>
  </si>
  <si>
    <t>-489.304365321481 102.925628028826 764.383280507958</t>
  </si>
  <si>
    <t>-764.267348367219 11.0506138562816 224.32493606826</t>
  </si>
  <si>
    <t>-792.998792724627 78.8336907213193 688.808818361083</t>
  </si>
  <si>
    <t>-679.644518251298 -26.6936620415006 772.225248981654</t>
  </si>
  <si>
    <t>9763-20170724T160601.392122000.bin</t>
  </si>
  <si>
    <t>-727.363451228963 67.6485007593019 -236.11000366021</t>
  </si>
  <si>
    <t>-747.61338632863 66.2106204561894 -355.507197222151</t>
  </si>
  <si>
    <t>-755.016958417761 61.0567273452482 -476.375628836319</t>
  </si>
  <si>
    <t>-756.402944020381 54.7016721202294 -585.703312975415</t>
  </si>
  <si>
    <t>-752.607285306575 46.5905547571638 -694.857625304107</t>
  </si>
  <si>
    <t>-741.964511802515 33.4019037384023 -846.227323113593</t>
  </si>
  <si>
    <t>-709.933730993634 17.058594306277 -941.568336665947</t>
  </si>
  <si>
    <t>-734.971110196038 68.7474497933242 -780.99934693891</t>
  </si>
  <si>
    <t>-662.912028707776 196.565464377 -771.47478556782</t>
  </si>
  <si>
    <t>-558.447273741711 110.358911176378 -485.39486207955</t>
  </si>
  <si>
    <t>-758.376168188215 9.72742995047679 -777.502645626314</t>
  </si>
  <si>
    <t>-700.348218860374 159.538590096579 -241.436248191919</t>
  </si>
  <si>
    <t>-651.459514004433 165.355468399411 211.591101015059</t>
  </si>
  <si>
    <t>-631.262618429532 165.309156949079 681.054057143918</t>
  </si>
  <si>
    <t>-489.107987299635 103.50912489012 764.218542538815</t>
  </si>
  <si>
    <t>-764.3233579108 11.4717341206124 224.117090873292</t>
  </si>
  <si>
    <t>-792.945153372302 78.7102948104618 688.629143592987</t>
  </si>
  <si>
    <t>-679.605155248432 -26.8589970181463 772.011893443294</t>
  </si>
  <si>
    <t>9763-20170724T160601.424207700.bin</t>
  </si>
  <si>
    <t>-727.379287068092 68.0598956469682 -236.143318699533</t>
  </si>
  <si>
    <t>-747.511146730228 66.5765995405586 -355.559901685272</t>
  </si>
  <si>
    <t>-754.667969883919 61.8365360707412 -476.460253378511</t>
  </si>
  <si>
    <t>-755.773899384387 56.0374018616501 -585.822046572393</t>
  </si>
  <si>
    <t>-751.638351801955 48.6613348764365 -695.016076335829</t>
  </si>
  <si>
    <t>-740.457965130589 36.6789930347643 -846.44732609654</t>
  </si>
  <si>
    <t>-708.218461105031 20.7248079483725 -941.783872817516</t>
  </si>
  <si>
    <t>-733.742131009575 71.5213574064746 -780.920016020164</t>
  </si>
  <si>
    <t>-661.093284905561 198.947218510582 -770.527273535251</t>
  </si>
  <si>
    <t>-563.723458756164 105.014998956359 -484.376889841076</t>
  </si>
  <si>
    <t>-757.067865826013 12.4401181265928 -777.967320662432</t>
  </si>
  <si>
    <t>-700.423559156063 160.176278429302 -241.451748798612</t>
  </si>
  <si>
    <t>-651.837181688275 165.824292987208 211.610141251542</t>
  </si>
  <si>
    <t>-631.290509164408 165.445558183958 681.069876307655</t>
  </si>
  <si>
    <t>-489.114583062993 103.594940015102 764.160249469991</t>
  </si>
  <si>
    <t>-764.50950529738 11.7346729261476 224.047227694556</t>
  </si>
  <si>
    <t>-792.937259339953 78.6596062093781 688.590732298041</t>
  </si>
  <si>
    <t>-679.585686369325 -26.9206276351304 771.943860972343</t>
  </si>
  <si>
    <t>9763-20170724T160601.458298400.bin</t>
  </si>
  <si>
    <t>-727.346490178169 68.1808879742759 -236.163912850249</t>
  </si>
  <si>
    <t>-747.409099081809 66.6954604620987 -355.5921493649</t>
  </si>
  <si>
    <t>-754.30299760138 62.3589752353096 -476.522903379589</t>
  </si>
  <si>
    <t>-755.089281456521 57.0813594507244 -585.913728808558</t>
  </si>
  <si>
    <t>-750.550111542064 50.3791420249706 -695.13525776208</t>
  </si>
  <si>
    <t>-738.71951377743 39.4884180207673 -846.599504034389</t>
  </si>
  <si>
    <t>-706.222070474415 23.8909998737606 -941.907588783042</t>
  </si>
  <si>
    <t>-732.306433962871 73.8656775849602 -780.796734832897</t>
  </si>
  <si>
    <t>-659.260954871204 201.028367105112 -769.861123148861</t>
  </si>
  <si>
    <t>-569.449270293122 99.9099199301611 -483.687967517505</t>
  </si>
  <si>
    <t>-755.601961882619 14.7487432045641 -778.365692769208</t>
  </si>
  <si>
    <t>-700.560653838927 160.324158343808 -241.439083416602</t>
  </si>
  <si>
    <t>-652.143587329606 166.009212165026 211.640647589658</t>
  </si>
  <si>
    <t>-631.308536922733 165.505317081402 681.072002652474</t>
  </si>
  <si>
    <t>-489.058730573771 103.762930259266 764.116469582128</t>
  </si>
  <si>
    <t>-764.672235230783 11.814362595348 223.968312927123</t>
  </si>
  <si>
    <t>-792.922559759428 78.5931508590138 688.536554005554</t>
  </si>
  <si>
    <t>-679.563478328502 -26.9947427203315 771.86978150455</t>
  </si>
  <si>
    <t>9763-20170724T160601.526987500.bin</t>
  </si>
  <si>
    <t>-727.314654522529 68.1109214344413 -236.227340156657</t>
  </si>
  <si>
    <t>-747.136479160281 66.5839213050976 -355.695231217033</t>
  </si>
  <si>
    <t>-753.567291361735 62.785233240081 -476.669590626263</t>
  </si>
  <si>
    <t>-753.842178559505 58.207279754663 -586.094510554161</t>
  </si>
  <si>
    <t>-748.697657434009 52.4056677647832 -695.340606208823</t>
  </si>
  <si>
    <t>-735.927181728902 42.964905976592 -846.825928995133</t>
  </si>
  <si>
    <t>-703.173433202435 27.7643753993523 -942.110261722592</t>
  </si>
  <si>
    <t>-729.85947893488 76.6855284202343 -780.651732447122</t>
  </si>
  <si>
    <t>-655.461361240523 203.092339200634 -769.666247974588</t>
  </si>
  <si>
    <t>-579.705950985048 89.3945741056812 -484.148920348578</t>
  </si>
  <si>
    <t>-753.295857493036 17.5988985899635 -778.945074764689</t>
  </si>
  <si>
    <t>-701.116789914744 160.459481125052 -241.403283004699</t>
  </si>
  <si>
    <t>-652.815915267228 166.058446564951 211.689696147738</t>
  </si>
  <si>
    <t>-631.352443864298 165.608309749868 681.058437932218</t>
  </si>
  <si>
    <t>-488.885376454389 104.245987506819 764.01206576979</t>
  </si>
  <si>
    <t>-764.703642158762 11.6817070973777 223.775204023548</t>
  </si>
  <si>
    <t>-792.902841387712 78.4498840795734 688.375173886277</t>
  </si>
  <si>
    <t>-679.517684045184 -27.129947875751 771.683137829323</t>
  </si>
  <si>
    <t>9763-20170724T160601.595703900.bin</t>
  </si>
  <si>
    <t>-727.30568173472 67.4182831477958 -236.231026931858</t>
  </si>
  <si>
    <t>-746.543064236366 65.8558643574981 -355.793983157657</t>
  </si>
  <si>
    <t>-752.416192615582 62.3875690504035 -476.806524798866</t>
  </si>
  <si>
    <t>-752.19931262202 58.2328389936758 -586.248574710408</t>
  </si>
  <si>
    <t>-746.576171177966 52.9655174111899 -695.498168803711</t>
  </si>
  <si>
    <t>-733.155069947625 44.3708555034953 -846.977520035012</t>
  </si>
  <si>
    <t>-700.183953865146 29.4272412052571 -942.22770282135</t>
  </si>
  <si>
    <t>-727.129863195772 77.6244588677514 -780.563669372931</t>
  </si>
  <si>
    <t>-650.668654027897 202.755219249879 -769.318313211453</t>
  </si>
  <si>
    <t>-583.258332511793 82.0036212270441 -484.606039212634</t>
  </si>
  <si>
    <t>-751.057106325126 18.7230139788367 -779.341657755552</t>
  </si>
  <si>
    <t>-701.679968545926 159.772213401444 -241.217521049854</t>
  </si>
  <si>
    <t>-653.378039502984 166.103607474455 211.865910470011</t>
  </si>
  <si>
    <t>-631.388487451533 165.766841466009 681.137238109027</t>
  </si>
  <si>
    <t>-488.89786489317 104.405305104676 764.050967715134</t>
  </si>
  <si>
    <t>-764.721572029184 11.093540979987 223.587307155742</t>
  </si>
  <si>
    <t>-792.874279910714 78.2857076679511 688.124948061334</t>
  </si>
  <si>
    <t>-679.506304268947 -27.3024848709495 771.445713138424</t>
  </si>
  <si>
    <t>9763-20170724T160601.631802700.bin</t>
  </si>
  <si>
    <t>-727.014968621866 66.7562326384971 -236.279760214293</t>
  </si>
  <si>
    <t>-745.93384185784 65.1734836967437 -355.893180697266</t>
  </si>
  <si>
    <t>-751.558503867277 61.8080350338194 -476.920458336377</t>
  </si>
  <si>
    <t>-751.145804454887 57.7895532249702 -586.36693426962</t>
  </si>
  <si>
    <t>-745.355893720458 52.6979797381323 -695.616138514358</t>
  </si>
  <si>
    <t>-731.7333918697 44.3852383306744 -847.093281570918</t>
  </si>
  <si>
    <t>-698.769295324531 29.5377819533007 -942.360961330235</t>
  </si>
  <si>
    <t>-725.642597774332 77.4525723469496 -780.592381723162</t>
  </si>
  <si>
    <t>-648.081874236496 201.841592692143 -768.978557360635</t>
  </si>
  <si>
    <t>-583.690037505795 78.4978996006453 -484.67911357913</t>
  </si>
  <si>
    <t>-749.879264356524 18.6741563471087 -779.5464441342</t>
  </si>
  <si>
    <t>-701.271122967782 159.100247070294 -241.252179475981</t>
  </si>
  <si>
    <t>-653.667358692533 165.969241250174 211.897321896517</t>
  </si>
  <si>
    <t>-631.376972524864 165.893601337446 681.141965580098</t>
  </si>
  <si>
    <t>-488.909250550155 104.465491011132 764.045797491389</t>
  </si>
  <si>
    <t>-764.797955440222 10.7463132016449 223.454340100581</t>
  </si>
  <si>
    <t>-792.878852303747 78.1705448224091 687.951764525303</t>
  </si>
  <si>
    <t>-679.510096649641 -27.3905646391454 771.30578464238</t>
  </si>
  <si>
    <t>9763-20170724T160601.691152400.bin</t>
  </si>
  <si>
    <t>-726.090622069616 65.2087052235058 -236.48259949168</t>
  </si>
  <si>
    <t>-744.639101585897 63.6825141150803 -356.154694911468</t>
  </si>
  <si>
    <t>-749.861401938011 60.7665561392191 -477.211770188698</t>
  </si>
  <si>
    <t>-749.06751409559 57.3121063788969 -586.675316202111</t>
  </si>
  <si>
    <t>-742.875167735029 52.9433156450875 -695.933868114585</t>
  </si>
  <si>
    <t>-728.667564828079 45.8011399784043 -847.416902195347</t>
  </si>
  <si>
    <t>-695.617236054937 31.3426956821863 -942.714563671289</t>
  </si>
  <si>
    <t>-722.628863128995 78.268132128786 -780.616188333187</t>
  </si>
  <si>
    <t>-643.367226870722 201.423033667389 -767.802650236575</t>
  </si>
  <si>
    <t>-582.024594568293 70.3897212136769 -486.28252835582</t>
  </si>
  <si>
    <t>-747.279085171732 19.6545686653244 -780.164621242232</t>
  </si>
  <si>
    <t>-699.921480324467 157.441112362183 -241.403987413524</t>
  </si>
  <si>
    <t>-654.055699555195 165.56585694397 211.903877989711</t>
  </si>
  <si>
    <t>-631.357942772568 166.032044584276 681.140227097681</t>
  </si>
  <si>
    <t>-488.924881818364 104.534293406016 764.052017846902</t>
  </si>
  <si>
    <t>-765.004938938314 10.0722627414768 223.163472282128</t>
  </si>
  <si>
    <t>-792.885478084937 77.9069799406714 687.574071229688</t>
  </si>
  <si>
    <t>-679.585223916079 -27.6421967271781 771.036243080428</t>
  </si>
  <si>
    <t>9763-20170724T160601.723237500.bin</t>
  </si>
  <si>
    <t>-725.672003850399 64.3697068181157 -236.576078530058</t>
  </si>
  <si>
    <t>-744.269651239456 62.809870726293 -356.240380764398</t>
  </si>
  <si>
    <t>-749.412506341922 60.1612120140323 -477.306879601447</t>
  </si>
  <si>
    <t>-748.489603391087 57.0722455830444 -586.780312723294</t>
  </si>
  <si>
    <t>-742.107643647645 53.1948312386617 -696.046489474749</t>
  </si>
  <si>
    <t>-727.570132432389 46.8687548176554 -847.534583022204</t>
  </si>
  <si>
    <t>-694.509647658589 32.6404226242507 -942.863141874493</t>
  </si>
  <si>
    <t>-721.641532775775 78.9605082898299 -780.542843569242</t>
  </si>
  <si>
    <t>-641.662328935297 201.638891843196 -767.173259825439</t>
  </si>
  <si>
    <t>-580.477990956416 65.6288925376371 -487.988798282957</t>
  </si>
  <si>
    <t>-746.363515002973 20.3752057498232 -780.468831409569</t>
  </si>
  <si>
    <t>-699.156384790773 156.597978853256 -241.590967114071</t>
  </si>
  <si>
    <t>-653.726126961922 164.997511252736 211.755648200191</t>
  </si>
  <si>
    <t>-631.34136721744 166.05556953819 681.106825421038</t>
  </si>
  <si>
    <t>-488.937800995209 104.529603794063 764.048273054722</t>
  </si>
  <si>
    <t>-765.083486198542 9.72988602752048 223.093202437153</t>
  </si>
  <si>
    <t>-792.913990058729 77.7777119836228 687.447695565378</t>
  </si>
  <si>
    <t>-679.610502852805 -27.732429667142 770.954831357455</t>
  </si>
  <si>
    <t>9763-20170724T160601.791942800.bin</t>
  </si>
  <si>
    <t>-725.255540849935 62.7546201683681 -236.597631791732</t>
  </si>
  <si>
    <t>-744.185779254988 61.2392079554163 -356.210221905929</t>
  </si>
  <si>
    <t>-749.004638772738 59.3152061136539 -477.303655344969</t>
  </si>
  <si>
    <t>-747.512270364183 57.1537811652179 -586.79323920494</t>
  </si>
  <si>
    <t>-740.278732172967 54.4756183543714 -696.042207550571</t>
  </si>
  <si>
    <t>-724.259421879292 50.098955498288 -847.449695469323</t>
  </si>
  <si>
    <t>-690.948380649858 36.5871224753835 -942.795337123732</t>
  </si>
  <si>
    <t>-719.041893008805 81.3479252933982 -780.001884356569</t>
  </si>
  <si>
    <t>-638.165687025027 203.171440919606 -764.842557683125</t>
  </si>
  <si>
    <t>-573.481029559924 56.7895589585394 -491.759421997277</t>
  </si>
  <si>
    <t>-743.653073753193 22.7230292018241 -780.911281109886</t>
  </si>
  <si>
    <t>-698.484270926412 155.046440509678 -241.737488550869</t>
  </si>
  <si>
    <t>-652.220942127799 163.19184057719 211.529590162541</t>
  </si>
  <si>
    <t>-631.30315972881 166.042041320819 681.013466926801</t>
  </si>
  <si>
    <t>-489.066406972352 104.309610949793 764.087699490214</t>
  </si>
  <si>
    <t>-764.06485194211 8.52242007485256 223.195460427131</t>
  </si>
  <si>
    <t>-792.885163904801 77.5936517281586 687.291025034605</t>
  </si>
  <si>
    <t>-679.633197518438 -27.9007917292138 770.887819388169</t>
  </si>
  <si>
    <t>9763-20170724T160601.831050600.bin</t>
  </si>
  <si>
    <t>-725.098932954374 62.08791633021 -236.557504870104</t>
  </si>
  <si>
    <t>-744.217438340942 60.676915290938 -356.141384782312</t>
  </si>
  <si>
    <t>-748.809504722202 59.2430369455985 -477.250553772098</t>
  </si>
  <si>
    <t>-746.938823631239 57.672938005878 -586.744333604789</t>
  </si>
  <si>
    <t>-739.151252964787 55.7303021494131 -695.970870467251</t>
  </si>
  <si>
    <t>-722.177769615552 52.5221466056557 -847.303626863287</t>
  </si>
  <si>
    <t>-688.600907997463 39.574398050218 -942.634206965653</t>
  </si>
  <si>
    <t>-717.421918273169 83.2644651935284 -779.589428403211</t>
  </si>
  <si>
    <t>-636.086452692149 204.595007362181 -762.573540140439</t>
  </si>
  <si>
    <t>-569.301968419812 51.8849873198187 -493.490511048692</t>
  </si>
  <si>
    <t>-741.954111438452 24.6188362968608 -781.097689643911</t>
  </si>
  <si>
    <t>-698.508212576117 154.35953873958 -241.648285023542</t>
  </si>
  <si>
    <t>-651.317951688723 162.299556519512 211.526845477406</t>
  </si>
  <si>
    <t>-631.269603605612 166.041208229972 680.980463629398</t>
  </si>
  <si>
    <t>-489.080713288696 104.293155347691 764.124995818636</t>
  </si>
  <si>
    <t>-763.210208429848 7.87934182020058 223.2297408529</t>
  </si>
  <si>
    <t>-792.871668098963 77.5106628285857 687.191818125309</t>
  </si>
  <si>
    <t>-679.6200161482 -27.9358314096817 770.849522857632</t>
  </si>
  <si>
    <t>9763-20170724T160601.894731500.bin</t>
  </si>
  <si>
    <t>-724.926894059764 60.5295314618882 -236.462427244849</t>
  </si>
  <si>
    <t>-743.910422039958 59.0646428620055 -356.067179993685</t>
  </si>
  <si>
    <t>-748.067725009951 58.3631069100968 -477.198422483842</t>
  </si>
  <si>
    <t>-745.672300552539 57.7562687189416 -586.691656608202</t>
  </si>
  <si>
    <t>-737.223515816749 57.0671497075211 -695.884050787487</t>
  </si>
  <si>
    <t>-719.184678071219 55.8947194201066 -847.123146098422</t>
  </si>
  <si>
    <t>-685.248762733087 44.1572475625492 -942.483355473742</t>
  </si>
  <si>
    <t>-714.946870828256 85.7395872578875 -778.974414178555</t>
  </si>
  <si>
    <t>-633.30584533986 206.236289511389 -757.710138298508</t>
  </si>
  <si>
    <t>-559.530876716519 45.9646828282439 -494.924127208875</t>
  </si>
  <si>
    <t>-739.38574236621 27.0873753239932 -781.434634482082</t>
  </si>
  <si>
    <t>-699.081624471756 152.770630638779 -241.38456203501</t>
  </si>
  <si>
    <t>-650.028347257217 161.0302567042 211.586994964911</t>
  </si>
  <si>
    <t>-631.224889535342 166.057439625305 680.979360232897</t>
  </si>
  <si>
    <t>-488.947732774146 104.571665091372 764.167220095721</t>
  </si>
  <si>
    <t>-762.35105978701 6.59200894638457 223.217095872009</t>
  </si>
  <si>
    <t>-792.832409666391 77.3209449616577 686.94373585346</t>
  </si>
  <si>
    <t>-679.695903231392 -28.1298583993682 770.751692189549</t>
  </si>
  <si>
    <t>9763-20170724T160601.927814400.bin</t>
  </si>
  <si>
    <t>-724.618026137098 59.6671357039452 -236.434084061102</t>
  </si>
  <si>
    <t>-743.313339730477 58.1363763670988 -356.083465308027</t>
  </si>
  <si>
    <t>-747.192324791694 57.5356181812742 -477.224449500183</t>
  </si>
  <si>
    <t>-744.547953817729 57.0864190740492 -586.712636663802</t>
  </si>
  <si>
    <t>-735.852207657078 56.6201922203941 -695.886845750737</t>
  </si>
  <si>
    <t>-717.471058699821 55.8250202226886 -847.086998840809</t>
  </si>
  <si>
    <t>-683.347753175793 44.5649651582087 -942.438042311257</t>
  </si>
  <si>
    <t>-713.466415221322 85.5330605699512 -778.864466949122</t>
  </si>
  <si>
    <t>-632.501329650789 206.320689111416 -756.648133071456</t>
  </si>
  <si>
    <t>-556.212403298971 47.0918134344813 -493.946097782143</t>
  </si>
  <si>
    <t>-737.741795712262 26.820758521196 -781.506828870211</t>
  </si>
  <si>
    <t>-699.068870284631 151.897632300364 -241.281223600246</t>
  </si>
  <si>
    <t>-650.184449352996 160.74788200678 211.697332237846</t>
  </si>
  <si>
    <t>-631.232037313076 166.072272111605 681.028792360205</t>
  </si>
  <si>
    <t>-488.878927593739 104.713914005293 764.180773884798</t>
  </si>
  <si>
    <t>-762.373837830978 6.10277415241239 223.106187761115</t>
  </si>
  <si>
    <t>-792.839443905036 77.1733830111261 686.775262707908</t>
  </si>
  <si>
    <t>-679.712942953159 -28.2207313609822 770.667975021476</t>
  </si>
  <si>
    <t>9763-20170724T160601.993003200.bin</t>
  </si>
  <si>
    <t>-723.614115408276 57.9734943863355 -236.497705292241</t>
  </si>
  <si>
    <t>-741.693418528185 56.2900059235217 -356.239535705176</t>
  </si>
  <si>
    <t>-745.137005176528 55.5915676864879 -477.393349211525</t>
  </si>
  <si>
    <t>-742.173642609469 55.0908804246712 -586.873098618784</t>
  </si>
  <si>
    <t>-733.233280290676 54.6174529891778 -696.027577751953</t>
  </si>
  <si>
    <t>-714.588901575722 53.8653042762146 -847.19570435451</t>
  </si>
  <si>
    <t>-680.313325307503 43.3298888834004 -942.574890203894</t>
  </si>
  <si>
    <t>-711.066107664305 83.7033946312865 -779.00337328828</t>
  </si>
  <si>
    <t>-632.323426069632 205.868888983825 -756.511364374039</t>
  </si>
  <si>
    <t>-554.177427405711 50.7383155663292 -491.910017713579</t>
  </si>
  <si>
    <t>-734.610711691124 24.6929403610732 -781.613530978218</t>
  </si>
  <si>
    <t>-698.759770323438 150.369307380953 -241.304442267751</t>
  </si>
  <si>
    <t>-651.528638975721 161.130851035959 211.80832222207</t>
  </si>
  <si>
    <t>-631.201741423914 166.277200155805 681.088556100466</t>
  </si>
  <si>
    <t>-488.694688701169 105.104202210579 764.113383420764</t>
  </si>
  <si>
    <t>-762.519089448279 5.50732827373145 222.76988564419</t>
  </si>
  <si>
    <t>-792.933255236759 76.8447789601748 686.426991143754</t>
  </si>
  <si>
    <t>-679.721803200829 -28.3442393338657 770.462364213557</t>
  </si>
  <si>
    <t>9763-20170724T160602.032099600.bin</t>
  </si>
  <si>
    <t>-722.931235283962 57.4897204504341 -236.4988827042</t>
  </si>
  <si>
    <t>-740.718119410693 55.6968597621487 -356.282838212222</t>
  </si>
  <si>
    <t>-743.955635798694 54.9797199193474 -477.442296146352</t>
  </si>
  <si>
    <t>-740.840427197094 54.5021941414789 -586.917775817156</t>
  </si>
  <si>
    <t>-731.782554295308 54.0926751874354 -696.062892925834</t>
  </si>
  <si>
    <t>-713.009462535216 53.473562567875 -847.215794727875</t>
  </si>
  <si>
    <t>-678.632193645639 43.1940404706124 -942.586209353228</t>
  </si>
  <si>
    <t>-709.687175130057 83.3088160000952 -779.012111871227</t>
  </si>
  <si>
    <t>-632.034049698273 206.101130153277 -756.551581652799</t>
  </si>
  <si>
    <t>-553.666435184433 55.378046845073 -489.479977671046</t>
  </si>
  <si>
    <t>-732.944772812654 24.1861853400942 -781.658516735731</t>
  </si>
  <si>
    <t>-698.349532805237 150.1103699487 -241.349598821809</t>
  </si>
  <si>
    <t>-652.045831795155 161.483104799886 211.843819516468</t>
  </si>
  <si>
    <t>-631.204399874293 166.315462086305 681.134181957187</t>
  </si>
  <si>
    <t>-488.561364975921 105.348266989967 764.07678592164</t>
  </si>
  <si>
    <t>-762.224278416707 5.34254135090282 222.643136405634</t>
  </si>
  <si>
    <t>-792.936504532508 76.7643036343914 686.288881655206</t>
  </si>
  <si>
    <t>-679.719968043452 -28.3917737322386 770.358650073658</t>
  </si>
  <si>
    <t>9763-20170724T160602.092895400.bin</t>
  </si>
  <si>
    <t>-721.00123595142 57.1117648077593 -236.559049832116</t>
  </si>
  <si>
    <t>-738.552237203363 55.1304249680563 -356.374992509426</t>
  </si>
  <si>
    <t>-741.570644299456 54.4593168763718 -477.54005369177</t>
  </si>
  <si>
    <t>-738.261805365151 54.12848994463 -587.010607883941</t>
  </si>
  <si>
    <t>-729.013160583264 53.97529523912 -696.14030244648</t>
  </si>
  <si>
    <t>-709.976168963593 53.8313820079679 -847.261366149645</t>
  </si>
  <si>
    <t>-675.525920123847 44.0380405468345 -942.656585015764</t>
  </si>
  <si>
    <t>-707.162391013583 83.6044993846333 -779.007730363139</t>
  </si>
  <si>
    <t>-631.734962330037 207.579377083937 -755.297256976334</t>
  </si>
  <si>
    <t>-551.060534578725 66.7341977472338 -483.561187098438</t>
  </si>
  <si>
    <t>-729.63654961321 24.1855641614213 -781.782285227483</t>
  </si>
  <si>
    <t>-696.961091361552 149.985893752714 -241.461175675713</t>
  </si>
  <si>
    <t>-652.263095671273 161.892191930399 211.879728328787</t>
  </si>
  <si>
    <t>-631.171320840404 166.416125731956 681.160510692347</t>
  </si>
  <si>
    <t>-488.317836052091 105.827693124474 764.018432955407</t>
  </si>
  <si>
    <t>-760.844016415239 5.2654092293958 222.503137737069</t>
  </si>
  <si>
    <t>-792.863608809726 76.7462907704348 686.079386987064</t>
  </si>
  <si>
    <t>-679.684415206504 -28.4533192129322 770.144953839346</t>
  </si>
  <si>
    <t>9763-20170724T160602.125984000.bin</t>
  </si>
  <si>
    <t>-720.0468124269 57.1999333944341 -236.609336065668</t>
  </si>
  <si>
    <t>-737.573098747047 55.1039177818827 -356.426886108958</t>
  </si>
  <si>
    <t>-740.50227263195 54.413050319939 -477.594216407581</t>
  </si>
  <si>
    <t>-737.086051559497 54.1106496600289 -587.061397151654</t>
  </si>
  <si>
    <t>-727.70293830146 54.0362757764608 -696.179753935836</t>
  </si>
  <si>
    <t>-708.450564633377 54.0582184104687 -847.27366110181</t>
  </si>
  <si>
    <t>-673.888540211919 44.3942434505054 -942.641610899836</t>
  </si>
  <si>
    <t>-705.951268092059 83.8389109157008 -779.011054198385</t>
  </si>
  <si>
    <t>-631.645012069786 208.136868757584 -753.908559791758</t>
  </si>
  <si>
    <t>-545.683535804905 77.0232832969782 -478.942929509729</t>
  </si>
  <si>
    <t>-727.987130796079 24.257973106676 -781.827514656911</t>
  </si>
  <si>
    <t>-696.316170665981 150.018306079953 -241.525188385676</t>
  </si>
  <si>
    <t>-651.984908116306 161.902494850609 211.852345433932</t>
  </si>
  <si>
    <t>-631.146739081428 166.447433566851 681.156520191485</t>
  </si>
  <si>
    <t>-488.209007572818 106.035789156175 763.99823883277</t>
  </si>
  <si>
    <t>-760.144595050838 5.34013581169938 222.462334422346</t>
  </si>
  <si>
    <t>-792.804623787098 76.756840084189 685.986852858917</t>
  </si>
  <si>
    <t>-679.688345723328 -28.5148378722856 770.046900798167</t>
  </si>
  <si>
    <t>9763-20170724T160602.191689300.bin</t>
  </si>
  <si>
    <t>-718.094818743104 58.0608956695917 -236.8184212687</t>
  </si>
  <si>
    <t>-735.728151143764 55.7528716001689 -356.616425501631</t>
  </si>
  <si>
    <t>-738.411466453698 55.0514561902417 -477.789279042919</t>
  </si>
  <si>
    <t>-734.629344696356 54.8354331404157 -587.244718439228</t>
  </si>
  <si>
    <t>-724.737137275272 54.9507125505681 -696.318050090888</t>
  </si>
  <si>
    <t>-704.628396385621 55.351290274926 -847.299741712149</t>
  </si>
  <si>
    <t>-669.626044920601 45.9578071373494 -942.534144315279</t>
  </si>
  <si>
    <t>-702.893069285097 85.0998794513366 -778.999515073594</t>
  </si>
  <si>
    <t>-631.04869160699 210.090723081216 -750.295531920133</t>
  </si>
  <si>
    <t>-530.207080927406 102.93333643852 -470.055595772372</t>
  </si>
  <si>
    <t>-335.216431534006 53.6244400634 -305.163583209191</t>
  </si>
  <si>
    <t>-724.158706803547 25.2482238362709 -781.99059509406</t>
  </si>
  <si>
    <t>-694.693955364714 151.153887429635 -241.775883212476</t>
  </si>
  <si>
    <t>-650.884272302105 162.164626264835 211.674432002314</t>
  </si>
  <si>
    <t>-631.085266798524 166.555787420828 681.094714257645</t>
  </si>
  <si>
    <t>-488.072769960815 106.320286696085 763.935638960396</t>
  </si>
  <si>
    <t>-758.624289067104 5.86236385886218 222.412895790142</t>
  </si>
  <si>
    <t>-792.681283954566 76.7883602801055 685.880897762586</t>
  </si>
  <si>
    <t>-679.67557159465 -28.6225286671524 769.915216766988</t>
  </si>
  <si>
    <t>9763-20170724T160602.224777900.bin</t>
  </si>
  <si>
    <t>-717.278060427732 58.5520808705478 -236.857607750306</t>
  </si>
  <si>
    <t>-735.047390537753 56.1111848015867 -356.632832267311</t>
  </si>
  <si>
    <t>-737.594113221574 55.3851135303728 -477.808512796801</t>
  </si>
  <si>
    <t>-733.578017283366 55.1999431091317 -587.255653468243</t>
  </si>
  <si>
    <t>-723.342172341139 55.4040888645116 -696.297099793259</t>
  </si>
  <si>
    <t>-702.642478353129 55.9934098989208 -847.198361718639</t>
  </si>
  <si>
    <t>-667.466873014271 46.7664158748585 -942.385213101092</t>
  </si>
  <si>
    <t>-701.368119258393 85.7259429293908 -778.881024843654</t>
  </si>
  <si>
    <t>-631.374971961998 211.637277779581 -749.609080806643</t>
  </si>
  <si>
    <t>-519.291139687955 120.451556014792 -467.991227707289</t>
  </si>
  <si>
    <t>-312.777917417302 91.9359973056955 -312.488337351653</t>
  </si>
  <si>
    <t>-722.234870752575 25.7392628170414 -781.977559263975</t>
  </si>
  <si>
    <t>-693.946760937633 151.760721317773 -241.897445756641</t>
  </si>
  <si>
    <t>-650.339999922842 162.440178925204 211.580326569562</t>
  </si>
  <si>
    <t>-631.044340900154 166.638373676878 681.042769808833</t>
  </si>
  <si>
    <t>-488.041730666982 106.387899065497 763.889817763183</t>
  </si>
  <si>
    <t>-757.971414142831 6.10588692442661 222.502409148632</t>
  </si>
  <si>
    <t>-792.638519907626 76.8495995403541 685.928651857917</t>
  </si>
  <si>
    <t>-679.66493245332 -28.6435418683889 769.902920327456</t>
  </si>
  <si>
    <t>9763-20170724T160602.296485800.bin</t>
  </si>
  <si>
    <t>-716.098967102613 59.0081851472667 -236.874876712626</t>
  </si>
  <si>
    <t>-734.091609753034 56.4591898135652 -356.614489875685</t>
  </si>
  <si>
    <t>-736.700655214852 55.5659388425172 -477.787576902312</t>
  </si>
  <si>
    <t>-732.677068788699 55.2231242042619 -587.234185395821</t>
  </si>
  <si>
    <t>-722.370985715394 55.2729150964842 -696.269186263818</t>
  </si>
  <si>
    <t>-701.509605613732 55.6599820171214 -847.148801281567</t>
  </si>
  <si>
    <t>-666.208102112478 46.3784957709661 -942.283617879829</t>
  </si>
  <si>
    <t>-700.598675999651 85.5854937649483 -778.909858395318</t>
  </si>
  <si>
    <t>-632.373444331301 212.579514980165 -749.827260918266</t>
  </si>
  <si>
    <t>-498.845643786997 147.123576889786 -470.413389544946</t>
  </si>
  <si>
    <t>-267.840813539414 135.892135440615 -351.448622950402</t>
  </si>
  <si>
    <t>-720.881544782253 25.3919660964475 -781.86877470864</t>
  </si>
  <si>
    <t>-692.776663273833 152.384904940904 -242.070741299947</t>
  </si>
  <si>
    <t>-649.779005016333 162.599942407363 211.475878820174</t>
  </si>
  <si>
    <t>-630.95642655429 166.814230974253 680.941638395925</t>
  </si>
  <si>
    <t>-487.938201886046 106.600204106404 763.788312422201</t>
  </si>
  <si>
    <t>-756.852113419916 6.25927826248972 222.612524197071</t>
  </si>
  <si>
    <t>-792.547286610056 76.8900590962044 685.937435072519</t>
  </si>
  <si>
    <t>-679.666702693304 -28.7495209918834 769.852651562852</t>
  </si>
  <si>
    <t>9763-20170724T160602.326564400.bin</t>
  </si>
  <si>
    <t>-715.819653205005 59.1082530868737 -236.900152895699</t>
  </si>
  <si>
    <t>-733.892342431227 56.5526102211466 -356.627520983992</t>
  </si>
  <si>
    <t>-736.568540152828 55.5611461374756 -477.798551930964</t>
  </si>
  <si>
    <t>-732.601459569412 55.098608195025 -587.246738861713</t>
  </si>
  <si>
    <t>-722.34828242415 55.001127366231 -696.28668123635</t>
  </si>
  <si>
    <t>-701.556994071061 55.1582022919195 -847.176437455364</t>
  </si>
  <si>
    <t>-666.221169420644 45.8705650483403 -942.297885783475</t>
  </si>
  <si>
    <t>-700.721983123512 85.2244527569258 -778.998390655505</t>
  </si>
  <si>
    <t>-633.236618654341 212.665289982501 -750.515175016352</t>
  </si>
  <si>
    <t>-486.38860418805 161.629025924016 -474.802969426082</t>
  </si>
  <si>
    <t>-249.415879354939 148.46862630648 -368.441719694372</t>
  </si>
  <si>
    <t>-720.790969720976 24.9529921387766 -781.826401672743</t>
  </si>
  <si>
    <t>-692.652848973494 152.439070006049 -242.082499025174</t>
  </si>
  <si>
    <t>-649.533678095634 162.606774584152 211.45363868292</t>
  </si>
  <si>
    <t>-630.936412280538 166.832612197495 680.928256932843</t>
  </si>
  <si>
    <t>-487.845511383703 106.769718161942 763.759129855529</t>
  </si>
  <si>
    <t>-756.319373639048 6.10541243685771 222.641283826657</t>
  </si>
  <si>
    <t>-792.52231921825 76.874715916872 685.915677689166</t>
  </si>
  <si>
    <t>-679.67141960374 -28.8104098249441 769.81348476165</t>
  </si>
  <si>
    <t>9763-20170724T160602.389234000.bin</t>
  </si>
  <si>
    <t>-715.827711724001 59.5066707673057 -236.798901435614</t>
  </si>
  <si>
    <t>-734.089247630239 57.002996304481 -356.498824626423</t>
  </si>
  <si>
    <t>-736.782250920302 55.9441118066966 -477.66884427572</t>
  </si>
  <si>
    <t>-732.76200009992 55.3770948184283 -587.114505824951</t>
  </si>
  <si>
    <t>-722.388786264382 55.134225703652 -696.142997395531</t>
  </si>
  <si>
    <t>-701.362149830519 55.0495739724402 -847.000132367395</t>
  </si>
  <si>
    <t>-666.04217063495 45.8704583599433 -942.138093645221</t>
  </si>
  <si>
    <t>-700.686786645472 85.2429692481805 -778.876547384401</t>
  </si>
  <si>
    <t>-632.909704753618 212.642894899657 -750.773101788338</t>
  </si>
  <si>
    <t>-473.231256453354 168.542634736528 -481.061726196638</t>
  </si>
  <si>
    <t>-232.637905914723 157.666026260976 -382.885364029582</t>
  </si>
  <si>
    <t>-720.644681502725 24.9312103148757 -781.624495444701</t>
  </si>
  <si>
    <t>-692.577669028578 152.921663669162 -242.033006428649</t>
  </si>
  <si>
    <t>-649.313591705584 162.763490734842 211.496493147692</t>
  </si>
  <si>
    <t>-630.913427083726 166.946084322169 680.944102836145</t>
  </si>
  <si>
    <t>-487.838147901678 106.831187167594 763.764246562449</t>
  </si>
  <si>
    <t>-755.552937771378 5.92769018947865 222.764236829006</t>
  </si>
  <si>
    <t>-792.468567372645 76.8747041494983 685.90392598881</t>
  </si>
  <si>
    <t>-679.676785961173 -28.9062043552624 769.760523403416</t>
  </si>
  <si>
    <t>9763-20170724T160602.428346000.bin</t>
  </si>
  <si>
    <t>-715.833122626505 59.6523576732197 -236.874233606663</t>
  </si>
  <si>
    <t>-734.159489550055 57.1720099724528 -356.564519123427</t>
  </si>
  <si>
    <t>-736.91114982881 56.0905688044538 -477.733160305656</t>
  </si>
  <si>
    <t>-732.942127930301 55.491908968407 -587.180657839379</t>
  </si>
  <si>
    <t>-722.618320051493 55.2111171267361 -696.213583773164</t>
  </si>
  <si>
    <t>-701.658926121662 55.0710281124598 -847.079966981734</t>
  </si>
  <si>
    <t>-666.46720333032 45.9687582449562 -942.272869962924</t>
  </si>
  <si>
    <t>-700.992466296978 85.3026360891611 -778.973376024891</t>
  </si>
  <si>
    <t>-633.319490191 212.708430258231 -750.806200666735</t>
  </si>
  <si>
    <t>-463.910163944283 176.317069467748 -485.924425010711</t>
  </si>
  <si>
    <t>-222.95599689137 163.16739439502 -388.918072461459</t>
  </si>
  <si>
    <t>-720.873184155744 24.9633499140205 -781.679241441733</t>
  </si>
  <si>
    <t>-692.431890341639 153.018336236382 -242.064774338569</t>
  </si>
  <si>
    <t>-649.264919688967 162.886682805665 211.473335681565</t>
  </si>
  <si>
    <t>-630.881264370818 167.07463167804 680.929814375332</t>
  </si>
  <si>
    <t>-487.868292123067 106.814483184191 763.751990913176</t>
  </si>
  <si>
    <t>-755.633519943223 5.95104364365648 222.730805562076</t>
  </si>
  <si>
    <t>-792.483374324559 76.8221206041712 685.877251214403</t>
  </si>
  <si>
    <t>-679.681868358211 -28.9462280843798 769.736596561458</t>
  </si>
  <si>
    <t>9763-20170724T160602.522481800.bin</t>
  </si>
  <si>
    <t>-715.89781596487 59.7537238154166 -236.986732117293</t>
  </si>
  <si>
    <t>-734.229015475617 57.298598798177 -356.676853607037</t>
  </si>
  <si>
    <t>-736.940782668539 56.2028907410172 -477.84617392285</t>
  </si>
  <si>
    <t>-732.918244765674 55.5822312426533 -587.291583305669</t>
  </si>
  <si>
    <t>-722.524383618519 55.2739917594567 -696.317734335678</t>
  </si>
  <si>
    <t>-701.450842056825 55.0938152665683 -847.168311623166</t>
  </si>
  <si>
    <t>-666.285742589619 46.0914144664237 -942.380438611727</t>
  </si>
  <si>
    <t>-700.869989286213 85.3549063626849 -779.073988649569</t>
  </si>
  <si>
    <t>-633.054381445108 212.769657634484 -750.95771161385</t>
  </si>
  <si>
    <t>-456.516311083466 182.414374404289 -489.999755974919</t>
  </si>
  <si>
    <t>-214.675146498971 164.146704858089 -396.078365175163</t>
  </si>
  <si>
    <t>-720.680537451041 24.992094123706 -781.769391349269</t>
  </si>
  <si>
    <t>-692.315138972677 153.086889408031 -242.135039106861</t>
  </si>
  <si>
    <t>-649.172882329772 162.935127533252 211.406013728579</t>
  </si>
  <si>
    <t>-630.870060130775 167.106858538662 680.915608576577</t>
  </si>
  <si>
    <t>-487.885045598305 106.775965254354 763.734603367182</t>
  </si>
  <si>
    <t>-756.032474886479 6.07346758860217 222.638758681089</t>
  </si>
  <si>
    <t>-792.503821718393 76.7334581593768 685.838076915262</t>
  </si>
  <si>
    <t>-679.700036281858 -29.0145697839705 769.719976958409</t>
  </si>
  <si>
    <t>9763-20170724T160602.527495000.bin</t>
  </si>
  <si>
    <t>-716.389101491489 59.9455309357754 -236.971315470424</t>
  </si>
  <si>
    <t>-734.826240893443 57.5855861882974 -356.64722969646</t>
  </si>
  <si>
    <t>-737.383722555276 56.4806610519054 -477.819883404524</t>
  </si>
  <si>
    <t>-733.119055319863 55.8236039249 -587.255759477707</t>
  </si>
  <si>
    <t>-722.382177586379 55.4600951964374 -696.248684077184</t>
  </si>
  <si>
    <t>-700.72922647801 55.1911876578806 -847.01690833715</t>
  </si>
  <si>
    <t>-665.608175903037 46.4143279156078 -942.26647974058</t>
  </si>
  <si>
    <t>-700.549006431059 85.5385030786881 -778.958708384619</t>
  </si>
  <si>
    <t>-632.665532241773 213.09015084937 -751.590761796903</t>
  </si>
  <si>
    <t>-442.332769936414 194.441336737481 -499.376715860313</t>
  </si>
  <si>
    <t>-200.556731307352 167.319346745882 -407.448619241487</t>
  </si>
  <si>
    <t>-720.071075717941 25.0817099059855 -781.654688281042</t>
  </si>
  <si>
    <t>-692.382408491352 153.331564272489 -242.186434429515</t>
  </si>
  <si>
    <t>-648.967425400323 162.920866615953 211.33406013695</t>
  </si>
  <si>
    <t>-630.815969839752 167.317448040659 680.869777419121</t>
  </si>
  <si>
    <t>-487.933857815294 106.752569555933 763.695594350405</t>
  </si>
  <si>
    <t>-756.944454151448 6.26338975978456 222.607097759264</t>
  </si>
  <si>
    <t>-792.572028978936 76.6077444245632 685.892806384278</t>
  </si>
  <si>
    <t>-679.6905299405 -29.0699465948901 769.75882890382</t>
  </si>
  <si>
    <t>9763-20170724T160602.592236600.bin</t>
  </si>
  <si>
    <t>-717.266634101724 60.1633204025707 -236.91737863611</t>
  </si>
  <si>
    <t>-735.852577046542 57.8101737665324 -356.570420805223</t>
  </si>
  <si>
    <t>-738.255460609188 56.7809303470021 -477.746780858126</t>
  </si>
  <si>
    <t>-733.728408512064 56.224694130937 -587.17266050446</t>
  </si>
  <si>
    <t>-722.608056110157 55.9965400714934 -696.12755180622</t>
  </si>
  <si>
    <t>-700.297358430055 55.9545218539497 -846.800039991944</t>
  </si>
  <si>
    <t>-665.214455097509 47.4797392906914 -942.090963161467</t>
  </si>
  <si>
    <t>-700.52555332203 86.2359858111179 -778.71264368331</t>
  </si>
  <si>
    <t>-632.469512868571 213.883079195296 -752.071726603462</t>
  </si>
  <si>
    <t>-429.3177376379 207.195478412149 -509.438637018272</t>
  </si>
  <si>
    <t>-187.866151914517 171.034036425642 -419.797417017984</t>
  </si>
  <si>
    <t>-719.812655088739 25.7103509975077 -781.551629705491</t>
  </si>
  <si>
    <t>-693.092023509966 153.694321527582 -242.141904035588</t>
  </si>
  <si>
    <t>-649.303535716419 163.229957219858 211.343757233103</t>
  </si>
  <si>
    <t>-630.792391362983 167.43279878761 680.852697635005</t>
  </si>
  <si>
    <t>-487.816709092188 107.02475928165 763.631535510567</t>
  </si>
  <si>
    <t>-757.858496298763 6.52788211864959 222.666118543605</t>
  </si>
  <si>
    <t>-792.594977572502 76.6046837218721 686.069005310279</t>
  </si>
  <si>
    <t>-679.670177775152 -29.1103884758941 769.8295405533</t>
  </si>
  <si>
    <t>9763-20170724T160602.626342800.bin</t>
  </si>
  <si>
    <t>-717.904957601606 60.128002428416 -236.914616094735</t>
  </si>
  <si>
    <t>-736.487563834364 57.7348311399801 -356.567286491409</t>
  </si>
  <si>
    <t>-738.757910094568 56.7062994588553 -477.746340202732</t>
  </si>
  <si>
    <t>-734.058686607711 56.1649937520942 -587.1650383222</t>
  </si>
  <si>
    <t>-722.714587387176 55.9641325141813 -696.096891431367</t>
  </si>
  <si>
    <t>-700.040282119849 55.9711267732405 -846.71522656459</t>
  </si>
  <si>
    <t>-664.94207675478 47.6663201060906 -942.015354614552</t>
  </si>
  <si>
    <t>-700.463222751267 86.2401299470125 -778.623042603924</t>
  </si>
  <si>
    <t>-632.473479896763 214.117194540065 -753.035081362644</t>
  </si>
  <si>
    <t>-423.695763254602 212.999374432626 -515.1341681012</t>
  </si>
  <si>
    <t>-183.357776978865 168.561696039885 -426.224312649695</t>
  </si>
  <si>
    <t>-719.682744125185 25.6958709481339 -781.519283460086</t>
  </si>
  <si>
    <t>-693.807244107575 153.689661149993 -242.121441569083</t>
  </si>
  <si>
    <t>-649.813394454626 163.382180512977 211.341056945403</t>
  </si>
  <si>
    <t>-630.784345888899 167.472656604955 680.83953082595</t>
  </si>
  <si>
    <t>-487.718615705673 107.211583041423 763.569911484677</t>
  </si>
  <si>
    <t>-758.561327679568 6.59301442963806 222.675830534962</t>
  </si>
  <si>
    <t>-792.626399765435 76.568368434466 686.146192319193</t>
  </si>
  <si>
    <t>-679.640844812013 -29.1249240800707 769.85228530669</t>
  </si>
  <si>
    <t>9763-20170724T160602.696650100.bin</t>
  </si>
  <si>
    <t>-719.240369713369 59.9366842617196 -236.755885748329</t>
  </si>
  <si>
    <t>-737.68666526549 57.4631149377394 -356.427973122247</t>
  </si>
  <si>
    <t>-739.639007334234 56.3419793726564 -477.611723863727</t>
  </si>
  <si>
    <t>-734.579910456476 55.701125426634 -587.01393116668</t>
  </si>
  <si>
    <t>-722.804807403086 55.3778903744969 -695.899698971632</t>
  </si>
  <si>
    <t>-699.459384966452 55.1843061383167 -846.415384328961</t>
  </si>
  <si>
    <t>-664.411731826007 47.1655723681622 -941.758727969855</t>
  </si>
  <si>
    <t>-700.217938386834 85.5546155588356 -778.37124929811</t>
  </si>
  <si>
    <t>-632.649111902421 214.24186514624 -755.769578876767</t>
  </si>
  <si>
    <t>-415.359816194675 221.814446364726 -525.738914892593</t>
  </si>
  <si>
    <t>-178.861574212326 164.000761786965 -434.260726446253</t>
  </si>
  <si>
    <t>-719.360008365715 24.9853944008819 -781.262378428238</t>
  </si>
  <si>
    <t>-695.526984743889 153.69178200011 -241.963289872654</t>
  </si>
  <si>
    <t>-651.048954265831 163.79377632959 211.442970498264</t>
  </si>
  <si>
    <t>-630.836309651425 167.623029103366 680.901095301995</t>
  </si>
  <si>
    <t>-487.618471972528 107.522658810005 763.485020748637</t>
  </si>
  <si>
    <t>-759.67702105998 6.51659197792378 222.71527618438</t>
  </si>
  <si>
    <t>-792.690336345862 76.4298355519829 686.251111051999</t>
  </si>
  <si>
    <t>-679.609666637104 -29.1942057344183 769.916115931758</t>
  </si>
  <si>
    <t>9763-20170724T160602.723720500.bin</t>
  </si>
  <si>
    <t>-719.76857436742 59.7702030473154 -236.731898620863</t>
  </si>
  <si>
    <t>-738.148058211926 57.3444819402409 -356.415308236153</t>
  </si>
  <si>
    <t>-739.956824777232 56.1991100448099 -477.601040576121</t>
  </si>
  <si>
    <t>-734.737635768679 55.5002033256367 -586.995450945093</t>
  </si>
  <si>
    <t>-722.773393353171 55.0778421470761 -695.860116360832</t>
  </si>
  <si>
    <t>-699.13588445847 54.6996428684952 -846.329818452278</t>
  </si>
  <si>
    <t>-664.137242327565 46.8056847627897 -941.701497612385</t>
  </si>
  <si>
    <t>-700.012112057656 85.1486471654389 -778.322346318036</t>
  </si>
  <si>
    <t>-632.453499307499 213.979144820128 -756.750870826892</t>
  </si>
  <si>
    <t>-413.868902780024 222.75345646606 -527.993524105191</t>
  </si>
  <si>
    <t>-178.516611173027 163.885114898627 -434.260182621489</t>
  </si>
  <si>
    <t>-719.177407983645 24.5852953742121 -781.180917877711</t>
  </si>
  <si>
    <t>-696.397003109446 153.56325502134 -241.840192857907</t>
  </si>
  <si>
    <t>-651.463536624336 163.964299591211 211.514506945081</t>
  </si>
  <si>
    <t>-630.857071515449 167.679693186249 680.936519101213</t>
  </si>
  <si>
    <t>-487.603165372163 107.598813408465 763.472102034931</t>
  </si>
  <si>
    <t>-759.72925618512 6.36460960151157 222.689349985798</t>
  </si>
  <si>
    <t>-792.70673182751 76.3226520253943 686.229574125071</t>
  </si>
  <si>
    <t>-679.611075140925 -29.25963185102 769.927038566894</t>
  </si>
  <si>
    <t>9763-20170724T160602.795553600.bin</t>
  </si>
  <si>
    <t>-720.167870850082 59.7463761174199 -236.706246058664</t>
  </si>
  <si>
    <t>-738.504043439483 57.3612852937022 -356.39704819777</t>
  </si>
  <si>
    <t>-740.161962499073 56.3934407051634 -477.586520661064</t>
  </si>
  <si>
    <t>-734.762517522551 55.9050944497753 -586.973309604994</t>
  </si>
  <si>
    <t>-722.574127538437 55.7402925717413 -695.813852180347</t>
  </si>
  <si>
    <t>-698.579708267934 55.7662834664047 -846.227452474759</t>
  </si>
  <si>
    <t>-663.594372893169 48.2098535485079 -941.631464884467</t>
  </si>
  <si>
    <t>-699.645679091074 86.0417439905589 -778.145335090649</t>
  </si>
  <si>
    <t>-632.466243367317 215.130959314834 -756.996026313637</t>
  </si>
  <si>
    <t>-413.377250419131 224.142966876376 -528.730916241626</t>
  </si>
  <si>
    <t>-180.219230545237 174.555092246715 -424.70939954735</t>
  </si>
  <si>
    <t>-718.74721161608 25.4679402578331 -781.202835574859</t>
  </si>
  <si>
    <t>-697.209817194179 153.609020369012 -241.723227381563</t>
  </si>
  <si>
    <t>-651.692698502967 164.181817707893 211.569253505734</t>
  </si>
  <si>
    <t>-630.867725886344 167.780143875691 680.986984703069</t>
  </si>
  <si>
    <t>-487.552510595636 107.763440254931 763.462756509801</t>
  </si>
  <si>
    <t>-759.222445793978 6.01052666754481 222.686577049794</t>
  </si>
  <si>
    <t>-792.706150517263 76.1729574484493 686.181601920512</t>
  </si>
  <si>
    <t>-679.630219187236 -29.3715039136212 769.953393336412</t>
  </si>
  <si>
    <t>9763-20170724T160602.827639400.bin</t>
  </si>
  <si>
    <t>-720.131549645328 59.7650620590225 -236.706260840418</t>
  </si>
  <si>
    <t>-738.462888667471 57.4360133011851 -356.398966530285</t>
  </si>
  <si>
    <t>-740.080754056679 56.5198272976777 -477.589389131902</t>
  </si>
  <si>
    <t>-734.630779808401 56.0724937164068 -586.97381329501</t>
  </si>
  <si>
    <t>-722.377933922569 55.9405109056031 -695.807146087815</t>
  </si>
  <si>
    <t>-698.279629338615 56.0015870639411 -846.204095560764</t>
  </si>
  <si>
    <t>-663.182444570921 48.4579627722412 -941.568099299545</t>
  </si>
  <si>
    <t>-699.340751918742 86.2441694593756 -778.107294125348</t>
  </si>
  <si>
    <t>-632.084143087038 215.333039990794 -756.881133616388</t>
  </si>
  <si>
    <t>-415.785194759583 224.01111988896 -525.957771786336</t>
  </si>
  <si>
    <t>-184.544069691016 181.542525707674 -414.755087428556</t>
  </si>
  <si>
    <t>-718.544024691669 25.7049376441041 -781.208878913769</t>
  </si>
  <si>
    <t>-697.263395260661 153.608244493154 -241.690791000543</t>
  </si>
  <si>
    <t>-651.57053649449 164.265909091927 211.582114448116</t>
  </si>
  <si>
    <t>-630.856219623382 167.800367428497 680.994145264349</t>
  </si>
  <si>
    <t>-487.541707360087 107.768939120392 763.460494151618</t>
  </si>
  <si>
    <t>-759.032908202233 5.92286877542415 222.651609859922</t>
  </si>
  <si>
    <t>-792.701721611873 76.08999221408 686.137517139578</t>
  </si>
  <si>
    <t>-679.635622717575 -29.4240638858828 769.960876948868</t>
  </si>
  <si>
    <t>9763-20170724T160602.894395500.bin</t>
  </si>
  <si>
    <t>-719.824769593588 60.1236199622163 -236.750292098209</t>
  </si>
  <si>
    <t>-738.125626477417 57.9339739861739 -356.450276205644</t>
  </si>
  <si>
    <t>-739.82145485922 57.0750146572507 -477.639982522229</t>
  </si>
  <si>
    <t>-734.486649782748 56.6500589704253 -587.030092269705</t>
  </si>
  <si>
    <t>-722.393523709767 56.5142964393067 -695.881332748726</t>
  </si>
  <si>
    <t>-698.562989638973 56.5457545902927 -846.321107057163</t>
  </si>
  <si>
    <t>-663.580197925583 48.9519184163319 -941.723017785373</t>
  </si>
  <si>
    <t>-699.378521504937 86.7609918613559 -778.208760832698</t>
  </si>
  <si>
    <t>-632.332807094515 215.755121926927 -756.15381583662</t>
  </si>
  <si>
    <t>-425.034478482318 224.482223516494 -517.119667389823</t>
  </si>
  <si>
    <t>-200.095922116208 191.248007478197 -390.864947718406</t>
  </si>
  <si>
    <t>-718.836059653315 26.3026092280304 -781.303556846725</t>
  </si>
  <si>
    <t>-696.572533947045 153.76865965993 -241.712982799719</t>
  </si>
  <si>
    <t>-650.920157390777 164.2297520198 211.56851849231</t>
  </si>
  <si>
    <t>-630.816130080673 167.839451273327 680.996784468355</t>
  </si>
  <si>
    <t>-487.564650114168 107.6964618195 763.491285188675</t>
  </si>
  <si>
    <t>-758.632800387719 5.83654136989685 222.61823265961</t>
  </si>
  <si>
    <t>-792.694673642087 75.9415023003842 686.043532721396</t>
  </si>
  <si>
    <t>-679.667374548165 -29.5369997032067 769.963909180756</t>
  </si>
  <si>
    <t>9763-20170724T160602.928486900.bin</t>
  </si>
  <si>
    <t>-719.501784400457 60.3638339663444 -236.824745118745</t>
  </si>
  <si>
    <t>-737.849428076905 58.2211086753382 -356.518375121484</t>
  </si>
  <si>
    <t>-739.706270734898 57.3591072104721 -477.705679826206</t>
  </si>
  <si>
    <t>-734.563481706532 56.9188208209132 -587.104955894889</t>
  </si>
  <si>
    <t>-722.707888506524 56.7607529432537 -695.982295675311</t>
  </si>
  <si>
    <t>-699.254312775522 56.7582248635354 -846.481254960351</t>
  </si>
  <si>
    <t>-664.343080568304 49.0399021253943 -941.899374476672</t>
  </si>
  <si>
    <t>-699.880577306884 86.9828446605759 -778.37098618864</t>
  </si>
  <si>
    <t>-633.223164353539 216.185791550651 -756.157043468747</t>
  </si>
  <si>
    <t>-431.997082871379 224.344904312528 -511.969283656024</t>
  </si>
  <si>
    <t>-210.498237455173 188.233858357677 -380.529865140524</t>
  </si>
  <si>
    <t>-719.382916135146 26.5359517987861 -781.409271362699</t>
  </si>
  <si>
    <t>-695.974572413948 153.967080489633 -241.773420397144</t>
  </si>
  <si>
    <t>-650.443057504298 164.226917151778 211.524731337242</t>
  </si>
  <si>
    <t>-630.780525857808 167.916884186693 680.982562120142</t>
  </si>
  <si>
    <t>-487.619400020662 107.612344419642 763.515990120067</t>
  </si>
  <si>
    <t>-758.670894478464 5.91959373773307 222.569824527472</t>
  </si>
  <si>
    <t>-792.697169473411 75.8591568021427 686.012954343512</t>
  </si>
  <si>
    <t>-679.700416465235 -29.6099286498652 769.986259453504</t>
  </si>
  <si>
    <t>9763-20170724T160603.000695200.bin</t>
  </si>
  <si>
    <t>-718.910846536327 61.0358238742949 -236.919223853287</t>
  </si>
  <si>
    <t>-737.305366451736 58.9927449660345 -356.607417232978</t>
  </si>
  <si>
    <t>-739.388712500069 58.0175896323617 -477.79027625136</t>
  </si>
  <si>
    <t>-734.524319419087 57.3935921422301 -587.201486450357</t>
  </si>
  <si>
    <t>-723.02027585295 56.9742008429121 -696.115755161292</t>
  </si>
  <si>
    <t>-700.13097538449 56.5304275392957 -846.700786326296</t>
  </si>
  <si>
    <t>-665.363131866466 48.3139047607692 -942.129834990884</t>
  </si>
  <si>
    <t>-700.388863254969 86.9168182720064 -778.660365356594</t>
  </si>
  <si>
    <t>-633.655009371682 215.996041229844 -756.163957002133</t>
  </si>
  <si>
    <t>-445.562082397562 221.113344146952 -501.642761990073</t>
  </si>
  <si>
    <t>-239.008827527584 173.462697671268 -350.953588643513</t>
  </si>
  <si>
    <t>-720.12874457642 26.5366972646807 -781.48292829249</t>
  </si>
  <si>
    <t>-694.768228174642 154.676903597296 -241.922582373628</t>
  </si>
  <si>
    <t>-649.551958903223 164.294456749946 211.421202461799</t>
  </si>
  <si>
    <t>-630.700893928517 168.077424680165 680.929920319774</t>
  </si>
  <si>
    <t>-487.696388283735 107.482611465083 763.522219619152</t>
  </si>
  <si>
    <t>-758.718447621653 6.30179618600437 222.513283283634</t>
  </si>
  <si>
    <t>-792.719019566255 75.6919879603677 686.002151975472</t>
  </si>
  <si>
    <t>-679.732667850775 -29.7270294980478 770.052305479317</t>
  </si>
  <si>
    <t>9763-20170724T160603.023754200.bin</t>
  </si>
  <si>
    <t>-718.656971493782 61.5600719580123 -236.972171305508</t>
  </si>
  <si>
    <t>-737.14745466153 59.5982176386424 -356.647020609136</t>
  </si>
  <si>
    <t>-739.477930186692 58.5311683651041 -477.824621310564</t>
  </si>
  <si>
    <t>-734.898141644871 57.7543182740258 -587.247080208756</t>
  </si>
  <si>
    <t>-723.739742209125 57.1122430259641 -696.196250767777</t>
  </si>
  <si>
    <t>-701.393256313492 56.2869965256361 -846.861254550679</t>
  </si>
  <si>
    <t>-666.776590410304 47.7056819688214 -942.313014032604</t>
  </si>
  <si>
    <t>-701.353107270525 86.8279253598339 -778.889513142331</t>
  </si>
  <si>
    <t>-634.547528873612 215.873349771923 -756.089699569218</t>
  </si>
  <si>
    <t>-455.900589271813 212.497577178444 -494.823445492987</t>
  </si>
  <si>
    <t>-258.077051493013 157.582856903807 -335.16043376148</t>
  </si>
  <si>
    <t>-721.208669038944 26.4763468044628 -781.503832897361</t>
  </si>
  <si>
    <t>-694.383455115349 155.182189412744 -241.934189425075</t>
  </si>
  <si>
    <t>-649.297249774382 164.487554931004 211.429092224882</t>
  </si>
  <si>
    <t>-630.690118291305 168.087164316399 680.929115118233</t>
  </si>
  <si>
    <t>-487.656963160303 107.5523347973 763.51581237976</t>
  </si>
  <si>
    <t>-758.43597872777 6.50199195832693 222.49229466078</t>
  </si>
  <si>
    <t>-792.704604343 75.6669396114055 686.02987269922</t>
  </si>
  <si>
    <t>-679.735106170306 -29.7655487120012 770.085775844176</t>
  </si>
  <si>
    <t>9763-20170724T160603.058847100.bin</t>
  </si>
  <si>
    <t>-718.511344530595 62.2386442591892 -236.989060254251</t>
  </si>
  <si>
    <t>-737.086952149179 60.3197785420969 -356.651354784367</t>
  </si>
  <si>
    <t>-739.667237918454 59.225334283213 -477.823589702895</t>
  </si>
  <si>
    <t>-735.379123408211 58.3922766630924 -587.257576876726</t>
  </si>
  <si>
    <t>-724.577381544407 57.6607264664156 -696.242072749279</t>
  </si>
  <si>
    <t>-702.793141642641 56.6749189777363 -846.98846423114</t>
  </si>
  <si>
    <t>-668.31091247877 47.7726454802801 -942.45945794568</t>
  </si>
  <si>
    <t>-702.450477795939 87.2718116826256 -779.042710474681</t>
  </si>
  <si>
    <t>-635.432929296829 215.965752624545 -755.414556729391</t>
  </si>
  <si>
    <t>-465.5472157288 202.327043487356 -488.695701557431</t>
  </si>
  <si>
    <t>-276.17841668163 137.277593817515 -322.713368363061</t>
  </si>
  <si>
    <t>-722.413488641665 26.9504285343639 -781.533175662936</t>
  </si>
  <si>
    <t>-694.264164193851 155.862349337065 -241.919162870257</t>
  </si>
  <si>
    <t>-649.113335359543 164.842417267466 211.444242663703</t>
  </si>
  <si>
    <t>-630.683596728638 168.140465045361 680.943965961907</t>
  </si>
  <si>
    <t>-487.616308022432 107.658325027614 763.510122433107</t>
  </si>
  <si>
    <t>-758.12543535851 6.76982854055677 222.504533954924</t>
  </si>
  <si>
    <t>-792.681995316451 75.6703899364388 686.078382550926</t>
  </si>
  <si>
    <t>-679.704332088789 -29.7678258189712 770.116114668769</t>
  </si>
  <si>
    <t>9763-20170724T160603.125065400.bin</t>
  </si>
  <si>
    <t>-718.198109755799 64.2053956715874 -237.001467173011</t>
  </si>
  <si>
    <t>-736.872664889558 62.2990155814778 -356.648635279817</t>
  </si>
  <si>
    <t>-739.917817267586 61.215313060773 -477.810142626164</t>
  </si>
  <si>
    <t>-736.195578667483 60.3784526199256 -587.264583640305</t>
  </si>
  <si>
    <t>-726.10278169469 59.6220671716992 -696.317047343304</t>
  </si>
  <si>
    <t>-705.450526790276 58.5725361760526 -847.222217208224</t>
  </si>
  <si>
    <t>-671.241318935082 49.1947236253452 -942.745859344127</t>
  </si>
  <si>
    <t>-704.468740486414 89.1542682019065 -779.27582235454</t>
  </si>
  <si>
    <t>-636.452174251456 216.930204674381 -753.418752890057</t>
  </si>
  <si>
    <t>-483.380497153974 179.888307023793 -478.858840382367</t>
  </si>
  <si>
    <t>-303.678029581265 92.4653339295248 -312.406748670081</t>
  </si>
  <si>
    <t>-724.708371900122 28.9194627831739 -781.626901817395</t>
  </si>
  <si>
    <t>-694.07362757842 158.005326871476 -241.920099450682</t>
  </si>
  <si>
    <t>-649.158615105767 166.086833551256 211.483745171279</t>
  </si>
  <si>
    <t>-630.678777027258 168.253760942476 680.985207872079</t>
  </si>
  <si>
    <t>-487.526839034799 107.86281576885 763.471359532865</t>
  </si>
  <si>
    <t>-757.602109984547 7.69987382594741 222.534591555931</t>
  </si>
  <si>
    <t>-792.617885195599 75.7297972642048 686.204921963251</t>
  </si>
  <si>
    <t>-679.696588961968 -29.8271707768242 770.169288565521</t>
  </si>
  <si>
    <t>9763-20170724T160603.190639200.bin</t>
  </si>
  <si>
    <t>-717.923073995222 66.4285119033459 -237.032604225308</t>
  </si>
  <si>
    <t>-736.699565506204 64.4199162703364 -356.66198572427</t>
  </si>
  <si>
    <t>-740.006158114656 63.3472722011995 -477.816704741854</t>
  </si>
  <si>
    <t>-736.582226202327 62.5591618781 -587.281461264287</t>
  </si>
  <si>
    <t>-726.847881149927 61.8859223475308 -696.366926036582</t>
  </si>
  <si>
    <t>-706.754912562306 60.9836149156513 -847.348516059474</t>
  </si>
  <si>
    <t>-672.592950944513 51.4598174007563 -942.874763073871</t>
  </si>
  <si>
    <t>-705.461086153757 91.4785135906934 -779.36838582351</t>
  </si>
  <si>
    <t>-636.717307306927 218.752539187601 -752.556921620781</t>
  </si>
  <si>
    <t>-495.640352588754 164.638468890296 -474.429021489871</t>
  </si>
  <si>
    <t>-321.125768635098 58.7608863867158 -313.256259005571</t>
  </si>
  <si>
    <t>-725.829755192948 31.2872223039662 -781.719317559145</t>
  </si>
  <si>
    <t>-693.897465448445 160.353691184696 -241.990670253052</t>
  </si>
  <si>
    <t>-649.279886592548 167.435894982186 211.459142200701</t>
  </si>
  <si>
    <t>-630.680474881485 168.482671154956 681.008467931596</t>
  </si>
  <si>
    <t>-487.570598324877 107.851466020384 763.391304286833</t>
  </si>
  <si>
    <t>-757.353570327364 8.84980698626259 222.617694275842</t>
  </si>
  <si>
    <t>-792.560401281177 75.8273773456251 686.40267227888</t>
  </si>
  <si>
    <t>-679.6616202712 -29.8543351630026 770.240322247282</t>
  </si>
  <si>
    <t>9763-20170724T160603.229117200.bin</t>
  </si>
  <si>
    <t>-717.865506402004 67.4677768541605 -237.013068964877</t>
  </si>
  <si>
    <t>-736.705550534155 65.4168492302433 -356.631865490908</t>
  </si>
  <si>
    <t>-740.144659284219 64.2692129961249 -477.782200421558</t>
  </si>
  <si>
    <t>-736.868356188338 63.3990336618513 -587.250791245913</t>
  </si>
  <si>
    <t>-727.308717859801 62.6294658638153 -696.35101416692</t>
  </si>
  <si>
    <t>-707.486564466243 61.5777544646305 -847.367511150698</t>
  </si>
  <si>
    <t>-673.317564276183 51.9717535500802 -942.882955938157</t>
  </si>
  <si>
    <t>-706.049215674794 92.1324741338149 -779.417070725169</t>
  </si>
  <si>
    <t>-636.989283926759 219.162122689548 -752.530048340831</t>
  </si>
  <si>
    <t>-502.41768848437 156.986845811311 -472.867904985601</t>
  </si>
  <si>
    <t>-328.757683357551 44.5250907784957 -315.271514533162</t>
  </si>
  <si>
    <t>-726.465260243413 31.9537696744474 -781.677706430896</t>
  </si>
  <si>
    <t>-693.757812513412 161.518054171779 -242.005158843527</t>
  </si>
  <si>
    <t>-649.372245619606 168.09076812025 211.475156218923</t>
  </si>
  <si>
    <t>-630.690913105499 168.678933838481 681.031944586102</t>
  </si>
  <si>
    <t>-487.644371805448 107.811915916772 763.350892948455</t>
  </si>
  <si>
    <t>-757.527110292494 9.41097402280138 222.697174033318</t>
  </si>
  <si>
    <t>-792.556572352002 75.8715537448493 686.543915638241</t>
  </si>
  <si>
    <t>-679.641949902834 -29.8607610615943 770.296392208096</t>
  </si>
  <si>
    <t>9763-20170724T160603.263205800.bin</t>
  </si>
  <si>
    <t>-717.889963706562 68.5344345643739 -236.974108725488</t>
  </si>
  <si>
    <t>-736.822097213726 66.4498227641432 -356.577746629981</t>
  </si>
  <si>
    <t>-740.400918537725 65.2068053815742 -477.723192634764</t>
  </si>
  <si>
    <t>-737.26969713707 64.2261969919291 -587.194892251368</t>
  </si>
  <si>
    <t>-727.874295868306 63.3215374040874 -696.30843758589</t>
  </si>
  <si>
    <t>-708.299904032867 62.0568073407101 -847.355550853031</t>
  </si>
  <si>
    <t>-674.150178808945 52.3407227493947 -942.866779471876</t>
  </si>
  <si>
    <t>-706.744993531805 92.7051238357062 -779.449990295099</t>
  </si>
  <si>
    <t>-637.614049067068 219.67492578257 -752.700098094403</t>
  </si>
  <si>
    <t>-507.938996230632 150.185397885877 -472.446992611335</t>
  </si>
  <si>
    <t>-334.977055595886 31.406690308339 -318.766045581379</t>
  </si>
  <si>
    <t>-727.17696028259 32.5276724201872 -781.59390594773</t>
  </si>
  <si>
    <t>-693.696528530885 162.825358021449 -242.003415349264</t>
  </si>
  <si>
    <t>-649.657524536901 168.831581860781 211.518600122726</t>
  </si>
  <si>
    <t>-630.717799310295 168.847372019619 681.072978779708</t>
  </si>
  <si>
    <t>-487.788704512089 107.610619658501 763.32168176988</t>
  </si>
  <si>
    <t>-757.815010086345 10.0318947533308 222.788782308146</t>
  </si>
  <si>
    <t>-792.552396477344 75.9215876061896 686.710730651173</t>
  </si>
  <si>
    <t>-679.613902332579 -29.858056097791 770.371222531119</t>
  </si>
  <si>
    <t>9763-20170724T160603.333917900.bin</t>
  </si>
  <si>
    <t>-718.009826866626 69.4958006378599 -236.899676527428</t>
  </si>
  <si>
    <t>-737.027181201372 67.3836459391121 -356.489278823548</t>
  </si>
  <si>
    <t>-740.737480586538 66.0598519934667 -477.629991442265</t>
  </si>
  <si>
    <t>-737.743780608186 64.984791198433 -587.104720964111</t>
  </si>
  <si>
    <t>-728.504313376025 63.9644292667522 -696.230519462125</t>
  </si>
  <si>
    <t>-709.165780481501 62.5166336721215 -847.306463793819</t>
  </si>
  <si>
    <t>-675.037519016261 52.7049185709045 -942.815585313286</t>
  </si>
  <si>
    <t>-707.503972925678 93.2468923473957 -779.440360873201</t>
  </si>
  <si>
    <t>-638.330385591681 220.274088175651 -752.900456895718</t>
  </si>
  <si>
    <t>-513.040874739327 143.430547344691 -472.572384271303</t>
  </si>
  <si>
    <t>-340.064819377758 18.7501590632571 -323.655874553597</t>
  </si>
  <si>
    <t>-727.941117463863 33.0674328824982 -781.479703870457</t>
  </si>
  <si>
    <t>-693.755016929551 164.065682859664 -241.981800772419</t>
  </si>
  <si>
    <t>-650.145199249937 169.493484501094 211.589064352284</t>
  </si>
  <si>
    <t>-630.754164573821 169.001830147442 681.121267989003</t>
  </si>
  <si>
    <t>-487.893193619683 107.499949224381 763.290461972285</t>
  </si>
  <si>
    <t>-758.198892865675 10.6909030546731 222.884708472727</t>
  </si>
  <si>
    <t>-792.542594393355 75.9820999868118 686.896382617101</t>
  </si>
  <si>
    <t>-679.567924540998 -29.833638042152 770.462335714652</t>
  </si>
  <si>
    <t>9763-20170724T160603.390568700.bin</t>
  </si>
  <si>
    <t>-717.399634419794 71.6396416353975 -236.725428480821</t>
  </si>
  <si>
    <t>-736.551317390545 69.4817117279877 -356.292847252322</t>
  </si>
  <si>
    <t>-740.529236903343 68.2012810448043 -477.425389334509</t>
  </si>
  <si>
    <t>-737.82925626259 67.198778977918 -586.908610074398</t>
  </si>
  <si>
    <t>-728.933554744099 66.2827601547747 -696.063797400326</t>
  </si>
  <si>
    <t>-710.123672645261 65.0113152020569 -847.208046753396</t>
  </si>
  <si>
    <t>-676.124255288483 55.1490552013906 -942.757861068249</t>
  </si>
  <si>
    <t>-708.239972925399 95.6678042287681 -779.314418777562</t>
  </si>
  <si>
    <t>-638.994884737641 222.741608600297 -753.172429634395</t>
  </si>
  <si>
    <t>-525.905875257337 127.627201068045 -473.261264676516</t>
  </si>
  <si>
    <t>-728.65291493073 35.4800228091508 -781.348539618401</t>
  </si>
  <si>
    <t>-693.132735345656 166.469022738285 -241.883831169838</t>
  </si>
  <si>
    <t>-651.648658433918 171.273085592875 211.89328354342</t>
  </si>
  <si>
    <t>-630.87904048585 169.326794251491 681.304291910864</t>
  </si>
  <si>
    <t>-488.126671305766 107.250956273008 763.230210221416</t>
  </si>
  <si>
    <t>-757.716743870934 11.842180078643 223.195119680531</t>
  </si>
  <si>
    <t>-792.412674960139 76.2245570415062 687.335054302423</t>
  </si>
  <si>
    <t>-679.419946997723 -29.7628778477369 770.65861723105</t>
  </si>
  <si>
    <t>9763-20170724T160603.423238000.bin</t>
  </si>
  <si>
    <t>-716.654441527735 71.918928402426 -236.70672492458</t>
  </si>
  <si>
    <t>-735.843094464592 69.7567109410043 -356.268104321138</t>
  </si>
  <si>
    <t>-739.87752126219 68.4901525892165 -477.399010552948</t>
  </si>
  <si>
    <t>-737.235941420012 67.5048511623934 -586.883665058726</t>
  </si>
  <si>
    <t>-728.405807118342 66.6087704743945 -696.044501088141</t>
  </si>
  <si>
    <t>-709.693895245934 65.3667878223232 -847.201074640974</t>
  </si>
  <si>
    <t>-675.72128407021 55.4628013203635 -942.756142333845</t>
  </si>
  <si>
    <t>-707.766947997125 96.0103147829757 -779.302776712738</t>
  </si>
  <si>
    <t>-638.480751251824 223.115239643606 -753.454141426012</t>
  </si>
  <si>
    <t>-529.329664215947 123.402510657957 -473.579879706122</t>
  </si>
  <si>
    <t>-728.179724527453 35.8223340765028 -781.335065753268</t>
  </si>
  <si>
    <t>-692.404165539359 166.763451131068 -241.89228498187</t>
  </si>
  <si>
    <t>-651.736153376567 171.578171612373 211.958536271383</t>
  </si>
  <si>
    <t>-630.907977695725 169.39712075691 681.354276131869</t>
  </si>
  <si>
    <t>-488.104678614853 107.328887934965 763.197255512797</t>
  </si>
  <si>
    <t>-757.104092537159 12.001603789382 223.256935406229</t>
  </si>
  <si>
    <t>-792.353575821538 76.3011117223621 687.406353412002</t>
  </si>
  <si>
    <t>-679.384129790533 -29.7514540210445 770.678626964746</t>
  </si>
  <si>
    <t>9763-20170724T160603.495016400.bin</t>
  </si>
  <si>
    <t>-714.620944713443 72.4043240761571 -236.702270394157</t>
  </si>
  <si>
    <t>-733.759903570337 70.2205542461413 -356.271213504442</t>
  </si>
  <si>
    <t>-737.734868540471 68.9642195501433 -477.404202699561</t>
  </si>
  <si>
    <t>-735.035202796148 67.9966770644171 -586.887654970896</t>
  </si>
  <si>
    <t>-726.142877626977 67.1237240931112 -696.043531288944</t>
  </si>
  <si>
    <t>-707.340393858681 65.9168162058793 -847.189219799312</t>
  </si>
  <si>
    <t>-673.343249440481 55.9924344564163 -942.733406184875</t>
  </si>
  <si>
    <t>-705.436543515703 96.5384927010834 -779.280417802951</t>
  </si>
  <si>
    <t>-636.061013439895 223.682156042424 -753.921275480458</t>
  </si>
  <si>
    <t>-534.307399434115 117.648394802814 -473.583512193992</t>
  </si>
  <si>
    <t>-725.88325144664 36.3632059450915 -781.343476003742</t>
  </si>
  <si>
    <t>-690.486833970692 167.303607551071 -241.913820752811</t>
  </si>
  <si>
    <t>-651.388543943846 172.025898605194 212.075907174769</t>
  </si>
  <si>
    <t>-630.961974368192 169.42483232365 681.45123825596</t>
  </si>
  <si>
    <t>-488.107872229537 107.358169917967 763.206619577661</t>
  </si>
  <si>
    <t>-755.091255740304 11.8684327215406 223.357790901993</t>
  </si>
  <si>
    <t>-792.204185838581 76.442016180614 687.406559337381</t>
  </si>
  <si>
    <t>-679.325102716138 -29.765459605622 770.60389925905</t>
  </si>
  <si>
    <t>9763-20170724T160603.522085100.bin</t>
  </si>
  <si>
    <t>-713.441550472561 72.6404615225067 -236.683879068197</t>
  </si>
  <si>
    <t>-732.691347901656 70.4332683799801 -356.234570918348</t>
  </si>
  <si>
    <t>-736.678782188382 69.1692364790629 -477.366936498886</t>
  </si>
  <si>
    <t>-733.950305661343 68.2004191270005 -586.849776013014</t>
  </si>
  <si>
    <t>-724.98894731775 67.3318519031554 -696.000107630565</t>
  </si>
  <si>
    <t>-706.049052728293 66.1364989764559 -847.128642726766</t>
  </si>
  <si>
    <t>-672.025217011862 56.212132103411 -942.663376737104</t>
  </si>
  <si>
    <t>-704.213605639874 96.7553239221932 -779.216647851577</t>
  </si>
  <si>
    <t>-634.898141134256 223.993776789468 -754.053210564931</t>
  </si>
  <si>
    <t>-536.744108282098 114.334674177093 -473.826901379771</t>
  </si>
  <si>
    <t>-724.64508143123 36.575546394037 -781.30126601192</t>
  </si>
  <si>
    <t>-689.435652937005 167.511593544894 -241.933269868483</t>
  </si>
  <si>
    <t>-650.884090227985 172.122057879615 212.104377681074</t>
  </si>
  <si>
    <t>-630.97488949447 169.470257528111 681.491396756437</t>
  </si>
  <si>
    <t>-488.128827497654 107.373376173834 763.237873330822</t>
  </si>
  <si>
    <t>-753.802945151066 11.6782812451825 223.44509546489</t>
  </si>
  <si>
    <t>-792.124774209805 76.5261494395263 687.380478734447</t>
  </si>
  <si>
    <t>-679.302344561484 -29.7770036801064 770.532446322715</t>
  </si>
  <si>
    <t>9763-20170724T160603.589767200.bin</t>
  </si>
  <si>
    <t>-710.594699235101 72.928163806713 -236.595621786838</t>
  </si>
  <si>
    <t>-730.178186809398 70.5636063455661 -356.08914829084</t>
  </si>
  <si>
    <t>-734.337297762232 69.2090315196194 -477.214770884499</t>
  </si>
  <si>
    <t>-731.696057705007 68.1821497090791 -586.699253716562</t>
  </si>
  <si>
    <t>-722.753748034495 67.2767399798527 -695.850708304922</t>
  </si>
  <si>
    <t>-703.769256137377 66.050314985529 -846.97356760245</t>
  </si>
  <si>
    <t>-669.67804033176 56.0807398111397 -942.479495840643</t>
  </si>
  <si>
    <t>-701.942808572506 96.6791349159205 -779.065900782949</t>
  </si>
  <si>
    <t>-632.665782241928 224.103986693866 -754.882509145541</t>
  </si>
  <si>
    <t>-540.588106397028 110.216512303059 -474.280295609538</t>
  </si>
  <si>
    <t>-722.395928578041 36.5066530920003 -781.146886216063</t>
  </si>
  <si>
    <t>-686.666332769461 167.955576679791 -242.045029546465</t>
  </si>
  <si>
    <t>-649.463518511061 172.008727887247 212.11053264233</t>
  </si>
  <si>
    <t>-631.032110061614 169.458829417102 681.571283115177</t>
  </si>
  <si>
    <t>-488.253528038923 107.196940319245 763.310178976434</t>
  </si>
  <si>
    <t>-750.566479435343 11.227710239441 223.767767562109</t>
  </si>
  <si>
    <t>-791.917130005621 76.7495325780308 687.353306661367</t>
  </si>
  <si>
    <t>-679.240507408924 -29.7900660487126 770.400321163527</t>
  </si>
  <si>
    <t>9763-20170724T160603.629381600.bin</t>
  </si>
  <si>
    <t>-708.861053479399 73.0691755853084 -236.510336698989</t>
  </si>
  <si>
    <t>-728.69956699812 70.6202765459639 -355.96002626863</t>
  </si>
  <si>
    <t>-733.027626294898 69.2163248873705 -477.079273077929</t>
  </si>
  <si>
    <t>-730.502450545811 68.1516157290805 -586.565985574752</t>
  </si>
  <si>
    <t>-721.639232037161 67.210542118821 -695.723702561738</t>
  </si>
  <si>
    <t>-702.726120027576 65.932663240179 -846.854907500975</t>
  </si>
  <si>
    <t>-668.630562241776 55.8637740234678 -942.34891067229</t>
  </si>
  <si>
    <t>-700.807162163997 96.5639076025791 -778.950898949821</t>
  </si>
  <si>
    <t>-631.137160441624 223.952740275729 -755.586266465194</t>
  </si>
  <si>
    <t>-542.317528079494 108.238871887559 -474.681448740132</t>
  </si>
  <si>
    <t>-721.381985104726 36.4322931638244 -781.017266595973</t>
  </si>
  <si>
    <t>-685.059667561417 168.257567378552 -242.073721040052</t>
  </si>
  <si>
    <t>-648.552086519298 171.909820119002 212.141518089358</t>
  </si>
  <si>
    <t>-631.06725963647 169.49547802055 681.626819630056</t>
  </si>
  <si>
    <t>-488.37532884576 107.041308423412 763.370264399348</t>
  </si>
  <si>
    <t>-748.545959193927 10.9621659011534 223.978250254594</t>
  </si>
  <si>
    <t>-791.784162163576 76.89410449923 687.338197335077</t>
  </si>
  <si>
    <t>-679.196160015468 -29.7782471109681 770.334956463009</t>
  </si>
  <si>
    <t>9763-20170724T160603.692562200.bin</t>
  </si>
  <si>
    <t>-705.006515263929 72.8323929085395 -236.384495714304</t>
  </si>
  <si>
    <t>-725.366744486856 70.2209204710389 -355.743076295152</t>
  </si>
  <si>
    <t>-730.227103852056 68.7860346651271 -476.841746238315</t>
  </si>
  <si>
    <t>-728.182078019205 67.728441030253 -586.338490305225</t>
  </si>
  <si>
    <t>-719.795478474171 66.8185395380849 -695.534073734366</t>
  </si>
  <si>
    <t>-701.539775034997 65.5986130765489 -846.74672065202</t>
  </si>
  <si>
    <t>-667.549433110375 55.295993131755 -942.253334046249</t>
  </si>
  <si>
    <t>-699.189390074983 96.1561806171246 -778.823121887446</t>
  </si>
  <si>
    <t>-628.800350457893 223.411127523524 -757.008832220481</t>
  </si>
  <si>
    <t>-544.264537701121 104.243981854902 -476.225938819595</t>
  </si>
  <si>
    <t>-720.045384828016 36.1205357248225 -780.856716022005</t>
  </si>
  <si>
    <t>-681.584092486529 168.226417577679 -242.151153682203</t>
  </si>
  <si>
    <t>-646.518474085391 171.346531775209 212.181649215763</t>
  </si>
  <si>
    <t>-631.084935807344 169.402722525878 681.655466597427</t>
  </si>
  <si>
    <t>-488.348380619688 107.078966992204 763.42064542364</t>
  </si>
  <si>
    <t>-744.114423109638 10.4636034814005 224.330345011362</t>
  </si>
  <si>
    <t>-791.453243108763 77.1810605013654 687.199059079096</t>
  </si>
  <si>
    <t>-679.08735756111 -29.7486417604625 770.165666792663</t>
  </si>
  <si>
    <t>9763-20170724T160603.725652200.bin</t>
  </si>
  <si>
    <t>-702.756248473821 72.5790586066983 -236.338791983634</t>
  </si>
  <si>
    <t>-723.286638473399 69.8731215904115 -355.665906216213</t>
  </si>
  <si>
    <t>-728.356424298434 68.4476318890841 -476.756143666672</t>
  </si>
  <si>
    <t>-726.513600012685 67.4285529142353 -586.256903574356</t>
  </si>
  <si>
    <t>-718.340643114591 66.579895427016 -695.469242596708</t>
  </si>
  <si>
    <t>-700.39295319417 65.4618615740801 -846.719432116532</t>
  </si>
  <si>
    <t>-666.464242674149 55.0416442362769 -942.235194159362</t>
  </si>
  <si>
    <t>-697.789873442513 95.9332435912706 -778.766271351347</t>
  </si>
  <si>
    <t>-626.69326615903 222.892437746738 -757.492176873265</t>
  </si>
  <si>
    <t>-545.198175786395 101.090973323283 -476.940699575903</t>
  </si>
  <si>
    <t>-718.878683471447 35.9798011958201 -780.825504188726</t>
  </si>
  <si>
    <t>-679.425925498319 167.974875094149 -242.200875693676</t>
  </si>
  <si>
    <t>-645.544807259836 171.130983933264 212.221676874351</t>
  </si>
  <si>
    <t>-631.094602420495 169.383451240395 681.679893972731</t>
  </si>
  <si>
    <t>-488.34460999251 107.108758556455 763.458972179342</t>
  </si>
  <si>
    <t>-741.679053449911 10.1251974038223 224.501352878906</t>
  </si>
  <si>
    <t>-791.250088949711 77.3706636409599 687.101407838284</t>
  </si>
  <si>
    <t>-679.027301785765 -29.728152877236 770.043578760894</t>
  </si>
  <si>
    <t>9763-20170724T160603.800207800.bin</t>
  </si>
  <si>
    <t>-697.736512650991 71.6434567412957 -236.241493419717</t>
  </si>
  <si>
    <t>-718.688071233961 68.7494282139878 -355.491018836518</t>
  </si>
  <si>
    <t>-724.075364277612 67.3368437237518 -476.567544494636</t>
  </si>
  <si>
    <t>-722.471637313115 66.3897970572637 -586.072704521146</t>
  </si>
  <si>
    <t>-714.487759312009 65.6607687853571 -695.299928607403</t>
  </si>
  <si>
    <t>-696.749074425922 64.7475098244904 -846.576282190191</t>
  </si>
  <si>
    <t>-662.943160759475 54.1661402515717 -942.117785687191</t>
  </si>
  <si>
    <t>-693.818803950893 95.0429231499472 -778.55768288748</t>
  </si>
  <si>
    <t>-621.303083718082 221.296756029312 -757.984531610146</t>
  </si>
  <si>
    <t>-542.661341618206 97.2377674947761 -477.60800705577</t>
  </si>
  <si>
    <t>-715.376944951979 35.2603188298126 -780.724668569783</t>
  </si>
  <si>
    <t>-674.510701887086 166.854826057863 -242.364954088302</t>
  </si>
  <si>
    <t>-642.99211935943 170.464836778955 212.224188619237</t>
  </si>
  <si>
    <t>-631.08136273075 169.363619580843 681.703442989134</t>
  </si>
  <si>
    <t>-488.277726224041 107.2514072284 763.512399133509</t>
  </si>
  <si>
    <t>-736.261781307175 9.04806997192895 224.882488811068</t>
  </si>
  <si>
    <t>-790.812872509772 77.7907468943786 686.766413286574</t>
  </si>
  <si>
    <t>-678.918901190169 -29.70183312361 769.643401769264</t>
  </si>
  <si>
    <t>9763-20170724T160603.826276800.bin</t>
  </si>
  <si>
    <t>-695.001301486143 71.0337343686986 -236.24679803408</t>
  </si>
  <si>
    <t>-716.119418405335 68.057505851516 -355.465038024164</t>
  </si>
  <si>
    <t>-721.654072403805 66.6443825020945 -476.535057377778</t>
  </si>
  <si>
    <t>-720.173294293021 65.723548391675 -586.042181506228</t>
  </si>
  <si>
    <t>-712.300956972776 65.0438106966774 -695.277829861815</t>
  </si>
  <si>
    <t>-694.704814806715 64.2194601479368 -846.571166446887</t>
  </si>
  <si>
    <t>-660.954200254433 53.6299644178155 -942.131310075367</t>
  </si>
  <si>
    <t>-691.61061728851 94.4382362934907 -778.525756807851</t>
  </si>
  <si>
    <t>-618.370639875173 220.332040169511 -758.029847805318</t>
  </si>
  <si>
    <t>-540.490641237334 95.8781535267533 -477.615599538373</t>
  </si>
  <si>
    <t>-713.370527331569 34.7301540728486 -780.731130102313</t>
  </si>
  <si>
    <t>-671.813355516339 166.162692339779 -242.481163153761</t>
  </si>
  <si>
    <t>-641.487949716019 170.007231077144 212.187076708902</t>
  </si>
  <si>
    <t>-631.061336118448 169.305113283865 681.687531930861</t>
  </si>
  <si>
    <t>-488.237465671357 107.307896158133 763.548346647075</t>
  </si>
  <si>
    <t>-732.997502354838 8.22671004842096 225.071877219459</t>
  </si>
  <si>
    <t>-790.588142462799 77.9987881562186 686.461018402654</t>
  </si>
  <si>
    <t>-678.881532768789 -29.6958089356172 769.328500833344</t>
  </si>
  <si>
    <t>9763-20170724T160603.858362200.bin</t>
  </si>
  <si>
    <t>-692.106822195483 70.4245476005042 -236.227502200552</t>
  </si>
  <si>
    <t>-713.433731583859 67.4207130475936 -355.40783815607</t>
  </si>
  <si>
    <t>-719.02526880619 66.0232533258309 -476.475396984443</t>
  </si>
  <si>
    <t>-717.53296372874 65.1284477040758 -585.982581857239</t>
  </si>
  <si>
    <t>-709.585555311426 64.4840203157639 -695.212918342074</t>
  </si>
  <si>
    <t>-691.819776590097 63.7147870311703 -846.486892490217</t>
  </si>
  <si>
    <t>-658.021942522608 53.1320615028819 -942.031135093115</t>
  </si>
  <si>
    <t>-688.715457661248 93.8767564102077 -778.416746595028</t>
  </si>
  <si>
    <t>-615.107960164178 219.504380896591 -758.158104019434</t>
  </si>
  <si>
    <t>-537.583885366699 95.7555325771734 -477.333581035268</t>
  </si>
  <si>
    <t>-710.645701109431 34.2335512666209 -780.688983426362</t>
  </si>
  <si>
    <t>-668.854586191166 165.381495660945 -242.583439783682</t>
  </si>
  <si>
    <t>-639.835907615293 169.508845801725 212.167724805773</t>
  </si>
  <si>
    <t>-631.042663007438 169.196056997518 681.675781097595</t>
  </si>
  <si>
    <t>-488.223446926633 107.312874393091 763.631039909118</t>
  </si>
  <si>
    <t>-729.070362183196 7.09431451552086 225.307214892799</t>
  </si>
  <si>
    <t>-790.341361755503 78.2140743545788 686.073173679789</t>
  </si>
  <si>
    <t>-678.854908356644 -29.6995421659992 768.952200854441</t>
  </si>
  <si>
    <t>9763-20170724T160603.923540400.bin</t>
  </si>
  <si>
    <t>-685.783014422382 69.343397738297 -236.070013455734</t>
  </si>
  <si>
    <t>-707.810867701611 66.3462253529049 -355.122837343808</t>
  </si>
  <si>
    <t>-713.623671870847 65.0677540740351 -476.181415167611</t>
  </si>
  <si>
    <t>-712.132671568696 64.3163227244074 -585.689610907429</t>
  </si>
  <si>
    <t>-703.987440405834 63.8458091219484 -694.906302653248</t>
  </si>
  <si>
    <t>-685.739960754194 63.3454544551901 -846.12388824931</t>
  </si>
  <si>
    <t>-651.777010217402 52.825739003463 -941.616547327276</t>
  </si>
  <si>
    <t>-682.706138956619 93.3313660248446 -777.972939267767</t>
  </si>
  <si>
    <t>-608.234097039179 218.384495412993 -757.315554108587</t>
  </si>
  <si>
    <t>-532.196596604755 96.136213320249 -475.429359218398</t>
  </si>
  <si>
    <t>-704.921665890435 33.8023318089679 -780.456699025723</t>
  </si>
  <si>
    <t>-662.592287536152 163.857997861222 -242.738188223304</t>
  </si>
  <si>
    <t>-635.458628038664 168.034155017612 212.128846023682</t>
  </si>
  <si>
    <t>-630.957251321185 168.964443257559 681.650715680858</t>
  </si>
  <si>
    <t>-488.215011889083 107.252990171799 763.86906670504</t>
  </si>
  <si>
    <t>-719.243115436248 4.33657552428099 225.991737297662</t>
  </si>
  <si>
    <t>-789.733384409936 78.6990168949972 685.021298605956</t>
  </si>
  <si>
    <t>-678.81740414958 -29.7473831564523 767.970271565953</t>
  </si>
  <si>
    <t>9763-20170724T160603.995343800.bin</t>
  </si>
  <si>
    <t>-679.224543781054 68.4333905879112 -235.940602663258</t>
  </si>
  <si>
    <t>-702.32136131854 65.3064284043492 -354.787472546072</t>
  </si>
  <si>
    <t>-708.539705662011 64.1435366739383 -475.826881748593</t>
  </si>
  <si>
    <t>-707.137547553589 63.583874867295 -585.337509907682</t>
  </si>
  <si>
    <t>-698.801777278906 63.3849073520691 -694.540608746432</t>
  </si>
  <si>
    <t>-679.999100817693 63.3380950303767 -845.691165699532</t>
  </si>
  <si>
    <t>-645.831291005789 52.9873403962499 -941.129129948821</t>
  </si>
  <si>
    <t>-677.138093884073 93.089823412224 -777.42998319594</t>
  </si>
  <si>
    <t>-602.08081367623 217.719998646412 -756.112925355919</t>
  </si>
  <si>
    <t>-528.666892226884 96.029586628729 -473.291207578947</t>
  </si>
  <si>
    <t>-699.499336491817 33.6277595850852 -780.193379927271</t>
  </si>
  <si>
    <t>-656.103374117879 162.429535605857 -242.909895135488</t>
  </si>
  <si>
    <t>-631.127845288329 166.727838418691 212.079539795303</t>
  </si>
  <si>
    <t>-630.864380107144 168.675264443105 681.588811832409</t>
  </si>
  <si>
    <t>-487.967546562425 107.618285334488 764.026986590948</t>
  </si>
  <si>
    <t>-708.296522370825 1.32522786125514 226.700091263213</t>
  </si>
  <si>
    <t>-789.025931688202 79.2653603261263 683.477511428923</t>
  </si>
  <si>
    <t>-678.831505690098 -29.767771394253 766.618819691491</t>
  </si>
  <si>
    <t>9763-20170724T160604.059523000.bin</t>
  </si>
  <si>
    <t>-673.2514509308 68.0524429543084 -235.815443311644</t>
  </si>
  <si>
    <t>-697.563566234433 64.8107236196313 -354.41660801177</t>
  </si>
  <si>
    <t>-704.330829080082 63.8215913401359 -475.428249471104</t>
  </si>
  <si>
    <t>-703.142934873447 63.5164235745533 -584.942246363414</t>
  </si>
  <si>
    <t>-694.736679421158 63.657192958193 -694.140096124362</t>
  </si>
  <si>
    <t>-675.539662110065 64.1600395865144 -845.240143494686</t>
  </si>
  <si>
    <t>-641.025972692946 53.8872611268191 -940.561974270862</t>
  </si>
  <si>
    <t>-672.805531372107 93.643452515405 -776.857647863671</t>
  </si>
  <si>
    <t>-597.525617803148 218.020012171752 -754.832061173594</t>
  </si>
  <si>
    <t>-525.379185684232 96.7011835193707 -471.525009957958</t>
  </si>
  <si>
    <t>-695.262104998665 34.2314697816046 -779.908505429574</t>
  </si>
  <si>
    <t>-650.505909218746 161.910844102852 -243.089523137917</t>
  </si>
  <si>
    <t>-627.622204358104 166.313541381903 212.009004963618</t>
  </si>
  <si>
    <t>-630.754680845283 168.603092386954 681.504046811773</t>
  </si>
  <si>
    <t>-487.872869636338 107.765201350799 764.129934571374</t>
  </si>
  <si>
    <t>-697.374322341498 -1.44961471098031 227.293866380731</t>
  </si>
  <si>
    <t>-788.2263905985 79.6555729328425 681.678561762467</t>
  </si>
  <si>
    <t>-678.823296121772 -29.8189918203366 765.283548987687</t>
  </si>
  <si>
    <t>9763-20170724T160604.091602400.bin</t>
  </si>
  <si>
    <t>-670.449974130677 68.2097747893938 -235.697431857698</t>
  </si>
  <si>
    <t>-695.245427468556 64.8293524368798 -354.194566297777</t>
  </si>
  <si>
    <t>-702.244623442127 63.9344120037661 -475.193438543455</t>
  </si>
  <si>
    <t>-701.157377621101 63.7986037773264 -584.709030420954</t>
  </si>
  <si>
    <t>-692.740125194523 64.1867602865948 -693.905361933615</t>
  </si>
  <si>
    <t>-673.410557389759 65.1087588140235 -844.986673550585</t>
  </si>
  <si>
    <t>-638.799368348178 54.9371674882498 -940.283958297901</t>
  </si>
  <si>
    <t>-670.714506637532 94.3941165365736 -776.517494962219</t>
  </si>
  <si>
    <t>-595.239749941329 218.597717739156 -754.033626945007</t>
  </si>
  <si>
    <t>-523.966975250932 96.7187462282266 -470.746030034227</t>
  </si>
  <si>
    <t>-693.212000206481 35.0075793926803 -779.758268655999</t>
  </si>
  <si>
    <t>-647.814457247654 162.026101893339 -243.157792446645</t>
  </si>
  <si>
    <t>-626.18605383789 166.393013782993 212.002455780405</t>
  </si>
  <si>
    <t>-630.703535255915 168.628370262022 681.474953622507</t>
  </si>
  <si>
    <t>-487.829899014379 107.848441048463 764.157687019688</t>
  </si>
  <si>
    <t>-692.066470751623 -2.74403971665583 227.656884052943</t>
  </si>
  <si>
    <t>-787.853210602078 79.797736410311 680.765470787361</t>
  </si>
  <si>
    <t>-678.800070361581 -29.8402693115802 764.613150468198</t>
  </si>
  <si>
    <t>9763-20170724T160604.124694800.bin</t>
  </si>
  <si>
    <t>-667.578520728857 68.4203780789971 -235.567954479102</t>
  </si>
  <si>
    <t>-692.946093446372 64.8704315517025 -353.938937923172</t>
  </si>
  <si>
    <t>-700.265340386056 64.0562028597847 -474.919555740709</t>
  </si>
  <si>
    <t>-699.356715174885 64.0867662385149 -584.436755285212</t>
  </si>
  <si>
    <t>-691.004663272955 64.7290047210217 -693.637133412598</t>
  </si>
  <si>
    <t>-671.64618471402 66.09038656139 -844.711243479349</t>
  </si>
  <si>
    <t>-636.931681406459 56.0201723980724 -939.981868572787</t>
  </si>
  <si>
    <t>-668.954878695742 95.1732200945644 -776.155704565266</t>
  </si>
  <si>
    <t>-593.485126982612 219.215653369866 -753.008193300923</t>
  </si>
  <si>
    <t>-521.850021289444 97.1545636949436 -469.890334719422</t>
  </si>
  <si>
    <t>-691.468523219386 35.8028386791295 -779.575548061794</t>
  </si>
  <si>
    <t>-645.101746612898 162.146592740612 -243.233652299976</t>
  </si>
  <si>
    <t>-624.93250541352 166.732302325767 211.991362688356</t>
  </si>
  <si>
    <t>-630.666979840741 168.609786866979 681.45161806883</t>
  </si>
  <si>
    <t>-487.732238278672 108.004834432608 764.157245294629</t>
  </si>
  <si>
    <t>-686.773933373775 -3.95000667582349 228.088837004903</t>
  </si>
  <si>
    <t>-787.483483314899 79.9542306060177 679.855014234938</t>
  </si>
  <si>
    <t>-678.792272673729 -29.8654951664091 763.934515934474</t>
  </si>
  <si>
    <t>9763-20170724T160604.192437600.bin</t>
  </si>
  <si>
    <t>-662.187364197465 68.817489449485 -235.227332485855</t>
  </si>
  <si>
    <t>-688.617890270414 64.9737031610571 -353.356189131877</t>
  </si>
  <si>
    <t>-696.39341363181 64.326966296127 -474.309435358121</t>
  </si>
  <si>
    <t>-695.634534290432 64.6695455508273 -583.827308870425</t>
  </si>
  <si>
    <t>-687.164500732848 65.7677978181505 -693.014718024092</t>
  </si>
  <si>
    <t>-667.36141158481 67.8978390426516 -844.022451283216</t>
  </si>
  <si>
    <t>-632.315293480392 58.0441314877057 -939.194121484885</t>
  </si>
  <si>
    <t>-664.715939463031 96.5704254632328 -775.29242829724</t>
  </si>
  <si>
    <t>-588.438808971652 219.857448337592 -750.627545308599</t>
  </si>
  <si>
    <t>-518.969275261977 95.0455391736141 -468.170203821969</t>
  </si>
  <si>
    <t>-687.531400915836 37.3402823122458 -779.119954122189</t>
  </si>
  <si>
    <t>-639.837049456438 162.521069232273 -243.367864346549</t>
  </si>
  <si>
    <t>-622.456471276387 167.548834362876 211.967505033475</t>
  </si>
  <si>
    <t>-630.569623222331 168.79748010569 681.382849054666</t>
  </si>
  <si>
    <t>-487.588922036095 108.339853491352 764.116825880686</t>
  </si>
  <si>
    <t>-676.651851854717 -6.17686077003282 228.8471089207</t>
  </si>
  <si>
    <t>-786.694731819311 80.2290463631684 677.96276610505</t>
  </si>
  <si>
    <t>-678.699925054275 -29.8893361396795 762.547465014779</t>
  </si>
  <si>
    <t>9763-20170724T160604.226527600.bin</t>
  </si>
  <si>
    <t>-659.610797574309 69.0995623294034 -235.026067012917</t>
  </si>
  <si>
    <t>-686.612845041839 65.0774740608088 -353.019843319552</t>
  </si>
  <si>
    <t>-694.679116485044 64.4201435009177 -473.953874428252</t>
  </si>
  <si>
    <t>-694.061545962967 64.8108700903397 -583.472506345698</t>
  </si>
  <si>
    <t>-685.608605295582 66.0092023526838 -692.660295230976</t>
  </si>
  <si>
    <t>-665.699902487703 68.325739103843 -843.651224522809</t>
  </si>
  <si>
    <t>-630.547621413879 58.5268115545891 -938.789454557492</t>
  </si>
  <si>
    <t>-663.007461700214 96.8757276451474 -774.872199201744</t>
  </si>
  <si>
    <t>-586.281311264811 219.785790365436 -749.69037956902</t>
  </si>
  <si>
    <t>-517.436692633513 93.9167567189263 -467.549250751165</t>
  </si>
  <si>
    <t>-686.010396688657 37.7256577175458 -778.812667275615</t>
  </si>
  <si>
    <t>-637.203912794605 162.953310734546 -243.475189701932</t>
  </si>
  <si>
    <t>-621.417674762525 168.045112796912 211.917503301993</t>
  </si>
  <si>
    <t>-630.482174314812 168.954815551095 681.31505279635</t>
  </si>
  <si>
    <t>-487.502992321755 108.515061535409 764.064713219584</t>
  </si>
  <si>
    <t>-671.77064527653 -7.26751600928901 229.351465994012</t>
  </si>
  <si>
    <t>-786.279093705965 80.4216193880675 677.030237383708</t>
  </si>
  <si>
    <t>-678.650993961289 -29.9021742843702 761.81446505054</t>
  </si>
  <si>
    <t>9763-20170724T160604.293734300.bin</t>
  </si>
  <si>
    <t>-655.480086236584 69.9661017835742 -234.848962475668</t>
  </si>
  <si>
    <t>-683.653827472125 65.7331368113519 -352.560961476704</t>
  </si>
  <si>
    <t>-692.370002184276 65.105756883597 -473.450166638602</t>
  </si>
  <si>
    <t>-692.114028760592 65.6065791538235 -582.969847439924</t>
  </si>
  <si>
    <t>-683.792901893262 66.9889939475922 -692.165466060344</t>
  </si>
  <si>
    <t>-663.82727095772 69.629770059697 -843.143696445774</t>
  </si>
  <si>
    <t>-628.478484763955 59.9562836038488 -938.221845346169</t>
  </si>
  <si>
    <t>-660.956681022007 97.9501008483908 -774.276830486044</t>
  </si>
  <si>
    <t>-583.407678049332 220.255850214371 -748.702514022554</t>
  </si>
  <si>
    <t>-515.980669247925 95.1283465058259 -465.88996787469</t>
  </si>
  <si>
    <t>-684.366228116417 38.972491477638 -778.404134514807</t>
  </si>
  <si>
    <t>-632.487967452542 163.868773992237 -243.737955136397</t>
  </si>
  <si>
    <t>-619.897731684307 169.62961042264 211.746354978078</t>
  </si>
  <si>
    <t>-630.240356482883 169.247402702871 681.065200920767</t>
  </si>
  <si>
    <t>-487.087399039784 109.275978826753 763.855125006356</t>
  </si>
  <si>
    <t>-664.144713896539 -9.12179668193471 230.014733541314</t>
  </si>
  <si>
    <t>-785.548772568436 80.9776365244795 675.448340145129</t>
  </si>
  <si>
    <t>-678.565646770601 -29.8848803317642 760.346098983534</t>
  </si>
  <si>
    <t>9763-20170724T160604.324814400.bin</t>
  </si>
  <si>
    <t>-653.634088996382 70.5112536231752 -234.885416231564</t>
  </si>
  <si>
    <t>-682.2815373924 66.1608166704912 -352.478844969587</t>
  </si>
  <si>
    <t>-691.245694774563 65.4424990029106 -473.349345417316</t>
  </si>
  <si>
    <t>-691.11865084485 65.8722424299467 -582.869383693762</t>
  </si>
  <si>
    <t>-682.83049556917 67.1952560240263 -692.068386967502</t>
  </si>
  <si>
    <t>-662.811096572037 69.7659455070748 -843.040676115092</t>
  </si>
  <si>
    <t>-627.334241344865 60.1445323151218 -938.076554092739</t>
  </si>
  <si>
    <t>-659.912935920948 98.0971665901618 -774.179437922329</t>
  </si>
  <si>
    <t>-582.413349726804 220.45152657461 -748.637936862939</t>
  </si>
  <si>
    <t>-515.899998433191 97.5958051405521 -464.615750037137</t>
  </si>
  <si>
    <t>-683.425097786062 39.1599278280491 -778.300842980987</t>
  </si>
  <si>
    <t>-630.114557263788 164.297631714393 -243.998012435103</t>
  </si>
  <si>
    <t>-619.443646106339 170.450187641331 211.53005552109</t>
  </si>
  <si>
    <t>-630.078897233082 169.418063826535 680.864179406111</t>
  </si>
  <si>
    <t>-486.936929155789 109.515388726922 763.722767436973</t>
  </si>
  <si>
    <t>-661.826674881235 -9.83998081372579 230.200212082967</t>
  </si>
  <si>
    <t>-785.398160796763 81.2269897933284 674.930495775057</t>
  </si>
  <si>
    <t>-678.558432393097 -29.8833813177212 759.684667050156</t>
  </si>
  <si>
    <t>9763-20170724T160604.392016200.bin</t>
  </si>
  <si>
    <t>-650.328350998083 71.684759359852 -235.070261100789</t>
  </si>
  <si>
    <t>-679.635435046155 67.3756200145151 -352.50248435981</t>
  </si>
  <si>
    <t>-688.951511287482 66.5998488789744 -473.345967578096</t>
  </si>
  <si>
    <t>-689.01673544555 66.9528391758283 -582.866577404679</t>
  </si>
  <si>
    <t>-680.796034472904 68.183827350457 -692.071606875195</t>
  </si>
  <si>
    <t>-660.742353513135 70.6193212636147 -843.041549135094</t>
  </si>
  <si>
    <t>-625.138835986597 61.0969146731038 -938.039918216297</t>
  </si>
  <si>
    <t>-657.912296034357 99.033312453178 -774.211718950913</t>
  </si>
  <si>
    <t>-581.420197430713 222.190236805468 -749.495945605161</t>
  </si>
  <si>
    <t>-517.282506417575 106.544492483567 -461.92221697826</t>
  </si>
  <si>
    <t>-681.318738335987 40.0499931474039 -778.272403345098</t>
  </si>
  <si>
    <t>-626.024728951408 165.339214655292 -244.436124509898</t>
  </si>
  <si>
    <t>-618.171996898466 171.805598016835 211.14500241129</t>
  </si>
  <si>
    <t>-629.847643398759 169.754071268423 680.534944375037</t>
  </si>
  <si>
    <t>-486.751617393399 109.870089588153 763.486435620361</t>
  </si>
  <si>
    <t>-658.778174524901 -10.6697654536506 230.168561776139</t>
  </si>
  <si>
    <t>-785.232535409419 81.4552003168872 673.92859172667</t>
  </si>
  <si>
    <t>-678.570616570224 -29.9535909073627 758.514801181082</t>
  </si>
  <si>
    <t>9763-20170724T160604.426593800.bin</t>
  </si>
  <si>
    <t>-649.054048867885 72.1930213491703 -235.395505997223</t>
  </si>
  <si>
    <t>-678.477964469932 67.9444308307841 -352.800688770823</t>
  </si>
  <si>
    <t>-687.97736190796 67.111032749596 -473.629639527494</t>
  </si>
  <si>
    <t>-688.237490125339 67.3775753482562 -583.150003406405</t>
  </si>
  <si>
    <t>-680.241472463605 68.4958702995677 -692.373021186127</t>
  </si>
  <si>
    <t>-660.531094135133 70.7549023331931 -843.390927066992</t>
  </si>
  <si>
    <t>-624.911579284274 61.200671014192 -938.380158997924</t>
  </si>
  <si>
    <t>-657.656506730308 99.2945441622496 -774.614837104006</t>
  </si>
  <si>
    <t>-582.041201199403 223.045248058818 -750.224051699439</t>
  </si>
  <si>
    <t>-517.420179814945 110.521557870723 -461.522349560344</t>
  </si>
  <si>
    <t>-680.848124695282 40.2161795609122 -778.525415474625</t>
  </si>
  <si>
    <t>-624.534086519963 165.708686388418 -244.616601863594</t>
  </si>
  <si>
    <t>-617.280985230664 172.216672444438 210.973832268356</t>
  </si>
  <si>
    <t>-629.821137300538 169.836021869134 680.436449016051</t>
  </si>
  <si>
    <t>-486.674259332471 110.060777042793 763.378594887777</t>
  </si>
  <si>
    <t>-657.969646374753 -10.794786732801 229.881466529583</t>
  </si>
  <si>
    <t>-785.116736943036 81.4735231921302 673.42922626411</t>
  </si>
  <si>
    <t>-678.572928344915 -30.0190392473191 758.053882740036</t>
  </si>
  <si>
    <t>9763-20170724T160604.494715300.bin</t>
  </si>
  <si>
    <t>-647.06694178062 73.5982369610865 -235.724424733256</t>
  </si>
  <si>
    <t>-676.567712548773 69.4169995425596 -353.112804865111</t>
  </si>
  <si>
    <t>-686.174553762214 68.4393767170479 -473.932158983748</t>
  </si>
  <si>
    <t>-686.548310309461 68.503139900032 -583.45252133888</t>
  </si>
  <si>
    <t>-678.684102341589 69.3542364456282 -692.687502697671</t>
  </si>
  <si>
    <t>-659.177234253227 71.1819995741491 -843.737619113758</t>
  </si>
  <si>
    <t>-623.449843769976 61.5695654559272 -938.680449345521</t>
  </si>
  <si>
    <t>-656.397154777493 99.9920404554671 -775.070514549363</t>
  </si>
  <si>
    <t>-581.949194523357 224.646294111404 -751.831370171866</t>
  </si>
  <si>
    <t>-519.803690004023 118.849880821795 -460.058786542114</t>
  </si>
  <si>
    <t>-679.219722319889 40.7544591898932 -778.734743004276</t>
  </si>
  <si>
    <t>-622.475488368033 167.206878159527 -244.843990819513</t>
  </si>
  <si>
    <t>-615.869848202459 173.003622069691 210.766087035827</t>
  </si>
  <si>
    <t>-629.857912289818 170.005813040024 680.298097779324</t>
  </si>
  <si>
    <t>-486.588330001978 110.42906550028 763.171165170196</t>
  </si>
  <si>
    <t>-657.839772356218 -9.96670022705939 229.357908409623</t>
  </si>
  <si>
    <t>-785.136376913912 81.4568778407629 673.002684826834</t>
  </si>
  <si>
    <t>-678.574567717857 -30.1107452844192 757.505680104387</t>
  </si>
  <si>
    <t>9763-20170724T160604.527803500.bin</t>
  </si>
  <si>
    <t>-646.266943726627 74.5560167953793 -235.919139756921</t>
  </si>
  <si>
    <t>-675.835587120481 70.4191138760439 -353.291996448919</t>
  </si>
  <si>
    <t>-685.591864551551 69.4192641762734 -474.099232868414</t>
  </si>
  <si>
    <t>-686.135189160524 69.4473966126864 -583.61890932799</t>
  </si>
  <si>
    <t>-678.475408288693 70.2535842542211 -692.868743410963</t>
  </si>
  <si>
    <t>-659.287898419705 72.0162504396926 -843.96048211503</t>
  </si>
  <si>
    <t>-623.624820577149 62.4537601810225 -938.932585270931</t>
  </si>
  <si>
    <t>-656.505822007067 100.911693790777 -775.329376372283</t>
  </si>
  <si>
    <t>-583.01705861643 226.122284289689 -752.152891152015</t>
  </si>
  <si>
    <t>-520.196203898064 121.215709568151 -460.203625688916</t>
  </si>
  <si>
    <t>-679.049816245926 41.5608475352331 -778.884623900786</t>
  </si>
  <si>
    <t>-621.655445947936 168.2848432833 -244.910812213475</t>
  </si>
  <si>
    <t>-615.285832708998 173.487122656851 210.709623810879</t>
  </si>
  <si>
    <t>-629.909769054092 170.065705922309 680.250598469443</t>
  </si>
  <si>
    <t>-486.635021876233 110.435117414383 763.075978844671</t>
  </si>
  <si>
    <t>-658.4926493622 -9.10201734511907 229.106331191217</t>
  </si>
  <si>
    <t>-785.254008835986 81.44375520006 673.053727642502</t>
  </si>
  <si>
    <t>-678.572471379605 -30.1391729983666 757.385265125772</t>
  </si>
  <si>
    <t>9763-20170724T160604.591474900.bin</t>
  </si>
  <si>
    <t>-645.636383582405 76.9918096600209 -236.185618443427</t>
  </si>
  <si>
    <t>-675.319776041789 72.7376323033443 -353.525333641745</t>
  </si>
  <si>
    <t>-685.283623288576 71.7960576331807 -474.315987737439</t>
  </si>
  <si>
    <t>-686.049178216291 71.9569549041107 -583.834194530333</t>
  </si>
  <si>
    <t>-678.643761916252 72.9805885413673 -693.099753444274</t>
  </si>
  <si>
    <t>-659.840791452976 75.1378938938394 -844.234851328419</t>
  </si>
  <si>
    <t>-624.26190733689 65.8255190288032 -939.263267219517</t>
  </si>
  <si>
    <t>-657.097452056689 103.936001244269 -775.561162223252</t>
  </si>
  <si>
    <t>-584.997566977596 229.820702235877 -751.57858503469</t>
  </si>
  <si>
    <t>-518.474234035685 123.334651202738 -461.024907432799</t>
  </si>
  <si>
    <t>-330.071216000098 11.1434591350685 -321.169636705491</t>
  </si>
  <si>
    <t>-679.223422269633 44.4309094177154 -779.163294514558</t>
  </si>
  <si>
    <t>-621.384813742623 170.884356403522 -245.069744159555</t>
  </si>
  <si>
    <t>-614.926358626843 174.763359820008 210.562664051441</t>
  </si>
  <si>
    <t>-630.026709225416 170.34833948043 680.174598425995</t>
  </si>
  <si>
    <t>-486.772476793192 110.46229766767 762.851110747678</t>
  </si>
  <si>
    <t>-659.72679087504 -6.91235621756368 228.890919620568</t>
  </si>
  <si>
    <t>-785.405329161037 81.5628827816895 673.407171633892</t>
  </si>
  <si>
    <t>-678.555870415149 -30.1739892578012 757.321282971671</t>
  </si>
  <si>
    <t>9763-20170724T160604.623622700.bin</t>
  </si>
  <si>
    <t>-645.728018579785 78.1539329608891 -236.256482236505</t>
  </si>
  <si>
    <t>-675.445890777563 73.8471514375506 -353.585400124734</t>
  </si>
  <si>
    <t>-685.512967543883 72.9435516439094 -474.367998204668</t>
  </si>
  <si>
    <t>-686.397687887227 73.1760639668273 -583.885133336732</t>
  </si>
  <si>
    <t>-679.135917305426 74.3084443827652 -693.159323966316</t>
  </si>
  <si>
    <t>-660.556883296992 76.6552200654664 -844.319079648669</t>
  </si>
  <si>
    <t>-625.044210644933 67.4649868513529 -939.384207136148</t>
  </si>
  <si>
    <t>-657.763112795427 105.386614624931 -775.61962171922</t>
  </si>
  <si>
    <t>-586.138331648988 231.437770496008 -751.013723138938</t>
  </si>
  <si>
    <t>-515.927242633385 123.883587764956 -461.723794795893</t>
  </si>
  <si>
    <t>-324.116465854218 28.6225260147121 -314.156849918561</t>
  </si>
  <si>
    <t>-679.791908421867 45.8471233939708 -779.251556164531</t>
  </si>
  <si>
    <t>-621.598118880252 172.086371739448 -245.096155298378</t>
  </si>
  <si>
    <t>-615.081373717019 175.542176284403 210.538926998656</t>
  </si>
  <si>
    <t>-630.122875865125 170.407691852362 680.183657402208</t>
  </si>
  <si>
    <t>-486.748448870496 110.615231293834 762.719427300226</t>
  </si>
  <si>
    <t>-660.211567102537 -5.96173222078664 228.841461034887</t>
  </si>
  <si>
    <t>-785.399857687856 81.6244474602322 673.589497615441</t>
  </si>
  <si>
    <t>-678.509543193118 -30.1899236390298 757.348212116079</t>
  </si>
  <si>
    <t>9763-20170724T160604.690804800.bin</t>
  </si>
  <si>
    <t>-646.269186933181 80.3981345604809 -236.25619276189</t>
  </si>
  <si>
    <t>-675.997479695303 76.1368846132059 -353.584269700925</t>
  </si>
  <si>
    <t>-686.014006224913 75.3889933030575 -474.371946594385</t>
  </si>
  <si>
    <t>-686.826371161567 75.8038379335137 -583.889218992677</t>
  </si>
  <si>
    <t>-679.465042223834 77.1577826113605 -693.154092317737</t>
  </si>
  <si>
    <t>-660.719066220523 79.8514249457121 -844.287707183771</t>
  </si>
  <si>
    <t>-625.185298887277 70.9162177438257 -939.369205468513</t>
  </si>
  <si>
    <t>-658.060078327555 108.447055906639 -775.526221254697</t>
  </si>
  <si>
    <t>-587.254107830273 234.585351712439 -748.91340427361</t>
  </si>
  <si>
    <t>-510.85089171387 121.439375015631 -463.349466317566</t>
  </si>
  <si>
    <t>-300.811481432673 80.3330537655538 -315.58012706334</t>
  </si>
  <si>
    <t>-679.967156882231 48.8719967310517 -779.305347728262</t>
  </si>
  <si>
    <t>-622.313171974465 174.561526899826 -245.057429605425</t>
  </si>
  <si>
    <t>-615.818378805464 177.030433974777 210.584368191065</t>
  </si>
  <si>
    <t>-630.289018119195 170.555483846977 680.211146395633</t>
  </si>
  <si>
    <t>-486.795611505969 110.734663839269 762.519265922663</t>
  </si>
  <si>
    <t>-661.319022640801 -4.40862790149481 228.702712690068</t>
  </si>
  <si>
    <t>-785.397492870252 81.7244569997731 674.012851231485</t>
  </si>
  <si>
    <t>-678.413914335225 -30.2126646574443 757.488018813989</t>
  </si>
  <si>
    <t>9763-20170724T160604.724396500.bin</t>
  </si>
  <si>
    <t>-646.599339677532 81.4669182868315 -236.259079474637</t>
  </si>
  <si>
    <t>-676.395917760454 77.2238200526469 -353.570490649019</t>
  </si>
  <si>
    <t>-686.372481127572 76.6324092746547 -474.362406540166</t>
  </si>
  <si>
    <t>-687.103173899575 77.2493801809155 -583.879158795827</t>
  </si>
  <si>
    <t>-679.614239670393 78.8687926812324 -693.131879382221</t>
  </si>
  <si>
    <t>-660.643266036777 81.9995523072919 -844.228801336732</t>
  </si>
  <si>
    <t>-625.072837529816 73.2803071263988 -939.316730581968</t>
  </si>
  <si>
    <t>-658.146145494479 110.418493818585 -775.388069264832</t>
  </si>
  <si>
    <t>-587.7675994619 236.321364675478 -747.115142980495</t>
  </si>
  <si>
    <t>-506.615299385262 120.98121842634 -463.74762929786</t>
  </si>
  <si>
    <t>-290.158275486448 95.3721210540425 -321.858107411005</t>
  </si>
  <si>
    <t>-679.928547376327 50.8100521239087 -779.358163207248</t>
  </si>
  <si>
    <t>-622.646163866842 175.783262588158 -245.046173647502</t>
  </si>
  <si>
    <t>-616.006453943323 177.600617932632 210.596569539668</t>
  </si>
  <si>
    <t>-630.345781154352 170.749633593982 680.233414441746</t>
  </si>
  <si>
    <t>-486.932296919754 110.642571249528 762.472310978894</t>
  </si>
  <si>
    <t>-662.08477492558 -3.74723178903309 228.717722356402</t>
  </si>
  <si>
    <t>-785.44361020541 81.7898533053462 674.302985379293</t>
  </si>
  <si>
    <t>-678.40128234086 -30.225800943716 757.597284607226</t>
  </si>
  <si>
    <t>9763-20170724T160604.795490200.bin</t>
  </si>
  <si>
    <t>-647.314793731096 82.9555262786496 -236.254292028828</t>
  </si>
  <si>
    <t>-677.35412935359 78.7208407861981 -353.50415504136</t>
  </si>
  <si>
    <t>-687.499064030515 78.4165090479546 -474.28302283987</t>
  </si>
  <si>
    <t>-688.347956885246 79.4183985426782 -583.79612237899</t>
  </si>
  <si>
    <t>-680.941474549374 81.5552320040706 -693.045642076175</t>
  </si>
  <si>
    <t>-662.046017243223 85.5502112367762 -844.131699332064</t>
  </si>
  <si>
    <t>-626.462213743496 77.1753629470081 -939.245486601689</t>
  </si>
  <si>
    <t>-659.641394157529 113.62213808769 -775.145475407305</t>
  </si>
  <si>
    <t>-589.615657360781 239.161521732716 -744.112779072581</t>
  </si>
  <si>
    <t>-499.023205897604 118.534201835961 -465.853584535022</t>
  </si>
  <si>
    <t>-277.245546588312 111.037416082395 -330.205020582574</t>
  </si>
  <si>
    <t>-681.172013944038 53.9428964416256 -779.416118000971</t>
  </si>
  <si>
    <t>-623.25944187311 177.481932323571 -245.05436089719</t>
  </si>
  <si>
    <t>-616.179111367405 178.514516211332 210.584202141941</t>
  </si>
  <si>
    <t>-630.455776271378 171.055016933144 680.253452553324</t>
  </si>
  <si>
    <t>-487.208290036584 110.380399288909 762.364787906964</t>
  </si>
  <si>
    <t>-663.47561232871 -2.48084548782526 228.807187810085</t>
  </si>
  <si>
    <t>-785.508109347896 81.8758546764839 674.907737848366</t>
  </si>
  <si>
    <t>-678.339070184924 -30.232471837792 757.913929710373</t>
  </si>
  <si>
    <t>9763-20170724T160604.830587200.bin</t>
  </si>
  <si>
    <t>-647.740095330151 83.3263005221004 -236.187269593423</t>
  </si>
  <si>
    <t>-677.891899886089 79.1462887826174 -353.410101137792</t>
  </si>
  <si>
    <t>-688.110097969467 78.9706769959528 -474.183197849014</t>
  </si>
  <si>
    <t>-689.007248405396 80.1183888145147 -583.694505558495</t>
  </si>
  <si>
    <t>-681.630322492995 82.4299964663182 -692.942249677032</t>
  </si>
  <si>
    <t>-662.756317551577 86.6972563413749 -844.023696725622</t>
  </si>
  <si>
    <t>-627.136847800318 78.4440054833681 -939.134734397989</t>
  </si>
  <si>
    <t>-660.341643529953 114.644702054883 -774.987256675464</t>
  </si>
  <si>
    <t>-590.108241531002 239.954138498539 -743.379385907798</t>
  </si>
  <si>
    <t>-496.238503275662 119.085988917419 -466.31330867678</t>
  </si>
  <si>
    <t>-272.858247160818 113.79818883958 -333.214383024318</t>
  </si>
  <si>
    <t>-681.873279165632 54.973596432365 -779.362527282019</t>
  </si>
  <si>
    <t>-623.636416789388 177.882076545347 -245.019678485771</t>
  </si>
  <si>
    <t>-616.33105869314 178.595105462279 210.615890225591</t>
  </si>
  <si>
    <t>-630.515270072908 171.073394877104 680.271791041541</t>
  </si>
  <si>
    <t>-487.235692601372 110.408344067922 762.334180029791</t>
  </si>
  <si>
    <t>-663.991726687729 -2.09120245527492 228.879794096879</t>
  </si>
  <si>
    <t>-785.507857464254 81.903819949054 675.171950378154</t>
  </si>
  <si>
    <t>-678.29164958759 -30.2349034654328 758.07612355844</t>
  </si>
  <si>
    <t>9763-20170724T160604.892249400.bin</t>
  </si>
  <si>
    <t>-648.48673578312 83.4927734179341 -236.02143687193</t>
  </si>
  <si>
    <t>-678.873806369679 79.380970174873 -353.186030127694</t>
  </si>
  <si>
    <t>-689.268397933367 79.0851453670823 -473.943797309343</t>
  </si>
  <si>
    <t>-690.302690882995 80.0551124602923 -583.455626090152</t>
  </si>
  <si>
    <t>-683.041851638857 82.1242339185344 -692.716119925385</t>
  </si>
  <si>
    <t>-664.308237337601 85.9914540107106 -843.825536747861</t>
  </si>
  <si>
    <t>-628.785476485879 77.7171819127266 -938.971046880636</t>
  </si>
  <si>
    <t>-661.902823953312 114.148585949566 -774.874042851701</t>
  </si>
  <si>
    <t>-591.907585482829 239.661833739475 -743.556915594195</t>
  </si>
  <si>
    <t>-488.141993183187 125.255014708523 -467.27818619713</t>
  </si>
  <si>
    <t>-262.851657209794 118.609510733187 -337.500753908943</t>
  </si>
  <si>
    <t>-683.291713944926 54.4120982197705 -779.054649564752</t>
  </si>
  <si>
    <t>-624.380132607113 178.006223105564 -244.887980671667</t>
  </si>
  <si>
    <t>-616.396197022474 178.522902802365 210.736550862696</t>
  </si>
  <si>
    <t>-630.608769822336 171.157889804498 680.33404784481</t>
  </si>
  <si>
    <t>-487.327298715442 110.407942607966 762.330269904328</t>
  </si>
  <si>
    <t>-664.467906374153 -1.97032507772451 229.054944513476</t>
  </si>
  <si>
    <t>-785.453713231742 81.8962269352774 675.523828444331</t>
  </si>
  <si>
    <t>-678.19216034102 -30.2513809516897 758.357296239309</t>
  </si>
  <si>
    <t>9763-20170724T160604.923696900.bin</t>
  </si>
  <si>
    <t>-648.87617159512 83.4397601623689 -235.938052309284</t>
  </si>
  <si>
    <t>-679.373267703206 79.3216183217392 -353.073782395619</t>
  </si>
  <si>
    <t>-689.875249939409 78.8659351431188 -473.821695324627</t>
  </si>
  <si>
    <t>-691.007401100894 79.6342364672439 -583.334222996396</t>
  </si>
  <si>
    <t>-683.845883960131 81.4479016994771 -692.605902999286</t>
  </si>
  <si>
    <t>-665.252447245343 84.9071386394264 -843.742614400465</t>
  </si>
  <si>
    <t>-629.805453681117 76.5102439594925 -938.90545360655</t>
  </si>
  <si>
    <t>-662.848554695557 113.27411558004 -774.877196250394</t>
  </si>
  <si>
    <t>-593.025882166897 239.0015517176 -744.054345977269</t>
  </si>
  <si>
    <t>-486.559353509803 127.277465937327 -467.705418305985</t>
  </si>
  <si>
    <t>-261.047815316161 117.425305080535 -338.517334242294</t>
  </si>
  <si>
    <t>-684.110313210533 53.4790239567669 -778.861292769475</t>
  </si>
  <si>
    <t>-624.820147113644 177.995680059502 -244.827507609832</t>
  </si>
  <si>
    <t>-616.473617006269 178.439721755167 210.790647929907</t>
  </si>
  <si>
    <t>-630.662416911173 171.127194232125 680.371585019872</t>
  </si>
  <si>
    <t>-487.349218941377 110.413687980327 762.339289821575</t>
  </si>
  <si>
    <t>-664.437673084559 -2.10531428541094 229.188100583567</t>
  </si>
  <si>
    <t>-785.403918016317 81.9017112750541 675.653894970257</t>
  </si>
  <si>
    <t>-678.137377283721 -30.2590045148281 758.463160056424</t>
  </si>
  <si>
    <t>9763-20170724T160604.990369100.bin</t>
  </si>
  <si>
    <t>-649.519076591726 83.6004942854804 -235.877908805107</t>
  </si>
  <si>
    <t>-680.094468835765 79.4003260640536 -352.990267958731</t>
  </si>
  <si>
    <t>-690.795793882199 78.5965566902432 -473.718930187976</t>
  </si>
  <si>
    <t>-692.160580488089 78.9528397132999 -583.230864811892</t>
  </si>
  <si>
    <t>-685.285302993732 80.2627161507824 -692.527894948136</t>
  </si>
  <si>
    <t>-667.145688485606 82.9319107807507 -843.735881790269</t>
  </si>
  <si>
    <t>-631.888726736755 74.3725293343114 -938.954947247207</t>
  </si>
  <si>
    <t>-664.732201688789 111.728982089553 -775.049541895201</t>
  </si>
  <si>
    <t>-595.827543154613 238.003489817977 -744.675556457399</t>
  </si>
  <si>
    <t>-481.564098670887 134.103249748013 -468.388093672078</t>
  </si>
  <si>
    <t>-258.282164505847 113.768012268492 -336.578833213346</t>
  </si>
  <si>
    <t>-685.611611018827 51.7727657998878 -778.612621010994</t>
  </si>
  <si>
    <t>-625.837189865459 178.324151542031 -244.726190908754</t>
  </si>
  <si>
    <t>-616.61509194705 178.476975162374 210.875138270307</t>
  </si>
  <si>
    <t>-630.770029165159 171.237446463712 680.462670727402</t>
  </si>
  <si>
    <t>-487.46773881666 110.395551734007 762.354249798674</t>
  </si>
  <si>
    <t>-665.051300093732 -1.69892331076494 229.140119107574</t>
  </si>
  <si>
    <t>-785.328570730594 81.8975126415953 675.906593451943</t>
  </si>
  <si>
    <t>-678.050165969759 -30.2747845779659 758.684757602175</t>
  </si>
  <si>
    <t>9763-20170724T160605.028742700.bin</t>
  </si>
  <si>
    <t>-649.778690297676 83.7776495220535 -235.916230867414</t>
  </si>
  <si>
    <t>-680.306778841904 79.4882624120394 -353.037778301794</t>
  </si>
  <si>
    <t>-691.049741485173 78.5533163919447 -473.761783298873</t>
  </si>
  <si>
    <t>-692.489186635123 78.7761855503322 -583.273106031277</t>
  </si>
  <si>
    <t>-685.725276945992 79.9390433524097 -692.578783564114</t>
  </si>
  <si>
    <t>-667.778643409597 82.3902539997184 -843.813437130232</t>
  </si>
  <si>
    <t>-632.56127129716 73.8024866256064 -939.044599278466</t>
  </si>
  <si>
    <t>-665.370399162939 111.319150073788 -775.182181354519</t>
  </si>
  <si>
    <t>-596.672672514765 237.77118214179 -744.820327247034</t>
  </si>
  <si>
    <t>-480.389537514446 137.447849752218 -468.053949461646</t>
  </si>
  <si>
    <t>-256.876583822784 111.839256648404 -337.56173285051</t>
  </si>
  <si>
    <t>-686.068543209928 51.2921930313503 -778.611436137674</t>
  </si>
  <si>
    <t>-626.395874952379 178.562226450088 -244.705272312397</t>
  </si>
  <si>
    <t>-616.782743814125 178.530670469538 210.887993939991</t>
  </si>
  <si>
    <t>-630.859226198848 171.17780396381 680.510915625845</t>
  </si>
  <si>
    <t>-487.479975557525 110.431532087851 762.338692466061</t>
  </si>
  <si>
    <t>-665.774427265402 -1.12989455045135 229.05289552066</t>
  </si>
  <si>
    <t>-785.313925381829 81.870467390147 676.105568868616</t>
  </si>
  <si>
    <t>-678.011690788868 -30.2924675339191 758.865539701781</t>
  </si>
  <si>
    <t>9763-20170724T160605.095962500.bin</t>
  </si>
  <si>
    <t>-650.357323156586 84.3666309162481 -235.805375630203</t>
  </si>
  <si>
    <t>-680.771098207978 79.8485996833501 -352.948000358888</t>
  </si>
  <si>
    <t>-691.591452462742 78.6333341299617 -473.662580064165</t>
  </si>
  <si>
    <t>-693.180519646133 78.5930090148618 -583.172023971721</t>
  </si>
  <si>
    <t>-686.646226855805 79.4879969350575 -692.494295021736</t>
  </si>
  <si>
    <t>-669.100797918428 81.5677576645351 -843.781613911307</t>
  </si>
  <si>
    <t>-634.014453580689 72.9691260251793 -939.060103758508</t>
  </si>
  <si>
    <t>-666.745490993405 110.746429944913 -775.254427969452</t>
  </si>
  <si>
    <t>-599.071827891309 237.550967955985 -744.562264535811</t>
  </si>
  <si>
    <t>-472.25975200983 152.384404260483 -467.341193911409</t>
  </si>
  <si>
    <t>-246.903617725615 113.647588295504 -343.421232145722</t>
  </si>
  <si>
    <t>-686.982742298966 50.5486027353445 -778.428894699669</t>
  </si>
  <si>
    <t>-627.624283299721 179.295881849245 -244.587523327173</t>
  </si>
  <si>
    <t>-617.413777494375 178.945464403185 210.99271437608</t>
  </si>
  <si>
    <t>-631.080627552707 171.214530319513 680.676170875442</t>
  </si>
  <si>
    <t>-487.6781158025 110.287363948323 762.328494460138</t>
  </si>
  <si>
    <t>-666.707614101288 -0.139466902588765 229.230667944119</t>
  </si>
  <si>
    <t>-785.287391559238 81.8538514217423 676.619048206545</t>
  </si>
  <si>
    <t>-677.928317033262 -30.307050322137 759.308025376495</t>
  </si>
  <si>
    <t>9763-20170724T160605.121999100.bin</t>
  </si>
  <si>
    <t>-650.714996308681 84.5944037826951 -235.685542691037</t>
  </si>
  <si>
    <t>-681.161208954054 79.9742188669466 -352.81586531074</t>
  </si>
  <si>
    <t>-691.98193326812 78.6663439787562 -473.529270917488</t>
  </si>
  <si>
    <t>-693.558663577144 78.5531253445397 -583.038954769465</t>
  </si>
  <si>
    <t>-686.999633750543 79.3897642892339 -692.360177040987</t>
  </si>
  <si>
    <t>-669.407274997841 81.4069941509176 -843.642844192994</t>
  </si>
  <si>
    <t>-634.274045502879 72.880415462412 -938.910558280851</t>
  </si>
  <si>
    <t>-667.213613804643 110.661660991963 -775.142654795542</t>
  </si>
  <si>
    <t>-600.107443589578 237.864436552778 -744.564030943825</t>
  </si>
  <si>
    <t>-465.817502619951 164.203441109521 -467.568682562651</t>
  </si>
  <si>
    <t>-239.725492838284 118.814622711683 -347.300881794921</t>
  </si>
  <si>
    <t>-687.16902165231 50.3672790391056 -778.267187575765</t>
  </si>
  <si>
    <t>-628.254171551128 179.645882128208 -244.533127061122</t>
  </si>
  <si>
    <t>-617.815997166586 179.128015856037 211.041776959021</t>
  </si>
  <si>
    <t>-631.170553606081 171.256525582472 680.737904686864</t>
  </si>
  <si>
    <t>-487.705403605184 110.34796616151 762.294078530919</t>
  </si>
  <si>
    <t>-666.629373498543 0.0646598690900646 229.422900305306</t>
  </si>
  <si>
    <t>-785.231961658135 81.8758302102765 676.826840935906</t>
  </si>
  <si>
    <t>-677.886287985469 -30.311477376614 759.497450731241</t>
  </si>
  <si>
    <t>9763-20170724T160605.190181900.bin</t>
  </si>
  <si>
    <t>-651.238569173538 84.948383333299 -235.194617594092</t>
  </si>
  <si>
    <t>-681.857597723683 80.0402097509736 -352.268008122983</t>
  </si>
  <si>
    <t>-692.815886035629 78.4065007865422 -472.965109320431</t>
  </si>
  <si>
    <t>-694.502446436893 77.9965460073347 -582.472386315104</t>
  </si>
  <si>
    <t>-688.0392036459 78.540735922262 -691.801205035706</t>
  </si>
  <si>
    <t>-670.56512722023 80.1628806790607 -843.102472218127</t>
  </si>
  <si>
    <t>-635.432341393213 71.621613227135 -938.368956949894</t>
  </si>
  <si>
    <t>-668.549837550725 109.673260530743 -774.706513124823</t>
  </si>
  <si>
    <t>-602.346409008238 237.558766311869 -745.006767370016</t>
  </si>
  <si>
    <t>-451.746720115965 184.590848097774 -471.693220699874</t>
  </si>
  <si>
    <t>-224.640323550881 128.576096200385 -357.996201252623</t>
  </si>
  <si>
    <t>-688.043886042269 49.2170064902207 -777.606061660215</t>
  </si>
  <si>
    <t>-629.294606250898 180.15843912724 -244.320636631574</t>
  </si>
  <si>
    <t>-618.448357498426 179.631496737414 211.244689439045</t>
  </si>
  <si>
    <t>-631.286220984091 171.361810493762 680.860243866272</t>
  </si>
  <si>
    <t>-487.79615530769 110.32776151424 762.278598600017</t>
  </si>
  <si>
    <t>-665.022473351919 -0.162618997306026 230.130678063346</t>
  </si>
  <si>
    <t>-785.030153668674 81.9994280877215 677.059927746619</t>
  </si>
  <si>
    <t>-677.767728838775 -30.2853585116695 759.706244936582</t>
  </si>
  <si>
    <t>9763-20170724T160605.225295900.bin</t>
  </si>
  <si>
    <t>-651.40254632809 84.9973427048469 -235.022755934976</t>
  </si>
  <si>
    <t>-682.213491510471 79.963544339138 -352.040616798918</t>
  </si>
  <si>
    <t>-693.29745079899 78.1841781113103 -472.724150592503</t>
  </si>
  <si>
    <t>-695.069089840969 77.6362142530793 -582.229484144226</t>
  </si>
  <si>
    <t>-688.662115581202 78.0364743465559 -691.562231007647</t>
  </si>
  <si>
    <t>-671.236545410578 79.452607264607 -842.870947072252</t>
  </si>
  <si>
    <t>-636.059624815261 70.9065516317169 -938.120896461792</t>
  </si>
  <si>
    <t>-669.287179035598 109.084764919949 -774.525873776807</t>
  </si>
  <si>
    <t>-603.260838801052 237.222070843804 -745.321898257548</t>
  </si>
  <si>
    <t>-446.054136075226 190.981710934291 -474.519262696536</t>
  </si>
  <si>
    <t>-218.944985586311 132.995971630136 -361.819971866709</t>
  </si>
  <si>
    <t>-688.606466876807 48.5672497288833 -777.317137971793</t>
  </si>
  <si>
    <t>-629.78292207385 180.211051393058 -244.227028649601</t>
  </si>
  <si>
    <t>-618.621446071131 179.709097938256 211.330643452196</t>
  </si>
  <si>
    <t>-631.316739827596 171.404778617 680.912799221971</t>
  </si>
  <si>
    <t>-487.837169247801 110.299621230106 762.296399883278</t>
  </si>
  <si>
    <t>-663.959555533649 -0.477393519257703 230.405941231107</t>
  </si>
  <si>
    <t>-784.910755313329 82.0656363198875 677.07033602301</t>
  </si>
  <si>
    <t>-677.718553463513 -30.2792133160783 759.726124855593</t>
  </si>
  <si>
    <t>9763-20170724T160605.293477600.bin</t>
  </si>
  <si>
    <t>-651.445988975773 85.1195700886319 -234.744549108465</t>
  </si>
  <si>
    <t>-682.541700469223 79.8314699682987 -351.675752936105</t>
  </si>
  <si>
    <t>-693.926938498232 77.8317189502216 -472.327984398785</t>
  </si>
  <si>
    <t>-695.974664748496 77.1030497274767 -581.827445500175</t>
  </si>
  <si>
    <t>-689.845759150321 77.3432977563753 -691.176381910608</t>
  </si>
  <si>
    <t>-672.807396459739 78.5605345631557 -842.53110196401</t>
  </si>
  <si>
    <t>-637.715687248285 70.0827235678019 -937.818471286133</t>
  </si>
  <si>
    <t>-670.843873702859 108.334054463589 -774.24788816124</t>
  </si>
  <si>
    <t>-605.012756734215 236.593625362374 -745.476629095845</t>
  </si>
  <si>
    <t>-440.236740612648 195.922750728012 -478.304550827861</t>
  </si>
  <si>
    <t>-210.690237960836 140.650867318898 -369.238230457393</t>
  </si>
  <si>
    <t>-689.848922774346 47.709710812846 -776.874882741763</t>
  </si>
  <si>
    <t>-630.311418371918 180.328680335725 -244.102325486063</t>
  </si>
  <si>
    <t>-618.513819407244 179.657619814837 211.439202077829</t>
  </si>
  <si>
    <t>-631.36797569767 171.400275618718 680.992406675473</t>
  </si>
  <si>
    <t>-487.83013790268 110.396902836931 762.349595121761</t>
  </si>
  <si>
    <t>-662.195953923011 -0.790019631140922 230.776344768179</t>
  </si>
  <si>
    <t>-784.686101880298 82.1498718255182 676.993604243082</t>
  </si>
  <si>
    <t>-677.626354375381 -30.2750101830579 759.712186094994</t>
  </si>
  <si>
    <t>9763-20170724T160605.327081700.bin</t>
  </si>
  <si>
    <t>-651.354346134229 85.102685961491 -234.661567984129</t>
  </si>
  <si>
    <t>-682.58552133996 79.6986654134253 -351.551364319496</t>
  </si>
  <si>
    <t>-694.120782145873 77.6897245811479 -472.1890878651</t>
  </si>
  <si>
    <t>-696.308391190473 77.0049933463861 -581.686199912065</t>
  </si>
  <si>
    <t>-690.322887606547 77.3460322316521 -691.042849245192</t>
  </si>
  <si>
    <t>-673.486541864928 78.7671110822278 -842.418334436386</t>
  </si>
  <si>
    <t>-638.466120281997 70.4413158078182 -937.745410896254</t>
  </si>
  <si>
    <t>-671.558401848207 108.488673954439 -774.111478546795</t>
  </si>
  <si>
    <t>-606.166106755878 236.961136758762 -745.141313227886</t>
  </si>
  <si>
    <t>-437.355236079718 198.397145579351 -480.184976444178</t>
  </si>
  <si>
    <t>-206.415659962574 144.972113826194 -373.158032011769</t>
  </si>
  <si>
    <t>-690.313839757364 47.787939010349 -776.767322888632</t>
  </si>
  <si>
    <t>-630.346547592508 180.341495247304 -244.075264056274</t>
  </si>
  <si>
    <t>-618.337874053958 179.593101667528 211.460653728247</t>
  </si>
  <si>
    <t>-631.391250756139 171.429231342414 681.018262769857</t>
  </si>
  <si>
    <t>-487.830160590785 110.475646453398 762.371735661131</t>
  </si>
  <si>
    <t>-661.396546269477 -0.94001695905672 230.977069853205</t>
  </si>
  <si>
    <t>-784.589462390133 82.1831341582981 676.967254805136</t>
  </si>
  <si>
    <t>-677.580427664203 -30.2745013562999 759.706966445178</t>
  </si>
  <si>
    <t>9763-20170724T160605.392745400.bin</t>
  </si>
  <si>
    <t>-651.018995575482 85.2556732859039 -234.364664589133</t>
  </si>
  <si>
    <t>-682.644932342369 79.6192555668242 -351.13730981287</t>
  </si>
  <si>
    <t>-694.501778981253 77.5725112369098 -471.743202319012</t>
  </si>
  <si>
    <t>-696.945111236895 76.9387113800833 -581.235187914775</t>
  </si>
  <si>
    <t>-691.177936222482 77.4187607799479 -690.60311886705</t>
  </si>
  <si>
    <t>-674.604687647233 79.12724443516 -842.004528643021</t>
  </si>
  <si>
    <t>-639.664335980793 71.1218074391395 -937.388432725262</t>
  </si>
  <si>
    <t>-672.720700643306 108.769786617325 -773.662189404708</t>
  </si>
  <si>
    <t>-607.647517474825 237.417666977643 -744.638849194519</t>
  </si>
  <si>
    <t>-436.563216297437 199.364041903233 -481.070508604098</t>
  </si>
  <si>
    <t>-201.986268516706 146.409709927506 -382.017020590274</t>
  </si>
  <si>
    <t>-691.154997148436 47.9727734951421 -776.366125012482</t>
  </si>
  <si>
    <t>-630.446938203299 180.674230717412 -244.013045872446</t>
  </si>
  <si>
    <t>-617.941095270498 179.640823873445 211.508853039509</t>
  </si>
  <si>
    <t>-631.432287894443 171.408739103484 681.050658260134</t>
  </si>
  <si>
    <t>-487.865763343451 110.46497701479 762.401807656314</t>
  </si>
  <si>
    <t>-659.720687007657 -1.09218749934212 231.404719392012</t>
  </si>
  <si>
    <t>-784.415397408723 82.2824816258383 676.924383801435</t>
  </si>
  <si>
    <t>-677.510270303708 -30.2696806922261 759.66984102197</t>
  </si>
  <si>
    <t>9763-20170724T160605.424877700.bin</t>
  </si>
  <si>
    <t>-650.849131238837 85.4597792436512 -234.214731251056</t>
  </si>
  <si>
    <t>-682.615192684159 79.7284416608818 -350.944669341261</t>
  </si>
  <si>
    <t>-694.571686686485 77.6881071305136 -471.540882978619</t>
  </si>
  <si>
    <t>-697.086404985096 77.1038460180287 -581.03146133798</t>
  </si>
  <si>
    <t>-691.371231901864 77.6781748749825 -690.401709500812</t>
  </si>
  <si>
    <t>-674.849153908069 79.56583409274 -841.806682769872</t>
  </si>
  <si>
    <t>-639.994897931505 71.7595334791881 -937.238502110646</t>
  </si>
  <si>
    <t>-672.99505130564 109.143826731233 -773.435454550561</t>
  </si>
  <si>
    <t>-607.986906053139 237.740235674508 -744.226901840196</t>
  </si>
  <si>
    <t>-436.128860436227 200.538462907974 -481.04068104331</t>
  </si>
  <si>
    <t>-200.292203853631 147.088471678694 -385.300163083655</t>
  </si>
  <si>
    <t>-691.32419227054 48.3174755328803 -776.19390879546</t>
  </si>
  <si>
    <t>-630.37833895214 180.929306051936 -243.980006076761</t>
  </si>
  <si>
    <t>-617.741182349826 179.661752808375 211.537644469282</t>
  </si>
  <si>
    <t>-631.438595253608 171.38850655379 681.050120219192</t>
  </si>
  <si>
    <t>-487.812460273088 110.597963963951 762.410800988556</t>
  </si>
  <si>
    <t>-658.797565392518 -1.17018172485291 231.663508958443</t>
  </si>
  <si>
    <t>-784.312654336979 82.3614215577099 676.88890931305</t>
  </si>
  <si>
    <t>-677.470580036835 -30.2626410313201 759.617957018096</t>
  </si>
  <si>
    <t>9763-20170724T160605.495573600.bin</t>
  </si>
  <si>
    <t>-650.510081974683 86.1658324366006 -234.033296651957</t>
  </si>
  <si>
    <t>-682.718825385876 80.2457445793743 -350.632340215266</t>
  </si>
  <si>
    <t>-695.086812150868 78.2599207999858 -471.188015242486</t>
  </si>
  <si>
    <t>-697.954900505917 77.8306303605009 -580.670640058011</t>
  </si>
  <si>
    <t>-692.571471577282 78.6694248713848 -690.056034520253</t>
  </si>
  <si>
    <t>-676.486135729204 81.0415292995046 -841.501191986297</t>
  </si>
  <si>
    <t>-641.829092381271 73.543564697276 -937.029437419885</t>
  </si>
  <si>
    <t>-674.542485674512 110.433272399527 -773.052182790461</t>
  </si>
  <si>
    <t>-609.904612896979 239.199201032113 -743.507018142218</t>
  </si>
  <si>
    <t>-440.614547532927 195.365235149285 -479.678301757313</t>
  </si>
  <si>
    <t>-201.819186815661 150.914968381731 -386.710359256763</t>
  </si>
  <si>
    <t>-692.664380627387 49.5505379854351 -775.93061948847</t>
  </si>
  <si>
    <t>-630.278905665838 181.66911685368 -243.951813204346</t>
  </si>
  <si>
    <t>-617.403055269606 180.120183558852 211.55837901993</t>
  </si>
  <si>
    <t>-631.436181504063 171.480067514796 681.052336647272</t>
  </si>
  <si>
    <t>-488.02006437365 110.260887938465 762.462105948356</t>
  </si>
  <si>
    <t>-656.753133694753 -1.35757484282613 232.044317893314</t>
  </si>
  <si>
    <t>-784.075071930028 82.4905865156754 676.68462961552</t>
  </si>
  <si>
    <t>-677.386971068797 -30.2430485152049 759.463169033808</t>
  </si>
  <si>
    <t>9763-20170724T160605.527664600.bin</t>
  </si>
  <si>
    <t>-650.432667704193 86.4532641663977 -233.954253929117</t>
  </si>
  <si>
    <t>-682.835277198393 80.49182437523 -350.497557734144</t>
  </si>
  <si>
    <t>-695.419653790284 78.5913133525135 -471.03211504872</t>
  </si>
  <si>
    <t>-698.48860234209 78.2858746257768 -580.509767355383</t>
  </si>
  <si>
    <t>-693.308935420435 79.2925830751881 -689.903503865512</t>
  </si>
  <si>
    <t>-677.50803819406 81.9412953107612 -841.374065339101</t>
  </si>
  <si>
    <t>-642.955875384971 74.5607622519342 -936.94952994521</t>
  </si>
  <si>
    <t>-675.41251030557 111.200952570886 -772.873012371065</t>
  </si>
  <si>
    <t>-610.639037031153 239.858152819825 -743.242327749614</t>
  </si>
  <si>
    <t>-444.908072939345 188.523069191848 -478.508174120097</t>
  </si>
  <si>
    <t>-205.599621829264 149.763551569177 -384.321079798835</t>
  </si>
  <si>
    <t>-693.586380227081 50.3376913117281 -775.833069324437</t>
  </si>
  <si>
    <t>-630.371406810461 182.047081943389 -243.947544729407</t>
  </si>
  <si>
    <t>-617.244043189188 180.155847823577 211.554151361187</t>
  </si>
  <si>
    <t>-631.440900271092 171.447008273351 681.051132229811</t>
  </si>
  <si>
    <t>-487.996681395119 110.316386642929 762.477854582986</t>
  </si>
  <si>
    <t>-656.160617332342 -1.24965810314939 232.120434880665</t>
  </si>
  <si>
    <t>-783.987499932022 82.5437822642068 676.612567372576</t>
  </si>
  <si>
    <t>-677.353735558358 -30.2326616448215 759.402807454328</t>
  </si>
  <si>
    <t>9763-20170724T160605.593340600.bin</t>
  </si>
  <si>
    <t>-650.138843484297 86.95339246347 -233.968055248438</t>
  </si>
  <si>
    <t>-682.767301998 81.0141144187303 -350.449515549163</t>
  </si>
  <si>
    <t>-695.729300057587 79.2918529509038 -470.94663890736</t>
  </si>
  <si>
    <t>-699.196540508593 79.2039596946388 -580.412630143741</t>
  </si>
  <si>
    <t>-694.468640689176 80.4810314309518 -689.824182991971</t>
  </si>
  <si>
    <t>-679.347927278312 83.5571243841689 -841.356063151412</t>
  </si>
  <si>
    <t>-645.110861134434 76.2586727265707 -937.051055866321</t>
  </si>
  <si>
    <t>-676.814599102277 112.58362829147 -772.770658911634</t>
  </si>
  <si>
    <t>-611.125951171786 240.560951981714 -742.468452998792</t>
  </si>
  <si>
    <t>-454.2823703483 174.162885655144 -475.677217152114</t>
  </si>
  <si>
    <t>-216.341641016411 142.526735761533 -375.55030036536</t>
  </si>
  <si>
    <t>-695.262185366651 51.8084256702955 -775.845115858629</t>
  </si>
  <si>
    <t>-629.850380401781 182.3749088242 -243.963490443596</t>
  </si>
  <si>
    <t>-616.749675347915 180.360443947998 211.538480063278</t>
  </si>
  <si>
    <t>-631.437841715453 171.522089167691 681.023282424009</t>
  </si>
  <si>
    <t>-488.022540847585 110.33637752929 762.459547801186</t>
  </si>
  <si>
    <t>-655.704448907308 -1.04201315121782 232.148298617429</t>
  </si>
  <si>
    <t>-783.87753487642 82.6043656705288 676.543268837018</t>
  </si>
  <si>
    <t>-677.298977175317 -30.2229731535519 759.335248623447</t>
  </si>
  <si>
    <t>9763-20170724T160605.629939800.bin</t>
  </si>
  <si>
    <t>-650.134721056163 87.3072863140512 -233.972867738259</t>
  </si>
  <si>
    <t>-682.893458145617 81.4512260258907 -350.421934018302</t>
  </si>
  <si>
    <t>-695.926003998154 79.8926468822447 -470.913745963489</t>
  </si>
  <si>
    <t>-699.43012667384 79.9817932993237 -580.378616213118</t>
  </si>
  <si>
    <t>-694.711437124919 81.4628314226707 -689.787984356252</t>
  </si>
  <si>
    <t>-679.574339884783 84.8484040529568 -841.31161981367</t>
  </si>
  <si>
    <t>-645.404220120391 77.6153294389037 -937.03555927563</t>
  </si>
  <si>
    <t>-676.961746226884 113.707845968113 -772.658684766363</t>
  </si>
  <si>
    <t>-610.615284982406 241.298553585647 -741.972571019897</t>
  </si>
  <si>
    <t>-459.679898738667 165.959833991893 -474.150242048046</t>
  </si>
  <si>
    <t>-223.076551767255 138.163185841769 -369.803391901121</t>
  </si>
  <si>
    <t>-695.582460921647 52.9927812155313 -775.875544209128</t>
  </si>
  <si>
    <t>-629.70953890524 182.761831116564 -244.012801232795</t>
  </si>
  <si>
    <t>-616.445388860756 180.379253236821 211.482608968216</t>
  </si>
  <si>
    <t>-631.437778082992 171.566086688701 681.001526962831</t>
  </si>
  <si>
    <t>-488.176756324024 110.062016323148 762.469604881808</t>
  </si>
  <si>
    <t>-655.812583501422 -0.984047030147849 232.135022838932</t>
  </si>
  <si>
    <t>-783.860874676217 82.5973337125242 676.561903342086</t>
  </si>
  <si>
    <t>-677.273463971387 -30.2285105751037 759.34453407354</t>
  </si>
  <si>
    <t>9763-20170724T160605.691622500.bin</t>
  </si>
  <si>
    <t>-650.519506777008 87.7075157924842 -233.945489711125</t>
  </si>
  <si>
    <t>-683.556532915844 82.0197864171198 -350.324307377871</t>
  </si>
  <si>
    <t>-696.70746292925 80.7036421634182 -470.806171666296</t>
  </si>
  <si>
    <t>-700.249782130692 81.0362381085304 -580.269296954437</t>
  </si>
  <si>
    <t>-695.499478957163 82.7823508996494 -689.673289610556</t>
  </si>
  <si>
    <t>-680.245616109037 86.5561201025812 -841.176026795666</t>
  </si>
  <si>
    <t>-646.188834424226 79.3654230538334 -936.943591495618</t>
  </si>
  <si>
    <t>-677.458019509136 115.167680279006 -772.426265785778</t>
  </si>
  <si>
    <t>-610.065604469123 242.09178676124 -741.11384436003</t>
  </si>
  <si>
    <t>-468.461390512675 152.634960952006 -472.540045234753</t>
  </si>
  <si>
    <t>-239.712306787688 125.870673244189 -351.711083262624</t>
  </si>
  <si>
    <t>-696.531933722617 54.6050103129667 -775.855334214801</t>
  </si>
  <si>
    <t>-629.521848010264 183.046384156382 -244.044511178027</t>
  </si>
  <si>
    <t>-615.72860363171 180.371517391606 211.433498604668</t>
  </si>
  <si>
    <t>-631.408730705627 171.650141843928 680.925472033871</t>
  </si>
  <si>
    <t>-488.239008128144 110.027460623802 762.464357375964</t>
  </si>
  <si>
    <t>-656.015816447644 -1.11350158390633 232.275346416754</t>
  </si>
  <si>
    <t>-783.841013162503 82.6343515232375 676.659150202724</t>
  </si>
  <si>
    <t>-677.229342620903 -30.2189497756478 759.373105709338</t>
  </si>
  <si>
    <t>9763-20170724T160605.723208200.bin</t>
  </si>
  <si>
    <t>-650.815839587173 87.772956100674 -233.940398085301</t>
  </si>
  <si>
    <t>-683.959300581115 82.1680924281975 -350.29296117607</t>
  </si>
  <si>
    <t>-697.2138685811 80.9303585819864 -470.76432122395</t>
  </si>
  <si>
    <t>-700.847693089384 81.328763878844 -580.224267286256</t>
  </si>
  <si>
    <t>-696.185749280472 83.1347130201909 -689.631031706204</t>
  </si>
  <si>
    <t>-681.051129090024 86.9838597658711 -841.14390486762</t>
  </si>
  <si>
    <t>-647.011827301291 79.7705927299951 -936.915928126809</t>
  </si>
  <si>
    <t>-678.08533570277 115.521166438203 -772.370700499079</t>
  </si>
  <si>
    <t>-610.301544226247 242.196621876769 -741.146157636989</t>
  </si>
  <si>
    <t>-470.888676467005 149.938760015247 -472.373648264622</t>
  </si>
  <si>
    <t>-247.671662894392 119.612954656454 -342.386876719021</t>
  </si>
  <si>
    <t>-697.410111467811 55.040312155071 -775.837718809185</t>
  </si>
  <si>
    <t>-629.554708234205 183.076808110336 -244.06939717609</t>
  </si>
  <si>
    <t>-615.642953740894 180.254899315328 211.40402921156</t>
  </si>
  <si>
    <t>-631.400430155402 171.603883547354 680.895849968955</t>
  </si>
  <si>
    <t>-488.331619366782 109.808827816363 762.481393705691</t>
  </si>
  <si>
    <t>-656.152271876396 -1.37436959541674 232.312018733546</t>
  </si>
  <si>
    <t>-783.841095848686 82.6406662535026 676.701403433961</t>
  </si>
  <si>
    <t>-677.210524114213 -30.2166568906796 759.385490371744</t>
  </si>
  <si>
    <t>9763-20170724T160605.793428400.bin</t>
  </si>
  <si>
    <t>-651.747571673596 87.503011992957 -233.853295020698</t>
  </si>
  <si>
    <t>-685.089007726656 82.1583075887634 -350.161489488399</t>
  </si>
  <si>
    <t>-698.480688015818 80.9689039462041 -470.618242035635</t>
  </si>
  <si>
    <t>-702.212494198055 81.3086093573831 -580.07504191791</t>
  </si>
  <si>
    <t>-697.622100461663 82.9450852669324 -689.48763146372</t>
  </si>
  <si>
    <t>-682.559106103446 86.4357796019829 -841.016253263012</t>
  </si>
  <si>
    <t>-648.438286186845 78.9846585373552 -936.740966665368</t>
  </si>
  <si>
    <t>-679.240068705614 115.029705058448 -772.282798892046</t>
  </si>
  <si>
    <t>-610.340792330903 241.39787968714 -741.884887417075</t>
  </si>
  <si>
    <t>-474.442515418918 146.879057955705 -472.099755014024</t>
  </si>
  <si>
    <t>-258.801616574458 108.664137588835 -331.811895107414</t>
  </si>
  <si>
    <t>-699.2079710491 54.7527945056968 -775.656326800955</t>
  </si>
  <si>
    <t>-630.068284357186 182.726500376772 -244.018096993522</t>
  </si>
  <si>
    <t>-615.799311756929 179.98907743975 211.444938981284</t>
  </si>
  <si>
    <t>-631.422128253 171.559232190446 680.918629352186</t>
  </si>
  <si>
    <t>-488.446567722176 109.626665449173 762.563253784472</t>
  </si>
  <si>
    <t>-656.567634491667 -1.94419188078768 232.323948695486</t>
  </si>
  <si>
    <t>-783.841669541338 82.6134918269356 676.720146770463</t>
  </si>
  <si>
    <t>-677.180537806575 -30.2243628445565 759.391381204197</t>
  </si>
  <si>
    <t>9763-20170724T160605.825056400.bin</t>
  </si>
  <si>
    <t>-652.330936169159 87.3476115227008 -233.834981846595</t>
  </si>
  <si>
    <t>-685.743422340102 82.1115102024119 -350.127705699598</t>
  </si>
  <si>
    <t>-699.237545082083 80.888140266057 -470.572596410754</t>
  </si>
  <si>
    <t>-703.074804817388 81.1314571961173 -580.026046414531</t>
  </si>
  <si>
    <t>-698.602410958192 82.6020138610311 -689.445857123379</t>
  </si>
  <si>
    <t>-683.716539280733 85.7856595769374 -840.998670242272</t>
  </si>
  <si>
    <t>-649.616496291059 78.141197976249 -936.715616336263</t>
  </si>
  <si>
    <t>-680.159390117829 114.465276909522 -772.312893267788</t>
  </si>
  <si>
    <t>-610.772718150828 240.545860086594 -742.233377106248</t>
  </si>
  <si>
    <t>-475.275540820162 147.52803312512 -471.725688995007</t>
  </si>
  <si>
    <t>-264.020304931992 101.896831500537 -327.049931057348</t>
  </si>
  <si>
    <t>-700.446779346359 54.2886927495267 -775.569698557122</t>
  </si>
  <si>
    <t>-630.438585601568 182.540024993225 -243.978735047252</t>
  </si>
  <si>
    <t>-616.071896985749 179.819977570945 211.481317581233</t>
  </si>
  <si>
    <t>-631.458905190806 171.462801181533 680.955188709228</t>
  </si>
  <si>
    <t>-488.529075965998 109.465507171036 762.630814182923</t>
  </si>
  <si>
    <t>-656.650052186003 -2.2513238562326 232.348865901017</t>
  </si>
  <si>
    <t>-783.839727436556 82.594793303442 676.698619135334</t>
  </si>
  <si>
    <t>-677.163341898798 -30.2265159308797 759.372759632024</t>
  </si>
  <si>
    <t>9763-20170724T160605.892241000.bin</t>
  </si>
  <si>
    <t>-653.496334908271 87.1811634335879 -233.740041195253</t>
  </si>
  <si>
    <t>-687.272347906366 82.2580377778734 -349.941381957515</t>
  </si>
  <si>
    <t>-701.021216325696 81.0476711733675 -470.357650953237</t>
  </si>
  <si>
    <t>-705.04366027793 81.1692032857452 -579.804711654371</t>
  </si>
  <si>
    <t>-700.711787838446 82.3782561247335 -689.233388202437</t>
  </si>
  <si>
    <t>-685.975582725338 85.0473639963134 -840.810685277677</t>
  </si>
  <si>
    <t>-651.832762554887 76.9719889030725 -936.477064969348</t>
  </si>
  <si>
    <t>-682.098897195775 113.872745664414 -772.203288508669</t>
  </si>
  <si>
    <t>-611.748563975987 239.608968926103 -742.732820052033</t>
  </si>
  <si>
    <t>-477.720458365581 148.211767168201 -470.943899728759</t>
  </si>
  <si>
    <t>-276.750648202166 86.7671176561239 -317.719602657377</t>
  </si>
  <si>
    <t>-702.892892904833 53.8599935293 -775.281691010797</t>
  </si>
  <si>
    <t>-631.225015655691 182.449183095137 -243.818792465322</t>
  </si>
  <si>
    <t>-616.58400826737 179.474035288196 211.630938022433</t>
  </si>
  <si>
    <t>-631.59646638816 171.264659816417 681.114130246177</t>
  </si>
  <si>
    <t>-488.883477463007 108.885549879664 762.87824414932</t>
  </si>
  <si>
    <t>-656.716203693338 -2.80440148406296 232.328147077184</t>
  </si>
  <si>
    <t>-783.832091401024 82.5794129401638 676.610940619226</t>
  </si>
  <si>
    <t>-677.140046715921 -30.220593419788 759.293950660901</t>
  </si>
  <si>
    <t>9763-20170724T160605.923424000.bin</t>
  </si>
  <si>
    <t>-654.122009034914 87.3393662131386 -233.624845557384</t>
  </si>
  <si>
    <t>-688.122250218586 82.5223429522791 -349.765165725542</t>
  </si>
  <si>
    <t>-702.029144092432 81.2994868574942 -470.163145545973</t>
  </si>
  <si>
    <t>-706.166686505345 81.3572632238347 -579.605849814781</t>
  </si>
  <si>
    <t>-701.921780552214 82.4484741956494 -689.03924051913</t>
  </si>
  <si>
    <t>-687.277662596592 84.89532291317 -840.629275707369</t>
  </si>
  <si>
    <t>-653.119239591313 76.5977435188738 -936.271104936972</t>
  </si>
  <si>
    <t>-683.243696098912 113.780409253885 -772.056078646446</t>
  </si>
  <si>
    <t>-612.523711395387 239.334604020796 -742.820729061576</t>
  </si>
  <si>
    <t>-479.044874623519 147.794691532905 -470.809610207345</t>
  </si>
  <si>
    <t>-282.733935459675 78.8152670001998 -314.777851613624</t>
  </si>
  <si>
    <t>-704.270780896803 53.8449086291314 -775.054791441341</t>
  </si>
  <si>
    <t>-631.594409068604 182.626890776023 -243.752309311086</t>
  </si>
  <si>
    <t>-616.732013864665 179.275318984196 211.687634010943</t>
  </si>
  <si>
    <t>-631.691337581804 171.042057812465 681.20603140182</t>
  </si>
  <si>
    <t>-489.080022720536 108.504464134149 763.026439450111</t>
  </si>
  <si>
    <t>-656.648996868585 -2.91812594755379 232.421554831144</t>
  </si>
  <si>
    <t>-783.836340937333 82.5999221074769 676.603547745254</t>
  </si>
  <si>
    <t>-677.131658196136 -30.2072704861262 759.260410207933</t>
  </si>
  <si>
    <t>9763-20170724T160605.995119600.bin</t>
  </si>
  <si>
    <t>-655.294998374815 88.1553199342563 -233.252384619769</t>
  </si>
  <si>
    <t>-689.899058807933 83.6448043264932 -349.226484107201</t>
  </si>
  <si>
    <t>-704.269739784883 82.4535343747916 -469.570419897906</t>
  </si>
  <si>
    <t>-708.767677192554 82.4255441677526 -578.998926045678</t>
  </si>
  <si>
    <t>-704.824034291886 83.3164286976441 -688.445367671894</t>
  </si>
  <si>
    <t>-690.537486895638 85.3652731488753 -840.075504687372</t>
  </si>
  <si>
    <t>-656.44985468426 76.5893331578586 -935.69963922007</t>
  </si>
  <si>
    <t>-686.125375285503 114.352413525553 -771.568595317923</t>
  </si>
  <si>
    <t>-614.512728037555 239.501721861947 -742.724884496676</t>
  </si>
  <si>
    <t>-482.38859886351 146.408730380399 -470.579520071892</t>
  </si>
  <si>
    <t>-291.660250744727 66.6063276985117 -312.793847576218</t>
  </si>
  <si>
    <t>-707.592392782618 54.5649271461878 -774.399035063546</t>
  </si>
  <si>
    <t>-632.265767609786 183.523899376637 -243.421714477447</t>
  </si>
  <si>
    <t>-617.126733750919 179.049501627495 211.999440896493</t>
  </si>
  <si>
    <t>-632.003043654579 170.519340843554 681.514648503259</t>
  </si>
  <si>
    <t>-489.869864780964 107.104176835439 763.491389870818</t>
  </si>
  <si>
    <t>-655.886208176208 -3.21073826242468 232.785815435938</t>
  </si>
  <si>
    <t>-783.800480921006 82.7180113488832 676.573578209703</t>
  </si>
  <si>
    <t>-677.116910085651 -30.1644269973413 759.154975892414</t>
  </si>
  <si>
    <t>9763-20170724T160606.023693900.bin</t>
  </si>
  <si>
    <t>-655.897973472826 88.7968177432119 -232.963087629244</t>
  </si>
  <si>
    <t>-690.891494294453 84.4292099563993 -348.825840010377</t>
  </si>
  <si>
    <t>-705.535070153605 83.2147690093445 -469.136582283337</t>
  </si>
  <si>
    <t>-710.23079155797 83.0969638866636 -578.556717874751</t>
  </si>
  <si>
    <t>-706.435656292786 83.8293131197117 -688.009617086927</t>
  </si>
  <si>
    <t>-692.305075545497 85.585594432182 -839.657951781509</t>
  </si>
  <si>
    <t>-658.275054356633 76.535802249743 -935.277297703224</t>
  </si>
  <si>
    <t>-687.709646979821 114.663774247671 -771.201700753084</t>
  </si>
  <si>
    <t>-615.652730818945 239.618868552343 -742.643313659991</t>
  </si>
  <si>
    <t>-483.754100688315 146.626330916363 -470.354212967768</t>
  </si>
  <si>
    <t>-295.829939056209 62.0416125457266 -311.697329002346</t>
  </si>
  <si>
    <t>-709.405132522646 54.9532857225579 -773.914852091757</t>
  </si>
  <si>
    <t>-632.681342424624 184.287425283332 -243.206639616046</t>
  </si>
  <si>
    <t>-617.342376681295 178.934352285739 212.198312572689</t>
  </si>
  <si>
    <t>-632.192054107134 170.201527155164 681.725051199748</t>
  </si>
  <si>
    <t>-490.32656358578 106.285984437685 763.776775776377</t>
  </si>
  <si>
    <t>-655.239995649937 -3.28718752230748 233.045629404565</t>
  </si>
  <si>
    <t>-783.753088325053 82.821334242183 676.560786083457</t>
  </si>
  <si>
    <t>-677.107332694166 -30.1269227113489 759.100998774932</t>
  </si>
  <si>
    <t>9763-20170724T160606.091877800.bin</t>
  </si>
  <si>
    <t>-656.743469065579 90.1300053997916 -232.393121424605</t>
  </si>
  <si>
    <t>-692.50045584513 85.9115412601529 -348.028122806475</t>
  </si>
  <si>
    <t>-707.714894721813 84.5311464066497 -468.266116127256</t>
  </si>
  <si>
    <t>-712.844508357481 84.1297830306173 -577.666245245821</t>
  </si>
  <si>
    <t>-709.400262555569 84.4432505640773 -687.132701125917</t>
  </si>
  <si>
    <t>-695.671329121303 85.4745292361531 -838.82456594785</t>
  </si>
  <si>
    <t>-661.874048423331 75.7678932717624 -934.461896833968</t>
  </si>
  <si>
    <t>-690.596054796318 114.768308174567 -770.494199154943</t>
  </si>
  <si>
    <t>-617.22045517342 239.096316401436 -742.516396791173</t>
  </si>
  <si>
    <t>-486.917796759481 145.474470835793 -469.675016692544</t>
  </si>
  <si>
    <t>-304.93330314129 49.9705645478737 -310.292942256625</t>
  </si>
  <si>
    <t>-712.895809888831 55.2681896564045 -772.916952530788</t>
  </si>
  <si>
    <t>-632.686108430854 185.622058731801 -242.878253464484</t>
  </si>
  <si>
    <t>-617.407834857475 179.168406216402 212.514573073174</t>
  </si>
  <si>
    <t>-632.453550974113 169.804502232442 681.994978356953</t>
  </si>
  <si>
    <t>-490.994452628429 105.106033184231 764.134699947414</t>
  </si>
  <si>
    <t>-653.743113697044 -3.65469929304459 233.72902994539</t>
  </si>
  <si>
    <t>-783.664993800977 83.0811625853078 676.594342082018</t>
  </si>
  <si>
    <t>-677.084114637403 -30.0260895041451 759.000546078149</t>
  </si>
  <si>
    <t>9763-20170724T160606.122476200.bin</t>
  </si>
  <si>
    <t>-656.942681865425 90.8211129301581 -232.065995168162</t>
  </si>
  <si>
    <t>-692.902882973356 86.6580752111449 -347.63996184449</t>
  </si>
  <si>
    <t>-708.309966957368 85.1502834738189 -467.851985715758</t>
  </si>
  <si>
    <t>-713.610017801963 84.558431682739 -577.243097448404</t>
  </si>
  <si>
    <t>-710.332698044218 84.6065344350643 -686.714958647078</t>
  </si>
  <si>
    <t>-696.832334286009 85.19135803465 -838.429845862248</t>
  </si>
  <si>
    <t>-663.202653213985 75.0958072617163 -934.086036858046</t>
  </si>
  <si>
    <t>-691.485358786863 114.621614918345 -770.179015622326</t>
  </si>
  <si>
    <t>-617.332888084071 238.560581093939 -742.543008299577</t>
  </si>
  <si>
    <t>-488.005472374327 144.464071635555 -469.401215494418</t>
  </si>
  <si>
    <t>-308.966827193326 43.6016719530753 -309.983571006928</t>
  </si>
  <si>
    <t>-714.126269217687 55.2436010089232 -772.422508492369</t>
  </si>
  <si>
    <t>-632.469832632686 186.265366298747 -242.745734256223</t>
  </si>
  <si>
    <t>-617.382559673639 179.384299591511 212.647156168003</t>
  </si>
  <si>
    <t>-632.514612294811 169.71465640766 682.075798367459</t>
  </si>
  <si>
    <t>-491.260270402996 104.626035855564 764.259663148503</t>
  </si>
  <si>
    <t>-653.049341480484 -3.97271731550359 234.093878743107</t>
  </si>
  <si>
    <t>-783.643789810557 83.2205463761786 676.623248499694</t>
  </si>
  <si>
    <t>-677.088189347016 -29.9713232601889 758.945874327763</t>
  </si>
  <si>
    <t>9763-20170724T160606.194171400.bin</t>
  </si>
  <si>
    <t>-656.99295171831 92.1810472914808 -231.582932752565</t>
  </si>
  <si>
    <t>-693.417139064917 88.155341543712 -347.016359864964</t>
  </si>
  <si>
    <t>-709.237050863364 86.3934390020218 -467.171222937288</t>
  </si>
  <si>
    <t>-714.890524769926 85.4127596397207 -576.541837046075</t>
  </si>
  <si>
    <t>-711.947331420957 84.9152022899107 -686.022179910508</t>
  </si>
  <si>
    <t>-698.892582111762 84.5793583938835 -837.77672794472</t>
  </si>
  <si>
    <t>-665.591931389117 73.6659811629302 -933.458271095399</t>
  </si>
  <si>
    <t>-693.004304385473 114.28983812138 -769.692039155748</t>
  </si>
  <si>
    <t>-617.428445101854 237.554418864046 -742.837176195729</t>
  </si>
  <si>
    <t>-490.203165027821 142.200504683466 -469.144783583011</t>
  </si>
  <si>
    <t>-315.607252066364 31.2836690070476 -311.487588395169</t>
  </si>
  <si>
    <t>-716.333640824857 55.1659191415838 -771.568119436775</t>
  </si>
  <si>
    <t>-631.577067324236 187.584018808344 -242.633180036944</t>
  </si>
  <si>
    <t>-617.035854459921 180.088492553752 212.767705716169</t>
  </si>
  <si>
    <t>-632.498756979375 169.741622117594 682.128017399038</t>
  </si>
  <si>
    <t>-491.589790424057 104.00294754467 764.38738826467</t>
  </si>
  <si>
    <t>-651.692099285496 -4.93960564626741 234.749140095337</t>
  </si>
  <si>
    <t>-783.607205316028 83.4738499251846 676.608302852339</t>
  </si>
  <si>
    <t>-677.098596661313 -29.8615416067457 758.794105597336</t>
  </si>
  <si>
    <t>9763-20170724T160606.226264900.bin</t>
  </si>
  <si>
    <t>-656.938509856125 92.7840423091841 -231.413534710355</t>
  </si>
  <si>
    <t>-693.43550561804 88.733366996792 -346.82309844766</t>
  </si>
  <si>
    <t>-709.376115832014 86.7900887282799 -466.959175200356</t>
  </si>
  <si>
    <t>-715.159943403854 85.5814518536886 -576.320646932472</t>
  </si>
  <si>
    <t>-712.368544578187 84.7929984165955 -685.803246043846</t>
  </si>
  <si>
    <t>-699.547510642682 83.987552098271 -837.576039611744</t>
  </si>
  <si>
    <t>-666.405171657367 72.6653727889127 -933.2650412552</t>
  </si>
  <si>
    <t>-693.385627245894 113.840971295446 -769.578075989705</t>
  </si>
  <si>
    <t>-617.113456345474 236.749795823774 -743.14743288493</t>
  </si>
  <si>
    <t>-490.932556496717 141.025650933331 -469.101001463783</t>
  </si>
  <si>
    <t>-317.155214449224 27.8590949641339 -312.139798537776</t>
  </si>
  <si>
    <t>-717.055204171104 54.8469111985812 -771.264487270257</t>
  </si>
  <si>
    <t>-631.076599726617 188.161595011778 -242.643996727594</t>
  </si>
  <si>
    <t>-616.771165491219 180.432767976447 212.760437703462</t>
  </si>
  <si>
    <t>-632.441389906132 169.820092984176 682.09520899657</t>
  </si>
  <si>
    <t>-491.672267139928 103.824328370494 764.388118819696</t>
  </si>
  <si>
    <t>-651.28066627975 -5.41557734110347 235.010233338183</t>
  </si>
  <si>
    <t>-783.605721851601 83.5529279474767 676.571063646757</t>
  </si>
  <si>
    <t>-677.119055227182 -29.8105293526194 758.74665376548</t>
  </si>
  <si>
    <t>9763-20170724T160606.309487500.bin</t>
  </si>
  <si>
    <t>-656.668101826714 93.6300605243175 -231.060354312612</t>
  </si>
  <si>
    <t>-693.417895113795 89.6179674948326 -346.391161484255</t>
  </si>
  <si>
    <t>-709.657633524502 87.4517549621289 -466.483241972562</t>
  </si>
  <si>
    <t>-715.732594499013 85.9384767313161 -575.825148915849</t>
  </si>
  <si>
    <t>-713.253373858586 84.7459601303458 -685.311656268515</t>
  </si>
  <si>
    <t>-700.888376226978 83.2782483783253 -837.117347813884</t>
  </si>
  <si>
    <t>-668.027784053293 71.4041569463759 -932.836668661666</t>
  </si>
  <si>
    <t>-694.264044453874 113.322545519002 -769.246989368967</t>
  </si>
  <si>
    <t>-617.000914719005 235.75796178141 -743.452887480948</t>
  </si>
  <si>
    <t>-491.534970381942 139.858406686384 -469.139671419063</t>
  </si>
  <si>
    <t>-318.592371234742 24.645453626973 -312.746292676089</t>
  </si>
  <si>
    <t>-718.454974852325 54.532769945597 -770.649050311133</t>
  </si>
  <si>
    <t>-629.959219052716 189.053537859271 -242.64189177371</t>
  </si>
  <si>
    <t>-616.46566026296 181.253718227781 212.786230172801</t>
  </si>
  <si>
    <t>-632.335078927753 169.961625696973 682.059318893047</t>
  </si>
  <si>
    <t>-491.755592110913 103.585903766947 764.370795739139</t>
  </si>
  <si>
    <t>-649.97728778574 -6.74189306501353 235.632227110606</t>
  </si>
  <si>
    <t>-783.620310724823 83.7865460360513 676.543572223707</t>
  </si>
  <si>
    <t>-677.155567016939 -29.6990584625605 758.578849134269</t>
  </si>
  <si>
    <t>9763-20170724T160606.325532600.bin</t>
  </si>
  <si>
    <t>-656.499093754655 94.2740717604036 -230.861505707299</t>
  </si>
  <si>
    <t>-693.343023185256 90.2152906252422 -346.160576280077</t>
  </si>
  <si>
    <t>-709.657526668916 87.9050983970324 -466.239931646832</t>
  </si>
  <si>
    <t>-715.79255514064 86.2211816592749 -575.575940563952</t>
  </si>
  <si>
    <t>-713.366014305166 84.8176975969759 -685.061077305817</t>
  </si>
  <si>
    <t>-701.066799445506 83.0147869141335 -836.868505408583</t>
  </si>
  <si>
    <t>-668.289850932774 70.9441692113294 -932.591835290953</t>
  </si>
  <si>
    <t>-694.302219616264 113.162694105441 -769.057992645468</t>
  </si>
  <si>
    <t>-616.594127783322 235.34670621277 -743.503368628277</t>
  </si>
  <si>
    <t>-491.496432728484 139.400475827113 -469.038447410778</t>
  </si>
  <si>
    <t>-318.76341346353 23.2622195891222 -313.098383218921</t>
  </si>
  <si>
    <t>-718.715522483304 54.4622261701043 -770.338880162516</t>
  </si>
  <si>
    <t>-629.612053777141 189.651105821628 -242.605320700877</t>
  </si>
  <si>
    <t>-616.479293895633 181.720797118842 212.831018748027</t>
  </si>
  <si>
    <t>-632.303867857914 170.008507886179 682.080909129233</t>
  </si>
  <si>
    <t>-491.83444340104 103.394955137011 764.388124422492</t>
  </si>
  <si>
    <t>-649.082919327632 -7.23941145190497 235.932991455391</t>
  </si>
  <si>
    <t>-783.605695353936 83.9652623924976 676.469903037084</t>
  </si>
  <si>
    <t>-677.18300074595 -29.6395152579289 758.394704419404</t>
  </si>
  <si>
    <t>9763-20170724T160606.400737500.bin</t>
  </si>
  <si>
    <t>-656.30365242758 95.2997151465611 -230.687314604905</t>
  </si>
  <si>
    <t>-693.382146510521 91.196196704673 -345.909469499504</t>
  </si>
  <si>
    <t>-709.863063472263 88.7027985079221 -465.962409592009</t>
  </si>
  <si>
    <t>-716.119763928068 86.7932947291058 -575.287926824125</t>
  </si>
  <si>
    <t>-713.786279086844 85.1024379763739 -684.771104876352</t>
  </si>
  <si>
    <t>-701.587122548875 82.8340727711545 -836.58029055922</t>
  </si>
  <si>
    <t>-668.883791565198 70.6277585149039 -932.311541881381</t>
  </si>
  <si>
    <t>-694.628412476914 113.126976798169 -768.854142662922</t>
  </si>
  <si>
    <t>-616.318337371018 234.986054731708 -743.561870637586</t>
  </si>
  <si>
    <t>-491.581414471337 139.051969141048 -468.928369925722</t>
  </si>
  <si>
    <t>-320.785263900519 17.9946846700987 -314.604425040294</t>
  </si>
  <si>
    <t>-719.341290467384 54.5485764520299 -769.964674736906</t>
  </si>
  <si>
    <t>-629.157261508754 190.574778443843 -242.568497562542</t>
  </si>
  <si>
    <t>-616.511169095635 182.439670862835 212.877995273989</t>
  </si>
  <si>
    <t>-632.279398725613 170.004413804091 682.139450106374</t>
  </si>
  <si>
    <t>-491.972872825834 103.032073920181 764.433447959217</t>
  </si>
  <si>
    <t>-683.358235248643 0.127269235637868 -218.116023066392</t>
  </si>
  <si>
    <t>-647.920639495434 -7.31142100519196 236.137765660177</t>
  </si>
  <si>
    <t>-783.547200860066 84.2849594887173 676.23222490326</t>
  </si>
  <si>
    <t>-677.210810919684 -29.5099489091724 758.005130174652</t>
  </si>
  <si>
    <t>9763-20170724T160606.432822800.bin</t>
  </si>
  <si>
    <t>-656.239428551663 95.6223094615591 -230.662856717252</t>
  </si>
  <si>
    <t>-693.274858041763 91.4506661603643 -345.896460527457</t>
  </si>
  <si>
    <t>-709.780424082458 88.8824461142547 -465.944391311618</t>
  </si>
  <si>
    <t>-716.087586048112 86.8991070278705 -575.265731904962</t>
  </si>
  <si>
    <t>-713.832488452406 85.1264653310143 -684.749183789139</t>
  </si>
  <si>
    <t>-701.771510184338 82.7337784924398 -836.567489396517</t>
  </si>
  <si>
    <t>-669.109241548048 70.5421374522073 -932.314647285148</t>
  </si>
  <si>
    <t>-694.711070352339 113.065171240645 -768.869050204979</t>
  </si>
  <si>
    <t>-616.201515114576 234.837819987758 -743.73974100244</t>
  </si>
  <si>
    <t>-492.081835791969 138.340638246293 -469.024008285736</t>
  </si>
  <si>
    <t>-322.118585484936 14.7728274611093 -315.774058759446</t>
  </si>
  <si>
    <t>-719.50513887529 54.5198025207098 -769.916216713596</t>
  </si>
  <si>
    <t>-629.066810701088 190.85355694842 -242.569422330513</t>
  </si>
  <si>
    <t>-616.475882822092 182.560367133196 212.875831811021</t>
  </si>
  <si>
    <t>-632.297980950179 169.921207317381 682.168750889267</t>
  </si>
  <si>
    <t>-492.019961938587 102.873113483873 764.449636159669</t>
  </si>
  <si>
    <t>-683.22346228981 0.451564334248133 -218.106534336653</t>
  </si>
  <si>
    <t>-647.618209434407 -7.1355438564342 236.131701498467</t>
  </si>
  <si>
    <t>-783.531137176952 84.3815292508459 676.136738616875</t>
  </si>
  <si>
    <t>-677.212843125582 -29.4476392763675 757.885416343833</t>
  </si>
  <si>
    <t>9763-20170724T160606.491988900.bin</t>
  </si>
  <si>
    <t>-656.097784348195 96.0048238597908 -230.562110576001</t>
  </si>
  <si>
    <t>-693.191223021714 91.8488709594837 -345.777637072979</t>
  </si>
  <si>
    <t>-709.788988097231 89.283061422379 -465.81299709094</t>
  </si>
  <si>
    <t>-716.19312805043 87.2966872407544 -575.128553497636</t>
  </si>
  <si>
    <t>-714.048518495242 85.5156338940526 -684.614170547995</t>
  </si>
  <si>
    <t>-702.154264888722 83.1063465567424 -836.445305388447</t>
  </si>
  <si>
    <t>-669.578106698181 71.098791852796 -932.245142223851</t>
  </si>
  <si>
    <t>-695.021931721734 113.446150852616 -768.75825853495</t>
  </si>
  <si>
    <t>-616.567374302699 235.265065754404 -743.715272197534</t>
  </si>
  <si>
    <t>-492.985305207597 138.033927617316 -469.015863175102</t>
  </si>
  <si>
    <t>-324.372986361549 10.3425574918654 -317.665677617153</t>
  </si>
  <si>
    <t>-719.812226737367 54.8986690999952 -769.771172409815</t>
  </si>
  <si>
    <t>-629.01121124889 191.297651342833 -242.441453741985</t>
  </si>
  <si>
    <t>-616.381068706476 182.52216011772 212.993616658167</t>
  </si>
  <si>
    <t>-632.407116563665 169.674582023296 682.294053857146</t>
  </si>
  <si>
    <t>-492.174849466109 102.479700718188 764.533140654147</t>
  </si>
  <si>
    <t>-683.124421405027 0.727451862421958 -218.021550971046</t>
  </si>
  <si>
    <t>-647.105346361786 -6.86028063621052 236.184096229751</t>
  </si>
  <si>
    <t>-783.493455465294 84.5883460222008 676.008298820392</t>
  </si>
  <si>
    <t>-677.238573464282 -29.3336375513786 757.710134418531</t>
  </si>
  <si>
    <t>9763-20170724T160606.524004800.bin</t>
  </si>
  <si>
    <t>-656.030684342378 96.2092959733009 -230.477688781541</t>
  </si>
  <si>
    <t>-693.173920175493 92.0064240803597 -345.675545925982</t>
  </si>
  <si>
    <t>-709.83238546863 89.4251016689877 -465.702052804137</t>
  </si>
  <si>
    <t>-716.29522839258 87.440356684368 -575.014253763077</t>
  </si>
  <si>
    <t>-714.212278185056 85.6787524694753 -684.501245608186</t>
  </si>
  <si>
    <t>-702.406551611298 83.3162808750271 -836.340082281809</t>
  </si>
  <si>
    <t>-669.86422943175 71.4165466992058 -932.164827722596</t>
  </si>
  <si>
    <t>-695.257294348686 113.64482890535 -768.649686573119</t>
  </si>
  <si>
    <t>-616.921925235378 235.54915578301 -743.592158117427</t>
  </si>
  <si>
    <t>-493.314535065077 138.293393751404 -468.912826100283</t>
  </si>
  <si>
    <t>-325.595843794083 7.75767890661382 -319.003049207989</t>
  </si>
  <si>
    <t>-720.003153671545 55.0783659506678 -769.662590137781</t>
  </si>
  <si>
    <t>-628.924613512584 191.483352530251 -242.379491977765</t>
  </si>
  <si>
    <t>-616.356621685653 182.51322523369 213.053582393728</t>
  </si>
  <si>
    <t>-632.474505624723 169.535549444373 682.365536153457</t>
  </si>
  <si>
    <t>-492.287824748676 102.228842711168 764.590918303246</t>
  </si>
  <si>
    <t>-683.018037382725 0.961421551798367 -217.888272415117</t>
  </si>
  <si>
    <t>-646.866905786838 -6.78051057450625 236.304306639614</t>
  </si>
  <si>
    <t>-783.492479791327 84.6933210421671 676.009634762152</t>
  </si>
  <si>
    <t>-677.242738674701 -29.2630384047395 757.670218323608</t>
  </si>
  <si>
    <t>9763-20170724T160606.588170900.bin</t>
  </si>
  <si>
    <t>-655.763787142441 96.3499993986075 -230.274127970366</t>
  </si>
  <si>
    <t>-693.13956006856 92.1143754382699 -345.395310689552</t>
  </si>
  <si>
    <t>-710.041669166461 89.5920812814486 -465.389209196966</t>
  </si>
  <si>
    <t>-716.725870300299 87.7015482127958 -574.689744032994</t>
  </si>
  <si>
    <t>-714.863342050873 86.0771640525802 -684.182769031314</t>
  </si>
  <si>
    <t>-703.361342008818 83.9519285794972 -836.048551305515</t>
  </si>
  <si>
    <t>-670.857802804632 72.2625793654711 -931.912387889002</t>
  </si>
  <si>
    <t>-696.092541799591 114.181320483323 -768.326556647492</t>
  </si>
  <si>
    <t>-617.745093196486 236.057114993728 -743.146694763303</t>
  </si>
  <si>
    <t>-494.827571989975 137.812064925241 -468.509886912246</t>
  </si>
  <si>
    <t>-328.458006006425 2.46664545911858 -321.388060443538</t>
  </si>
  <si>
    <t>-720.80870863543 55.6032261703681 -769.378700859198</t>
  </si>
  <si>
    <t>-628.59035246655 191.629441441696 -242.263882218618</t>
  </si>
  <si>
    <t>-616.158729034401 182.365565490158 213.167077422034</t>
  </si>
  <si>
    <t>-632.569485412422 169.358177797301 682.485690954285</t>
  </si>
  <si>
    <t>-492.520304074299 101.723977610096 764.676641862193</t>
  </si>
  <si>
    <t>-682.889357435039 1.02874135035268 -217.578818302698</t>
  </si>
  <si>
    <t>-646.12181005997 -6.95158785337071 236.560104205588</t>
  </si>
  <si>
    <t>-783.413551740733 84.8160524296854 675.870374851392</t>
  </si>
  <si>
    <t>-677.241583237922 -29.1215121495643 757.658235209284</t>
  </si>
  <si>
    <t>9763-20170724T160606.623890300.bin</t>
  </si>
  <si>
    <t>-655.579095836591 96.25544814867 -230.242962982837</t>
  </si>
  <si>
    <t>-692.99612759047 91.9667523274618 -345.348945936896</t>
  </si>
  <si>
    <t>-709.979397197217 89.4673374141 -465.331769984328</t>
  </si>
  <si>
    <t>-716.751658989233 87.6285019193033 -574.627801829023</t>
  </si>
  <si>
    <t>-714.991160171946 86.0863594835077 -684.123667889741</t>
  </si>
  <si>
    <t>-703.644270180444 84.1073619361571 -836.003117231888</t>
  </si>
  <si>
    <t>-671.117678964752 72.5348630516744 -931.873177688465</t>
  </si>
  <si>
    <t>-696.309677570779 114.273042923274 -768.259873590772</t>
  </si>
  <si>
    <t>-617.940614891963 236.094817142531 -743.002351890188</t>
  </si>
  <si>
    <t>-494.991463938762 137.501753868278 -468.504526519172</t>
  </si>
  <si>
    <t>-329.330995202314 0.0593152136298158 -322.531106964095</t>
  </si>
  <si>
    <t>-721.02013628376 55.6929975210398 -769.34259273662</t>
  </si>
  <si>
    <t>-628.394817283388 191.595055028698 -242.245194660269</t>
  </si>
  <si>
    <t>-616.015633296053 182.190865469593 213.184241654953</t>
  </si>
  <si>
    <t>-632.605931827339 169.26420971815 682.513946680906</t>
  </si>
  <si>
    <t>-492.613385536212 101.495546706659 764.69068456063</t>
  </si>
  <si>
    <t>-682.609157101713 0.864274803659782 -217.591741803416</t>
  </si>
  <si>
    <t>-645.878882599431 -7.11053309980548 236.550303222854</t>
  </si>
  <si>
    <t>-783.317142515827 84.7496560583086 675.760435539775</t>
  </si>
  <si>
    <t>-677.235459704837 -29.107862849216 757.776635204714</t>
  </si>
  <si>
    <t>9763-20170724T160606.696086600.bin</t>
  </si>
  <si>
    <t>-654.978805212072 96.0409643340954 -230.075186501335</t>
  </si>
  <si>
    <t>-692.397297755324 91.6416607525921 -345.176341152646</t>
  </si>
  <si>
    <t>-709.565051781427 89.2127153097042 -465.134401462371</t>
  </si>
  <si>
    <t>-716.577055013795 87.5155197689012 -574.417572115332</t>
  </si>
  <si>
    <t>-715.12711219122 86.1955427014702 -683.921083510618</t>
  </si>
  <si>
    <t>-704.282845398385 84.6114219528188 -835.841726592087</t>
  </si>
  <si>
    <t>-671.780670503235 73.3305499907106 -931.754829667289</t>
  </si>
  <si>
    <t>-696.746721326927 114.610521415314 -768.046598996887</t>
  </si>
  <si>
    <t>-618.388235213861 236.47146753374 -742.811290062489</t>
  </si>
  <si>
    <t>-495.696503618971 136.407180382304 -468.730887505915</t>
  </si>
  <si>
    <t>-721.415401905412 56.0142538526886 -769.19648196257</t>
  </si>
  <si>
    <t>-627.759106467971 191.411583771252 -242.182289468795</t>
  </si>
  <si>
    <t>-615.64467291341 181.936612130126 213.25274985855</t>
  </si>
  <si>
    <t>-632.634736384957 169.106070504482 682.560202578217</t>
  </si>
  <si>
    <t>-492.694486467739 101.211544219944 764.722085256899</t>
  </si>
  <si>
    <t>-682.023540416113 0.702393835868634 -217.271399375187</t>
  </si>
  <si>
    <t>-645.146154304244 -7.54925763744177 236.853753123524</t>
  </si>
  <si>
    <t>-783.23805069162 84.9069637362791 675.858838717723</t>
  </si>
  <si>
    <t>-677.26009251982 -28.9860714553035 757.959764649309</t>
  </si>
  <si>
    <t>9763-20170724T160606.725175400.bin</t>
  </si>
  <si>
    <t>-654.582866016042 96.0151887387049 -229.923142341617</t>
  </si>
  <si>
    <t>-691.981891674372 91.5374971745564 -345.027767565167</t>
  </si>
  <si>
    <t>-709.193606228024 89.1247529267905 -464.979800045655</t>
  </si>
  <si>
    <t>-716.27072240276 87.4827859473817 -574.259600118866</t>
  </si>
  <si>
    <t>-714.910191914693 86.2603350309616 -683.76530040188</t>
  </si>
  <si>
    <t>-704.214413011082 84.8571138609475 -835.698244490263</t>
  </si>
  <si>
    <t>-671.754750919476 73.7436849109467 -931.64535027391</t>
  </si>
  <si>
    <t>-696.614483037791 114.776529810756 -767.875177333372</t>
  </si>
  <si>
    <t>-618.281225089765 236.621875368429 -742.632130418828</t>
  </si>
  <si>
    <t>-496.121530577017 135.614712723225 -468.659913597829</t>
  </si>
  <si>
    <t>-721.279423369164 56.179490129907 -769.070256991099</t>
  </si>
  <si>
    <t>-627.321947774955 191.297199129071 -242.125862321978</t>
  </si>
  <si>
    <t>-615.481478654167 181.925726429976 213.318544806251</t>
  </si>
  <si>
    <t>-632.638670685897 169.029499315199 682.591150986124</t>
  </si>
  <si>
    <t>-492.71632075217 101.094689372848 764.750175298931</t>
  </si>
  <si>
    <t>-681.673128551181 0.765552706524431 -217.016509113151</t>
  </si>
  <si>
    <t>-644.755189525547 -7.74044576224924 237.10072869699</t>
  </si>
  <si>
    <t>-783.260654341072 85.0773896593485 675.962124587928</t>
  </si>
  <si>
    <t>-677.275609703765 -28.9044582174683 757.930529739817</t>
  </si>
  <si>
    <t>9763-20170724T160606.795363200.bin</t>
  </si>
  <si>
    <t>-653.754791273744 95.8491485468153 -229.690649306907</t>
  </si>
  <si>
    <t>-691.27557628101 91.1996187396783 -344.74876557539</t>
  </si>
  <si>
    <t>-708.67299082977 88.8350128573043 -464.674957966764</t>
  </si>
  <si>
    <t>-715.939939102325 87.3264519007032 -573.944172882905</t>
  </si>
  <si>
    <t>-714.78868347552 86.3273452763683 -683.454610693031</t>
  </si>
  <si>
    <t>-704.401638909173 85.328062896793 -835.412285918827</t>
  </si>
  <si>
    <t>-672.073628800239 74.5865249744318 -931.446098056275</t>
  </si>
  <si>
    <t>-696.65658199865 115.063902325036 -767.524807972397</t>
  </si>
  <si>
    <t>-618.240019764381 236.882572395526 -742.279744368041</t>
  </si>
  <si>
    <t>-497.596182434218 133.270260417266 -468.608821860882</t>
  </si>
  <si>
    <t>-721.338667801748 56.4764269011598 -768.826552704689</t>
  </si>
  <si>
    <t>-626.473567367937 191.014260464342 -242.082377491067</t>
  </si>
  <si>
    <t>-615.064448148421 181.793195884404 213.376118263356</t>
  </si>
  <si>
    <t>-632.617707597853 168.881705675115 682.623105568502</t>
  </si>
  <si>
    <t>-492.721682635219 100.914450322138 764.800095717402</t>
  </si>
  <si>
    <t>-680.938505445999 0.670521936737487 -216.598357136736</t>
  </si>
  <si>
    <t>-643.973747754019 -7.88887773893498 237.513905470387</t>
  </si>
  <si>
    <t>-783.277062301035 85.3367156902104 676.011608358682</t>
  </si>
  <si>
    <t>-677.267186190177 -28.7451266080075 757.808601309675</t>
  </si>
  <si>
    <t>9763-20170724T160606.830459900.bin</t>
  </si>
  <si>
    <t>-653.320814571589 95.6164196071959 -229.657979601866</t>
  </si>
  <si>
    <t>-690.892673286589 90.9088473453239 -344.697132914536</t>
  </si>
  <si>
    <t>-708.389290058575 88.5774062201908 -464.609550073772</t>
  </si>
  <si>
    <t>-715.763871066219 87.1347656990943 -573.872459139222</t>
  </si>
  <si>
    <t>-714.736953933026 86.236898159884 -683.385055701853</t>
  </si>
  <si>
    <t>-704.539022348305 85.4143353235977 -835.35644269707</t>
  </si>
  <si>
    <t>-672.284121152026 74.8384164599856 -931.43328494854</t>
  </si>
  <si>
    <t>-696.699989909081 115.067280238546 -767.44346717679</t>
  </si>
  <si>
    <t>-618.193696880736 236.824980373367 -742.225097715732</t>
  </si>
  <si>
    <t>-499.044489313546 131.060365262378 -468.722848105992</t>
  </si>
  <si>
    <t>-721.402597012084 56.4892975334626 -768.784068915384</t>
  </si>
  <si>
    <t>-626.021173361457 190.776795380137 -242.091532944273</t>
  </si>
  <si>
    <t>-614.834424015511 181.647058508309 213.374397261833</t>
  </si>
  <si>
    <t>-632.597847435562 168.835014905632 682.617106373761</t>
  </si>
  <si>
    <t>-492.723682989973 100.840153335391 764.808575241613</t>
  </si>
  <si>
    <t>-680.493116367655 0.43002028625915 -216.532785365314</t>
  </si>
  <si>
    <t>-643.688824571178 -7.97899325125718 237.595341712648</t>
  </si>
  <si>
    <t>-783.247077338662 85.3783841127554 675.970292694346</t>
  </si>
  <si>
    <t>-677.248459738337 -28.6945082043387 757.794378593396</t>
  </si>
  <si>
    <t>9763-20170724T160606.892627400.bin</t>
  </si>
  <si>
    <t>-652.475515029698 95.1004201754183 -229.560985847839</t>
  </si>
  <si>
    <t>-690.077585914061 90.3134016658312 -344.58694188748</t>
  </si>
  <si>
    <t>-707.701321635277 88.0738055951174 -464.482497596877</t>
  </si>
  <si>
    <t>-715.228339229866 86.786387977631 -573.736905157606</t>
  </si>
  <si>
    <t>-714.389616625425 86.1175720302399 -683.252793732175</t>
  </si>
  <si>
    <t>-704.488476941909 85.6916994664855 -835.24548677604</t>
  </si>
  <si>
    <t>-672.367442813334 75.4823212657495 -931.406750286841</t>
  </si>
  <si>
    <t>-696.52010103195 115.16868659092 -767.271033834105</t>
  </si>
  <si>
    <t>-618.031566803518 236.970528159747 -742.165405911412</t>
  </si>
  <si>
    <t>-501.924715495528 127.144396553346 -468.955586477883</t>
  </si>
  <si>
    <t>-721.218780964265 56.5915449627553 -768.715891677736</t>
  </si>
  <si>
    <t>-625.120068754782 190.184913553231 -242.103561204052</t>
  </si>
  <si>
    <t>-614.376499352174 181.309486678345 213.377938869371</t>
  </si>
  <si>
    <t>-632.562945359171 168.741206014006 682.611128565096</t>
  </si>
  <si>
    <t>-492.720564802595 100.716689483444 764.832071652863</t>
  </si>
  <si>
    <t>-679.678405830893 0.0730125951270111 -216.331695580704</t>
  </si>
  <si>
    <t>-643.003085100734 -8.35601184243842 237.806558184879</t>
  </si>
  <si>
    <t>-783.209281339086 85.5344494112694 675.954226896476</t>
  </si>
  <si>
    <t>-677.239027599342 -28.5819396230888 757.754367890221</t>
  </si>
  <si>
    <t>9763-20170724T160606.925279100.bin</t>
  </si>
  <si>
    <t>-652.067038118186 94.8492025180794 -229.474741321074</t>
  </si>
  <si>
    <t>-689.724319011821 90.0186348521274 -344.480782964651</t>
  </si>
  <si>
    <t>-707.435644872395 87.8208703453156 -464.364402584362</t>
  </si>
  <si>
    <t>-715.053659944705 86.6089921283617 -573.613320391684</t>
  </si>
  <si>
    <t>-714.3169132866 86.0550938606286 -683.130528147713</t>
  </si>
  <si>
    <t>-704.567828798183 85.8316802641984 -835.133480237045</t>
  </si>
  <si>
    <t>-672.49772040317 75.7978098145384 -931.330237720799</t>
  </si>
  <si>
    <t>-696.538915455053 115.221360611828 -767.128221619989</t>
  </si>
  <si>
    <t>-618.179111086916 237.112096060204 -742.133405405794</t>
  </si>
  <si>
    <t>-503.55164574454 125.322165958814 -469.095316260118</t>
  </si>
  <si>
    <t>-721.224019775097 56.6397767107953 -768.62549455719</t>
  </si>
  <si>
    <t>-624.657494442316 189.874630350795 -242.094678093854</t>
  </si>
  <si>
    <t>-614.112914633465 181.13482879485 213.394068600142</t>
  </si>
  <si>
    <t>-632.545896857535 168.693259853644 682.618072012651</t>
  </si>
  <si>
    <t>-492.726683819215 100.632901465252 764.848782657048</t>
  </si>
  <si>
    <t>-642.648558562757 -8.51145221533739 237.962298450101</t>
  </si>
  <si>
    <t>-783.196352523262 85.6487367064401 675.953260750682</t>
  </si>
  <si>
    <t>-677.237832711664 -28.5181238573427 757.698199094145</t>
  </si>
  <si>
    <t>9763-20170724T160606.994969400.bin</t>
  </si>
  <si>
    <t>-651.194516747321 94.2489667533646 -229.384278692935</t>
  </si>
  <si>
    <t>-688.880224116156 89.3391854301365 -344.377618772164</t>
  </si>
  <si>
    <t>-706.714960157544 87.2689811832076 -464.245011879079</t>
  </si>
  <si>
    <t>-714.480776525985 86.2590653280042 -573.485753714245</t>
  </si>
  <si>
    <t>-713.926127342981 85.9952637939018 -683.00502442715</t>
  </si>
  <si>
    <t>-704.463718688596 86.2682063707082 -835.026082233315</t>
  </si>
  <si>
    <t>-672.413026667853 76.6377641884496 -931.270496899916</t>
  </si>
  <si>
    <t>-696.330472396583 115.445807064576 -766.941951262264</t>
  </si>
  <si>
    <t>-618.083536439603 237.442713866277 -742.100220007885</t>
  </si>
  <si>
    <t>-507.292576229784 120.979070780774 -469.432337064224</t>
  </si>
  <si>
    <t>-720.97057276213 56.8491102688083 -768.580936142861</t>
  </si>
  <si>
    <t>-623.79924551884 189.094455619982 -242.093525717437</t>
  </si>
  <si>
    <t>-613.562101649343 180.625272896121 213.407482194656</t>
  </si>
  <si>
    <t>-632.51740469995 168.52926414479 682.619598476541</t>
  </si>
  <si>
    <t>-492.678218374888 100.553995778224 764.886733121772</t>
  </si>
  <si>
    <t>-642.041306949415 -8.68309063867491 238.140881681612</t>
  </si>
  <si>
    <t>-783.172086201957 85.827055384189 675.888962173636</t>
  </si>
  <si>
    <t>-677.23922191613 -28.4107425538841 757.567977456076</t>
  </si>
  <si>
    <t>9763-20170724T160607.026053600.bin</t>
  </si>
  <si>
    <t>-650.825687309199 93.9686197766607 -229.402113101348</t>
  </si>
  <si>
    <t>-688.506930775906 89.020716766282 -344.39547270343</t>
  </si>
  <si>
    <t>-706.348109394189 86.9993689507819 -464.262733753584</t>
  </si>
  <si>
    <t>-714.123192818918 86.0691669048879 -573.503387228552</t>
  </si>
  <si>
    <t>-713.580454671816 85.9208607193004 -683.022984156894</t>
  </si>
  <si>
    <t>-704.136878807915 86.391483364855 -835.044788632817</t>
  </si>
  <si>
    <t>-671.995718819464 76.9372117491168 -931.276383114246</t>
  </si>
  <si>
    <t>-696.016003682755 115.489304953082 -766.925044523328</t>
  </si>
  <si>
    <t>-617.875787000199 237.553945813665 -742.135852748837</t>
  </si>
  <si>
    <t>-508.100170344316 119.996865997711 -469.526512966916</t>
  </si>
  <si>
    <t>-720.614738064782 56.8771835858263 -768.634619365537</t>
  </si>
  <si>
    <t>-623.476452291785 188.733260222028 -242.103684749379</t>
  </si>
  <si>
    <t>-613.309722419579 180.32767915321 213.400002572401</t>
  </si>
  <si>
    <t>-632.499315550463 168.459448286111 682.614966423097</t>
  </si>
  <si>
    <t>-492.64514119844 100.535779037489 764.899175599463</t>
  </si>
  <si>
    <t>-641.890593067673 -8.70986691603184 238.140423192426</t>
  </si>
  <si>
    <t>-783.14290305468 85.8805529503504 675.833060010328</t>
  </si>
  <si>
    <t>-677.238590547206 -28.3726805425342 757.527512066381</t>
  </si>
  <si>
    <t>9763-20170724T160607.096747100.bin</t>
  </si>
  <si>
    <t>-650.354687417431 93.3586761877687 -229.481999059258</t>
  </si>
  <si>
    <t>-688.10478766612 88.3443792761186 -344.44982792913</t>
  </si>
  <si>
    <t>-705.999242799745 86.3889416448424 -464.310116415048</t>
  </si>
  <si>
    <t>-713.813372563158 85.571549213382 -573.54898273559</t>
  </si>
  <si>
    <t>-713.299523612911 85.5882714549791 -683.068910926273</t>
  </si>
  <si>
    <t>-703.884224257038 86.3423386190771 -835.09114870478</t>
  </si>
  <si>
    <t>-671.597759645197 77.2086092556015 -931.305222524868</t>
  </si>
  <si>
    <t>-695.791149677604 115.330107153932 -766.921317697095</t>
  </si>
  <si>
    <t>-618.113983878084 237.769407747421 -742.390958249501</t>
  </si>
  <si>
    <t>-511.010833371547 117.196445432981 -470.036014348227</t>
  </si>
  <si>
    <t>-720.309239031308 56.6872836915929 -768.730583716602</t>
  </si>
  <si>
    <t>-623.13735201529 188.043548846453 -242.169561449455</t>
  </si>
  <si>
    <t>-612.925330428405 179.772947501676 213.335601534971</t>
  </si>
  <si>
    <t>-632.479267506928 168.29953594044 682.584798978875</t>
  </si>
  <si>
    <t>-492.590220877117 100.486481151349 764.901012458241</t>
  </si>
  <si>
    <t>-641.588395951122 -8.55921249239213 238.090875514361</t>
  </si>
  <si>
    <t>-783.077665819868 85.9344730394246 675.720386921673</t>
  </si>
  <si>
    <t>-677.201957311685 -28.2875025594881 757.495608054594</t>
  </si>
  <si>
    <t>9763-20170724T160607.129339500.bin</t>
  </si>
  <si>
    <t>-650.19437247423 93.2035566272505 -229.555839843243</t>
  </si>
  <si>
    <t>-687.906304565671 88.0972071430151 -344.532102055416</t>
  </si>
  <si>
    <t>-705.800966325121 86.1317528174191 -464.392383154026</t>
  </si>
  <si>
    <t>-713.629902807544 85.3363377496819 -573.630291157768</t>
  </si>
  <si>
    <t>-713.144637325221 85.4046480159277 -683.150235586408</t>
  </si>
  <si>
    <t>-703.783000637525 86.2594457602504 -835.175378755987</t>
  </si>
  <si>
    <t>-671.470194544468 77.2589007072286 -931.393135610924</t>
  </si>
  <si>
    <t>-695.683435717903 115.209497243922 -766.990192041374</t>
  </si>
  <si>
    <t>-618.134128926755 237.743279277039 -742.5835179772</t>
  </si>
  <si>
    <t>-512.301258147484 115.824562172753 -470.331062995169</t>
  </si>
  <si>
    <t>-720.166983674869 56.5530130648476 -768.827700114268</t>
  </si>
  <si>
    <t>-623.09974569669 187.821990842196 -242.217638142636</t>
  </si>
  <si>
    <t>-612.863314604039 179.607602394811 213.288048708394</t>
  </si>
  <si>
    <t>-632.470842984274 168.236476678731 682.561493244243</t>
  </si>
  <si>
    <t>-492.560715196993 100.47760392716 764.886473788777</t>
  </si>
  <si>
    <t>-641.59708472372 -8.38039894348231 238.041851221907</t>
  </si>
  <si>
    <t>-783.031169870566 85.9760338163644 675.714654937119</t>
  </si>
  <si>
    <t>-677.199025440912 -28.2540925334672 757.534899051095</t>
  </si>
  <si>
    <t>9763-20170724T160607.189999900.bin</t>
  </si>
  <si>
    <t>-650.078809393053 93.038189745577 -229.710583371131</t>
  </si>
  <si>
    <t>-687.685608142075 87.8903253411911 -344.719379025446</t>
  </si>
  <si>
    <t>-705.546634652879 85.9536250522447 -464.585202807251</t>
  </si>
  <si>
    <t>-713.373922194442 85.2090308087936 -573.8235538094</t>
  </si>
  <si>
    <t>-712.915453498937 85.3502053699833 -683.343485401965</t>
  </si>
  <si>
    <t>-703.619919736443 86.3270908066393 -835.371987186901</t>
  </si>
  <si>
    <t>-671.248100650923 77.543743009137 -931.59002185902</t>
  </si>
  <si>
    <t>-695.526879491496 115.237364269495 -767.169229139442</t>
  </si>
  <si>
    <t>-618.186690685165 237.899366362428 -742.775116927857</t>
  </si>
  <si>
    <t>-512.915122969348 115.573995641641 -470.487378799146</t>
  </si>
  <si>
    <t>-719.938998907016 56.5522558700145 -769.039079611984</t>
  </si>
  <si>
    <t>-623.208392860118 187.665339350184 -242.289313105087</t>
  </si>
  <si>
    <t>-613.037679152256 179.521777595783 213.219140299288</t>
  </si>
  <si>
    <t>-632.460765347454 168.164770947029 682.527405611388</t>
  </si>
  <si>
    <t>-492.546345703417 100.411897020175 764.850020299883</t>
  </si>
  <si>
    <t>-642.030525443003 -7.82178367006691 237.841821862104</t>
  </si>
  <si>
    <t>-783.000055857019 86.0134290294279 675.801297267526</t>
  </si>
  <si>
    <t>-677.17569537704 -28.1738083242656 757.691402339494</t>
  </si>
  <si>
    <t>9763-20170724T160607.230237800.bin</t>
  </si>
  <si>
    <t>-650.086597722055 93.0394173611662 -229.788292775819</t>
  </si>
  <si>
    <t>-687.642684401508 87.9057267050362 -344.814356911714</t>
  </si>
  <si>
    <t>-705.475006681656 85.9874744794602 -464.684566396226</t>
  </si>
  <si>
    <t>-713.285585784815 85.2592556590646 -573.924267536306</t>
  </si>
  <si>
    <t>-712.819521223424 85.4154165169195 -683.444219490021</t>
  </si>
  <si>
    <t>-703.523069153906 86.4103359196374 -835.472460524824</t>
  </si>
  <si>
    <t>-671.118482922743 77.6850945495605 -931.684750349506</t>
  </si>
  <si>
    <t>-695.442159959965 115.317517202137 -767.267003840569</t>
  </si>
  <si>
    <t>-618.204785133195 238.033530537162 -742.796820167277</t>
  </si>
  <si>
    <t>-512.546458929502 116.139274497435 -470.465554618331</t>
  </si>
  <si>
    <t>-719.83071751771 56.6227684495382 -769.142451708052</t>
  </si>
  <si>
    <t>-623.271367973924 187.666548001403 -242.30693545211</t>
  </si>
  <si>
    <t>-613.180894647771 179.540792353888 213.20358161084</t>
  </si>
  <si>
    <t>-632.461750362331 168.104814447896 682.519251389109</t>
  </si>
  <si>
    <t>-492.522565414447 100.394556166035 764.834863129369</t>
  </si>
  <si>
    <t>-642.369036531681 -7.57048846604607 237.751725579656</t>
  </si>
  <si>
    <t>-783.018946008758 86.0021847524786 675.885139386519</t>
  </si>
  <si>
    <t>-677.155909886576 -28.1378738696826 757.79101501835</t>
  </si>
  <si>
    <t>9763-20170724T160607.294432100.bin</t>
  </si>
  <si>
    <t>-650.086722614021 93.1598894588317 -229.800148626068</t>
  </si>
  <si>
    <t>-687.525383750668 88.0706481106463 -344.866344818608</t>
  </si>
  <si>
    <t>-705.26779259314 86.1771333850854 -464.750563215794</t>
  </si>
  <si>
    <t>-713.010000584846 85.4661906606334 -573.995152239293</t>
  </si>
  <si>
    <t>-712.489550323655 85.6358256475753 -683.514889874199</t>
  </si>
  <si>
    <t>-703.132463999861 86.6471524473711 -835.53929674063</t>
  </si>
  <si>
    <t>-670.696101037953 77.9505671882944 -931.743377626903</t>
  </si>
  <si>
    <t>-695.118098066584 115.563354978598 -767.329658018793</t>
  </si>
  <si>
    <t>-618.158671150072 238.440634945729 -742.796884791946</t>
  </si>
  <si>
    <t>-512.182939733827 116.882989220869 -470.438620909011</t>
  </si>
  <si>
    <t>-719.427320306521 56.8359248720499 -769.216610365371</t>
  </si>
  <si>
    <t>-623.296267700643 187.713890549251 -242.290115767726</t>
  </si>
  <si>
    <t>-613.263216059178 179.603086797288 213.221981651877</t>
  </si>
  <si>
    <t>-632.445471684615 168.080510891817 682.521604953524</t>
  </si>
  <si>
    <t>-492.516262033297 100.336451606675 764.826367022759</t>
  </si>
  <si>
    <t>-642.708090305991 -7.31906115757874 237.744728223108</t>
  </si>
  <si>
    <t>-783.039984232368 86.0483099585779 676.037444399543</t>
  </si>
  <si>
    <t>-677.139761677382 -28.062387271038 757.936153169392</t>
  </si>
  <si>
    <t>9763-20170724T160607.336360500.bin</t>
  </si>
  <si>
    <t>-650.022761940149 93.2653695577474 -229.757979916853</t>
  </si>
  <si>
    <t>-687.432130625226 88.1959800104505 -344.834786782853</t>
  </si>
  <si>
    <t>-705.126537812661 86.3108561311649 -464.726018924589</t>
  </si>
  <si>
    <t>-712.818481987672 85.6046872255245 -573.974191366102</t>
  </si>
  <si>
    <t>-712.241187445086 85.7776305894358 -683.493552422697</t>
  </si>
  <si>
    <t>-702.798552165606 86.7932166944031 -835.512744241913</t>
  </si>
  <si>
    <t>-670.309966619007 78.1092801970858 -931.700387162756</t>
  </si>
  <si>
    <t>-694.835137777003 115.712746290206 -767.298718382305</t>
  </si>
  <si>
    <t>-617.958312994431 238.629182345331 -742.71428698696</t>
  </si>
  <si>
    <t>-511.85753199543 117.288203139454 -470.308012447103</t>
  </si>
  <si>
    <t>-719.11806102349 56.9750217709329 -769.19941175558</t>
  </si>
  <si>
    <t>-623.183756402879 187.808915144778 -242.256413712385</t>
  </si>
  <si>
    <t>-613.199745318856 179.659502140372 213.256018400859</t>
  </si>
  <si>
    <t>-632.430058584387 168.072405312294 682.527503132105</t>
  </si>
  <si>
    <t>-492.511318569255 100.305517463673 764.831279251368</t>
  </si>
  <si>
    <t>-642.719480990739 -7.28239709957643 237.778869549884</t>
  </si>
  <si>
    <t>-783.039621883555 86.1003964017825 676.085101383666</t>
  </si>
  <si>
    <t>-677.137193891071 -28.0236433298394 757.962348745293</t>
  </si>
  <si>
    <t>9763-20170724T160607.390500600.bin</t>
  </si>
  <si>
    <t>-649.769339669281 93.6705390775901 -229.672200219502</t>
  </si>
  <si>
    <t>-687.18763020349 88.6149407643197 -344.746649475827</t>
  </si>
  <si>
    <t>-704.883729808157 86.7735544363559 -464.638401485793</t>
  </si>
  <si>
    <t>-712.574185568581 86.1212027449994 -573.887084465017</t>
  </si>
  <si>
    <t>-711.992228032028 86.3636592468765 -683.406228347531</t>
  </si>
  <si>
    <t>-702.539602755024 87.4935668260259 -835.424039378534</t>
  </si>
  <si>
    <t>-669.925396254217 78.8616076272369 -931.573722013669</t>
  </si>
  <si>
    <t>-694.595833801401 116.368091778503 -767.188557229514</t>
  </si>
  <si>
    <t>-617.75948360538 239.309821030262 -742.534541022042</t>
  </si>
  <si>
    <t>-511.877261488105 117.771758633171 -470.131090902509</t>
  </si>
  <si>
    <t>-718.84834664199 57.6191588877082 -769.133169545777</t>
  </si>
  <si>
    <t>-622.898818700113 188.174130689545 -242.187071062382</t>
  </si>
  <si>
    <t>-613.071433830233 179.932955000594 213.327148302364</t>
  </si>
  <si>
    <t>-632.402252896311 168.025378805196 682.555933946233</t>
  </si>
  <si>
    <t>-492.486588854982 100.246313967327 764.854882024869</t>
  </si>
  <si>
    <t>-642.314588994973 -7.2276223825329 237.892041208654</t>
  </si>
  <si>
    <t>-783.019770624052 86.2262567684199 676.107955422245</t>
  </si>
  <si>
    <t>-677.137929828976 -27.9473354536151 757.942787712815</t>
  </si>
  <si>
    <t>9763-20170724T160607.426599100.bin</t>
  </si>
  <si>
    <t>-649.611635482858 93.9515626859263 -229.601610194001</t>
  </si>
  <si>
    <t>-687.049827860947 88.876372712891 -344.668654515829</t>
  </si>
  <si>
    <t>-704.754303546303 87.0286815168838 -464.559104660924</t>
  </si>
  <si>
    <t>-712.447260491273 86.376838337228 -573.807590475294</t>
  </si>
  <si>
    <t>-711.862537261292 86.6265285117415 -683.326885406739</t>
  </si>
  <si>
    <t>-702.400790324777 87.773537662177 -835.343844303152</t>
  </si>
  <si>
    <t>-669.736903481453 79.1659614361363 -931.478997134817</t>
  </si>
  <si>
    <t>-694.468260302807 116.643302916636 -767.105043076619</t>
  </si>
  <si>
    <t>-617.695544563162 239.607966487852 -742.430058577736</t>
  </si>
  <si>
    <t>-511.829715096094 118.105171770926 -470.004415287006</t>
  </si>
  <si>
    <t>-718.706429975145 57.8886785342972 -769.056981962927</t>
  </si>
  <si>
    <t>-622.73088884107 188.466510333595 -242.14619468894</t>
  </si>
  <si>
    <t>-613.000825180289 180.124693501527 213.368322949674</t>
  </si>
  <si>
    <t>-632.393386115161 168.006175343042 682.573526641915</t>
  </si>
  <si>
    <t>-492.479134242664 100.222315708561 764.870909580681</t>
  </si>
  <si>
    <t>-642.0252849392 -7.19771498637169 237.961108580295</t>
  </si>
  <si>
    <t>-783.00539605944 86.2916615960592 676.093821619038</t>
  </si>
  <si>
    <t>-677.13581800766 -27.909517571788 757.905995441209</t>
  </si>
  <si>
    <t>9763-20170724T160607.493782300.bin</t>
  </si>
  <si>
    <t>-649.174765646548 94.5946084490015 -229.44490341451</t>
  </si>
  <si>
    <t>-686.727330167242 89.4925502366839 -344.473451196168</t>
  </si>
  <si>
    <t>-704.483002397041 87.6264460817863 -464.356042572843</t>
  </si>
  <si>
    <t>-712.195090158405 86.9631222664725 -573.60309091679</t>
  </si>
  <si>
    <t>-711.602277410979 87.2070133397408 -683.122282584853</t>
  </si>
  <si>
    <t>-702.100642875989 88.3529819193527 -835.136822234267</t>
  </si>
  <si>
    <t>-669.398881396572 79.8041280752445 -931.264224462818</t>
  </si>
  <si>
    <t>-694.20442942871 117.230849006612 -766.897194162529</t>
  </si>
  <si>
    <t>-617.510469753242 240.249011281948 -742.223207376129</t>
  </si>
  <si>
    <t>-511.935692972991 118.55073282716 -469.771992032978</t>
  </si>
  <si>
    <t>-718.405204387115 58.4610152121838 -768.852878584182</t>
  </si>
  <si>
    <t>-622.295114844484 189.127348815975 -242.069668274412</t>
  </si>
  <si>
    <t>-612.746452085157 180.605495148277 213.445258749737</t>
  </si>
  <si>
    <t>-632.357377525935 167.992960811401 682.600234495636</t>
  </si>
  <si>
    <t>-492.455945149029 100.181052313355 764.896272127362</t>
  </si>
  <si>
    <t>-675.907736108457 0.0724239167930136 -216.148515818792</t>
  </si>
  <si>
    <t>-641.163110734499 -7.27526025730799 238.160315355077</t>
  </si>
  <si>
    <t>-782.976005426122 86.4429191910472 676.01149416098</t>
  </si>
  <si>
    <t>-677.135139990608 -27.8301629846221 757.760387667773</t>
  </si>
  <si>
    <t>9763-20170724T160607.526881400.bin</t>
  </si>
  <si>
    <t>-648.929345736691 94.932461584656 -229.388234767754</t>
  </si>
  <si>
    <t>-686.526826169523 89.7904830261161 -344.400370970851</t>
  </si>
  <si>
    <t>-704.293462875823 87.8935323822816 -464.280848741423</t>
  </si>
  <si>
    <t>-712.000782973964 87.2045631666172 -573.528048524335</t>
  </si>
  <si>
    <t>-711.388015888538 87.4244562814231 -683.047229422159</t>
  </si>
  <si>
    <t>-701.843006567253 88.5376611385598 -835.059185968078</t>
  </si>
  <si>
    <t>-669.14085153693 80.0025839357843 -931.187793534594</t>
  </si>
  <si>
    <t>-693.958557141425 117.427073163601 -766.8232162856</t>
  </si>
  <si>
    <t>-617.287452056352 240.456110212399 -742.168978452758</t>
  </si>
  <si>
    <t>-511.837702245946 118.84257282972 -469.631524617715</t>
  </si>
  <si>
    <t>-718.17406704714 58.6632867237736 -768.774012758058</t>
  </si>
  <si>
    <t>-622.050119336892 189.437649384649 -242.043529465152</t>
  </si>
  <si>
    <t>-612.655532302497 180.86013008046 213.473497383675</t>
  </si>
  <si>
    <t>-632.343527111711 167.978344012778 682.608812763708</t>
  </si>
  <si>
    <t>-492.415595409766 100.210036961646 764.895746801479</t>
  </si>
  <si>
    <t>-675.667974823333 0.389501099204153 -216.059741700961</t>
  </si>
  <si>
    <t>-640.677547063211 -7.23952202286887 238.225498205223</t>
  </si>
  <si>
    <t>-782.942977076111 86.5229067916036 675.936468510092</t>
  </si>
  <si>
    <t>-677.127616236733 -27.7871816701904 757.66667981717</t>
  </si>
  <si>
    <t>9763-20170724T160607.592558900.bin</t>
  </si>
  <si>
    <t>-648.553477397722 95.580823865605 -229.367468761119</t>
  </si>
  <si>
    <t>-686.201585217278 90.4253892208201 -344.362479142537</t>
  </si>
  <si>
    <t>-703.990451258108 88.5236359810581 -464.239497118762</t>
  </si>
  <si>
    <t>-711.705319767648 87.8300089290706 -573.48631943341</t>
  </si>
  <si>
    <t>-711.087003802723 88.0428888371114 -683.005278652671</t>
  </si>
  <si>
    <t>-701.520591390199 89.141768394318 -835.016167189565</t>
  </si>
  <si>
    <t>-668.867297689475 80.6125379263681 -931.16178168797</t>
  </si>
  <si>
    <t>-693.616211224154 118.025368226704 -766.779896779993</t>
  </si>
  <si>
    <t>-616.829569096636 240.999904603974 -742.166974862385</t>
  </si>
  <si>
    <t>-511.549914729851 119.566588471377 -469.48343675822</t>
  </si>
  <si>
    <t>-717.890641268275 59.2857426340447 -768.73215660417</t>
  </si>
  <si>
    <t>-621.683706478983 190.116337310364 -242.038079477854</t>
  </si>
  <si>
    <t>-612.521064066105 181.297194737386 213.479083086458</t>
  </si>
  <si>
    <t>-632.3031747706 167.965520450819 682.600636933433</t>
  </si>
  <si>
    <t>-492.344927731283 100.25393655034 764.882753953733</t>
  </si>
  <si>
    <t>-675.30445446621 1.09490148733312 -216.037676299824</t>
  </si>
  <si>
    <t>-640.085381068289 -6.99642559633571 238.222025267145</t>
  </si>
  <si>
    <t>-782.902892560452 86.6420956550091 675.799820726882</t>
  </si>
  <si>
    <t>-677.1194634105 -27.7200593808082 757.498509776506</t>
  </si>
  <si>
    <t>9763-20170724T160607.625955300.bin</t>
  </si>
  <si>
    <t>-648.391101368354 95.8973244800184 -229.390887915328</t>
  </si>
  <si>
    <t>-685.968350326796 90.7432112302386 -344.409055155014</t>
  </si>
  <si>
    <t>-703.720809665163 88.835112358428 -464.291344520188</t>
  </si>
  <si>
    <t>-711.417133564876 88.1316526965993 -573.539430061883</t>
  </si>
  <si>
    <t>-710.795280365965 88.3293108445903 -683.058507827599</t>
  </si>
  <si>
    <t>-701.23946280976 89.4008660073537 -835.070069641429</t>
  </si>
  <si>
    <t>-668.605702813473 80.836180935996 -931.219267667373</t>
  </si>
  <si>
    <t>-693.305310073215 118.286259022841 -766.838182226113</t>
  </si>
  <si>
    <t>-616.415364140093 241.192250181522 -742.244057659452</t>
  </si>
  <si>
    <t>-511.265531808774 119.793386926259 -469.495122837066</t>
  </si>
  <si>
    <t>-717.629904927532 59.5672335079485 -768.781250285495</t>
  </si>
  <si>
    <t>-621.451821578331 190.377278738125 -242.055973339413</t>
  </si>
  <si>
    <t>-612.405795576258 181.491650728382 213.462244263489</t>
  </si>
  <si>
    <t>-632.270770463388 167.968282405573 682.572190822769</t>
  </si>
  <si>
    <t>-492.311504951035 100.261036966002 764.856073515222</t>
  </si>
  <si>
    <t>-675.151675373234 1.43058517038389 -216.108268160506</t>
  </si>
  <si>
    <t>-640.094965025079 -6.82514653090243 238.161059162695</t>
  </si>
  <si>
    <t>-782.905783561983 86.6766447915168 675.754749473272</t>
  </si>
  <si>
    <t>-677.109750029776 -27.6873444489665 757.434532425941</t>
  </si>
  <si>
    <t>9763-20170724T160607.693637300.bin</t>
  </si>
  <si>
    <t>-648.067728782476 96.4819890467738 -229.475840350166</t>
  </si>
  <si>
    <t>-685.646561987094 91.3954544008802 -344.496579424443</t>
  </si>
  <si>
    <t>-703.447730633885 89.5622924585948 -464.372887083473</t>
  </si>
  <si>
    <t>-711.207646185743 88.92795344604 -573.61689470915</t>
  </si>
  <si>
    <t>-710.668432778586 89.1959331771307 -683.13614553344</t>
  </si>
  <si>
    <t>-701.246871843286 90.3660491313988 -835.155441029555</t>
  </si>
  <si>
    <t>-668.672361109931 81.7766791129943 -931.322492560081</t>
  </si>
  <si>
    <t>-693.206577605393 119.188040113498 -766.909098040257</t>
  </si>
  <si>
    <t>-616.093096884116 241.979841656344 -742.398070473276</t>
  </si>
  <si>
    <t>-511.039740853654 120.512616193742 -469.642385121287</t>
  </si>
  <si>
    <t>-717.624757007266 60.5084630676886 -768.874173098374</t>
  </si>
  <si>
    <t>-620.980359117857 190.926080966234 -242.105271683752</t>
  </si>
  <si>
    <t>-612.200324558806 181.776008771591 213.412995706492</t>
  </si>
  <si>
    <t>-632.23085390365 167.978455431877 682.531793356867</t>
  </si>
  <si>
    <t>-492.298004720217 100.226868447699 764.824147632277</t>
  </si>
  <si>
    <t>-675.038797142616 2.02425064072577 -216.185046592896</t>
  </si>
  <si>
    <t>-640.126830250187 -6.65072513481664 238.087599344597</t>
  </si>
  <si>
    <t>-782.933136322215 86.755170242528 675.723991336879</t>
  </si>
  <si>
    <t>-677.126425570919 -27.635793302429 757.352155619748</t>
  </si>
  <si>
    <t>9763-20170724T160607.724222000.bin</t>
  </si>
  <si>
    <t>-647.998331126834 96.7083876383062 -229.475239484224</t>
  </si>
  <si>
    <t>-685.592236663713 91.6677229065813 -344.493028426044</t>
  </si>
  <si>
    <t>-703.402202168978 89.8516836571177 -464.368224892152</t>
  </si>
  <si>
    <t>-711.167977662905 89.2214706023294 -573.611761937183</t>
  </si>
  <si>
    <t>-710.632620938826 89.4827980880407 -683.131082146899</t>
  </si>
  <si>
    <t>-701.214585634912 90.632754624062 -835.150739762111</t>
  </si>
  <si>
    <t>-668.637277527196 81.9956322908745 -931.312569141076</t>
  </si>
  <si>
    <t>-693.143623208078 119.451601161009 -766.906735625255</t>
  </si>
  <si>
    <t>-615.903822368277 242.16309619764 -742.390952848956</t>
  </si>
  <si>
    <t>-510.948090388206 120.695388348386 -469.597878132364</t>
  </si>
  <si>
    <t>-717.620049885058 60.7961213450742 -768.8669425733</t>
  </si>
  <si>
    <t>-620.775072664165 191.145114121606 -242.116692353382</t>
  </si>
  <si>
    <t>-612.075687054464 181.872758044833 213.400597276068</t>
  </si>
  <si>
    <t>-632.213537510859 167.977168960986 682.510425978788</t>
  </si>
  <si>
    <t>-492.31997276701 100.161065246365 764.816434069663</t>
  </si>
  <si>
    <t>-675.081245980991 2.28672127243408 -216.194735877632</t>
  </si>
  <si>
    <t>-640.094703873325 -6.62674782722547 238.067442075385</t>
  </si>
  <si>
    <t>-782.927727818747 86.7918720970692 675.688069474181</t>
  </si>
  <si>
    <t>-677.114505769131 -27.5972000818206 757.310454275254</t>
  </si>
  <si>
    <t>9763-20170724T160607.790397700.bin</t>
  </si>
  <si>
    <t>-647.802291814289 97.1584964485473 -229.496132261744</t>
  </si>
  <si>
    <t>-685.483724019924 92.2152133066186 -344.489414778262</t>
  </si>
  <si>
    <t>-703.314044733134 90.4263478037483 -464.362119730876</t>
  </si>
  <si>
    <t>-711.071064821949 89.7927671074576 -573.606247043382</t>
  </si>
  <si>
    <t>-710.500136019243 90.0235791071882 -683.125454373565</t>
  </si>
  <si>
    <t>-701.005448646915 91.1033368816509 -835.140945086728</t>
  </si>
  <si>
    <t>-668.39575834035 82.3839355274292 -931.284425461834</t>
  </si>
  <si>
    <t>-692.920133105916 119.933251283685 -766.903333007572</t>
  </si>
  <si>
    <t>-615.537884056921 242.552400552737 -742.421307375235</t>
  </si>
  <si>
    <t>-510.656162283664 121.150274188497 -469.570433308398</t>
  </si>
  <si>
    <t>-717.493050793484 61.317814414467 -768.854425893468</t>
  </si>
  <si>
    <t>-620.370970108247 191.524890025458 -242.127865750061</t>
  </si>
  <si>
    <t>-611.748068655723 181.971988239136 213.385016512988</t>
  </si>
  <si>
    <t>-632.188412664656 167.922353123951 682.485419094583</t>
  </si>
  <si>
    <t>-492.331604142997 100.056764923155 764.813052370301</t>
  </si>
  <si>
    <t>-675.094040094529 2.83856809567419 -216.177215328262</t>
  </si>
  <si>
    <t>-639.945659397465 -6.5703668332626 238.062629334331</t>
  </si>
  <si>
    <t>-782.91702527176 86.8726647148055 675.624563868252</t>
  </si>
  <si>
    <t>-677.098562257969 -27.5313509221578 757.219181399718</t>
  </si>
  <si>
    <t>9763-20170724T160607.827345600.bin</t>
  </si>
  <si>
    <t>-647.686709155663 97.3807354261073 -229.539257259341</t>
  </si>
  <si>
    <t>-685.377644469103 92.4385452113336 -344.529607499564</t>
  </si>
  <si>
    <t>-703.209664461415 90.6574743740737 -464.40219899782</t>
  </si>
  <si>
    <t>-710.964747242688 90.0327742689997 -573.646488618318</t>
  </si>
  <si>
    <t>-710.388385132636 90.2736965420918 -683.165643891169</t>
  </si>
  <si>
    <t>-700.882385338575 91.3684120209184 -835.180184502723</t>
  </si>
  <si>
    <t>-668.234995569663 82.6357669669719 -931.309752781167</t>
  </si>
  <si>
    <t>-692.786504969081 120.184955098901 -766.93821663962</t>
  </si>
  <si>
    <t>-615.351574548174 242.773054539052 -742.469614127224</t>
  </si>
  <si>
    <t>-510.463115890172 121.545075907572 -469.544053403195</t>
  </si>
  <si>
    <t>-717.390609319148 61.5829693189814 -768.898811374344</t>
  </si>
  <si>
    <t>-620.208799535026 191.750136097677 -242.14306312364</t>
  </si>
  <si>
    <t>-611.638240745002 182.066062148855 213.368069269323</t>
  </si>
  <si>
    <t>-632.174258516246 167.936666476359 682.471127529239</t>
  </si>
  <si>
    <t>-492.350775369252 100.007441084915 764.802912519903</t>
  </si>
  <si>
    <t>-675.030760789631 3.02965910580247 -216.217813417017</t>
  </si>
  <si>
    <t>-639.918174353295 -6.47447318883451 238.022673615666</t>
  </si>
  <si>
    <t>-782.913348777225 86.9139867136194 675.612185974645</t>
  </si>
  <si>
    <t>-677.093633334953 -27.5031330632969 757.186812844382</t>
  </si>
  <si>
    <t>9763-20170724T160607.892531200.bin</t>
  </si>
  <si>
    <t>-647.474658021525 97.6742544496124 -229.549678139066</t>
  </si>
  <si>
    <t>-685.127958600626 92.7352900440233 -344.552540664772</t>
  </si>
  <si>
    <t>-702.962905655514 90.9590852684867 -464.424537769713</t>
  </si>
  <si>
    <t>-710.737836098776 90.3405309243819 -573.667550808336</t>
  </si>
  <si>
    <t>-710.198596176944 90.59001097804 -683.18696184697</t>
  </si>
  <si>
    <t>-700.761927427971 91.6999212640756 -835.205804218993</t>
  </si>
  <si>
    <t>-668.120155946191 82.9647220186068 -931.336946544494</t>
  </si>
  <si>
    <t>-692.6589460634 120.519967218086 -766.966002712575</t>
  </si>
  <si>
    <t>-615.416295874662 243.236326210123 -742.517026971093</t>
  </si>
  <si>
    <t>-510.711788006315 121.656409545322 -469.677368603997</t>
  </si>
  <si>
    <t>-717.215680760293 61.897786089786 -768.918351698147</t>
  </si>
  <si>
    <t>-619.987639782365 192.072657870412 -242.159519729682</t>
  </si>
  <si>
    <t>-611.658347519913 182.296418927544 213.354106926949</t>
  </si>
  <si>
    <t>-632.155358698621 167.924684298851 682.441245247947</t>
  </si>
  <si>
    <t>-492.354967626926 99.9568794121876 764.780426003987</t>
  </si>
  <si>
    <t>-674.788416578989 3.3324547425143 -216.269044879431</t>
  </si>
  <si>
    <t>-639.922611078406 -6.43521550035348 237.984910478476</t>
  </si>
  <si>
    <t>-782.920719815055 86.9362287430436 675.573612039287</t>
  </si>
  <si>
    <t>-677.081744213009 -27.449988882265 757.16658577855</t>
  </si>
  <si>
    <t>9763-20170724T160607.921607000.bin</t>
  </si>
  <si>
    <t>-647.377398105855 97.7816161792282 -229.517638147255</t>
  </si>
  <si>
    <t>-685.046460452384 92.8144599939974 -344.51394681379</t>
  </si>
  <si>
    <t>-702.890818585762 91.0422039864027 -464.384734021187</t>
  </si>
  <si>
    <t>-710.671003114833 90.4398434728016 -573.627347890363</t>
  </si>
  <si>
    <t>-710.133143442678 90.7181778891327 -683.146804192507</t>
  </si>
  <si>
    <t>-700.694581772932 91.8805128809008 -835.165037612054</t>
  </si>
  <si>
    <t>-668.055264806303 83.1788389100875 -931.300089306759</t>
  </si>
  <si>
    <t>-692.605177683724 120.682148668947 -766.916003930407</t>
  </si>
  <si>
    <t>-615.42965612623 243.442157194407 -742.461593970166</t>
  </si>
  <si>
    <t>-510.690886039538 121.927768389098 -469.605916591039</t>
  </si>
  <si>
    <t>-717.136671659514 62.0501114427245 -768.887443635242</t>
  </si>
  <si>
    <t>-619.92494184574 192.202586401034 -242.159139878594</t>
  </si>
  <si>
    <t>-611.650341439569 182.420512406413 213.355379572532</t>
  </si>
  <si>
    <t>-632.146194521859 167.881731431248 682.433283468225</t>
  </si>
  <si>
    <t>-492.311135293053 99.9859262057853 764.772977325385</t>
  </si>
  <si>
    <t>-674.667953287397 3.37585875459035 -216.195201452699</t>
  </si>
  <si>
    <t>-639.674948581045 -6.59853967920935 238.044449839498</t>
  </si>
  <si>
    <t>-782.909789725521 86.954756999143 675.537200173041</t>
  </si>
  <si>
    <t>-677.071782236399 -27.4258662443062 757.139250028932</t>
  </si>
  <si>
    <t>9763-20170724T160607.993804700.bin</t>
  </si>
  <si>
    <t>-647.14566740729 97.951539280097 -229.412223133945</t>
  </si>
  <si>
    <t>-684.88861608829 92.8736576709955 -344.37954383211</t>
  </si>
  <si>
    <t>-702.727526670584 91.0778776243997 -464.250802384868</t>
  </si>
  <si>
    <t>-710.467971935971 90.4899150663396 -573.496378139863</t>
  </si>
  <si>
    <t>-709.854994364294 90.8177613020387 -683.015147237466</t>
  </si>
  <si>
    <t>-700.274711160197 92.0854011264491 -835.023798119727</t>
  </si>
  <si>
    <t>-667.573797595362 83.445803937517 -931.14345732265</t>
  </si>
  <si>
    <t>-692.284386259269 120.854806363288 -766.749378206305</t>
  </si>
  <si>
    <t>-615.283273618374 243.688623844634 -742.154810356929</t>
  </si>
  <si>
    <t>-510.658441393115 121.933272430217 -469.362822335311</t>
  </si>
  <si>
    <t>-716.742926691512 62.1942923116692 -768.780097051347</t>
  </si>
  <si>
    <t>-619.782879647947 192.369232044151 -242.137504600802</t>
  </si>
  <si>
    <t>-611.609275564056 182.610379681575 213.379305024515</t>
  </si>
  <si>
    <t>-632.111618914227 167.891741265397 682.419444833672</t>
  </si>
  <si>
    <t>-492.264441580252 100.01450519182 764.753886327483</t>
  </si>
  <si>
    <t>-674.357837626487 3.56839127085709 -215.990567357619</t>
  </si>
  <si>
    <t>-638.785384590823 -6.76457441996331 238.196048397467</t>
  </si>
  <si>
    <t>-782.83773902436 87.0915160373775 675.397967945497</t>
  </si>
  <si>
    <t>-677.039355228898 -27.3429469882749 756.975894116769</t>
  </si>
  <si>
    <t>9763-20170724T160608.027904900.bin</t>
  </si>
  <si>
    <t>-646.97706039663 98.1329894625724 -229.374832537503</t>
  </si>
  <si>
    <t>-684.752250580157 93.0018591124563 -344.329280229324</t>
  </si>
  <si>
    <t>-702.585243422923 91.213028700927 -464.201403943129</t>
  </si>
  <si>
    <t>-710.303492742607 90.6562570847721 -573.448761081503</t>
  </si>
  <si>
    <t>-709.651180376062 91.0400923028487 -682.96721691994</t>
  </si>
  <si>
    <t>-699.997922716409 92.4116770959342 -834.97032547573</t>
  </si>
  <si>
    <t>-667.25229958425 83.8439398124638 -931.081083084684</t>
  </si>
  <si>
    <t>-692.063770372026 121.144037614002 -766.673611606369</t>
  </si>
  <si>
    <t>-615.184031781869 244.027231287154 -741.965922804387</t>
  </si>
  <si>
    <t>-510.57241895703 122.285923773965 -469.162575040142</t>
  </si>
  <si>
    <t>-716.474685965241 62.4654529183824 -768.753448451348</t>
  </si>
  <si>
    <t>-619.66855138238 192.52311411374 -242.135848165343</t>
  </si>
  <si>
    <t>-611.542612898018 182.732618347506 213.381200238599</t>
  </si>
  <si>
    <t>-632.098670339948 167.90544854188 682.416634128088</t>
  </si>
  <si>
    <t>-492.260240672724 100.007040345944 764.748431254888</t>
  </si>
  <si>
    <t>-674.111735495746 3.82049772365008 -215.924926048174</t>
  </si>
  <si>
    <t>-638.427087245445 -6.78885759931472 238.246555978331</t>
  </si>
  <si>
    <t>-782.808384395912 87.1697805645808 675.331543227535</t>
  </si>
  <si>
    <t>-677.036277329724 -27.3074811604972 756.883559806648</t>
  </si>
  <si>
    <t>9763-20170724T160608.092570300.bin</t>
  </si>
  <si>
    <t>-646.782268760362 98.2669241932233 -229.408734008336</t>
  </si>
  <si>
    <t>-684.641485702278 93.0772422244074 -344.332791635909</t>
  </si>
  <si>
    <t>-702.514433285241 91.3091997490885 -464.199383827402</t>
  </si>
  <si>
    <t>-710.248590622795 90.8042985941495 -573.445863017528</t>
  </si>
  <si>
    <t>-709.59133416483 91.2728682054089 -682.96387218275</t>
  </si>
  <si>
    <t>-699.908724850334 92.7968385875781 -834.963540288875</t>
  </si>
  <si>
    <t>-667.052737824267 84.3296224455405 -931.045786598361</t>
  </si>
  <si>
    <t>-692.051940826354 121.487460959057 -766.640744906308</t>
  </si>
  <si>
    <t>-615.444072900171 244.537611147736 -741.764642380308</t>
  </si>
  <si>
    <t>-511.002462718555 122.683128102946 -468.946726742299</t>
  </si>
  <si>
    <t>-716.334087657083 62.7575157528754 -768.776243144833</t>
  </si>
  <si>
    <t>-619.631696950191 192.698540789234 -242.161822756258</t>
  </si>
  <si>
    <t>-611.433602808066 182.792453883501 213.351372025475</t>
  </si>
  <si>
    <t>-632.076241684003 167.881252880919 682.398068092944</t>
  </si>
  <si>
    <t>-492.211311334798 100.032279367745 764.72564578546</t>
  </si>
  <si>
    <t>-673.823755091643 3.86174470488254 -215.976804234184</t>
  </si>
  <si>
    <t>-638.077836536921 -6.62393640867708 238.192755496437</t>
  </si>
  <si>
    <t>-782.761740996591 87.270158072904 675.204617436136</t>
  </si>
  <si>
    <t>-677.018252086381 -27.2493406153778 756.734404505633</t>
  </si>
  <si>
    <t>9763-20170724T160608.124975200.bin</t>
  </si>
  <si>
    <t>-646.75869637567 98.2762375740754 -229.425912959038</t>
  </si>
  <si>
    <t>-684.592730166809 93.0609914248278 -344.357068615176</t>
  </si>
  <si>
    <t>-702.443975729622 91.272744968026 -464.226613890781</t>
  </si>
  <si>
    <t>-710.160294270111 90.7528707710906 -573.474328336976</t>
  </si>
  <si>
    <t>-709.486868454842 91.2106387667227 -682.992272264876</t>
  </si>
  <si>
    <t>-699.783887218489 92.7241740099378 -834.990809116616</t>
  </si>
  <si>
    <t>-666.861812329378 84.2884627892238 -931.053041565438</t>
  </si>
  <si>
    <t>-691.969934810025 121.433564038718 -766.670762867084</t>
  </si>
  <si>
    <t>-615.522100090135 244.547159716264 -741.787073974937</t>
  </si>
  <si>
    <t>-510.946879114784 123.048836208734 -468.861562321923</t>
  </si>
  <si>
    <t>-716.184336361401 62.6754463176926 -768.801464938921</t>
  </si>
  <si>
    <t>-619.654698085415 192.655610132747 -242.192593376984</t>
  </si>
  <si>
    <t>-611.399290373638 182.803380141011 213.32082721409</t>
  </si>
  <si>
    <t>-632.047449790831 167.890661025344 682.357100573649</t>
  </si>
  <si>
    <t>-492.167587814819 100.08284567449 764.69321833862</t>
  </si>
  <si>
    <t>-673.691908805339 3.94320118613018 -216.016571987288</t>
  </si>
  <si>
    <t>-638.041569580272 -6.60973008894325 238.158824514934</t>
  </si>
  <si>
    <t>-782.745316676975 87.316077230106 675.155951522478</t>
  </si>
  <si>
    <t>-677.024645633842 -27.2318777246785 756.675379012634</t>
  </si>
  <si>
    <t>9763-20170724T160608.193659400.bin</t>
  </si>
  <si>
    <t>-646.855722432475 98.3154663252353 -229.499721331659</t>
  </si>
  <si>
    <t>-684.754599872207 93.0964856163237 -344.409459760358</t>
  </si>
  <si>
    <t>-702.675554182514 91.2753625370267 -464.268191416803</t>
  </si>
  <si>
    <t>-710.456381084465 90.7128597934293 -573.510900587863</t>
  </si>
  <si>
    <t>-709.848927281358 91.11411528699 -683.029436035851</t>
  </si>
  <si>
    <t>-700.238899483394 92.5341169689609 -835.034903981691</t>
  </si>
  <si>
    <t>-667.236879565875 84.0393925381077 -931.064645084283</t>
  </si>
  <si>
    <t>-692.391540196786 121.289033493553 -766.737785069346</t>
  </si>
  <si>
    <t>-615.857386349454 244.407200434078 -741.997365765382</t>
  </si>
  <si>
    <t>-511.648881392391 123.308461986977 -468.754056233171</t>
  </si>
  <si>
    <t>-716.590465741097 62.5226727601482 -768.816655326245</t>
  </si>
  <si>
    <t>-619.838940845954 192.624208488734 -242.246723836642</t>
  </si>
  <si>
    <t>-611.469532263142 182.800821414376 213.26518587232</t>
  </si>
  <si>
    <t>-632.028839001069 167.858998093823 682.323867772146</t>
  </si>
  <si>
    <t>-492.13363703155 100.091776550664 764.667333851069</t>
  </si>
  <si>
    <t>-673.772740545931 3.98935364218937 -216.06221940828</t>
  </si>
  <si>
    <t>-637.920158617103 -6.71371838076448 238.093769767654</t>
  </si>
  <si>
    <t>-782.729877902709 87.3541357169217 675.037364684647</t>
  </si>
  <si>
    <t>-676.980496418208 -27.1735411041809 756.548031784206</t>
  </si>
  <si>
    <t>9763-20170724T160608.228254000.bin</t>
  </si>
  <si>
    <t>-647.019388560687 98.3255880801905 -229.489117917165</t>
  </si>
  <si>
    <t>-684.943700873465 93.1250808667317 -344.391332059916</t>
  </si>
  <si>
    <t>-702.894597102124 91.2577712566306 -464.244835427436</t>
  </si>
  <si>
    <t>-710.704653758921 90.6258897258788 -573.485073911476</t>
  </si>
  <si>
    <t>-710.128912333595 90.9292633059986 -683.004265896337</t>
  </si>
  <si>
    <t>-700.565676113785 92.1829126756097 -835.013934475392</t>
  </si>
  <si>
    <t>-667.5144333003 83.4904932686622 -931.00904663846</t>
  </si>
  <si>
    <t>-692.666456086392 120.999760622399 -766.748974342028</t>
  </si>
  <si>
    <t>-615.984049294496 244.018884253687 -742.109428968358</t>
  </si>
  <si>
    <t>-511.866395944329 123.152463053429 -468.728596624189</t>
  </si>
  <si>
    <t>-716.927748148997 62.2566857524748 -768.75976726703</t>
  </si>
  <si>
    <t>-619.966898016459 192.625267797902 -242.249487244397</t>
  </si>
  <si>
    <t>-611.550699665238 182.768426598685 213.260810025541</t>
  </si>
  <si>
    <t>-632.035584639832 167.852628981151 682.328596396718</t>
  </si>
  <si>
    <t>-492.162683554346 100.034406871277 764.667989156689</t>
  </si>
  <si>
    <t>-673.938895423021 4.0019874163529 -216.085129082791</t>
  </si>
  <si>
    <t>-638.006073136338 -6.71101030724049 238.064327716738</t>
  </si>
  <si>
    <t>-782.742112787139 87.3666713613341 675.009208877127</t>
  </si>
  <si>
    <t>-676.965848423846 -27.1489254425223 756.501960176041</t>
  </si>
  <si>
    <t>9763-20170724T160608.292942300.bin</t>
  </si>
  <si>
    <t>-647.386963765777 98.2073267314554 -229.530689871536</t>
  </si>
  <si>
    <t>-685.345487793213 93.0734380027186 -344.424415651758</t>
  </si>
  <si>
    <t>-703.447906578052 91.269912168332 -464.256098736754</t>
  </si>
  <si>
    <t>-711.443482480257 90.6967925103841 -573.483347450147</t>
  </si>
  <si>
    <t>-711.10128596706 91.0620262658776 -683.003219809797</t>
  </si>
  <si>
    <t>-701.911853675791 92.4064875259323 -835.035276946887</t>
  </si>
  <si>
    <t>-668.358160965358 82.7040579644058 -930.758889350707</t>
  </si>
  <si>
    <t>-693.795040208623 121.161892066279 -766.769944497115</t>
  </si>
  <si>
    <t>-616.594519956157 243.915699608892 -742.219733558006</t>
  </si>
  <si>
    <t>-512.57882561928 122.850506095931 -468.888155549542</t>
  </si>
  <si>
    <t>-718.160709255582 62.4613617221671 -768.761756562008</t>
  </si>
  <si>
    <t>-620.14612215756 192.502644592733 -242.251960596974</t>
  </si>
  <si>
    <t>-611.707569631366 182.639833025401 213.257823493699</t>
  </si>
  <si>
    <t>-632.080589305191 167.80396368953 682.358695032719</t>
  </si>
  <si>
    <t>-492.290258318832 99.8007659754478 764.68571058409</t>
  </si>
  <si>
    <t>-674.565156341078 3.92718079358519 -216.126053612429</t>
  </si>
  <si>
    <t>-638.321097406957 -6.82070852779498 237.997801490311</t>
  </si>
  <si>
    <t>-782.757874364708 87.4016976244459 674.992188647552</t>
  </si>
  <si>
    <t>-676.947729960138 -27.0983394219227 756.462807811365</t>
  </si>
  <si>
    <t>9763-20170724T160608.327538700.bin</t>
  </si>
  <si>
    <t>-647.517583771368 98.0918761283904 -229.556479465514</t>
  </si>
  <si>
    <t>-685.49226170668 92.9982590388929 -344.446775201207</t>
  </si>
  <si>
    <t>-703.785460174148 91.2609257386189 -464.250437819127</t>
  </si>
  <si>
    <t>-712.025316127083 90.7613756683818 -573.459950473703</t>
  </si>
  <si>
    <t>-711.998562036103 91.2160204327611 -682.979902437838</t>
  </si>
  <si>
    <t>-703.320300672069 92.7033293877005 -835.040715172207</t>
  </si>
  <si>
    <t>-669.45356127773 82.2052148770056 -930.569882054188</t>
  </si>
  <si>
    <t>-694.981591486758 121.397760774201 -766.776394029789</t>
  </si>
  <si>
    <t>-617.6722763079 244.062445972346 -742.258109909443</t>
  </si>
  <si>
    <t>-513.425473270916 122.678139009872 -469.156151183813</t>
  </si>
  <si>
    <t>-719.338667625335 62.6928001926797 -768.740663077252</t>
  </si>
  <si>
    <t>-620.261177454068 192.417388827094 -242.250013157814</t>
  </si>
  <si>
    <t>-611.784435754814 182.468389623236 213.257119466394</t>
  </si>
  <si>
    <t>-632.110529009593 167.782936317478 682.387775830792</t>
  </si>
  <si>
    <t>-492.391155431247 99.6319611839644 764.713058788529</t>
  </si>
  <si>
    <t>-674.669227029586 3.81940245349233 -216.179960238343</t>
  </si>
  <si>
    <t>-638.587493387469 -6.85653373437344 237.958623410283</t>
  </si>
  <si>
    <t>-782.778623040748 87.4118193272964 675.029824909587</t>
  </si>
  <si>
    <t>-676.95091121845 -27.0804470714836 756.488590767069</t>
  </si>
  <si>
    <t>9763-20170724T160608.390206600.bin</t>
  </si>
  <si>
    <t>-647.534406679409 97.8106459288274 -229.501986435615</t>
  </si>
  <si>
    <t>-685.647259987411 92.7345989063733 -344.347318760631</t>
  </si>
  <si>
    <t>-704.478428416647 91.2243995895515 -464.070650760026</t>
  </si>
  <si>
    <t>-713.365448598664 91.0185130183427 -573.23026377941</t>
  </si>
  <si>
    <t>-714.143227762912 91.8575496202413 -682.745171500042</t>
  </si>
  <si>
    <t>-706.742747490765 93.9757022877802 -834.86605010985</t>
  </si>
  <si>
    <t>-672.306760157775 81.8157753978496 -929.993822928151</t>
  </si>
  <si>
    <t>-697.869236694585 122.40313037078 -766.557450426178</t>
  </si>
  <si>
    <t>-620.524120554385 245.026632133679 -741.919674365887</t>
  </si>
  <si>
    <t>-515.193628220202 123.101770282061 -469.47516251513</t>
  </si>
  <si>
    <t>-722.165128693846 63.6739558411302 -768.557232645413</t>
  </si>
  <si>
    <t>-620.363066424124 192.150302962184 -242.218184503174</t>
  </si>
  <si>
    <t>-611.72064916851 182.237716854077 213.286729694748</t>
  </si>
  <si>
    <t>-632.128663751534 167.720533023852 682.396316871247</t>
  </si>
  <si>
    <t>-492.451616597898 99.4853074524074 764.723642657196</t>
  </si>
  <si>
    <t>-674.592543571143 3.51500534015941 -216.109841823341</t>
  </si>
  <si>
    <t>-638.574261599022 -7.09003755928916 238.035398470863</t>
  </si>
  <si>
    <t>-782.762220577034 87.4595495249969 675.038357421098</t>
  </si>
  <si>
    <t>-676.920191333553 -27.0191857271952 756.497514478846</t>
  </si>
  <si>
    <t>9763-20170724T160608.429822400.bin</t>
  </si>
  <si>
    <t>-647.448969934207 97.700259684437 -229.45120531107</t>
  </si>
  <si>
    <t>-685.685808367097 92.589203453459 -344.2538410207</t>
  </si>
  <si>
    <t>-704.7249825394 91.1263900691993 -463.944792629844</t>
  </si>
  <si>
    <t>-713.831773304671 90.9947731439333 -573.08656565265</t>
  </si>
  <si>
    <t>-714.859517656222 91.9379232427739 -682.598579501507</t>
  </si>
  <si>
    <t>-707.836620269931 94.2301885581394 -834.734828953873</t>
  </si>
  <si>
    <t>-673.125333510639 81.4243889071854 -929.67758102083</t>
  </si>
  <si>
    <t>-698.81686265123 122.588929183552 -766.416833662609</t>
  </si>
  <si>
    <t>-621.549137210985 245.245655850682 -741.831046363743</t>
  </si>
  <si>
    <t>-515.603402101087 123.37846283216 -469.599432146119</t>
  </si>
  <si>
    <t>-723.071291336551 63.8428323868623 -768.421561400021</t>
  </si>
  <si>
    <t>-620.450736554524 192.05123085987 -242.186677936079</t>
  </si>
  <si>
    <t>-611.661476472007 182.092636006757 213.314472746787</t>
  </si>
  <si>
    <t>-632.147048663243 167.66105288212 682.416875954757</t>
  </si>
  <si>
    <t>-492.439120637395 99.4806869155218 764.737197830886</t>
  </si>
  <si>
    <t>-674.295778077572 3.37395681831322 -216.060320544238</t>
  </si>
  <si>
    <t>-638.301188897672 -7.10068801894681 238.089834109436</t>
  </si>
  <si>
    <t>-782.727785138556 87.5040346679023 675.017977733201</t>
  </si>
  <si>
    <t>-676.902785096867 -26.9910852909829 756.476281830277</t>
  </si>
  <si>
    <t>9763-20170724T160608.489486300.bin</t>
  </si>
  <si>
    <t>-647.244210057062 97.9084481253733 -229.35237979436</t>
  </si>
  <si>
    <t>-685.844092867223 92.7174026719238 -344.029803171369</t>
  </si>
  <si>
    <t>-705.238595231759 91.2095863149741 -463.663132712527</t>
  </si>
  <si>
    <t>-714.658845533746 91.049180005961 -572.77822158725</t>
  </si>
  <si>
    <t>-715.990190635111 91.973304619419 -682.287104194656</t>
  </si>
  <si>
    <t>-709.377042090327 94.2479388068255 -834.442083229703</t>
  </si>
  <si>
    <t>-674.41806840945 80.4730623605583 -929.157970659537</t>
  </si>
  <si>
    <t>-700.247429402862 122.645230914412 -766.154647898097</t>
  </si>
  <si>
    <t>-623.232880379728 245.533330247506 -741.769582659171</t>
  </si>
  <si>
    <t>-516.255563298349 124.445988905331 -469.593296734734</t>
  </si>
  <si>
    <t>-724.358851529224 63.8377677625338 -768.081746261491</t>
  </si>
  <si>
    <t>-620.607371793997 192.344290384665 -242.090003109154</t>
  </si>
  <si>
    <t>-611.382985958923 182.056414336185 213.395123547797</t>
  </si>
  <si>
    <t>-632.203113327664 167.580739762532 682.483138549874</t>
  </si>
  <si>
    <t>-492.54522136563 99.278776554765 764.787587832649</t>
  </si>
  <si>
    <t>-673.773045345865 3.47565897710956 -215.890038653607</t>
  </si>
  <si>
    <t>-637.607559572244 -6.98424383885913 238.24688132875</t>
  </si>
  <si>
    <t>-782.661452134106 87.6072713623503 674.969154440927</t>
  </si>
  <si>
    <t>-676.864378742221 -26.9269758830808 756.40867602315</t>
  </si>
  <si>
    <t>9763-20170724T160608.526085900.bin</t>
  </si>
  <si>
    <t>-647.183420878195 98.1979258308513 -229.262665060199</t>
  </si>
  <si>
    <t>-685.845686806872 92.9537528142353 -343.916635035912</t>
  </si>
  <si>
    <t>-705.25043457594 91.3000906591296 -463.54641270303</t>
  </si>
  <si>
    <t>-714.658801193775 90.9697203363608 -572.661921785998</t>
  </si>
  <si>
    <t>-715.957681158299 91.6850890882308 -682.173073853735</t>
  </si>
  <si>
    <t>-709.278374884537 93.6289199329119 -834.329497652799</t>
  </si>
  <si>
    <t>-674.144513763493 79.4745932175124 -928.924694590187</t>
  </si>
  <si>
    <t>-700.198549631631 122.18296188595 -766.100841292111</t>
  </si>
  <si>
    <t>-623.332583540149 245.159586202931 -741.970669713946</t>
  </si>
  <si>
    <t>-516.046554477693 124.864830113259 -469.564640380808</t>
  </si>
  <si>
    <t>-724.268861517613 63.354838588152 -767.9091342537</t>
  </si>
  <si>
    <t>-620.63337633519 192.683047501853 -242.03896166063</t>
  </si>
  <si>
    <t>-611.243380402958 182.150908694757 213.437360846673</t>
  </si>
  <si>
    <t>-632.218477348332 167.555981003292 682.506470975765</t>
  </si>
  <si>
    <t>-492.58460261862 99.2068226645326 764.812468710731</t>
  </si>
  <si>
    <t>-673.513452661704 3.70247979045348 -215.81551550643</t>
  </si>
  <si>
    <t>-637.327772031405 -6.83323321934949 238.317967718198</t>
  </si>
  <si>
    <t>-782.620845536279 87.6809800031351 674.951556960075</t>
  </si>
  <si>
    <t>-676.859334484088 -26.8949040184875 756.378717884857</t>
  </si>
  <si>
    <t>9763-20170724T160608.559173800.bin</t>
  </si>
  <si>
    <t>-647.043958311237 98.5380796598035 -229.270343981201</t>
  </si>
  <si>
    <t>-685.769250265519 93.2225899944688 -343.899722058772</t>
  </si>
  <si>
    <t>-705.235068870983 91.4864977810971 -463.518389133861</t>
  </si>
  <si>
    <t>-714.69697491937 91.0759752834963 -572.629215456894</t>
  </si>
  <si>
    <t>-716.047453934899 91.7045631823285 -682.139989267431</t>
  </si>
  <si>
    <t>-709.437620125981 93.5200670895961 -834.301238181238</t>
  </si>
  <si>
    <t>-674.192415875068 79.1799357473847 -928.827001830229</t>
  </si>
  <si>
    <t>-700.336950230215 122.135718619779 -766.101205340066</t>
  </si>
  <si>
    <t>-623.300381848405 245.111787580475 -742.297951375846</t>
  </si>
  <si>
    <t>-516.088246838069 125.490086702309 -469.566718047877</t>
  </si>
  <si>
    <t>-724.387589738975 63.29779678824 -767.848000651867</t>
  </si>
  <si>
    <t>-620.611853418813 193.087782107259 -242.03590989949</t>
  </si>
  <si>
    <t>-611.145651883081 182.375899941156 213.434562495217</t>
  </si>
  <si>
    <t>-632.207005812135 167.573643871369 682.495024454097</t>
  </si>
  <si>
    <t>-492.633624320473 99.1075153830673 764.806464924134</t>
  </si>
  <si>
    <t>-673.280651751767 3.97526375553207 -215.791272525355</t>
  </si>
  <si>
    <t>-637.146786773058 -6.54317897197711 238.346715280433</t>
  </si>
  <si>
    <t>-782.590179139239 87.740143647643 674.950217078721</t>
  </si>
  <si>
    <t>-676.842731689479 -26.8534844186497 756.370666269473</t>
  </si>
  <si>
    <t>9763-20170724T160608.624916100.bin</t>
  </si>
  <si>
    <t>-646.907838454733 99.4585338336749 -229.30410735541</t>
  </si>
  <si>
    <t>-685.591070989826 94.0713242187303 -343.944506008345</t>
  </si>
  <si>
    <t>-705.115641939618 91.9711978895327 -463.547712552142</t>
  </si>
  <si>
    <t>-714.67622103738 91.1125905590695 -572.647328965084</t>
  </si>
  <si>
    <t>-716.173071956029 91.1737751693249 -682.158074692118</t>
  </si>
  <si>
    <t>-709.817756561624 92.0762633371226 -834.338113467237</t>
  </si>
  <si>
    <t>-674.540381655225 77.2235956019317 -928.772704797806</t>
  </si>
  <si>
    <t>-700.604488510242 121.101191001795 -766.326481113037</t>
  </si>
  <si>
    <t>-623.549483321922 244.220877184796 -743.396940697939</t>
  </si>
  <si>
    <t>-516.518288828491 126.223904010715 -469.887765152091</t>
  </si>
  <si>
    <t>-724.655033510944 62.252751611996 -767.679966182076</t>
  </si>
  <si>
    <t>-620.627028992118 194.065380441465 -242.067186734725</t>
  </si>
  <si>
    <t>-611.137752825492 183.000023698513 213.394369650643</t>
  </si>
  <si>
    <t>-632.207242846539 167.568662828568 682.469694835916</t>
  </si>
  <si>
    <t>-492.689742228401 98.9869093104319 764.779618254559</t>
  </si>
  <si>
    <t>-672.994362913641 4.86576442239334 -215.821976712952</t>
  </si>
  <si>
    <t>-637.166842267577 -5.96894915734356 238.332970218463</t>
  </si>
  <si>
    <t>-782.571522943365 87.8143557420847 675.048308597856</t>
  </si>
  <si>
    <t>-676.819564534392 -26.791785140349 756.44525212122</t>
  </si>
  <si>
    <t>9763-20170724T160608.690090400.bin</t>
  </si>
  <si>
    <t>-646.74115376243 100.653222928747 -229.213616677932</t>
  </si>
  <si>
    <t>-685.380268257682 95.2357526617575 -343.867402854626</t>
  </si>
  <si>
    <t>-704.897171594061 92.7480756495793 -463.464348704496</t>
  </si>
  <si>
    <t>-714.471212996537 91.3936335352423 -572.557743710456</t>
  </si>
  <si>
    <t>-716.00433630238 90.8139862046885 -682.06648397033</t>
  </si>
  <si>
    <t>-709.725756402425 90.6745298700755 -834.252493796447</t>
  </si>
  <si>
    <t>-674.579299935682 75.3952637524703 -928.667819964026</t>
  </si>
  <si>
    <t>-700.456601372234 120.155450383255 -766.444793033485</t>
  </si>
  <si>
    <t>-623.277027951962 243.399865411893 -744.583793612847</t>
  </si>
  <si>
    <t>-516.564185683956 127.70696093025 -469.968184028029</t>
  </si>
  <si>
    <t>-724.55108172928 61.3170030773988 -767.384991953145</t>
  </si>
  <si>
    <t>-620.508912377438 195.32334657086 -242.037512098549</t>
  </si>
  <si>
    <t>-611.068358244396 183.765363975658 213.412725701706</t>
  </si>
  <si>
    <t>-632.185406921015 167.60858582031 682.458870002555</t>
  </si>
  <si>
    <t>-492.761986491063 98.8392380725156 764.771687250182</t>
  </si>
  <si>
    <t>-672.826127295634 5.98434332044985 -215.734141823145</t>
  </si>
  <si>
    <t>-637.008865359683 -5.42348400795959 238.407541602079</t>
  </si>
  <si>
    <t>-782.533253989009 87.9006490105694 675.125069071199</t>
  </si>
  <si>
    <t>-676.793987195831 -26.7278502591321 756.507041974749</t>
  </si>
  <si>
    <t>9763-20170724T160608.727191400.bin</t>
  </si>
  <si>
    <t>-646.51423728786 101.216683312375 -229.219661824684</t>
  </si>
  <si>
    <t>-685.135509869867 95.7754482340642 -343.878256355776</t>
  </si>
  <si>
    <t>-704.633944889107 93.0420710154262 -463.473026160468</t>
  </si>
  <si>
    <t>-714.194039143895 91.3757080345522 -572.563203634933</t>
  </si>
  <si>
    <t>-715.717931406797 90.3942789986884 -682.06917803626</t>
  </si>
  <si>
    <t>-709.433086692913 89.6028183469048 -834.252929834196</t>
  </si>
  <si>
    <t>-674.435425305832 74.1084757769613 -928.688473713089</t>
  </si>
  <si>
    <t>-700.155894822052 119.369590927753 -766.571248264456</t>
  </si>
  <si>
    <t>-622.900114858141 242.676936790569 -745.30947021387</t>
  </si>
  <si>
    <t>-516.715585317008 128.002264705632 -470.062838265858</t>
  </si>
  <si>
    <t>-724.271948665027 60.5364692488056 -767.261329436792</t>
  </si>
  <si>
    <t>-620.316722094745 195.83470130078 -242.024332993349</t>
  </si>
  <si>
    <t>-610.935073258455 184.082145184308 213.422205493219</t>
  </si>
  <si>
    <t>-632.179726099968 167.626330613117 682.453725244489</t>
  </si>
  <si>
    <t>-492.793033369358 98.7747564371703 764.759965139814</t>
  </si>
  <si>
    <t>-672.534255000706 6.59284794075165 -215.731765834615</t>
  </si>
  <si>
    <t>-636.845040339932 -5.07653379449107 238.413385039764</t>
  </si>
  <si>
    <t>-782.508704309444 87.9328760083056 675.152572355163</t>
  </si>
  <si>
    <t>-676.775493419578 -26.6936535768143 756.545197271502</t>
  </si>
  <si>
    <t>9763-20170724T160608.789862000.bin</t>
  </si>
  <si>
    <t>-645.960721011246 102.384887351735 -229.16201806242</t>
  </si>
  <si>
    <t>-684.438472894308 96.9338862419449 -343.868335829462</t>
  </si>
  <si>
    <t>-703.82220616144 93.7398317628372 -463.470284826187</t>
  </si>
  <si>
    <t>-713.298159986192 91.4750561176359 -572.557224302483</t>
  </si>
  <si>
    <t>-714.761494973902 89.7142928319979 -682.054353413242</t>
  </si>
  <si>
    <t>-708.420477520775 87.652141763635 -834.22370940861</t>
  </si>
  <si>
    <t>-673.809035477022 71.9452456717929 -928.766415519669</t>
  </si>
  <si>
    <t>-699.161471190318 117.980175484791 -766.789315295351</t>
  </si>
  <si>
    <t>-621.758699011145 241.394146618572 -746.726787137174</t>
  </si>
  <si>
    <t>-516.605569439149 129.368764375984 -469.997043047967</t>
  </si>
  <si>
    <t>-723.290947439853 59.1489145864348 -766.997579115073</t>
  </si>
  <si>
    <t>-619.780734178648 196.992633764628 -241.968208527504</t>
  </si>
  <si>
    <t>-610.615708991421 184.731533854187 213.46935706755</t>
  </si>
  <si>
    <t>-632.167853540325 167.650341818091 682.454091123058</t>
  </si>
  <si>
    <t>-492.841665156139 98.6672554367256 764.752723581241</t>
  </si>
  <si>
    <t>-671.991573986849 7.81186205446079 -215.706017861793</t>
  </si>
  <si>
    <t>-636.444369567981 -4.41538792910251 238.435538116755</t>
  </si>
  <si>
    <t>-782.423383258144 88.0466451731015 675.201191921899</t>
  </si>
  <si>
    <t>-676.751122001428 -26.6280129287713 756.605158722125</t>
  </si>
  <si>
    <t>9763-20170724T160608.831480400.bin</t>
  </si>
  <si>
    <t>-645.548058332875 102.911642742778 -229.146227921901</t>
  </si>
  <si>
    <t>-683.989196052892 97.4663078646738 -343.865142979812</t>
  </si>
  <si>
    <t>-703.365830076105 94.0020461065908 -463.460743685923</t>
  </si>
  <si>
    <t>-712.85178044148 91.3826126428539 -572.538798059698</t>
  </si>
  <si>
    <t>-714.344000642941 89.1576753870424 -682.027007411301</t>
  </si>
  <si>
    <t>-708.06453830443 86.3375471834918 -834.186827109788</t>
  </si>
  <si>
    <t>-673.715392486806 70.6007402939463 -928.820192845819</t>
  </si>
  <si>
    <t>-698.783649782735 117.003381643885 -766.908305828852</t>
  </si>
  <si>
    <t>-621.309414422116 240.509532177006 -747.608903527398</t>
  </si>
  <si>
    <t>-516.819808579768 130.013363949027 -470.014334504786</t>
  </si>
  <si>
    <t>-722.902312153825 58.1674065737127 -766.813212248992</t>
  </si>
  <si>
    <t>-619.392681677272 197.528542493333 -241.933637997465</t>
  </si>
  <si>
    <t>-610.4095998904 185.06735617004 213.502035227137</t>
  </si>
  <si>
    <t>-632.14608063288 167.676934410178 682.446068084638</t>
  </si>
  <si>
    <t>-492.877784548435 98.5881239243911 764.753960649502</t>
  </si>
  <si>
    <t>-671.561269923726 8.28819727042992 -215.693461993784</t>
  </si>
  <si>
    <t>-636.171476350358 -4.11741988689118 238.455627204062</t>
  </si>
  <si>
    <t>-782.394200264017 88.1054397395308 675.220332410518</t>
  </si>
  <si>
    <t>-676.750366998364 -26.599421318233 756.618645552206</t>
  </si>
  <si>
    <t>9763-20170724T160608.893144700.bin</t>
  </si>
  <si>
    <t>-644.554799380248 104.127400213942 -229.01830102945</t>
  </si>
  <si>
    <t>-682.863456316738 98.6354945463238 -343.779317644819</t>
  </si>
  <si>
    <t>-702.211340215865 94.5123302784241 -463.358738057204</t>
  </si>
  <si>
    <t>-711.723582466493 91.0523523372899 -572.410955660573</t>
  </si>
  <si>
    <t>-713.300193753235 87.7437250770759 -681.870616182823</t>
  </si>
  <si>
    <t>-707.20260189357 83.1665711599655 -833.995116654209</t>
  </si>
  <si>
    <t>-673.595194984187 67.4724488403601 -928.901483884304</t>
  </si>
  <si>
    <t>-697.822146942196 114.599374128987 -767.085547993513</t>
  </si>
  <si>
    <t>-620.242260648901 238.244803050986 -749.463209570635</t>
  </si>
  <si>
    <t>-516.986337977329 130.980280470612 -470.145015511169</t>
  </si>
  <si>
    <t>-721.979009279954 55.7843138024896 -766.284033994294</t>
  </si>
  <si>
    <t>-618.341836529112 198.709969269941 -241.848426815467</t>
  </si>
  <si>
    <t>-609.9974764177 185.839698961856 213.588089921764</t>
  </si>
  <si>
    <t>-632.123494442378 167.682837524718 682.45978886186</t>
  </si>
  <si>
    <t>-492.890497107548 98.5248988688479 764.769323339658</t>
  </si>
  <si>
    <t>-670.640246586942 9.52754918372307 -215.517830158231</t>
  </si>
  <si>
    <t>-635.227560046575 -3.60881750956264 238.60883379657</t>
  </si>
  <si>
    <t>-782.312200321618 88.211590993998 675.161215305236</t>
  </si>
  <si>
    <t>-676.716850714837 -26.5270860405724 756.574796949037</t>
  </si>
  <si>
    <t>9763-20170724T160608.923417600.bin</t>
  </si>
  <si>
    <t>-643.852354760294 104.762465357067 -228.990050258905</t>
  </si>
  <si>
    <t>-682.049315689521 99.2088190654756 -343.785351867265</t>
  </si>
  <si>
    <t>-701.341355093928 94.7911820722798 -463.363078149452</t>
  </si>
  <si>
    <t>-710.830332429774 90.9734765264295 -572.405543049199</t>
  </si>
  <si>
    <t>-712.413154405945 87.2173757470493 -681.850641666327</t>
  </si>
  <si>
    <t>-706.356951570303 81.9260556430895 -833.953695726121</t>
  </si>
  <si>
    <t>-673.063355569996 66.3365371930629 -928.987883228676</t>
  </si>
  <si>
    <t>-696.968822599918 113.676779217579 -767.195352676302</t>
  </si>
  <si>
    <t>-619.36052910982 237.407535119616 -750.276798837633</t>
  </si>
  <si>
    <t>-516.248543554696 132.004988085007 -470.197521786748</t>
  </si>
  <si>
    <t>-721.104486779763 54.8577734215517 -766.110289699955</t>
  </si>
  <si>
    <t>-617.629773805688 199.357919673618 -241.821926313364</t>
  </si>
  <si>
    <t>-609.674464189503 186.274660419886 213.615545893322</t>
  </si>
  <si>
    <t>-632.109759924312 167.689644532598 682.462281298197</t>
  </si>
  <si>
    <t>-492.90099299186 98.4873520303872 764.775522575598</t>
  </si>
  <si>
    <t>-669.861682178363 10.1753300271112 -215.464692315832</t>
  </si>
  <si>
    <t>-634.689560904062 -3.28795292217842 238.671149644291</t>
  </si>
  <si>
    <t>-782.267555102102 88.2804945631488 675.134758782275</t>
  </si>
  <si>
    <t>-676.708232975311 -26.490594098967 756.549344378686</t>
  </si>
  <si>
    <t>9763-20170724T160608.991082800.bin</t>
  </si>
  <si>
    <t>-641.938381888644 106.300408600355 -228.796901589948</t>
  </si>
  <si>
    <t>-679.893518533042 100.498855974358 -343.660029208287</t>
  </si>
  <si>
    <t>-699.111614418846 95.4239168425952 -463.223804340359</t>
  </si>
  <si>
    <t>-708.610778809999 90.851624022529 -572.236251472437</t>
  </si>
  <si>
    <t>-710.28490660425 86.1839365106653 -681.644909490442</t>
  </si>
  <si>
    <t>-704.442972517805 79.4652128349585 -833.700010065507</t>
  </si>
  <si>
    <t>-671.740102740679 64.0170341944479 -928.961979769871</t>
  </si>
  <si>
    <t>-694.999536894269 111.856803895987 -767.258099671184</t>
  </si>
  <si>
    <t>-617.587151627303 235.894173863366 -751.674281513838</t>
  </si>
  <si>
    <t>-514.976123386895 133.415715165283 -470.328715797574</t>
  </si>
  <si>
    <t>-719.05621029248 53.0192110062194 -765.5825200934</t>
  </si>
  <si>
    <t>-615.845933137467 200.914301863678 -241.768915496167</t>
  </si>
  <si>
    <t>-608.892380717858 187.31153850823 213.669630719034</t>
  </si>
  <si>
    <t>-632.061555713105 167.748973961439 682.437446132973</t>
  </si>
  <si>
    <t>-492.914339039163 98.4351515027679 764.76094442857</t>
  </si>
  <si>
    <t>-667.880919763778 11.6959450190784 -215.171433150494</t>
  </si>
  <si>
    <t>-633.170138727288 -2.62033373291342 238.973739748475</t>
  </si>
  <si>
    <t>-782.12863143637 88.5027870883525 675.073344979091</t>
  </si>
  <si>
    <t>-676.694636719363 -26.4077338959441 756.453687175916</t>
  </si>
  <si>
    <t>9763-20170724T160609.026987700.bin</t>
  </si>
  <si>
    <t>-640.694498285249 107.156652303017 -228.66492364153</t>
  </si>
  <si>
    <t>-678.489374678398 101.160760569065 -343.571059403744</t>
  </si>
  <si>
    <t>-697.613932820358 95.8057894235696 -463.137498016294</t>
  </si>
  <si>
    <t>-707.058627675799 90.9460727884609 -572.142143814042</t>
  </si>
  <si>
    <t>-708.709517117039 85.9570361074443 -681.537049031802</t>
  </si>
  <si>
    <t>-702.869032706026 78.7560511700658 -833.570184854092</t>
  </si>
  <si>
    <t>-670.36021351391 63.4603792984319 -928.92305428794</t>
  </si>
  <si>
    <t>-693.442363436715 111.365282439988 -767.232334961654</t>
  </si>
  <si>
    <t>-616.081260766452 235.479276771957 -752.173852235332</t>
  </si>
  <si>
    <t>-513.437134855222 134.93900988446 -470.14183890071</t>
  </si>
  <si>
    <t>-717.464195780977 52.5192081770767 -765.367896246633</t>
  </si>
  <si>
    <t>-614.696098890064 201.800341320775 -241.715567990351</t>
  </si>
  <si>
    <t>-608.540416794977 188.020328528058 213.729221345137</t>
  </si>
  <si>
    <t>-632.038866120661 167.786794469457 682.433378033027</t>
  </si>
  <si>
    <t>-492.879919160717 98.4887717375068 764.750347768103</t>
  </si>
  <si>
    <t>-666.508855992697 12.5481105307256 -214.92024833494</t>
  </si>
  <si>
    <t>-631.997401184922 -2.25041475535772 239.224724138678</t>
  </si>
  <si>
    <t>-782.041077528523 88.6278687612837 675.008432426215</t>
  </si>
  <si>
    <t>-676.680544547311 -26.3579999054416 756.377461591598</t>
  </si>
  <si>
    <t>9763-20170724T160609.095211800.bin</t>
  </si>
  <si>
    <t>-637.612456162135 108.860017253832 -228.244286712976</t>
  </si>
  <si>
    <t>-675.086318566708 102.285920355489 -343.223948550882</t>
  </si>
  <si>
    <t>-694.062109073348 96.3452881538014 -462.786297622439</t>
  </si>
  <si>
    <t>-703.445733083818 90.9585707352649 -571.77153727284</t>
  </si>
  <si>
    <t>-705.110116427179 85.4473577897411 -681.14124975203</t>
  </si>
  <si>
    <t>-699.366206003402 77.5277876898531 -833.142228124102</t>
  </si>
  <si>
    <t>-667.131130080648 62.492359054268 -928.629339204939</t>
  </si>
  <si>
    <t>-689.9746368369 110.481484653367 -766.969785515416</t>
  </si>
  <si>
    <t>-612.93567603576 234.926525043547 -752.652333357427</t>
  </si>
  <si>
    <t>-510.805321758967 137.0191162633 -469.509708049287</t>
  </si>
  <si>
    <t>-713.840819067614 51.5823690246427 -764.803060397785</t>
  </si>
  <si>
    <t>-611.931348663795 203.480814155559 -241.624842679232</t>
  </si>
  <si>
    <t>-607.749456599884 189.618663523641 213.839727032504</t>
  </si>
  <si>
    <t>-631.970328246494 167.871855785359 682.409548538077</t>
  </si>
  <si>
    <t>-492.839201876464 98.500940358774 764.712137775628</t>
  </si>
  <si>
    <t>-663.104784924881 14.2081771129533 -214.187126446446</t>
  </si>
  <si>
    <t>-628.811033896143 -1.66075323436758 239.938129828782</t>
  </si>
  <si>
    <t>-781.776253491914 88.9462092749932 674.766006094459</t>
  </si>
  <si>
    <t>-676.654620622199 -26.2601917557076 756.132088975216</t>
  </si>
  <si>
    <t>9763-20170724T160609.123290000.bin</t>
  </si>
  <si>
    <t>-635.795388806498 109.673052532923 -227.949049214071</t>
  </si>
  <si>
    <t>-673.07096256753 102.742262992164 -342.972078032581</t>
  </si>
  <si>
    <t>-691.907692507301 96.4846507607451 -462.5404672678</t>
  </si>
  <si>
    <t>-701.190734249397 90.8316872779208 -571.520766959618</t>
  </si>
  <si>
    <t>-702.780204254935 85.0761908846221 -680.878947460983</t>
  </si>
  <si>
    <t>-696.958650456678 76.8418751976469 -832.860171330625</t>
  </si>
  <si>
    <t>-664.785302267393 61.9448964297069 -928.390046952203</t>
  </si>
  <si>
    <t>-687.662469383475 109.957317355584 -766.755299457653</t>
  </si>
  <si>
    <t>-611.016322906961 234.632607611431 -752.611670046364</t>
  </si>
  <si>
    <t>-508.755551741657 138.10334046996 -469.043323444839</t>
  </si>
  <si>
    <t>-711.406566620548 51.0132674173055 -764.471150542804</t>
  </si>
  <si>
    <t>-610.313762122746 204.344753123802 -241.570927800954</t>
  </si>
  <si>
    <t>-607.261623325061 190.391949078232 213.899898803872</t>
  </si>
  <si>
    <t>-631.922330700944 167.930619950122 682.391736901279</t>
  </si>
  <si>
    <t>-492.816217824284 98.51493739176 764.69890656809</t>
  </si>
  <si>
    <t>-661.08244036774 14.96229955885 -213.712580284326</t>
  </si>
  <si>
    <t>-626.851012205847 -1.48525095814512 240.396906546978</t>
  </si>
  <si>
    <t>-781.601640966104 89.1414411320889 674.580900690699</t>
  </si>
  <si>
    <t>-676.63623441283 -26.2014483046373 755.955259037518</t>
  </si>
  <si>
    <t>9763-20170724T160609.208051100.bin</t>
  </si>
  <si>
    <t>-631.790550048304 111.075590989831 -227.320924684535</t>
  </si>
  <si>
    <t>-668.738441488459 103.343117063109 -342.398572676171</t>
  </si>
  <si>
    <t>-687.229854879578 96.3820259359759 -461.981892365765</t>
  </si>
  <si>
    <t>-696.19429449287 90.1392689305565 -570.956849564909</t>
  </si>
  <si>
    <t>-697.459149134414 83.8429041286445 -680.289343814618</t>
  </si>
  <si>
    <t>-691.180646027934 74.9098059632006 -832.21302810836</t>
  </si>
  <si>
    <t>-658.984051927615 60.2894268248162 -927.777714805303</t>
  </si>
  <si>
    <t>-682.189480828408 108.371286992942 -766.240222890684</t>
  </si>
  <si>
    <t>-606.08977735239 233.426821881265 -752.372075023</t>
  </si>
  <si>
    <t>-504.342130288177 139.745621443751 -467.666136965041</t>
  </si>
  <si>
    <t>-705.727972514529 49.3534741359595 -763.742753353326</t>
  </si>
  <si>
    <t>-606.712978671985 205.873297089726 -241.448464771087</t>
  </si>
  <si>
    <t>-605.984377903638 191.969027600315 214.03345700244</t>
  </si>
  <si>
    <t>-631.800791610111 168.038135901823 682.344774629843</t>
  </si>
  <si>
    <t>-492.693190367826 98.6373487997316 764.66194460232</t>
  </si>
  <si>
    <t>-656.725058650445 16.2039916719002 -212.50808883882</t>
  </si>
  <si>
    <t>-622.125309228656 -1.43521955760616 241.528732208558</t>
  </si>
  <si>
    <t>-781.226638654298 89.4928112944542 674.04958657302</t>
  </si>
  <si>
    <t>-676.599777743513 -26.0943186299082 755.513369515436</t>
  </si>
  <si>
    <t>9763-20170724T160609.228096300.bin</t>
  </si>
  <si>
    <t>-629.782536482106 111.711239951045 -226.980989181963</t>
  </si>
  <si>
    <t>-666.686357256431 103.603121090418 -342.046913721513</t>
  </si>
  <si>
    <t>-685.044628062668 96.3124396687269 -461.631116057387</t>
  </si>
  <si>
    <t>-693.851399806064 89.7921147656814 -570.602607257111</t>
  </si>
  <si>
    <t>-694.921230602347 83.2390568723865 -679.922209751222</t>
  </si>
  <si>
    <t>-688.332772463307 73.9715114129581 -831.812638785056</t>
  </si>
  <si>
    <t>-656.062650560408 59.5165571188138 -927.377579690802</t>
  </si>
  <si>
    <t>-679.504626108824 107.589539201523 -765.897338979861</t>
  </si>
  <si>
    <t>-603.526864714226 232.747900080246 -752.18713113761</t>
  </si>
  <si>
    <t>-502.349091752553 140.791204631473 -466.717021298332</t>
  </si>
  <si>
    <t>-702.991301167132 48.554675137374 -763.314148620006</t>
  </si>
  <si>
    <t>-604.875388331666 206.600041203858 -241.388624924453</t>
  </si>
  <si>
    <t>-605.316536361682 192.719617742012 214.094307394722</t>
  </si>
  <si>
    <t>-631.71812459244 168.141449903121 682.311437885508</t>
  </si>
  <si>
    <t>-492.666937572804 98.6479792025766 764.645775742988</t>
  </si>
  <si>
    <t>-654.577355114935 16.7966397747277 -211.832321082345</t>
  </si>
  <si>
    <t>-619.335402145568 -1.47285129279567 242.130063393469</t>
  </si>
  <si>
    <t>-780.981021672991 89.6798221068259 673.656692082094</t>
  </si>
  <si>
    <t>-676.594902469436 -26.050602124888 755.225785126325</t>
  </si>
  <si>
    <t>9763-20170724T160609.289764900.bin</t>
  </si>
  <si>
    <t>-625.756669742048 113.192930302533 -226.158331304072</t>
  </si>
  <si>
    <t>-662.49153007546 104.188504448635 -341.211638891012</t>
  </si>
  <si>
    <t>-680.554074067503 96.2064434369136 -460.796749604397</t>
  </si>
  <si>
    <t>-689.039551866875 89.1508958324257 -569.760292586032</t>
  </si>
  <si>
    <t>-689.73296480516 82.1559500432304 -679.055502920892</t>
  </si>
  <si>
    <t>-682.563516363234 72.3738795402521 -830.887450316399</t>
  </si>
  <si>
    <t>-650.095781784223 58.2220744661511 -926.431019941695</t>
  </si>
  <si>
    <t>-674.046921118786 106.238596832133 -765.057578254662</t>
  </si>
  <si>
    <t>-598.444291164717 231.628623623301 -751.620079263523</t>
  </si>
  <si>
    <t>-498.595786335152 143.303279276742 -464.539792799103</t>
  </si>
  <si>
    <t>-697.42454758531 47.1657860572964 -762.355579525668</t>
  </si>
  <si>
    <t>-601.105991215323 208.061548757995 -241.281230199855</t>
  </si>
  <si>
    <t>-603.823372540814 194.424191306118 214.201202702165</t>
  </si>
  <si>
    <t>-631.500211219585 168.26296505374 682.186510707107</t>
  </si>
  <si>
    <t>-492.50256184062 98.7607247769226 764.603786769083</t>
  </si>
  <si>
    <t>-650.205294888773 18.358382470243 -210.297530599113</t>
  </si>
  <si>
    <t>-612.797928675357 -1.68775185218192 243.416605553637</t>
  </si>
  <si>
    <t>-780.27474821636 90.1583753074588 672.535850630807</t>
  </si>
  <si>
    <t>-676.509123231192 -25.9220672709114 754.398749124314</t>
  </si>
  <si>
    <t>9763-20170724T160609.324668400.bin</t>
  </si>
  <si>
    <t>-623.754954389665 113.773110406716 -225.715777790684</t>
  </si>
  <si>
    <t>-660.432164369526 104.306911386822 -340.750480063496</t>
  </si>
  <si>
    <t>-678.350598879214 96.0217504799332 -460.33664805472</t>
  </si>
  <si>
    <t>-686.667958400643 88.7609417449801 -569.299710635913</t>
  </si>
  <si>
    <t>-687.154817403044 81.6309003860181 -678.587233286266</t>
  </si>
  <si>
    <t>-679.657131210048 71.7362653410482 -830.396135072248</t>
  </si>
  <si>
    <t>-647.022129085409 57.7551256553506 -925.90756325899</t>
  </si>
  <si>
    <t>-671.333633279278 105.669590590673 -764.576829771706</t>
  </si>
  <si>
    <t>-595.913747484598 231.188576309502 -751.124974933145</t>
  </si>
  <si>
    <t>-496.886152610061 144.19829489707 -463.353507058509</t>
  </si>
  <si>
    <t>-694.615606794915 46.5590873101714 -761.873954345395</t>
  </si>
  <si>
    <t>-599.22148349706 208.680755856109 -241.218938372988</t>
  </si>
  <si>
    <t>-602.993610745202 195.109953849563 214.258099965295</t>
  </si>
  <si>
    <t>-631.403725268812 168.311040212887 682.14302802005</t>
  </si>
  <si>
    <t>-492.426853199746 98.8122711865014 764.598176241877</t>
  </si>
  <si>
    <t>-648.170690673601 18.8218608128698 -209.538294328906</t>
  </si>
  <si>
    <t>-609.195682907964 -1.70054793719009 244.022545137129</t>
  </si>
  <si>
    <t>-779.812750323012 90.4508098716317 671.854363130581</t>
  </si>
  <si>
    <t>-676.409845984998 -25.8269089871853 753.896050152379</t>
  </si>
  <si>
    <t>9763-20170724T160609.389849000.bin</t>
  </si>
  <si>
    <t>-620.083128132553 115.163899357969 -225.036021270937</t>
  </si>
  <si>
    <t>-656.60138375632 104.886206182192 -340.051641284552</t>
  </si>
  <si>
    <t>-674.224223312397 96.0831608332539 -459.644658981294</t>
  </si>
  <si>
    <t>-682.214994455026 88.4804421038427 -568.608831694126</t>
  </si>
  <si>
    <t>-682.314137390127 81.1382327061542 -677.883463093324</t>
  </si>
  <si>
    <t>-674.2130460379 71.0862945054521 -829.650840096674</t>
  </si>
  <si>
    <t>-641.127705573588 57.3417418049312 -925.041805324789</t>
  </si>
  <si>
    <t>-666.265201503302 105.132131714426 -763.843269990276</t>
  </si>
  <si>
    <t>-591.492836416138 230.995321252738 -750.152745158853</t>
  </si>
  <si>
    <t>-493.567828512102 145.444811776712 -461.573457421405</t>
  </si>
  <si>
    <t>-689.329776860829 45.9358909625348 -761.153717547806</t>
  </si>
  <si>
    <t>-595.846880946192 210.177377606276 -241.065616849802</t>
  </si>
  <si>
    <t>-601.640446562785 196.624334057119 214.390658159517</t>
  </si>
  <si>
    <t>-631.276315769587 168.422217851986 682.107378442225</t>
  </si>
  <si>
    <t>-492.43277626768 98.6950608113414 764.594421518297</t>
  </si>
  <si>
    <t>-644.171031579631 20.331506415301 -208.365109757572</t>
  </si>
  <si>
    <t>-602.967723371478 -1.41092128573155 244.941897650336</t>
  </si>
  <si>
    <t>-778.92254974209 91.0593680174363 670.534189034976</t>
  </si>
  <si>
    <t>-676.274102569552 -25.6604583935502 752.89492250533</t>
  </si>
  <si>
    <t>9763-20170724T160609.425958100.bin</t>
  </si>
  <si>
    <t>-618.312747637014 116.044521755451 -224.778006530983</t>
  </si>
  <si>
    <t>-654.738980494649 105.397525955733 -339.789292730264</t>
  </si>
  <si>
    <t>-672.219814162072 96.3735191476731 -459.386765554405</t>
  </si>
  <si>
    <t>-680.060298299132 88.6347947842135 -568.352258564349</t>
  </si>
  <si>
    <t>-679.986317380019 81.2222101179088 -677.622057737638</t>
  </si>
  <si>
    <t>-671.620273930038 71.1422216439439 -829.373327460843</t>
  </si>
  <si>
    <t>-638.269215968018 57.4548005901679 -924.679793103666</t>
  </si>
  <si>
    <t>-663.85278052435 105.225206998794 -763.563539017304</t>
  </si>
  <si>
    <t>-589.37086712018 231.267339968375 -749.737965821928</t>
  </si>
  <si>
    <t>-491.571930339442 146.4297811713 -460.905566981716</t>
  </si>
  <si>
    <t>-686.791286455999 45.9792950148988 -760.892696175884</t>
  </si>
  <si>
    <t>-594.286167659781 211.068042727076 -241.004685699493</t>
  </si>
  <si>
    <t>-601.060316212019 197.453612171535 214.436280175915</t>
  </si>
  <si>
    <t>-631.230163073433 168.467986814248 682.091636137858</t>
  </si>
  <si>
    <t>-492.472641070585 98.574244907667 764.582383964445</t>
  </si>
  <si>
    <t>-642.257150854715 21.1318814386691 -207.907696075516</t>
  </si>
  <si>
    <t>-600.336101831175 -0.998325099237491 245.314665871389</t>
  </si>
  <si>
    <t>-778.517212397742 91.3731849258772 669.950453430466</t>
  </si>
  <si>
    <t>-676.253002390007 -25.602439054577 752.426151350384</t>
  </si>
  <si>
    <t>9763-20170724T160609.495638800.bin</t>
  </si>
  <si>
    <t>-615.238028728719 116.966328903281 -224.435351454056</t>
  </si>
  <si>
    <t>-651.45787773194 105.742877147158 -339.456759836217</t>
  </si>
  <si>
    <t>-668.701879900498 96.3669262720682 -459.061613821847</t>
  </si>
  <si>
    <t>-676.314191920938 88.4086919433339 -568.027521747719</t>
  </si>
  <si>
    <t>-675.997217176624 80.878683588478 -677.288894322984</t>
  </si>
  <si>
    <t>-667.277207752047 70.7449074389158 -829.016519969728</t>
  </si>
  <si>
    <t>-633.499973514272 57.0612412968953 -924.173390912548</t>
  </si>
  <si>
    <t>-659.786503736758 104.898306084879 -763.211119059661</t>
  </si>
  <si>
    <t>-585.935580027143 231.29074905859 -749.21186986103</t>
  </si>
  <si>
    <t>-487.917126640664 148.245816175877 -459.933137386946</t>
  </si>
  <si>
    <t>-682.48458735881 45.5592634241323 -760.552390521163</t>
  </si>
  <si>
    <t>-591.408761307367 212.233143238287 -240.975386391908</t>
  </si>
  <si>
    <t>-599.900060598058 198.564618787007 214.43520457803</t>
  </si>
  <si>
    <t>-631.106940594854 168.553488933761 681.989941839695</t>
  </si>
  <si>
    <t>-492.449341560585 98.4802707014492 764.496416593158</t>
  </si>
  <si>
    <t>-638.99567009969 21.6115874112884 -207.213229948803</t>
  </si>
  <si>
    <t>-595.802498369252 -0.255222906309427 245.902475095722</t>
  </si>
  <si>
    <t>-777.824844817914 91.9101499046114 668.915405274816</t>
  </si>
  <si>
    <t>-676.162976032932 -25.4370321265951 751.607661853981</t>
  </si>
  <si>
    <t>9763-20170724T160609.525237500.bin</t>
  </si>
  <si>
    <t>-613.888199039054 117.358556541031 -224.200446564695</t>
  </si>
  <si>
    <t>-649.957995048819 105.859774890097 -339.2418806442</t>
  </si>
  <si>
    <t>-667.076125554793 96.2985379775826 -458.850030729221</t>
  </si>
  <si>
    <t>-674.584740470513 88.2147501311097 -567.813931246264</t>
  </si>
  <si>
    <t>-674.174030136094 80.6040158584522 -677.06952197042</t>
  </si>
  <si>
    <t>-665.33368971176 70.4073869302979 -828.785889253445</t>
  </si>
  <si>
    <t>-631.428981848223 56.6777757834423 -923.890866937939</t>
  </si>
  <si>
    <t>-657.967968259492 104.615579336479 -762.994808503979</t>
  </si>
  <si>
    <t>-584.48317349573 231.21900892714 -748.970200233221</t>
  </si>
  <si>
    <t>-485.988490808224 149.442647210653 -459.492026708739</t>
  </si>
  <si>
    <t>-680.522553076583 45.2225900227086 -760.317295879348</t>
  </si>
  <si>
    <t>-590.130135178935 212.691507773572 -240.93149353132</t>
  </si>
  <si>
    <t>-599.312453763667 199.002294353166 214.464955910948</t>
  </si>
  <si>
    <t>-631.045955419085 168.59512667693 681.947177156539</t>
  </si>
  <si>
    <t>-492.432463701237 98.4427517649856 764.460582863126</t>
  </si>
  <si>
    <t>-637.547410861629 22.1045013545865 -206.782318041533</t>
  </si>
  <si>
    <t>-593.647337500859 -0.268988005759638 246.240782239694</t>
  </si>
  <si>
    <t>-777.469764664495 92.1560524081817 668.372257339184</t>
  </si>
  <si>
    <t>-676.111498243504 -25.3574473191632 751.200917153423</t>
  </si>
  <si>
    <t>9763-20170724T160609.589912100.bin</t>
  </si>
  <si>
    <t>-611.238010227166 118.184182287238 -223.76051960406</t>
  </si>
  <si>
    <t>-647.255465213835 106.247838002807 -338.773857206908</t>
  </si>
  <si>
    <t>-664.184662219638 96.454567408339 -458.390153331024</t>
  </si>
  <si>
    <t>-671.463959311106 88.2507663700462 -567.360603168371</t>
  </si>
  <si>
    <t>-670.764512896354 80.6127608137369 -676.612788272956</t>
  </si>
  <si>
    <t>-661.46060307881 70.4774139425519 -828.305552618082</t>
  </si>
  <si>
    <t>-627.210137506494 56.6654984386737 -923.274596218064</t>
  </si>
  <si>
    <t>-654.390788785797 104.694427438157 -762.486753394394</t>
  </si>
  <si>
    <t>-581.350904312102 231.522713718959 -748.333938922509</t>
  </si>
  <si>
    <t>-483.068884968484 152.399246207174 -458.047443902769</t>
  </si>
  <si>
    <t>-676.763901692904 45.2294360714354 -759.885788821756</t>
  </si>
  <si>
    <t>-587.6465948688 213.659409125955 -240.812446976373</t>
  </si>
  <si>
    <t>-598.208599549942 199.919839448744 214.552618588516</t>
  </si>
  <si>
    <t>-630.939810443109 168.640324408031 681.881785865789</t>
  </si>
  <si>
    <t>-492.437351895774 98.294178951948 764.416586825864</t>
  </si>
  <si>
    <t>-634.703423141937 22.8080446813369 -205.970047896109</t>
  </si>
  <si>
    <t>-588.878918401726 -0.401280948355179 246.820375047324</t>
  </si>
  <si>
    <t>-776.583258865525 92.6798424048279 667.076419424685</t>
  </si>
  <si>
    <t>-676.029447870008 -25.2209196640476 750.334176175526</t>
  </si>
  <si>
    <t>9763-20170724T160609.629522700.bin</t>
  </si>
  <si>
    <t>-609.971969005361 118.533050158746 -223.511059760152</t>
  </si>
  <si>
    <t>-645.963454477446 106.382642359479 -338.510121275105</t>
  </si>
  <si>
    <t>-662.795756607572 96.4991479189002 -458.13273219189</t>
  </si>
  <si>
    <t>-669.957053542881 88.2679256248803 -567.108835094685</t>
  </si>
  <si>
    <t>-669.108639064762 80.6587121383122 -676.361918963065</t>
  </si>
  <si>
    <t>-659.564994158694 70.6239061403296 -828.046576591285</t>
  </si>
  <si>
    <t>-625.150945919251 56.7654412997233 -922.949701274406</t>
  </si>
  <si>
    <t>-652.639327797179 104.812223131519 -762.197481523653</t>
  </si>
  <si>
    <t>-579.756024411623 231.73659945005 -747.864378809789</t>
  </si>
  <si>
    <t>-482.005893751155 153.539043764277 -457.147669992593</t>
  </si>
  <si>
    <t>-674.936219837815 45.3157362557579 -759.664144885663</t>
  </si>
  <si>
    <t>-586.421534096663 214.025395216152 -240.72801726246</t>
  </si>
  <si>
    <t>-597.653405041652 200.303268252259 214.621481119279</t>
  </si>
  <si>
    <t>-630.900380868396 168.609839651636 681.868353822475</t>
  </si>
  <si>
    <t>-492.446407723021 98.1837574373428 764.416387818107</t>
  </si>
  <si>
    <t>-633.399901190742 23.1101696942023 -205.556850600769</t>
  </si>
  <si>
    <t>-586.352464157243 -0.58592587300268 247.082863468276</t>
  </si>
  <si>
    <t>-775.990847104484 92.9972800102244 666.301435219688</t>
  </si>
  <si>
    <t>-675.930028815936 -25.1231227865139 749.841327417418</t>
  </si>
  <si>
    <t>9763-20170724T160609.691696500.bin</t>
  </si>
  <si>
    <t>-607.449647594383 119.115144463472 -223.034572887831</t>
  </si>
  <si>
    <t>-643.46439644205 106.59612974228 -337.986863214041</t>
  </si>
  <si>
    <t>-660.122405968398 96.5227539088471 -457.617893248765</t>
  </si>
  <si>
    <t>-667.042819778128 88.1994707265958 -566.602731599985</t>
  </si>
  <si>
    <t>-665.869241226506 80.5819136752866 -675.852189902</t>
  </si>
  <si>
    <t>-655.786162514858 70.625724378775 -827.507155072922</t>
  </si>
  <si>
    <t>-620.993543030191 56.6642017434158 -922.256902809105</t>
  </si>
  <si>
    <t>-649.163168420691 104.805227954976 -761.622221593572</t>
  </si>
  <si>
    <t>-576.747966143971 231.929694309741 -746.888499914705</t>
  </si>
  <si>
    <t>-480.029232854648 154.479927400791 -455.627039352169</t>
  </si>
  <si>
    <t>-671.332106892474 45.2567595459191 -759.18665520354</t>
  </si>
  <si>
    <t>-584.04351310267 214.633837297712 -240.580808128324</t>
  </si>
  <si>
    <t>-596.512359365352 201.008416615383 214.739359347526</t>
  </si>
  <si>
    <t>-630.793217898029 168.627741376214 681.838308038</t>
  </si>
  <si>
    <t>-492.496631106429 97.9415019563892 764.427790900016</t>
  </si>
  <si>
    <t>-630.764563635871 23.6681415320727 -204.787373509001</t>
  </si>
  <si>
    <t>-580.962282773728 -0.77347031762406 247.517820932988</t>
  </si>
  <si>
    <t>-774.637344678099 93.6868007603066 664.598614063704</t>
  </si>
  <si>
    <t>-675.770107159372 -24.9432691285595 748.834503203285</t>
  </si>
  <si>
    <t>9763-20170724T160609.722780100.bin</t>
  </si>
  <si>
    <t>-606.339976514399 119.229134122345 -222.871049209598</t>
  </si>
  <si>
    <t>-642.386429324897 106.547049049201 -337.795464027576</t>
  </si>
  <si>
    <t>-658.981047511913 96.429028530292 -457.431529034641</t>
  </si>
  <si>
    <t>-665.803133890273 88.1142842370648 -566.423188353282</t>
  </si>
  <si>
    <t>-664.489411259185 80.5544593129362 -675.675165389461</t>
  </si>
  <si>
    <t>-654.167911531269 70.7296573636472 -827.322486594699</t>
  </si>
  <si>
    <t>-619.164488471796 56.7786700109791 -921.996285607067</t>
  </si>
  <si>
    <t>-647.670512421909 104.860111304991 -761.399711279519</t>
  </si>
  <si>
    <t>-575.360995923188 232.031911717674 -746.488977511427</t>
  </si>
  <si>
    <t>-479.1431198518 154.80657935612 -455.002166395184</t>
  </si>
  <si>
    <t>-669.799230447593 45.2935011680897 -759.046846607296</t>
  </si>
  <si>
    <t>-583.015772877244 214.770217008696 -240.531284636834</t>
  </si>
  <si>
    <t>-596.003139104755 201.222237615711 214.776825760793</t>
  </si>
  <si>
    <t>-630.749324095164 168.602673579346 681.829192465985</t>
  </si>
  <si>
    <t>-492.477538511857 97.8795808037301 764.428658298349</t>
  </si>
  <si>
    <t>-629.620811190272 23.7693950598984 -204.511345685605</t>
  </si>
  <si>
    <t>-578.57150282772 -0.756979519788047 247.650261411544</t>
  </si>
  <si>
    <t>-774.012841830741 94.0468901927259 663.827545804073</t>
  </si>
  <si>
    <t>-675.667916421313 -24.818951020703 748.342017420679</t>
  </si>
  <si>
    <t>9763-20170724T160609.790964700.bin</t>
  </si>
  <si>
    <t>-604.458340281941 119.434549758958 -222.678145951311</t>
  </si>
  <si>
    <t>-640.423673213891 106.434771506297 -337.59250809885</t>
  </si>
  <si>
    <t>-656.85211917047 96.178721439506 -457.239807013194</t>
  </si>
  <si>
    <t>-663.486952590041 87.8139179648463 -566.239230982469</t>
  </si>
  <si>
    <t>-661.948616191179 80.2787078039969 -675.489760807229</t>
  </si>
  <si>
    <t>-651.275374123501 70.5665652174721 -827.120111561601</t>
  </si>
  <si>
    <t>-615.940193602657 56.6698094204476 -921.678536697002</t>
  </si>
  <si>
    <t>-644.969341983418 104.662106626204 -761.160718002417</t>
  </si>
  <si>
    <t>-572.916063872469 231.952335073751 -746.03034905371</t>
  </si>
  <si>
    <t>-477.193679451469 155.201571338763 -454.255204477573</t>
  </si>
  <si>
    <t>-667.026614783067 45.0656112627207 -758.896124499695</t>
  </si>
  <si>
    <t>-581.193770737505 214.890749695582 -240.508028134062</t>
  </si>
  <si>
    <t>-595.224663241408 201.601825957745 214.776706190508</t>
  </si>
  <si>
    <t>-630.664967391901 168.52162046031 681.77474635313</t>
  </si>
  <si>
    <t>-492.411208483999 97.7823029597514 764.390493626686</t>
  </si>
  <si>
    <t>-627.568719818993 24.1024996385268 -204.20967199334</t>
  </si>
  <si>
    <t>-575.226564071989 -0.554862091732957 247.796939925011</t>
  </si>
  <si>
    <t>-773.166752637749 94.6416339748332 662.702533265912</t>
  </si>
  <si>
    <t>-675.595332101263 -24.6414255523327 747.525219908175</t>
  </si>
  <si>
    <t>9763-20170724T160609.827062500.bin</t>
  </si>
  <si>
    <t>-603.533213615624 119.474201523488 -222.691280265901</t>
  </si>
  <si>
    <t>-639.418906989896 106.34334098565 -337.615488426568</t>
  </si>
  <si>
    <t>-655.76477851495 96.0457297469945 -457.270644973114</t>
  </si>
  <si>
    <t>-662.32315231724 87.6790540819479 -566.274405462859</t>
  </si>
  <si>
    <t>-660.706128589345 80.1772138909714 -675.526178010495</t>
  </si>
  <si>
    <t>-649.920772195926 70.5477752320146 -827.153912621501</t>
  </si>
  <si>
    <t>-614.456048639798 56.7033779246383 -921.671469295171</t>
  </si>
  <si>
    <t>-643.675800545903 104.611930725128 -761.172558997211</t>
  </si>
  <si>
    <t>-571.675708872241 231.910529353173 -745.96075162034</t>
  </si>
  <si>
    <t>-476.064792745585 155.628605585259 -454.026258020519</t>
  </si>
  <si>
    <t>-665.710119372406 45.0050790897276 -758.954210497204</t>
  </si>
  <si>
    <t>-580.321115326884 214.874406116319 -240.551134187698</t>
  </si>
  <si>
    <t>-594.792218277498 201.649559981233 214.721759861973</t>
  </si>
  <si>
    <t>-630.631832248125 168.457493627305 681.727648444683</t>
  </si>
  <si>
    <t>-492.392262129412 97.7124125742805 764.362195203641</t>
  </si>
  <si>
    <t>-626.620207000605 24.1333516503514 -204.230311892152</t>
  </si>
  <si>
    <t>-574.28837875831 -0.326867314458241 247.78822048028</t>
  </si>
  <si>
    <t>-772.935551330569 94.8217260886534 662.336022892701</t>
  </si>
  <si>
    <t>-675.609487285405 -24.5876232342046 747.262776867374</t>
  </si>
  <si>
    <t>9763-20170724T160609.895252700.bin</t>
  </si>
  <si>
    <t>-601.957319996328 119.317663952734 -223.02121969111</t>
  </si>
  <si>
    <t>-637.722807794926 106.230234218627 -337.987953627745</t>
  </si>
  <si>
    <t>-653.927328476337 95.9523766071165 -457.664048559927</t>
  </si>
  <si>
    <t>-660.350705009344 87.5945355633298 -566.67665165855</t>
  </si>
  <si>
    <t>-658.592530521007 80.092526206126 -675.926143545519</t>
  </si>
  <si>
    <t>-647.605237504192 70.4538847042693 -827.538839233524</t>
  </si>
  <si>
    <t>-611.91235441018 56.6008735234648 -921.969101141662</t>
  </si>
  <si>
    <t>-641.472233188874 104.530776951254 -761.553517581818</t>
  </si>
  <si>
    <t>-569.604408019866 231.909100333867 -746.253996655956</t>
  </si>
  <si>
    <t>-474.328312465687 156.266940797407 -454.043504616601</t>
  </si>
  <si>
    <t>-663.461369736438 44.9065270738083 -759.356360843222</t>
  </si>
  <si>
    <t>-578.764235539869 214.574913401035 -240.710814086445</t>
  </si>
  <si>
    <t>-593.711975712363 201.161959876408 214.540991193962</t>
  </si>
  <si>
    <t>-630.587847421615 168.185237896515 681.596579330884</t>
  </si>
  <si>
    <t>-492.328785892068 97.5809404382658 764.318844496168</t>
  </si>
  <si>
    <t>-625.079652097381 24.1590103622596 -204.721016912691</t>
  </si>
  <si>
    <t>-573.684897366405 -0.0732809642681787 247.417308232871</t>
  </si>
  <si>
    <t>-772.647084284192 94.9710664829329 661.804432568445</t>
  </si>
  <si>
    <t>-675.617042598266 -24.4920790207525 746.993838045447</t>
  </si>
  <si>
    <t>9763-20170724T160609.927351100.bin</t>
  </si>
  <si>
    <t>-601.313398774238 119.181313487273 -223.219508857987</t>
  </si>
  <si>
    <t>-637.023309277065 106.203473542031 -338.21590726919</t>
  </si>
  <si>
    <t>-653.152657068683 95.9582697636893 -457.904956210971</t>
  </si>
  <si>
    <t>-659.501900405279 87.5990778723867 -566.921705085123</t>
  </si>
  <si>
    <t>-657.664122552009 80.0655970834969 -676.167834252899</t>
  </si>
  <si>
    <t>-646.561966581104 70.3515821444919 -827.767308679311</t>
  </si>
  <si>
    <t>-610.799125410178 56.4520844569442 -922.164302989892</t>
  </si>
  <si>
    <t>-640.479904891769 104.461625342273 -761.794334000155</t>
  </si>
  <si>
    <t>-568.646233258977 231.853871566781 -746.529880813097</t>
  </si>
  <si>
    <t>-473.386056025349 156.831223311528 -454.154594243943</t>
  </si>
  <si>
    <t>-662.468752227966 44.837833531237 -759.584125165725</t>
  </si>
  <si>
    <t>-578.049472382996 214.310298017627 -240.7837615438</t>
  </si>
  <si>
    <t>-593.115834397388 200.694226879716 214.458148056612</t>
  </si>
  <si>
    <t>-630.584700122817 167.982128034381 681.536656429402</t>
  </si>
  <si>
    <t>-492.30282183999 97.5050323551693 764.329261280503</t>
  </si>
  <si>
    <t>-624.510307042687 24.1441518978486 -205.003482366238</t>
  </si>
  <si>
    <t>-573.565966761128 -0.113661221664415 247.1844376951</t>
  </si>
  <si>
    <t>-772.517163726979 94.946033695745 661.56287684622</t>
  </si>
  <si>
    <t>-675.611452894728 -24.467511193521 746.96308186142</t>
  </si>
  <si>
    <t>9763-20170724T160609.992022500.bin</t>
  </si>
  <si>
    <t>-600.104992212519 118.693972274726 -223.577587463161</t>
  </si>
  <si>
    <t>-635.687641191498 105.917723945438 -338.636075173607</t>
  </si>
  <si>
    <t>-651.703516853811 95.697933775725 -458.342416355623</t>
  </si>
  <si>
    <t>-657.959729824295 87.2897359249116 -567.360730873134</t>
  </si>
  <si>
    <t>-656.040393046067 79.6354527680953 -676.596986366879</t>
  </si>
  <si>
    <t>-644.838172768269 69.6792048554316 -828.173395231051</t>
  </si>
  <si>
    <t>-609.021058320945 55.5637898718408 -922.517775959841</t>
  </si>
  <si>
    <t>-638.771946977238 103.884612342396 -762.248379737121</t>
  </si>
  <si>
    <t>-566.806042469112 231.235366730001 -747.11631312873</t>
  </si>
  <si>
    <t>-472.3519917732 156.982373766106 -454.283364811737</t>
  </si>
  <si>
    <t>-660.817633163648 44.2844997354166 -759.962721091676</t>
  </si>
  <si>
    <t>-576.672161468842 213.48448791537 -240.946921806906</t>
  </si>
  <si>
    <t>-591.732912500505 199.578598458043 214.28653310097</t>
  </si>
  <si>
    <t>-630.529360223951 167.611652591167 681.377959370053</t>
  </si>
  <si>
    <t>-492.244325024558 97.3605202006804 764.357077066116</t>
  </si>
  <si>
    <t>-623.347549850972 23.9627086731114 -205.519854509786</t>
  </si>
  <si>
    <t>-573.215046486255 -0.647596135685717 246.739737694585</t>
  </si>
  <si>
    <t>-772.222715636642 94.7597547568409 661.023646822108</t>
  </si>
  <si>
    <t>-675.589395166849 -24.4527874924213 747.011331950726</t>
  </si>
  <si>
    <t>9763-20170724T160610.025617800.bin</t>
  </si>
  <si>
    <t>-599.482368813806 118.348548809314 -223.686578766572</t>
  </si>
  <si>
    <t>-635.056590700428 105.644144922646 -338.755545321822</t>
  </si>
  <si>
    <t>-651.058536435732 95.4063301416375 -458.462177591807</t>
  </si>
  <si>
    <t>-657.300779854847 86.9428518526925 -567.477187099438</t>
  </si>
  <si>
    <t>-655.366974814051 79.1924683055527 -676.706470518926</t>
  </si>
  <si>
    <t>-644.144593538855 69.0589592485635 -828.269604211168</t>
  </si>
  <si>
    <t>-608.322003331685 54.8133891534571 -922.592427367009</t>
  </si>
  <si>
    <t>-638.066342549553 103.333683632434 -762.381767078462</t>
  </si>
  <si>
    <t>-566.068829191176 230.66602133639 -747.335149094072</t>
  </si>
  <si>
    <t>-471.850008877448 156.905160921792 -454.302074931445</t>
  </si>
  <si>
    <t>-660.154047056221 43.7516535767559 -760.033624520783</t>
  </si>
  <si>
    <t>-576.06599407111 213.012064371892 -241.00849688987</t>
  </si>
  <si>
    <t>-590.864851361193 198.86844553036 214.226192093729</t>
  </si>
  <si>
    <t>-630.495356537318 167.421971220955 681.307023957164</t>
  </si>
  <si>
    <t>-492.228315500227 97.2729948219123 764.402500195576</t>
  </si>
  <si>
    <t>-622.730488226617 23.7056422942594 -205.685973255688</t>
  </si>
  <si>
    <t>-572.780094193221 -1.02002072561413 246.587441332569</t>
  </si>
  <si>
    <t>-772.073602437498 94.6014518077752 660.721765855857</t>
  </si>
  <si>
    <t>-675.558543997271 -24.4535164879701 747.059869644989</t>
  </si>
  <si>
    <t>9763-20170724T160610.091327000.bin</t>
  </si>
  <si>
    <t>-598.488821882509 117.625890418344 -223.815022199754</t>
  </si>
  <si>
    <t>-634.156626025316 105.111731272206 -338.875894013021</t>
  </si>
  <si>
    <t>-650.175758943482 94.8870659143961 -458.581391458554</t>
  </si>
  <si>
    <t>-656.403073554124 86.3542006075952 -567.591807653122</t>
  </si>
  <si>
    <t>-654.424647270826 78.4479222393265 -676.809070020199</t>
  </si>
  <si>
    <t>-643.110652458756 68.0027577655226 -828.344337937701</t>
  </si>
  <si>
    <t>-607.175228818022 53.471707821838 -922.580562667759</t>
  </si>
  <si>
    <t>-637.009757256004 102.390006869138 -762.517097627818</t>
  </si>
  <si>
    <t>-564.770661869265 229.603727598604 -747.681534125595</t>
  </si>
  <si>
    <t>-471.399439129395 156.716222712832 -454.159136115311</t>
  </si>
  <si>
    <t>-659.223661873642 42.8589164077423 -760.072198105587</t>
  </si>
  <si>
    <t>-575.196230149181 212.067749019645 -240.973194551621</t>
  </si>
  <si>
    <t>-589.255232657549 197.296192226646 214.264961165489</t>
  </si>
  <si>
    <t>-630.553308337062 166.745407114706 681.28464230719</t>
  </si>
  <si>
    <t>-492.200440668107 97.0541738614975 764.62204628486</t>
  </si>
  <si>
    <t>-621.687036699933 23.2270782412086 -205.968736751148</t>
  </si>
  <si>
    <t>-571.769321459979 -1.64952822901819 246.300035537957</t>
  </si>
  <si>
    <t>-771.684150916668 94.3654598761855 660.109442526887</t>
  </si>
  <si>
    <t>-675.525586133665 -24.4685918899977 747.146865565741</t>
  </si>
  <si>
    <t>9763-20170724T160610.126920900.bin</t>
  </si>
  <si>
    <t>-598.055884020343 117.341768521058 -223.851376836563</t>
  </si>
  <si>
    <t>-633.82104606592 104.959657662679 -338.896247853331</t>
  </si>
  <si>
    <t>-649.884028738409 94.7904842093371 -458.600590310298</t>
  </si>
  <si>
    <t>-656.128765059206 86.2739136590549 -567.611284262724</t>
  </si>
  <si>
    <t>-654.146216350856 78.3478683896033 -676.827108493452</t>
  </si>
  <si>
    <t>-642.804346963397 67.8364663253221 -828.35562435405</t>
  </si>
  <si>
    <t>-606.78363044942 53.1807201043089 -922.539980505892</t>
  </si>
  <si>
    <t>-636.690494244562 102.243321255742 -762.53982301305</t>
  </si>
  <si>
    <t>-564.351985576981 229.401132805696 -747.714310166184</t>
  </si>
  <si>
    <t>-471.28555990034 156.803315446987 -454.023389138089</t>
  </si>
  <si>
    <t>-658.95495500689 42.7316622406991 -760.077992109943</t>
  </si>
  <si>
    <t>-574.795359052079 211.740480099951 -240.912440621675</t>
  </si>
  <si>
    <t>-588.523181444141 196.504823296363 214.320585300065</t>
  </si>
  <si>
    <t>-630.596996864095 166.443586917402 681.317377588122</t>
  </si>
  <si>
    <t>-492.238311206073 96.8945634602569 764.763860734872</t>
  </si>
  <si>
    <t>-621.228477251917 23.0237391739665 -206.097578636853</t>
  </si>
  <si>
    <t>-571.076113206101 -1.81091667956548 246.147552957511</t>
  </si>
  <si>
    <t>-771.418757911681 94.2408941402664 659.739827922575</t>
  </si>
  <si>
    <t>-675.464777198463 -24.4585718660089 747.185739917396</t>
  </si>
  <si>
    <t>9763-20170724T160610.189085900.bin</t>
  </si>
  <si>
    <t>-597.310048801886 116.884085163713 -223.931876389631</t>
  </si>
  <si>
    <t>-633.222157874359 104.712314756521 -338.953410986147</t>
  </si>
  <si>
    <t>-649.371059590966 94.6172885866283 -458.652529339275</t>
  </si>
  <si>
    <t>-655.669099422167 86.112108927502 -567.660905724756</t>
  </si>
  <si>
    <t>-653.715953754313 78.1421511454266 -676.874141814425</t>
  </si>
  <si>
    <t>-642.391231790757 67.5118744994941 -828.395613257129</t>
  </si>
  <si>
    <t>-606.28060071851 52.6279309957256 -922.509729904185</t>
  </si>
  <si>
    <t>-636.23797872175 101.95836279516 -762.604393170832</t>
  </si>
  <si>
    <t>-563.763388255361 229.06130965969 -747.818583795508</t>
  </si>
  <si>
    <t>-471.058128152588 156.722787056467 -453.949463813459</t>
  </si>
  <si>
    <t>-658.566186556412 42.4724933368811 -760.099789316426</t>
  </si>
  <si>
    <t>-573.889648524406 211.134987608871 -240.886787941617</t>
  </si>
  <si>
    <t>-587.06023390245 195.516017591025 214.349625276933</t>
  </si>
  <si>
    <t>-630.534227772423 166.207744605998 681.255490792019</t>
  </si>
  <si>
    <t>-492.240883630919 96.7491080536736 764.88538341855</t>
  </si>
  <si>
    <t>-620.596607525296 22.7176119396574 -206.300587837209</t>
  </si>
  <si>
    <t>-569.988431829298 -2.41173398811452 245.877530190334</t>
  </si>
  <si>
    <t>-770.857838105155 94.104980227645 659.108272181546</t>
  </si>
  <si>
    <t>-675.366242783576 -24.4339019103043 747.275147946609</t>
  </si>
  <si>
    <t>9763-20170724T160610.226193300.bin</t>
  </si>
  <si>
    <t>-596.984381638661 116.783907499104 -223.919795290386</t>
  </si>
  <si>
    <t>-633.010100224478 104.717925960147 -338.917094751847</t>
  </si>
  <si>
    <t>-649.245884975727 94.6663222261413 -458.608128175902</t>
  </si>
  <si>
    <t>-655.611379278528 86.1737226750229 -567.613599375028</t>
  </si>
  <si>
    <t>-653.714593613634 78.1890996109341 -676.826585174313</t>
  </si>
  <si>
    <t>-642.456815864755 67.5095971188896 -828.349647317399</t>
  </si>
  <si>
    <t>-606.347236650945 52.5448829324589 -922.451370020849</t>
  </si>
  <si>
    <t>-636.261144153909 101.972508776577 -762.570940134915</t>
  </si>
  <si>
    <t>-563.723660652125 229.037122919052 -747.846505742021</t>
  </si>
  <si>
    <t>-471.138547239642 156.779000712454 -453.919802222871</t>
  </si>
  <si>
    <t>-658.614952611865 42.4973479576308 -760.039922928251</t>
  </si>
  <si>
    <t>-573.546314568845 211.082637373243 -240.835744320434</t>
  </si>
  <si>
    <t>-586.571338912725 195.291946684678 214.398980537667</t>
  </si>
  <si>
    <t>-630.504178959694 166.187019203999 681.251151512559</t>
  </si>
  <si>
    <t>-492.289166894522 96.6248548627398 764.92450548253</t>
  </si>
  <si>
    <t>-620.330236865296 22.5862576364168 -206.342060285489</t>
  </si>
  <si>
    <t>-569.637497520827 -2.56672727133264 245.82524945826</t>
  </si>
  <si>
    <t>-770.682549859562 94.0939547082749 658.935287780239</t>
  </si>
  <si>
    <t>-675.373712278292 -24.4230168170411 747.329090019961</t>
  </si>
  <si>
    <t>9763-20170724T160610.302919300.bin</t>
  </si>
  <si>
    <t>-596.465197030676 117.012866469871 -223.896058900797</t>
  </si>
  <si>
    <t>-632.585243456982 105.039361306749 -338.873320695842</t>
  </si>
  <si>
    <t>-648.907315787825 95.0374996267781 -458.556810816798</t>
  </si>
  <si>
    <t>-655.347266683136 86.5717380847752 -567.559968949565</t>
  </si>
  <si>
    <t>-653.521261056228 78.5956826618674 -676.774967014471</t>
  </si>
  <si>
    <t>-642.357944318129 67.9089611319262 -828.30432671578</t>
  </si>
  <si>
    <t>-606.271427256169 52.8804761298406 -922.404786414616</t>
  </si>
  <si>
    <t>-636.075067859576 102.357863736298 -762.526491974048</t>
  </si>
  <si>
    <t>-563.349449807767 229.302413747506 -747.798125206472</t>
  </si>
  <si>
    <t>-470.697959307935 157.341082964782 -453.81952927775</t>
  </si>
  <si>
    <t>-658.519610182044 42.9172094078294 -759.988015072145</t>
  </si>
  <si>
    <t>-572.832979634511 211.379328615976 -240.763264736276</t>
  </si>
  <si>
    <t>-586.111724851516 195.574629632724 214.463623459718</t>
  </si>
  <si>
    <t>-630.444050513776 166.307640884133 681.269526435207</t>
  </si>
  <si>
    <t>-492.353465723323 96.470697573192 764.91943716774</t>
  </si>
  <si>
    <t>-619.968293869384 22.7799070836945 -206.324429979077</t>
  </si>
  <si>
    <t>-569.293570698199 -2.68140932201618 245.827638654571</t>
  </si>
  <si>
    <t>-770.597049676514 94.0417182224533 658.815487309665</t>
  </si>
  <si>
    <t>-675.397246103039 -24.3994759553716 747.428098223796</t>
  </si>
  <si>
    <t>9763-20170724T160610.331499600.bin</t>
  </si>
  <si>
    <t>-596.261157983215 117.27134096555 -223.871316851353</t>
  </si>
  <si>
    <t>-632.44678485759 105.340928358652 -338.832371895388</t>
  </si>
  <si>
    <t>-648.838079809844 95.3970030369976 -458.511192125928</t>
  </si>
  <si>
    <t>-655.341441942765 86.9894420380292 -567.5151436716</t>
  </si>
  <si>
    <t>-653.579070921724 79.0777201250019 -676.73584212882</t>
  </si>
  <si>
    <t>-642.504380005968 68.4864765581608 -828.27848668522</t>
  </si>
  <si>
    <t>-606.431275225045 53.4721433962523 -922.386398435206</t>
  </si>
  <si>
    <t>-636.157384065233 102.884330823622 -762.480142350578</t>
  </si>
  <si>
    <t>-563.252808816068 229.736066377717 -747.703347268202</t>
  </si>
  <si>
    <t>-470.717826566103 157.640004639915 -453.720934426211</t>
  </si>
  <si>
    <t>-658.651736935149 43.4612770375227 -759.971022083648</t>
  </si>
  <si>
    <t>-572.544616583359 211.627925208931 -240.742877480777</t>
  </si>
  <si>
    <t>-585.98882774988 195.853029436406 214.480267900055</t>
  </si>
  <si>
    <t>-630.415020913732 166.412906128907 681.276992070735</t>
  </si>
  <si>
    <t>-492.405224256839 96.3777582748071 764.894521385301</t>
  </si>
  <si>
    <t>-619.857562688811 23.0024224835245 -206.277650140843</t>
  </si>
  <si>
    <t>-569.200944122535 -2.64147666168833 245.866129523144</t>
  </si>
  <si>
    <t>-770.587663385497 94.0653454258984 658.817453794466</t>
  </si>
  <si>
    <t>-675.433540238827 -24.3939805950963 747.454901774854</t>
  </si>
  <si>
    <t>9763-20170724T160610.395686600.bin</t>
  </si>
  <si>
    <t>-596.084123115381 117.702488572754 -223.680869997718</t>
  </si>
  <si>
    <t>-632.482113303527 105.866627042908 -338.584702477295</t>
  </si>
  <si>
    <t>-649.014892500698 95.9666316977334 -458.247677571696</t>
  </si>
  <si>
    <t>-655.615853213877 87.5797173408487 -567.247378818398</t>
  </si>
  <si>
    <t>-653.920680631597 79.6704330074308 -676.469209774754</t>
  </si>
  <si>
    <t>-642.907497408036 69.0649567484497 -828.015466706467</t>
  </si>
  <si>
    <t>-606.879155008526 54.0276053292046 -922.136769428639</t>
  </si>
  <si>
    <t>-636.486359980724 103.451109242615 -762.218205581492</t>
  </si>
  <si>
    <t>-563.427886299365 230.196207250359 -747.38211680529</t>
  </si>
  <si>
    <t>-471.175227037366 157.782893747187 -453.388936227734</t>
  </si>
  <si>
    <t>-659.07469622138 44.0638966311003 -759.703621735807</t>
  </si>
  <si>
    <t>-572.17534422315 212.057590738539 -240.642561432383</t>
  </si>
  <si>
    <t>-585.629772185351 196.072856910158 214.572929083902</t>
  </si>
  <si>
    <t>-630.396253083386 166.49715125873 681.332323353568</t>
  </si>
  <si>
    <t>-492.456163394189 96.2420391442452 764.880321359782</t>
  </si>
  <si>
    <t>-619.859808290044 23.3782770985383 -206.067126481114</t>
  </si>
  <si>
    <t>-568.853191342093 -2.45889584692191 246.026317115544</t>
  </si>
  <si>
    <t>-770.507132555844 94.2366000709367 658.821272176542</t>
  </si>
  <si>
    <t>-675.432029813569 -24.2938546671578 747.448368905653</t>
  </si>
  <si>
    <t>9763-20170724T160610.429782600.bin</t>
  </si>
  <si>
    <t>-595.94474323272 117.865468232705 -223.60608596605</t>
  </si>
  <si>
    <t>-632.457550487895 106.102259642169 -338.481105669178</t>
  </si>
  <si>
    <t>-649.051136817963 96.2637694459436 -458.140647321356</t>
  </si>
  <si>
    <t>-655.684247010766 87.9278098917325 -567.142424003242</t>
  </si>
  <si>
    <t>-653.997913203856 80.065373799059 -676.367655584126</t>
  </si>
  <si>
    <t>-642.972793056535 69.5209108187942 -827.917285264186</t>
  </si>
  <si>
    <t>-606.935821762874 54.514311950428 -922.040251144714</t>
  </si>
  <si>
    <t>-636.530036892157 103.870637387295 -762.103151495489</t>
  </si>
  <si>
    <t>-563.322733491472 230.521435685136 -747.211069816009</t>
  </si>
  <si>
    <t>-471.190712767258 157.97467211655 -453.212981822756</t>
  </si>
  <si>
    <t>-659.172061729006 44.5024283319403 -759.619533563028</t>
  </si>
  <si>
    <t>-571.915126066761 212.187908417181 -240.561611217514</t>
  </si>
  <si>
    <t>-585.405959702734 196.107733575309 214.649356281873</t>
  </si>
  <si>
    <t>-630.389209255275 166.539021105831 681.370771602394</t>
  </si>
  <si>
    <t>-492.465490675261 96.207546173247 764.881514145667</t>
  </si>
  <si>
    <t>-619.829584560084 23.5673912491795 -205.955994078835</t>
  </si>
  <si>
    <t>-568.406703401243 -2.43614012092007 246.080719822027</t>
  </si>
  <si>
    <t>-770.400051298235 94.2675566919056 658.691936173428</t>
  </si>
  <si>
    <t>-675.429388669511 -24.2805893524464 747.407323728428</t>
  </si>
  <si>
    <t>9763-20170724T160610.493458900.bin</t>
  </si>
  <si>
    <t>-595.655735816143 118.135155863456 -223.482198848201</t>
  </si>
  <si>
    <t>-632.382922459714 106.463824026635 -338.298149717869</t>
  </si>
  <si>
    <t>-649.121051924276 96.696091487906 -457.943493902034</t>
  </si>
  <si>
    <t>-655.854294680118 88.4125603632042 -566.943051597605</t>
  </si>
  <si>
    <t>-654.236927400539 80.5895470309615 -676.172333865787</t>
  </si>
  <si>
    <t>-643.274959754018 70.0850520856691 -827.729163048814</t>
  </si>
  <si>
    <t>-607.18613090491 55.0414404320138 -921.826279723313</t>
  </si>
  <si>
    <t>-636.726216678054 104.387572153288 -761.900841491904</t>
  </si>
  <si>
    <t>-563.129322332873 230.822212409289 -746.990582879512</t>
  </si>
  <si>
    <t>-471.173021327885 157.961905568901 -453.014988324948</t>
  </si>
  <si>
    <t>-659.52432863014 45.078408457859 -759.439113321948</t>
  </si>
  <si>
    <t>-571.487961634799 212.510048652328 -240.471689436252</t>
  </si>
  <si>
    <t>-585.076890610856 196.332554581508 214.733046690382</t>
  </si>
  <si>
    <t>-630.305621511171 166.625010362502 681.373128339444</t>
  </si>
  <si>
    <t>-492.399882444649 96.2178932699508 764.849836465929</t>
  </si>
  <si>
    <t>-619.704041965596 23.7575183850925 -205.756825576261</t>
  </si>
  <si>
    <t>-567.056417598764 -2.610402382252 246.117759184002</t>
  </si>
  <si>
    <t>-770.023472702617 94.3072774630732 658.204753010122</t>
  </si>
  <si>
    <t>-675.395434881064 -24.2408183103419 747.285566318066</t>
  </si>
  <si>
    <t>9763-20170724T160610.524040700.bin</t>
  </si>
  <si>
    <t>-595.553133317673 118.203297579834 -223.388664056435</t>
  </si>
  <si>
    <t>-632.350127904905 106.57502214265 -338.186671218191</t>
  </si>
  <si>
    <t>-649.151528695336 96.8480504529512 -457.826278904771</t>
  </si>
  <si>
    <t>-655.938576137248 88.5993265254681 -566.825172795199</t>
  </si>
  <si>
    <t>-654.371398731777 80.8083842026508 -676.057394025958</t>
  </si>
  <si>
    <t>-643.475221760949 70.345077162081 -827.621971213087</t>
  </si>
  <si>
    <t>-607.390856303495 55.2998599640543 -921.720603266963</t>
  </si>
  <si>
    <t>-636.871081625656 104.619467886196 -761.784513268897</t>
  </si>
  <si>
    <t>-563.088600729161 230.936700022709 -746.87237516724</t>
  </si>
  <si>
    <t>-471.253189278607 157.870043591653 -452.910244678824</t>
  </si>
  <si>
    <t>-659.721790932677 45.3300777208833 -759.334258954172</t>
  </si>
  <si>
    <t>-571.301102089774 212.693333902476 -240.418486970196</t>
  </si>
  <si>
    <t>-584.928980304717 196.438151494145 214.782175813559</t>
  </si>
  <si>
    <t>-630.26014953578 166.644939119198 681.378559435952</t>
  </si>
  <si>
    <t>-492.37641138279 96.1904114586584 764.85155811949</t>
  </si>
  <si>
    <t>-619.667328865915 23.7133586904024 -205.660812724728</t>
  </si>
  <si>
    <t>-566.295672949495 -2.69619826657004 246.126382441239</t>
  </si>
  <si>
    <t>-769.805409037632 94.3360580335511 657.908587190134</t>
  </si>
  <si>
    <t>-675.382719697988 -24.2120278218313 747.207055596137</t>
  </si>
  <si>
    <t>9763-20170724T160610.592222500.bin</t>
  </si>
  <si>
    <t>-595.249098050527 118.572719716088 -223.18373724147</t>
  </si>
  <si>
    <t>-632.220929532594 106.98586360237 -337.929728740794</t>
  </si>
  <si>
    <t>-649.154155328202 97.2925166224879 -457.55357723472</t>
  </si>
  <si>
    <t>-656.041293405026 89.0695579519488 -566.548014341974</t>
  </si>
  <si>
    <t>-654.554058846534 81.2997371782933 -675.782967222638</t>
  </si>
  <si>
    <t>-643.747929456219 70.860137317819 -827.355606429505</t>
  </si>
  <si>
    <t>-607.67369108456 55.7897943746741 -921.454126511146</t>
  </si>
  <si>
    <t>-637.056032346843 105.10562925842 -761.511956767321</t>
  </si>
  <si>
    <t>-563.055613452462 231.287541395524 -746.57627319554</t>
  </si>
  <si>
    <t>-471.15864664724 157.784437469974 -452.74235967444</t>
  </si>
  <si>
    <t>-660.002651444623 45.8529568802326 -759.066944901983</t>
  </si>
  <si>
    <t>-570.883349213949 213.129315695187 -240.308900659636</t>
  </si>
  <si>
    <t>-584.623922201336 196.757102913009 214.884261732811</t>
  </si>
  <si>
    <t>-630.163496828517 166.648132371934 681.382534338178</t>
  </si>
  <si>
    <t>-492.261406339059 96.227368974008 764.853720032782</t>
  </si>
  <si>
    <t>-619.433375490691 24.1214563273331 -205.38137798658</t>
  </si>
  <si>
    <t>-564.635519963412 -3.04581243404823 246.190108277883</t>
  </si>
  <si>
    <t>-769.370170012648 94.4634746627894 657.292756653641</t>
  </si>
  <si>
    <t>-675.376489399635 -24.1458412042705 746.96176853721</t>
  </si>
  <si>
    <t>9763-20170724T160610.622820500.bin</t>
  </si>
  <si>
    <t>-595.053187666233 118.910080776279 -223.109076502388</t>
  </si>
  <si>
    <t>-632.115184471565 107.325761502515 -337.826260197734</t>
  </si>
  <si>
    <t>-649.089249136901 97.6392806251904 -457.444817318793</t>
  </si>
  <si>
    <t>-655.992110469545 89.424378423744 -566.43902387386</t>
  </si>
  <si>
    <t>-654.499216672598 81.6644462415904 -675.674538085836</t>
  </si>
  <si>
    <t>-643.662752666546 71.2407940772994 -827.246060773474</t>
  </si>
  <si>
    <t>-607.585542006406 56.1753120783158 -921.344192474817</t>
  </si>
  <si>
    <t>-636.964501809221 105.471950017037 -761.395563189842</t>
  </si>
  <si>
    <t>-562.838905817222 231.586054300614 -746.447692175431</t>
  </si>
  <si>
    <t>-470.942126192324 157.972736997669 -452.641138127197</t>
  </si>
  <si>
    <t>-659.950577342944 46.2339516540299 -758.965170032262</t>
  </si>
  <si>
    <t>-570.641462204859 213.46360748953 -240.275724769205</t>
  </si>
  <si>
    <t>-584.397471858909 196.968540041629 214.912545672093</t>
  </si>
  <si>
    <t>-630.110767564978 166.679140756407 681.381072675983</t>
  </si>
  <si>
    <t>-492.23992982089 96.1980799388084 764.853008785434</t>
  </si>
  <si>
    <t>-619.300385299945 24.4428422938222 -205.249024970018</t>
  </si>
  <si>
    <t>-563.859074651497 -3.14654627874324 246.218279840788</t>
  </si>
  <si>
    <t>-769.148052672279 94.5796729351016 656.982723191776</t>
  </si>
  <si>
    <t>-675.413561393486 -24.1164145799603 746.808084206261</t>
  </si>
  <si>
    <t>9763-20170724T160610.694012200.bin</t>
  </si>
  <si>
    <t>-594.798549990208 119.348461013705 -222.904595757167</t>
  </si>
  <si>
    <t>-631.961722609656 107.700960298623 -337.582735358236</t>
  </si>
  <si>
    <t>-648.986790131327 97.9702696464033 -457.190489279609</t>
  </si>
  <si>
    <t>-655.913693419385 89.7229761694477 -566.180621383489</t>
  </si>
  <si>
    <t>-654.422323453129 81.9381412984999 -675.414374789041</t>
  </si>
  <si>
    <t>-643.564309619831 71.487584230782 -826.982572600558</t>
  </si>
  <si>
    <t>-607.489493110764 56.4196263870952 -921.081048928133</t>
  </si>
  <si>
    <t>-636.824230321962 105.710691640558 -761.132118312354</t>
  </si>
  <si>
    <t>-562.50354799765 231.713183067988 -746.163780968942</t>
  </si>
  <si>
    <t>-470.538800411744 157.86458150671 -452.437552175793</t>
  </si>
  <si>
    <t>-659.912986199534 46.5126542678811 -758.70448875598</t>
  </si>
  <si>
    <t>-570.237003713313 213.982522533772 -240.219258952611</t>
  </si>
  <si>
    <t>-584.057639102225 197.397565052589 214.963750683933</t>
  </si>
  <si>
    <t>-629.980983072152 166.731478526079 681.342164182266</t>
  </si>
  <si>
    <t>-492.122733350056 96.2457602045906 764.830965033071</t>
  </si>
  <si>
    <t>-619.21042654021 24.728162629538 -204.903953021871</t>
  </si>
  <si>
    <t>-562.036206369904 -3.38693587119928 246.314767548839</t>
  </si>
  <si>
    <t>-768.635887212517 94.833740481117 656.260634096109</t>
  </si>
  <si>
    <t>-675.45199103344 -24.0118722382351 746.460361520865</t>
  </si>
  <si>
    <t>9763-20170724T160610.723593200.bin</t>
  </si>
  <si>
    <t>-594.716140480102 119.529910696627 -222.847637647173</t>
  </si>
  <si>
    <t>-631.919993094953 107.827314235596 -337.506638504367</t>
  </si>
  <si>
    <t>-648.989283702788 98.0817527525214 -457.106985979556</t>
  </si>
  <si>
    <t>-655.956838944116 89.8367123094927 -566.094775155685</t>
  </si>
  <si>
    <t>-654.505837069092 82.0700679529189 -675.330372237315</t>
  </si>
  <si>
    <t>-643.703339129042 71.6609221016968 -826.905338538084</t>
  </si>
  <si>
    <t>-607.644616547801 56.6129115671131 -921.01326959215</t>
  </si>
  <si>
    <t>-636.927405601983 105.861494578028 -761.047034276951</t>
  </si>
  <si>
    <t>-562.529562614503 231.812587638841 -746.054480327465</t>
  </si>
  <si>
    <t>-470.484412341704 157.851091079204 -452.381942516287</t>
  </si>
  <si>
    <t>-660.038798558168 46.6718178075848 -758.629203224197</t>
  </si>
  <si>
    <t>-570.103621160402 214.252471597548 -240.214626171144</t>
  </si>
  <si>
    <t>-584.034521012702 197.622144369828 214.963386190207</t>
  </si>
  <si>
    <t>-629.914701553055 166.764239630052 681.314383049418</t>
  </si>
  <si>
    <t>-492.081809196701 96.2371936607362 764.810134093941</t>
  </si>
  <si>
    <t>-619.206149842092 24.8683443610312 -204.791391414057</t>
  </si>
  <si>
    <t>-561.079911835619 -3.62355332149491 246.281996992808</t>
  </si>
  <si>
    <t>-768.150637474634 95.211554501991 655.862138457179</t>
  </si>
  <si>
    <t>-675.608400346555 -23.9578619175747 746.294985798997</t>
  </si>
  <si>
    <t>9763-20170724T160610.793280700.bin</t>
  </si>
  <si>
    <t>-594.725858260444 119.854307520574 -222.730409272119</t>
  </si>
  <si>
    <t>-632.018758080181 108.054657023586 -337.350634930317</t>
  </si>
  <si>
    <t>-649.172226012762 98.2808519267896 -456.936721791388</t>
  </si>
  <si>
    <t>-656.211682777132 90.0377135284953 -565.919845722332</t>
  </si>
  <si>
    <t>-654.827527326046 82.2997010412064 -675.158448875356</t>
  </si>
  <si>
    <t>-644.112029048067 71.9574284967239 -826.744103651977</t>
  </si>
  <si>
    <t>-608.087442289849 56.9425276191691 -920.870466094025</t>
  </si>
  <si>
    <t>-637.286318276731 106.124234701391 -760.87339667563</t>
  </si>
  <si>
    <t>-562.841978483827 232.04138347189 -745.810040625623</t>
  </si>
  <si>
    <t>-470.696597078445 157.566683993973 -452.298675077627</t>
  </si>
  <si>
    <t>-660.420294297141 46.9428904472227 -758.470985661562</t>
  </si>
  <si>
    <t>-570.036295071097 214.696695371332 -240.237047871415</t>
  </si>
  <si>
    <t>-583.997515136047 197.994553218446 214.93742369381</t>
  </si>
  <si>
    <t>-629.781893845032 166.824528877108 681.245209874734</t>
  </si>
  <si>
    <t>-491.978626189521 96.2619512031047 764.759808486513</t>
  </si>
  <si>
    <t>-619.318232342299 25.136878992527 -204.534945348936</t>
  </si>
  <si>
    <t>-559.026594213238 -4.50819630728893 246.179734808306</t>
  </si>
  <si>
    <t>-766.628128786515 96.6398672569978 655.009414453909</t>
  </si>
  <si>
    <t>-676.053862934277 -23.6998412586101 745.88387296246</t>
  </si>
  <si>
    <t>9763-20170724T160610.827875300.bin</t>
  </si>
  <si>
    <t>-594.927788339111 120.000704145981 -222.651235971295</t>
  </si>
  <si>
    <t>-632.296903497751 108.159153968983 -337.242300841378</t>
  </si>
  <si>
    <t>-649.49382352006 98.385224118161 -456.821979086853</t>
  </si>
  <si>
    <t>-656.557846524503 90.1583271209133 -565.804885463227</t>
  </si>
  <si>
    <t>-655.182922976722 82.4525843033891 -675.045786521881</t>
  </si>
  <si>
    <t>-644.463641141527 72.1718910678067 -826.63552041533</t>
  </si>
  <si>
    <t>-608.444814271737 57.1887972465524 -920.769178036757</t>
  </si>
  <si>
    <t>-637.636738559457 106.31093145816 -760.750370788062</t>
  </si>
  <si>
    <t>-563.184626780717 232.212805625003 -745.65477977893</t>
  </si>
  <si>
    <t>-471.000173798178 157.541468590267 -452.205712595622</t>
  </si>
  <si>
    <t>-660.77644027734 47.130630497546 -758.373198854089</t>
  </si>
  <si>
    <t>-570.147096739788 214.883575035659 -240.215623541595</t>
  </si>
  <si>
    <t>-584.084365920889 198.159978660891 214.958718137009</t>
  </si>
  <si>
    <t>-629.751509626298 166.818279535893 681.242895651699</t>
  </si>
  <si>
    <t>-491.930383467425 96.2787770972427 764.747580518243</t>
  </si>
  <si>
    <t>-619.680181042215 25.2050606322957 -204.396710751435</t>
  </si>
  <si>
    <t>-558.080962922381 -4.96017230677126 246.106593023386</t>
  </si>
  <si>
    <t>-765.577407891233 97.7707470121441 654.627986466405</t>
  </si>
  <si>
    <t>-676.479833673604 -23.559867858886 745.644620820124</t>
  </si>
  <si>
    <t>9763-20170724T160610.894086600.bin</t>
  </si>
  <si>
    <t>-595.549527459749 120.466176400269 -222.602692457812</t>
  </si>
  <si>
    <t>-633.102464276576 108.593590482633 -337.130556431261</t>
  </si>
  <si>
    <t>-650.380132608494 98.8521144073584 -456.701241072852</t>
  </si>
  <si>
    <t>-657.471898701809 90.6807484369992 -565.686610751512</t>
  </si>
  <si>
    <t>-656.078352967165 83.0569093972267 -674.932972134095</t>
  </si>
  <si>
    <t>-645.284693245161 72.9173204732649 -826.526794744263</t>
  </si>
  <si>
    <t>-609.22336717543 58.0163928883817 -920.657101107273</t>
  </si>
  <si>
    <t>-638.482171090669 106.991880298086 -760.605863635177</t>
  </si>
  <si>
    <t>-564.008407962672 232.864767942103 -745.348187154971</t>
  </si>
  <si>
    <t>-471.726832919471 157.721426406151 -452.050070854952</t>
  </si>
  <si>
    <t>-661.638929671404 47.8156698975058 -758.29649481958</t>
  </si>
  <si>
    <t>-570.497551364796 215.267358181551 -240.221238372164</t>
  </si>
  <si>
    <t>-584.292225914689 198.454754580517 214.954203356427</t>
  </si>
  <si>
    <t>-629.714228288066 166.80817544856 681.234608015052</t>
  </si>
  <si>
    <t>-491.898081560618 96.229798620006 764.714650933001</t>
  </si>
  <si>
    <t>-620.499192454171 25.8170841541023 -204.321209640625</t>
  </si>
  <si>
    <t>-557.083695362597 -5.81763549270067 245.829194921785</t>
  </si>
  <si>
    <t>-763.257773244301 100.562730998382 654.160415911476</t>
  </si>
  <si>
    <t>-677.552792149559 -23.2006824862194 745.159209642727</t>
  </si>
  <si>
    <t>9763-20170724T160610.923718800.bin</t>
  </si>
  <si>
    <t>-595.9076945385 120.607496655916 -222.647936676677</t>
  </si>
  <si>
    <t>-633.53156462971 108.73952502369 -337.152969366466</t>
  </si>
  <si>
    <t>-650.828614424063 99.025105143523 -456.723026367338</t>
  </si>
  <si>
    <t>-657.915908969994 90.8883806105284 -565.711230684241</t>
  </si>
  <si>
    <t>-656.495650073217 83.3100548378141 -674.960369657131</t>
  </si>
  <si>
    <t>-645.641469878206 73.2459489314751 -826.554972999487</t>
  </si>
  <si>
    <t>-609.546959241461 58.410552348422 -920.68302924233</t>
  </si>
  <si>
    <t>-638.857625451653 107.284672883641 -760.613576331946</t>
  </si>
  <si>
    <t>-564.352319648272 233.130707372238 -745.279005812627</t>
  </si>
  <si>
    <t>-472.078370852496 157.714519835058 -452.048370585589</t>
  </si>
  <si>
    <t>-662.030602004189 48.1133232746349 -758.344567989948</t>
  </si>
  <si>
    <t>-570.648716508382 215.320790652752 -240.274074930773</t>
  </si>
  <si>
    <t>-584.372327818699 198.537347181358 214.904708500995</t>
  </si>
  <si>
    <t>-629.702612465737 166.783802070088 681.201586771104</t>
  </si>
  <si>
    <t>-491.885441121106 96.202929470046 764.67777556188</t>
  </si>
  <si>
    <t>-621.038320251371 25.9459442573084 -204.390310662799</t>
  </si>
  <si>
    <t>-557.080383158922 -5.95692427268727 245.664480438047</t>
  </si>
  <si>
    <t>-762.090623866541 102.109420108294 654.137436607941</t>
  </si>
  <si>
    <t>-678.209940402619 -23.0184914180468 744.969924739538</t>
  </si>
  <si>
    <t>9763-20170724T160610.990869800.bin</t>
  </si>
  <si>
    <t>-596.884885759099 120.813519662713 -222.861166998202</t>
  </si>
  <si>
    <t>-634.578125958408 109.065844095847 -337.355899384249</t>
  </si>
  <si>
    <t>-651.891232712489 99.4762025956609 -456.933573039358</t>
  </si>
  <si>
    <t>-658.97079289152 91.4567071241743 -565.931018492172</t>
  </si>
  <si>
    <t>-657.520376632796 84.0020831408867 -675.188385231023</t>
  </si>
  <si>
    <t>-646.60136830832 74.1179511808825 -826.790013933461</t>
  </si>
  <si>
    <t>-610.438721630779 59.3957851870503 -920.909775299454</t>
  </si>
  <si>
    <t>-639.804328039072 108.062360196343 -760.801446715729</t>
  </si>
  <si>
    <t>-565.138083302028 233.793000515268 -745.282989964544</t>
  </si>
  <si>
    <t>-473.052518482254 157.951978483362 -452.102967168086</t>
  </si>
  <si>
    <t>-663.061029386533 48.9204221555547 -758.620644880754</t>
  </si>
  <si>
    <t>-571.132440622021 215.36123065231 -240.422065665592</t>
  </si>
  <si>
    <t>-584.701098033549 198.552145625531 214.760359759782</t>
  </si>
  <si>
    <t>-629.707936401637 166.751468914137 681.139157741121</t>
  </si>
  <si>
    <t>-491.947673065551 96.0408945989359 764.599562547663</t>
  </si>
  <si>
    <t>-622.541937174208 26.3971514181183 -204.677758293269</t>
  </si>
  <si>
    <t>-557.886225508611 -5.79545711793753 245.256664219654</t>
  </si>
  <si>
    <t>-760.168597929489 104.931106093153 654.479731915053</t>
  </si>
  <si>
    <t>-679.41986834269 -22.6737472191016 744.702533734269</t>
  </si>
  <si>
    <t>9763-20170724T160611.024082900.bin</t>
  </si>
  <si>
    <t>-597.400057971432 121.048407621927 -223.014394117244</t>
  </si>
  <si>
    <t>-635.091797490537 109.37626480712 -337.517193010417</t>
  </si>
  <si>
    <t>-652.389706205268 99.8515303420131 -457.102480398762</t>
  </si>
  <si>
    <t>-659.450368354747 91.8869751569878 -566.105104119301</t>
  </si>
  <si>
    <t>-657.97601677326 84.4843024303204 -675.365675092873</t>
  </si>
  <si>
    <t>-647.018630438781 74.6699001586305 -826.96912526204</t>
  </si>
  <si>
    <t>-610.824253581382 59.976727600206 -921.08105084133</t>
  </si>
  <si>
    <t>-640.210487902176 108.573155296829 -760.960392342682</t>
  </si>
  <si>
    <t>-565.448785201717 234.236174876267 -745.363836061126</t>
  </si>
  <si>
    <t>-473.530870874273 158.179882372757 -452.186750747074</t>
  </si>
  <si>
    <t>-663.523320271995 49.4518515728773 -758.818208299987</t>
  </si>
  <si>
    <t>-571.405153456468 215.419021437059 -240.503322721516</t>
  </si>
  <si>
    <t>-584.910954144644 198.596170599003 214.6804190981</t>
  </si>
  <si>
    <t>-629.732127540056 166.715461496414 681.115033108524</t>
  </si>
  <si>
    <t>-491.979876224399 95.9724485876313 764.561206582395</t>
  </si>
  <si>
    <t>-623.24928142751 26.8428315232698 -204.880488070631</t>
  </si>
  <si>
    <t>-558.67405611785 -5.49644643365787 245.055012478786</t>
  </si>
  <si>
    <t>-759.560761303626 105.994050471265 654.774910659471</t>
  </si>
  <si>
    <t>-679.938206363735 -22.5628418276081 744.646336326914</t>
  </si>
  <si>
    <t>9763-20170724T160611.093305200.bin</t>
  </si>
  <si>
    <t>-598.183245991023 121.294186694007 -223.302084837514</t>
  </si>
  <si>
    <t>-635.82282136393 109.830668730895 -337.843138935403</t>
  </si>
  <si>
    <t>-653.059182405332 100.434194690441 -457.447392361735</t>
  </si>
  <si>
    <t>-660.062405211267 92.5529463352209 -566.45979937328</t>
  </si>
  <si>
    <t>-658.529778180025 85.2015789173629 -675.723048205489</t>
  </si>
  <si>
    <t>-647.491152034299 75.4259811134496 -827.323197890472</t>
  </si>
  <si>
    <t>-611.259819311447 60.7023151648425 -921.415999221785</t>
  </si>
  <si>
    <t>-640.653226833412 109.286722557988 -761.295774080854</t>
  </si>
  <si>
    <t>-565.621481325029 234.78334409324 -745.591696230127</t>
  </si>
  <si>
    <t>-474.18857557052 158.30394220921 -452.37316146653</t>
  </si>
  <si>
    <t>-664.097509213857 50.2161128055543 -759.193730893236</t>
  </si>
  <si>
    <t>-571.891529450181 215.477404840263 -240.651964284039</t>
  </si>
  <si>
    <t>-585.329729523775 198.63156327267 214.53297009537</t>
  </si>
  <si>
    <t>-629.755101046981 166.720064763056 681.05960415034</t>
  </si>
  <si>
    <t>-492.117471654627 95.744230400572 764.49715649152</t>
  </si>
  <si>
    <t>-624.25048116077 27.1461090814582 -205.287261364644</t>
  </si>
  <si>
    <t>-560.084813164857 -4.88242287626872 244.728944828807</t>
  </si>
  <si>
    <t>-759.325931625597 106.799881638074 655.219736643203</t>
  </si>
  <si>
    <t>-680.523431651533 -22.5431580288785 744.685159104162</t>
  </si>
  <si>
    <t>9763-20170724T160611.130409000.bin</t>
  </si>
  <si>
    <t>-598.506823573867 121.37474652455 -223.374300801522</t>
  </si>
  <si>
    <t>-636.123658370597 110.000881741125 -337.931839161474</t>
  </si>
  <si>
    <t>-653.319731282233 100.655399172738 -457.545831676465</t>
  </si>
  <si>
    <t>-660.280157801559 92.8026221197806 -566.562872766818</t>
  </si>
  <si>
    <t>-658.698773912185 85.4613013859296 -675.826115647678</t>
  </si>
  <si>
    <t>-647.586659008441 75.6796908501919 -827.42050029032</t>
  </si>
  <si>
    <t>-611.331309125154 60.922238800365 -921.498898670726</t>
  </si>
  <si>
    <t>-640.743826119757 109.528512442956 -761.387458825447</t>
  </si>
  <si>
    <t>-565.570167050674 234.924197337739 -745.6570409467</t>
  </si>
  <si>
    <t>-474.448897787625 158.337626714418 -452.369408178987</t>
  </si>
  <si>
    <t>-664.262948321731 50.4870814800324 -759.30184004143</t>
  </si>
  <si>
    <t>-572.160463648599 215.495803073916 -240.681503263096</t>
  </si>
  <si>
    <t>-585.547658061317 198.648334243781 214.504865287298</t>
  </si>
  <si>
    <t>-629.772441166644 166.708938752196 681.053990793502</t>
  </si>
  <si>
    <t>-492.163597719297 95.6700576016337 764.485399872288</t>
  </si>
  <si>
    <t>-624.66827866423 27.3115531043491 -205.399187949735</t>
  </si>
  <si>
    <t>-560.704656555766 -4.84289844814452 244.636865605059</t>
  </si>
  <si>
    <t>-759.560912043145 106.707146338858 655.366000400177</t>
  </si>
  <si>
    <t>-680.582901116101 -22.5612139750174 744.78455228653</t>
  </si>
  <si>
    <t>9763-20170724T160611.191571900.bin</t>
  </si>
  <si>
    <t>-599.212596746714 121.53228682569 -223.501324446136</t>
  </si>
  <si>
    <t>-636.793528301059 110.356332123637 -338.09011809481</t>
  </si>
  <si>
    <t>-653.914346847582 101.128878247157 -457.724038901357</t>
  </si>
  <si>
    <t>-660.792157521309 93.348996835841 -566.751611033189</t>
  </si>
  <si>
    <t>-659.114608520003 86.0463424262409 -676.016103562722</t>
  </si>
  <si>
    <t>-647.855857253641 76.2823491601212 -827.600769474881</t>
  </si>
  <si>
    <t>-611.540070983169 61.4580518858286 -921.645437088553</t>
  </si>
  <si>
    <t>-641.011590120958 110.097608752422 -761.550708709436</t>
  </si>
  <si>
    <t>-565.531527526917 235.310779284653 -745.731729171733</t>
  </si>
  <si>
    <t>-475.079868967708 158.333300878591 -452.339190922326</t>
  </si>
  <si>
    <t>-664.663417008978 51.1076248115419 -759.50777112699</t>
  </si>
  <si>
    <t>-572.676872789623 215.554013190959 -240.710514347962</t>
  </si>
  <si>
    <t>-586.158083419995 198.799475566431 214.476565253463</t>
  </si>
  <si>
    <t>-629.792531975823 166.721434892861 681.063016802161</t>
  </si>
  <si>
    <t>-492.253066299476 95.5279996930842 764.477036426619</t>
  </si>
  <si>
    <t>-625.610592519952 27.5333801638226 -205.575841172459</t>
  </si>
  <si>
    <t>-562.065561448322 -5.23228277656676 244.475403722911</t>
  </si>
  <si>
    <t>-759.868633443585 106.646326771205 655.633061768071</t>
  </si>
  <si>
    <t>-680.606583444877 -22.515448453752 744.954270014799</t>
  </si>
  <si>
    <t>9763-20170724T160611.223628300.bin</t>
  </si>
  <si>
    <t>-599.602367905651 121.539858476004 -223.483979919347</t>
  </si>
  <si>
    <t>-637.166388010946 110.418290129433 -338.083611411492</t>
  </si>
  <si>
    <t>-654.246186851173 101.208711006836 -457.724777881419</t>
  </si>
  <si>
    <t>-661.077848463676 93.4310158980973 -566.755482122212</t>
  </si>
  <si>
    <t>-659.345601438859 86.117298674548 -676.018194796118</t>
  </si>
  <si>
    <t>-648.002370502607 76.3248608483236 -827.594732844363</t>
  </si>
  <si>
    <t>-611.644719885475 61.4534730530372 -921.615766211416</t>
  </si>
  <si>
    <t>-641.165255196574 110.140696132044 -761.544436230265</t>
  </si>
  <si>
    <t>-565.558780387862 235.270661838837 -745.693143186184</t>
  </si>
  <si>
    <t>-475.398258112623 158.173387016644 -452.242544752102</t>
  </si>
  <si>
    <t>-664.877555667281 51.1747126075602 -759.509379403299</t>
  </si>
  <si>
    <t>-572.912195714101 215.555269368173 -240.711119291204</t>
  </si>
  <si>
    <t>-586.439938963472 198.88428235696 214.477562609595</t>
  </si>
  <si>
    <t>-629.789558123687 166.764381463991 681.069989514919</t>
  </si>
  <si>
    <t>-492.323820870138 95.4230927437586 764.479242428382</t>
  </si>
  <si>
    <t>-626.135596598825 27.5243450675111 -205.555748397533</t>
  </si>
  <si>
    <t>-562.502175590779 -5.38583515349455 244.472416046921</t>
  </si>
  <si>
    <t>-759.939529245593 106.68436588164 655.727559741175</t>
  </si>
  <si>
    <t>-680.604784367429 -22.4722810025944 744.991598403151</t>
  </si>
  <si>
    <t>9763-20170724T160611.294324200.bin</t>
  </si>
  <si>
    <t>-600.299514516239 121.587165832656 -223.418194631857</t>
  </si>
  <si>
    <t>-637.965943878604 110.568375249689 -337.993969936535</t>
  </si>
  <si>
    <t>-655.037142287676 101.400718050553 -457.639759224772</t>
  </si>
  <si>
    <t>-661.815394636873 93.6377077630686 -566.674765286193</t>
  </si>
  <si>
    <t>-659.984545761249 86.3166915913994 -675.935491379903</t>
  </si>
  <si>
    <t>-648.458128799258 76.492235001479 -827.496144869304</t>
  </si>
  <si>
    <t>-612.009272680014 61.5501597787281 -921.470500169993</t>
  </si>
  <si>
    <t>-641.65614364755 110.304145417843 -761.440004202988</t>
  </si>
  <si>
    <t>-565.835855658747 235.29031368482 -745.561882256587</t>
  </si>
  <si>
    <t>-476.231597094838 158.072401267018 -451.97246291534</t>
  </si>
  <si>
    <t>-665.460273960542 51.3743629144599 -759.430479664748</t>
  </si>
  <si>
    <t>-573.400527836878 215.58802500356 -240.688196520601</t>
  </si>
  <si>
    <t>-586.934565239302 199.05821465079 214.505445017468</t>
  </si>
  <si>
    <t>-629.790665769857 166.799915012524 681.100775141385</t>
  </si>
  <si>
    <t>-492.423665902058 95.2531965121855 764.49669147743</t>
  </si>
  <si>
    <t>-627.056576806904 27.6750906361729 -205.469516500591</t>
  </si>
  <si>
    <t>-563.073721078917 -5.44299736542416 244.493843809206</t>
  </si>
  <si>
    <t>-760.052195912361 106.83622058387 655.915963742889</t>
  </si>
  <si>
    <t>-680.614775773634 -22.3802656068867 745.001968980831</t>
  </si>
  <si>
    <t>9763-20170724T160611.328918500.bin</t>
  </si>
  <si>
    <t>-600.64513744498 121.70354804461 -223.43015728768</t>
  </si>
  <si>
    <t>-638.340385539406 110.722840773713 -338.000173868203</t>
  </si>
  <si>
    <t>-655.371290898865 101.565264923396 -457.652504449788</t>
  </si>
  <si>
    <t>-662.084848575731 93.7997349599923 -566.691297947632</t>
  </si>
  <si>
    <t>-660.161244006309 86.4647087205244 -675.949547167534</t>
  </si>
  <si>
    <t>-648.477497546152 76.6085684306333 -827.496108772071</t>
  </si>
  <si>
    <t>-611.939911815633 61.6312721040665 -921.430429999466</t>
  </si>
  <si>
    <t>-641.729122150224 110.428257389805 -761.438529101718</t>
  </si>
  <si>
    <t>-565.820560195394 235.358635485456 -745.528041161982</t>
  </si>
  <si>
    <t>-476.558242861395 157.964156826932 -451.881188124589</t>
  </si>
  <si>
    <t>-665.56530513479 51.5109052562696 -759.444315929417</t>
  </si>
  <si>
    <t>-573.690025823212 215.684246878805 -240.688432597564</t>
  </si>
  <si>
    <t>-587.164029326227 199.154201506241 214.507026741695</t>
  </si>
  <si>
    <t>-629.799806592428 166.799406604652 681.127001725113</t>
  </si>
  <si>
    <t>-492.489277939254 95.1369814559648 764.516616565261</t>
  </si>
  <si>
    <t>-627.441372931069 27.7989320144254 -205.498558525838</t>
  </si>
  <si>
    <t>-563.304712143447 -5.27881497675298 244.445857981518</t>
  </si>
  <si>
    <t>-760.108130834542 106.898872165381 655.992965825754</t>
  </si>
  <si>
    <t>-680.651105039954 -22.3621266089008 744.996781998568</t>
  </si>
  <si>
    <t>9763-20170724T160611.392084900.bin</t>
  </si>
  <si>
    <t>-601.412379168355 121.961760057525 -223.430422282064</t>
  </si>
  <si>
    <t>-639.183334361168 111.066711613295 -337.983634495713</t>
  </si>
  <si>
    <t>-656.115092803316 101.904366271142 -457.649576299871</t>
  </si>
  <si>
    <t>-662.667507984823 94.0956763132917 -566.695268327254</t>
  </si>
  <si>
    <t>-660.512044473483 86.6777741003243 -675.94346817495</t>
  </si>
  <si>
    <t>-648.43442630854 76.6637917521211 -827.448867635813</t>
  </si>
  <si>
    <t>-611.706261776976 61.5858993323043 -921.292824169308</t>
  </si>
  <si>
    <t>-641.836371294181 110.543780166477 -761.406812064582</t>
  </si>
  <si>
    <t>-565.80336834589 235.408381437997 -745.529001028151</t>
  </si>
  <si>
    <t>-476.893511627901 158.051673787928 -451.765311876696</t>
  </si>
  <si>
    <t>-665.720399660565 51.6455882237931 -759.417870400002</t>
  </si>
  <si>
    <t>-574.439364618723 215.941815100448 -240.665176669366</t>
  </si>
  <si>
    <t>-587.637998121068 199.260449062894 214.532846221343</t>
  </si>
  <si>
    <t>-629.828002157722 166.738697634061 681.170697492774</t>
  </si>
  <si>
    <t>-492.514369472422 95.0647543592133 764.54530977146</t>
  </si>
  <si>
    <t>-628.218327102709 28.0649093829493 -205.517245248825</t>
  </si>
  <si>
    <t>-563.534233393505 -4.99390964772056 244.350216467971</t>
  </si>
  <si>
    <t>-760.135618306685 107.021119341135 656.045068236319</t>
  </si>
  <si>
    <t>-680.619731341624 -22.2681376501184 744.955182906652</t>
  </si>
  <si>
    <t>9763-20170724T160611.426936900.bin</t>
  </si>
  <si>
    <t>-601.833485455606 122.184142400521 -223.440624523069</t>
  </si>
  <si>
    <t>-639.625100351889 111.328649428559 -337.990842671103</t>
  </si>
  <si>
    <t>-656.48448713663 102.140571396659 -457.665038548891</t>
  </si>
  <si>
    <t>-662.933439736053 94.2796888478658 -566.713071679049</t>
  </si>
  <si>
    <t>-660.637587889852 86.778681000932 -675.952785403487</t>
  </si>
  <si>
    <t>-648.327212392054 76.6159992635733 -827.429454627108</t>
  </si>
  <si>
    <t>-611.491678986549 61.4603937064096 -921.218695869468</t>
  </si>
  <si>
    <t>-641.808612068074 110.551866542207 -761.408345990495</t>
  </si>
  <si>
    <t>-565.656063918738 235.354768723088 -745.596129245631</t>
  </si>
  <si>
    <t>-477.146012782985 157.896654723369 -451.738287126367</t>
  </si>
  <si>
    <t>-665.739779923182 51.6734088012254 -759.40296626587</t>
  </si>
  <si>
    <t>-574.872883572914 216.16324541265 -240.657938758757</t>
  </si>
  <si>
    <t>-587.87658549187 199.390913319602 214.542335566263</t>
  </si>
  <si>
    <t>-629.82875307521 166.696817083739 681.182620251466</t>
  </si>
  <si>
    <t>-492.546750093539 94.9687157313567 764.562680034069</t>
  </si>
  <si>
    <t>-628.627208843364 28.3106563630274 -205.512866930361</t>
  </si>
  <si>
    <t>-563.516348467922 -4.95941877003793 244.277456819685</t>
  </si>
  <si>
    <t>-760.114174952337 107.038017150663 655.975805716095</t>
  </si>
  <si>
    <t>-680.609788058773 -22.2398741880311 744.912729895522</t>
  </si>
  <si>
    <t>9763-20170724T160611.491119300.bin</t>
  </si>
  <si>
    <t>-602.844636446277 122.542281014187 -223.409820104865</t>
  </si>
  <si>
    <t>-640.645989942614 111.720556586232 -337.960094692675</t>
  </si>
  <si>
    <t>-657.406241882546 102.466207682811 -457.642978914384</t>
  </si>
  <si>
    <t>-663.721749205714 94.5008034026339 -566.691290629819</t>
  </si>
  <si>
    <t>-661.24972448533 86.8484082347832 -675.91672575389</t>
  </si>
  <si>
    <t>-648.651778865556 76.4242373043935 -827.351975014622</t>
  </si>
  <si>
    <t>-611.671547673704 61.1028581849953 -921.057309552453</t>
  </si>
  <si>
    <t>-642.225504844906 110.460758291372 -761.373593939786</t>
  </si>
  <si>
    <t>-565.897412840388 235.162539602805 -745.593388577695</t>
  </si>
  <si>
    <t>-477.783628522898 157.510279806675 -451.667843560507</t>
  </si>
  <si>
    <t>-666.226583103055 51.6122937254056 -759.319341644617</t>
  </si>
  <si>
    <t>-575.89121293187 216.545925263778 -240.631697866304</t>
  </si>
  <si>
    <t>-588.59985126989 199.709803228284 214.574485198142</t>
  </si>
  <si>
    <t>-629.823319349425 166.669000004172 681.21470856213</t>
  </si>
  <si>
    <t>-492.528467472558 94.9564956399738 764.58704492552</t>
  </si>
  <si>
    <t>-629.684223713684 28.5752362307765 -205.515746645505</t>
  </si>
  <si>
    <t>-563.696155649153 -4.88907165262981 244.132289389661</t>
  </si>
  <si>
    <t>-760.108806501001 107.130912220562 655.912351411903</t>
  </si>
  <si>
    <t>-680.591986577569 -22.160792292779 744.818083255567</t>
  </si>
  <si>
    <t>9763-20170724T160611.522215900.bin</t>
  </si>
  <si>
    <t>-603.421339447498 122.698170087911 -223.400072051354</t>
  </si>
  <si>
    <t>-641.251797794371 111.887222122606 -337.941650945443</t>
  </si>
  <si>
    <t>-657.968048293044 102.581177277342 -457.626765573127</t>
  </si>
  <si>
    <t>-664.214376339025 94.5425976870024 -566.67363113352</t>
  </si>
  <si>
    <t>-661.644136728925 86.7904829961251 -675.889678357214</t>
  </si>
  <si>
    <t>-648.880644461859 76.199404701001 -827.299513433853</t>
  </si>
  <si>
    <t>-611.825502799692 60.7733526286386 -920.958114847615</t>
  </si>
  <si>
    <t>-642.517665130771 110.305059515144 -761.350787141177</t>
  </si>
  <si>
    <t>-566.154181933938 234.979493650397 -745.603284474967</t>
  </si>
  <si>
    <t>-478.160325850757 157.515793630615 -451.592014311091</t>
  </si>
  <si>
    <t>-666.538617397139 51.4660843765507 -759.260028614872</t>
  </si>
  <si>
    <t>-576.449734196323 216.75795653532 -240.636662523177</t>
  </si>
  <si>
    <t>-588.999514435476 199.895945256233 214.572971068483</t>
  </si>
  <si>
    <t>-629.814245287744 166.661302915688 681.224453159741</t>
  </si>
  <si>
    <t>-492.477675687325 95.0188865835539 764.588372736389</t>
  </si>
  <si>
    <t>-630.257841898614 28.6684186871016 -205.487164761103</t>
  </si>
  <si>
    <t>-563.87791608504 -4.74538894850934 244.106970180882</t>
  </si>
  <si>
    <t>-760.194654202331 107.212324144747 655.962129253759</t>
  </si>
  <si>
    <t>-680.584281079407 -22.1032508444823 744.749331836407</t>
  </si>
  <si>
    <t>9763-20170724T160611.593393900.bin</t>
  </si>
  <si>
    <t>-604.798693223903 123.20348423734 -223.397879548344</t>
  </si>
  <si>
    <t>-642.610113226707 112.406304732698 -337.947179771605</t>
  </si>
  <si>
    <t>-659.150460437963 103.004896785344 -457.64930843761</t>
  </si>
  <si>
    <t>-665.174850569104 94.8346855559832 -566.69888292276</t>
  </si>
  <si>
    <t>-662.32160607809 86.9047813749037 -675.895065123714</t>
  </si>
  <si>
    <t>-649.103231572611 76.0183189166901 -827.244918122846</t>
  </si>
  <si>
    <t>-611.840051162162 60.38473333809 -920.786473764266</t>
  </si>
  <si>
    <t>-642.914374341899 110.243018730238 -761.341275281245</t>
  </si>
  <si>
    <t>-566.538143504186 234.899979370811 -745.593302758014</t>
  </si>
  <si>
    <t>-478.839499221579 157.473442669357 -451.484043060462</t>
  </si>
  <si>
    <t>-666.989461655692 51.4275478904028 -759.213399854419</t>
  </si>
  <si>
    <t>-577.715125778129 217.309684968778 -240.648862190487</t>
  </si>
  <si>
    <t>-589.996021748653 200.477864310536 214.569271525441</t>
  </si>
  <si>
    <t>-629.80524435539 166.648871559133 681.242754022889</t>
  </si>
  <si>
    <t>-492.450772540935 95.0086396473441 764.578994598241</t>
  </si>
  <si>
    <t>-631.746758434457 29.1798081691013 -205.477190312782</t>
  </si>
  <si>
    <t>-564.51178344968 -4.32423599136951 243.983216718498</t>
  </si>
  <si>
    <t>-760.400397220648 107.439144016965 656.103999403831</t>
  </si>
  <si>
    <t>-680.592672888416 -21.980687591295 744.561501844692</t>
  </si>
  <si>
    <t>9763-20170724T160611.627108700.bin</t>
  </si>
  <si>
    <t>-605.600435789586 123.52770909128 -223.429217987759</t>
  </si>
  <si>
    <t>-643.330009598996 112.735496733498 -338.005935610684</t>
  </si>
  <si>
    <t>-659.727292528511 103.30911815068 -457.72577145532</t>
  </si>
  <si>
    <t>-665.598441982483 95.1030576022299 -566.78092501902</t>
  </si>
  <si>
    <t>-662.569147827085 87.1232782612005 -675.968967884917</t>
  </si>
  <si>
    <t>-649.083343244157 76.1525028067169 -827.288964215253</t>
  </si>
  <si>
    <t>-611.666650373171 60.4448905028019 -920.756980495576</t>
  </si>
  <si>
    <t>-643.002365355082 110.410438016641 -761.392626368761</t>
  </si>
  <si>
    <t>-566.605513113411 235.050346463684 -745.572993424218</t>
  </si>
  <si>
    <t>-479.097416413651 157.517420607061 -451.434929342409</t>
  </si>
  <si>
    <t>-667.098302836984 51.6031661082284 -759.276440655279</t>
  </si>
  <si>
    <t>-578.443059170945 217.623151787784 -240.656981215762</t>
  </si>
  <si>
    <t>-590.589386676867 200.777599785269 214.56423860757</t>
  </si>
  <si>
    <t>-629.806375903514 166.641665070365 681.254034519481</t>
  </si>
  <si>
    <t>-492.430380653138 95.0238167541361 764.574099114503</t>
  </si>
  <si>
    <t>-632.591824833705 29.5294589112029 -205.519487184508</t>
  </si>
  <si>
    <t>-564.925246466357 -4.07259164490779 243.86878997331</t>
  </si>
  <si>
    <t>-760.523845681152 107.546646624466 656.179088954443</t>
  </si>
  <si>
    <t>-680.584776045256 -21.9188523037881 744.451093505175</t>
  </si>
  <si>
    <t>9763-20170724T160611.693283300.bin</t>
  </si>
  <si>
    <t>-607.226517375539 124.305973596466 -223.53422759502</t>
  </si>
  <si>
    <t>-644.674963888599 113.488651215911 -338.200672895179</t>
  </si>
  <si>
    <t>-660.732765415935 103.960128048066 -457.958467877982</t>
  </si>
  <si>
    <t>-666.277082396217 95.6278191851543 -567.021226691578</t>
  </si>
  <si>
    <t>-662.903409882518 87.4866035187122 -676.186938865472</t>
  </si>
  <si>
    <t>-648.923292111499 76.2533010059055 -827.443023989885</t>
  </si>
  <si>
    <t>-611.224292888085 60.3586520684494 -920.765689408069</t>
  </si>
  <si>
    <t>-643.012996200544 110.607434917902 -761.581191036153</t>
  </si>
  <si>
    <t>-566.416661082561 235.14645714449 -745.819947553634</t>
  </si>
  <si>
    <t>-479.963163675393 157.624190061356 -451.36745340733</t>
  </si>
  <si>
    <t>-667.205114140085 51.839957282762 -759.452719331213</t>
  </si>
  <si>
    <t>-579.955135025685 218.398979443998 -240.732131886544</t>
  </si>
  <si>
    <t>-592.04660170266 201.621314986244 214.493027819984</t>
  </si>
  <si>
    <t>-629.760358077824 166.696711348958 681.21917055004</t>
  </si>
  <si>
    <t>-492.490147580425 94.896907878589 764.55693794711</t>
  </si>
  <si>
    <t>-634.329293234823 30.2925206639554 -205.660431128925</t>
  </si>
  <si>
    <t>-565.863153741039 -3.52058834729746 243.590881490804</t>
  </si>
  <si>
    <t>-760.77526895758 107.777064971564 656.335357551515</t>
  </si>
  <si>
    <t>-680.63480786006 -21.8224945513286 744.22721100384</t>
  </si>
  <si>
    <t>9763-20170724T160611.722950100.bin</t>
  </si>
  <si>
    <t>-608.074494792082 124.71227943865 -223.595644273773</t>
  </si>
  <si>
    <t>-645.379781885663 113.879094950491 -338.307391015773</t>
  </si>
  <si>
    <t>-661.285159889974 104.283538636945 -458.080116293925</t>
  </si>
  <si>
    <t>-666.690195576329 95.8695134990398 -567.143547805747</t>
  </si>
  <si>
    <t>-663.177027616211 87.6254251429198 -676.297327751394</t>
  </si>
  <si>
    <t>-649.003826086921 76.2271493074213 -827.523021244071</t>
  </si>
  <si>
    <t>-611.188415086106 60.2258301432792 -920.780317228797</t>
  </si>
  <si>
    <t>-643.150492281041 110.642103760478 -761.68780687407</t>
  </si>
  <si>
    <t>-566.484618131138 235.144086281006 -745.999809377046</t>
  </si>
  <si>
    <t>-480.517394473932 157.713570782225 -451.380814479814</t>
  </si>
  <si>
    <t>-667.399484980307 51.8990578041917 -759.532774936493</t>
  </si>
  <si>
    <t>-580.693187572794 218.778680762252 -240.796984499894</t>
  </si>
  <si>
    <t>-592.818648430412 202.113501404788 214.431382103308</t>
  </si>
  <si>
    <t>-629.729300152388 166.729451188366 681.188405485992</t>
  </si>
  <si>
    <t>-492.490018358887 94.8739745796865 764.529135800852</t>
  </si>
  <si>
    <t>-635.353529587964 30.7050326058206 -205.722193808403</t>
  </si>
  <si>
    <t>-566.410971786354 -3.23117466239319 243.446933044646</t>
  </si>
  <si>
    <t>-760.915982288205 107.906518758699 656.440907066046</t>
  </si>
  <si>
    <t>-680.630518642819 -21.7528066431832 744.112010140335</t>
  </si>
  <si>
    <t>9763-20170724T160611.789125800.bin</t>
  </si>
  <si>
    <t>-609.686311314261 125.574781848349 -223.780977078474</t>
  </si>
  <si>
    <t>-646.755471703641 114.735252460344 -338.568569232419</t>
  </si>
  <si>
    <t>-662.412125327302 105.056392617165 -458.367378738259</t>
  </si>
  <si>
    <t>-667.59086556816 96.5365400897394 -567.433690470623</t>
  </si>
  <si>
    <t>-663.85206014806 88.1567641936313 -676.569560982953</t>
  </si>
  <si>
    <t>-649.367651461843 76.5394356096003 -827.749098633977</t>
  </si>
  <si>
    <t>-611.315204559881 60.347138108832 -920.876959756009</t>
  </si>
  <si>
    <t>-643.590943117287 111.025538651783 -761.944466413462</t>
  </si>
  <si>
    <t>-566.698496033274 235.396493811851 -746.359787464677</t>
  </si>
  <si>
    <t>-481.528049993159 158.123876846721 -451.46804499454</t>
  </si>
  <si>
    <t>-667.962235716999 52.3338662725062 -759.769309794327</t>
  </si>
  <si>
    <t>-582.005719210587 219.615961274652 -240.975237247602</t>
  </si>
  <si>
    <t>-594.201162606906 203.059849365392 214.255294674534</t>
  </si>
  <si>
    <t>-629.6384832256 166.889268760422 681.094673630978</t>
  </si>
  <si>
    <t>-492.597220179397 94.6731825212623 764.449582042104</t>
  </si>
  <si>
    <t>-637.237369018586 31.633731723547 -205.948937563753</t>
  </si>
  <si>
    <t>-567.859160774293 -2.6060749091173 243.130089102734</t>
  </si>
  <si>
    <t>-761.293424124795 108.163829064488 656.770891836654</t>
  </si>
  <si>
    <t>-680.679371744252 -21.6349884733165 743.932601585414</t>
  </si>
  <si>
    <t>9763-20170724T160611.826235900.bin</t>
  </si>
  <si>
    <t>-610.449786005528 126.080576961248 -223.865002787894</t>
  </si>
  <si>
    <t>-647.478377342371 115.260954220289 -338.667571874268</t>
  </si>
  <si>
    <t>-663.074548570105 105.547044635738 -458.471426759351</t>
  </si>
  <si>
    <t>-668.191680405218 96.9740303468782 -567.536394185377</t>
  </si>
  <si>
    <t>-664.385150621493 88.5202576688237 -676.664272049015</t>
  </si>
  <si>
    <t>-649.800881532531 76.7791154013207 -827.824605338276</t>
  </si>
  <si>
    <t>-611.656434133109 60.4768404778697 -920.895693430669</t>
  </si>
  <si>
    <t>-644.039530137312 111.307500122765 -762.040872950499</t>
  </si>
  <si>
    <t>-567.027740242897 235.621050578577 -746.527995114644</t>
  </si>
  <si>
    <t>-482.146833678115 158.328851667773 -451.557969017031</t>
  </si>
  <si>
    <t>-668.468481320165 52.6408234424671 -759.840853015195</t>
  </si>
  <si>
    <t>-582.635336061908 220.120782653046 -241.069842296935</t>
  </si>
  <si>
    <t>-594.751786288055 203.532942828085 214.161636304274</t>
  </si>
  <si>
    <t>-629.569551590046 167.018820679519 681.012945296991</t>
  </si>
  <si>
    <t>-492.680204593684 94.5474771128661 764.395897427797</t>
  </si>
  <si>
    <t>-638.170887673676 32.1581129409071 -206.026253431825</t>
  </si>
  <si>
    <t>-568.651048566855 -2.28932338352365 243.014955750259</t>
  </si>
  <si>
    <t>-761.490227004918 108.320125350975 656.983967219495</t>
  </si>
  <si>
    <t>-680.695877463966 -21.5632536450069 743.852188831024</t>
  </si>
  <si>
    <t>9763-20170724T160611.894929300.bin</t>
  </si>
  <si>
    <t>-611.838522423315 126.906347857069 -224.046970649736</t>
  </si>
  <si>
    <t>-648.86681360162 116.137646820919 -338.854275498577</t>
  </si>
  <si>
    <t>-664.423466376404 106.364261954071 -458.658548058143</t>
  </si>
  <si>
    <t>-669.490733856674 97.696832947513 -567.71843229389</t>
  </si>
  <si>
    <t>-665.620821916514 89.1116413097234 -676.833709450342</t>
  </si>
  <si>
    <t>-650.935664492398 77.1518223690543 -827.967182510493</t>
  </si>
  <si>
    <t>-612.677576466213 60.6500727927587 -920.956365763338</t>
  </si>
  <si>
    <t>-645.168323076032 111.754759102372 -762.222989023778</t>
  </si>
  <si>
    <t>-567.992211056956 235.968097799681 -746.843651735576</t>
  </si>
  <si>
    <t>-483.308184457606 158.552747570097 -451.849322391844</t>
  </si>
  <si>
    <t>-669.698596537984 53.1324195647223 -759.967484381388</t>
  </si>
  <si>
    <t>-583.68356644022 220.91433993913 -241.282043229877</t>
  </si>
  <si>
    <t>-595.591699534469 204.340779450248 213.955491954108</t>
  </si>
  <si>
    <t>-629.385552048598 167.305556028751 680.842643082739</t>
  </si>
  <si>
    <t>-492.805452670698 94.3070512119621 764.27283977014</t>
  </si>
  <si>
    <t>-639.863024457101 32.930784734077 -206.139631408888</t>
  </si>
  <si>
    <t>-570.05143734527 -1.65261983591859 242.845891286609</t>
  </si>
  <si>
    <t>-761.864673443451 108.635752734118 657.352560185669</t>
  </si>
  <si>
    <t>-680.758865260418 -21.4357923823507 743.647182180452</t>
  </si>
  <si>
    <t>9763-20170724T160611.925509000.bin</t>
  </si>
  <si>
    <t>-612.364450471546 127.221633127817 -224.08583468912</t>
  </si>
  <si>
    <t>-649.39431356331 116.48230276347 -338.895451059949</t>
  </si>
  <si>
    <t>-664.945873317192 106.70163686782 -458.699723836313</t>
  </si>
  <si>
    <t>-670.006316171559 98.0148773622823 -567.758397192008</t>
  </si>
  <si>
    <t>-666.128010793362 89.398614008709 -676.871009845997</t>
  </si>
  <si>
    <t>-651.429533156992 77.3849770769884 -827.998869466291</t>
  </si>
  <si>
    <t>-613.140794230459 60.8224077955451 -920.964668936506</t>
  </si>
  <si>
    <t>-645.645637751789 112.002257212017 -762.263668527546</t>
  </si>
  <si>
    <t>-568.330150743406 236.143021442057 -746.959516527848</t>
  </si>
  <si>
    <t>-483.778686216933 158.709031626387 -451.931998436744</t>
  </si>
  <si>
    <t>-670.220564427193 53.39913821408 -759.99522123456</t>
  </si>
  <si>
    <t>-584.099863034216 221.247447314427 -241.340690148083</t>
  </si>
  <si>
    <t>-596.02306451197 204.688554124858 213.896952410856</t>
  </si>
  <si>
    <t>-629.339259064487 167.406610316667 680.797123847499</t>
  </si>
  <si>
    <t>-492.852923817011 94.2319895624837 764.226507764397</t>
  </si>
  <si>
    <t>-640.49057512544 33.2133087662539 -206.146226333114</t>
  </si>
  <si>
    <t>-570.416048040109 -1.48901456745784 242.789209711871</t>
  </si>
  <si>
    <t>-762.014595501361 108.699384572656 657.4143120362</t>
  </si>
  <si>
    <t>-680.797150929837 -21.4014945333531 743.559502257174</t>
  </si>
  <si>
    <t>9763-20170724T160611.958597900.bin</t>
  </si>
  <si>
    <t>-612.841052253702 127.493449018862 -224.107278315523</t>
  </si>
  <si>
    <t>-649.892027841722 116.772347417863 -338.911897993111</t>
  </si>
  <si>
    <t>-665.449874821012 106.980475526641 -458.714333522413</t>
  </si>
  <si>
    <t>-670.51036850396 98.2726760454686 -567.77126965822</t>
  </si>
  <si>
    <t>-666.626185361938 89.6260009887872 -676.881390380538</t>
  </si>
  <si>
    <t>-651.913876485294 77.5608217484548 -828.003709971988</t>
  </si>
  <si>
    <t>-613.605821308147 60.941530680238 -920.951327790199</t>
  </si>
  <si>
    <t>-646.107297067626 112.18850956613 -762.276153525941</t>
  </si>
  <si>
    <t>-568.623162306647 236.241727272596 -747.045400553549</t>
  </si>
  <si>
    <t>-484.263331367388 158.832319806319 -451.956682716619</t>
  </si>
  <si>
    <t>-670.73998872226 53.6100148031248 -759.997369688699</t>
  </si>
  <si>
    <t>-584.466655950738 221.537972415012 -241.404181479618</t>
  </si>
  <si>
    <t>-596.359187496543 205.030494819933 213.836143655305</t>
  </si>
  <si>
    <t>-629.277175294027 167.536580206876 680.75009495076</t>
  </si>
  <si>
    <t>-492.881716526178 94.180011692541 764.168352709918</t>
  </si>
  <si>
    <t>-641.092907911256 33.5070570879186 -206.108708322944</t>
  </si>
  <si>
    <t>-570.659595154097 -1.58666021057707 242.740051557645</t>
  </si>
  <si>
    <t>-762.09010630897 108.749284030275 657.390822731357</t>
  </si>
  <si>
    <t>-680.794302376441 -21.3549135659334 743.457095759717</t>
  </si>
  <si>
    <t>9763-20170724T160612.024374500.bin</t>
  </si>
  <si>
    <t>-613.691008067097 127.967697016572 -224.022139826878</t>
  </si>
  <si>
    <t>-650.807249910571 117.226739769608 -338.803773237804</t>
  </si>
  <si>
    <t>-666.432868859611 107.414681912191 -458.595772630679</t>
  </si>
  <si>
    <t>-671.555020130852 98.6882645759729 -567.648389258385</t>
  </si>
  <si>
    <t>-667.732436116271 90.022820102919 -676.759076061779</t>
  </si>
  <si>
    <t>-653.105286316782 77.9315110336468 -827.88755658994</t>
  </si>
  <si>
    <t>-614.837611831708 61.2304142752032 -920.83738668262</t>
  </si>
  <si>
    <t>-647.195584153357 112.543038869064 -762.160765384237</t>
  </si>
  <si>
    <t>-569.323062381283 236.36256924905 -747.058593778527</t>
  </si>
  <si>
    <t>-485.351543367181 158.75184556401 -451.911928273082</t>
  </si>
  <si>
    <t>-671.959079523489 54.0200782043155 -759.875223397206</t>
  </si>
  <si>
    <t>-585.128500266582 221.947646463637 -241.438645607485</t>
  </si>
  <si>
    <t>-596.89148188288 205.548676321006 213.808982292833</t>
  </si>
  <si>
    <t>-629.20163819516 167.716641033291 680.70372511843</t>
  </si>
  <si>
    <t>-492.951976582899 94.0590156721094 764.094956611805</t>
  </si>
  <si>
    <t>-642.124386866144 34.0125223795528 -205.888904654402</t>
  </si>
  <si>
    <t>-570.924802899289 -1.98227473980228 242.767590168756</t>
  </si>
  <si>
    <t>-762.236702355812 108.876712332688 657.322351098542</t>
  </si>
  <si>
    <t>-680.785713940791 -21.2513885495709 743.205549544622</t>
  </si>
  <si>
    <t>9763-20170724T160612.094560100.bin</t>
  </si>
  <si>
    <t>-614.300374793285 128.095390166192 -223.904081217129</t>
  </si>
  <si>
    <t>-651.523644821489 117.32393018387 -338.648057974282</t>
  </si>
  <si>
    <t>-667.222872300688 107.474392257897 -458.427406744585</t>
  </si>
  <si>
    <t>-672.396586081059 98.7141218501206 -567.474829417919</t>
  </si>
  <si>
    <t>-668.61053267656 90.0162263198595 -676.584180636307</t>
  </si>
  <si>
    <t>-654.017936865849 77.8832480046328 -827.712880147411</t>
  </si>
  <si>
    <t>-615.790012628633 61.1403951560992 -920.67129821393</t>
  </si>
  <si>
    <t>-648.038039016708 112.489741726244 -761.989640670721</t>
  </si>
  <si>
    <t>-569.875119987821 236.116178489973 -746.957658438025</t>
  </si>
  <si>
    <t>-485.961732371403 158.390418682028 -451.824724928073</t>
  </si>
  <si>
    <t>-672.911423139709 54.013632281424 -759.696637574731</t>
  </si>
  <si>
    <t>-585.532988681248 222.057823626715 -241.43257741831</t>
  </si>
  <si>
    <t>-597.312759420753 205.800348264127 213.819758167704</t>
  </si>
  <si>
    <t>-629.190862320861 167.78601211777 680.701540536623</t>
  </si>
  <si>
    <t>-493.044959650194 93.9020165106103 764.061976309973</t>
  </si>
  <si>
    <t>-642.942285980192 34.1363334053851 -205.696203906944</t>
  </si>
  <si>
    <t>-571.264960686713 -2.26687347990469 242.851240912899</t>
  </si>
  <si>
    <t>-762.449023090756 109.020937340431 657.323790364843</t>
  </si>
  <si>
    <t>-680.804864806234 -21.1386547916914 742.975530055269</t>
  </si>
  <si>
    <t>9763-20170724T160612.125643700.bin</t>
  </si>
  <si>
    <t>-614.647103923709 128.084850128184 -223.904109723951</t>
  </si>
  <si>
    <t>-651.925630697488 117.318934687261 -338.630835111334</t>
  </si>
  <si>
    <t>-667.644852399033 107.46620319996 -458.407208011212</t>
  </si>
  <si>
    <t>-672.821962231217 98.7003655780316 -567.454009566622</t>
  </si>
  <si>
    <t>-669.024395742196 89.9952777220931 -676.562610050911</t>
  </si>
  <si>
    <t>-654.400430379881 77.8512761727743 -827.687127162923</t>
  </si>
  <si>
    <t>-616.166414807937 61.0962496060113 -920.641062366734</t>
  </si>
  <si>
    <t>-648.402358282483 112.449264515911 -761.961016213169</t>
  </si>
  <si>
    <t>-570.037853232787 235.976572355378 -746.936712468939</t>
  </si>
  <si>
    <t>-486.288665244755 158.116374857463 -451.792438054362</t>
  </si>
  <si>
    <t>-673.339829356993 53.9999402697076 -759.677301769182</t>
  </si>
  <si>
    <t>-585.758220013287 222.038515338756 -241.487220306831</t>
  </si>
  <si>
    <t>-597.43060576155 205.781883722196 213.767817985143</t>
  </si>
  <si>
    <t>-629.169020203288 167.739212388451 680.665005820891</t>
  </si>
  <si>
    <t>-493.01887178561 93.875168879629 764.036130828748</t>
  </si>
  <si>
    <t>-643.414953092271 34.1876259331766 -205.650577892247</t>
  </si>
  <si>
    <t>-571.452663323672 -2.38620344317383 242.837437305163</t>
  </si>
  <si>
    <t>-762.542662145594 109.055549827052 657.28794413032</t>
  </si>
  <si>
    <t>-680.782648709298 -21.0768804165998 742.870384457817</t>
  </si>
  <si>
    <t>9763-20170724T160612.188812700.bin</t>
  </si>
  <si>
    <t>-615.028310796145 128.150043752927 -223.946568275153</t>
  </si>
  <si>
    <t>-652.363331687894 117.424478141643 -338.658681447163</t>
  </si>
  <si>
    <t>-668.114349465714 107.55767953659 -458.429812288021</t>
  </si>
  <si>
    <t>-673.310165099981 98.757041384541 -567.472911397764</t>
  </si>
  <si>
    <t>-669.521325123847 89.9954822677025 -676.577018201347</t>
  </si>
  <si>
    <t>-654.899687142496 77.7503477040525 -827.69385350023</t>
  </si>
  <si>
    <t>-616.657745320032 60.9523579381976 -920.636631441899</t>
  </si>
  <si>
    <t>-648.866395478076 112.377761535848 -761.986552550473</t>
  </si>
  <si>
    <t>-570.387621577895 235.837719881594 -746.998686036729</t>
  </si>
  <si>
    <t>-486.694287746755 157.795581400966 -451.886749786078</t>
  </si>
  <si>
    <t>-673.872193754277 53.9591526524698 -759.672243479802</t>
  </si>
  <si>
    <t>-586.036570934966 222.084821169111 -241.540936854234</t>
  </si>
  <si>
    <t>-597.527484849701 205.771894740182 213.716709874494</t>
  </si>
  <si>
    <t>-629.146155526679 167.776793812145 680.641388454215</t>
  </si>
  <si>
    <t>-493.103951102388 93.7333664683235 764.029673399303</t>
  </si>
  <si>
    <t>-643.898748046207 34.3579065155909 -205.688290640729</t>
  </si>
  <si>
    <t>-571.71700613987 -2.44791161828334 242.745426176391</t>
  </si>
  <si>
    <t>-762.586336378765 109.094703314249 657.236541582795</t>
  </si>
  <si>
    <t>-680.784718096603 -21.0340406640898 742.784876865128</t>
  </si>
  <si>
    <t>9763-20170724T160612.223443200.bin</t>
  </si>
  <si>
    <t>-615.716260831647 128.177958347484 -224.146680392276</t>
  </si>
  <si>
    <t>-653.062370580347 117.51265652182 -338.860854713368</t>
  </si>
  <si>
    <t>-668.873810301729 107.668970833604 -458.625917796163</t>
  </si>
  <si>
    <t>-674.145069038338 98.8728004555726 -567.665756718182</t>
  </si>
  <si>
    <t>-670.452454836572 90.0988638837828 -676.772185870506</t>
  </si>
  <si>
    <t>-655.985627974134 77.8189415461845 -827.90096743155</t>
  </si>
  <si>
    <t>-617.767873543944 60.9656955886705 -920.843750541101</t>
  </si>
  <si>
    <t>-649.830869752156 112.438561392967 -762.200897266148</t>
  </si>
  <si>
    <t>-571.085106061627 235.742408587121 -747.350260309171</t>
  </si>
  <si>
    <t>-487.320762837303 157.662077166293 -452.268585501145</t>
  </si>
  <si>
    <t>-674.942592932351 54.0663383864389 -759.861660146283</t>
  </si>
  <si>
    <t>-586.567509420703 222.034680785619 -241.694046850065</t>
  </si>
  <si>
    <t>-597.849013014718 205.726490439143 213.569057057054</t>
  </si>
  <si>
    <t>-629.092307445532 167.776893421587 680.550060192438</t>
  </si>
  <si>
    <t>-493.177967767815 93.5639934217468 763.996179711763</t>
  </si>
  <si>
    <t>-644.729185958697 34.4231071955514 -205.94976212447</t>
  </si>
  <si>
    <t>-572.444551806369 -2.42583136433996 242.463756869805</t>
  </si>
  <si>
    <t>-762.698655642869 109.143398987151 657.210824590088</t>
  </si>
  <si>
    <t>-680.780597878011 -20.9422934190557 742.713224061024</t>
  </si>
  <si>
    <t>9763-20170724T160612.288620300.bin</t>
  </si>
  <si>
    <t>-616.31397958955 128.05792654861 -224.286342766996</t>
  </si>
  <si>
    <t>-653.690806435295 117.472257643371 -338.997722337081</t>
  </si>
  <si>
    <t>-669.567582267846 107.659935894015 -458.756625193109</t>
  </si>
  <si>
    <t>-674.912358807682 98.8716980680958 -567.793600147322</t>
  </si>
  <si>
    <t>-671.307664247226 90.0849820809663 -676.902143347889</t>
  </si>
  <si>
    <t>-656.978048219946 77.7652350865383 -828.040675221711</t>
  </si>
  <si>
    <t>-618.807949076497 60.8303933416 -920.988231704208</t>
  </si>
  <si>
    <t>-650.739093814378 112.391734603959 -762.352145527559</t>
  </si>
  <si>
    <t>-571.958626203318 235.660164224896 -747.535089865717</t>
  </si>
  <si>
    <t>-488.002499083694 157.229198730548 -452.600984268457</t>
  </si>
  <si>
    <t>-675.897839143508 54.0409324983079 -759.980998616656</t>
  </si>
  <si>
    <t>-587.103944931982 221.872725497116 -241.791147404129</t>
  </si>
  <si>
    <t>-598.184839094099 205.601983236329 213.478205536253</t>
  </si>
  <si>
    <t>-629.110074505639 167.702349784171 680.522008956721</t>
  </si>
  <si>
    <t>-493.270392711369 93.3835785554477 763.995449911137</t>
  </si>
  <si>
    <t>-645.391380495827 34.3087562976104 -206.127202387371</t>
  </si>
  <si>
    <t>-573.07581935776 -2.55696969772612 242.28002542639</t>
  </si>
  <si>
    <t>-762.858434752293 109.11360812728 657.22652760541</t>
  </si>
  <si>
    <t>-680.775443565355 -20.8642516118723 742.734662475137</t>
  </si>
  <si>
    <t>9763-20170724T160612.325263900.bin</t>
  </si>
  <si>
    <t>-616.649334562709 127.946206412433 -224.324374105784</t>
  </si>
  <si>
    <t>-654.070373874825 117.387138210497 -339.023800769677</t>
  </si>
  <si>
    <t>-669.975380700253 107.606743545593 -458.781641307293</t>
  </si>
  <si>
    <t>-675.338622148224 98.8492952792974 -567.820188866832</t>
  </si>
  <si>
    <t>-671.744919574923 90.0954868447557 -676.931717130418</t>
  </si>
  <si>
    <t>-657.423059915481 77.823213937276 -828.074802359487</t>
  </si>
  <si>
    <t>-619.266571817993 60.8882991636508 -921.027990513457</t>
  </si>
  <si>
    <t>-651.174304277929 112.426210136533 -762.374922891363</t>
  </si>
  <si>
    <t>-572.343750689461 235.667171360574 -747.512273590834</t>
  </si>
  <si>
    <t>-488.432250326123 156.989647320461 -452.631069259728</t>
  </si>
  <si>
    <t>-676.345931157221 54.0802326775913 -760.022503908232</t>
  </si>
  <si>
    <t>-587.405534998355 221.738374784102 -241.828950842031</t>
  </si>
  <si>
    <t>-598.35621219887 205.524042955842 213.445593377309</t>
  </si>
  <si>
    <t>-629.108558773319 167.706476621938 680.509759313328</t>
  </si>
  <si>
    <t>-493.313457570563 93.316543410449 763.992296941071</t>
  </si>
  <si>
    <t>-645.77184882565 34.2021988582585 -206.157368875633</t>
  </si>
  <si>
    <t>-573.305310599655 -2.66506643696039 242.225316379053</t>
  </si>
  <si>
    <t>-762.888119830208 109.116382609768 657.216500840068</t>
  </si>
  <si>
    <t>-680.767771839342 -20.824402151406 742.74521207461</t>
  </si>
  <si>
    <t>9763-20170724T160612.390436800.bin</t>
  </si>
  <si>
    <t>-617.177606502286 127.668453483837 -224.413923611902</t>
  </si>
  <si>
    <t>-654.672896578157 117.175264726039 -339.095319760967</t>
  </si>
  <si>
    <t>-670.591319280434 107.454477225322 -458.856223736675</t>
  </si>
  <si>
    <t>-675.941130400967 98.7489167494912 -567.899561809552</t>
  </si>
  <si>
    <t>-672.308502340982 90.045392854074 -677.013677782659</t>
  </si>
  <si>
    <t>-657.906014565853 77.8421376148963 -828.154789630059</t>
  </si>
  <si>
    <t>-619.701479539493 60.9197593778772 -921.0904137219</t>
  </si>
  <si>
    <t>-651.679130634933 112.409610510525 -762.433851903812</t>
  </si>
  <si>
    <t>-572.830891192776 235.611925932434 -747.383817807224</t>
  </si>
  <si>
    <t>-488.986691311863 156.426004352401 -452.619562014243</t>
  </si>
  <si>
    <t>-676.878237244271 54.0737485096099 -760.125071412143</t>
  </si>
  <si>
    <t>-587.901257417083 221.373031944292 -241.880784007857</t>
  </si>
  <si>
    <t>-598.533540121247 205.236294830442 213.404015971214</t>
  </si>
  <si>
    <t>-629.150855446297 167.637532961373 680.524558086162</t>
  </si>
  <si>
    <t>-493.381925897397 93.1694657390176 763.980048164741</t>
  </si>
  <si>
    <t>-646.277647510853 34.0647965531664 -206.263348037207</t>
  </si>
  <si>
    <t>-573.521743190954 -2.93896064954106 242.061303121333</t>
  </si>
  <si>
    <t>-762.794408548623 109.144598589413 657.086018931221</t>
  </si>
  <si>
    <t>-680.712096397616 -20.7237614426272 742.761007847786</t>
  </si>
  <si>
    <t>9763-20170724T160612.429049500.bin</t>
  </si>
  <si>
    <t>-617.338329035311 127.533116646867 -224.424552682895</t>
  </si>
  <si>
    <t>-654.866775409917 117.061738470706 -339.097136575466</t>
  </si>
  <si>
    <t>-670.782867427522 107.37514388648 -458.861033795301</t>
  </si>
  <si>
    <t>-676.115438884118 98.7063987388472 -567.908194450168</t>
  </si>
  <si>
    <t>-672.45039308662 90.0460279648919 -677.02474100459</t>
  </si>
  <si>
    <t>-657.987117987292 77.9098165233177 -828.165459439369</t>
  </si>
  <si>
    <t>-619.740843483542 61.0364349290983 -921.092741823846</t>
  </si>
  <si>
    <t>-651.78882431616 112.449104011323 -762.426951079937</t>
  </si>
  <si>
    <t>-572.93375434561 235.635443508531 -747.289283941574</t>
  </si>
  <si>
    <t>-489.105871771781 156.296731039359 -452.561536525845</t>
  </si>
  <si>
    <t>-676.98447799635 54.1103648866008 -760.153653541325</t>
  </si>
  <si>
    <t>-588.068215180413 221.191535552766 -241.896299586994</t>
  </si>
  <si>
    <t>-598.597435304206 205.11411942179 213.3929811044</t>
  </si>
  <si>
    <t>-629.161994777037 167.580840120045 680.519977899052</t>
  </si>
  <si>
    <t>-493.390440564922 93.1182548816535 763.976082433538</t>
  </si>
  <si>
    <t>-646.462476358483 33.9545426213645 -206.265011150005</t>
  </si>
  <si>
    <t>-573.620367015322 -3.04476237947142 242.046011523614</t>
  </si>
  <si>
    <t>-762.756721450332 109.196219702163 657.077180080953</t>
  </si>
  <si>
    <t>-680.719586536337 -20.6864001104932 742.773919607899</t>
  </si>
  <si>
    <t>9763-20170724T160612.492214200.bin</t>
  </si>
  <si>
    <t>-617.748564774931 127.130313466171 -224.466301450301</t>
  </si>
  <si>
    <t>-655.327167359463 116.652409228977 -339.121761890743</t>
  </si>
  <si>
    <t>-671.211499058143 107.026986236053 -458.894860010922</t>
  </si>
  <si>
    <t>-676.480245767365 98.4427459504036 -567.951689781763</t>
  </si>
  <si>
    <t>-672.71589013259 89.896988734127 -677.073893532053</t>
  </si>
  <si>
    <t>-658.07777677664 77.9521354332815 -828.213052426202</t>
  </si>
  <si>
    <t>-619.709858139167 61.2234141939637 -921.11647191646</t>
  </si>
  <si>
    <t>-651.972816765867 112.415507582954 -762.426055185026</t>
  </si>
  <si>
    <t>-573.185886559923 235.612314159883 -746.999992143508</t>
  </si>
  <si>
    <t>-489.155387199592 155.972328230663 -452.411256431892</t>
  </si>
  <si>
    <t>-677.136594827142 54.0591777509726 -760.251309139884</t>
  </si>
  <si>
    <t>-588.48206043195 220.74733756829 -241.988349958536</t>
  </si>
  <si>
    <t>-598.80488512951 204.869043386273 213.312560903858</t>
  </si>
  <si>
    <t>-629.081126677978 167.590381896938 680.434943310079</t>
  </si>
  <si>
    <t>-493.404761031919 93.0367821701063 763.964570557596</t>
  </si>
  <si>
    <t>-646.880243463547 33.5594565850072 -206.292084496859</t>
  </si>
  <si>
    <t>-573.814032203045 -3.11673115440954 242.008962009581</t>
  </si>
  <si>
    <t>-762.824679431377 109.251732806354 657.094968867975</t>
  </si>
  <si>
    <t>-680.709498372823 -20.5955002776716 742.770572950278</t>
  </si>
  <si>
    <t>9763-20170724T160612.523820300.bin</t>
  </si>
  <si>
    <t>-617.955269237923 126.902341412507 -224.486319024429</t>
  </si>
  <si>
    <t>-655.539744360642 116.414370993838 -339.138945993534</t>
  </si>
  <si>
    <t>-671.386802044627 106.814898017211 -458.919111665998</t>
  </si>
  <si>
    <t>-676.60370358436 98.2704625631472 -567.981534925976</t>
  </si>
  <si>
    <t>-672.769166361992 89.7820182360792 -677.105757411571</t>
  </si>
  <si>
    <t>-658.01452284113 77.9359707181802 -828.241381370624</t>
  </si>
  <si>
    <t>-619.573110160811 61.2928056955943 -921.129664193154</t>
  </si>
  <si>
    <t>-651.972367707776 112.361489812268 -762.428784161521</t>
  </si>
  <si>
    <t>-573.243681258006 235.572985540318 -746.846607548483</t>
  </si>
  <si>
    <t>-489.151388405637 155.706125349638 -452.336964835689</t>
  </si>
  <si>
    <t>-677.113548719064 53.9935574417802 -760.308304179687</t>
  </si>
  <si>
    <t>-588.68376343618 220.487840727179 -242.043266333093</t>
  </si>
  <si>
    <t>-598.941866245043 204.734422697091 213.263636240929</t>
  </si>
  <si>
    <t>-629.044778695211 167.598383449299 680.408300930858</t>
  </si>
  <si>
    <t>-493.382035450235 93.05146392345 763.966022041405</t>
  </si>
  <si>
    <t>-647.0882012971 33.3846617902088 -206.281161713938</t>
  </si>
  <si>
    <t>-573.930163115057 -3.2977606592533 242.004426947654</t>
  </si>
  <si>
    <t>-762.831678295259 109.310201981885 657.084576659206</t>
  </si>
  <si>
    <t>-680.718227379607 -20.5521732992761 742.738839696169</t>
  </si>
  <si>
    <t>9763-20170724T160612.588994300.bin</t>
  </si>
  <si>
    <t>-618.377020813843 126.616669663496 -224.643175865167</t>
  </si>
  <si>
    <t>-656.030922982299 116.158337614457 -339.275712154779</t>
  </si>
  <si>
    <t>-671.825739732162 106.679908415662 -459.07238759188</t>
  </si>
  <si>
    <t>-676.943776203939 98.2863412122904 -568.151234237296</t>
  </si>
  <si>
    <t>-672.958363464488 89.9927561408451 -677.285119088261</t>
  </si>
  <si>
    <t>-657.939954145148 78.4657928265274 -828.419299872442</t>
  </si>
  <si>
    <t>-619.340858237918 62.0592530706706 -921.284413995726</t>
  </si>
  <si>
    <t>-652.045354535682 112.766154385339 -762.5281149885</t>
  </si>
  <si>
    <t>-573.478149421043 236.029329290748 -746.532983624599</t>
  </si>
  <si>
    <t>-489.347055695788 155.315741159801 -452.265371712431</t>
  </si>
  <si>
    <t>-677.124905286171 54.3660867876465 -760.566128999342</t>
  </si>
  <si>
    <t>-589.083929494851 220.178258936693 -242.265110833262</t>
  </si>
  <si>
    <t>-599.084330227886 204.636245260081 213.054689271533</t>
  </si>
  <si>
    <t>-628.809034589452 167.756464528964 680.197988318167</t>
  </si>
  <si>
    <t>-493.407002009815 92.9456034252489 763.942478596138</t>
  </si>
  <si>
    <t>-647.525305192205 33.153796154211 -206.376690925398</t>
  </si>
  <si>
    <t>-574.305936154133 -3.53378696828577 241.898450167514</t>
  </si>
  <si>
    <t>-762.916200022143 109.375070142397 657.012744696086</t>
  </si>
  <si>
    <t>-680.680704898147 -20.4437969038402 742.615977684143</t>
  </si>
  <si>
    <t>9763-20170724T160612.625110400.bin</t>
  </si>
  <si>
    <t>-618.537539203428 126.430754798403 -224.780317749861</t>
  </si>
  <si>
    <t>-656.217380998918 115.988744883561 -339.405809411911</t>
  </si>
  <si>
    <t>-671.998134222197 106.563364054663 -459.208425450634</t>
  </si>
  <si>
    <t>-677.086299256523 98.2366674280941 -568.293858133506</t>
  </si>
  <si>
    <t>-673.053778390763 90.0309923567845 -677.432512585483</t>
  </si>
  <si>
    <t>-657.951838629423 78.6502770302907 -828.569761293924</t>
  </si>
  <si>
    <t>-619.279647418193 62.3725432295173 -921.42701187719</t>
  </si>
  <si>
    <t>-652.12094373745 112.898334930387 -762.645505721091</t>
  </si>
  <si>
    <t>-573.673156898843 236.226972111807 -746.459151955806</t>
  </si>
  <si>
    <t>-489.470261526145 155.17245794094 -452.305708112484</t>
  </si>
  <si>
    <t>-677.147096357038 54.4733434410398 -760.746722995382</t>
  </si>
  <si>
    <t>-589.193329152583 219.966148795395 -242.391059151616</t>
  </si>
  <si>
    <t>-599.100183407385 204.548977285383 212.934948103449</t>
  </si>
  <si>
    <t>-628.720271580343 167.837639473212 680.13775553853</t>
  </si>
  <si>
    <t>-493.440977864444 92.8700783611953 763.940454284693</t>
  </si>
  <si>
    <t>-647.767316568991 32.9536111403656 -206.500007116488</t>
  </si>
  <si>
    <t>-574.521481430419 -3.64751762219703 241.777841158088</t>
  </si>
  <si>
    <t>-762.943339826169 109.404007499196 656.942381166167</t>
  </si>
  <si>
    <t>-680.688239052909 -20.4043362940611 742.542629472171</t>
  </si>
  <si>
    <t>9763-20170724T160612.692291800.bin</t>
  </si>
  <si>
    <t>-618.750173850578 125.944090026868 -224.939697152475</t>
  </si>
  <si>
    <t>-656.419933641803 115.518233247758 -339.570028507247</t>
  </si>
  <si>
    <t>-672.169526870596 106.179424786231 -459.383666370062</t>
  </si>
  <si>
    <t>-677.220603547745 97.965598853722 -568.479259492659</t>
  </si>
  <si>
    <t>-673.141442159156 89.9114854473489 -677.627642156436</t>
  </si>
  <si>
    <t>-657.964563863835 78.7848598703649 -828.776155917519</t>
  </si>
  <si>
    <t>-619.178057277753 62.7437507931377 -921.626927400716</t>
  </si>
  <si>
    <t>-652.2105848875 112.94089429134 -762.797482846436</t>
  </si>
  <si>
    <t>-573.999846873007 236.381879994998 -746.440399756078</t>
  </si>
  <si>
    <t>-489.789495530302 156.280264471669 -452.028240323888</t>
  </si>
  <si>
    <t>-677.14909440355 54.4752524573887 -760.997659882446</t>
  </si>
  <si>
    <t>-589.32390658495 219.376921116399 -242.501440861654</t>
  </si>
  <si>
    <t>-599.2495359124 204.205447779149 212.832419971711</t>
  </si>
  <si>
    <t>-628.740967063826 167.782004028532 680.152436805979</t>
  </si>
  <si>
    <t>-493.443844363982 92.8053645380107 763.918179111008</t>
  </si>
  <si>
    <t>-648.01715834587 32.5563558293604 -206.703093588156</t>
  </si>
  <si>
    <t>-574.980496540353 -3.89088115507411 241.621436832435</t>
  </si>
  <si>
    <t>-763.036134429345 109.407828195927 656.870999861017</t>
  </si>
  <si>
    <t>-680.681646745327 -20.3308111367237 742.481445619414</t>
  </si>
  <si>
    <t>9763-20170724T160612.721974700.bin</t>
  </si>
  <si>
    <t>-618.865028984106 125.607169959027 -224.993009059051</t>
  </si>
  <si>
    <t>-656.51493472074 115.18790952309 -339.630365343517</t>
  </si>
  <si>
    <t>-672.237881314926 105.890160911265 -459.450701732505</t>
  </si>
  <si>
    <t>-677.262006562708 97.7302700363184 -568.551607807563</t>
  </si>
  <si>
    <t>-673.152868803779 89.7486420545856 -677.704151441897</t>
  </si>
  <si>
    <t>-657.931357989049 78.7432278768119 -828.856939449181</t>
  </si>
  <si>
    <t>-619.092635076969 62.8013917352389 -921.703039746999</t>
  </si>
  <si>
    <t>-652.221641968657 112.856745600341 -762.852589555284</t>
  </si>
  <si>
    <t>-574.104010809045 236.366325001134 -746.444566415901</t>
  </si>
  <si>
    <t>-490.499029247195 156.773039148431 -451.722242392681</t>
  </si>
  <si>
    <t>-334.968111180237 0.808764464457909 -313.420618607179</t>
  </si>
  <si>
    <t>-677.111265611706 54.368704644027 -761.100601175589</t>
  </si>
  <si>
    <t>-589.413013476384 219.012708411917 -242.508068637125</t>
  </si>
  <si>
    <t>-599.341529702645 203.987359717093 212.830634165556</t>
  </si>
  <si>
    <t>-628.802103588487 167.715478027462 680.188926392087</t>
  </si>
  <si>
    <t>-493.428636941057 92.8095423013881 763.89458713414</t>
  </si>
  <si>
    <t>-648.178553238734 32.2400625742455 -206.773365637713</t>
  </si>
  <si>
    <t>-575.24347786403 -4.07496917184676 241.578427988582</t>
  </si>
  <si>
    <t>-763.075357104921 109.410213863001 656.877306313995</t>
  </si>
  <si>
    <t>-680.666947566475 -20.2846727525916 742.502042624854</t>
  </si>
  <si>
    <t>9763-20170724T160612.794168900.bin</t>
  </si>
  <si>
    <t>-619.173929037863 125.089239289105 -224.984966321274</t>
  </si>
  <si>
    <t>-656.869835076315 114.660391585585 -339.606430361546</t>
  </si>
  <si>
    <t>-672.639808184958 105.430179924815 -459.425672623098</t>
  </si>
  <si>
    <t>-677.705433491045 97.3664596283584 -568.531874840964</t>
  </si>
  <si>
    <t>-673.636332648834 89.5176849342276 -677.695426314954</t>
  </si>
  <si>
    <t>-658.467657814723 78.7375649435187 -828.869828660613</t>
  </si>
  <si>
    <t>-619.633689792802 62.9357120015868 -921.741905805071</t>
  </si>
  <si>
    <t>-652.787685169608 112.775010990961 -762.823606592322</t>
  </si>
  <si>
    <t>-574.934517198339 236.432710264225 -746.373181857651</t>
  </si>
  <si>
    <t>-491.580684273157 157.089042712008 -451.512310363227</t>
  </si>
  <si>
    <t>-322.339928985445 31.8907648644674 -298.787080226346</t>
  </si>
  <si>
    <t>-677.570889734558 54.239952831191 -761.136256994068</t>
  </si>
  <si>
    <t>-589.816814000766 218.425510349545 -242.491536708789</t>
  </si>
  <si>
    <t>-599.607925071765 203.589453734449 212.85631531608</t>
  </si>
  <si>
    <t>-628.928342725311 167.548356409215 680.271405635882</t>
  </si>
  <si>
    <t>-493.416010133545 92.7732748941096 763.869293064848</t>
  </si>
  <si>
    <t>-648.38644763207 31.8480979185706 -206.767406693491</t>
  </si>
  <si>
    <t>-575.649274463252 -4.27816086930466 241.631778609684</t>
  </si>
  <si>
    <t>-763.164297858122 109.427977909793 656.971646879285</t>
  </si>
  <si>
    <t>-680.701717529834 -20.2292829409396 742.601242486434</t>
  </si>
  <si>
    <t>9763-20170724T160612.829268100.bin</t>
  </si>
  <si>
    <t>-619.358288532478 124.948608863142 -225.008385610437</t>
  </si>
  <si>
    <t>-657.060660689566 114.499113316677 -339.625759667228</t>
  </si>
  <si>
    <t>-672.848841483135 105.296387517375 -459.444792335337</t>
  </si>
  <si>
    <t>-677.935247369509 97.2760209425949 -568.553281686753</t>
  </si>
  <si>
    <t>-673.890420889976 89.4889609857064 -677.72213443127</t>
  </si>
  <si>
    <t>-658.759327731591 78.8124112555238 -828.907648632452</t>
  </si>
  <si>
    <t>-619.918154545325 63.0797002208826 -921.788385413446</t>
  </si>
  <si>
    <t>-653.076274975166 112.810000535367 -762.841134394987</t>
  </si>
  <si>
    <t>-575.281265745555 236.489906490232 -746.384087955142</t>
  </si>
  <si>
    <t>-492.27658605767 156.166487367508 -451.690041188885</t>
  </si>
  <si>
    <t>-312.376814309593 48.9349399736186 -297.483874673702</t>
  </si>
  <si>
    <t>-677.832499413773 54.2628574739438 -761.184366914051</t>
  </si>
  <si>
    <t>-590.107441581217 218.251706729551 -242.50041404175</t>
  </si>
  <si>
    <t>-599.781787691056 203.490295271688 212.85240979614</t>
  </si>
  <si>
    <t>-628.957162477101 167.492924080633 680.276094973217</t>
  </si>
  <si>
    <t>-493.421489766874 92.7405457401171 763.856446511423</t>
  </si>
  <si>
    <t>-648.453897317054 31.7527678981457 -206.805302752096</t>
  </si>
  <si>
    <t>-575.909127447178 -4.32786438651306 241.628754143204</t>
  </si>
  <si>
    <t>-763.219999568849 109.431900213925 657.043766922059</t>
  </si>
  <si>
    <t>-680.662778183034 -20.1744932273418 742.659146166192</t>
  </si>
  <si>
    <t>9763-20170724T160612.892435600.bin</t>
  </si>
  <si>
    <t>-619.852457419791 124.973258244734 -225.07321470345</t>
  </si>
  <si>
    <t>-657.563004043304 114.491726343988 -339.685000343158</t>
  </si>
  <si>
    <t>-673.344749647654 105.328791055803 -459.507917232384</t>
  </si>
  <si>
    <t>-678.41842279688 97.3769358128886 -568.621945082402</t>
  </si>
  <si>
    <t>-674.353746713361 89.6923452176959 -677.797413996913</t>
  </si>
  <si>
    <t>-659.186828355478 79.19569545328 -828.991992846861</t>
  </si>
  <si>
    <t>-620.297842147508 63.6393637388871 -921.882371576435</t>
  </si>
  <si>
    <t>-653.585673790515 113.142338680328 -762.892294062221</t>
  </si>
  <si>
    <t>-575.956029684553 237.002091895961 -746.703513641258</t>
  </si>
  <si>
    <t>-494.037359064387 151.47463687163 -453.1722196834</t>
  </si>
  <si>
    <t>-290.878358528451 81.8317230437754 -306.480954532737</t>
  </si>
  <si>
    <t>-678.209804640734 54.5378891126384 -761.293846983112</t>
  </si>
  <si>
    <t>-590.706223513453 218.090106522734 -242.576712098921</t>
  </si>
  <si>
    <t>-600.131711270718 203.435497536412 212.784846437417</t>
  </si>
  <si>
    <t>-628.940852675352 167.427587268724 680.232241417095</t>
  </si>
  <si>
    <t>-493.429159257622 92.6721905250306 763.848784346741</t>
  </si>
  <si>
    <t>-648.866233057641 31.9252843338002 -206.90806270752</t>
  </si>
  <si>
    <t>-576.648767423553 -4.06297992890336 241.586247826288</t>
  </si>
  <si>
    <t>-763.423974002127 109.463117225651 657.315524968071</t>
  </si>
  <si>
    <t>-680.662593721206 -20.0990783224654 742.80061335771</t>
  </si>
  <si>
    <t>9763-20170724T160612.923523400.bin</t>
  </si>
  <si>
    <t>-620.108477229132 124.98399256688 -225.172111295664</t>
  </si>
  <si>
    <t>-657.813701626115 114.494455299982 -339.784926018361</t>
  </si>
  <si>
    <t>-673.56287213708 105.304175459982 -459.610146338641</t>
  </si>
  <si>
    <t>-678.596442326065 97.3266144677077 -568.724092683325</t>
  </si>
  <si>
    <t>-674.481460329245 89.6192830004777 -677.895999191082</t>
  </si>
  <si>
    <t>-659.234172776337 79.0980298115458 -829.080811962462</t>
  </si>
  <si>
    <t>-620.280733689078 63.6393512157085 -921.960431937427</t>
  </si>
  <si>
    <t>-653.718746379896 113.076494634856 -762.990257306275</t>
  </si>
  <si>
    <t>-576.320749566334 237.066707602336 -747.034331900397</t>
  </si>
  <si>
    <t>-493.085170418132 149.734716678772 -454.406331697784</t>
  </si>
  <si>
    <t>-286.269305363001 89.7376197393942 -308.565336227163</t>
  </si>
  <si>
    <t>-678.242573004782 54.4301381199978 -761.382196129648</t>
  </si>
  <si>
    <t>-590.949273089286 218.02018070354 -242.69205344161</t>
  </si>
  <si>
    <t>-600.176153221329 203.372424313593 212.673760812815</t>
  </si>
  <si>
    <t>-628.844341671763 167.509561874886 680.129504791402</t>
  </si>
  <si>
    <t>-493.466818440849 92.6167527622163 763.840323670092</t>
  </si>
  <si>
    <t>-649.133611305038 32.0310028021836 -207.024886912134</t>
  </si>
  <si>
    <t>-577.261957265279 -3.89334847900295 241.530102244784</t>
  </si>
  <si>
    <t>-763.583315021738 109.479489860438 657.527958109603</t>
  </si>
  <si>
    <t>-680.640979049601 -20.0490582023547 742.888554682683</t>
  </si>
  <si>
    <t>9763-20170724T160612.989698800.bin</t>
  </si>
  <si>
    <t>-620.523751440013 124.76382628452 -225.538562665323</t>
  </si>
  <si>
    <t>-658.168987966461 114.284032374485 -340.172038543581</t>
  </si>
  <si>
    <t>-673.870804064474 104.966808406117 -459.993615297333</t>
  </si>
  <si>
    <t>-678.869118141009 96.8264393857389 -569.097243842977</t>
  </si>
  <si>
    <t>-674.72757597818 88.9127545750239 -678.253311497151</t>
  </si>
  <si>
    <t>-659.453580170115 78.0631273545932 -829.412225288144</t>
  </si>
  <si>
    <t>-620.443944348698 62.6334817660668 -922.273135973236</t>
  </si>
  <si>
    <t>-654.001677903889 112.20646075249 -763.401549507584</t>
  </si>
  <si>
    <t>-576.33693735553 236.173190003208 -748.257834800809</t>
  </si>
  <si>
    <t>-493.797014767736 144.770764131624 -456.677631288607</t>
  </si>
  <si>
    <t>-285.902384918278 92.7064277194017 -309.330570638835</t>
  </si>
  <si>
    <t>-678.42208026177 53.5209730806055 -761.656738250976</t>
  </si>
  <si>
    <t>-591.265682385645 217.653517255773 -243.029487233342</t>
  </si>
  <si>
    <t>-600.191978860971 203.014109596 212.342419981514</t>
  </si>
  <si>
    <t>-628.643558695143 167.488453472603 679.874793214815</t>
  </si>
  <si>
    <t>-493.441748441073 92.5507826057792 763.829137839899</t>
  </si>
  <si>
    <t>-649.69289302466 31.8455991201845 -207.455148749211</t>
  </si>
  <si>
    <t>-578.973435412485 -3.51656364358291 241.327609113553</t>
  </si>
  <si>
    <t>-764.025952237791 109.467236781209 658.041306845541</t>
  </si>
  <si>
    <t>-680.687433655622 -19.9915442777763 743.121437351889</t>
  </si>
  <si>
    <t>9763-20170724T160613.027356200.bin</t>
  </si>
  <si>
    <t>-620.792763994295 124.495024863905 -225.741121666968</t>
  </si>
  <si>
    <t>-658.410273800492 114.104662631655 -340.391739352807</t>
  </si>
  <si>
    <t>-674.112162074011 104.736442754536 -460.209380676435</t>
  </si>
  <si>
    <t>-679.123885356295 96.4953184696146 -569.304705041913</t>
  </si>
  <si>
    <t>-675.010107329573 88.4276923334496 -678.450668529993</t>
  </si>
  <si>
    <t>-659.790101648321 77.3104399682311 -829.595542118621</t>
  </si>
  <si>
    <t>-620.796200049503 61.8033646813014 -922.450225165291</t>
  </si>
  <si>
    <t>-654.322705138589 111.573870529031 -763.648330531069</t>
  </si>
  <si>
    <t>-576.558982249838 235.527991095347 -749.002600400509</t>
  </si>
  <si>
    <t>-493.968579424215 143.952972404211 -457.490934674794</t>
  </si>
  <si>
    <t>-290.659019028916 86.747222577279 -305.719015968134</t>
  </si>
  <si>
    <t>-678.726428452657 52.8848877105518 -761.788922105633</t>
  </si>
  <si>
    <t>-591.448026737641 217.447603761556 -243.184927239584</t>
  </si>
  <si>
    <t>-600.173624202617 202.76895815076 212.189721982784</t>
  </si>
  <si>
    <t>-628.551086658072 167.570319275765 679.775377086877</t>
  </si>
  <si>
    <t>-493.513356321205 92.4607472397799 763.84003674337</t>
  </si>
  <si>
    <t>-650.020959503583 31.6046230397665 -207.714665041691</t>
  </si>
  <si>
    <t>-579.880032900958 -3.45343581423253 241.182722277156</t>
  </si>
  <si>
    <t>-764.228591828892 109.406408323608 658.256297599995</t>
  </si>
  <si>
    <t>-680.703792912446 -19.9782135417747 743.266559861408</t>
  </si>
  <si>
    <t>9763-20170724T160613.094533700.bin</t>
  </si>
  <si>
    <t>-621.195009111759 124.052428969598 -226.165949238818</t>
  </si>
  <si>
    <t>-658.7382932423 113.793770189846 -340.852859924728</t>
  </si>
  <si>
    <t>-674.571802435266 104.311189386073 -460.644050023882</t>
  </si>
  <si>
    <t>-679.79043063467 95.8683960746923 -569.714392411182</t>
  </si>
  <si>
    <t>-675.972480562036 87.501703610136 -678.848582764071</t>
  </si>
  <si>
    <t>-661.255571698976 75.8688813100584 -830.004465753918</t>
  </si>
  <si>
    <t>-622.447644631591 59.97173924044 -922.871107484191</t>
  </si>
  <si>
    <t>-655.575501736593 110.359953184614 -764.193890063463</t>
  </si>
  <si>
    <t>-577.851456843408 234.413868964416 -750.262258950282</t>
  </si>
  <si>
    <t>-493.957638141026 143.169786495674 -459.019255528996</t>
  </si>
  <si>
    <t>-300.803683757659 67.88930519159 -301.96363891901</t>
  </si>
  <si>
    <t>-679.959124590408 51.6722165906235 -762.051387588803</t>
  </si>
  <si>
    <t>-591.823694915516 216.951698018711 -243.462275949203</t>
  </si>
  <si>
    <t>-600.088530683646 202.204883523571 211.918769157875</t>
  </si>
  <si>
    <t>-628.354403671933 167.6079478502 679.539664583643</t>
  </si>
  <si>
    <t>-493.548566416768 92.4017587870733 763.889643765487</t>
  </si>
  <si>
    <t>-650.44334589767 31.2217567827061 -208.209462586168</t>
  </si>
  <si>
    <t>-581.41795784805 -3.68055897817931 240.872896483093</t>
  </si>
  <si>
    <t>-764.485313184194 109.275573473293 658.514214176363</t>
  </si>
  <si>
    <t>-680.700571929549 -19.9482554001813 743.513251177803</t>
  </si>
  <si>
    <t>9763-20170724T160613.124626100.bin</t>
  </si>
  <si>
    <t>-621.314807009979 123.781072296776 -226.326620044858</t>
  </si>
  <si>
    <t>-658.854801075084 113.574452313371 -341.019131325616</t>
  </si>
  <si>
    <t>-674.714084093011 104.049286591262 -460.803616166439</t>
  </si>
  <si>
    <t>-679.969103477928 95.5276309858966 -569.865996687742</t>
  </si>
  <si>
    <t>-676.200983357651 87.0408987542846 -678.992705256392</t>
  </si>
  <si>
    <t>-661.567739266525 75.1974147572882 -830.140399893806</t>
  </si>
  <si>
    <t>-622.825483913311 59.0949468381712 -922.999001347693</t>
  </si>
  <si>
    <t>-655.841061679807 109.77598487847 -764.37977329258</t>
  </si>
  <si>
    <t>-578.183074221061 233.871402840254 -750.608614983164</t>
  </si>
  <si>
    <t>-492.791099967419 144.3884455416 -459.25458980344</t>
  </si>
  <si>
    <t>-304.060196542188 60.7794382402883 -301.038861646855</t>
  </si>
  <si>
    <t>-680.243933658853 51.0995882300165 -762.144628263862</t>
  </si>
  <si>
    <t>-591.931887489375 216.710558017992 -243.609000556541</t>
  </si>
  <si>
    <t>-599.978211806467 201.909905297249 211.774154028658</t>
  </si>
  <si>
    <t>-628.21240662628 167.613629026952 679.364312356193</t>
  </si>
  <si>
    <t>-493.53577765496 92.4152274887877 763.927408613052</t>
  </si>
  <si>
    <t>-650.562051215825 30.9053519960094 -208.388559740673</t>
  </si>
  <si>
    <t>-581.953467533396 -3.83578514822261 240.770223334755</t>
  </si>
  <si>
    <t>-764.582212785199 109.241853190461 658.614091122545</t>
  </si>
  <si>
    <t>-680.699242018131 -19.924804495744 743.603149367057</t>
  </si>
  <si>
    <t>9763-20170724T160613.188797500.bin</t>
  </si>
  <si>
    <t>-621.20447328916 123.3447766029 -226.582636111004</t>
  </si>
  <si>
    <t>-658.809376084243 113.162847131496 -341.256132345151</t>
  </si>
  <si>
    <t>-674.68607040076 103.459520263828 -461.023930094177</t>
  </si>
  <si>
    <t>-679.938987401121 94.7011449599231 -570.067776206242</t>
  </si>
  <si>
    <t>-676.151901971495 85.906474934887 -679.169425036238</t>
  </si>
  <si>
    <t>-661.47581661547 73.5649682299472 -830.27298118308</t>
  </si>
  <si>
    <t>-622.867519837316 57.0699451985774 -923.118662648751</t>
  </si>
  <si>
    <t>-655.800318835182 108.373316180883 -764.629437550643</t>
  </si>
  <si>
    <t>-578.392759900452 232.662928203613 -751.186968649116</t>
  </si>
  <si>
    <t>-491.414462277539 146.391689536601 -459.333880273792</t>
  </si>
  <si>
    <t>-307.803816156197 52.5726476615732 -300.8184005652</t>
  </si>
  <si>
    <t>-680.138766623825 49.6780597439044 -762.199249406725</t>
  </si>
  <si>
    <t>-591.671514160478 216.30180719639 -243.943751780314</t>
  </si>
  <si>
    <t>-599.371910164311 201.451138159797 211.443747775093</t>
  </si>
  <si>
    <t>-627.834387242135 167.743576881002 678.996698457804</t>
  </si>
  <si>
    <t>-493.560632744198 92.3764338193796 764.048849050535</t>
  </si>
  <si>
    <t>-650.571516172563 30.4050448715584 -208.557882066053</t>
  </si>
  <si>
    <t>-582.517313191787 -3.84815115430024 240.722661200219</t>
  </si>
  <si>
    <t>-764.786102623733 109.259528069681 658.768210896981</t>
  </si>
  <si>
    <t>-680.704986606105 -19.8623968786949 743.629344077477</t>
  </si>
  <si>
    <t>9763-20170724T160613.227921500.bin</t>
  </si>
  <si>
    <t>-620.908515424912 123.353516535297 -226.712623056244</t>
  </si>
  <si>
    <t>-658.579038100129 113.174229275444 -341.364769519972</t>
  </si>
  <si>
    <t>-674.483716974518 103.407195642142 -461.123680776222</t>
  </si>
  <si>
    <t>-679.746473970719 94.5690504983309 -570.160592812628</t>
  </si>
  <si>
    <t>-675.95377318435 85.6755541769323 -679.254038412401</t>
  </si>
  <si>
    <t>-661.254128696475 73.1795159901988 -830.342549384582</t>
  </si>
  <si>
    <t>-622.673222620451 56.5573685721215 -923.176961676119</t>
  </si>
  <si>
    <t>-655.616642053978 108.066291860678 -764.737346125425</t>
  </si>
  <si>
    <t>-578.278061545489 232.38449849342 -751.290232656413</t>
  </si>
  <si>
    <t>-490.906115283858 147.463994131671 -459.15862749943</t>
  </si>
  <si>
    <t>-310.968979296242 47.1927220971454 -300.380976213662</t>
  </si>
  <si>
    <t>-679.899912915791 49.3509304976742 -762.243839180259</t>
  </si>
  <si>
    <t>-591.381014388569 216.283057574706 -244.104338574045</t>
  </si>
  <si>
    <t>-598.896403088564 201.26364905206 211.280754580137</t>
  </si>
  <si>
    <t>-627.698403001367 167.717164347502 678.856588717045</t>
  </si>
  <si>
    <t>-493.51788179134 92.4151759944784 764.1133265378</t>
  </si>
  <si>
    <t>-650.250208375607 30.5745150959358 -208.614910274131</t>
  </si>
  <si>
    <t>-582.58960939474 -3.97590437892609 240.702342650525</t>
  </si>
  <si>
    <t>-764.846986296853 109.264806870505 658.749224842206</t>
  </si>
  <si>
    <t>-680.691931674223 -19.8345430751017 743.571324967195</t>
  </si>
  <si>
    <t>9763-20170724T160613.292085500.bin</t>
  </si>
  <si>
    <t>-620.269292381438 123.433944552403 -226.79245385585</t>
  </si>
  <si>
    <t>-658.073090219309 113.224596841728 -341.397973371991</t>
  </si>
  <si>
    <t>-674.020415726605 103.463536630766 -461.151874838832</t>
  </si>
  <si>
    <t>-679.282551470039 94.6488164717728 -570.190602250497</t>
  </si>
  <si>
    <t>-675.449550501389 85.7985912409438 -679.286145837833</t>
  </si>
  <si>
    <t>-660.652516175039 73.3851375811118 -830.372134147527</t>
  </si>
  <si>
    <t>-622.047088966943 56.6568294648996 -923.177076528272</t>
  </si>
  <si>
    <t>-655.102145161699 108.254380757953 -764.750141094305</t>
  </si>
  <si>
    <t>-577.58240703351 232.462925581184 -751.020776722931</t>
  </si>
  <si>
    <t>-490.407752303797 147.409692306743 -458.868774287883</t>
  </si>
  <si>
    <t>-313.785755976824 40.5523419375174 -300.665739237787</t>
  </si>
  <si>
    <t>-679.297320851568 49.5010615495987 -762.292385596764</t>
  </si>
  <si>
    <t>-590.807664265684 216.24426072036 -244.245240347118</t>
  </si>
  <si>
    <t>-597.921322987016 200.937868602761 211.136853246793</t>
  </si>
  <si>
    <t>-627.573923145743 167.565071522456 678.702355014315</t>
  </si>
  <si>
    <t>-493.499311211621 92.3808752072541 764.229239641925</t>
  </si>
  <si>
    <t>-649.59695096459 30.6607473805748 -208.587487200957</t>
  </si>
  <si>
    <t>-582.036304193265 -4.23410376890115 240.718146765589</t>
  </si>
  <si>
    <t>-764.748896001684 109.350169819118 658.523451341988</t>
  </si>
  <si>
    <t>-680.64753844911 -19.776959044706 743.356528784023</t>
  </si>
  <si>
    <t>9763-20170724T160613.324710300.bin</t>
  </si>
  <si>
    <t>-619.974157370941 123.529336979148 -226.771190072627</t>
  </si>
  <si>
    <t>-657.856479038278 113.290329730055 -341.348255669766</t>
  </si>
  <si>
    <t>-673.867331945394 103.549453910211 -461.095176287478</t>
  </si>
  <si>
    <t>-679.179271639809 94.771230541993 -570.134398385579</t>
  </si>
  <si>
    <t>-675.387593905415 85.9746471333556 -679.235794428694</t>
  </si>
  <si>
    <t>-660.639202145147 73.6518217395717 -830.333902692573</t>
  </si>
  <si>
    <t>-622.041651953547 56.8860159646104 -923.135455169402</t>
  </si>
  <si>
    <t>-655.075177563952 108.484681798566 -764.693660087476</t>
  </si>
  <si>
    <t>-577.564638063985 232.643145147674 -750.619300456185</t>
  </si>
  <si>
    <t>-489.410782838223 147.451077084469 -458.801866811184</t>
  </si>
  <si>
    <t>-315.481175095747 35.6886488908074 -301.005445184659</t>
  </si>
  <si>
    <t>-679.254654703661 49.7238741812555 -762.261561827506</t>
  </si>
  <si>
    <t>-590.633436697337 216.370384815259 -244.25831705469</t>
  </si>
  <si>
    <t>-597.640535544149 200.934351973235 211.120896447151</t>
  </si>
  <si>
    <t>-627.492405931779 167.626019226091 678.632995447381</t>
  </si>
  <si>
    <t>-493.596759541374 92.28018280783 764.297875331201</t>
  </si>
  <si>
    <t>-649.19396325521 30.7506112927097 -208.541449975667</t>
  </si>
  <si>
    <t>-581.472875640886 -4.13164066949435 240.741042672783</t>
  </si>
  <si>
    <t>-764.645415582037 109.421504375665 658.357609093471</t>
  </si>
  <si>
    <t>-680.623223525038 -19.7482831373707 743.204253385951</t>
  </si>
  <si>
    <t>9763-20170724T160613.392894900.bin</t>
  </si>
  <si>
    <t>-619.368341616141 123.591999096352 -226.746848751022</t>
  </si>
  <si>
    <t>-657.268096182967 113.260209265045 -341.309799505298</t>
  </si>
  <si>
    <t>-673.303211098194 103.560138528496 -461.056868490416</t>
  </si>
  <si>
    <t>-678.637762744992 94.8605513775221 -570.101374313802</t>
  </si>
  <si>
    <t>-674.869093195741 86.1758127687406 -679.21251636638</t>
  </si>
  <si>
    <t>-660.151890781898 74.0365145948163 -830.328432478266</t>
  </si>
  <si>
    <t>-621.615711564274 57.1630941967392 -923.135965332772</t>
  </si>
  <si>
    <t>-654.496827417429 108.758138547602 -764.63721720724</t>
  </si>
  <si>
    <t>-576.542448251244 232.581939490294 -749.875230154304</t>
  </si>
  <si>
    <t>-487.190160516984 144.873077538877 -459.170118476838</t>
  </si>
  <si>
    <t>-315.889392449226 28.7390373329504 -301.655167756057</t>
  </si>
  <si>
    <t>-678.830748254169 50.0574374491548 -762.291481510872</t>
  </si>
  <si>
    <t>-590.198467312416 216.510162934831 -244.267642487315</t>
  </si>
  <si>
    <t>-597.285925277463 200.914046210138 211.104969215715</t>
  </si>
  <si>
    <t>-627.476951377353 167.363324732096 678.594913707153</t>
  </si>
  <si>
    <t>-493.50610388134 92.3370503309595 764.422550729667</t>
  </si>
  <si>
    <t>-648.410673744018 30.7309167437325 -208.504621790896</t>
  </si>
  <si>
    <t>-580.27448046772 -4.07824128438779 240.720773145561</t>
  </si>
  <si>
    <t>-764.368501939835 109.552763838834 657.920454636958</t>
  </si>
  <si>
    <t>-680.545870238088 -19.6782506689542 742.871192596579</t>
  </si>
  <si>
    <t>9763-20170724T160613.425491600.bin</t>
  </si>
  <si>
    <t>-619.011699999064 123.746962748562 -226.704874375491</t>
  </si>
  <si>
    <t>-656.922075602737 113.393772560063 -341.262349781023</t>
  </si>
  <si>
    <t>-672.966776629764 103.725525059947 -461.010715947154</t>
  </si>
  <si>
    <t>-678.308809142529 95.06642276874 -570.058147956144</t>
  </si>
  <si>
    <t>-674.545735753898 86.4285102487181 -679.173047759786</t>
  </si>
  <si>
    <t>-659.834925186007 74.3547388828256 -830.294860881557</t>
  </si>
  <si>
    <t>-621.35385459373 57.3773355831643 -923.106360152039</t>
  </si>
  <si>
    <t>-654.10467196825 109.018178988442 -764.579316672084</t>
  </si>
  <si>
    <t>-575.841444799723 232.592652439263 -749.514382741534</t>
  </si>
  <si>
    <t>-485.71418707224 143.569031003258 -459.448759870345</t>
  </si>
  <si>
    <t>-315.957731870942 25.5836332924844 -301.637939643305</t>
  </si>
  <si>
    <t>-678.583294484825 50.3758859613115 -762.276990356429</t>
  </si>
  <si>
    <t>-589.909976136042 216.652443402598 -244.226703667301</t>
  </si>
  <si>
    <t>-597.099037867841 201.021834462723 211.143213847026</t>
  </si>
  <si>
    <t>-627.500327589872 167.259828735209 678.604625788479</t>
  </si>
  <si>
    <t>-493.568015544048 92.2204412882004 764.480925290854</t>
  </si>
  <si>
    <t>-647.959002808014 30.9346682571413 -208.47693348735</t>
  </si>
  <si>
    <t>-579.773477386279 -4.05250483795271 240.727196985606</t>
  </si>
  <si>
    <t>-764.240218134771 109.617145871008 657.720498876164</t>
  </si>
  <si>
    <t>-680.515984335861 -19.6467893240615 742.718127629798</t>
  </si>
  <si>
    <t>9763-20170724T160613.497693500.bin</t>
  </si>
  <si>
    <t>-618.219711414756 123.929523869759 -226.674020751962</t>
  </si>
  <si>
    <t>-656.041470876832 113.621968914256 -341.264969069408</t>
  </si>
  <si>
    <t>-672.034191431304 104.050879427737 -461.028030983214</t>
  </si>
  <si>
    <t>-677.344724555624 95.4829666681901 -570.084165767549</t>
  </si>
  <si>
    <t>-673.565830082846 86.9295795843977 -679.205225105069</t>
  </si>
  <si>
    <t>-658.849199427736 74.9575311007218 -830.334612121439</t>
  </si>
  <si>
    <t>-620.492293680959 57.6648763681249 -923.13933057133</t>
  </si>
  <si>
    <t>-652.930348160128 109.497017343148 -764.570582834325</t>
  </si>
  <si>
    <t>-573.790973511201 232.459910279817 -748.934741894739</t>
  </si>
  <si>
    <t>-483.019976611577 141.699441332916 -459.6090572138</t>
  </si>
  <si>
    <t>-312.567380997484 26.5272962032057 -300.476015196178</t>
  </si>
  <si>
    <t>-677.791344155742 51.0125824035647 -762.358571112577</t>
  </si>
  <si>
    <t>-589.006852326859 216.768130468537 -244.141592054761</t>
  </si>
  <si>
    <t>-596.689414896868 201.11668506733 211.21938168282</t>
  </si>
  <si>
    <t>-627.570480573032 167.100935732524 678.648648923861</t>
  </si>
  <si>
    <t>-493.623916431871 92.1112793924635 764.546194980062</t>
  </si>
  <si>
    <t>-647.323463531126 31.0643962046806 -208.520207290132</t>
  </si>
  <si>
    <t>-579.004268155708 -3.87504004956395 240.66727402916</t>
  </si>
  <si>
    <t>-764.053589419306 109.718963356117 657.408727104977</t>
  </si>
  <si>
    <t>-680.481873870162 -19.5888238844507 742.489748970406</t>
  </si>
  <si>
    <t>9763-20170724T160613.525771400.bin</t>
  </si>
  <si>
    <t>-617.854480495065 124.004712800067 -226.658683969293</t>
  </si>
  <si>
    <t>-655.597645384812 113.73942969481 -341.27931293072</t>
  </si>
  <si>
    <t>-671.526432330476 104.187297544842 -461.05240250323</t>
  </si>
  <si>
    <t>-676.786129693715 95.6230834422558 -570.111381356708</t>
  </si>
  <si>
    <t>-672.964137569242 87.0575369350122 -679.229984359881</t>
  </si>
  <si>
    <t>-658.196308517578 75.0498078936469 -830.351614471714</t>
  </si>
  <si>
    <t>-619.878648625536 57.5359330856991 -923.130867386767</t>
  </si>
  <si>
    <t>-652.20271210755 109.563970923125 -764.580903907363</t>
  </si>
  <si>
    <t>-572.628285448071 232.209504656766 -748.793315274977</t>
  </si>
  <si>
    <t>-482.110987536176 141.47321453904 -459.380549133628</t>
  </si>
  <si>
    <t>-310.592854861924 28.6018593711408 -299.744662925151</t>
  </si>
  <si>
    <t>-677.258483636515 51.1617775497484 -762.388896719035</t>
  </si>
  <si>
    <t>-588.441265349984 216.759374435108 -244.11043613056</t>
  </si>
  <si>
    <t>-596.421039054265 201.161720554256 211.247391615151</t>
  </si>
  <si>
    <t>-627.59111810542 167.082422944653 678.655801228854</t>
  </si>
  <si>
    <t>-493.646887914786 92.0779779550924 764.544038278885</t>
  </si>
  <si>
    <t>-647.169400792803 31.2670289812909 -208.522290108956</t>
  </si>
  <si>
    <t>-578.839055646373 -3.92679695694846 240.643643243501</t>
  </si>
  <si>
    <t>-763.96797165993 109.777840320245 657.302292096596</t>
  </si>
  <si>
    <t>-680.470619040058 -19.5679284240528 742.398610990421</t>
  </si>
  <si>
    <t>9763-20170724T160613.592950300.bin</t>
  </si>
  <si>
    <t>-617.175723450005 124.151529275565 -226.668819084066</t>
  </si>
  <si>
    <t>-654.88968123453 114.150640285816 -341.322397829431</t>
  </si>
  <si>
    <t>-670.785863838836 104.676100715165 -461.105973935177</t>
  </si>
  <si>
    <t>-676.018058964203 96.1051084571639 -570.165626134128</t>
  </si>
  <si>
    <t>-672.17146609415 87.457299847835 -679.276971490987</t>
  </si>
  <si>
    <t>-657.37416368904 75.2568385021557 -830.380264715031</t>
  </si>
  <si>
    <t>-619.092746735924 57.2361657033987 -923.07733552478</t>
  </si>
  <si>
    <t>-651.248743049837 109.792994616922 -764.63326885188</t>
  </si>
  <si>
    <t>-571.013867918052 231.996421154936 -748.683612600325</t>
  </si>
  <si>
    <t>-480.654078654908 141.825948433817 -459.044812104456</t>
  </si>
  <si>
    <t>-304.810473883545 35.8427138651184 -299.393202094417</t>
  </si>
  <si>
    <t>-676.594306339459 51.5172958050312 -762.410031762988</t>
  </si>
  <si>
    <t>-587.263843838138 216.818722177986 -244.037810133027</t>
  </si>
  <si>
    <t>-595.755288580538 201.077414557433 211.305848854451</t>
  </si>
  <si>
    <t>-627.648426156519 166.931234640431 678.666587981316</t>
  </si>
  <si>
    <t>-493.748927319497 91.8439812785189 764.552220351437</t>
  </si>
  <si>
    <t>-646.959498195585 31.5573134126753 -208.644352710375</t>
  </si>
  <si>
    <t>-578.929326736174 -4.02012082698684 240.536913476774</t>
  </si>
  <si>
    <t>-763.961899229347 109.815620653618 657.204771947776</t>
  </si>
  <si>
    <t>-680.479973602388 -19.5296202146365 742.316969838606</t>
  </si>
  <si>
    <t>9763-20170724T160613.623037300.bin</t>
  </si>
  <si>
    <t>-616.903278397944 124.271650108458 -226.670641643181</t>
  </si>
  <si>
    <t>-654.567379648847 114.386584543527 -341.350538251019</t>
  </si>
  <si>
    <t>-670.423181335954 104.90542252895 -461.139029132404</t>
  </si>
  <si>
    <t>-675.62487997012 96.2788485087094 -570.195824276572</t>
  </si>
  <si>
    <t>-671.7551101545 87.5261896267843 -679.297966816193</t>
  </si>
  <si>
    <t>-656.933789587273 75.1296019193783 -830.382771859268</t>
  </si>
  <si>
    <t>-618.631279498474 56.802971500739 -923.011409129712</t>
  </si>
  <si>
    <t>-650.741623003123 109.717870346104 -764.669559187632</t>
  </si>
  <si>
    <t>-570.191387703504 231.71561084739 -748.769519825816</t>
  </si>
  <si>
    <t>-480.097719110088 141.412790143209 -459.089110392061</t>
  </si>
  <si>
    <t>-303.259302335511 36.6961234207424 -299.700748228532</t>
  </si>
  <si>
    <t>-676.2418633336 51.511594864387 -762.395205786524</t>
  </si>
  <si>
    <t>-586.704492177984 216.836328860855 -244.015999128073</t>
  </si>
  <si>
    <t>-595.419364307641 200.993765641556 211.319856027136</t>
  </si>
  <si>
    <t>-627.638994686386 166.888619210949 678.642358529953</t>
  </si>
  <si>
    <t>-493.738892274018 91.8321874459939 764.553984605687</t>
  </si>
  <si>
    <t>-646.947728855332 31.7676101945374 -208.663337696167</t>
  </si>
  <si>
    <t>-579.049063812175 -4.25659708971784 240.502151990093</t>
  </si>
  <si>
    <t>-763.966309041514 109.82733032058 657.155477534911</t>
  </si>
  <si>
    <t>-680.500421553481 -19.5223348448308 742.276690345342</t>
  </si>
  <si>
    <t>9763-20170724T160613.694230800.bin</t>
  </si>
  <si>
    <t>-616.353848420409 124.722598646113 -226.631999654023</t>
  </si>
  <si>
    <t>-653.934725965841 115.000928224614 -341.353309317734</t>
  </si>
  <si>
    <t>-669.753450021506 105.429363726448 -461.139422685492</t>
  </si>
  <si>
    <t>-674.944925420653 96.611625532011 -570.181400735936</t>
  </si>
  <si>
    <t>-671.090345548513 87.5558068146336 -679.25923942559</t>
  </si>
  <si>
    <t>-656.318397236254 74.6187976695815 -830.303712719107</t>
  </si>
  <si>
    <t>-618.02503332566 55.5707391538053 -922.790282690515</t>
  </si>
  <si>
    <t>-649.889601817809 109.347874833828 -764.687488346321</t>
  </si>
  <si>
    <t>-568.514996518988 230.82377982697 -749.012689503696</t>
  </si>
  <si>
    <t>-478.873526869408 140.881309870204 -459.080058488746</t>
  </si>
  <si>
    <t>-300.759807190634 37.1867724979429 -300.445303310983</t>
  </si>
  <si>
    <t>-675.819490115841 51.3381203408912 -762.254835926543</t>
  </si>
  <si>
    <t>-585.625622111826 217.137954440762 -243.983598013366</t>
  </si>
  <si>
    <t>-594.89357374993 201.274363225301 211.340634802096</t>
  </si>
  <si>
    <t>-627.555761512819 166.939449651585 678.574369617824</t>
  </si>
  <si>
    <t>-493.801698685107 91.7275074873451 764.577399767202</t>
  </si>
  <si>
    <t>-646.920154358745 32.3791793088276 -208.592421255281</t>
  </si>
  <si>
    <t>-579.086793561257 -4.59712424852705 240.505674322291</t>
  </si>
  <si>
    <t>-764.045838276039 109.836594905044 657.06275955586</t>
  </si>
  <si>
    <t>-680.516557068101 -19.4892655763051 742.15794259673</t>
  </si>
  <si>
    <t>9763-20170724T160613.725167700.bin</t>
  </si>
  <si>
    <t>-616.095703136526 125.017328755759 -226.620052145143</t>
  </si>
  <si>
    <t>-653.583427413545 115.329395822285 -341.374580627864</t>
  </si>
  <si>
    <t>-669.353348407307 105.665671940335 -461.159782938218</t>
  </si>
  <si>
    <t>-674.5216351663 96.7108018487838 -570.191648333232</t>
  </si>
  <si>
    <t>-670.666030117481 87.4629783532446 -679.253350555936</t>
  </si>
  <si>
    <t>-655.916914790619 74.2006267223403 -830.27185613711</t>
  </si>
  <si>
    <t>-617.657332708077 54.7620077057943 -922.691141367672</t>
  </si>
  <si>
    <t>-649.380826954859 109.02790737482 -764.718225886551</t>
  </si>
  <si>
    <t>-567.635423097656 230.246752800041 -749.139667062969</t>
  </si>
  <si>
    <t>-477.982676937708 140.828943270612 -459.048207123957</t>
  </si>
  <si>
    <t>-299.517036624227 37.6839165706299 -300.450770903355</t>
  </si>
  <si>
    <t>-675.504943686361 51.1098308297558 -762.183401958856</t>
  </si>
  <si>
    <t>-585.126783757722 217.364203161414 -243.986025457598</t>
  </si>
  <si>
    <t>-594.721809068583 201.479609290583 211.330599858407</t>
  </si>
  <si>
    <t>-627.524006180587 166.995844420018 678.553204842421</t>
  </si>
  <si>
    <t>-493.845573849838 91.6764131960674 764.579796473376</t>
  </si>
  <si>
    <t>-646.92218299633 32.7382054718109 -208.588469240403</t>
  </si>
  <si>
    <t>-579.068280216125 -4.63197285940328 240.473866687955</t>
  </si>
  <si>
    <t>-764.052268827009 109.870781679804 657.009214693547</t>
  </si>
  <si>
    <t>-680.512411757416 -19.459061466197 742.088043318182</t>
  </si>
  <si>
    <t>9763-20170724T160613.793349100.bin</t>
  </si>
  <si>
    <t>-615.566127888579 125.640700084607 -226.656401581221</t>
  </si>
  <si>
    <t>-652.97533162897 116.02872860034 -341.442957822853</t>
  </si>
  <si>
    <t>-668.755843348336 106.230426293734 -461.215829848476</t>
  </si>
  <si>
    <t>-673.974292180113 97.0604691633325 -570.227496142038</t>
  </si>
  <si>
    <t>-670.211259533871 87.5002411114997 -679.265508149431</t>
  </si>
  <si>
    <t>-655.636017709924 73.699132370487 -830.252567793924</t>
  </si>
  <si>
    <t>-617.529205587356 53.4018290790409 -922.55025118193</t>
  </si>
  <si>
    <t>-648.863278111697 108.68767014715 -764.809132674142</t>
  </si>
  <si>
    <t>-566.453502258017 229.517477313509 -749.490486407942</t>
  </si>
  <si>
    <t>-476.938900744954 140.533415414304 -459.223104705775</t>
  </si>
  <si>
    <t>-297.674422560992 39.0931263804898 -300.427132804986</t>
  </si>
  <si>
    <t>-675.306948312462 50.9237136656723 -762.081800711145</t>
  </si>
  <si>
    <t>-584.299772738954 217.958991645003 -244.017713980255</t>
  </si>
  <si>
    <t>-594.255307116819 201.8041044981 211.281696885927</t>
  </si>
  <si>
    <t>-627.439910974877 167.041666840837 678.458695481884</t>
  </si>
  <si>
    <t>-493.849971378492 91.6481808711949 764.557812470427</t>
  </si>
  <si>
    <t>-646.70088767803 33.3921069900309 -208.652301536698</t>
  </si>
  <si>
    <t>-579.169495492907 -4.46521579334831 240.417862246572</t>
  </si>
  <si>
    <t>-764.174621008768 109.941164057356 657.023745546511</t>
  </si>
  <si>
    <t>-680.504358179469 -19.4019679724049 741.95399629684</t>
  </si>
  <si>
    <t>9763-20170724T160613.825440400.bin</t>
  </si>
  <si>
    <t>-615.261207041773 125.985120136674 -226.630807111109</t>
  </si>
  <si>
    <t>-652.620873733636 116.385757830509 -341.434613672143</t>
  </si>
  <si>
    <t>-668.412451963368 106.497036643855 -461.198538261861</t>
  </si>
  <si>
    <t>-673.667679883486 97.2008572430732 -570.197774082343</t>
  </si>
  <si>
    <t>-669.969050501217 87.4685838501566 -679.222737891147</t>
  </si>
  <si>
    <t>-655.51284342728 73.379111715584 -830.194688782741</t>
  </si>
  <si>
    <t>-617.549738050507 52.5720899735993 -922.438008638969</t>
  </si>
  <si>
    <t>-648.620255980122 108.461877200973 -764.814067264379</t>
  </si>
  <si>
    <t>-565.984265463214 229.147324181205 -749.659980847961</t>
  </si>
  <si>
    <t>-476.316156981857 140.704125228575 -459.274568181801</t>
  </si>
  <si>
    <t>-296.300302707603 40.3197641141564 -300.657697159316</t>
  </si>
  <si>
    <t>-675.198212379391 50.7647293705568 -761.97444399923</t>
  </si>
  <si>
    <t>-583.83008603644 218.29499398574 -243.998343339005</t>
  </si>
  <si>
    <t>-594.021521818782 202.048281640358 211.29255299242</t>
  </si>
  <si>
    <t>-627.387476035065 167.155163103536 678.426189458787</t>
  </si>
  <si>
    <t>-493.923154877996 91.5763846936975 764.557685683045</t>
  </si>
  <si>
    <t>-646.571130051461 33.7485763017094 -208.596016712672</t>
  </si>
  <si>
    <t>-579.345648525835 -4.42510657872208 240.493231391555</t>
  </si>
  <si>
    <t>-764.347948789294 110.004127031088 657.141786552983</t>
  </si>
  <si>
    <t>-680.537922380512 -19.3683026842709 741.889503437319</t>
  </si>
  <si>
    <t>9763-20170724T160613.893621800.bin</t>
  </si>
  <si>
    <t>-614.422896829087 126.795156037384 -226.486583917742</t>
  </si>
  <si>
    <t>-651.710582698988 117.100271949269 -341.305724233386</t>
  </si>
  <si>
    <t>-667.568318553222 106.980951789783 -461.041669971999</t>
  </si>
  <si>
    <t>-672.94316086422 97.4178596119755 -570.01188306561</t>
  </si>
  <si>
    <t>-669.424629054118 87.35906392421 -679.0132969212</t>
  </si>
  <si>
    <t>-655.282109673393 72.7519873333154 -829.96556071768</t>
  </si>
  <si>
    <t>-617.661604078879 50.9083977695821 -922.10978071458</t>
  </si>
  <si>
    <t>-648.114389320506 107.994905884097 -764.700972706992</t>
  </si>
  <si>
    <t>-565.018478482148 228.400399093958 -749.865974176498</t>
  </si>
  <si>
    <t>-474.828421001992 141.381852124265 -459.21199778962</t>
  </si>
  <si>
    <t>-292.728601385062 43.5913100775917 -301.355367887199</t>
  </si>
  <si>
    <t>-674.965076776048 50.4354303606835 -761.646739370325</t>
  </si>
  <si>
    <t>-582.637350608348 218.964911049323 -243.948733023633</t>
  </si>
  <si>
    <t>-593.572325069583 202.767436561134 211.326683695598</t>
  </si>
  <si>
    <t>-627.333587611805 167.245106892233 678.380912777869</t>
  </si>
  <si>
    <t>-493.936116805684 91.5586861191791 764.521477229954</t>
  </si>
  <si>
    <t>-646.064651986936 34.6505066674524 -208.322459930104</t>
  </si>
  <si>
    <t>-579.727309637595 -4.50642966569649 240.814189021845</t>
  </si>
  <si>
    <t>-764.818130595259 110.072638960247 657.422608089587</t>
  </si>
  <si>
    <t>-680.597369582067 -19.3090217898352 741.747914623469</t>
  </si>
  <si>
    <t>9763-20170724T160613.927722800.bin</t>
  </si>
  <si>
    <t>-614.03735582536 127.170301507938 -226.422037547679</t>
  </si>
  <si>
    <t>-651.268822163983 117.479026140115 -341.259785956953</t>
  </si>
  <si>
    <t>-667.15218552643 107.242050124152 -460.982311656331</t>
  </si>
  <si>
    <t>-672.585985353404 97.5229395131348 -569.935781750903</t>
  </si>
  <si>
    <t>-669.163158821278 87.2584064697503 -678.920887148796</t>
  </si>
  <si>
    <t>-655.192563256475 72.3133244601947 -829.856204057562</t>
  </si>
  <si>
    <t>-617.757754189117 49.9250894505781 -921.945329005703</t>
  </si>
  <si>
    <t>-647.879045370277 107.669401175401 -764.668994093937</t>
  </si>
  <si>
    <t>-564.527748345807 227.930122769989 -750.07421738276</t>
  </si>
  <si>
    <t>-474.154249714633 141.521082941884 -459.295523813429</t>
  </si>
  <si>
    <t>-290.288041190225 46.1140602999076 -302.028833803125</t>
  </si>
  <si>
    <t>-674.869289295259 50.1826078116871 -761.47506010449</t>
  </si>
  <si>
    <t>-582.044858432113 219.338319348047 -243.92198201261</t>
  </si>
  <si>
    <t>-593.439369383623 203.124270336564 211.341611732996</t>
  </si>
  <si>
    <t>-627.339036087395 167.309128523286 678.376493359205</t>
  </si>
  <si>
    <t>-494.022662146131 91.4679623411944 764.50647030638</t>
  </si>
  <si>
    <t>-645.898656639815 35.0333231384468 -208.240410501638</t>
  </si>
  <si>
    <t>-579.843247025785 -4.56068452661066 240.899532210928</t>
  </si>
  <si>
    <t>-764.970384473264 110.08080700048 657.482588157947</t>
  </si>
  <si>
    <t>-680.598166747369 -19.288348308412 741.675637271427</t>
  </si>
  <si>
    <t>9763-20170724T160613.987876800.bin</t>
  </si>
  <si>
    <t>-613.449123101112 127.872294149828 -226.352453988603</t>
  </si>
  <si>
    <t>-650.657521726485 118.257010322555 -341.203982047571</t>
  </si>
  <si>
    <t>-666.679465683465 107.791590885356 -460.888353466517</t>
  </si>
  <si>
    <t>-672.309722361659 97.7382437478079 -569.801385739722</t>
  </si>
  <si>
    <t>-669.156497215526 87.0102696258618 -678.750239970621</t>
  </si>
  <si>
    <t>-655.637796001076 71.2852971050495 -829.647306650336</t>
  </si>
  <si>
    <t>-618.572153516353 47.9119614251435 -921.640836566137</t>
  </si>
  <si>
    <t>-647.977399172431 106.907126593331 -764.644993665537</t>
  </si>
  <si>
    <t>-563.983994145615 226.807055698844 -750.742073672166</t>
  </si>
  <si>
    <t>-472.859782801983 142.271891758369 -459.646821224756</t>
  </si>
  <si>
    <t>-285.884713413989 51.5970093101255 -303.248545751682</t>
  </si>
  <si>
    <t>-675.261501257882 49.5789793942888 -761.115141860814</t>
  </si>
  <si>
    <t>-581.113059596184 219.936450257371 -243.846839728476</t>
  </si>
  <si>
    <t>-592.987119585063 203.464737248269 211.395204672731</t>
  </si>
  <si>
    <t>-627.402751807206 167.26808856007 678.390817196921</t>
  </si>
  <si>
    <t>-494.096151465524 91.365825174651 764.482076394208</t>
  </si>
  <si>
    <t>-645.668302334103 35.9262159612695 -208.16285989698</t>
  </si>
  <si>
    <t>-579.970472683757 -4.58457302303145 240.947690910767</t>
  </si>
  <si>
    <t>-765.055210550586 110.138840209669 657.501256107573</t>
  </si>
  <si>
    <t>-680.614377271205 -19.2633411514903 741.5746181359</t>
  </si>
  <si>
    <t>9763-20170724T160614.025641800.bin</t>
  </si>
  <si>
    <t>-613.180265349337 128.169876127734 -226.363859387601</t>
  </si>
  <si>
    <t>-650.335342975249 118.598075787261 -341.23627277266</t>
  </si>
  <si>
    <t>-666.407465016482 107.975082292353 -460.900015832042</t>
  </si>
  <si>
    <t>-672.129021571516 97.6957833985343 -569.787358699308</t>
  </si>
  <si>
    <t>-669.114779769527 86.6574453387275 -678.708873737857</t>
  </si>
  <si>
    <t>-655.839980986327 70.4125244417285 -829.572751021566</t>
  </si>
  <si>
    <t>-618.94708537328 46.5611548423763 -921.513142334823</t>
  </si>
  <si>
    <t>-647.995553939917 106.221296615824 -764.695060669914</t>
  </si>
  <si>
    <t>-563.67008891509 225.944247690288 -751.263589474561</t>
  </si>
  <si>
    <t>-472.120866091786 142.229224481257 -460.064900354371</t>
  </si>
  <si>
    <t>-283.461134924876 54.0086594184188 -304.287082280036</t>
  </si>
  <si>
    <t>-675.431698296687 48.9795992076438 -760.945501547848</t>
  </si>
  <si>
    <t>-580.707444066888 220.113336130522 -243.808639057089</t>
  </si>
  <si>
    <t>-592.80040111527 203.519735364871 211.42319781138</t>
  </si>
  <si>
    <t>-627.460456195921 167.241830342068 678.412244632863</t>
  </si>
  <si>
    <t>-494.115434352305 91.3650196083611 764.466437667112</t>
  </si>
  <si>
    <t>-645.517470139538 36.3000191302151 -208.232848135046</t>
  </si>
  <si>
    <t>-579.989503858018 -4.45044919381007 240.880936540158</t>
  </si>
  <si>
    <t>-765.016139358014 110.142590030014 657.467451860045</t>
  </si>
  <si>
    <t>-680.576365748959 -19.2408631329372 741.570709919306</t>
  </si>
  <si>
    <t>9763-20170724T160614.090813900.bin</t>
  </si>
  <si>
    <t>-612.628718043959 128.762475835975 -226.417880556147</t>
  </si>
  <si>
    <t>-649.676505179411 119.331946332874 -341.336589640539</t>
  </si>
  <si>
    <t>-665.857751667601 108.440487325593 -460.961497575805</t>
  </si>
  <si>
    <t>-671.774153579712 97.7481093512315 -569.798714616451</t>
  </si>
  <si>
    <t>-669.054302847974 86.1248176105753 -678.667072500293</t>
  </si>
  <si>
    <t>-656.294848480813 68.8862299362875 -829.465103810888</t>
  </si>
  <si>
    <t>-619.676943308782 44.2348648397508 -921.30426973778</t>
  </si>
  <si>
    <t>-648.090910076563 105.056020853818 -764.832747005491</t>
  </si>
  <si>
    <t>-563.147421626612 224.455251428761 -752.451186757862</t>
  </si>
  <si>
    <t>-470.480728008984 142.863652595387 -461.00335214526</t>
  </si>
  <si>
    <t>-280.314158185769 57.1896977279773 -305.637010975404</t>
  </si>
  <si>
    <t>-675.790197658076 47.971427733655 -760.650682937531</t>
  </si>
  <si>
    <t>-579.932651572043 220.641448653308 -243.756724387527</t>
  </si>
  <si>
    <t>-592.370081103339 203.648685474175 211.451258975569</t>
  </si>
  <si>
    <t>-627.561534564149 167.180620344344 678.433154383329</t>
  </si>
  <si>
    <t>-494.241362878631 91.2081178201067 764.441467419889</t>
  </si>
  <si>
    <t>-645.186194050879 36.9824067461889 -208.391266354687</t>
  </si>
  <si>
    <t>-579.824144067074 -4.09238037913087 240.717172923839</t>
  </si>
  <si>
    <t>-764.843208803614 110.14194888548 657.394988884423</t>
  </si>
  <si>
    <t>-680.495132123791 -19.2032900041731 741.648949184262</t>
  </si>
  <si>
    <t>9763-20170724T160614.126916000.bin</t>
  </si>
  <si>
    <t>-612.359140172263 129.009999940733 -226.39253437755</t>
  </si>
  <si>
    <t>-649.366017424566 119.622553057678 -341.328142073216</t>
  </si>
  <si>
    <t>-665.608323971938 108.584111819966 -460.931200345182</t>
  </si>
  <si>
    <t>-671.625123040777 97.6788563343857 -569.741629639117</t>
  </si>
  <si>
    <t>-669.052635441281 85.7611598437388 -678.581889850913</t>
  </si>
  <si>
    <t>-656.548231897553 68.027058704937 -829.343884194174</t>
  </si>
  <si>
    <t>-620.050533015634 43.0082729182368 -921.131393200651</t>
  </si>
  <si>
    <t>-648.170685332982 104.378364449303 -764.835531162232</t>
  </si>
  <si>
    <t>-562.95522296596 223.62586426671 -752.92479176578</t>
  </si>
  <si>
    <t>-470.006230374867 142.886709938143 -461.329369119102</t>
  </si>
  <si>
    <t>-278.872580448875 58.7920208651778 -306.287311036915</t>
  </si>
  <si>
    <t>-675.991512469642 47.3691993207535 -760.437122355341</t>
  </si>
  <si>
    <t>-579.615589765329 220.872510648787 -243.693293205732</t>
  </si>
  <si>
    <t>-592.171896564065 203.731980881822 211.505712513369</t>
  </si>
  <si>
    <t>-627.605225102685 167.142741466351 678.441409351065</t>
  </si>
  <si>
    <t>-494.253525897029 91.211698182801 764.437458044802</t>
  </si>
  <si>
    <t>-644.933578554094 37.2178975683312 -208.421175952225</t>
  </si>
  <si>
    <t>-579.639871701329 -3.83992482690905 240.698706298028</t>
  </si>
  <si>
    <t>-764.718436199496 110.175496906973 657.37294903922</t>
  </si>
  <si>
    <t>-680.460932396264 -19.1742751253721 741.710526592203</t>
  </si>
  <si>
    <t>9763-20170724T160614.193090600.bin</t>
  </si>
  <si>
    <t>-611.705362518145 129.400435163667 -226.325393820445</t>
  </si>
  <si>
    <t>-648.654169105553 120.006799948244 -341.279068581792</t>
  </si>
  <si>
    <t>-664.97000815402 108.669149753948 -460.844151428629</t>
  </si>
  <si>
    <t>-671.112653616587 97.370844399363 -569.607599210304</t>
  </si>
  <si>
    <t>-668.728351615512 84.9356616546395 -678.394195682923</t>
  </si>
  <si>
    <t>-656.552502737364 66.3513338267742 -829.080579291187</t>
  </si>
  <si>
    <t>-620.218184684339 40.7190441351993 -920.763586107721</t>
  </si>
  <si>
    <t>-647.934650798273 103.018177726135 -764.782838512173</t>
  </si>
  <si>
    <t>-562.26123914326 222.013812547194 -753.645340299772</t>
  </si>
  <si>
    <t>-469.121003251018 142.592554324179 -461.749353659915</t>
  </si>
  <si>
    <t>-277.869859441705 59.1359473086134 -306.507296372177</t>
  </si>
  <si>
    <t>-675.945275444232 46.1304082733182 -760.030101319973</t>
  </si>
  <si>
    <t>-578.885463948706 221.118008851694 -243.657660217373</t>
  </si>
  <si>
    <t>-591.594578474542 203.721200258836 211.527527632932</t>
  </si>
  <si>
    <t>-627.594582666432 167.032693217543 678.383985048099</t>
  </si>
  <si>
    <t>-494.131615709054 91.3666662590099 764.440940207676</t>
  </si>
  <si>
    <t>-644.365416086144 37.7206380477589 -208.294588635872</t>
  </si>
  <si>
    <t>-579.067432243388 -3.61185282436441 240.799471422106</t>
  </si>
  <si>
    <t>-764.56524933372 110.24406263871 657.383791464155</t>
  </si>
  <si>
    <t>-680.393584007804 -19.1202198698832 741.784740335202</t>
  </si>
  <si>
    <t>9763-20170724T160614.227724300.bin</t>
  </si>
  <si>
    <t>-611.340171490348 129.577253431453 -226.25034643029</t>
  </si>
  <si>
    <t>-648.269380492503 120.147796887946 -341.207374755805</t>
  </si>
  <si>
    <t>-664.621858054197 108.674700195034 -460.754675249167</t>
  </si>
  <si>
    <t>-670.822396042238 97.2145871217522 -569.49773266237</t>
  </si>
  <si>
    <t>-668.521324054169 84.5792685278573 -678.263095186951</t>
  </si>
  <si>
    <t>-656.488234663854 65.677266917111 -828.921340480965</t>
  </si>
  <si>
    <t>-620.182254357007 39.8228640895829 -920.553216530578</t>
  </si>
  <si>
    <t>-647.783491620755 102.467077043397 -764.705634450235</t>
  </si>
  <si>
    <t>-562.023103551782 221.412698676151 -753.905586120664</t>
  </si>
  <si>
    <t>-468.834891119624 142.610074174442 -461.857157208822</t>
  </si>
  <si>
    <t>-277.727938407118 59.1643671778702 -306.431943128225</t>
  </si>
  <si>
    <t>-675.841497639565 45.6145770358421 -759.813793568477</t>
  </si>
  <si>
    <t>-578.445717377456 221.203510480564 -243.624896879605</t>
  </si>
  <si>
    <t>-591.336504358943 203.781614368527 211.554117023702</t>
  </si>
  <si>
    <t>-627.619109618861 166.99307044841 678.394102405981</t>
  </si>
  <si>
    <t>-494.131512326487 91.3744739048016 764.454544828012</t>
  </si>
  <si>
    <t>-644.078585794218 38.0063206420821 -208.179507506785</t>
  </si>
  <si>
    <t>-578.67840633874 -3.49919676372292 240.883743894159</t>
  </si>
  <si>
    <t>-764.456866521266 110.310077370546 657.367381157856</t>
  </si>
  <si>
    <t>-680.373665724297 -19.0946256301115 741.794522741968</t>
  </si>
  <si>
    <t>9763-20170724T160614.298428000.bin</t>
  </si>
  <si>
    <t>-610.664226702128 129.935080340833 -226.175670265648</t>
  </si>
  <si>
    <t>-647.563384957253 120.435559279413 -341.136681093334</t>
  </si>
  <si>
    <t>-663.978799098056 108.727451099436 -460.652464314084</t>
  </si>
  <si>
    <t>-670.276774571596 96.9911337022118 -569.360449306719</t>
  </si>
  <si>
    <t>-668.114972410959 84.0175471111429 -678.088862204262</t>
  </si>
  <si>
    <t>-656.319452322909 64.582709958818 -828.698185605013</t>
  </si>
  <si>
    <t>-620.018420811576 38.4455892325866 -920.251877529321</t>
  </si>
  <si>
    <t>-647.505754857034 101.595724023323 -764.625768343778</t>
  </si>
  <si>
    <t>-561.734640102894 220.615337619482 -754.499775331244</t>
  </si>
  <si>
    <t>-468.460346431786 142.887232627683 -462.191016356338</t>
  </si>
  <si>
    <t>-278.091449989935 58.9162788051954 -306.144141836034</t>
  </si>
  <si>
    <t>-675.571398874285 44.7683810966353 -759.490645480341</t>
  </si>
  <si>
    <t>-577.784438152019 221.52099368128 -243.598817660081</t>
  </si>
  <si>
    <t>-590.815282363102 203.860860256299 211.567080762377</t>
  </si>
  <si>
    <t>-627.659085843743 166.851737324999 678.38072926238</t>
  </si>
  <si>
    <t>-494.101420235948 91.397484307802 764.476707290978</t>
  </si>
  <si>
    <t>-643.401370852029 38.440747500917 -208.078766212829</t>
  </si>
  <si>
    <t>-577.922600244214 -3.18835439671466 240.961541568345</t>
  </si>
  <si>
    <t>-764.230260973796 110.378975288115 657.29336103214</t>
  </si>
  <si>
    <t>-680.280767926547 -19.0452329983407 741.823628698482</t>
  </si>
  <si>
    <t>9763-20170724T160614.325996300.bin</t>
  </si>
  <si>
    <t>-610.381007668885 130.039419530255 -226.16434955505</t>
  </si>
  <si>
    <t>-647.286921756229 120.548016049244 -341.123795220773</t>
  </si>
  <si>
    <t>-663.755557467873 108.775099194052 -460.625873407832</t>
  </si>
  <si>
    <t>-670.121863507236 96.9504440635717 -569.320395017575</t>
  </si>
  <si>
    <t>-668.048837248622 83.8590597789118 -678.036354562057</t>
  </si>
  <si>
    <t>-656.39856555669 64.2295034415131 -828.631817120702</t>
  </si>
  <si>
    <t>-620.094057254495 38.0027259432948 -920.158394675518</t>
  </si>
  <si>
    <t>-647.531830097923 101.329485448287 -764.617013746508</t>
  </si>
  <si>
    <t>-561.846089059407 220.431906017417 -754.814694404934</t>
  </si>
  <si>
    <t>-468.529483423798 143.242982548826 -462.376524939042</t>
  </si>
  <si>
    <t>-278.971303002587 58.3133114050479 -305.862135102773</t>
  </si>
  <si>
    <t>-675.575102197346 44.5004261288464 -759.379021089618</t>
  </si>
  <si>
    <t>-577.593791434322 221.624796012625 -243.555536565086</t>
  </si>
  <si>
    <t>-590.568961244353 203.748683982509 211.603486843261</t>
  </si>
  <si>
    <t>-627.730628047671 166.717567882917 678.421761397065</t>
  </si>
  <si>
    <t>-494.043687144827 91.4709524195175 764.498838931376</t>
  </si>
  <si>
    <t>-643.059617734399 38.5690714973048 -208.088647886435</t>
  </si>
  <si>
    <t>-577.523503322245 -2.98287056479626 240.950460503768</t>
  </si>
  <si>
    <t>-764.077663332519 110.416289599242 657.234778613706</t>
  </si>
  <si>
    <t>-680.215671814123 -19.0137297762178 741.843001440316</t>
  </si>
  <si>
    <t>9763-20170724T160614.389166000.bin</t>
  </si>
  <si>
    <t>-609.937391147762 130.250329011148 -226.069293824066</t>
  </si>
  <si>
    <t>-646.822770991346 120.752268384181 -341.034792643696</t>
  </si>
  <si>
    <t>-663.350081534351 108.857035060691 -460.516684108168</t>
  </si>
  <si>
    <t>-669.804061712552 96.8728095594736 -569.188607513061</t>
  </si>
  <si>
    <t>-667.85484780121 83.5710489880623 -677.881298527007</t>
  </si>
  <si>
    <t>-656.414949223801 63.5952184942414 -828.447150340548</t>
  </si>
  <si>
    <t>-620.091451516309 37.206912821877 -919.919865173369</t>
  </si>
  <si>
    <t>-647.481639214558 100.853226724128 -764.53346577539</t>
  </si>
  <si>
    <t>-561.945269363192 220.117093155509 -755.345783506183</t>
  </si>
  <si>
    <t>-468.772587881809 143.809045292255 -462.630732127849</t>
  </si>
  <si>
    <t>-280.320523643603 57.6629473483179 -305.446987067882</t>
  </si>
  <si>
    <t>-675.471855183961 44.0145905969032 -759.119319653927</t>
  </si>
  <si>
    <t>-577.374276198883 221.746093708594 -243.380391663699</t>
  </si>
  <si>
    <t>-590.144106770415 203.470493235332 211.768563326966</t>
  </si>
  <si>
    <t>-627.934108477982 166.467663260729 678.57151731224</t>
  </si>
  <si>
    <t>-493.956356890881 91.6117791542915 764.537031536206</t>
  </si>
  <si>
    <t>-642.360693008528 38.8314218023177 -208.067608696487</t>
  </si>
  <si>
    <t>-576.781620959083 -2.66540735532271 240.970363756034</t>
  </si>
  <si>
    <t>-763.741187714619 110.506223963164 657.13931571973</t>
  </si>
  <si>
    <t>-680.142443636831 -18.984274619972 741.915288829593</t>
  </si>
  <si>
    <t>9763-20170724T160614.425275800.bin</t>
  </si>
  <si>
    <t>-609.741588921832 130.300115039643 -225.993962384976</t>
  </si>
  <si>
    <t>-646.653440747543 120.776186360809 -340.94880221538</t>
  </si>
  <si>
    <t>-663.229118174646 108.807803709462 -460.4167103049</t>
  </si>
  <si>
    <t>-669.73633589072 96.7373974730026 -569.075872552946</t>
  </si>
  <si>
    <t>-667.850369636042 83.3286455282498 -677.756532953163</t>
  </si>
  <si>
    <t>-656.509024925362 63.1820370654905 -828.307196751487</t>
  </si>
  <si>
    <t>-620.211601789234 36.7226157855539 -919.769566972271</t>
  </si>
  <si>
    <t>-647.544503946467 100.517657453286 -764.443170661681</t>
  </si>
  <si>
    <t>-562.075604745 219.845172630067 -755.49709202636</t>
  </si>
  <si>
    <t>-468.894608733355 144.063895255925 -462.647840330407</t>
  </si>
  <si>
    <t>-281.422290917281 56.6084170410311 -305.016201700416</t>
  </si>
  <si>
    <t>-675.509962693985 43.6748775356687 -758.943162018162</t>
  </si>
  <si>
    <t>-577.303001119455 221.775194828076 -243.312483179664</t>
  </si>
  <si>
    <t>-589.924408239539 203.358929812323 211.835024912426</t>
  </si>
  <si>
    <t>-627.987754881168 166.368423857745 678.589727882773</t>
  </si>
  <si>
    <t>-493.911743927559 91.6666324173782 764.536065549098</t>
  </si>
  <si>
    <t>-642.049967263076 38.8603743533602 -207.997250552782</t>
  </si>
  <si>
    <t>-576.469198329348 -2.5265315616582 241.050563796909</t>
  </si>
  <si>
    <t>-763.626306414643 110.544876888217 657.141474931695</t>
  </si>
  <si>
    <t>-680.103097762393 -18.9594031042677 741.970884689798</t>
  </si>
  <si>
    <t>9763-20170724T160614.494469200.bin</t>
  </si>
  <si>
    <t>-609.295674380369 130.512713567032 -225.885038443171</t>
  </si>
  <si>
    <t>-646.200443022793 120.933630411612 -340.837618614094</t>
  </si>
  <si>
    <t>-662.860088138131 108.864476689767 -460.28363816386</t>
  </si>
  <si>
    <t>-669.481322424012 96.6848255262773 -568.923687002463</t>
  </si>
  <si>
    <t>-667.747795407267 83.148466822711 -677.591140570168</t>
  </si>
  <si>
    <t>-656.65830137946 62.8051395770726 -828.13406643754</t>
  </si>
  <si>
    <t>-620.439931443175 36.3152014108869 -919.618953945914</t>
  </si>
  <si>
    <t>-647.613283436493 100.236568081294 -764.337626570886</t>
  </si>
  <si>
    <t>-562.249069125719 219.65717335094 -755.696715048323</t>
  </si>
  <si>
    <t>-469.095993926277 144.454602909264 -462.689439439238</t>
  </si>
  <si>
    <t>-281.914011043528 56.8675009570436 -304.78615159124</t>
  </si>
  <si>
    <t>-675.516901705291 43.3762142140192 -758.70934901498</t>
  </si>
  <si>
    <t>-576.996442337354 222.033895090348 -243.17342411694</t>
  </si>
  <si>
    <t>-589.543476578782 203.283874462584 211.962466460394</t>
  </si>
  <si>
    <t>-628.108614630516 166.258411433297 678.686836908551</t>
  </si>
  <si>
    <t>-493.923370339479 91.6692189470441 764.560489804648</t>
  </si>
  <si>
    <t>-641.472211853516 39.0811124417125 -207.902906655049</t>
  </si>
  <si>
    <t>-576.056727489135 -2.23737163398414 241.17534285888</t>
  </si>
  <si>
    <t>-763.479798140681 110.579644358449 657.204783535932</t>
  </si>
  <si>
    <t>-680.044902947634 -18.9312657235348 742.110944461893</t>
  </si>
  <si>
    <t>9763-20170724T160614.527559500.bin</t>
  </si>
  <si>
    <t>-609.064098539314 130.673642555361 -225.822100767675</t>
  </si>
  <si>
    <t>-645.966182852271 121.076582313247 -340.774152603639</t>
  </si>
  <si>
    <t>-662.688815130562 108.976322723108 -460.208170457179</t>
  </si>
  <si>
    <t>-669.394154273858 96.7642502481972 -568.839479560345</t>
  </si>
  <si>
    <t>-667.771596023789 83.1918077306661 -677.50412961733</t>
  </si>
  <si>
    <t>-656.863923189075 62.7948732486907 -828.052955639287</t>
  </si>
  <si>
    <t>-620.708472671511 36.3113307628907 -919.564757654553</t>
  </si>
  <si>
    <t>-647.76121653016 100.258318506775 -764.283627209581</t>
  </si>
  <si>
    <t>-562.478381745877 219.756747961067 -755.812947748364</t>
  </si>
  <si>
    <t>-469.145418599549 144.669700478741 -462.833227395316</t>
  </si>
  <si>
    <t>-282.392535402822 56.7548928826591 -304.604425173447</t>
  </si>
  <si>
    <t>-675.619218125329 43.3814929514861 -758.5960618294</t>
  </si>
  <si>
    <t>-576.833859830751 222.204836116783 -243.123042888919</t>
  </si>
  <si>
    <t>-589.447079778391 203.367813771788 212.0074487016</t>
  </si>
  <si>
    <t>-628.132193935323 166.256631090964 678.701869668104</t>
  </si>
  <si>
    <t>-493.924189146095 91.6962525163299 764.564930893891</t>
  </si>
  <si>
    <t>-641.146257229758 39.2688631319311 -207.852413175612</t>
  </si>
  <si>
    <t>-575.992340211195 -2.104401162155 241.258794788937</t>
  </si>
  <si>
    <t>-763.445115750202 110.605586745321 657.296758193768</t>
  </si>
  <si>
    <t>-680.02290349188 -18.9143804588921 742.201575044439</t>
  </si>
  <si>
    <t>9763-20170724T160614.590728100.bin</t>
  </si>
  <si>
    <t>-608.714231104567 130.947866232121 -225.710347658474</t>
  </si>
  <si>
    <t>-645.64606959136 121.31330518939 -340.649631300014</t>
  </si>
  <si>
    <t>-662.515238010604 109.183595197628 -460.06009360026</t>
  </si>
  <si>
    <t>-669.400622352712 96.9490189190776 -568.677475603202</t>
  </si>
  <si>
    <t>-668.005115919312 83.3583267615359 -677.343032161041</t>
  </si>
  <si>
    <t>-657.460561296164 62.9410139688675 -827.915082438494</t>
  </si>
  <si>
    <t>-621.460976355583 36.4876377216783 -919.496949417873</t>
  </si>
  <si>
    <t>-648.225826007676 100.423549532296 -764.175880590406</t>
  </si>
  <si>
    <t>-563.010814056483 219.985813519987 -755.981496441555</t>
  </si>
  <si>
    <t>-469.49130626701 144.860809517661 -463.071024202131</t>
  </si>
  <si>
    <t>-283.299539149476 56.4196056051198 -304.474621779301</t>
  </si>
  <si>
    <t>-676.026451524404 43.5266756932108 -758.407480548658</t>
  </si>
  <si>
    <t>-576.613121557517 222.50304653902 -243.035281650945</t>
  </si>
  <si>
    <t>-589.262903385617 203.535263859992 212.088744436804</t>
  </si>
  <si>
    <t>-628.18234357302 166.215095783088 678.737250722359</t>
  </si>
  <si>
    <t>-493.898407002319 91.769018785335 764.580817516561</t>
  </si>
  <si>
    <t>-640.698686524679 39.4378583610626 -207.735090691448</t>
  </si>
  <si>
    <t>-575.798902185628 -1.77376861281618 241.427785668537</t>
  </si>
  <si>
    <t>-763.411273817019 110.632219765796 657.47463871411</t>
  </si>
  <si>
    <t>-679.996726561108 -18.8954223496248 742.375195331376</t>
  </si>
  <si>
    <t>9763-20170724T160614.623451300.bin</t>
  </si>
  <si>
    <t>-608.63285411246 131.011207399345 -225.671912973705</t>
  </si>
  <si>
    <t>-645.589132117509 121.391064660596 -340.604402290824</t>
  </si>
  <si>
    <t>-662.524497360977 109.269513537279 -460.006519446826</t>
  </si>
  <si>
    <t>-669.486742464555 97.0406431237825 -568.619644500782</t>
  </si>
  <si>
    <t>-668.184516080249 83.4548853725116 -677.2869493286</t>
  </si>
  <si>
    <t>-657.786637320833 63.0436411155072 -827.870028265983</t>
  </si>
  <si>
    <t>-621.863484179956 36.6180272588806 -919.489855509009</t>
  </si>
  <si>
    <t>-648.498521978427 100.527605327032 -764.139324308323</t>
  </si>
  <si>
    <t>-563.319527991797 220.112857521853 -756.018162396525</t>
  </si>
  <si>
    <t>-469.63709090825 144.977901115002 -463.162257176219</t>
  </si>
  <si>
    <t>-283.546927469853 56.4200735147201 -304.511684594352</t>
  </si>
  <si>
    <t>-676.276282896605 43.6223013959659 -758.344026654417</t>
  </si>
  <si>
    <t>-576.561831933548 222.555881166834 -243.017348488022</t>
  </si>
  <si>
    <t>-589.178253436341 203.498294567474 212.103855512581</t>
  </si>
  <si>
    <t>-628.188812812171 166.121435067948 678.721749153674</t>
  </si>
  <si>
    <t>-493.843188083438 91.8177389518853 764.592159949528</t>
  </si>
  <si>
    <t>-640.590422050189 39.5246917891202 -207.676848407636</t>
  </si>
  <si>
    <t>-575.619905557508 -1.75424201570763 241.469682496629</t>
  </si>
  <si>
    <t>-763.335586130084 110.635035456145 657.471467082168</t>
  </si>
  <si>
    <t>-679.95148365823 -18.882572694873 742.417259233878</t>
  </si>
  <si>
    <t>9763-20170724T160614.694640200.bin</t>
  </si>
  <si>
    <t>-608.505605630631 131.151248439134 -225.617160217836</t>
  </si>
  <si>
    <t>-645.578047745401 121.558412080202 -340.514551071261</t>
  </si>
  <si>
    <t>-662.658914258727 109.454076930073 -459.897464774224</t>
  </si>
  <si>
    <t>-669.763656284392 97.2370685754568 -568.502845682578</t>
  </si>
  <si>
    <t>-668.614187891965 83.659718186801 -677.17295978513</t>
  </si>
  <si>
    <t>-658.438697157862 63.2567102738744 -827.772294327013</t>
  </si>
  <si>
    <t>-622.634807336528 36.8839745230296 -919.454001099502</t>
  </si>
  <si>
    <t>-649.058187322312 100.737974193327 -764.053549985313</t>
  </si>
  <si>
    <t>-563.865163962105 220.336456016332 -756.117328265532</t>
  </si>
  <si>
    <t>-470.147553611677 145.258906821224 -463.257944465092</t>
  </si>
  <si>
    <t>-284.507399992671 56.1671846050958 -304.379214227925</t>
  </si>
  <si>
    <t>-676.823958054289 43.8307574403041 -758.219893174645</t>
  </si>
  <si>
    <t>-576.450191684365 222.721688592188 -243.007397660305</t>
  </si>
  <si>
    <t>-588.769537741819 203.430408090406 212.112063119431</t>
  </si>
  <si>
    <t>-628.139358502804 166.162625064284 678.698786940717</t>
  </si>
  <si>
    <t>-493.80277809104 91.9062147638876 764.624211478625</t>
  </si>
  <si>
    <t>-640.417690648633 39.6372578361327 -207.580067535163</t>
  </si>
  <si>
    <t>-575.242395945374 -1.70948500488043 241.530479079869</t>
  </si>
  <si>
    <t>-763.135657149054 110.723220969158 657.430500073196</t>
  </si>
  <si>
    <t>-679.88398518022 -18.8367301039091 742.441596855437</t>
  </si>
  <si>
    <t>9763-20170724T160614.725299200.bin</t>
  </si>
  <si>
    <t>-608.390129118871 131.240564940151 -225.581345347539</t>
  </si>
  <si>
    <t>-645.520064830347 121.65755860753 -340.460961472998</t>
  </si>
  <si>
    <t>-662.676168197517 109.567392760279 -459.834627791686</t>
  </si>
  <si>
    <t>-669.855362339082 97.3659618949491 -568.43680999018</t>
  </si>
  <si>
    <t>-668.786490929305 83.8072328902858 -677.110060575604</t>
  </si>
  <si>
    <t>-658.728630079071 63.4340516738289 -827.721407799273</t>
  </si>
  <si>
    <t>-622.979686244976 37.0944228277021 -919.43413648016</t>
  </si>
  <si>
    <t>-649.299250786619 100.903139982359 -764.002607670095</t>
  </si>
  <si>
    <t>-564.09534426023 220.488402147543 -756.140363115263</t>
  </si>
  <si>
    <t>-470.263087448732 145.521902318114 -463.289284661411</t>
  </si>
  <si>
    <t>-284.673683332687 56.4376174344438 -304.347139006091</t>
  </si>
  <si>
    <t>-677.058579238328 43.9939725816641 -758.158376407068</t>
  </si>
  <si>
    <t>-576.351538880119 222.782215822644 -242.986786574817</t>
  </si>
  <si>
    <t>-588.593705355957 203.429278958667 212.132154523235</t>
  </si>
  <si>
    <t>-628.12630134265 166.153103676997 678.689071180462</t>
  </si>
  <si>
    <t>-493.764518238593 91.9667201981388 764.635587709578</t>
  </si>
  <si>
    <t>-640.265252992808 39.7828208202498 -207.516738533335</t>
  </si>
  <si>
    <t>-575.156369786869 -1.7290807188524 241.58818679863</t>
  </si>
  <si>
    <t>-763.100729567125 110.772967060499 657.459496308211</t>
  </si>
  <si>
    <t>-679.877450093798 -18.8217649645273 742.445436056425</t>
  </si>
  <si>
    <t>9763-20170724T160614.794485600.bin</t>
  </si>
  <si>
    <t>-608.238002754005 131.400103392986 -225.606683618369</t>
  </si>
  <si>
    <t>-645.424700047302 121.799203150244 -340.466407617917</t>
  </si>
  <si>
    <t>-662.713408289984 109.71020617894 -459.821173732821</t>
  </si>
  <si>
    <t>-670.042526240683 97.5198988537434 -568.414478974887</t>
  </si>
  <si>
    <t>-669.152697254499 83.9836529225713 -677.092163271868</t>
  </si>
  <si>
    <t>-659.372933560841 63.6544846897068 -827.72773427737</t>
  </si>
  <si>
    <t>-623.723090296409 37.3437302804007 -919.487310577952</t>
  </si>
  <si>
    <t>-649.811145455688 101.098005621928 -764.013791952352</t>
  </si>
  <si>
    <t>-564.563071329846 220.668695956753 -756.284324100571</t>
  </si>
  <si>
    <t>-470.569089438562 145.692793555266 -463.487417466752</t>
  </si>
  <si>
    <t>-285.505658632723 56.1816864206789 -304.172166821619</t>
  </si>
  <si>
    <t>-677.589184403588 44.2010417982035 -758.138537343554</t>
  </si>
  <si>
    <t>-576.123686285318 222.898009235988 -243.105094501783</t>
  </si>
  <si>
    <t>-588.30782892107 203.539168310474 212.015201031356</t>
  </si>
  <si>
    <t>-627.932938064235 166.300367650802 678.513278624228</t>
  </si>
  <si>
    <t>-493.764324720469 91.9496086610197 764.619376313089</t>
  </si>
  <si>
    <t>-640.230259171177 39.9356032707526 -207.447649278557</t>
  </si>
  <si>
    <t>-575.111997128202 -1.76889606576628 241.63813019763</t>
  </si>
  <si>
    <t>-763.147117858637 110.846971872754 657.496148228785</t>
  </si>
  <si>
    <t>-679.876165277124 -18.7961339127714 742.361472264281</t>
  </si>
  <si>
    <t>9763-20170724T160614.831098200.bin</t>
  </si>
  <si>
    <t>-608.198630463849 131.44007855948 -225.607508001294</t>
  </si>
  <si>
    <t>-645.425594485004 121.829782200244 -340.453438576318</t>
  </si>
  <si>
    <t>-662.784671833668 109.74851757822 -459.798603714408</t>
  </si>
  <si>
    <t>-670.189318970694 97.5723100638684 -568.388514356553</t>
  </si>
  <si>
    <t>-669.386227783774 84.0577416398803 -677.069439530081</t>
  </si>
  <si>
    <t>-659.738001296798 63.7669066540809 -827.718699823248</t>
  </si>
  <si>
    <t>-624.13791157534 37.4811829652858 -919.504761608747</t>
  </si>
  <si>
    <t>-650.10733409441 101.18789342655 -764.001849130861</t>
  </si>
  <si>
    <t>-564.792682126333 220.713630540451 -756.352294932971</t>
  </si>
  <si>
    <t>-470.820713685451 145.609364647187 -463.581419842551</t>
  </si>
  <si>
    <t>-286.044360696461 55.9253753645714 -304.030280929988</t>
  </si>
  <si>
    <t>-677.906710785135 44.3020945996136 -758.120256795014</t>
  </si>
  <si>
    <t>-576.008253972175 222.95809257285 -243.175717317437</t>
  </si>
  <si>
    <t>-588.134415486077 203.60167783788 211.946219508274</t>
  </si>
  <si>
    <t>-627.82531318725 166.420629129542 678.442627895873</t>
  </si>
  <si>
    <t>-493.757894229909 91.9602152738607 764.611561815455</t>
  </si>
  <si>
    <t>-640.250393783099 39.9802016440062 -207.395863115124</t>
  </si>
  <si>
    <t>-575.176237397799 -1.85092857150426 241.684468915572</t>
  </si>
  <si>
    <t>-763.211978413834 110.897288503401 657.521714145046</t>
  </si>
  <si>
    <t>-679.868894338702 -18.7684410586276 742.281571127559</t>
  </si>
  <si>
    <t>9763-20170724T160614.894266800.bin</t>
  </si>
  <si>
    <t>-608.107207172192 131.461632341313 -225.597972077329</t>
  </si>
  <si>
    <t>-645.379721863799 121.78968360018 -340.424006019015</t>
  </si>
  <si>
    <t>-662.832280035964 109.666966082108 -459.751330640142</t>
  </si>
  <si>
    <t>-670.340265571554 97.4636644248715 -568.330982077915</t>
  </si>
  <si>
    <t>-669.65851423229 83.9338386961861 -677.01096030671</t>
  </si>
  <si>
    <t>-660.196850202433 63.6351306216172 -827.670981351468</t>
  </si>
  <si>
    <t>-624.687563721686 37.3641080463881 -919.496381633118</t>
  </si>
  <si>
    <t>-650.451666581803 101.042550769227 -763.963543469807</t>
  </si>
  <si>
    <t>-565.009595533886 220.474330980844 -756.341805958501</t>
  </si>
  <si>
    <t>-470.969309703152 145.248674662611 -463.623992167713</t>
  </si>
  <si>
    <t>-286.633348623218 55.2463226298987 -303.743140405421</t>
  </si>
  <si>
    <t>-678.314987966051 44.1908457892739 -758.053669198927</t>
  </si>
  <si>
    <t>-575.750232004469 222.98759556126 -243.233531763607</t>
  </si>
  <si>
    <t>-588.039184656119 203.803830211162 211.891283718912</t>
  </si>
  <si>
    <t>-627.735589254036 166.609371190196 678.390273713506</t>
  </si>
  <si>
    <t>-493.820298091918 91.917895747845 764.595738122234</t>
  </si>
  <si>
    <t>-640.317958432215 40.0138155424645 -207.290407752557</t>
  </si>
  <si>
    <t>-575.321851590377 -2.00814000037622 241.78344242833</t>
  </si>
  <si>
    <t>-763.367348345643 110.939575710078 657.554792858623</t>
  </si>
  <si>
    <t>-679.887501908243 -18.752375644528 742.139740078436</t>
  </si>
  <si>
    <t>9763-20170724T160614.927298900.bin</t>
  </si>
  <si>
    <t>-608.08970742978 131.45548072419 -225.59140797052</t>
  </si>
  <si>
    <t>-645.383109002887 121.764495276979 -340.409099747004</t>
  </si>
  <si>
    <t>-662.863054598861 109.627229464149 -459.730835887127</t>
  </si>
  <si>
    <t>-670.398256971311 97.4130811653347 -568.307438793326</t>
  </si>
  <si>
    <t>-669.74581062536 83.8753031298374 -676.986687624301</t>
  </si>
  <si>
    <t>-660.326829191527 63.568869104563 -827.64832751715</t>
  </si>
  <si>
    <t>-624.846795062974 37.301565839786 -919.486114192006</t>
  </si>
  <si>
    <t>-650.544611813819 100.970377717859 -763.94313900359</t>
  </si>
  <si>
    <t>-565.023537987921 220.349813975882 -756.324716931165</t>
  </si>
  <si>
    <t>-471.078490792236 145.079788255094 -463.587708191174</t>
  </si>
  <si>
    <t>-286.799715278797 55.0604153240511 -303.650560814676</t>
  </si>
  <si>
    <t>-678.444281229738 44.1372716976593 -758.027194894195</t>
  </si>
  <si>
    <t>-575.682363848125 223.004036320543 -243.261840462632</t>
  </si>
  <si>
    <t>-588.021911403757 203.87853271049 211.864114811163</t>
  </si>
  <si>
    <t>-627.724876287891 166.673064434365 678.382174334783</t>
  </si>
  <si>
    <t>-493.866133767841 91.8757903380374 764.583784153537</t>
  </si>
  <si>
    <t>-640.371936081633 39.9973401531313 -207.242240413914</t>
  </si>
  <si>
    <t>-575.28198394933 -2.12592816787878 241.808505786835</t>
  </si>
  <si>
    <t>-763.369707219136 110.962391876035 657.507049454698</t>
  </si>
  <si>
    <t>-679.865142201018 -18.7311103587351 742.065253128099</t>
  </si>
  <si>
    <t>9763-20170724T160614.989463900.bin</t>
  </si>
  <si>
    <t>-608.182331577322 131.293684871496 -225.642929706387</t>
  </si>
  <si>
    <t>-645.522594036937 121.62443196878 -340.447113199069</t>
  </si>
  <si>
    <t>-663.036655135329 109.489495587388 -459.764170871929</t>
  </si>
  <si>
    <t>-670.597292510701 97.2685559007869 -568.338253049416</t>
  </si>
  <si>
    <t>-669.965015393253 83.7144611569124 -677.015543522595</t>
  </si>
  <si>
    <t>-660.568829310826 63.3748588524788 -827.674111004589</t>
  </si>
  <si>
    <t>-625.129191522633 37.0985810403604 -919.524928781759</t>
  </si>
  <si>
    <t>-650.752560391087 100.778763610258 -763.975546802475</t>
  </si>
  <si>
    <t>-565.132937594917 220.080723539299 -756.343404262356</t>
  </si>
  <si>
    <t>-471.337775731459 144.770795362508 -463.56866131136</t>
  </si>
  <si>
    <t>-287.269510080841 54.5430010777327 -303.506541326047</t>
  </si>
  <si>
    <t>-678.700091256757 43.9702928469987 -758.049123747127</t>
  </si>
  <si>
    <t>-575.733123293785 222.835844527352 -243.308743129724</t>
  </si>
  <si>
    <t>-587.988473359311 203.68653951469 211.818455464009</t>
  </si>
  <si>
    <t>-627.757100794551 166.619791307661 678.368129305979</t>
  </si>
  <si>
    <t>-493.880987170959 91.8461861484207 764.563302443594</t>
  </si>
  <si>
    <t>-640.525117912712 39.8429662953974 -207.335995790445</t>
  </si>
  <si>
    <t>-575.360921001611 -2.10816984015423 241.720111012628</t>
  </si>
  <si>
    <t>-763.343752573195 110.951033524814 657.417609387545</t>
  </si>
  <si>
    <t>-679.792955020228 -18.6968456980558 742.000169858886</t>
  </si>
  <si>
    <t>9763-20170724T160615.026585000.bin</t>
  </si>
  <si>
    <t>-608.171207773258 131.180125621913 -225.713793772647</t>
  </si>
  <si>
    <t>-645.501746156232 121.521945167497 -340.522191695749</t>
  </si>
  <si>
    <t>-663.005293564622 109.386735887296 -459.840831892525</t>
  </si>
  <si>
    <t>-670.556551589439 97.1608197986884 -568.414998141657</t>
  </si>
  <si>
    <t>-669.914923850518 83.5973924507189 -677.090921345365</t>
  </si>
  <si>
    <t>-660.505979940281 63.2402865011957 -827.746452785919</t>
  </si>
  <si>
    <t>-625.063888689975 36.958595793757 -919.594658348082</t>
  </si>
  <si>
    <t>-650.695861571506 100.65200810811 -764.051407748451</t>
  </si>
  <si>
    <t>-565.046281579634 219.940043753037 -756.422904412324</t>
  </si>
  <si>
    <t>-471.264141644985 144.654283959536 -463.637911047903</t>
  </si>
  <si>
    <t>-287.182039378049 54.5059529906353 -303.546936046419</t>
  </si>
  <si>
    <t>-678.642378250587 43.8434015837779 -758.120618295347</t>
  </si>
  <si>
    <t>-575.733613683588 222.660638152745 -243.323631262109</t>
  </si>
  <si>
    <t>-587.999250234291 203.558394972078 211.805343688106</t>
  </si>
  <si>
    <t>-627.800065558098 166.593534711974 678.384719504782</t>
  </si>
  <si>
    <t>-493.875161762023 91.87309575719 764.55020285067</t>
  </si>
  <si>
    <t>-640.45059721598 39.8039627121475 -207.433559774551</t>
  </si>
  <si>
    <t>-575.423746742997 -2.13331814022217 241.643807924826</t>
  </si>
  <si>
    <t>-763.296980712204 110.928244008267 657.374088725081</t>
  </si>
  <si>
    <t>-679.801752564584 -18.7081679407604 742.029015697141</t>
  </si>
  <si>
    <t>9763-20170724T160615.090754700.bin</t>
  </si>
  <si>
    <t>-608.121834475048 130.85658130403 -225.755332310049</t>
  </si>
  <si>
    <t>-645.394621703904 121.219253788502 -340.584278988806</t>
  </si>
  <si>
    <t>-662.893323823375 109.076977228986 -459.902793782948</t>
  </si>
  <si>
    <t>-670.462732715023 96.833446209049 -568.473696515608</t>
  </si>
  <si>
    <t>-669.862596065345 83.2405429144708 -677.146350714501</t>
  </si>
  <si>
    <t>-660.535647922578 62.8301158855286 -827.799670233065</t>
  </si>
  <si>
    <t>-625.128053497187 36.5248323642352 -919.654524937992</t>
  </si>
  <si>
    <t>-650.698178725465 100.267768237682 -764.124174558393</t>
  </si>
  <si>
    <t>-565.08467128683 219.584356246549 -756.54911185629</t>
  </si>
  <si>
    <t>-471.200507402939 144.282068274977 -463.800757609795</t>
  </si>
  <si>
    <t>-287.116791052116 54.2671860042658 -303.636611380035</t>
  </si>
  <si>
    <t>-678.626983175511 43.4543120723488 -758.156253827085</t>
  </si>
  <si>
    <t>-575.761688805343 222.341778081966 -243.294095372972</t>
  </si>
  <si>
    <t>-588.093382302415 203.312312913063 211.836083095229</t>
  </si>
  <si>
    <t>-627.938449018634 166.558069049131 678.482545354806</t>
  </si>
  <si>
    <t>-494.008569814557 91.7366495830543 764.552618986366</t>
  </si>
  <si>
    <t>-640.320909395649 39.4409596356033 -207.541330895836</t>
  </si>
  <si>
    <t>-575.287424625924 -2.24864805298012 241.558043674735</t>
  </si>
  <si>
    <t>-763.113425396307 110.870470464116 657.244979714854</t>
  </si>
  <si>
    <t>-679.769893679676 -18.7063783662175 742.140238720369</t>
  </si>
  <si>
    <t>9763-20170724T160615.124854200.bin</t>
  </si>
  <si>
    <t>-608.119632624112 130.694855268581 -225.747062637142</t>
  </si>
  <si>
    <t>-645.390627225208 121.078038728736 -340.578283209148</t>
  </si>
  <si>
    <t>-662.863397367832 108.933956571362 -459.900470218864</t>
  </si>
  <si>
    <t>-670.400165793239 96.6779120812791 -568.472208008906</t>
  </si>
  <si>
    <t>-669.758446734491 83.0609453417753 -677.141573599058</t>
  </si>
  <si>
    <t>-660.364979592332 62.6042474035032 -827.78448067126</t>
  </si>
  <si>
    <t>-624.941571752818 36.3024224082506 -919.634229851853</t>
  </si>
  <si>
    <t>-650.558582897698 100.062846431619 -764.116474557396</t>
  </si>
  <si>
    <t>-564.961358413846 219.380888260332 -756.548331430139</t>
  </si>
  <si>
    <t>-471.060590137369 144.194999106501 -463.775541629971</t>
  </si>
  <si>
    <t>-286.947040519291 54.2168663906889 -303.625064377482</t>
  </si>
  <si>
    <t>-678.484055591515 43.2485075949112 -758.142784002325</t>
  </si>
  <si>
    <t>-575.84612829659 222.182118787168 -243.261344806543</t>
  </si>
  <si>
    <t>-588.130836090966 203.129167520782 211.869109204947</t>
  </si>
  <si>
    <t>-628.004622322885 166.474393716403 678.512657629115</t>
  </si>
  <si>
    <t>-494.021768216922 91.7233104559712 764.561372402158</t>
  </si>
  <si>
    <t>-640.243577886822 39.2865830535256 -207.576185638215</t>
  </si>
  <si>
    <t>-575.141729740669 -2.30063490779685 241.522882380869</t>
  </si>
  <si>
    <t>-762.973624215697 110.858948125843 657.174825809015</t>
  </si>
  <si>
    <t>-679.720368500805 -18.6867581683757 742.206061212113</t>
  </si>
  <si>
    <t>9763-20170724T160615.190042900.bin</t>
  </si>
  <si>
    <t>-608.123042671175 130.409867058571 -225.776335185502</t>
  </si>
  <si>
    <t>-645.435380319228 120.815005464477 -340.595956246227</t>
  </si>
  <si>
    <t>-662.852509428084 108.656387722835 -459.924864254573</t>
  </si>
  <si>
    <t>-670.298919093515 96.3722757843075 -568.499685121112</t>
  </si>
  <si>
    <t>-669.527405433334 82.7119920392493 -677.162631918808</t>
  </si>
  <si>
    <t>-659.913154119647 62.1794059062968 -827.781344573854</t>
  </si>
  <si>
    <t>-624.405241732459 35.8806286488793 -919.599421505664</t>
  </si>
  <si>
    <t>-650.208735693909 99.6743530291762 -764.119092923657</t>
  </si>
  <si>
    <t>-564.596344651495 219.006777773826 -756.509556191264</t>
  </si>
  <si>
    <t>-470.96563494093 143.827585573431 -463.648686515321</t>
  </si>
  <si>
    <t>-286.703361310307 54.0370602037838 -303.563822747303</t>
  </si>
  <si>
    <t>-678.125521589526 42.8546101513846 -758.155348474996</t>
  </si>
  <si>
    <t>-575.934502312268 221.862714914024 -243.281982185204</t>
  </si>
  <si>
    <t>-587.997231581025 202.832895244288 211.85542329796</t>
  </si>
  <si>
    <t>-628.007064465132 166.437619699981 678.498436780523</t>
  </si>
  <si>
    <t>-494.030021899996 91.7013222586243 764.569024458964</t>
  </si>
  <si>
    <t>-640.164253371504 39.0213982363664 -207.579875647092</t>
  </si>
  <si>
    <t>-574.837956768406 -2.34821484260124 241.506587186553</t>
  </si>
  <si>
    <t>-762.744637645865 110.878838583343 657.088005485219</t>
  </si>
  <si>
    <t>-679.666933090698 -18.6545361883273 742.309517955195</t>
  </si>
  <si>
    <t>9763-20170724T160615.232154600.bin</t>
  </si>
  <si>
    <t>-608.088291577908 130.32144989352 -225.734582509691</t>
  </si>
  <si>
    <t>-645.393330693026 120.718331536618 -340.555845388517</t>
  </si>
  <si>
    <t>-662.772632556862 108.528459806226 -459.887022731974</t>
  </si>
  <si>
    <t>-670.172650794271 96.2080153433528 -568.460989317855</t>
  </si>
  <si>
    <t>-669.342536010348 82.5044890783374 -677.118085993853</t>
  </si>
  <si>
    <t>-659.634421430862 61.9054271714276 -827.721594643829</t>
  </si>
  <si>
    <t>-624.072230102271 35.6149933357583 -919.5210011007</t>
  </si>
  <si>
    <t>-649.974478674603 99.430725686866 -764.070625782688</t>
  </si>
  <si>
    <t>-564.455606204412 218.801381503683 -756.430530736683</t>
  </si>
  <si>
    <t>-470.918855381504 143.685847379755 -463.52309145307</t>
  </si>
  <si>
    <t>-286.622412735904 53.8971910950652 -303.476610335933</t>
  </si>
  <si>
    <t>-677.885459036532 42.6090026849681 -758.097872267645</t>
  </si>
  <si>
    <t>-575.900285179359 221.757723774233 -243.26369266078</t>
  </si>
  <si>
    <t>-587.97808518124 202.789332453435 211.875855449191</t>
  </si>
  <si>
    <t>-628.009633405309 166.461780647435 678.514079909255</t>
  </si>
  <si>
    <t>-494.000793016114 91.7743172840615 764.577566825762</t>
  </si>
  <si>
    <t>-640.130237933812 38.9727151261602 -207.524161160199</t>
  </si>
  <si>
    <t>-574.758200636028 -2.41102581208565 241.55438939925</t>
  </si>
  <si>
    <t>-762.693449677409 110.882048109451 657.087467219216</t>
  </si>
  <si>
    <t>-679.660506263721 -18.650003013161 742.354668475701</t>
  </si>
  <si>
    <t>9763-20170724T160615.295324300.bin</t>
  </si>
  <si>
    <t>-607.928161857021 130.085379964825 -225.711628065138</t>
  </si>
  <si>
    <t>-645.167113682782 120.385403870995 -340.546214523524</t>
  </si>
  <si>
    <t>-662.492228842744 108.133289213975 -459.878987609157</t>
  </si>
  <si>
    <t>-669.848213186994 95.7701090861478 -568.450883772209</t>
  </si>
  <si>
    <t>-668.979582465661 82.036206016264 -677.103941841665</t>
  </si>
  <si>
    <t>-659.223631841423 61.407264307235 -827.700328613234</t>
  </si>
  <si>
    <t>-623.570458650952 35.1745992248623 -919.480865682067</t>
  </si>
  <si>
    <t>-649.591628734502 98.9489397838975 -764.054647964876</t>
  </si>
  <si>
    <t>-564.108358456952 218.361075564478 -756.406624094428</t>
  </si>
  <si>
    <t>-470.786487279881 143.198547382003 -463.442634140434</t>
  </si>
  <si>
    <t>-286.304051426648 53.7226814011233 -303.435457307094</t>
  </si>
  <si>
    <t>-677.488906498679 42.1210924747131 -758.07758086067</t>
  </si>
  <si>
    <t>-575.853788228306 221.515112817108 -243.28969563822</t>
  </si>
  <si>
    <t>-587.981804384615 202.715085127136 211.855499886903</t>
  </si>
  <si>
    <t>-628.004149330287 166.396311393365 678.497991716311</t>
  </si>
  <si>
    <t>-493.89493922883 91.908474455656 764.578133827938</t>
  </si>
  <si>
    <t>-639.879003671454 38.7011149830166 -207.477437085787</t>
  </si>
  <si>
    <t>-574.543507261909 -2.49948956176172 241.623272129961</t>
  </si>
  <si>
    <t>-762.611825281185 110.9088891403 657.096345926705</t>
  </si>
  <si>
    <t>-679.639937162789 -18.6249906033468 742.420168408005</t>
  </si>
  <si>
    <t>9763-20170724T160615.326412400.bin</t>
  </si>
  <si>
    <t>-607.895246463463 129.935856278319 -225.683042330083</t>
  </si>
  <si>
    <t>-645.141782041347 120.223309374806 -340.513941292623</t>
  </si>
  <si>
    <t>-662.469381197485 107.963777762307 -459.845591248914</t>
  </si>
  <si>
    <t>-669.825528426947 95.5954997331771 -568.417112907018</t>
  </si>
  <si>
    <t>-668.954829383439 81.8579913063747 -677.069544328266</t>
  </si>
  <si>
    <t>-659.193687868651 61.2253896577208 -827.665167867104</t>
  </si>
  <si>
    <t>-623.499486513954 35.0262846566477 -919.439405156185</t>
  </si>
  <si>
    <t>-649.574615558601 98.7737812339692 -764.02152078148</t>
  </si>
  <si>
    <t>-564.147947560844 218.212551573299 -756.384753954789</t>
  </si>
  <si>
    <t>-470.770999767189 143.063744306357 -463.434875044528</t>
  </si>
  <si>
    <t>-286.292017304173 53.6718307444385 -303.376722563111</t>
  </si>
  <si>
    <t>-677.450662308812 41.9356930106892 -758.041157922293</t>
  </si>
  <si>
    <t>-575.862970642535 221.37484739189 -243.281307709394</t>
  </si>
  <si>
    <t>-587.97349977781 202.630729369732 211.866676962734</t>
  </si>
  <si>
    <t>-628.008992410326 166.390228929576 678.51396389288</t>
  </si>
  <si>
    <t>-493.865271295327 91.9601210571063 764.590295725853</t>
  </si>
  <si>
    <t>-639.809717394945 38.5819292831259 -207.429725516219</t>
  </si>
  <si>
    <t>-574.419615749803 -2.53295815170509 241.67089291058</t>
  </si>
  <si>
    <t>-762.591855119665 110.925556339062 657.097822313653</t>
  </si>
  <si>
    <t>-679.644777113812 -18.6150256035728 742.435569267674</t>
  </si>
  <si>
    <t>9763-20170724T160615.394591300.bin</t>
  </si>
  <si>
    <t>-607.795810215902 129.724228875909 -225.648300583775</t>
  </si>
  <si>
    <t>-645.030078117156 119.950860156925 -340.478082324067</t>
  </si>
  <si>
    <t>-662.34412296808 107.653363363597 -459.807690732492</t>
  </si>
  <si>
    <t>-669.686870315597 95.2618844854981 -568.377403695551</t>
  </si>
  <si>
    <t>-668.801691772198 81.5126747288698 -677.028344874914</t>
  </si>
  <si>
    <t>-659.018691739589 60.8768742198265 -827.622088308967</t>
  </si>
  <si>
    <t>-623.287383403734 34.7423954670405 -919.400299507669</t>
  </si>
  <si>
    <t>-649.435109028141 98.4390120408036 -763.98120213973</t>
  </si>
  <si>
    <t>-564.174968611528 217.995171527782 -756.349546111154</t>
  </si>
  <si>
    <t>-470.733114571009 142.786368713724 -463.435780917307</t>
  </si>
  <si>
    <t>-286.154980875205 53.5905977736265 -303.382582408547</t>
  </si>
  <si>
    <t>-677.259584163955 41.5761898734545 -757.996905901761</t>
  </si>
  <si>
    <t>-575.808274628085 221.18482867195 -243.252799923013</t>
  </si>
  <si>
    <t>-587.939898182108 202.588075077549 211.900693758991</t>
  </si>
  <si>
    <t>-628.019811321775 166.431114665985 678.549639261965</t>
  </si>
  <si>
    <t>-493.897088919368 91.9424419490222 764.608012829446</t>
  </si>
  <si>
    <t>-639.640903606288 38.3027434396374 -207.362892010813</t>
  </si>
  <si>
    <t>-574.221685649722 -2.56546771684907 241.755978607642</t>
  </si>
  <si>
    <t>-762.526421566761 110.965681060327 657.084293152812</t>
  </si>
  <si>
    <t>-679.619126053502 -18.5900142164801 742.437712535033</t>
  </si>
  <si>
    <t>9763-20170724T160615.425684100.bin</t>
  </si>
  <si>
    <t>-607.727507576325 129.584307347117 -225.619597421595</t>
  </si>
  <si>
    <t>-644.962485413159 119.783165066226 -340.446904714256</t>
  </si>
  <si>
    <t>-662.276622549019 107.482107930159 -459.776056438718</t>
  </si>
  <si>
    <t>-669.618759221842 95.0986588481999 -568.346842033417</t>
  </si>
  <si>
    <t>-668.731739952567 81.3697542884979 -677.000175944341</t>
  </si>
  <si>
    <t>-658.944620082464 60.7755893099968 -827.599478272603</t>
  </si>
  <si>
    <t>-623.197783449984 34.6913849526236 -919.385812797648</t>
  </si>
  <si>
    <t>-649.376627348816 98.3267115895126 -763.949714480741</t>
  </si>
  <si>
    <t>-564.174431413971 217.936922331127 -756.30806747064</t>
  </si>
  <si>
    <t>-470.665709832369 142.802190396086 -463.396736491761</t>
  </si>
  <si>
    <t>-286.034564523791 53.696398519244 -303.354306891328</t>
  </si>
  <si>
    <t>-677.173622546741 41.4490024223201 -757.978110970141</t>
  </si>
  <si>
    <t>-575.734624795587 221.078090776987 -243.246414302952</t>
  </si>
  <si>
    <t>-587.892226086172 202.534491194786 211.908583306817</t>
  </si>
  <si>
    <t>-628.030452323866 166.456428513443 678.567880654703</t>
  </si>
  <si>
    <t>-493.922641681202 91.9175157316706 764.606020592723</t>
  </si>
  <si>
    <t>-639.571042967319 38.1326990751206 -207.319396000262</t>
  </si>
  <si>
    <t>-574.139353390413 -2.60752735112646 241.809293276153</t>
  </si>
  <si>
    <t>-762.482894459114 110.994080257204 657.080796018566</t>
  </si>
  <si>
    <t>-679.614548472696 -18.5754499272246 742.451079870767</t>
  </si>
  <si>
    <t>9763-20170724T160615.493864800.bin</t>
  </si>
  <si>
    <t>-607.643028212935 129.307840681298 -225.569249157154</t>
  </si>
  <si>
    <t>-644.902045360514 119.496363601253 -340.387888929612</t>
  </si>
  <si>
    <t>-662.233462097578 107.179075671768 -459.71298610353</t>
  </si>
  <si>
    <t>-669.587908481089 94.780897713749 -568.281149284683</t>
  </si>
  <si>
    <t>-668.709527000865 81.0385928700616 -676.932998971241</t>
  </si>
  <si>
    <t>-658.930549750288 60.4280824127793 -827.530518116566</t>
  </si>
  <si>
    <t>-623.170484873 34.4279837667425 -919.335618169373</t>
  </si>
  <si>
    <t>-649.388004023528 97.9998655793365 -763.889044383328</t>
  </si>
  <si>
    <t>-564.3085494193 217.700172256504 -756.304810151859</t>
  </si>
  <si>
    <t>-470.939100735965 142.587383270026 -463.343452555049</t>
  </si>
  <si>
    <t>-286.266290892765 53.9785016196606 -303.0733017027</t>
  </si>
  <si>
    <t>-677.126836614793 41.0953736019103 -757.902447115586</t>
  </si>
  <si>
    <t>-575.715041053536 220.847853776928 -243.20867237316</t>
  </si>
  <si>
    <t>-587.769884679756 202.343915111919 211.950563462076</t>
  </si>
  <si>
    <t>-628.061942760299 166.386064817445 678.588017920936</t>
  </si>
  <si>
    <t>-493.880689419644 91.9566765662573 764.606462295267</t>
  </si>
  <si>
    <t>-639.427630646293 37.8749590241957 -207.248471918377</t>
  </si>
  <si>
    <t>-573.922563612941 -2.76826636607962 241.878339887523</t>
  </si>
  <si>
    <t>-762.387919902566 111.011286176874 657.028948506364</t>
  </si>
  <si>
    <t>-679.57076234024 -18.5406782403568 742.475451058667</t>
  </si>
  <si>
    <t>9763-20170724T160615.521957800.bin</t>
  </si>
  <si>
    <t>-607.603254211399 129.21451669916 -225.561518570163</t>
  </si>
  <si>
    <t>-644.866096717423 119.376178385855 -340.376558766496</t>
  </si>
  <si>
    <t>-662.208139131521 107.051803327937 -459.699523285415</t>
  </si>
  <si>
    <t>-669.574756479145 94.6552386518822 -568.26693402321</t>
  </si>
  <si>
    <t>-668.710784791959 80.9226752937921 -676.920106362103</t>
  </si>
  <si>
    <t>-658.95411762799 60.3339159721154 -827.52201981495</t>
  </si>
  <si>
    <t>-623.192227394679 34.3880183916767 -919.34194674529</t>
  </si>
  <si>
    <t>-649.414516068794 97.9023896537458 -763.878285333669</t>
  </si>
  <si>
    <t>-564.416775045709 217.655914256846 -756.316686863585</t>
  </si>
  <si>
    <t>-471.145741694165 142.5654262999 -463.318101902815</t>
  </si>
  <si>
    <t>-286.423841870445 54.3672383354981 -302.878253293956</t>
  </si>
  <si>
    <t>-677.12768275411 40.9853215246696 -757.892522247008</t>
  </si>
  <si>
    <t>-575.709715674153 220.709335358868 -243.217756121414</t>
  </si>
  <si>
    <t>-587.751728024639 202.240943164694 211.943279209024</t>
  </si>
  <si>
    <t>-628.047160272498 166.342219289111 678.567823862195</t>
  </si>
  <si>
    <t>-493.804468893558 92.0479350498354 764.607120837579</t>
  </si>
  <si>
    <t>-639.354138842094 37.8353445596924 -207.219038813331</t>
  </si>
  <si>
    <t>-573.82652470456 -2.84699165962638 241.900914505845</t>
  </si>
  <si>
    <t>-762.355193439041 111.029202125325 657.014966207152</t>
  </si>
  <si>
    <t>-679.558053949379 -18.5252529037862 742.477184779349</t>
  </si>
  <si>
    <t>9763-20170724T160615.592148100.bin</t>
  </si>
  <si>
    <t>-607.592308165042 129.034618068809 -225.562885300701</t>
  </si>
  <si>
    <t>-644.858653095589 119.146157842713 -340.372547548927</t>
  </si>
  <si>
    <t>-662.220817562833 106.829641447196 -459.693290264496</t>
  </si>
  <si>
    <t>-669.611578288393 94.4642965593048 -568.26257441527</t>
  </si>
  <si>
    <t>-668.777024385461 80.7872902569234 -676.923039420221</t>
  </si>
  <si>
    <t>-659.066047608195 60.3012355317833 -827.541991496468</t>
  </si>
  <si>
    <t>-623.291656059202 34.4866290716714 -919.393906388531</t>
  </si>
  <si>
    <t>-649.529865917474 97.8368530532575 -763.878397345517</t>
  </si>
  <si>
    <t>-564.606553728126 217.648202366197 -756.291417906767</t>
  </si>
  <si>
    <t>-471.63499009844 142.185884060716 -463.293329242592</t>
  </si>
  <si>
    <t>-286.084412310116 56.3868489258382 -302.50909491237</t>
  </si>
  <si>
    <t>-677.195934441802 40.8943932250288 -757.917241081621</t>
  </si>
  <si>
    <t>-575.763556242267 220.528390920131 -243.241697382414</t>
  </si>
  <si>
    <t>-587.784250898908 202.176211481101 211.924675269831</t>
  </si>
  <si>
    <t>-628.050054396785 166.333497115331 678.588694897566</t>
  </si>
  <si>
    <t>-493.792368431954 92.0549783039066 764.618247831024</t>
  </si>
  <si>
    <t>-639.281300373627 37.6025792366577 -207.218039825193</t>
  </si>
  <si>
    <t>-573.744400275238 -2.82300569492531 241.923728273585</t>
  </si>
  <si>
    <t>-762.358533933904 111.025621635295 657.017873598125</t>
  </si>
  <si>
    <t>-679.530935511214 -18.4979508457377 742.497410572594</t>
  </si>
  <si>
    <t>9763-20170724T160615.629260000.bin</t>
  </si>
  <si>
    <t>-607.622411822509 129.024139293598 -225.56530411962</t>
  </si>
  <si>
    <t>-644.893212218495 119.118226353501 -340.37200209099</t>
  </si>
  <si>
    <t>-662.263974006549 106.811935133154 -459.692449651626</t>
  </si>
  <si>
    <t>-669.663821270816 94.4671373731358 -568.263628433162</t>
  </si>
  <si>
    <t>-668.839326501072 80.8220404839483 -676.928186361007</t>
  </si>
  <si>
    <t>-659.143001753273 60.3921983079349 -827.555573963218</t>
  </si>
  <si>
    <t>-623.361171616881 34.6454968992664 -919.423701685672</t>
  </si>
  <si>
    <t>-649.608265792761 97.9078625982118 -763.879834982378</t>
  </si>
  <si>
    <t>-564.711103212768 217.726935921432 -756.2683050456</t>
  </si>
  <si>
    <t>-471.858785919764 142.023351185904 -463.294614859851</t>
  </si>
  <si>
    <t>-284.592618460455 59.8247054125234 -302.618267693322</t>
  </si>
  <si>
    <t>-677.258328174159 40.9557495307395 -757.935374631221</t>
  </si>
  <si>
    <t>-575.833185686472 220.535102494381 -243.254456483931</t>
  </si>
  <si>
    <t>-587.81367043806 202.191584538616 211.913232036465</t>
  </si>
  <si>
    <t>-628.023859487284 166.40644133296 678.572757470124</t>
  </si>
  <si>
    <t>-493.79559255764 92.0916750898475 764.616953006861</t>
  </si>
  <si>
    <t>-639.279039687098 37.6420115598123 -207.201609543457</t>
  </si>
  <si>
    <t>-573.735773565188 -2.83856302935237 241.934314203477</t>
  </si>
  <si>
    <t>-762.330469370769 111.060101695422 657.023397360573</t>
  </si>
  <si>
    <t>-679.56954893963 -18.5063278623361 742.502526667363</t>
  </si>
  <si>
    <t>9763-20170724T160615.692441600.bin</t>
  </si>
  <si>
    <t>-607.707592976869 128.895172039644 -225.610128847044</t>
  </si>
  <si>
    <t>-644.995991845138 118.965540927671 -340.408912907529</t>
  </si>
  <si>
    <t>-662.435226960115 106.658890194924 -459.719383832058</t>
  </si>
  <si>
    <t>-669.917186092047 94.3249854587984 -568.286248807932</t>
  </si>
  <si>
    <t>-669.194293232704 80.7029814380528 -676.954418043642</t>
  </si>
  <si>
    <t>-659.658770754208 60.3185879143498 -827.598189296042</t>
  </si>
  <si>
    <t>-623.893207345903 34.6812646338005 -919.503118229246</t>
  </si>
  <si>
    <t>-650.077098050949 97.8248736223843 -763.924105811767</t>
  </si>
  <si>
    <t>-565.281597609189 217.722171752754 -756.393527651456</t>
  </si>
  <si>
    <t>-472.043431226401 141.422726320489 -463.697102395189</t>
  </si>
  <si>
    <t>-281.045315096382 68.2535689713445 -303.048297151463</t>
  </si>
  <si>
    <t>-677.678831946446 40.8511669719298 -757.961746769902</t>
  </si>
  <si>
    <t>-575.944890612055 220.363217746971 -243.298589596518</t>
  </si>
  <si>
    <t>-587.86371660596 202.099629677814 211.87397346437</t>
  </si>
  <si>
    <t>-628.007755213526 166.430892231767 678.567100052587</t>
  </si>
  <si>
    <t>-493.808517576918 92.0761581901934 764.622013963452</t>
  </si>
  <si>
    <t>-639.324179713161 37.4581377662901 -207.257428231114</t>
  </si>
  <si>
    <t>-573.79547094988 -2.78851863666046 241.901639755907</t>
  </si>
  <si>
    <t>-762.355874749955 111.029351837467 657.019018337286</t>
  </si>
  <si>
    <t>-679.546337645728 -18.4816233073511 742.535162876265</t>
  </si>
  <si>
    <t>9763-20170724T160615.724527300.bin</t>
  </si>
  <si>
    <t>-607.795833967151 128.794523195474 -225.655537971074</t>
  </si>
  <si>
    <t>-645.097021382204 118.878435701052 -340.451517812123</t>
  </si>
  <si>
    <t>-662.601595200106 106.585751909262 -459.753693183998</t>
  </si>
  <si>
    <t>-670.164205591833 94.26438063971 -568.316335438295</t>
  </si>
  <si>
    <t>-669.543366933715 80.6546171835541 -676.986735618598</t>
  </si>
  <si>
    <t>-660.171555452052 60.2867919621413 -827.642907139847</t>
  </si>
  <si>
    <t>-624.433991449386 34.6929584365444 -919.571011624319</t>
  </si>
  <si>
    <t>-650.51685176836 97.7842691723768 -763.974825938948</t>
  </si>
  <si>
    <t>-565.657026601857 217.661334626453 -756.56146271489</t>
  </si>
  <si>
    <t>-472.518740942307 140.805418944165 -463.97881873336</t>
  </si>
  <si>
    <t>-281.584093484465 70.3142569310514 -302.062252146755</t>
  </si>
  <si>
    <t>-678.119751469408 40.8135494251712 -757.989773382284</t>
  </si>
  <si>
    <t>-576.058975901693 220.261617464551 -243.325050709019</t>
  </si>
  <si>
    <t>-587.913876866165 201.95894386263 211.847576809725</t>
  </si>
  <si>
    <t>-628.02799269572 166.379044930901 678.570485627023</t>
  </si>
  <si>
    <t>-493.757191717681 92.1443100503079 764.617361688994</t>
  </si>
  <si>
    <t>-639.40797035698 37.4253837888484 -207.306421951566</t>
  </si>
  <si>
    <t>-573.952672831718 -2.87168657213533 241.858763364026</t>
  </si>
  <si>
    <t>-762.347287941062 111.01789046427 657.025198784121</t>
  </si>
  <si>
    <t>-679.537962495325 -18.4738252031584 742.570608755874</t>
  </si>
  <si>
    <t>9763-20170724T160615.794714100.bin</t>
  </si>
  <si>
    <t>-608.014440773163 128.612620343083 -225.69966199061</t>
  </si>
  <si>
    <t>-645.348325438734 118.708935335418 -340.485882856142</t>
  </si>
  <si>
    <t>-662.97011963807 106.396608737884 -459.769065356366</t>
  </si>
  <si>
    <t>-670.673622385072 94.0441937717717 -568.318207043259</t>
  </si>
  <si>
    <t>-670.228773565904 80.3895794836285 -676.983806417799</t>
  </si>
  <si>
    <t>-661.137695028257 59.9448709405351 -827.646863078812</t>
  </si>
  <si>
    <t>-625.508326187111 34.3919422321114 -919.628266684948</t>
  </si>
  <si>
    <t>-651.349069110136 97.4675498215643 -764.013888883892</t>
  </si>
  <si>
    <t>-566.406153006684 217.296390628967 -756.971116711945</t>
  </si>
  <si>
    <t>-473.754286053163 139.760076218736 -464.413512977466</t>
  </si>
  <si>
    <t>-287.517883727524 69.2197599640579 -297.134969045261</t>
  </si>
  <si>
    <t>-678.971391121651 40.5144542049318 -757.952346864289</t>
  </si>
  <si>
    <t>-576.259036760599 220.077442938768 -243.398663157446</t>
  </si>
  <si>
    <t>-587.960728987578 201.788688224102 211.778534294869</t>
  </si>
  <si>
    <t>-627.952657886365 166.452283081896 678.503340584748</t>
  </si>
  <si>
    <t>-493.780467889962 92.111265874348 764.612284642607</t>
  </si>
  <si>
    <t>-639.621946147883 37.1854862726161 -207.350391642991</t>
  </si>
  <si>
    <t>-574.139958761454 -2.87486921022992 241.832152018609</t>
  </si>
  <si>
    <t>-762.384768308034 110.991045527707 657.074722801285</t>
  </si>
  <si>
    <t>-679.523609792433 -18.4599419990245 742.631572892836</t>
  </si>
  <si>
    <t>9763-20170724T160615.825820600.bin</t>
  </si>
  <si>
    <t>-608.071513936735 128.509458151065 -225.707061959111</t>
  </si>
  <si>
    <t>-645.426598079964 118.568929996894 -340.483395411634</t>
  </si>
  <si>
    <t>-663.043726668977 106.212801361278 -459.762494925331</t>
  </si>
  <si>
    <t>-670.732340219278 93.8175735649684 -568.307935011893</t>
  </si>
  <si>
    <t>-670.261972447562 80.1168056680301 -676.967434674846</t>
  </si>
  <si>
    <t>-661.124444383014 59.6044641491565 -827.618611754898</t>
  </si>
  <si>
    <t>-625.50366143861 34.0742728209252 -919.60967836737</t>
  </si>
  <si>
    <t>-651.343949736543 97.1503037337916 -763.998136952956</t>
  </si>
  <si>
    <t>-566.280101853619 216.89580408491 -757.171372940873</t>
  </si>
  <si>
    <t>-474.540807624731 139.65543401439 -464.248098693093</t>
  </si>
  <si>
    <t>-290.007554893323 69.0641393838021 -295.113956773153</t>
  </si>
  <si>
    <t>-678.991096310599 40.2107607294827 -757.922251879812</t>
  </si>
  <si>
    <t>-576.29330634821 219.94454561062 -243.418168883296</t>
  </si>
  <si>
    <t>-587.942122484301 201.697904297117 211.762078652521</t>
  </si>
  <si>
    <t>-627.960886270995 166.437991912463 678.512407483842</t>
  </si>
  <si>
    <t>-493.770411238994 92.1139070552792 764.607447330553</t>
  </si>
  <si>
    <t>-639.70259900581 37.1208034822944 -207.310500755944</t>
  </si>
  <si>
    <t>-574.149107050356 -2.94560291603443 241.861017212692</t>
  </si>
  <si>
    <t>-762.390825761593 110.993526152905 657.094881070969</t>
  </si>
  <si>
    <t>-679.513465896283 -18.4459063399781 742.653536585382</t>
  </si>
  <si>
    <t>9763-20170724T160615.892999800.bin</t>
  </si>
  <si>
    <t>-608.20415967718 128.36566967213 -225.66934895371</t>
  </si>
  <si>
    <t>-645.626698646339 118.396690672091 -340.421126935531</t>
  </si>
  <si>
    <t>-663.311414273225 106.00637924996 -459.686644914862</t>
  </si>
  <si>
    <t>-671.060261098319 93.5803818840677 -568.224341902074</t>
  </si>
  <si>
    <t>-670.648616670943 79.85053265794 -676.880468780625</t>
  </si>
  <si>
    <t>-661.590919061543 59.3004712006039 -827.531356632241</t>
  </si>
  <si>
    <t>-626.015953643604 33.8379774191835 -919.558884898605</t>
  </si>
  <si>
    <t>-651.787048926401 96.8671699225936 -763.926625222128</t>
  </si>
  <si>
    <t>-566.710992355958 216.638993422006 -757.502539887404</t>
  </si>
  <si>
    <t>-476.742021798968 139.499592470286 -464.00426653077</t>
  </si>
  <si>
    <t>-293.854826394645 70.848135607589 -292.302955713034</t>
  </si>
  <si>
    <t>-679.410259905736 39.919338104022 -757.819362706108</t>
  </si>
  <si>
    <t>-576.426312872834 219.825095198401 -243.434002949503</t>
  </si>
  <si>
    <t>-587.976844053973 201.645626378476 211.751433654967</t>
  </si>
  <si>
    <t>-627.951590091386 166.504396509505 678.506070684175</t>
  </si>
  <si>
    <t>-493.821033085075 92.062934291584 764.593074543842</t>
  </si>
  <si>
    <t>-639.825731591834 37.014563306552 -207.220032728404</t>
  </si>
  <si>
    <t>-574.149437146589 -3.05240941428656 241.933584842817</t>
  </si>
  <si>
    <t>-762.374052046599 111.013906770162 657.124709253173</t>
  </si>
  <si>
    <t>-679.515098733223 -18.4313132883492 742.692400271769</t>
  </si>
  <si>
    <t>9763-20170724T160615.927121200.bin</t>
  </si>
  <si>
    <t>-608.352764966109 128.304437172405 -225.67096981498</t>
  </si>
  <si>
    <t>-645.824390718053 118.333235784109 -340.406683133947</t>
  </si>
  <si>
    <t>-663.533582575538 105.917533353804 -459.666083118548</t>
  </si>
  <si>
    <t>-671.294246789367 93.4597911928497 -568.199048962816</t>
  </si>
  <si>
    <t>-670.884132527494 79.6897713752996 -676.850231923748</t>
  </si>
  <si>
    <t>-661.817725568401 59.0757735601585 -827.491799317593</t>
  </si>
  <si>
    <t>-626.205691491576 33.6313672305671 -919.509945923917</t>
  </si>
  <si>
    <t>-652.03588614941 96.6780839548624 -763.904761546034</t>
  </si>
  <si>
    <t>-567.035882371491 216.512679985177 -757.714994247472</t>
  </si>
  <si>
    <t>-477.929404248216 139.24173074242 -463.988126391424</t>
  </si>
  <si>
    <t>-295.242194190024 71.7460293399251 -291.617229857897</t>
  </si>
  <si>
    <t>-679.622717378716 39.7156386425713 -757.770311814475</t>
  </si>
  <si>
    <t>-576.619735993082 219.793104672181 -243.455114788708</t>
  </si>
  <si>
    <t>-587.984194759408 201.575975135022 211.73347531844</t>
  </si>
  <si>
    <t>-627.937636621206 166.472330298966 678.484785675085</t>
  </si>
  <si>
    <t>-493.803387719495 92.0632034799676 764.593972936795</t>
  </si>
  <si>
    <t>-639.943653086899 36.9232591631885 -207.215210588001</t>
  </si>
  <si>
    <t>-574.166075301111 -3.03502423439477 241.933191995365</t>
  </si>
  <si>
    <t>-762.368066682601 111.019937545385 657.137456814488</t>
  </si>
  <si>
    <t>-679.509055846841 -18.4211814457799 742.711265491629</t>
  </si>
  <si>
    <t>9763-20170724T160615.991290100.bin</t>
  </si>
  <si>
    <t>-608.816424355446 128.252240178344 -225.698762282286</t>
  </si>
  <si>
    <t>-646.357628574034 118.214779307089 -340.405807313486</t>
  </si>
  <si>
    <t>-664.056958341354 105.693590355042 -459.655645875713</t>
  </si>
  <si>
    <t>-671.775279446352 93.1278857824027 -568.179269554859</t>
  </si>
  <si>
    <t>-671.289550638992 79.2388318176818 -676.814916144425</t>
  </si>
  <si>
    <t>-662.083382667375 58.4499280369716 -827.423864018747</t>
  </si>
  <si>
    <t>-626.316768279183 33.0473877307134 -919.393696927084</t>
  </si>
  <si>
    <t>-652.417329311126 96.1527909397782 -763.878853777462</t>
  </si>
  <si>
    <t>-567.736554062408 216.220563382344 -757.920533460665</t>
  </si>
  <si>
    <t>-478.246969998939 140.035709216532 -464.026469188241</t>
  </si>
  <si>
    <t>-280.951216740854 88.3396212810499 -302.645242505168</t>
  </si>
  <si>
    <t>-679.896254569309 39.1440434919541 -757.689374703695</t>
  </si>
  <si>
    <t>-577.190997992081 219.739995781434 -243.517001251987</t>
  </si>
  <si>
    <t>-588.184265253575 201.507844714945 211.680061462525</t>
  </si>
  <si>
    <t>-627.903254906745 166.484167817799 678.457469270342</t>
  </si>
  <si>
    <t>-493.695392197989 92.2221210585506 764.578967907483</t>
  </si>
  <si>
    <t>-640.28131170008 36.8589814616378 -207.191213037798</t>
  </si>
  <si>
    <t>-574.279522944732 -2.92650314849902 241.939638506785</t>
  </si>
  <si>
    <t>-762.37710909429 111.04391265433 657.18534214273</t>
  </si>
  <si>
    <t>-679.491558292358 -18.3883578101925 742.746888950151</t>
  </si>
  <si>
    <t>9763-20170724T160616.026935900.bin</t>
  </si>
  <si>
    <t>-609.0571946386 128.27795834078 -225.728914258745</t>
  </si>
  <si>
    <t>-646.558895863108 118.180957354504 -340.443766801663</t>
  </si>
  <si>
    <t>-664.22493442687 105.580237245677 -459.69001694341</t>
  </si>
  <si>
    <t>-671.915979614345 92.9371817716394 -568.206718527783</t>
  </si>
  <si>
    <t>-671.406034884999 78.9665232129103 -676.831811184277</t>
  </si>
  <si>
    <t>-662.16961098935 58.0607998948888 -827.422714358814</t>
  </si>
  <si>
    <t>-626.330971820084 32.6893837899838 -919.37322028754</t>
  </si>
  <si>
    <t>-652.56988949222 95.8378045836469 -763.9117735505</t>
  </si>
  <si>
    <t>-568.127424012459 216.072639480484 -757.969730897467</t>
  </si>
  <si>
    <t>-477.949837882254 140.552493505954 -464.114590123192</t>
  </si>
  <si>
    <t>-270.351796382802 96.6798944601162 -313.714089820793</t>
  </si>
  <si>
    <t>-679.943091929345 38.783947005682 -757.670150297149</t>
  </si>
  <si>
    <t>-577.545514325776 219.814776769627 -243.552623619551</t>
  </si>
  <si>
    <t>-588.407482341226 201.611498252193 211.648798642799</t>
  </si>
  <si>
    <t>-627.876553119672 166.562752041914 678.444751700855</t>
  </si>
  <si>
    <t>-493.713373283593 92.2237406116797 764.569459546979</t>
  </si>
  <si>
    <t>-640.38156864574 36.8563077486047 -207.229797040218</t>
  </si>
  <si>
    <t>-574.381565488558 -2.83983582986457 241.90926019384</t>
  </si>
  <si>
    <t>-762.403237711765 111.032763978767 657.214567881131</t>
  </si>
  <si>
    <t>-679.466136255205 -18.3675137214643 742.774643451861</t>
  </si>
  <si>
    <t>9763-20170724T160616.088098400.bin</t>
  </si>
  <si>
    <t>-609.536821282226 128.402201208722 -225.794178076758</t>
  </si>
  <si>
    <t>-646.962344038721 118.200426849828 -340.524590651602</t>
  </si>
  <si>
    <t>-664.483024614568 105.483471388812 -459.780168907576</t>
  </si>
  <si>
    <t>-672.014655985919 92.7332393349598 -568.295303686173</t>
  </si>
  <si>
    <t>-671.317828158099 78.6543482029583 -676.905346225816</t>
  </si>
  <si>
    <t>-661.793744542768 57.5982065187022 -827.457544052149</t>
  </si>
  <si>
    <t>-625.735121532326 32.4019606330426 -919.370040959039</t>
  </si>
  <si>
    <t>-652.436392018107 95.4948334146216 -763.981496476783</t>
  </si>
  <si>
    <t>-568.357253563601 215.967960277164 -757.764021322173</t>
  </si>
  <si>
    <t>-476.718554027266 143.240015207209 -463.656546351579</t>
  </si>
  <si>
    <t>-259.076798905026 101.495233177245 -327.526138001515</t>
  </si>
  <si>
    <t>-679.57929677761 38.3349811481271 -757.704279961521</t>
  </si>
  <si>
    <t>-578.335938440484 220.103140472976 -243.604252900916</t>
  </si>
  <si>
    <t>-588.957925524403 201.845833758423 211.600732541176</t>
  </si>
  <si>
    <t>-627.867201417658 166.602368143074 678.447436336768</t>
  </si>
  <si>
    <t>-493.690464709127 92.2596396849142 764.547813705866</t>
  </si>
  <si>
    <t>-640.57977116889 36.8003844672594 -207.335256801089</t>
  </si>
  <si>
    <t>-574.541501653798 -2.48427479488441 241.834387299721</t>
  </si>
  <si>
    <t>-762.449323460288 111.010982394386 657.27786163799</t>
  </si>
  <si>
    <t>-679.457199217328 -18.3442101444675 742.852664579427</t>
  </si>
  <si>
    <t>9763-20170724T160616.123214200.bin</t>
  </si>
  <si>
    <t>-609.751518003641 128.445482074326 -225.797140571809</t>
  </si>
  <si>
    <t>-647.170271201527 118.168716549694 -340.5230266442</t>
  </si>
  <si>
    <t>-664.614320770562 105.364703062537 -459.780379110601</t>
  </si>
  <si>
    <t>-672.047959657813 92.5309946662933 -568.29250162608</t>
  </si>
  <si>
    <t>-671.225008415321 78.3634496784944 -676.890247436329</t>
  </si>
  <si>
    <t>-661.497277556739 57.178291299196 -827.411223446179</t>
  </si>
  <si>
    <t>-625.338867201358 32.0497461240568 -919.3030796694</t>
  </si>
  <si>
    <t>-652.272418747285 95.1508031616138 -763.961233484955</t>
  </si>
  <si>
    <t>-568.356816664455 215.749614222628 -757.716798142104</t>
  </si>
  <si>
    <t>-476.569630046421 145.185470193806 -463.128882467791</t>
  </si>
  <si>
    <t>-256.560264218394 101.197857864417 -331.587963256457</t>
  </si>
  <si>
    <t>-679.330598029823 37.9533058266727 -757.6595451772</t>
  </si>
  <si>
    <t>-578.719573776969 220.166816200579 -243.605964305</t>
  </si>
  <si>
    <t>-589.192982186642 201.938279058343 211.603512499722</t>
  </si>
  <si>
    <t>-627.881204460898 166.574240693587 678.458844962963</t>
  </si>
  <si>
    <t>-493.615752640423 92.3625239402918 764.533926860278</t>
  </si>
  <si>
    <t>-640.656531253892 36.7706971153382 -207.306558379804</t>
  </si>
  <si>
    <t>-574.458143544533 -2.25247553077111 241.862286905296</t>
  </si>
  <si>
    <t>-762.455107754166 111.022422464146 657.317936261571</t>
  </si>
  <si>
    <t>-679.470509494286 -18.3390091803738 742.890699412182</t>
  </si>
  <si>
    <t>9763-20170724T160616.189388800.bin</t>
  </si>
  <si>
    <t>-610.059312240453 128.621330658206 -225.767402819367</t>
  </si>
  <si>
    <t>-647.534884525938 118.253364105425 -340.46665683104</t>
  </si>
  <si>
    <t>-664.896559981952 105.291146386843 -459.718993560572</t>
  </si>
  <si>
    <t>-672.197989982383 92.293713508561 -568.220498239825</t>
  </si>
  <si>
    <t>-671.185164962369 77.9456113950619 -676.792980151955</t>
  </si>
  <si>
    <t>-661.133926887947 56.4958112739557 -827.255265614379</t>
  </si>
  <si>
    <t>-624.73924964267 31.4577076890412 -919.078534257262</t>
  </si>
  <si>
    <t>-652.151296120743 94.6281396515019 -763.866324361027</t>
  </si>
  <si>
    <t>-568.809334505758 215.641746203582 -757.843137424132</t>
  </si>
  <si>
    <t>-477.337025566122 149.067159890751 -462.230497589221</t>
  </si>
  <si>
    <t>-255.776823736755 99.9113897931425 -335.199762302649</t>
  </si>
  <si>
    <t>-679.011286186071 37.3452195558411 -757.494334504969</t>
  </si>
  <si>
    <t>-579.200765028287 220.365729181488 -243.609523201862</t>
  </si>
  <si>
    <t>-589.478972989663 202.140384995947 211.60460098777</t>
  </si>
  <si>
    <t>-627.891441922169 166.665562015668 678.499950552952</t>
  </si>
  <si>
    <t>-493.615196264058 92.4012071964787 764.512789820696</t>
  </si>
  <si>
    <t>-640.771413931901 36.9880316104748 -207.223178165634</t>
  </si>
  <si>
    <t>-574.191993902495 -2.00599901816486 241.891871517594</t>
  </si>
  <si>
    <t>-762.323250067097 111.089680953617 657.304554573896</t>
  </si>
  <si>
    <t>-679.419414257173 -18.2959652877298 742.91898505365</t>
  </si>
  <si>
    <t>9763-20170724T160616.225292700.bin</t>
  </si>
  <si>
    <t>-610.199980651688 128.649405185733 -225.749488587766</t>
  </si>
  <si>
    <t>-647.683638931948 118.264070121361 -340.444370616286</t>
  </si>
  <si>
    <t>-665.014374492755 105.258814034932 -459.696493438619</t>
  </si>
  <si>
    <t>-672.271265856714 92.2160103028452 -568.195636638935</t>
  </si>
  <si>
    <t>-671.197439731329 77.8179600339924 -676.760844598572</t>
  </si>
  <si>
    <t>-661.04403663786 56.2962826664941 -827.2060071982</t>
  </si>
  <si>
    <t>-624.507103060872 31.3086145909501 -918.98648322723</t>
  </si>
  <si>
    <t>-652.157228729579 94.4828223106126 -763.836178413758</t>
  </si>
  <si>
    <t>-569.144121570276 215.717511890946 -757.912217770538</t>
  </si>
  <si>
    <t>-477.749590515474 150.276452305596 -462.022622427937</t>
  </si>
  <si>
    <t>-255.908510484983 99.7609523031767 -336.019510044379</t>
  </si>
  <si>
    <t>-678.915988291312 37.1550779818667 -757.441095681772</t>
  </si>
  <si>
    <t>-579.421213668299 220.393808148882 -243.590715167672</t>
  </si>
  <si>
    <t>-589.52395256444 202.094804731727 211.624329672078</t>
  </si>
  <si>
    <t>-627.939339309663 166.588061164055 678.544026863667</t>
  </si>
  <si>
    <t>-493.557341598311 92.4566451124015 764.50639279884</t>
  </si>
  <si>
    <t>-640.822739972498 36.9980223707464 -207.219123889298</t>
  </si>
  <si>
    <t>-574.115038283112 -1.94765140285585 241.881099230334</t>
  </si>
  <si>
    <t>-762.25738873248 111.100141921003 657.287855371179</t>
  </si>
  <si>
    <t>-679.396052975662 -18.2778986789929 742.954874597272</t>
  </si>
  <si>
    <t>9763-20170724T160616.300494700.bin</t>
  </si>
  <si>
    <t>-610.481115496539 128.693402284695 -225.764930975177</t>
  </si>
  <si>
    <t>-647.942069282261 118.269455498817 -340.463817917111</t>
  </si>
  <si>
    <t>-665.292944086294 105.151770234835 -459.700640807693</t>
  </si>
  <si>
    <t>-672.585932553915 91.9848271219198 -568.182418785575</t>
  </si>
  <si>
    <t>-671.565936181202 77.4442435120422 -676.729070681763</t>
  </si>
  <si>
    <t>-661.505705630188 55.7087818442242 -827.149752923589</t>
  </si>
  <si>
    <t>-624.761008793141 30.8417163013733 -918.879953216107</t>
  </si>
  <si>
    <t>-652.715685504755 94.0463853339966 -763.857692790621</t>
  </si>
  <si>
    <t>-570.582690659402 215.88740875061 -758.402962170423</t>
  </si>
  <si>
    <t>-477.319041214832 153.24043918969 -462.491840468148</t>
  </si>
  <si>
    <t>-253.698447539365 102.396614870751 -339.810017771238</t>
  </si>
  <si>
    <t>-679.198444755431 36.6056694139688 -757.328865793893</t>
  </si>
  <si>
    <t>-579.964557957554 220.490248917827 -243.561071409961</t>
  </si>
  <si>
    <t>-589.818970827876 202.112022217176 211.656210633248</t>
  </si>
  <si>
    <t>-627.960778841984 166.519854050377 678.550198170823</t>
  </si>
  <si>
    <t>-493.500575587697 92.5163623857011 764.500482982116</t>
  </si>
  <si>
    <t>-640.873677233537 36.9692546135939 -207.296426027512</t>
  </si>
  <si>
    <t>-574.104084738882 -1.77934360841527 241.811607345222</t>
  </si>
  <si>
    <t>-762.171364902498 111.115401165921 657.303705233394</t>
  </si>
  <si>
    <t>-679.368015757865 -18.2496122155624 743.04639041507</t>
  </si>
  <si>
    <t>9763-20170724T160616.324566100.bin</t>
  </si>
  <si>
    <t>-610.596539193761 128.775071329476 -225.797163321742</t>
  </si>
  <si>
    <t>-648.047907937989 118.346319012185 -340.49865040776</t>
  </si>
  <si>
    <t>-665.405119183353 105.212413408281 -459.732901014551</t>
  </si>
  <si>
    <t>-672.710162777754 92.0287924889858 -568.211773534674</t>
  </si>
  <si>
    <t>-671.708574425262 77.4705846113309 -676.756374512479</t>
  </si>
  <si>
    <t>-661.679999987505 55.7111824707008 -827.175610533805</t>
  </si>
  <si>
    <t>-624.842007442133 30.9478435701214 -918.896452542081</t>
  </si>
  <si>
    <t>-652.93689280063 94.0857040906083 -763.899429037102</t>
  </si>
  <si>
    <t>-571.138268090347 216.163879076847 -758.873646833273</t>
  </si>
  <si>
    <t>-477.138541793426 155.78219327853 -462.724531048852</t>
  </si>
  <si>
    <t>-252.805855844475 106.061602396211 -340.885401144357</t>
  </si>
  <si>
    <t>-679.297691512035 36.5924725528155 -757.340103984276</t>
  </si>
  <si>
    <t>-580.199661464411 220.6290949131 -243.575550470867</t>
  </si>
  <si>
    <t>-589.920470432972 202.157168919948 211.64087779179</t>
  </si>
  <si>
    <t>-627.931097717352 166.543931892857 678.541318739194</t>
  </si>
  <si>
    <t>-493.516480110895 92.4738795317353 764.505525534425</t>
  </si>
  <si>
    <t>-640.853145158288 37.0105847309865 -207.354783395626</t>
  </si>
  <si>
    <t>-574.152936414978 -1.63858117209952 241.772124044146</t>
  </si>
  <si>
    <t>-762.164809616123 111.114373162 657.327311324632</t>
  </si>
  <si>
    <t>-679.387161646475 -18.2502522219534 743.095370965074</t>
  </si>
  <si>
    <t>9763-20170724T160616.389735100.bin</t>
  </si>
  <si>
    <t>-610.668841176158 128.964437514369 -225.779649681598</t>
  </si>
  <si>
    <t>-648.228797867294 118.558007291021 -340.447647530322</t>
  </si>
  <si>
    <t>-665.70065157285 105.359891625662 -459.658119743461</t>
  </si>
  <si>
    <t>-673.110419728136 92.0932288926463 -568.119820665039</t>
  </si>
  <si>
    <t>-672.213358869663 77.4332799995057 -676.651443325575</t>
  </si>
  <si>
    <t>-662.329208549847 55.5180619303917 -827.057797021437</t>
  </si>
  <si>
    <t>-625.482445816427 30.8881547280325 -918.811037597452</t>
  </si>
  <si>
    <t>-653.633859415365 94.0058996983698 -763.843803616643</t>
  </si>
  <si>
    <t>-572.43637733883 216.548740766664 -759.894916569805</t>
  </si>
  <si>
    <t>-480.709838452603 159.016663896288 -462.468672242899</t>
  </si>
  <si>
    <t>-253.538211162459 113.819282088256 -344.179474202087</t>
  </si>
  <si>
    <t>-679.771473365184 36.4237731672986 -757.171469164349</t>
  </si>
  <si>
    <t>-580.3060498179 220.746338836213 -243.572557010636</t>
  </si>
  <si>
    <t>-589.923781510732 202.220112901311 211.643733228169</t>
  </si>
  <si>
    <t>-627.901961821317 166.561296197525 678.535325509614</t>
  </si>
  <si>
    <t>-493.442105493546 92.5825083798907 764.507407156268</t>
  </si>
  <si>
    <t>-640.89342688083 37.2558491575551 -207.316050077292</t>
  </si>
  <si>
    <t>-574.248974069663 -1.44795568886752 241.814383832414</t>
  </si>
  <si>
    <t>-762.19073384866 111.147815172186 657.431193682846</t>
  </si>
  <si>
    <t>-679.376205981555 -18.2143058809513 743.167457494476</t>
  </si>
  <si>
    <t>9763-20170724T160616.426839600.bin</t>
  </si>
  <si>
    <t>-610.619618509259 129.120219533512 -225.804049615403</t>
  </si>
  <si>
    <t>-648.2427617121 118.719114076806 -340.451825657991</t>
  </si>
  <si>
    <t>-665.805691671142 105.486743599581 -459.644961459236</t>
  </si>
  <si>
    <t>-673.308587051418 92.1772035501772 -568.095030685323</t>
  </si>
  <si>
    <t>-672.514871591494 77.4649537112789 -676.620421427262</t>
  </si>
  <si>
    <t>-662.784280135661 55.469575329304 -827.02507283903</t>
  </si>
  <si>
    <t>-625.978395041663 30.8514464877942 -918.797821200638</t>
  </si>
  <si>
    <t>-654.057599555938 94.0056833761107 -763.844875355595</t>
  </si>
  <si>
    <t>-573.098032813908 216.711411255188 -760.411654396113</t>
  </si>
  <si>
    <t>-483.130345535658 159.147986859433 -462.454499246542</t>
  </si>
  <si>
    <t>-256.375245645916 116.278180719699 -342.511326933395</t>
  </si>
  <si>
    <t>-680.121929159836 36.3980170255641 -757.106545432285</t>
  </si>
  <si>
    <t>-580.274093360165 220.896160913907 -243.611969494481</t>
  </si>
  <si>
    <t>-589.785821442393 202.243310175158 211.601508645379</t>
  </si>
  <si>
    <t>-627.84955041586 166.59239575395 678.492002772556</t>
  </si>
  <si>
    <t>-493.441269633267 92.5733535129302 764.510041244755</t>
  </si>
  <si>
    <t>-640.818605188209 37.3748770385077 -207.332994204213</t>
  </si>
  <si>
    <t>-574.282092976187 -1.37708104899139 241.809412361057</t>
  </si>
  <si>
    <t>-762.214736792156 111.126903777908 657.454000964493</t>
  </si>
  <si>
    <t>-679.354086023321 -18.200411513023 743.198238476778</t>
  </si>
  <si>
    <t>9763-20170724T160616.493018900.bin</t>
  </si>
  <si>
    <t>-610.649016458825 129.470134482802 -225.900695729496</t>
  </si>
  <si>
    <t>-648.393943509858 119.162612756618 -340.516994178008</t>
  </si>
  <si>
    <t>-666.120856992675 105.985456878058 -459.691941427682</t>
  </si>
  <si>
    <t>-673.788301048224 92.711272359511 -568.134802579686</t>
  </si>
  <si>
    <t>-673.175098132508 78.0200386566453 -676.664417671185</t>
  </si>
  <si>
    <t>-663.710949353257 56.0399470753571 -827.088111585348</t>
  </si>
  <si>
    <t>-626.960290011399 31.4421185753008 -918.888627095399</t>
  </si>
  <si>
    <t>-654.885182175462 94.5751718714703 -763.921251545025</t>
  </si>
  <si>
    <t>-574.04652087334 217.340712783567 -760.835192857085</t>
  </si>
  <si>
    <t>-485.090763908825 159.192680932727 -462.687776282514</t>
  </si>
  <si>
    <t>-263.180964984059 111.461510137469 -335.723827744551</t>
  </si>
  <si>
    <t>-680.911962487558 36.9556656023897 -757.139226344337</t>
  </si>
  <si>
    <t>-580.297841239815 221.300670978558 -243.683204877685</t>
  </si>
  <si>
    <t>-589.390352178403 202.193309110005 211.52006152232</t>
  </si>
  <si>
    <t>-627.758569379837 166.669062513433 678.420859694249</t>
  </si>
  <si>
    <t>-493.484514962259 92.5081446656336 764.526261528421</t>
  </si>
  <si>
    <t>-640.858433155092 37.7467918118487 -207.466956004206</t>
  </si>
  <si>
    <t>-574.325725381786 -1.24604160023409 241.655072665328</t>
  </si>
  <si>
    <t>-762.14257173886 111.099667041866 657.405562680629</t>
  </si>
  <si>
    <t>-679.337747662679 -18.1917694815816 743.257726277716</t>
  </si>
  <si>
    <t>9763-20170724T160616.525779500.bin</t>
  </si>
  <si>
    <t>-610.710498699868 129.677099928594 -225.935672424949</t>
  </si>
  <si>
    <t>-648.52487447886 119.411763537538 -340.53279664124</t>
  </si>
  <si>
    <t>-666.351958046059 106.280781691137 -459.698040040335</t>
  </si>
  <si>
    <t>-674.121775158412 93.0499019558411 -568.138869913922</t>
  </si>
  <si>
    <t>-673.622285624077 78.4033549644989 -676.674888247314</t>
  </si>
  <si>
    <t>-664.327414572966 56.4867483781209 -827.11853103749</t>
  </si>
  <si>
    <t>-627.625174036483 31.8890249587107 -918.938250217898</t>
  </si>
  <si>
    <t>-655.445973112185 95.0021152856696 -763.947266924113</t>
  </si>
  <si>
    <t>-574.657576040013 217.837791403564 -760.728475295885</t>
  </si>
  <si>
    <t>-484.976321195996 158.600530598581 -463.013073323307</t>
  </si>
  <si>
    <t>-266.894846712711 106.459579693466 -331.241058182812</t>
  </si>
  <si>
    <t>-681.434187503768 37.3662922104961 -757.156538671488</t>
  </si>
  <si>
    <t>-580.412692307068 221.557501034861 -243.691203999467</t>
  </si>
  <si>
    <t>-589.247524138653 202.192937341108 211.506099517111</t>
  </si>
  <si>
    <t>-627.714754129442 166.718679235693 678.384028883803</t>
  </si>
  <si>
    <t>-493.507658176082 92.4847466696071 764.530936479508</t>
  </si>
  <si>
    <t>-640.890089562193 37.8597326086813 -207.540571687506</t>
  </si>
  <si>
    <t>-574.317976664295 -1.02205162244081 241.585310889139</t>
  </si>
  <si>
    <t>-762.103982329738 111.103603984894 657.400406908858</t>
  </si>
  <si>
    <t>-679.330283249713 -18.1804780876096 743.293649426248</t>
  </si>
  <si>
    <t>9763-20170724T160616.591955200.bin</t>
  </si>
  <si>
    <t>-610.760709200506 130.368641284032 -225.962651568139</t>
  </si>
  <si>
    <t>-648.635843492783 120.151265402674 -340.543917451836</t>
  </si>
  <si>
    <t>-666.558782335832 107.142157763209 -459.708053561312</t>
  </si>
  <si>
    <t>-674.42872912146 94.0480968838801 -568.158377017601</t>
  </si>
  <si>
    <t>-674.041997137168 79.5632037838893 -676.716638621756</t>
  </si>
  <si>
    <t>-664.916332697499 57.8952142702983 -827.206500501677</t>
  </si>
  <si>
    <t>-628.285065680915 33.3577535148247 -919.070784408241</t>
  </si>
  <si>
    <t>-655.940402937159 96.2957936273453 -763.978921587436</t>
  </si>
  <si>
    <t>-574.861696234664 218.899444881253 -760.12939001313</t>
  </si>
  <si>
    <t>-484.379275187542 157.07766434109 -463.183085333089</t>
  </si>
  <si>
    <t>-272.993407259669 96.25117401803 -324.408957117465</t>
  </si>
  <si>
    <t>-681.967951249795 38.6694134614004 -757.25986940309</t>
  </si>
  <si>
    <t>-580.449792203547 222.278800117117 -243.692304584719</t>
  </si>
  <si>
    <t>-589.162983044985 202.576939284575 211.49291583904</t>
  </si>
  <si>
    <t>-627.612441659636 166.806739357659 678.312982988566</t>
  </si>
  <si>
    <t>-493.480827588297 92.5041542549516 764.518213867689</t>
  </si>
  <si>
    <t>-640.906715239149 38.5330819209034 -207.564553734423</t>
  </si>
  <si>
    <t>-574.343800284069 -0.580843914656725 241.542575645156</t>
  </si>
  <si>
    <t>-762.08909925784 111.189057018328 657.483052664019</t>
  </si>
  <si>
    <t>-679.340498694588 -18.1466567338746 743.322782929267</t>
  </si>
  <si>
    <t>9763-20170724T160616.626053300.bin</t>
  </si>
  <si>
    <t>-610.735077876556 130.758828159294 -225.967940903882</t>
  </si>
  <si>
    <t>-648.6550149695 120.548123181851 -340.535097277626</t>
  </si>
  <si>
    <t>-666.635014000482 107.573422437877 -459.694414076162</t>
  </si>
  <si>
    <t>-674.560993572737 94.5212011052799 -568.145633721025</t>
  </si>
  <si>
    <t>-674.234000193918 80.0890294290309 -676.71103673183</t>
  </si>
  <si>
    <t>-665.194952917748 58.5052208924212 -827.218376391729</t>
  </si>
  <si>
    <t>-628.606932252948 33.9891344404332 -919.105618464624</t>
  </si>
  <si>
    <t>-656.165054282803 96.8628128475395 -763.972207062147</t>
  </si>
  <si>
    <t>-574.753993722823 219.244073313306 -759.678499953791</t>
  </si>
  <si>
    <t>-482.968823507356 156.891851696986 -463.243350921395</t>
  </si>
  <si>
    <t>-273.78058427061 92.8479313541393 -322.599319343944</t>
  </si>
  <si>
    <t>-682.223902542323 39.2478932867473 -757.274822291976</t>
  </si>
  <si>
    <t>-580.364341679091 222.688556494334 -243.721726860866</t>
  </si>
  <si>
    <t>-589.075555724603 202.881470654084 211.458967846684</t>
  </si>
  <si>
    <t>-627.512088309058 166.970614661295 678.244606709947</t>
  </si>
  <si>
    <t>-493.551198507922 92.4216949165173 764.502609924733</t>
  </si>
  <si>
    <t>-640.938051724167 38.8444787360463 -207.533795389729</t>
  </si>
  <si>
    <t>-574.374307730427 -0.380048739682252 241.563481482432</t>
  </si>
  <si>
    <t>-762.13770612883 111.233506867503 657.548590003021</t>
  </si>
  <si>
    <t>-679.345595796411 -18.1225577163639 743.315683306004</t>
  </si>
  <si>
    <t>9763-20170724T160616.694239300.bin</t>
  </si>
  <si>
    <t>-610.734608215116 131.676663738297 -225.991035702742</t>
  </si>
  <si>
    <t>-648.804040157701 121.524317725826 -340.513889972792</t>
  </si>
  <si>
    <t>-666.879670587279 108.684932727915 -459.673290710271</t>
  </si>
  <si>
    <t>-674.868010107412 95.7813890545426 -568.137812466069</t>
  </si>
  <si>
    <t>-674.578518713991 81.5215049923142 -676.726148695365</t>
  </si>
  <si>
    <t>-665.565263752763 60.1993396531245 -827.27220767075</t>
  </si>
  <si>
    <t>-628.980548811159 35.7339415808719 -919.174255938459</t>
  </si>
  <si>
    <t>-656.449351395268 98.4138815621407 -763.951876467777</t>
  </si>
  <si>
    <t>-574.198379031959 220.197391690091 -758.794198660106</t>
  </si>
  <si>
    <t>-481.796624441404 155.843699266979 -462.978927895055</t>
  </si>
  <si>
    <t>-274.373925230745 89.7046927442354 -320.699436694585</t>
  </si>
  <si>
    <t>-682.657405733723 40.853520711391 -757.368636965393</t>
  </si>
  <si>
    <t>-580.204059048183 223.720412317022 -243.851972873691</t>
  </si>
  <si>
    <t>-588.643464396034 203.47080199094 211.314387974873</t>
  </si>
  <si>
    <t>-627.202948924702 167.414622081715 678.031522809531</t>
  </si>
  <si>
    <t>-493.594850062219 92.4221866885248 764.452074039288</t>
  </si>
  <si>
    <t>-641.112652603654 39.7183993285039 -207.472787688698</t>
  </si>
  <si>
    <t>-574.371246884451 -0.11086802611203 241.544890570824</t>
  </si>
  <si>
    <t>-762.237395928562 111.337585489767 657.576733203445</t>
  </si>
  <si>
    <t>-679.333312745871 -18.0585221817792 743.175103059415</t>
  </si>
  <si>
    <t>9763-20170724T160616.727338400.bin</t>
  </si>
  <si>
    <t>-610.699115450211 132.098469769847 -225.99230990636</t>
  </si>
  <si>
    <t>-648.854069151475 121.98962183096 -340.490389841402</t>
  </si>
  <si>
    <t>-666.940224971924 109.252773460248 -459.659378991611</t>
  </si>
  <si>
    <t>-674.905855943407 96.4631867308478 -568.138961209732</t>
  </si>
  <si>
    <t>-674.560878532004 82.3371952400128 -676.744600805812</t>
  </si>
  <si>
    <t>-665.43644877201 61.2204199711932 -827.312876275287</t>
  </si>
  <si>
    <t>-628.817893081755 36.7823174368002 -919.208831591598</t>
  </si>
  <si>
    <t>-656.322193407957 99.3286581065736 -763.928312759117</t>
  </si>
  <si>
    <t>-573.722463336582 220.858886643423 -758.358900865381</t>
  </si>
  <si>
    <t>-481.269484027717 154.931194115754 -462.906405412522</t>
  </si>
  <si>
    <t>-273.503096754136 89.1363962266173 -320.969151589607</t>
  </si>
  <si>
    <t>-682.6252792756 41.7991969731245 -757.454058347934</t>
  </si>
  <si>
    <t>-580.019150672551 224.111883007106 -243.872022672081</t>
  </si>
  <si>
    <t>-588.289828499027 203.678014419288 211.289214043993</t>
  </si>
  <si>
    <t>-627.108774584711 167.522012803122 677.97443184729</t>
  </si>
  <si>
    <t>-493.509767869852 92.5463551663111 764.423664860105</t>
  </si>
  <si>
    <t>-641.207747209073 40.1587878355999 -207.407762275243</t>
  </si>
  <si>
    <t>-574.421918150425 -0.117043790212847 241.563489642674</t>
  </si>
  <si>
    <t>-762.308340166632 111.43646617413 657.605541392959</t>
  </si>
  <si>
    <t>-679.359066764261 -18.0270391553317 743.058001576518</t>
  </si>
  <si>
    <t>9763-20170724T160616.796521600.bin</t>
  </si>
  <si>
    <t>-610.646791188947 132.812769007458 -225.748764193092</t>
  </si>
  <si>
    <t>-648.923879882824 122.674724480444 -340.203498791731</t>
  </si>
  <si>
    <t>-667.062550397041 110.045901773588 -459.375855897486</t>
  </si>
  <si>
    <t>-675.044021501901 97.4092343779632 -567.872302010184</t>
  </si>
  <si>
    <t>-674.681758591099 83.4913758408729 -676.504763929524</t>
  </si>
  <si>
    <t>-665.49738005317 62.721574699822 -827.117815286324</t>
  </si>
  <si>
    <t>-628.864612834906 38.2565371253081 -919.000658442049</t>
  </si>
  <si>
    <t>-656.303999846151 100.637131108294 -763.62904717222</t>
  </si>
  <si>
    <t>-573.14259975604 221.764262779573 -757.426625860158</t>
  </si>
  <si>
    <t>-479.329469475289 153.514053568341 -462.932023570542</t>
  </si>
  <si>
    <t>-271.502441741179 87.0490567040019 -321.396065761643</t>
  </si>
  <si>
    <t>-682.818274605608 43.186112087353 -757.323314213048</t>
  </si>
  <si>
    <t>-579.502855149469 224.84528815913 -243.815109674318</t>
  </si>
  <si>
    <t>-588.003118735378 204.454754649295 211.343744573732</t>
  </si>
  <si>
    <t>-626.932681057429 167.826314707101 677.889771132957</t>
  </si>
  <si>
    <t>-493.58283702974 92.4677721594692 764.390791027362</t>
  </si>
  <si>
    <t>-641.660863992644 40.7624303123262 -206.93205278439</t>
  </si>
  <si>
    <t>-574.944724881436 -0.465642723329665 241.963103681214</t>
  </si>
  <si>
    <t>-762.861573047802 111.601351149446 657.905392161605</t>
  </si>
  <si>
    <t>-679.448596943792 -17.9478311090784 742.774659329549</t>
  </si>
  <si>
    <t>9763-20170724T160616.829622800.bin</t>
  </si>
  <si>
    <t>-610.650147379877 133.027759140262 -225.601168854227</t>
  </si>
  <si>
    <t>-648.907591646397 122.80473207672 -340.054881810126</t>
  </si>
  <si>
    <t>-667.04699106218 110.177307529294 -459.227369759569</t>
  </si>
  <si>
    <t>-675.037200031165 97.575624382049 -567.727174758975</t>
  </si>
  <si>
    <t>-674.690709412625 83.7266688243662 -676.368587223238</t>
  </si>
  <si>
    <t>-665.535193974158 63.087091987476 -827.001158818928</t>
  </si>
  <si>
    <t>-628.940379643547 38.5967889145684 -918.892566599802</t>
  </si>
  <si>
    <t>-656.24357702292 100.90893080211 -763.470894262471</t>
  </si>
  <si>
    <t>-572.700402910202 221.748856514926 -757.019443127791</t>
  </si>
  <si>
    <t>-478.450688199619 152.34494217594 -462.934067597023</t>
  </si>
  <si>
    <t>-270.610866400751 85.4151450989384 -321.636215247774</t>
  </si>
  <si>
    <t>-682.928973461362 43.5298804176243 -757.23082642379</t>
  </si>
  <si>
    <t>-579.214332039664 225.116130531249 -243.81384261637</t>
  </si>
  <si>
    <t>-588.062584106416 204.883789826667 211.345489782192</t>
  </si>
  <si>
    <t>-626.850172349214 167.958933623386 677.845232215699</t>
  </si>
  <si>
    <t>-493.608134309447 92.439002659361 764.371579779836</t>
  </si>
  <si>
    <t>-641.932771101966 40.8893863194705 -206.678783920614</t>
  </si>
  <si>
    <t>-575.403727555424 -0.855301859753581 242.196362781697</t>
  </si>
  <si>
    <t>-763.285764257702 111.558125386667 658.063198378875</t>
  </si>
  <si>
    <t>-679.518866460322 -17.9437354765282 742.655612483151</t>
  </si>
  <si>
    <t>9763-20170724T160616.889779400.bin</t>
  </si>
  <si>
    <t>-610.779726692897 133.175052195922 -225.479338523518</t>
  </si>
  <si>
    <t>-649.000294001306 122.92354876571 -339.942869558304</t>
  </si>
  <si>
    <t>-667.164265874205 110.358060115735 -459.118210137946</t>
  </si>
  <si>
    <t>-675.20165126533 97.8468552537295 -567.624928871044</t>
  </si>
  <si>
    <t>-674.926846089748 84.1219092803483 -676.28225864181</t>
  </si>
  <si>
    <t>-665.895563302141 63.6886805183603 -826.950470463948</t>
  </si>
  <si>
    <t>-629.371830795923 39.1749200704162 -918.863868961</t>
  </si>
  <si>
    <t>-656.375854406812 101.343482945676 -763.354821561535</t>
  </si>
  <si>
    <t>-572.013565969017 221.597035289127 -756.519611428266</t>
  </si>
  <si>
    <t>-477.466845637923 149.796638443341 -463.105513248929</t>
  </si>
  <si>
    <t>-270.392842092752 81.847498577604 -321.171257878756</t>
  </si>
  <si>
    <t>-683.407457257488 44.1159426579479 -757.214118890591</t>
  </si>
  <si>
    <t>-578.728354839218 225.337126041753 -243.86823031591</t>
  </si>
  <si>
    <t>-588.135612235228 205.397822121626 211.29279058863</t>
  </si>
  <si>
    <t>-626.735669294178 168.122899976833 677.761521914118</t>
  </si>
  <si>
    <t>-493.613518789056 92.4229614057942 764.315116200709</t>
  </si>
  <si>
    <t>-642.689290087179 41.1063560069952 -206.414016749953</t>
  </si>
  <si>
    <t>-576.310539561848 -2.0812400452337 242.34692478025</t>
  </si>
  <si>
    <t>-763.890801769506 111.404701761427 658.110215360779</t>
  </si>
  <si>
    <t>-679.64731262329 -17.9706981388824 742.422490395951</t>
  </si>
  <si>
    <t>9763-20170724T160616.927885000.bin</t>
  </si>
  <si>
    <t>-610.897592822501 133.189341041587 -225.51460569133</t>
  </si>
  <si>
    <t>-649.097370752155 123.002897762994 -339.990775728302</t>
  </si>
  <si>
    <t>-667.265204003798 110.493531243588 -459.171383425064</t>
  </si>
  <si>
    <t>-675.317297515834 98.0251336798601 -567.682054313002</t>
  </si>
  <si>
    <t>-675.068625067694 84.3332651444787 -676.343554775295</t>
  </si>
  <si>
    <t>-666.086030564013 63.9337895247509 -827.019319796746</t>
  </si>
  <si>
    <t>-629.627337112107 39.3711585274748 -918.945502724247</t>
  </si>
  <si>
    <t>-656.453422038621 101.531765728874 -763.406924010657</t>
  </si>
  <si>
    <t>-571.643472989332 221.466037252093 -756.476074457919</t>
  </si>
  <si>
    <t>-477.12560159864 148.930324920289 -463.233620159826</t>
  </si>
  <si>
    <t>-270.693862526926 80.3350626110243 -320.676023632577</t>
  </si>
  <si>
    <t>-683.667680059056 44.3880801942264 -757.292920009235</t>
  </si>
  <si>
    <t>-578.604334487307 225.304071547511 -243.891061584391</t>
  </si>
  <si>
    <t>-588.101493115514 205.346454365583 211.267377610629</t>
  </si>
  <si>
    <t>-626.733054710446 168.110783735214 677.745552607355</t>
  </si>
  <si>
    <t>-493.650971439926 92.3558924666256 764.312686218936</t>
  </si>
  <si>
    <t>-643.028573208025 41.2139908264228 -206.460625749788</t>
  </si>
  <si>
    <t>-576.614090339742 -2.47844095907681 242.246146618895</t>
  </si>
  <si>
    <t>-764.032754280699 111.334453049054 658.005507060396</t>
  </si>
  <si>
    <t>-679.651438382183 -17.9576378870061 742.30778234861</t>
  </si>
  <si>
    <t>9763-20170724T160617.014617900.bin</t>
  </si>
  <si>
    <t>-610.992917558898 133.174005789039 -225.587752390392</t>
  </si>
  <si>
    <t>-649.191707409234 123.126959925208 -340.076645719807</t>
  </si>
  <si>
    <t>-667.363132035164 110.695493521279 -459.264894334357</t>
  </si>
  <si>
    <t>-675.421864996141 98.2669706293968 -567.77972772465</t>
  </si>
  <si>
    <t>-675.184259266056 84.5814440498571 -676.441973758789</t>
  </si>
  <si>
    <t>-666.222618054883 64.1532885936867 -827.115084670596</t>
  </si>
  <si>
    <t>-629.828721995987 39.5078498318428 -919.044801490531</t>
  </si>
  <si>
    <t>-656.496844974917 101.724292336399 -763.501009487113</t>
  </si>
  <si>
    <t>-571.300362946859 221.363377022264 -756.526488098797</t>
  </si>
  <si>
    <t>-476.972532334921 148.300816699471 -463.353724029124</t>
  </si>
  <si>
    <t>-271.431582819334 78.8987143685745 -319.902010002924</t>
  </si>
  <si>
    <t>-683.878776680811 44.6600653237633 -757.392860802054</t>
  </si>
  <si>
    <t>-578.603452946625 225.204530514415 -243.916519675627</t>
  </si>
  <si>
    <t>-588.041097433399 205.103762331352 211.236736796943</t>
  </si>
  <si>
    <t>-626.764380435441 168.024064853741 677.739379164771</t>
  </si>
  <si>
    <t>-493.633027705051 92.3625334460157 764.312355278752</t>
  </si>
  <si>
    <t>-643.232304284051 41.2329238891466 -206.675544610584</t>
  </si>
  <si>
    <t>-576.845725194535 -2.66168189228165 242.015573324003</t>
  </si>
  <si>
    <t>-764.028088700275 111.33718510764 657.844089843944</t>
  </si>
  <si>
    <t>-679.649999065946 -17.9392955189353 742.173427181723</t>
  </si>
  <si>
    <t>9763-20170724T160617.026169300.bin</t>
  </si>
  <si>
    <t>-611.41786010709 133.081875048774 -225.774758355869</t>
  </si>
  <si>
    <t>-649.610902142055 123.318688620806 -340.290270058112</t>
  </si>
  <si>
    <t>-667.790380149871 111.059605551834 -459.495030184414</t>
  </si>
  <si>
    <t>-675.864654498751 98.7325152029457 -568.020227212208</t>
  </si>
  <si>
    <t>-675.652317863275 85.0894678050179 -676.687881081921</t>
  </si>
  <si>
    <t>-666.737962453535 64.6542433864361 -827.362710395263</t>
  </si>
  <si>
    <t>-630.488153989519 39.8510828608682 -919.306878702643</t>
  </si>
  <si>
    <t>-656.867190373923 102.169441838387 -763.738166491529</t>
  </si>
  <si>
    <t>-571.043134009236 221.372844038546 -756.75062408478</t>
  </si>
  <si>
    <t>-476.97757439473 148.15810311589 -463.531380733502</t>
  </si>
  <si>
    <t>-272.902157477145 77.163029606907 -318.773011625497</t>
  </si>
  <si>
    <t>-684.49739238086 45.2229518667382 -757.649508347596</t>
  </si>
  <si>
    <t>-578.838672123774 225.01092563377 -243.906262197799</t>
  </si>
  <si>
    <t>-587.959704092617 204.677382154687 211.243201962205</t>
  </si>
  <si>
    <t>-626.827154317873 167.867072603933 677.737868116737</t>
  </si>
  <si>
    <t>-493.654739684204 92.3203309884909 764.347929203739</t>
  </si>
  <si>
    <t>-643.857036704087 41.2786486673681 -207.054852268426</t>
  </si>
  <si>
    <t>-577.195022402011 -2.356092148686 241.620786124666</t>
  </si>
  <si>
    <t>-763.904129819559 111.456050468357 657.615922567064</t>
  </si>
  <si>
    <t>-679.609752799598 -17.8656093954114 741.9597268087</t>
  </si>
  <si>
    <t>9763-20170724T160617.095343300.bin</t>
  </si>
  <si>
    <t>-611.738477244379 133.195847605753 -225.973495674937</t>
  </si>
  <si>
    <t>-649.954799883015 123.573850968915 -340.493167913955</t>
  </si>
  <si>
    <t>-668.180160147619 111.42073113437 -459.701721763457</t>
  </si>
  <si>
    <t>-676.306243199266 99.1690109058729 -568.231469120558</t>
  </si>
  <si>
    <t>-676.156939953923 85.5773261999427 -676.905749555862</t>
  </si>
  <si>
    <t>-667.342221781176 65.1858772043083 -827.592461147425</t>
  </si>
  <si>
    <t>-631.256539834409 40.2928935814668 -919.576963245298</t>
  </si>
  <si>
    <t>-657.352777062967 102.646273160747 -763.954109472395</t>
  </si>
  <si>
    <t>-571.234912992071 221.626091435585 -756.943517954031</t>
  </si>
  <si>
    <t>-477.108787420524 148.62993444208 -463.689330181196</t>
  </si>
  <si>
    <t>-273.839568324907 76.6671349092226 -318.275957814169</t>
  </si>
  <si>
    <t>-685.132140911358 45.7706556997273 -757.882495833046</t>
  </si>
  <si>
    <t>-579.137704129804 224.999654394909 -243.963470846882</t>
  </si>
  <si>
    <t>-588.104405478539 204.657014391805 211.188581188539</t>
  </si>
  <si>
    <t>-626.85934651408 167.804422940781 677.724646494017</t>
  </si>
  <si>
    <t>-493.824105732177 92.0791106784252 764.389567286771</t>
  </si>
  <si>
    <t>-644.190251504455 41.4751850661423 -207.400743810322</t>
  </si>
  <si>
    <t>-577.477196495337 -2.03014892192755 241.279848661669</t>
  </si>
  <si>
    <t>-763.882583392598 111.462578083092 657.482535406445</t>
  </si>
  <si>
    <t>-679.583501356216 -17.8159380268041 741.887732216565</t>
  </si>
  <si>
    <t>9763-20170724T160617.123957500.bin</t>
  </si>
  <si>
    <t>-611.98568287815 133.157978389882 -226.024901624569</t>
  </si>
  <si>
    <t>-650.236630090234 123.573331041382 -340.536089636046</t>
  </si>
  <si>
    <t>-668.497167780861 111.458915544056 -459.743259526919</t>
  </si>
  <si>
    <t>-676.655110723902 99.241059719863 -568.274553042648</t>
  </si>
  <si>
    <t>-676.537510439961 85.6813872556122 -676.952783527907</t>
  </si>
  <si>
    <t>-667.767044434698 65.3312573511639 -827.647632391509</t>
  </si>
  <si>
    <t>-631.735913621786 40.4360890227915 -919.653022880793</t>
  </si>
  <si>
    <t>-657.740318422447 102.765313218748 -763.99967718027</t>
  </si>
  <si>
    <t>-571.505298935062 221.666766800253 -756.975138394515</t>
  </si>
  <si>
    <t>-477.25665529455 148.809987284299 -463.725579689426</t>
  </si>
  <si>
    <t>-274.581555136375 76.454952602641 -317.679030170614</t>
  </si>
  <si>
    <t>-685.555196976092 45.9056754861265 -757.940041691203</t>
  </si>
  <si>
    <t>-579.375711294872 224.938905779767 -244.004254278689</t>
  </si>
  <si>
    <t>-588.205483644282 204.559910779528 211.148787870141</t>
  </si>
  <si>
    <t>-626.883515432778 167.718844169374 677.711711904533</t>
  </si>
  <si>
    <t>-493.781217225459 92.1265535462792 764.389806546255</t>
  </si>
  <si>
    <t>-644.460561169083 41.448469215228 -207.467620457915</t>
  </si>
  <si>
    <t>-577.556869932215 -2.17675537777222 241.173010792298</t>
  </si>
  <si>
    <t>-763.829474698801 111.474072653998 657.393253337599</t>
  </si>
  <si>
    <t>-679.565921902865 -17.7858118170329 741.862438810658</t>
  </si>
  <si>
    <t>9763-20170724T160617.196150300.bin</t>
  </si>
  <si>
    <t>-612.519090063581 133.151188728887 -226.111722916691</t>
  </si>
  <si>
    <t>-650.89790624597 123.617985787283 -340.584327295358</t>
  </si>
  <si>
    <t>-669.289036430718 111.584828737807 -459.779754071855</t>
  </si>
  <si>
    <t>-677.564565221772 99.4499349969328 -568.311285576102</t>
  </si>
  <si>
    <t>-677.563782885293 85.9805799394071 -677.000956746203</t>
  </si>
  <si>
    <t>-668.954200918627 65.7623203400965 -827.72297100826</t>
  </si>
  <si>
    <t>-633.016832067194 40.9288054496294 -919.781449659007</t>
  </si>
  <si>
    <t>-658.848669511362 103.1356060228 -764.051483143307</t>
  </si>
  <si>
    <t>-572.578183988784 222.009493989231 -757.006128988437</t>
  </si>
  <si>
    <t>-478.190148563142 148.649760116184 -463.926936338636</t>
  </si>
  <si>
    <t>-275.659608026068 76.5930687899288 -317.532569747483</t>
  </si>
  <si>
    <t>-686.678636739205 46.2809855360413 -758.014657320804</t>
  </si>
  <si>
    <t>-580.008855631931 224.935498645249 -244.073927702075</t>
  </si>
  <si>
    <t>-588.314977379951 204.415736413929 211.082824771628</t>
  </si>
  <si>
    <t>-626.869383473137 167.668544910732 677.667910982272</t>
  </si>
  <si>
    <t>-493.758282288737 92.1447746906006 764.392235304559</t>
  </si>
  <si>
    <t>-644.862644400072 41.4515173020575 -207.545403134097</t>
  </si>
  <si>
    <t>-577.568726012698 -2.22152262551936 241.032237980832</t>
  </si>
  <si>
    <t>-763.726771296974 111.522499002376 657.245347204479</t>
  </si>
  <si>
    <t>-679.55570156781 -17.7416454454483 741.800199270873</t>
  </si>
  <si>
    <t>9763-20170724T160617.229323100.bin</t>
  </si>
  <si>
    <t>-612.716409385463 133.177685601834 -226.192529013371</t>
  </si>
  <si>
    <t>-651.162959124732 123.626279109068 -340.640879431438</t>
  </si>
  <si>
    <t>-669.619039138822 111.612010964413 -459.828144399484</t>
  </si>
  <si>
    <t>-677.951233673226 99.5081161972576 -568.358819159019</t>
  </si>
  <si>
    <t>-678.004217728133 86.0833921968867 -677.054054560969</t>
  </si>
  <si>
    <t>-669.465958665684 65.9406925895789 -827.790205130302</t>
  </si>
  <si>
    <t>-633.570301817094 41.1739441621553 -919.883066901443</t>
  </si>
  <si>
    <t>-659.333519206258 103.283459169446 -764.105228170956</t>
  </si>
  <si>
    <t>-573.096208895184 222.172215117694 -756.99969770896</t>
  </si>
  <si>
    <t>-478.370850462303 148.607031081408 -464.080736005023</t>
  </si>
  <si>
    <t>-276.043833772947 76.4885006725833 -317.435707281881</t>
  </si>
  <si>
    <t>-687.154273442859 46.4229114854863 -758.082874772838</t>
  </si>
  <si>
    <t>-580.301659549121 224.978268783327 -244.133772875684</t>
  </si>
  <si>
    <t>-588.368031201248 204.366751310219 211.023073322399</t>
  </si>
  <si>
    <t>-626.843328410013 167.699785061699 677.638105700935</t>
  </si>
  <si>
    <t>-493.786712548747 92.1037141100521 764.382998077368</t>
  </si>
  <si>
    <t>-644.976830470772 41.4662624167745 -207.59498304526</t>
  </si>
  <si>
    <t>-577.629108496301 -2.11973096341512 240.982990471862</t>
  </si>
  <si>
    <t>-763.733935436866 111.538359750031 657.236489661224</t>
  </si>
  <si>
    <t>-679.5061872468 -17.6953456310737 741.781420923044</t>
  </si>
  <si>
    <t>9763-20170724T160617.296513600.bin</t>
  </si>
  <si>
    <t>-613.297203507697 133.333373376083 -226.36315575412</t>
  </si>
  <si>
    <t>-651.847371358076 123.702014352799 -340.769951329591</t>
  </si>
  <si>
    <t>-670.414370438288 111.73477337282 -459.944714054662</t>
  </si>
  <si>
    <t>-678.847630163853 99.7190444412233 -568.477430740916</t>
  </si>
  <si>
    <t>-679.001729091585 86.4238318306536 -677.188300329149</t>
  </si>
  <si>
    <t>-670.60310755452 66.5007572048196 -827.961465314078</t>
  </si>
  <si>
    <t>-634.754910319917 41.9201419471542 -920.122701751171</t>
  </si>
  <si>
    <t>-660.419295271292 103.754386367276 -764.23261091494</t>
  </si>
  <si>
    <t>-574.233801951154 222.679648169425 -756.974656390191</t>
  </si>
  <si>
    <t>-478.311229796244 148.398664103492 -464.626570367211</t>
  </si>
  <si>
    <t>-276.415977340859 76.65029777217 -317.206971763587</t>
  </si>
  <si>
    <t>-688.219216370774 46.8777693867391 -758.265452531653</t>
  </si>
  <si>
    <t>-581.122928953341 225.272296651456 -244.337799975406</t>
  </si>
  <si>
    <t>-588.543638490139 204.444347795391 210.820218110546</t>
  </si>
  <si>
    <t>-626.671459855897 168.008516212237 677.478144532826</t>
  </si>
  <si>
    <t>-493.810236921534 92.2090621392092 764.344996767785</t>
  </si>
  <si>
    <t>-645.285594759876 41.5103899124929 -207.750582413252</t>
  </si>
  <si>
    <t>-577.759287329595 -1.72467579875024 240.834576575412</t>
  </si>
  <si>
    <t>-763.769515485961 111.57506591715 657.229964147621</t>
  </si>
  <si>
    <t>-679.495564429322 -17.6475395577813 741.745828503863</t>
  </si>
  <si>
    <t>9763-20170724T160617.325086600.bin</t>
  </si>
  <si>
    <t>-613.614534728815 133.449754123996 -226.492484510482</t>
  </si>
  <si>
    <t>-652.2224174082 123.805789946152 -340.87875067446</t>
  </si>
  <si>
    <t>-670.842364090817 111.881249813164 -460.049651171971</t>
  </si>
  <si>
    <t>-679.320574431512 99.9231487502007 -568.585258524698</t>
  </si>
  <si>
    <t>-679.516315215656 86.7023714314753 -677.305165035226</t>
  </si>
  <si>
    <t>-671.17180312361 66.8983461634339 -828.096939646378</t>
  </si>
  <si>
    <t>-635.357533247905 42.4201792959675 -920.298589539539</t>
  </si>
  <si>
    <t>-660.970013785007 104.104067403225 -764.342985459083</t>
  </si>
  <si>
    <t>-574.812378043632 223.034256353733 -756.946235275603</t>
  </si>
  <si>
    <t>-478.396113066375 148.198159659382 -464.902292049436</t>
  </si>
  <si>
    <t>-276.878971391371 76.7669629518941 -316.812802985875</t>
  </si>
  <si>
    <t>-688.757933816693 47.217998620582 -758.409615502219</t>
  </si>
  <si>
    <t>-581.571464602067 225.459238173396 -244.465488479609</t>
  </si>
  <si>
    <t>-588.637004161089 204.487124631421 210.691458059186</t>
  </si>
  <si>
    <t>-626.557782314434 168.120260169725 677.366719915382</t>
  </si>
  <si>
    <t>-493.802298886182 92.2450400275002 764.329059082378</t>
  </si>
  <si>
    <t>-645.505930430251 41.5526634725227 -207.875076803782</t>
  </si>
  <si>
    <t>-577.842971199919 -1.46589371846744 240.710284999005</t>
  </si>
  <si>
    <t>-763.767423288056 111.586003851547 657.202285987618</t>
  </si>
  <si>
    <t>-679.459312339279 -17.6115851599022 741.722344336768</t>
  </si>
  <si>
    <t>9763-20170724T160617.392257700.bin</t>
  </si>
  <si>
    <t>-614.129300340407 133.609116243931 -226.708760280201</t>
  </si>
  <si>
    <t>-652.800302458105 123.975051554367 -341.074552117324</t>
  </si>
  <si>
    <t>-671.449725798894 112.137823490771 -460.249364274229</t>
  </si>
  <si>
    <t>-679.939253040577 100.288566833515 -568.796152543056</t>
  </si>
  <si>
    <t>-680.129810564097 87.2060193149989 -677.532688047941</t>
  </si>
  <si>
    <t>-671.760574811894 67.6236093443963 -828.352118386197</t>
  </si>
  <si>
    <t>-635.979478535148 43.3491801918644 -920.620506095533</t>
  </si>
  <si>
    <t>-661.59510848762 104.74790905189 -764.544813028355</t>
  </si>
  <si>
    <t>-575.520534298151 223.735368735323 -756.875560762783</t>
  </si>
  <si>
    <t>-478.009808998261 148.146008511268 -465.389435511298</t>
  </si>
  <si>
    <t>-277.289899409935 77.4950388970899 -315.850131658691</t>
  </si>
  <si>
    <t>-689.332348369722 47.8284632763205 -758.693527445038</t>
  </si>
  <si>
    <t>-582.215576156645 225.691409572839 -244.627033933492</t>
  </si>
  <si>
    <t>-588.906397046935 204.643672999201 210.53210505875</t>
  </si>
  <si>
    <t>-626.475623885313 168.281519119458 677.298554558752</t>
  </si>
  <si>
    <t>-493.963904979621 92.0579355366694 764.327990966847</t>
  </si>
  <si>
    <t>-645.875522312379 41.5696984193912 -208.10022056211</t>
  </si>
  <si>
    <t>-577.773034226267 -1.10658952479571 240.451286429429</t>
  </si>
  <si>
    <t>-763.664283414128 111.59440178632 657.030264102094</t>
  </si>
  <si>
    <t>-679.421109559674 -17.5621608698605 741.67759692691</t>
  </si>
  <si>
    <t>9763-20170724T160617.423375200.bin</t>
  </si>
  <si>
    <t>-614.41159866742 133.634443301863 -226.749058826251</t>
  </si>
  <si>
    <t>-653.114433331923 123.986698525089 -341.10295790509</t>
  </si>
  <si>
    <t>-671.793327141432 112.192107516084 -460.27741461186</t>
  </si>
  <si>
    <t>-680.307184106849 100.403697110737 -568.828747928166</t>
  </si>
  <si>
    <t>-680.519713452905 87.4029835181555 -677.575188292064</t>
  </si>
  <si>
    <t>-672.17753516611 67.956164129042 -828.413599878254</t>
  </si>
  <si>
    <t>-636.417411267063 43.7816446292516 -920.716316145204</t>
  </si>
  <si>
    <t>-662.012998359126 105.029040852115 -764.576171938769</t>
  </si>
  <si>
    <t>-576.027106419106 224.068463213584 -756.791338760226</t>
  </si>
  <si>
    <t>-477.964739036288 148.253597153787 -465.548929096612</t>
  </si>
  <si>
    <t>-277.748588948688 77.9770959794898 -315.160313503342</t>
  </si>
  <si>
    <t>-689.724309826514 48.0926016598733 -758.768385279685</t>
  </si>
  <si>
    <t>-582.580459447715 225.724521407928 -244.668974230927</t>
  </si>
  <si>
    <t>-589.086332285001 204.685284638517 210.493391392826</t>
  </si>
  <si>
    <t>-626.463123676834 168.291180919131 677.281601265211</t>
  </si>
  <si>
    <t>-493.959204604671 92.0462019761446 764.304154204558</t>
  </si>
  <si>
    <t>-646.079008615172 41.6309553328565 -208.118797532192</t>
  </si>
  <si>
    <t>-577.735194721321 -1.15382683449184 240.385689379666</t>
  </si>
  <si>
    <t>-763.583611845747 111.63579413005 656.95121698314</t>
  </si>
  <si>
    <t>-679.416151152723 -17.5376284688407 741.648219114014</t>
  </si>
  <si>
    <t>9763-20170724T160617.493562900.bin</t>
  </si>
  <si>
    <t>-615.041075939926 133.532683049052 -226.751886626865</t>
  </si>
  <si>
    <t>-653.801728502478 123.830105153191 -341.081594920031</t>
  </si>
  <si>
    <t>-672.416798078491 112.076799756842 -460.270041618589</t>
  </si>
  <si>
    <t>-680.821160606411 100.362379498786 -568.838003508969</t>
  </si>
  <si>
    <t>-680.871226971372 87.4715006720719 -677.597689287415</t>
  </si>
  <si>
    <t>-672.248448497505 68.212942645946 -828.444514738057</t>
  </si>
  <si>
    <t>-636.439278700283 44.2499231054437 -920.783431449005</t>
  </si>
  <si>
    <t>-662.242031322843 105.224711415769 -764.54679894145</t>
  </si>
  <si>
    <t>-576.418838274015 224.345454466604 -756.391233676357</t>
  </si>
  <si>
    <t>-477.577380473912 147.952519191129 -465.563667068739</t>
  </si>
  <si>
    <t>-276.657808079881 79.1204235042185 -315.445410055728</t>
  </si>
  <si>
    <t>-689.885485132161 48.2438083250161 -758.852215876866</t>
  </si>
  <si>
    <t>-583.390374174182 225.667787609574 -244.696225225792</t>
  </si>
  <si>
    <t>-589.547492147265 204.705666575287 210.474430625436</t>
  </si>
  <si>
    <t>-626.463677948276 168.308873891948 677.267397510014</t>
  </si>
  <si>
    <t>-493.846030553145 92.2055168173724 764.240666423443</t>
  </si>
  <si>
    <t>-646.548973425131 41.3995058983908 -208.143459898855</t>
  </si>
  <si>
    <t>-577.893412471707 -1.04349042969966 240.3458831205</t>
  </si>
  <si>
    <t>-763.641213043257 111.693816595116 656.984206535139</t>
  </si>
  <si>
    <t>-679.378800622322 -17.452233786732 741.628567772699</t>
  </si>
  <si>
    <t>9763-20170724T160617.523646100.bin</t>
  </si>
  <si>
    <t>-615.387802480921 133.563790291722 -226.76203442251</t>
  </si>
  <si>
    <t>-654.162332125931 123.819282476758 -341.08339206929</t>
  </si>
  <si>
    <t>-672.70549501388 112.064042015936 -460.282978988851</t>
  </si>
  <si>
    <t>-681.008557057909 100.365090045275 -568.860356336397</t>
  </si>
  <si>
    <t>-680.920846795788 87.5072581787265 -677.623952584669</t>
  </si>
  <si>
    <t>-672.068567693881 68.3135274714416 -828.465718194899</t>
  </si>
  <si>
    <t>-636.196068776955 44.4797359097456 -920.813423594765</t>
  </si>
  <si>
    <t>-662.190111739716 105.312372458791 -764.540612103634</t>
  </si>
  <si>
    <t>-576.480147131801 224.502180265532 -756.128150843993</t>
  </si>
  <si>
    <t>-477.103269625286 148.03938208984 -465.501470264705</t>
  </si>
  <si>
    <t>-275.056573265446 80.2456576749107 -316.426984316895</t>
  </si>
  <si>
    <t>-689.780677078864 48.3000192538709 -758.905267558273</t>
  </si>
  <si>
    <t>-583.802088290517 225.765321542732 -244.732725852661</t>
  </si>
  <si>
    <t>-589.736590306234 204.797075053724 210.440686179608</t>
  </si>
  <si>
    <t>-626.418938644585 168.4196458639 677.23637234583</t>
  </si>
  <si>
    <t>-493.86288580624 92.2080162372902 764.208692274052</t>
  </si>
  <si>
    <t>-646.827281974485 41.4236909087053 -208.119113963486</t>
  </si>
  <si>
    <t>-578.009073206566 -0.996752971328533 240.34737854546</t>
  </si>
  <si>
    <t>-763.676534655214 111.731403980689 656.998146368027</t>
  </si>
  <si>
    <t>-679.395474307023 -17.4261165173932 741.606371295511</t>
  </si>
  <si>
    <t>9763-20170724T160617.617899400.bin</t>
  </si>
  <si>
    <t>-615.984788325945 133.680078726549 -226.723120136442</t>
  </si>
  <si>
    <t>-654.763011868058 123.833790547068 -341.034533156527</t>
  </si>
  <si>
    <t>-673.17435088379 112.067182741856 -460.25347710952</t>
  </si>
  <si>
    <t>-681.300456449462 100.397003367672 -568.847270287983</t>
  </si>
  <si>
    <t>-680.97773134629 87.6076237502123 -677.618550346869</t>
  </si>
  <si>
    <t>-671.738151440571 68.5514888257353 -828.45448252821</t>
  </si>
  <si>
    <t>-635.72415567122 45.0149899178587 -920.823308972968</t>
  </si>
  <si>
    <t>-662.071670880838 105.514421626257 -764.476252310217</t>
  </si>
  <si>
    <t>-576.515351839131 224.777481112859 -755.509417864273</t>
  </si>
  <si>
    <t>-475.77832123476 147.812313150063 -465.484187941265</t>
  </si>
  <si>
    <t>-272.962528435887 80.7749128271985 -317.113718296818</t>
  </si>
  <si>
    <t>-689.58111229512 48.4520258077105 -758.952361647154</t>
  </si>
  <si>
    <t>-584.457674969175 225.979347484725 -244.82060739589</t>
  </si>
  <si>
    <t>-590.004572309227 205.089675508102 210.361290098242</t>
  </si>
  <si>
    <t>-626.285679613095 168.784747508836 677.175633444682</t>
  </si>
  <si>
    <t>-493.881538035593 92.2598811333044 764.104326997899</t>
  </si>
  <si>
    <t>-647.38061789647 41.4514542339664 -208.035395331742</t>
  </si>
  <si>
    <t>-578.231361284589 -0.986535771912259 240.378538471752</t>
  </si>
  <si>
    <t>-763.769817210391 111.820689066777 657.037316222091</t>
  </si>
  <si>
    <t>-679.369975173116 -17.341569532457 741.519821492464</t>
  </si>
  <si>
    <t>9763-20170724T160617.626931700.bin</t>
  </si>
  <si>
    <t>-616.21668406285 133.644177522095 -226.70112840358</t>
  </si>
  <si>
    <t>-655.028353310592 123.736767600353 -340.9960130697</t>
  </si>
  <si>
    <t>-673.405146770029 111.965403569816 -460.219591273712</t>
  </si>
  <si>
    <t>-681.471090143624 100.312742439481 -568.819946305511</t>
  </si>
  <si>
    <t>-681.058517911691 87.56253888532 -677.595322219906</t>
  </si>
  <si>
    <t>-671.663371641754 68.582585103022 -828.431341336973</t>
  </si>
  <si>
    <t>-635.584112123014 45.1772464971639 -920.808093794407</t>
  </si>
  <si>
    <t>-662.072155276189 105.517541613948 -764.425606369066</t>
  </si>
  <si>
    <t>-576.510709840755 224.768113634691 -755.181172793483</t>
  </si>
  <si>
    <t>-475.113464539381 147.61079477153 -465.437255435064</t>
  </si>
  <si>
    <t>-271.029712282438 81.6976926931341 -318.306956460317</t>
  </si>
  <si>
    <t>-689.568733808083 48.4436824240042 -758.956622480015</t>
  </si>
  <si>
    <t>-584.755819615711 225.996590348053 -244.857772346635</t>
  </si>
  <si>
    <t>-590.072027724125 205.241969482893 210.333049470763</t>
  </si>
  <si>
    <t>-626.205206842423 169.017429563391 677.160176918274</t>
  </si>
  <si>
    <t>-493.832827181947 92.3445013030162 764.006748842893</t>
  </si>
  <si>
    <t>-647.540475738132 41.3548736411385 -207.954081971243</t>
  </si>
  <si>
    <t>-578.345430429084 -1.0067370055981 240.459991617209</t>
  </si>
  <si>
    <t>-763.870348019027 111.875831955787 657.095838917711</t>
  </si>
  <si>
    <t>-679.388826841022 -17.3022473919757 741.47240034869</t>
  </si>
  <si>
    <t>9763-20170724T160617.693103800.bin</t>
  </si>
  <si>
    <t>-616.662264943333 133.342517881034 -226.580266326958</t>
  </si>
  <si>
    <t>-655.52105777149 123.345690561505 -340.851222701783</t>
  </si>
  <si>
    <t>-673.836659853028 111.605782129604 -460.087481477483</t>
  </si>
  <si>
    <t>-681.800190016899 100.031483202009 -568.703591292271</t>
  </si>
  <si>
    <t>-681.23721584111 87.4097234445728 -677.493467277764</t>
  </si>
  <si>
    <t>-671.582125075637 68.661182161226 -828.342019528577</t>
  </si>
  <si>
    <t>-635.416282952822 45.5007484495934 -920.746591964041</t>
  </si>
  <si>
    <t>-662.112324449389 105.503222904645 -764.26452897605</t>
  </si>
  <si>
    <t>-576.608345578275 224.743800684958 -754.557953512568</t>
  </si>
  <si>
    <t>-473.646019676084 147.334277130473 -465.433886175882</t>
  </si>
  <si>
    <t>-267.231520500966 83.0544205460267 -320.854472746679</t>
  </si>
  <si>
    <t>-689.595996252531 48.4105360573578 -758.927736469413</t>
  </si>
  <si>
    <t>-585.139970463101 225.785642681089 -244.834434400732</t>
  </si>
  <si>
    <t>-590.183550710108 205.294068767045 210.371351400264</t>
  </si>
  <si>
    <t>-626.123795050329 169.296131805846 677.171367975797</t>
  </si>
  <si>
    <t>-493.924875090338 92.2319726422613 763.935812621839</t>
  </si>
  <si>
    <t>-648.062194894663 40.9416063565634 -207.722148143254</t>
  </si>
  <si>
    <t>-578.499157155521 -1.3636026598017 240.640424735869</t>
  </si>
  <si>
    <t>-764.026687458479 111.959946477418 657.127792957449</t>
  </si>
  <si>
    <t>-679.37987873253 -17.2157639109741 741.342178752946</t>
  </si>
  <si>
    <t>9763-20170724T160617.727382500.bin</t>
  </si>
  <si>
    <t>-616.780046722018 133.035736540422 -226.547646371011</t>
  </si>
  <si>
    <t>-655.655651809268 123.035768400089 -340.812562638474</t>
  </si>
  <si>
    <t>-673.956850190455 111.336188569449 -460.055074290492</t>
  </si>
  <si>
    <t>-681.893702814063 99.8183015108186 -568.679113756144</t>
  </si>
  <si>
    <t>-681.289423260547 87.2749116302045 -677.477844387656</t>
  </si>
  <si>
    <t>-671.561295160235 68.6594318737684 -828.338061765032</t>
  </si>
  <si>
    <t>-635.3761438835 45.6014636479251 -920.760716420146</t>
  </si>
  <si>
    <t>-662.126559342128 105.446749871177 -764.224165877215</t>
  </si>
  <si>
    <t>-576.679421247871 224.727834705182 -754.371808449304</t>
  </si>
  <si>
    <t>-473.401302692831 147.247174908904 -465.379464619299</t>
  </si>
  <si>
    <t>-265.690741944428 83.6837100477919 -322.347572939774</t>
  </si>
  <si>
    <t>-689.604799925565 48.3456873056614 -758.950037615632</t>
  </si>
  <si>
    <t>-585.169027646188 225.466770160983 -244.835287000598</t>
  </si>
  <si>
    <t>-590.257586976156 205.125206516958 210.376777808796</t>
  </si>
  <si>
    <t>-626.142250963554 169.232053084438 677.179289143287</t>
  </si>
  <si>
    <t>-493.874394028359 92.2838772918433 763.941614897381</t>
  </si>
  <si>
    <t>-648.250008745441 40.6592160752841 -207.646073848075</t>
  </si>
  <si>
    <t>-578.485837106694 -1.69835781621168 240.680142875872</t>
  </si>
  <si>
    <t>-764.026595068769 111.992771580949 657.052518979556</t>
  </si>
  <si>
    <t>-679.364930515797 -17.1817246235726 741.253828647776</t>
  </si>
  <si>
    <t>9763-20170724T160617.791553200.bin</t>
  </si>
  <si>
    <t>-616.955825255692 132.294930987048 -226.655863911771</t>
  </si>
  <si>
    <t>-655.882441187944 122.325634873775 -340.906184397078</t>
  </si>
  <si>
    <t>-674.161476155969 110.723393338466 -460.161499047773</t>
  </si>
  <si>
    <t>-682.046368277711 99.3221865022244 -568.801687592732</t>
  </si>
  <si>
    <t>-681.35747693278 86.9250302482251 -677.61659696695</t>
  </si>
  <si>
    <t>-671.477206114813 68.5445582425798 -828.495931602132</t>
  </si>
  <si>
    <t>-635.239763264116 45.6797669237631 -920.946022307104</t>
  </si>
  <si>
    <t>-662.109488286364 105.233188706656 -764.315461092813</t>
  </si>
  <si>
    <t>-576.718866102724 224.505226894634 -754.108048823299</t>
  </si>
  <si>
    <t>-473.017919373172 147.269259660756 -465.201575700733</t>
  </si>
  <si>
    <t>-263.479299536275 83.4342411328928 -324.985049194642</t>
  </si>
  <si>
    <t>-689.588206025899 48.1216797488187 -759.1574997832</t>
  </si>
  <si>
    <t>-585.241001938259 224.677031244529 -244.927243430188</t>
  </si>
  <si>
    <t>-590.24254626104 204.613900276418 210.298137032917</t>
  </si>
  <si>
    <t>-626.149059016641 169.124725561738 677.156015639776</t>
  </si>
  <si>
    <t>-493.945320793881 92.1445264642773 763.987656444256</t>
  </si>
  <si>
    <t>-648.539173139444 40.0421696969863 -207.76556875622</t>
  </si>
  <si>
    <t>-578.567339215063 -2.22975325894845 240.536516884223</t>
  </si>
  <si>
    <t>-763.957035674868 112.012658799238 656.847576364743</t>
  </si>
  <si>
    <t>-679.326224515967 -17.1178831240618 741.147288938772</t>
  </si>
  <si>
    <t>9763-20170724T160617.823645300.bin</t>
  </si>
  <si>
    <t>-617.019444254485 131.956346194868 -226.770183358382</t>
  </si>
  <si>
    <t>-655.961836315204 122.041662538157 -341.019880713876</t>
  </si>
  <si>
    <t>-674.245102385769 110.526601574324 -460.283040485071</t>
  </si>
  <si>
    <t>-682.128392022884 99.2177873803844 -568.93299358374</t>
  </si>
  <si>
    <t>-681.431989829173 86.9269121280317 -677.759923546271</t>
  </si>
  <si>
    <t>-671.534870352393 68.708735423083 -828.657737553807</t>
  </si>
  <si>
    <t>-635.290635636241 45.9547638737647 -921.132519184741</t>
  </si>
  <si>
    <t>-662.184729459781 105.333108708797 -764.438185493301</t>
  </si>
  <si>
    <t>-576.825557652628 224.62625211232 -754.065978016937</t>
  </si>
  <si>
    <t>-473.211590128107 146.95187099272 -465.245951525538</t>
  </si>
  <si>
    <t>-263.610271049161 82.5080894819616 -325.401991833083</t>
  </si>
  <si>
    <t>-689.643294281367 48.2063821748529 -759.342014004934</t>
  </si>
  <si>
    <t>-585.313765781045 224.292038964777 -244.995453210538</t>
  </si>
  <si>
    <t>-590.262104474397 204.268155864092 210.232180507065</t>
  </si>
  <si>
    <t>-626.159889063503 168.975774878555 677.122238123514</t>
  </si>
  <si>
    <t>-493.972973277279 92.0485487514211 764.02640398161</t>
  </si>
  <si>
    <t>-648.610150255121 39.7449637602294 -207.9355005815</t>
  </si>
  <si>
    <t>-578.658136141014 -2.40565385548871 240.381055100044</t>
  </si>
  <si>
    <t>-763.869519219814 112.022981901125 656.720374618028</t>
  </si>
  <si>
    <t>-679.33841371314 -17.1006288222427 741.130646461055</t>
  </si>
  <si>
    <t>9763-20170724T160617.888818500.bin</t>
  </si>
  <si>
    <t>-617.091785355315 131.22704197059 -227.076991709015</t>
  </si>
  <si>
    <t>-656.064481316232 121.400718830079 -341.323938539753</t>
  </si>
  <si>
    <t>-674.373628235008 110.040916092278 -460.59804812227</t>
  </si>
  <si>
    <t>-682.27734582826 98.8968874161867 -569.263528311442</t>
  </si>
  <si>
    <t>-681.597899372911 86.7933908875841 -678.111545488729</t>
  </si>
  <si>
    <t>-671.720288363435 68.8575960591886 -829.044406140151</t>
  </si>
  <si>
    <t>-635.483895329405 46.2911174804633 -921.568331365652</t>
  </si>
  <si>
    <t>-662.369744806156 105.365454592243 -764.758611746097</t>
  </si>
  <si>
    <t>-577.035558424327 224.65260314051 -754.151163587714</t>
  </si>
  <si>
    <t>-473.732032932584 146.494831558408 -465.350274810964</t>
  </si>
  <si>
    <t>-263.821292299951 80.5564160194529 -326.672028241361</t>
  </si>
  <si>
    <t>-689.811825046614 48.2219020258531 -759.763893690042</t>
  </si>
  <si>
    <t>-585.465667669368 223.453323336597 -245.170902852022</t>
  </si>
  <si>
    <t>-590.161150526946 203.521332893951 210.063490602638</t>
  </si>
  <si>
    <t>-626.163404583568 168.756682304348 677.04938373838</t>
  </si>
  <si>
    <t>-493.971950521222 91.9785144564175 764.07836120977</t>
  </si>
  <si>
    <t>-648.518137145358 39.0921146615328 -208.323043737536</t>
  </si>
  <si>
    <t>-578.656950109204 -2.61902055051883 240.048758047904</t>
  </si>
  <si>
    <t>-763.672423227808 111.977428342485 656.436301523629</t>
  </si>
  <si>
    <t>-679.276958979219 -17.0515813455913 741.126499909363</t>
  </si>
  <si>
    <t>9763-20170724T160617.924508600.bin</t>
  </si>
  <si>
    <t>-617.146843905079 130.876829249526 -227.197557654642</t>
  </si>
  <si>
    <t>-656.129788513635 121.123241797645 -341.447327094181</t>
  </si>
  <si>
    <t>-674.466056239311 109.851006746086 -460.725436895545</t>
  </si>
  <si>
    <t>-682.401080500997 98.7894886934314 -569.397091208306</t>
  </si>
  <si>
    <t>-681.759776858409 86.7700557873709 -678.254624803099</t>
  </si>
  <si>
    <t>-671.942111354698 68.9513805822985 -829.205355320605</t>
  </si>
  <si>
    <t>-635.732518943186 46.4561189787564 -921.75708466553</t>
  </si>
  <si>
    <t>-662.565135240274 105.408856965067 -764.894940555547</t>
  </si>
  <si>
    <t>-577.288062284508 224.731979270968 -754.212699672441</t>
  </si>
  <si>
    <t>-474.037240046965 146.424916185612 -465.43344899569</t>
  </si>
  <si>
    <t>-264.331365058334 79.519855408997 -326.908328614104</t>
  </si>
  <si>
    <t>-690.007047963055 48.2624047171378 -759.933879565218</t>
  </si>
  <si>
    <t>-585.63096016882 223.079538218556 -245.227966905657</t>
  </si>
  <si>
    <t>-590.164642136802 203.146480882031 210.007946467907</t>
  </si>
  <si>
    <t>-626.194790435463 168.612590911564 677.038274838731</t>
  </si>
  <si>
    <t>-493.919822014249 92.0105470473081 764.095549162985</t>
  </si>
  <si>
    <t>-648.469321685087 38.7955481181302 -208.520452532121</t>
  </si>
  <si>
    <t>-578.631001424643 -2.69985818594273 239.874922432546</t>
  </si>
  <si>
    <t>-763.533203390353 111.974308032743 656.288102875774</t>
  </si>
  <si>
    <t>-679.245553616601 -17.0252286791563 741.130501715896</t>
  </si>
  <si>
    <t>9763-20170724T160617.990697700.bin</t>
  </si>
  <si>
    <t>-617.215386924507 130.403864574653 -227.385704117399</t>
  </si>
  <si>
    <t>-656.276672895848 120.717346650491 -341.614457901772</t>
  </si>
  <si>
    <t>-674.654230691487 109.562154315428 -460.897281087962</t>
  </si>
  <si>
    <t>-682.609992047488 98.6237332530641 -569.579890726634</t>
  </si>
  <si>
    <t>-681.972168448391 86.7429978814721 -678.452662386459</t>
  </si>
  <si>
    <t>-672.141266631085 69.1315603406424 -829.426875172512</t>
  </si>
  <si>
    <t>-635.968457680119 46.7688333879503 -922.025028617223</t>
  </si>
  <si>
    <t>-662.78260391216 105.506685591031 -765.067014735331</t>
  </si>
  <si>
    <t>-577.558055211385 224.850725239337 -754.27873990983</t>
  </si>
  <si>
    <t>-474.71109721296 146.462426343166 -465.377463005376</t>
  </si>
  <si>
    <t>-264.918156027641 78.1316715790456 -327.682568673318</t>
  </si>
  <si>
    <t>-690.199653139557 48.3414842930608 -760.18394986741</t>
  </si>
  <si>
    <t>-585.866105974575 222.473072318087 -245.326759773252</t>
  </si>
  <si>
    <t>-590.015397363459 202.521466805844 209.912058393268</t>
  </si>
  <si>
    <t>-626.206776449006 168.394271508926 676.990362880272</t>
  </si>
  <si>
    <t>-493.83659840758 92.0519670444173 764.13104103046</t>
  </si>
  <si>
    <t>-648.412976923142 38.3817861076216 -208.758149006056</t>
  </si>
  <si>
    <t>-578.548921740508 -2.78407582518412 239.663592166454</t>
  </si>
  <si>
    <t>-763.340312700446 111.965201900965 656.101581705323</t>
  </si>
  <si>
    <t>-679.208836055035 -16.9872290199294 741.170241195061</t>
  </si>
  <si>
    <t>9763-20170724T160618.027798700.bin</t>
  </si>
  <si>
    <t>-617.291856255219 130.184226860692 -227.42684816477</t>
  </si>
  <si>
    <t>-656.398645562702 120.531636406116 -341.642927531177</t>
  </si>
  <si>
    <t>-674.800657060649 109.412506446589 -460.925287881906</t>
  </si>
  <si>
    <t>-682.769155301264 98.5086310342135 -569.610495058649</t>
  </si>
  <si>
    <t>-682.134408968402 86.664956405928 -678.48736281696</t>
  </si>
  <si>
    <t>-672.297689520844 69.1080514852708 -829.467386487562</t>
  </si>
  <si>
    <t>-636.126811207019 46.7863267254211 -922.076247917725</t>
  </si>
  <si>
    <t>-662.961919040011 105.469456145735 -765.096616696256</t>
  </si>
  <si>
    <t>-577.836623288406 224.890306617796 -754.280113355715</t>
  </si>
  <si>
    <t>-475.088620190981 146.44371986095 -465.359416228564</t>
  </si>
  <si>
    <t>-265.282672704333 77.6945225534098 -327.892892342059</t>
  </si>
  <si>
    <t>-690.338425768313 48.2833274979182 -760.230341151627</t>
  </si>
  <si>
    <t>-585.996188060107 222.267392548652 -245.35519162626</t>
  </si>
  <si>
    <t>-589.992662013422 202.320958748272 209.885246974607</t>
  </si>
  <si>
    <t>-626.201006349099 168.331665352123 676.963832308846</t>
  </si>
  <si>
    <t>-493.808965377953 92.0692249740803 764.141215551941</t>
  </si>
  <si>
    <t>-648.445984913758 38.1620283231944 -208.836852211077</t>
  </si>
  <si>
    <t>-578.525407507236 -2.79497172002971 239.59522597048</t>
  </si>
  <si>
    <t>-763.286073125578 111.965546370421 656.044681236711</t>
  </si>
  <si>
    <t>-679.210286472843 -16.9727074619495 741.189826174766</t>
  </si>
  <si>
    <t>9763-20170724T160618.089964800.bin</t>
  </si>
  <si>
    <t>-617.385681918767 130.112749277058 -227.472529918981</t>
  </si>
  <si>
    <t>-656.536408269323 120.476282026896 -341.674760778659</t>
  </si>
  <si>
    <t>-674.987754958179 109.408234123737 -460.954445000363</t>
  </si>
  <si>
    <t>-683.002019325116 98.5657029021299 -569.642360708901</t>
  </si>
  <si>
    <t>-682.41350842801 86.7990532932122 -678.527801555945</t>
  </si>
  <si>
    <t>-672.640864330413 69.3660221685138 -829.526448756846</t>
  </si>
  <si>
    <t>-636.456587626362 47.128463601696 -922.150295520639</t>
  </si>
  <si>
    <t>-663.308844814159 105.689082103167 -765.133474477693</t>
  </si>
  <si>
    <t>-578.586155139787 225.414246429279 -754.538933003812</t>
  </si>
  <si>
    <t>-475.654199454672 147.591832551806 -465.514909747424</t>
  </si>
  <si>
    <t>-265.775145614801 77.1079450829227 -329.042001006616</t>
  </si>
  <si>
    <t>-690.621185828154 48.4699729640026 -760.295027045943</t>
  </si>
  <si>
    <t>-586.144448939593 222.169044752855 -245.369602745592</t>
  </si>
  <si>
    <t>-590.022210238128 202.170309493482 209.869552889936</t>
  </si>
  <si>
    <t>-626.237827274168 168.113698271309 676.966010913529</t>
  </si>
  <si>
    <t>-493.783139522071 92.0281779039019 764.202802850299</t>
  </si>
  <si>
    <t>-648.448153479474 38.1524214081207 -208.901359014842</t>
  </si>
  <si>
    <t>-578.447086085963 -2.7648471351406 239.521805104823</t>
  </si>
  <si>
    <t>-763.173837135766 112.000461442301 655.974494341137</t>
  </si>
  <si>
    <t>-679.173897081532 -16.9164338971675 741.226752300226</t>
  </si>
  <si>
    <t>9763-20170724T160618.121780800.bin</t>
  </si>
  <si>
    <t>-617.345490523531 130.112098440201 -227.467015182106</t>
  </si>
  <si>
    <t>-656.499563521183 120.46214754202 -341.667028309241</t>
  </si>
  <si>
    <t>-674.975922684402 109.347776277148 -460.938476438533</t>
  </si>
  <si>
    <t>-683.022014553638 98.45185557433 -569.618600689238</t>
  </si>
  <si>
    <t>-682.474689311777 86.6212664515933 -678.497376068044</t>
  </si>
  <si>
    <t>-672.768839520281 69.0895140067096 -829.488957863094</t>
  </si>
  <si>
    <t>-636.600279308085 46.8367801766535 -922.115183883343</t>
  </si>
  <si>
    <t>-663.427886427362 105.46383454203 -765.126137520794</t>
  </si>
  <si>
    <t>-578.994837793617 225.449396378299 -754.919667125453</t>
  </si>
  <si>
    <t>-476.378491941919 148.522868222469 -465.543974727542</t>
  </si>
  <si>
    <t>-266.450427383589 77.2602576268434 -329.551534234744</t>
  </si>
  <si>
    <t>-690.698911389333 48.2296549169819 -760.23366216782</t>
  </si>
  <si>
    <t>-586.120888500835 222.12070457205 -245.360571052977</t>
  </si>
  <si>
    <t>-590.10052667602 202.180441749923 209.880228247309</t>
  </si>
  <si>
    <t>-626.269149779092 167.978648106061 676.967133925958</t>
  </si>
  <si>
    <t>-493.765790233246 92.003137744329 764.225923056689</t>
  </si>
  <si>
    <t>-648.379362072959 38.149936788496 -208.91488167809</t>
  </si>
  <si>
    <t>-578.306912348332 -2.63587911966465 239.509115809173</t>
  </si>
  <si>
    <t>-763.115878410752 112.008927336527 655.942923697681</t>
  </si>
  <si>
    <t>-679.162265042837 -16.8980026047805 741.255899010295</t>
  </si>
  <si>
    <t>9763-20170724T160618.188959300.bin</t>
  </si>
  <si>
    <t>-617.257533461401 130.066796085752 -227.517183156656</t>
  </si>
  <si>
    <t>-656.331812047818 120.394657930932 -341.742596188036</t>
  </si>
  <si>
    <t>-674.870184861609 109.173470311597 -460.994363682415</t>
  </si>
  <si>
    <t>-683.032877037956 98.1478324613167 -569.652829570882</t>
  </si>
  <si>
    <t>-682.663447810245 86.1549109118439 -678.514583784452</t>
  </si>
  <si>
    <t>-673.268640703806 68.3641344923251 -829.495449231889</t>
  </si>
  <si>
    <t>-637.171938226928 46.0382595988569 -922.132162750272</t>
  </si>
  <si>
    <t>-663.808801908077 104.855146078715 -765.216117142207</t>
  </si>
  <si>
    <t>-579.852219613289 225.188635743044 -755.640621160268</t>
  </si>
  <si>
    <t>-479.901347894188 151.519739898202 -464.489464169023</t>
  </si>
  <si>
    <t>-270.492520355131 77.2676020619206 -329.298554839746</t>
  </si>
  <si>
    <t>-691.042310980569 47.6168480033994 -760.16613882148</t>
  </si>
  <si>
    <t>-586.099921908234 221.942354949196 -245.360981748179</t>
  </si>
  <si>
    <t>-590.227027294538 202.031704982813 209.87984898512</t>
  </si>
  <si>
    <t>-626.348188471239 167.689461744322 676.993381140398</t>
  </si>
  <si>
    <t>-493.679826317345 92.0144677124952 764.262580641204</t>
  </si>
  <si>
    <t>-648.293280610779 38.240934543333 -208.982179062432</t>
  </si>
  <si>
    <t>-578.06525625012 -2.53668187279186 239.418160372803</t>
  </si>
  <si>
    <t>-762.941392127624 112.057855844543 655.880864557144</t>
  </si>
  <si>
    <t>-679.092262510576 -16.8329717183021 741.320806119833</t>
  </si>
  <si>
    <t>9763-20170724T160618.223697800.bin</t>
  </si>
  <si>
    <t>-617.19156924099 130.105155408264 -227.501914100127</t>
  </si>
  <si>
    <t>-656.245390248626 120.432900989761 -341.734331461449</t>
  </si>
  <si>
    <t>-674.731349287857 109.153922151003 -460.988718872725</t>
  </si>
  <si>
    <t>-682.834248052077 98.0531730424036 -569.644019387246</t>
  </si>
  <si>
    <t>-682.393507778231 85.9622442114955 -678.494754326101</t>
  </si>
  <si>
    <t>-672.888267910826 68.0117891024736 -829.449800234308</t>
  </si>
  <si>
    <t>-636.767328009423 45.6631201445275 -922.071531570112</t>
  </si>
  <si>
    <t>-663.497578523464 104.581028576154 -765.204905419669</t>
  </si>
  <si>
    <t>-579.574528246277 224.937609668137 -755.813417189771</t>
  </si>
  <si>
    <t>-481.405837899526 154.257070723507 -463.318316239499</t>
  </si>
  <si>
    <t>-272.257830907033 78.7767063638937 -328.40414777064</t>
  </si>
  <si>
    <t>-690.690613433913 47.3274619528511 -760.108806700193</t>
  </si>
  <si>
    <t>-586.035541302806 221.925954483423 -245.337539494657</t>
  </si>
  <si>
    <t>-590.215597346273 201.938498412869 209.899380149862</t>
  </si>
  <si>
    <t>-626.395388625963 167.533542027074 677.008130179475</t>
  </si>
  <si>
    <t>-493.639953558848 92.0324303491871 764.295522783885</t>
  </si>
  <si>
    <t>-648.214028910031 38.3361235676848 -209.009447967724</t>
  </si>
  <si>
    <t>-577.989148592945 -2.43994672064537 239.391513399012</t>
  </si>
  <si>
    <t>-762.910300798021 112.068929629919 655.903837136766</t>
  </si>
  <si>
    <t>-679.085714783847 -16.8206949358046 741.369730446768</t>
  </si>
  <si>
    <t>9763-20170724T160618.295890900.bin</t>
  </si>
  <si>
    <t>-617.153200519936 130.335717875773 -227.444005141429</t>
  </si>
  <si>
    <t>-656.266488124763 120.699755344441 -341.6591026445</t>
  </si>
  <si>
    <t>-674.688167616448 109.336702451566 -460.915516426737</t>
  </si>
  <si>
    <t>-682.681959270043 98.1204621661686 -569.567044954527</t>
  </si>
  <si>
    <t>-682.081261491993 85.8804042846691 -678.400301831658</t>
  </si>
  <si>
    <t>-672.301790029909 67.6925857121785 -829.309407774015</t>
  </si>
  <si>
    <t>-636.096184544491 45.2294516393431 -921.870456972047</t>
  </si>
  <si>
    <t>-663.135617129357 104.412658866671 -765.118019486761</t>
  </si>
  <si>
    <t>-579.712539054908 225.149585826761 -755.810348483269</t>
  </si>
  <si>
    <t>-484.98890916933 158.204625086266 -461.307460598743</t>
  </si>
  <si>
    <t>-276.140408969077 81.4306904927432 -326.659510781003</t>
  </si>
  <si>
    <t>-690.122316744971 47.0674481885092 -759.955539603536</t>
  </si>
  <si>
    <t>-586.088674890113 222.194837772481 -245.269426938968</t>
  </si>
  <si>
    <t>-590.047155291457 201.88033551337 209.955088472431</t>
  </si>
  <si>
    <t>-626.45272802039 167.30152735814 677.031330029793</t>
  </si>
  <si>
    <t>-493.524642202198 92.1133224596131 764.32605474908</t>
  </si>
  <si>
    <t>-648.098312795507 38.5951417734191 -208.958418549046</t>
  </si>
  <si>
    <t>-577.829192593698 -2.28325174355041 239.426267358802</t>
  </si>
  <si>
    <t>-762.834418959877 112.127334895401 655.948678117389</t>
  </si>
  <si>
    <t>-679.068310507237 -16.7851156906822 741.437480811361</t>
  </si>
  <si>
    <t>9763-20170724T160618.323496300.bin</t>
  </si>
  <si>
    <t>-617.207818372152 130.649486679987 -227.396302189986</t>
  </si>
  <si>
    <t>-656.364268706134 120.979371215031 -341.593723996413</t>
  </si>
  <si>
    <t>-674.79162053559 109.568965406854 -460.844751605734</t>
  </si>
  <si>
    <t>-682.774572816872 98.3074163887391 -569.492376091805</t>
  </si>
  <si>
    <t>-682.146789891508 86.0212932560544 -678.320201046876</t>
  </si>
  <si>
    <t>-672.312521208052 67.7704474106047 -829.218198076249</t>
  </si>
  <si>
    <t>-636.053145190537 45.2659541268583 -921.748227197885</t>
  </si>
  <si>
    <t>-663.210920784088 104.536400179058 -765.043878481887</t>
  </si>
  <si>
    <t>-580.125211833348 225.50347954423 -755.757406072557</t>
  </si>
  <si>
    <t>-486.194961687693 159.918286316744 -460.695024779311</t>
  </si>
  <si>
    <t>-277.423011018931 82.5380419896678 -326.275427264792</t>
  </si>
  <si>
    <t>-690.116744924268 47.1554729668414 -759.85720590083</t>
  </si>
  <si>
    <t>-586.188901664427 222.532295883973 -245.241296132273</t>
  </si>
  <si>
    <t>-590.055818799162 202.068357820658 209.977253378451</t>
  </si>
  <si>
    <t>-626.429386012177 167.366005871757 677.029810880162</t>
  </si>
  <si>
    <t>-493.51211531057 92.1583231872733 764.324239735628</t>
  </si>
  <si>
    <t>-648.103789592887 38.904850012749 -208.859001504637</t>
  </si>
  <si>
    <t>-577.743849928508 -2.16353498552598 239.494099053793</t>
  </si>
  <si>
    <t>-762.812567575403 112.178911966117 655.986196343333</t>
  </si>
  <si>
    <t>-679.034856710319 -16.7437082096535 741.448336207209</t>
  </si>
  <si>
    <t>9763-20170724T160618.394693300.bin</t>
  </si>
  <si>
    <t>-617.205639927626 131.20680875429 -227.337285982029</t>
  </si>
  <si>
    <t>-656.379639906861 121.422594768705 -341.519091047853</t>
  </si>
  <si>
    <t>-674.868247222592 109.915206746242 -460.751193312093</t>
  </si>
  <si>
    <t>-682.92400433153 98.5727391344242 -569.38501264756</t>
  </si>
  <si>
    <t>-682.3865141911 86.2114046688243 -678.204791945387</t>
  </si>
  <si>
    <t>-672.69555131083 67.8613805400407 -829.100003238138</t>
  </si>
  <si>
    <t>-636.40519759694 45.3066720941947 -921.605697064909</t>
  </si>
  <si>
    <t>-663.581671363416 104.69158223549 -764.964335526493</t>
  </si>
  <si>
    <t>-580.924929518569 225.986981987268 -755.98171783653</t>
  </si>
  <si>
    <t>-488.531686738939 162.462786806382 -459.984556230805</t>
  </si>
  <si>
    <t>-279.763860796131 83.8765916261166 -326.259908939833</t>
  </si>
  <si>
    <t>-690.385373880886 47.2697672292024 -759.702892493189</t>
  </si>
  <si>
    <t>-586.35514826116 223.149493334176 -245.229539056162</t>
  </si>
  <si>
    <t>-590.196167960112 202.560289877871 209.983527216128</t>
  </si>
  <si>
    <t>-626.373220394058 167.490571105463 677.009488939287</t>
  </si>
  <si>
    <t>-493.434905760048 92.3015438113357 764.287941219048</t>
  </si>
  <si>
    <t>-647.886179294359 39.3172501399144 -208.798599184195</t>
  </si>
  <si>
    <t>-577.574975650199 -1.62691312024322 239.573576058447</t>
  </si>
  <si>
    <t>-762.835012097797 112.280140663745 656.122803194019</t>
  </si>
  <si>
    <t>-679.046255069604 -16.7032266795648 741.482289155207</t>
  </si>
  <si>
    <t>9763-20170724T160618.425277500.bin</t>
  </si>
  <si>
    <t>-617.349610844762 131.513561117682 -227.334245631109</t>
  </si>
  <si>
    <t>-656.568239348302 121.716571562168 -341.499639827915</t>
  </si>
  <si>
    <t>-675.1245816806 110.164516860671 -460.717044183988</t>
  </si>
  <si>
    <t>-683.250977646677 98.7687765134331 -569.340008210482</t>
  </si>
  <si>
    <t>-682.79361439151 86.3410464237754 -678.152556646017</t>
  </si>
  <si>
    <t>-673.22363009297 67.8852516143409 -829.042669087828</t>
  </si>
  <si>
    <t>-636.949338974115 45.2927040670054 -921.545289556704</t>
  </si>
  <si>
    <t>-664.074805812628 104.767963680589 -764.942004500064</t>
  </si>
  <si>
    <t>-581.587817416146 226.17990944523 -756.10475045726</t>
  </si>
  <si>
    <t>-489.74092089391 163.151580632678 -459.831560439126</t>
  </si>
  <si>
    <t>-280.915101553065 84.2890262141441 -326.360484012531</t>
  </si>
  <si>
    <t>-690.841275282955 47.3347967445977 -759.614874443285</t>
  </si>
  <si>
    <t>-586.584193426753 223.519665887616 -245.23594835003</t>
  </si>
  <si>
    <t>-590.298087944513 202.753167153529 209.970161877299</t>
  </si>
  <si>
    <t>-626.353384571716 167.520137329943 677.002980622659</t>
  </si>
  <si>
    <t>-493.371919899569 92.3812529949098 764.25889813973</t>
  </si>
  <si>
    <t>-648.034114109591 39.5939256017264 -208.773915284309</t>
  </si>
  <si>
    <t>-577.583495355721 -1.34225422852001 239.577065642725</t>
  </si>
  <si>
    <t>-762.872853274893 112.319311807315 656.195317178863</t>
  </si>
  <si>
    <t>-679.010077764104 -16.6654350281594 741.480029907835</t>
  </si>
  <si>
    <t>9763-20170724T160618.494460700.bin</t>
  </si>
  <si>
    <t>-617.547917583346 132.202317341557 -227.321954480699</t>
  </si>
  <si>
    <t>-656.797659287428 122.414659539228 -341.477508998661</t>
  </si>
  <si>
    <t>-675.414178162726 110.870219670423 -460.686032205972</t>
  </si>
  <si>
    <t>-683.606723710612 99.4798321482133 -569.304738396683</t>
  </si>
  <si>
    <t>-683.22717471832 87.0553095667485 -678.118067183802</t>
  </si>
  <si>
    <t>-673.777118796901 68.6014013789199 -829.015886659872</t>
  </si>
  <si>
    <t>-637.55956039551 45.9938174194672 -921.536928472007</t>
  </si>
  <si>
    <t>-664.559027923004 105.47501427766 -764.919986092157</t>
  </si>
  <si>
    <t>-582.19776790611 226.978801464516 -756.201662368376</t>
  </si>
  <si>
    <t>-491.135203107189 165.131644091093 -459.437999510524</t>
  </si>
  <si>
    <t>-281.964118918027 85.3475349103273 -327.059786173914</t>
  </si>
  <si>
    <t>-691.357842564456 48.0584493166793 -759.576491917419</t>
  </si>
  <si>
    <t>-586.730642994776 224.234773074393 -245.212733665929</t>
  </si>
  <si>
    <t>-590.367795461257 203.238671153678 209.983532193125</t>
  </si>
  <si>
    <t>-626.292298895054 167.709465168921 676.987366093453</t>
  </si>
  <si>
    <t>-493.362678636515 92.4331458753011 764.203756787253</t>
  </si>
  <si>
    <t>-648.20979995623 40.2459103151648 -208.738546832359</t>
  </si>
  <si>
    <t>-577.794388328479 -0.987765378396034 239.590748103007</t>
  </si>
  <si>
    <t>-762.940060307868 112.424205484225 656.335139753903</t>
  </si>
  <si>
    <t>-679.024223288235 -16.6279661333585 741.465455565495</t>
  </si>
  <si>
    <t>9763-20170724T160618.523540400.bin</t>
  </si>
  <si>
    <t>-617.555854900955 132.520861599073 -227.286140278381</t>
  </si>
  <si>
    <t>-656.85512975144 122.758045005279 -341.426702852597</t>
  </si>
  <si>
    <t>-675.523941001511 111.216792721113 -460.627611955064</t>
  </si>
  <si>
    <t>-683.764751578569 99.8204823691096 -569.241921252346</t>
  </si>
  <si>
    <t>-683.434218930952 87.3815974463994 -678.053675395089</t>
  </si>
  <si>
    <t>-674.053184762266 68.8988703203343 -828.952289343264</t>
  </si>
  <si>
    <t>-637.908738171076 46.2400673827826 -921.48944160819</t>
  </si>
  <si>
    <t>-664.777751805898 105.771902714774 -764.864365155438</t>
  </si>
  <si>
    <t>-582.336656182499 227.244218144804 -756.251916775714</t>
  </si>
  <si>
    <t>-491.716122040423 166.355895753907 -459.154841390247</t>
  </si>
  <si>
    <t>-282.3793389342 86.0163804520191 -327.375733112241</t>
  </si>
  <si>
    <t>-691.630217338016 48.3819492768641 -759.504373286719</t>
  </si>
  <si>
    <t>-586.660348688564 224.527762081468 -245.215255924039</t>
  </si>
  <si>
    <t>-590.361822905133 203.50953407034 209.979338030772</t>
  </si>
  <si>
    <t>-626.250539146673 167.828101792489 676.970471881192</t>
  </si>
  <si>
    <t>-493.422879294981 92.353185616561 764.17055664572</t>
  </si>
  <si>
    <t>-648.319160152374 40.5488305766553 -208.674371015276</t>
  </si>
  <si>
    <t>-577.954217952379 -0.946049572426318 239.638688882793</t>
  </si>
  <si>
    <t>-763.012822264435 112.469122133574 656.424892155135</t>
  </si>
  <si>
    <t>-679.032740628923 -16.6021966061107 741.462932466941</t>
  </si>
  <si>
    <t>9763-20170724T160618.592724900.bin</t>
  </si>
  <si>
    <t>-617.612702729856 132.942830434266 -227.229882322022</t>
  </si>
  <si>
    <t>-656.960907551334 123.277881119831 -341.36189964047</t>
  </si>
  <si>
    <t>-675.753301065874 111.777994330259 -460.547404360547</t>
  </si>
  <si>
    <t>-684.136987841989 100.397293999461 -569.152337219154</t>
  </si>
  <si>
    <t>-683.979952580224 87.953891085052 -677.964027697002</t>
  </si>
  <si>
    <t>-674.871638949274 69.4447056174029 -828.876169351961</t>
  </si>
  <si>
    <t>-638.935933206832 46.6698031493813 -921.466116745425</t>
  </si>
  <si>
    <t>-665.391278218078 106.288137922388 -764.801158846466</t>
  </si>
  <si>
    <t>-582.693868672616 227.578758986087 -756.39043154069</t>
  </si>
  <si>
    <t>-493.768621144721 168.969762163759 -458.324286486624</t>
  </si>
  <si>
    <t>-283.589826741622 87.2304671125733 -328.764980819388</t>
  </si>
  <si>
    <t>-692.412234405444 48.9808272922648 -759.403330627701</t>
  </si>
  <si>
    <t>-586.331884030246 224.872498018178 -245.214744804548</t>
  </si>
  <si>
    <t>-590.150069245889 203.777055231046 209.975304725213</t>
  </si>
  <si>
    <t>-626.165564573689 167.991642460377 676.920456684615</t>
  </si>
  <si>
    <t>-493.433011127556 92.3454042742621 764.116951474418</t>
  </si>
  <si>
    <t>-648.764411819826 41.0810536956124 -208.561842515845</t>
  </si>
  <si>
    <t>-578.41619314503 -1.19540077871829 239.680834183044</t>
  </si>
  <si>
    <t>-763.168406012644 112.514547457368 656.539900561918</t>
  </si>
  <si>
    <t>-679.011797087195 -16.543143489484 741.423803048408</t>
  </si>
  <si>
    <t>9763-20170724T160618.623836000.bin</t>
  </si>
  <si>
    <t>-617.527065879233 133.000795031086 -227.213457841931</t>
  </si>
  <si>
    <t>-656.919219356134 123.367035218671 -341.332910408141</t>
  </si>
  <si>
    <t>-675.777991199699 111.896129998355 -460.510571969813</t>
  </si>
  <si>
    <t>-684.23081318057 100.541016528814 -569.112980617782</t>
  </si>
  <si>
    <t>-684.151499192564 88.1233897355351 -677.927716182341</t>
  </si>
  <si>
    <t>-675.159594194417 69.6508466133769 -828.851224309541</t>
  </si>
  <si>
    <t>-639.342313634858 46.8368287239005 -921.477498152731</t>
  </si>
  <si>
    <t>-665.583685894851 106.457478665076 -764.769246148304</t>
  </si>
  <si>
    <t>-582.649821933678 227.591968838244 -756.407810131743</t>
  </si>
  <si>
    <t>-494.764362701816 169.737767299688 -457.886105604101</t>
  </si>
  <si>
    <t>-283.96348355118 88.3691982771325 -329.106435683228</t>
  </si>
  <si>
    <t>-692.692611164352 49.1914726667851 -759.375217104582</t>
  </si>
  <si>
    <t>-586.019437522715 224.832975297862 -245.24253607237</t>
  </si>
  <si>
    <t>-589.992104440681 203.840702795057 209.9510648131</t>
  </si>
  <si>
    <t>-626.109423507945 168.081617537546 676.875237980768</t>
  </si>
  <si>
    <t>-493.383900724845 92.424107024246 764.072623983377</t>
  </si>
  <si>
    <t>-648.887349735242 41.1829568021508 -208.520875378566</t>
  </si>
  <si>
    <t>-578.78561040932 -1.40992820554584 239.730441274098</t>
  </si>
  <si>
    <t>-763.29365370813 112.571980243408 656.668675741602</t>
  </si>
  <si>
    <t>-679.047365356294 -16.5218850618303 741.408479195178</t>
  </si>
  <si>
    <t>9763-20170724T160618.696003800.bin</t>
  </si>
  <si>
    <t>-617.428719013393 132.993174096274 -227.165025651126</t>
  </si>
  <si>
    <t>-656.926055494727 123.403206650394 -341.251815365632</t>
  </si>
  <si>
    <t>-675.956911498685 112.014252450246 -460.410069659377</t>
  </si>
  <si>
    <t>-684.59117311687 100.749249677416 -569.007482889487</t>
  </si>
  <si>
    <t>-684.718095713827 88.4381930611448 -677.834352468487</t>
  </si>
  <si>
    <t>-676.037153145279 70.1314184142816 -828.796248600634</t>
  </si>
  <si>
    <t>-640.46688227134 47.2748783978529 -921.507177108936</t>
  </si>
  <si>
    <t>-666.223702632656 106.818511911202 -764.681776393988</t>
  </si>
  <si>
    <t>-582.944208535552 227.718461113324 -756.430423692473</t>
  </si>
  <si>
    <t>-496.311313541165 170.438795931519 -457.432160667464</t>
  </si>
  <si>
    <t>-284.109650759418 90.9802163200836 -329.765222802069</t>
  </si>
  <si>
    <t>-693.532725042532 49.6446520729187 -759.318804030838</t>
  </si>
  <si>
    <t>-585.508304925979 224.778280352388 -245.319296399281</t>
  </si>
  <si>
    <t>-589.647598940362 203.889283362276 209.877605666839</t>
  </si>
  <si>
    <t>-625.975776598598 168.350322794487 676.789516013032</t>
  </si>
  <si>
    <t>-493.417069514374 92.407577802461 763.992726028305</t>
  </si>
  <si>
    <t>-649.214972479474 41.2842682393803 -208.346284102575</t>
  </si>
  <si>
    <t>-579.930576808044 -1.90577013654251 239.974989158774</t>
  </si>
  <si>
    <t>-763.843468056454 112.592476112155 657.108286088246</t>
  </si>
  <si>
    <t>-679.143396817451 -16.493477496841 741.40670075963</t>
  </si>
  <si>
    <t>9763-20170724T160618.724085900.bin</t>
  </si>
  <si>
    <t>-617.347625092405 132.966598222494 -227.10947990042</t>
  </si>
  <si>
    <t>-656.903628572281 123.397031730927 -341.177795586371</t>
  </si>
  <si>
    <t>-676.013586616507 112.026366367569 -460.325057467334</t>
  </si>
  <si>
    <t>-684.727385419412 100.778563175346 -568.917789908754</t>
  </si>
  <si>
    <t>-684.940996383487 88.4871345074375 -677.7467524269</t>
  </si>
  <si>
    <t>-676.387452070358 70.211234409968 -828.719734584325</t>
  </si>
  <si>
    <t>-640.917615897248 47.3564560007101 -921.46947134095</t>
  </si>
  <si>
    <t>-666.471903816056 106.862775047915 -764.600631132578</t>
  </si>
  <si>
    <t>-583.05560300855 227.690887345056 -756.483405482827</t>
  </si>
  <si>
    <t>-495.858731567454 171.717589187637 -457.40173031321</t>
  </si>
  <si>
    <t>-283.843877508219 92.0297146121868 -329.567375039083</t>
  </si>
  <si>
    <t>-693.872368369629 49.7327177102725 -759.237121225016</t>
  </si>
  <si>
    <t>-585.18057466949 224.692931828196 -245.334040531992</t>
  </si>
  <si>
    <t>-589.545327865723 203.945284873567 209.867227879989</t>
  </si>
  <si>
    <t>-625.932871079189 168.484887608159 676.766847496728</t>
  </si>
  <si>
    <t>-493.501318033893 92.3320944526761 763.980027326199</t>
  </si>
  <si>
    <t>-649.345497779365 41.3043047764013 -208.21031780007</t>
  </si>
  <si>
    <t>-580.329687490396 -2.16155012147146 240.125729797306</t>
  </si>
  <si>
    <t>-764.10254883166 112.570138132804 657.262455188368</t>
  </si>
  <si>
    <t>-679.196995385683 -16.4917277083844 741.390894823598</t>
  </si>
  <si>
    <t>9763-20170724T160618.793269400.bin</t>
  </si>
  <si>
    <t>-617.420572669722 132.762122737895 -227.157409479737</t>
  </si>
  <si>
    <t>-657.010418899785 123.329601999748 -341.225322400958</t>
  </si>
  <si>
    <t>-676.267385540042 111.991809022538 -460.352122011683</t>
  </si>
  <si>
    <t>-685.161890345918 100.734402929183 -568.929264303693</t>
  </si>
  <si>
    <t>-685.603668656955 88.3970520602227 -677.752187555929</t>
  </si>
  <si>
    <t>-677.416396334747 70.0214214123766 -828.733395401901</t>
  </si>
  <si>
    <t>-642.156559931832 47.0799363905564 -921.541854633034</t>
  </si>
  <si>
    <t>-667.232970353399 106.662442078155 -764.650275301145</t>
  </si>
  <si>
    <t>-583.431586967344 227.25276493707 -756.852018019359</t>
  </si>
  <si>
    <t>-497.458640885095 173.669306593068 -456.979277114882</t>
  </si>
  <si>
    <t>-285.726635944473 93.102206855463 -329.227447405708</t>
  </si>
  <si>
    <t>-694.844993804516 49.6417674736254 -759.207634949361</t>
  </si>
  <si>
    <t>-584.759437823039 224.435329074345 -245.413088155588</t>
  </si>
  <si>
    <t>-589.478446634622 203.857997956075 209.792369062112</t>
  </si>
  <si>
    <t>-625.884886317166 168.639904982764 676.720768875079</t>
  </si>
  <si>
    <t>-493.671218321082 92.1576680451453 763.976276362925</t>
  </si>
  <si>
    <t>-649.958054871876 41.2362214573934 -208.235940664775</t>
  </si>
  <si>
    <t>-580.863082218537 -2.73085070746424 240.039017003327</t>
  </si>
  <si>
    <t>-764.153886393506 112.540824010399 657.192480699883</t>
  </si>
  <si>
    <t>-679.164038464774 -16.4662321333644 741.319939560772</t>
  </si>
  <si>
    <t>9763-20170724T160618.826366400.bin</t>
  </si>
  <si>
    <t>-617.477450740858 132.557204456291 -227.209616283127</t>
  </si>
  <si>
    <t>-657.089445274359 123.201705130072 -341.276008655396</t>
  </si>
  <si>
    <t>-676.425304133038 111.89945082342 -460.393466103121</t>
  </si>
  <si>
    <t>-685.41482145922 100.656339826579 -568.964338505722</t>
  </si>
  <si>
    <t>-685.975784550903 88.3145102781868 -677.786286703153</t>
  </si>
  <si>
    <t>-677.979039014034 69.9128675388881 -828.774497254058</t>
  </si>
  <si>
    <t>-642.836716104225 46.9077083844838 -921.61175093324</t>
  </si>
  <si>
    <t>-667.665242333266 106.541334126526 -764.705034105175</t>
  </si>
  <si>
    <t>-583.668910529535 226.994094177853 -756.980484759082</t>
  </si>
  <si>
    <t>-498.650642707415 174.456439907522 -456.650777474264</t>
  </si>
  <si>
    <t>-286.955877672154 93.3994096723518 -329.147276087484</t>
  </si>
  <si>
    <t>-695.369507044864 49.5686588527035 -759.228697464508</t>
  </si>
  <si>
    <t>-584.662126676975 224.155035639707 -245.453875446661</t>
  </si>
  <si>
    <t>-589.362705227436 203.589093832367 209.752370270052</t>
  </si>
  <si>
    <t>-625.894422506855 168.594829428408 676.696529170885</t>
  </si>
  <si>
    <t>-493.7535499396 92.0254135313119 763.985825839617</t>
  </si>
  <si>
    <t>-650.123319014471 41.1083135558715 -208.333218839065</t>
  </si>
  <si>
    <t>-580.960168213913 -2.89690987819995 239.927519941124</t>
  </si>
  <si>
    <t>-764.086466519804 112.519153842554 657.096696587768</t>
  </si>
  <si>
    <t>-679.106405150176 -16.439216583356 741.308560793159</t>
  </si>
  <si>
    <t>9763-20170724T160618.892540000.bin</t>
  </si>
  <si>
    <t>-617.42254325439 131.909497581176 -227.38467609535</t>
  </si>
  <si>
    <t>-657.112507209286 122.690685710089 -341.43536968039</t>
  </si>
  <si>
    <t>-676.5724142257 111.449724793716 -460.538259493634</t>
  </si>
  <si>
    <t>-685.69375612903 100.227761124693 -569.100398987652</t>
  </si>
  <si>
    <t>-686.406505235907 87.8710496541498 -677.919734633914</t>
  </si>
  <si>
    <t>-678.641699121122 69.409653662686 -828.912799314565</t>
  </si>
  <si>
    <t>-643.693917429328 46.2392572587248 -921.782351384702</t>
  </si>
  <si>
    <t>-668.180480237054 106.040164183557 -764.868330707537</t>
  </si>
  <si>
    <t>-584.025631216271 226.37450201381 -757.184794282149</t>
  </si>
  <si>
    <t>-500.473315904626 176.11351674284 -456.055367288994</t>
  </si>
  <si>
    <t>-289.124726793468 93.7406047632921 -328.821285115991</t>
  </si>
  <si>
    <t>-695.974248939957 49.1163779244425 -759.337644347087</t>
  </si>
  <si>
    <t>-584.637269592672 223.392458570446 -245.504793637515</t>
  </si>
  <si>
    <t>-589.083542104286 202.819504847183 209.703489114194</t>
  </si>
  <si>
    <t>-625.971163629034 168.387101841816 676.692147668223</t>
  </si>
  <si>
    <t>-493.774228615523 91.9583818064857 764.019841170741</t>
  </si>
  <si>
    <t>-650.061878615003 40.5113183626127 -208.606878932848</t>
  </si>
  <si>
    <t>-581.014697732335 -3.00883645307204 239.719073771084</t>
  </si>
  <si>
    <t>-763.931970301626 112.493587604851 656.969878530095</t>
  </si>
  <si>
    <t>-679.083578371635 -16.4245934544872 741.375831453268</t>
  </si>
  <si>
    <t>9763-20170724T160618.927637800.bin</t>
  </si>
  <si>
    <t>-617.477291976915 131.627714343639 -227.435691766105</t>
  </si>
  <si>
    <t>-657.197993491113 122.44710532803 -341.478607598185</t>
  </si>
  <si>
    <t>-676.738286916214 111.24579497405 -460.572203418068</t>
  </si>
  <si>
    <t>-685.952633238418 100.059271810345 -569.130003389545</t>
  </si>
  <si>
    <t>-686.778402547846 87.7371313913138 -677.952465024536</t>
  </si>
  <si>
    <t>-679.191357255223 69.3220773517601 -828.96012077733</t>
  </si>
  <si>
    <t>-644.338973203947 46.0967864388806 -921.851879176352</t>
  </si>
  <si>
    <t>-668.652097276577 105.931588677857 -764.916522490162</t>
  </si>
  <si>
    <t>-584.447102519595 226.240408000222 -757.292640093146</t>
  </si>
  <si>
    <t>-501.709999172764 176.529384635705 -455.846732437656</t>
  </si>
  <si>
    <t>-290.036496790915 94.6920898532355 -328.807399672655</t>
  </si>
  <si>
    <t>-696.444704778325 49.008722685234 -759.37135961278</t>
  </si>
  <si>
    <t>-584.753564227421 223.084687319751 -245.523884110406</t>
  </si>
  <si>
    <t>-589.075948257004 202.487989217858 209.684681301578</t>
  </si>
  <si>
    <t>-626.009732260465 168.272286568483 676.693449897655</t>
  </si>
  <si>
    <t>-493.733319876676 92.0083310353684 764.044881652281</t>
  </si>
  <si>
    <t>-650.075593189689 40.2915559037533 -208.667073741576</t>
  </si>
  <si>
    <t>-580.928006485215 -3.12491621533763 239.653511407086</t>
  </si>
  <si>
    <t>-763.827359891958 112.486801761796 656.887994354386</t>
  </si>
  <si>
    <t>-679.035485373502 -16.4007329455644 741.397451075458</t>
  </si>
  <si>
    <t>9763-20170724T160618.988800700.bin</t>
  </si>
  <si>
    <t>-617.573397739832 131.285265804982 -227.466187258636</t>
  </si>
  <si>
    <t>-657.399869651262 122.11457008825 -341.473087937509</t>
  </si>
  <si>
    <t>-677.080370040892 110.96183706844 -460.548186538195</t>
  </si>
  <si>
    <t>-686.433885165729 99.8347647149556 -569.100131309015</t>
  </si>
  <si>
    <t>-687.410567203887 87.5869222257693 -677.929763216414</t>
  </si>
  <si>
    <t>-680.044557962538 69.2902497888076 -828.962886305212</t>
  </si>
  <si>
    <t>-645.333233413302 46.0685119806483 -921.908205068696</t>
  </si>
  <si>
    <t>-669.419486052972 105.853397832867 -764.906859474012</t>
  </si>
  <si>
    <t>-585.405451707361 226.289224748738 -757.338051938747</t>
  </si>
  <si>
    <t>-502.974249616792 177.42832446099 -455.669575788316</t>
  </si>
  <si>
    <t>-288.556235775646 99.4500179685697 -330.824364842847</t>
  </si>
  <si>
    <t>-697.188114255588 48.9184928632769 -759.363951131015</t>
  </si>
  <si>
    <t>-584.920929064716 222.682886708667 -245.568584621329</t>
  </si>
  <si>
    <t>-588.956468820984 202.140984551218 209.644931235592</t>
  </si>
  <si>
    <t>-626.007355696231 168.236909059294 676.670504443855</t>
  </si>
  <si>
    <t>-493.777782776066 91.9555319737965 764.077593712967</t>
  </si>
  <si>
    <t>-650.038851029309 39.9733099762143 -208.684902569174</t>
  </si>
  <si>
    <t>-580.84067088274 -3.31051909123471 239.640573283573</t>
  </si>
  <si>
    <t>-763.703072714616 112.494968629733 656.815580447294</t>
  </si>
  <si>
    <t>-679.004550599584 -16.3768807410411 741.442510691658</t>
  </si>
  <si>
    <t>9763-20170724T160619.025912900.bin</t>
  </si>
  <si>
    <t>-617.594198965003 131.103737736253 -227.467137969584</t>
  </si>
  <si>
    <t>-657.465860750911 121.891271914685 -341.454823264209</t>
  </si>
  <si>
    <t>-677.178871654593 110.731640960164 -460.523852407949</t>
  </si>
  <si>
    <t>-686.555622325495 99.6133759677518 -569.074711553676</t>
  </si>
  <si>
    <t>-687.548754051616 87.3899673961973 -677.906930958377</t>
  </si>
  <si>
    <t>-680.197853045157 69.1442433427756 -828.946878948388</t>
  </si>
  <si>
    <t>-645.511491406673 45.9685090125924 -921.913219289303</t>
  </si>
  <si>
    <t>-669.580443569202 105.692500547221 -764.881179448758</t>
  </si>
  <si>
    <t>-585.608730817701 226.185960091638 -757.398926473391</t>
  </si>
  <si>
    <t>-503.889536060629 177.590733161241 -455.493841144824</t>
  </si>
  <si>
    <t>-286.756099801814 102.955489339899 -333.32715109695</t>
  </si>
  <si>
    <t>-697.320375354844 48.7422944101152 -759.351607134972</t>
  </si>
  <si>
    <t>-585.001380122633 222.465260801608 -245.604568131831</t>
  </si>
  <si>
    <t>-588.936747844919 202.017772234271 209.614138926215</t>
  </si>
  <si>
    <t>-625.999110189118 168.232006025372 676.651145940998</t>
  </si>
  <si>
    <t>-493.769355240517 91.9718347432056 764.076485067846</t>
  </si>
  <si>
    <t>-650.007752348953 39.7739368071716 -208.655219689553</t>
  </si>
  <si>
    <t>-580.836587561443 -3.30084366808478 239.694626110089</t>
  </si>
  <si>
    <t>-763.690569842001 112.525155066164 656.848892280537</t>
  </si>
  <si>
    <t>-678.993099212378 -16.3480999980511 741.474790133894</t>
  </si>
  <si>
    <t>9763-20170724T160619.092089000.bin</t>
  </si>
  <si>
    <t>-617.70204671952 130.861872822896 -227.518066900439</t>
  </si>
  <si>
    <t>-657.62653656336 121.552320420316 -341.479177002065</t>
  </si>
  <si>
    <t>-677.402130770048 110.301747074042 -460.529381848909</t>
  </si>
  <si>
    <t>-686.838528588493 99.1072867467158 -569.067255273474</t>
  </si>
  <si>
    <t>-687.893574911931 86.8158500710106 -677.891251990857</t>
  </si>
  <si>
    <t>-680.630748447106 68.4854682316725 -828.925200486647</t>
  </si>
  <si>
    <t>-645.958511481735 45.3756243970897 -921.913182243536</t>
  </si>
  <si>
    <t>-670.018313087255 105.089702900147 -764.890750277561</t>
  </si>
  <si>
    <t>-586.402429417446 225.818681120612 -757.501513108274</t>
  </si>
  <si>
    <t>-505.029281510434 177.422544067613 -455.471047087476</t>
  </si>
  <si>
    <t>-281.270932472077 110.109742583654 -341.263934333085</t>
  </si>
  <si>
    <t>-697.67039058954 48.1024189546008 -759.304084797005</t>
  </si>
  <si>
    <t>-585.240413273497 222.175568551098 -245.711691396547</t>
  </si>
  <si>
    <t>-588.928577906252 201.812385221292 209.512814152446</t>
  </si>
  <si>
    <t>-625.952951531344 168.365724697536 676.61885427776</t>
  </si>
  <si>
    <t>-493.851571905252 91.9083040506077 764.06597410866</t>
  </si>
  <si>
    <t>-650.017178544236 39.6367361415391 -208.649891498349</t>
  </si>
  <si>
    <t>-580.994606142574 -3.25502307519832 239.740448502105</t>
  </si>
  <si>
    <t>-763.716286491641 112.554175161089 656.947774270611</t>
  </si>
  <si>
    <t>-678.961386275272 -16.307255250025 741.534138199644</t>
  </si>
  <si>
    <t>9763-20170724T160619.123685600.bin</t>
  </si>
  <si>
    <t>-617.796963817499 130.691922013021 -227.585192985101</t>
  </si>
  <si>
    <t>-657.724367295366 121.34045807585 -341.541940323398</t>
  </si>
  <si>
    <t>-677.536008468415 110.044779604593 -460.581720527792</t>
  </si>
  <si>
    <t>-687.018232511494 98.8108646881942 -569.111653525927</t>
  </si>
  <si>
    <t>-688.132448457394 86.4820400012093 -677.93083726882</t>
  </si>
  <si>
    <t>-680.96513217759 68.1032085651909 -828.963564531761</t>
  </si>
  <si>
    <t>-646.29304756395 45.0352908011917 -921.96185024106</t>
  </si>
  <si>
    <t>-670.367334592497 104.75420706279 -764.953203233295</t>
  </si>
  <si>
    <t>-586.938622782401 225.628638123836 -757.545581814001</t>
  </si>
  <si>
    <t>-504.651942526613 177.28613253134 -455.754099211699</t>
  </si>
  <si>
    <t>-278.132337861404 112.645625827698 -345.515628734288</t>
  </si>
  <si>
    <t>-697.905475968284 47.7164371691958 -759.319314396028</t>
  </si>
  <si>
    <t>-585.459452711812 222.006226770081 -245.768813782832</t>
  </si>
  <si>
    <t>-588.982617935889 201.64710566218 209.457219070167</t>
  </si>
  <si>
    <t>-625.96626006911 168.35644229835 676.609496514576</t>
  </si>
  <si>
    <t>-493.794980358192 92.0058553463471 764.044362855938</t>
  </si>
  <si>
    <t>-649.999530060647 39.4838406254535 -208.767735010604</t>
  </si>
  <si>
    <t>-581.224699599763 -3.14912956341868 239.685362679323</t>
  </si>
  <si>
    <t>-763.734787174186 112.562106132196 657.030073221658</t>
  </si>
  <si>
    <t>-678.951708438176 -16.2931533609647 741.597589427765</t>
  </si>
  <si>
    <t>9763-20170724T160619.195877700.bin</t>
  </si>
  <si>
    <t>-618.128857752252 130.268028386468 -227.716890417155</t>
  </si>
  <si>
    <t>-658.052715070245 120.881521517534 -341.672112014261</t>
  </si>
  <si>
    <t>-677.911588090322 109.518442263673 -460.697722295905</t>
  </si>
  <si>
    <t>-687.457809742791 98.2123019182541 -569.214370108802</t>
  </si>
  <si>
    <t>-688.657263970852 85.8008168248762 -678.023303702127</t>
  </si>
  <si>
    <t>-681.630597123488 67.2967106090541 -829.047202823421</t>
  </si>
  <si>
    <t>-646.911364491003 44.3668235211931 -922.062112844778</t>
  </si>
  <si>
    <t>-671.086507371689 104.053950482596 -765.08911887558</t>
  </si>
  <si>
    <t>-588.115859547596 225.173603505747 -757.197292896489</t>
  </si>
  <si>
    <t>-502.078126890898 177.74590417162 -456.308184305788</t>
  </si>
  <si>
    <t>-270.148075454591 116.405997165065 -355.869351385308</t>
  </si>
  <si>
    <t>-698.392863659258 46.9144453191241 -759.358579971393</t>
  </si>
  <si>
    <t>-586.14922349785 221.632003256563 -245.800576236886</t>
  </si>
  <si>
    <t>-589.126731391088 201.176235737032 209.425060533333</t>
  </si>
  <si>
    <t>-626.023735404022 168.361377469587 676.640196211362</t>
  </si>
  <si>
    <t>-493.818729667148 92.0249550252522 764.036383768101</t>
  </si>
  <si>
    <t>-649.957745049184 38.9755354454978 -208.991251875647</t>
  </si>
  <si>
    <t>-581.578489789553 -2.84379863734648 239.598818586497</t>
  </si>
  <si>
    <t>-763.764080090443 112.494836006229 657.168894629933</t>
  </si>
  <si>
    <t>-678.917017526976 -16.2804024203783 741.794075803457</t>
  </si>
  <si>
    <t>9763-20170724T160619.230482500.bin</t>
  </si>
  <si>
    <t>-618.288302958216 130.079805935159 -227.773434993954</t>
  </si>
  <si>
    <t>-658.213236796456 120.679788743267 -341.727189527555</t>
  </si>
  <si>
    <t>-678.071949207384 109.316104674166 -460.752668475247</t>
  </si>
  <si>
    <t>-687.617140653364 98.0159072290305 -569.270108271213</t>
  </si>
  <si>
    <t>-688.814699094407 85.6170882015363 -678.080516945078</t>
  </si>
  <si>
    <t>-681.783928865954 67.1385368783749 -829.107260379687</t>
  </si>
  <si>
    <t>-647.04480424524 44.3442758203216 -922.148169015624</t>
  </si>
  <si>
    <t>-671.295938192064 103.910222441703 -765.148301929125</t>
  </si>
  <si>
    <t>-588.271447087868 224.90282399484 -756.390457518052</t>
  </si>
  <si>
    <t>-497.806832443946 180.008350423296 -456.412354493488</t>
  </si>
  <si>
    <t>-263.744545108115 118.620807014266 -361.079017482749</t>
  </si>
  <si>
    <t>-698.493731770234 46.719205676299 -759.417000071956</t>
  </si>
  <si>
    <t>-586.474362446186 221.43005790809 -245.797236347505</t>
  </si>
  <si>
    <t>-589.281513464887 200.987734555857 209.430061304813</t>
  </si>
  <si>
    <t>-626.079439543196 168.278301621635 676.672425109785</t>
  </si>
  <si>
    <t>-493.762653068703 92.0949357170989 764.032981291888</t>
  </si>
  <si>
    <t>-649.956509577178 38.8270409165989 -209.057129955909</t>
  </si>
  <si>
    <t>-581.625830181242 -2.81588633844808 239.556783608381</t>
  </si>
  <si>
    <t>-763.685323191524 112.4757365748 657.178979770275</t>
  </si>
  <si>
    <t>-678.875458419894 -16.2657344874744 741.892820642452</t>
  </si>
  <si>
    <t>9763-20170724T160619.291638700.bin</t>
  </si>
  <si>
    <t>-618.787974012884 129.731397668559 -227.719429258405</t>
  </si>
  <si>
    <t>-658.772098402185 120.254611309871 -341.645965911939</t>
  </si>
  <si>
    <t>-678.53612335747 108.949340662213 -460.692673930968</t>
  </si>
  <si>
    <t>-687.928396188848 97.7659757988267 -569.235658947995</t>
  </si>
  <si>
    <t>-688.904182820778 85.552361338398 -678.069212253774</t>
  </si>
  <si>
    <t>-681.492160384656 67.406971167002 -829.118143871167</t>
  </si>
  <si>
    <t>-646.578548859497 45.1087810534225 -922.213914045868</t>
  </si>
  <si>
    <t>-671.344037114865 104.119846101015 -765.070610319989</t>
  </si>
  <si>
    <t>-588.877953185246 225.441942776691 -755.090115652439</t>
  </si>
  <si>
    <t>-486.243997046359 188.299416155887 -457.982556809691</t>
  </si>
  <si>
    <t>-250.868933086305 121.267705187266 -369.963438016429</t>
  </si>
  <si>
    <t>-698.199468185676 46.7516386764612 -759.49673994338</t>
  </si>
  <si>
    <t>-587.282402757165 221.157504805534 -245.776032083487</t>
  </si>
  <si>
    <t>-589.654407771651 200.721402379271 209.454052524454</t>
  </si>
  <si>
    <t>-626.166388573077 168.254133912463 676.743268221562</t>
  </si>
  <si>
    <t>-493.88343484098 91.9746987280309 764.071260697706</t>
  </si>
  <si>
    <t>-650.118450484446 38.392927767841 -209.005257871714</t>
  </si>
  <si>
    <t>-581.657072836377 -2.69520673502325 239.639906244878</t>
  </si>
  <si>
    <t>-763.570447535578 112.480196179505 657.294609669739</t>
  </si>
  <si>
    <t>-678.801471517244 -16.2211717534508 742.110241925461</t>
  </si>
  <si>
    <t>9763-20170724T160619.327740700.bin</t>
  </si>
  <si>
    <t>-619.126647744403 129.432237991287 -227.6555737069</t>
  </si>
  <si>
    <t>-659.173343509434 119.892650541745 -341.554932065782</t>
  </si>
  <si>
    <t>-678.88189738376 108.58781535109 -460.610919881875</t>
  </si>
  <si>
    <t>-688.17311459176 97.4378080516128 -569.166069958761</t>
  </si>
  <si>
    <t>-688.995570322099 85.2949165913833 -678.008662429294</t>
  </si>
  <si>
    <t>-681.315408868306 67.2905086858004 -829.061119408636</t>
  </si>
  <si>
    <t>-646.283000036148 45.2813505183317 -922.181047765993</t>
  </si>
  <si>
    <t>-671.402274887402 103.998861024113 -764.974230328344</t>
  </si>
  <si>
    <t>-589.72753376008 225.8969061502 -754.966826607806</t>
  </si>
  <si>
    <t>-479.306605190978 194.199640891945 -460.028224117216</t>
  </si>
  <si>
    <t>-244.307290355606 123.370214393655 -374.001482146313</t>
  </si>
  <si>
    <t>-698.025011989554 46.5149394479984 -759.47604236559</t>
  </si>
  <si>
    <t>-587.833968931173 220.903694881202 -245.76424722385</t>
  </si>
  <si>
    <t>-589.841287639638 200.528317912891 209.470183434399</t>
  </si>
  <si>
    <t>-626.182136155074 168.258930488966 676.777347022738</t>
  </si>
  <si>
    <t>-493.864906952977 92.0175144627306 764.086589423539</t>
  </si>
  <si>
    <t>-650.255498734882 38.0531233111267 -208.905913791499</t>
  </si>
  <si>
    <t>-581.678447226305 -2.68990435683145 239.753113614254</t>
  </si>
  <si>
    <t>-763.55570684984 112.494866881266 657.385219592202</t>
  </si>
  <si>
    <t>-678.789178655999 -16.2069076004111 742.202631114828</t>
  </si>
  <si>
    <t>9763-20170724T160619.390907600.bin</t>
  </si>
  <si>
    <t>-619.78908347177 128.95111829499 -227.606935987072</t>
  </si>
  <si>
    <t>-659.943773184562 119.310821251931 -341.459803534516</t>
  </si>
  <si>
    <t>-679.668866934012 107.920402340449 -460.504937981293</t>
  </si>
  <si>
    <t>-688.934827492609 96.7093898928733 -569.05593806425</t>
  </si>
  <si>
    <t>-689.690521721027 84.5274758523433 -677.894656930029</t>
  </si>
  <si>
    <t>-681.873650295672 66.4967747247779 -828.937076004639</t>
  </si>
  <si>
    <t>-646.745755989554 44.8841717443167 -922.113884684157</t>
  </si>
  <si>
    <t>-672.209543673956 103.30211644387 -764.867556160761</t>
  </si>
  <si>
    <t>-591.704796001875 226.040576856787 -755.529010277713</t>
  </si>
  <si>
    <t>-469.943768868667 203.235835115068 -464.255463862795</t>
  </si>
  <si>
    <t>-237.75868206812 128.661940499134 -373.862578686525</t>
  </si>
  <si>
    <t>-698.455133836782 45.6475666378528 -759.343315242738</t>
  </si>
  <si>
    <t>-588.907848556185 220.494937497454 -245.715522726903</t>
  </si>
  <si>
    <t>-590.505904053651 200.343562748899 209.530600520406</t>
  </si>
  <si>
    <t>-626.233143172656 168.243663809635 676.87654441317</t>
  </si>
  <si>
    <t>-493.937293566436 91.9212563128885 764.147465817435</t>
  </si>
  <si>
    <t>-650.572482124552 37.476028016875 -208.802920038654</t>
  </si>
  <si>
    <t>-581.698888701736 -2.76906746054783 239.855582442932</t>
  </si>
  <si>
    <t>-763.526423257407 112.517832586666 657.491949304765</t>
  </si>
  <si>
    <t>-678.752678820017 -16.1787922287167 742.310010044606</t>
  </si>
  <si>
    <t>9763-20170724T160619.424000300.bin</t>
  </si>
  <si>
    <t>-620.192780185886 128.729256610542 -227.646366099281</t>
  </si>
  <si>
    <t>-660.341794892356 119.125189585913 -341.504165106697</t>
  </si>
  <si>
    <t>-680.118648267413 107.713785927826 -460.538792522253</t>
  </si>
  <si>
    <t>-689.455408180554 96.4642439901722 -569.079658146682</t>
  </si>
  <si>
    <t>-690.306148239531 84.2259950030357 -677.911481354368</t>
  </si>
  <si>
    <t>-682.646187921787 66.100512109972 -828.950502255678</t>
  </si>
  <si>
    <t>-647.554527524586 44.6175904762952 -922.170874415576</t>
  </si>
  <si>
    <t>-672.967053887456 102.968923958996 -764.91957935438</t>
  </si>
  <si>
    <t>-592.910192406677 225.993063696029 -755.935724046898</t>
  </si>
  <si>
    <t>-469.021541102747 205.110410797533 -465.416098564128</t>
  </si>
  <si>
    <t>-237.796886095108 130.139754378206 -372.914128654187</t>
  </si>
  <si>
    <t>-699.103889368375 45.2720528945686 -759.32113130909</t>
  </si>
  <si>
    <t>-589.377314779382 220.327329734289 -245.717630252572</t>
  </si>
  <si>
    <t>-590.901107943386 200.237930562548 209.531532721978</t>
  </si>
  <si>
    <t>-626.252502485327 168.220932780028 676.911062519608</t>
  </si>
  <si>
    <t>-493.935296376014 91.9158987529165 764.16478681829</t>
  </si>
  <si>
    <t>-650.892854074448 37.1837340709951 -208.907809607373</t>
  </si>
  <si>
    <t>-581.96552436146 -2.80776101844936 239.765105583339</t>
  </si>
  <si>
    <t>-763.52574015329 112.493959340915 657.505734344465</t>
  </si>
  <si>
    <t>-678.712507481701 -16.1575273977774 742.352774995922</t>
  </si>
  <si>
    <t>9763-20170724T160619.499206200.bin</t>
  </si>
  <si>
    <t>-620.727848939709 128.648125785174 -227.788556373219</t>
  </si>
  <si>
    <t>-660.789255529382 119.125809205564 -341.684156884695</t>
  </si>
  <si>
    <t>-680.600231139804 107.786487733737 -460.719840394596</t>
  </si>
  <si>
    <t>-690.018907535567 96.602382289067 -569.260540733668</t>
  </si>
  <si>
    <t>-691.002485503441 84.4322894512834 -678.098671865607</t>
  </si>
  <si>
    <t>-683.579367726009 66.406633810582 -829.161666107758</t>
  </si>
  <si>
    <t>-648.597550131718 45.1820741962781 -922.482374383047</t>
  </si>
  <si>
    <t>-673.850197694921 103.254941820238 -765.126747019302</t>
  </si>
  <si>
    <t>-594.038701841903 226.414717892506 -756.127732536917</t>
  </si>
  <si>
    <t>-471.736526917751 205.10367271725 -464.967473464936</t>
  </si>
  <si>
    <t>-247.660579635983 127.805528576967 -357.930039651472</t>
  </si>
  <si>
    <t>-699.877520688011 45.5099301507476 -759.5151890239</t>
  </si>
  <si>
    <t>-589.891323784698 220.214811745244 -245.745795155123</t>
  </si>
  <si>
    <t>-591.25185162968 200.16901616488 209.505639870408</t>
  </si>
  <si>
    <t>-626.253454799903 168.302894978642 676.957959745006</t>
  </si>
  <si>
    <t>-493.945495844062 91.9235646901905 764.1606778209</t>
  </si>
  <si>
    <t>-651.366974277695 37.1272932887357 -209.165933156916</t>
  </si>
  <si>
    <t>-582.937058046379 -2.81071903733641 239.587874366323</t>
  </si>
  <si>
    <t>-763.665133167167 112.436966824285 657.700063743835</t>
  </si>
  <si>
    <t>-678.759280396658 -16.1620626767105 742.534011832471</t>
  </si>
  <si>
    <t>9763-20170724T160619.523306200.bin</t>
  </si>
  <si>
    <t>-620.84988136681 128.72535170511 -227.786910599773</t>
  </si>
  <si>
    <t>-660.944834944059 119.279282602801 -341.677091207538</t>
  </si>
  <si>
    <t>-680.784769125625 108.059974161796 -460.719335500073</t>
  </si>
  <si>
    <t>-690.226606565907 97.0044912953658 -569.271041358019</t>
  </si>
  <si>
    <t>-691.229754594438 84.9843953140125 -678.125834707512</t>
  </si>
  <si>
    <t>-683.829278273843 67.1909150590664 -829.217286678093</t>
  </si>
  <si>
    <t>-648.907554109217 46.0935793988328 -922.589461776033</t>
  </si>
  <si>
    <t>-674.10835395843 103.948660474457 -765.129163450215</t>
  </si>
  <si>
    <t>-594.219718035258 227.046477826289 -755.780549776712</t>
  </si>
  <si>
    <t>-473.530257828633 203.957653541886 -464.083496939584</t>
  </si>
  <si>
    <t>-252.511602785353 125.395413785089 -351.741333183117</t>
  </si>
  <si>
    <t>-700.099087282096 46.179386949505 -759.598809086879</t>
  </si>
  <si>
    <t>-589.964792054727 220.331571261269 -245.728728624471</t>
  </si>
  <si>
    <t>-591.271306590054 200.164103298919 209.517619184885</t>
  </si>
  <si>
    <t>-626.240803808383 168.343141333418 676.961460613666</t>
  </si>
  <si>
    <t>-493.916053420273 91.9790608797612 764.152036278982</t>
  </si>
  <si>
    <t>-651.510533863002 37.18052159485 -209.207973093578</t>
  </si>
  <si>
    <t>-583.380922937853 -2.76876368075204 239.590508310577</t>
  </si>
  <si>
    <t>-763.794573169149 112.409310663844 657.857255207948</t>
  </si>
  <si>
    <t>-678.790812138515 -16.159200720281 742.63938265459</t>
  </si>
  <si>
    <t>9763-20170724T160619.592094800.bin</t>
  </si>
  <si>
    <t>-621.068058736724 129.038142586727 -227.651851585959</t>
  </si>
  <si>
    <t>-661.259596341653 119.648720180543 -341.512732690201</t>
  </si>
  <si>
    <t>-681.148796425701 108.624164396607 -460.56497417806</t>
  </si>
  <si>
    <t>-690.613141163412 97.7990635776023 -569.137889984576</t>
  </si>
  <si>
    <t>-691.61538039096 86.0628129957524 -678.023714070541</t>
  </si>
  <si>
    <t>-684.188412557056 68.7184446806748 -829.166153504373</t>
  </si>
  <si>
    <t>-649.386161389742 47.7793827091905 -922.618412932155</t>
  </si>
  <si>
    <t>-674.431074078626 105.264560739789 -764.962462758868</t>
  </si>
  <si>
    <t>-594.360345506196 228.204857125303 -754.965385204743</t>
  </si>
  <si>
    <t>-477.749441512426 200.209247602379 -462.041656164113</t>
  </si>
  <si>
    <t>-269.191601659644 113.101002523129 -333.364338458853</t>
  </si>
  <si>
    <t>-700.518118127043 47.5210619365566 -759.618019987312</t>
  </si>
  <si>
    <t>-590.053035752685 220.616208134021 -245.652687307006</t>
  </si>
  <si>
    <t>-591.330026138116 200.428160165274 209.592764715255</t>
  </si>
  <si>
    <t>-626.201383075884 168.447160545894 676.982919316553</t>
  </si>
  <si>
    <t>-493.942508085776 91.9508329238386 764.157553847089</t>
  </si>
  <si>
    <t>-651.914192238998 37.4839470406264 -208.931316283254</t>
  </si>
  <si>
    <t>-583.535765558668 -2.91291165976145 239.789307386714</t>
  </si>
  <si>
    <t>-763.906851293875 112.444877402364 658.017908643756</t>
  </si>
  <si>
    <t>-678.767521021399 -16.1108715734688 742.683306190927</t>
  </si>
  <si>
    <t>9763-20170724T160619.627196800.bin</t>
  </si>
  <si>
    <t>-621.158210208278 129.183890259404 -227.520426021824</t>
  </si>
  <si>
    <t>-661.419754761914 119.775570633138 -341.354940804409</t>
  </si>
  <si>
    <t>-681.330069871026 108.790936811273 -460.407419064123</t>
  </si>
  <si>
    <t>-690.792536337144 98.0193769242628 -568.985861713776</t>
  </si>
  <si>
    <t>-691.771454460721 86.3508122103788 -677.879040304638</t>
  </si>
  <si>
    <t>-684.290207146077 69.1115268468579 -829.030706769938</t>
  </si>
  <si>
    <t>-649.528340870698 48.1924174612311 -922.502690751996</t>
  </si>
  <si>
    <t>-674.476976693909 105.577874827178 -764.790367366067</t>
  </si>
  <si>
    <t>-594.269853221108 228.442859958596 -754.787786774007</t>
  </si>
  <si>
    <t>-480.22719646794 198.565485453703 -461.039887943803</t>
  </si>
  <si>
    <t>-288.475790481946 95.380433599051 -318.820785605044</t>
  </si>
  <si>
    <t>-700.723855719458 47.9009055866516 -759.511362595915</t>
  </si>
  <si>
    <t>-590.102200958689 220.773491501724 -245.605692160946</t>
  </si>
  <si>
    <t>-591.424556370328 200.646740073433 209.642414448331</t>
  </si>
  <si>
    <t>-626.185164386075 168.467659461484 677.003333146584</t>
  </si>
  <si>
    <t>-493.931182764377 91.9483052155185 764.165171139959</t>
  </si>
  <si>
    <t>-652.050849311038 37.6241066353318 -208.729158016636</t>
  </si>
  <si>
    <t>-583.316378269073 -2.96778526709409 239.919396300805</t>
  </si>
  <si>
    <t>-763.902868971208 112.514668627507 658.03349182155</t>
  </si>
  <si>
    <t>-678.775884105307 -16.0944737654829 742.63014094287</t>
  </si>
  <si>
    <t>9763-20170724T160619.695377900.bin</t>
  </si>
  <si>
    <t>-621.236752323061 129.37291015873 -227.28886885425</t>
  </si>
  <si>
    <t>-661.614999747477 119.937551597342 -341.079853151245</t>
  </si>
  <si>
    <t>-681.689608185641 108.98644455064 -460.107737890777</t>
  </si>
  <si>
    <t>-691.319238324167 98.2616543604438 -568.676105207866</t>
  </si>
  <si>
    <t>-692.483346593693 86.6519062955249 -677.573900951725</t>
  </si>
  <si>
    <t>-685.277246272613 69.5032320289092 -828.749321311388</t>
  </si>
  <si>
    <t>-650.670486937664 48.5628471810423 -922.273890866657</t>
  </si>
  <si>
    <t>-675.183870513085 105.857717626831 -764.48891585411</t>
  </si>
  <si>
    <t>-594.866612298305 228.699234049909 -755.253609506819</t>
  </si>
  <si>
    <t>-488.634340646506 194.328180118689 -459.078882863469</t>
  </si>
  <si>
    <t>-326.206622472821 50.5477915278179 -315.598951661503</t>
  </si>
  <si>
    <t>-701.747561209375 48.3242725013654 -759.228735769536</t>
  </si>
  <si>
    <t>-589.928652794663 220.989967116702 -245.52992584497</t>
  </si>
  <si>
    <t>-591.407803356814 201.017981442343 209.724463195475</t>
  </si>
  <si>
    <t>-626.109233016155 168.674787248427 677.028452020225</t>
  </si>
  <si>
    <t>-494.058936379024 91.8142233638496 764.198850898098</t>
  </si>
  <si>
    <t>-652.412255313936 37.7705597280903 -208.360892230912</t>
  </si>
  <si>
    <t>-582.988160498152 -3.14135868135759 240.152434117381</t>
  </si>
  <si>
    <t>-763.947805259756 112.684883369484 658.05499165044</t>
  </si>
  <si>
    <t>-678.790486903102 -16.0392884207856 742.445913903403</t>
  </si>
  <si>
    <t>9763-20170724T160619.727008300.bin</t>
  </si>
  <si>
    <t>-621.24665206475 129.409174639248 -227.215183174655</t>
  </si>
  <si>
    <t>-661.662139167413 120.016919527951 -340.99644943548</t>
  </si>
  <si>
    <t>-681.836047693605 109.113469839357 -460.012008950026</t>
  </si>
  <si>
    <t>-691.580855094636 98.4330188590629 -568.574501758198</t>
  </si>
  <si>
    <t>-692.88496450865 86.8690739401718 -677.475610178119</t>
  </si>
  <si>
    <t>-685.89906675474 69.7850110973454 -828.668616566515</t>
  </si>
  <si>
    <t>-651.379703487701 48.8430233677589 -922.225159149286</t>
  </si>
  <si>
    <t>-675.641546464399 106.0799624998 -764.400519611369</t>
  </si>
  <si>
    <t>-595.446535363952 228.993225350954 -755.607676916346</t>
  </si>
  <si>
    <t>-492.068710990874 193.186216196553 -458.594146137249</t>
  </si>
  <si>
    <t>-337.906588422994 34.4311672641425 -321.945136563695</t>
  </si>
  <si>
    <t>-702.338767790259 48.6082787861105 -759.140113715755</t>
  </si>
  <si>
    <t>-589.72503445891 221.011133382906 -245.507256562152</t>
  </si>
  <si>
    <t>-591.337078383167 201.085481790624 209.748690086052</t>
  </si>
  <si>
    <t>-626.095828566838 168.664724580133 677.031871813275</t>
  </si>
  <si>
    <t>-494.031598438479 91.8338685509457 764.207377642953</t>
  </si>
  <si>
    <t>-652.641516876025 37.8496460244241 -208.258594271982</t>
  </si>
  <si>
    <t>-583.102282688113 -3.39128124910258 240.206813660921</t>
  </si>
  <si>
    <t>-764.062859373082 112.701018786303 658.068300882061</t>
  </si>
  <si>
    <t>-678.78783283494 -16.015492957282 742.352023675975</t>
  </si>
  <si>
    <t>9763-20170724T160619.791179400.bin</t>
  </si>
  <si>
    <t>-621.333316642005 129.572519481668 -227.072396373989</t>
  </si>
  <si>
    <t>-661.864310763832 120.339748055165 -340.825601487036</t>
  </si>
  <si>
    <t>-682.070030517546 109.614669818898 -459.85197911096</t>
  </si>
  <si>
    <t>-691.808293993338 99.0956843891036 -568.430860426296</t>
  </si>
  <si>
    <t>-693.07020314641 87.6901206988243 -677.349039254391</t>
  </si>
  <si>
    <t>-685.98888858026 70.8196642800742 -828.56159065107</t>
  </si>
  <si>
    <t>-651.659517690584 49.8818693818539 -922.188937459128</t>
  </si>
  <si>
    <t>-675.568064377838 106.930090393374 -764.215888422471</t>
  </si>
  <si>
    <t>-594.608354984093 229.438630759321 -755.846138365956</t>
  </si>
  <si>
    <t>-502.366551953199 187.252157736104 -456.016402867442</t>
  </si>
  <si>
    <t>-351.472955675655 14.471979583946 -333.459520038964</t>
  </si>
  <si>
    <t>-702.676242346406 49.6385423128704 -759.093603755996</t>
  </si>
  <si>
    <t>-589.277464895619 221.116561337237 -245.467922155145</t>
  </si>
  <si>
    <t>-591.134467713535 201.230872690742 209.789010597713</t>
  </si>
  <si>
    <t>-626.034549914185 168.713618373842 677.0191443033</t>
  </si>
  <si>
    <t>-494.094606023726 91.7321354426263 764.249956154761</t>
  </si>
  <si>
    <t>-653.229346384642 38.1328617329507 -208.010319056454</t>
  </si>
  <si>
    <t>-583.717611311808 -4.18260138264168 240.359184036533</t>
  </si>
  <si>
    <t>-764.414353387287 112.703192525736 658.139085208787</t>
  </si>
  <si>
    <t>-678.874310270834 -16.0042120817807 742.167825211373</t>
  </si>
  <si>
    <t>9763-20170724T160619.826860100.bin</t>
  </si>
  <si>
    <t>-621.40046960978 129.707826998182 -227.020754048908</t>
  </si>
  <si>
    <t>-661.99112676377 120.55151279125 -340.758895866323</t>
  </si>
  <si>
    <t>-682.23725523048 109.898911076406 -459.784897734484</t>
  </si>
  <si>
    <t>-692.003913087865 99.4407323811522 -568.367081472941</t>
  </si>
  <si>
    <t>-693.285911154704 88.0900304125664 -677.290784886613</t>
  </si>
  <si>
    <t>-686.223817804153 71.2885126787999 -828.511922823619</t>
  </si>
  <si>
    <t>-652.057062169394 50.3477978589342 -922.198150002957</t>
  </si>
  <si>
    <t>-675.689731220284 107.320463520164 -764.140771748087</t>
  </si>
  <si>
    <t>-594.713726615988 229.771471609938 -755.648738524848</t>
  </si>
  <si>
    <t>-508.495634017323 182.237157257968 -454.827963282851</t>
  </si>
  <si>
    <t>-356.183362187593 8.43690357260948 -335.511069578992</t>
  </si>
  <si>
    <t>-703.007466673306 50.124809001187 -759.061767154862</t>
  </si>
  <si>
    <t>-589.071194062235 221.190077992058 -245.460918741243</t>
  </si>
  <si>
    <t>-591.044412379137 201.344088060649 209.797150837446</t>
  </si>
  <si>
    <t>-625.978515116653 168.791488191397 676.998905422927</t>
  </si>
  <si>
    <t>-494.154571631405 91.6575648772482 764.270465662388</t>
  </si>
  <si>
    <t>-653.553477564178 38.3166615757309 -207.923573591343</t>
  </si>
  <si>
    <t>-584.08773991615 -4.45523351522911 240.40974572299</t>
  </si>
  <si>
    <t>-764.598607997993 112.685243441727 658.163448876695</t>
  </si>
  <si>
    <t>-678.901661660729 -15.9903139893045 742.080921762219</t>
  </si>
  <si>
    <t>9763-20170724T160619.894037200.bin</t>
  </si>
  <si>
    <t>-621.659382552693 129.670978133247 -227.188092288468</t>
  </si>
  <si>
    <t>-662.295768729231 120.676927316954 -340.922854913359</t>
  </si>
  <si>
    <t>-682.652526796438 110.283259937127 -459.952778441338</t>
  </si>
  <si>
    <t>-692.545030628981 100.095372132062 -568.549381322319</t>
  </si>
  <si>
    <t>-693.977221316371 89.0505801017614 -677.502550968472</t>
  </si>
  <si>
    <t>-687.14834706442 72.7097454336838 -828.784821992567</t>
  </si>
  <si>
    <t>-653.283733404357 51.9900718635379 -922.62985480226</t>
  </si>
  <si>
    <t>-676.383684844774 108.483671608211 -764.308031611199</t>
  </si>
  <si>
    <t>-595.577580435645 231.026021971466 -755.459676695731</t>
  </si>
  <si>
    <t>-516.344179535108 175.514196346732 -454.084995712007</t>
  </si>
  <si>
    <t>-363.058757368176 3.80762895115618 -332.996186359575</t>
  </si>
  <si>
    <t>-703.956071175953 51.3965303870007 -759.386378505919</t>
  </si>
  <si>
    <t>-588.926408251305 221.122770181015 -245.585171950381</t>
  </si>
  <si>
    <t>-590.99248386913 201.306021468388 209.673779004255</t>
  </si>
  <si>
    <t>-625.916814967027 168.887503271891 676.945113065521</t>
  </si>
  <si>
    <t>-494.262142808032 91.5224889696115 764.267569929617</t>
  </si>
  <si>
    <t>-654.185978260587 38.3745708959398 -208.122445686152</t>
  </si>
  <si>
    <t>-584.631950193384 -4.80142175937681 240.158395593049</t>
  </si>
  <si>
    <t>-764.677829752808 112.627143499039 657.986120044698</t>
  </si>
  <si>
    <t>-678.94697817265 -15.9950909839922 741.950704380405</t>
  </si>
  <si>
    <t>9763-20170724T160619.926736100.bin</t>
  </si>
  <si>
    <t>-622.01794817304 129.419593041679 -227.223247052781</t>
  </si>
  <si>
    <t>-662.728625030241 120.504949006716 -340.937742195855</t>
  </si>
  <si>
    <t>-683.122917370562 110.192922159712 -459.968347208814</t>
  </si>
  <si>
    <t>-693.033512762927 100.07339651726 -568.569652231826</t>
  </si>
  <si>
    <t>-694.468604855663 89.0870711052116 -677.528790678861</t>
  </si>
  <si>
    <t>-687.627890556408 72.8143094245982 -828.817902300557</t>
  </si>
  <si>
    <t>-653.81596297172 52.1686208237943 -922.698088438283</t>
  </si>
  <si>
    <t>-676.796564977406 108.524894155512 -764.317214403714</t>
  </si>
  <si>
    <t>-595.612266199298 230.817615936195 -755.471582030766</t>
  </si>
  <si>
    <t>-516.725989000741 175.387885822966 -453.990741426127</t>
  </si>
  <si>
    <t>-364.00984268084 6.47354801923439 -328.3414091526</t>
  </si>
  <si>
    <t>-704.512874875537 51.5040487486951 -759.437113345848</t>
  </si>
  <si>
    <t>-589.231787479505 220.867534036307 -245.620441720715</t>
  </si>
  <si>
    <t>-591.072981463486 201.109996527955 209.6420348578</t>
  </si>
  <si>
    <t>-625.92920865396 168.83734960636 676.93901198969</t>
  </si>
  <si>
    <t>-494.259866795471 91.5015140195296 764.265211369052</t>
  </si>
  <si>
    <t>-654.635436492936 38.1116139137416 -208.168681499847</t>
  </si>
  <si>
    <t>-584.677782987613 -4.90698678102171 240.064584890082</t>
  </si>
  <si>
    <t>-764.638551637895 112.635479764007 657.886661682433</t>
  </si>
  <si>
    <t>-678.934226784437 -15.9735123036123 741.898606853408</t>
  </si>
  <si>
    <t>9763-20170724T160619.991910400.bin</t>
  </si>
  <si>
    <t>-622.939263843055 128.822377824031 -227.319854248688</t>
  </si>
  <si>
    <t>-663.785678716406 120.060872261146 -340.997484646832</t>
  </si>
  <si>
    <t>-684.151840812177 109.845314032457 -460.041324285929</t>
  </si>
  <si>
    <t>-693.969735192566 99.7748465755817 -568.655496630577</t>
  </si>
  <si>
    <t>-695.245479936031 88.7916854941709 -677.616981425959</t>
  </si>
  <si>
    <t>-688.116133205691 72.4678912614891 -828.88719763995</t>
  </si>
  <si>
    <t>-654.416409161704 51.94861583125 -922.835459305872</t>
  </si>
  <si>
    <t>-677.243892038743 108.121405817895 -764.361865632194</t>
  </si>
  <si>
    <t>-595.244842048461 229.856252766986 -755.565783179818</t>
  </si>
  <si>
    <t>-515.836475572298 178.121525109949 -453.565744216756</t>
  </si>
  <si>
    <t>-358.189700060345 22.1618457036134 -317.675735848496</t>
  </si>
  <si>
    <t>-705.297436354529 51.2598872669989 -759.547912070263</t>
  </si>
  <si>
    <t>-590.073781382074 220.169011666823 -245.645688234995</t>
  </si>
  <si>
    <t>-591.482573584809 200.686768926802 209.630268955822</t>
  </si>
  <si>
    <t>-625.944671832427 168.820267599743 676.95550160077</t>
  </si>
  <si>
    <t>-494.274618106311 91.4809053335123 764.277501131819</t>
  </si>
  <si>
    <t>-655.666885319454 37.5759447447876 -208.293427044268</t>
  </si>
  <si>
    <t>-584.877947832603 -5.18355057435861 239.834090541513</t>
  </si>
  <si>
    <t>-764.596497685476 112.650120249526 657.692659116183</t>
  </si>
  <si>
    <t>-678.896170234818 -15.9239483319002 741.762122183694</t>
  </si>
  <si>
    <t>9763-20170724T160620.029027300.bin</t>
  </si>
  <si>
    <t>-623.418360115497 128.5321195182 -227.383998026269</t>
  </si>
  <si>
    <t>-664.314097309928 119.836233896945 -341.048922248434</t>
  </si>
  <si>
    <t>-684.715577150334 109.655289229326 -460.089684805886</t>
  </si>
  <si>
    <t>-694.559220601313 99.6054047421226 -568.703459889883</t>
  </si>
  <si>
    <t>-695.854404817089 88.633349567865 -677.665758353203</t>
  </si>
  <si>
    <t>-688.74556894137 72.3160922590478 -828.937738889847</t>
  </si>
  <si>
    <t>-655.15613495594 51.8426977817132 -922.935560339062</t>
  </si>
  <si>
    <t>-677.838156696407 107.954059898704 -764.409590877429</t>
  </si>
  <si>
    <t>-595.759429248118 229.640380081379 -755.52322767598</t>
  </si>
  <si>
    <t>-515.898813200524 178.947835304628 -453.465588859622</t>
  </si>
  <si>
    <t>-354.239962556246 28.1190565288621 -316.50155689932</t>
  </si>
  <si>
    <t>-705.943844938572 51.117906449525 -759.599688285391</t>
  </si>
  <si>
    <t>-590.436443587755 219.783570694687 -245.700091859655</t>
  </si>
  <si>
    <t>-591.666196186557 200.503430816706 209.584957539283</t>
  </si>
  <si>
    <t>-625.940764025896 168.815937056344 676.95345478132</t>
  </si>
  <si>
    <t>-494.27448017873 91.471008166892 764.276199204989</t>
  </si>
  <si>
    <t>-656.257170244568 37.3391903687689 -208.365071709306</t>
  </si>
  <si>
    <t>-585.224327650961 -5.47794059277226 239.718309349519</t>
  </si>
  <si>
    <t>-764.640789904279 112.613897609032 657.63036560171</t>
  </si>
  <si>
    <t>-678.899580119993 -15.916911061835 741.724414832325</t>
  </si>
  <si>
    <t>9763-20170724T160620.094191000.bin</t>
  </si>
  <si>
    <t>-624.466527441976 127.924191227199 -227.581781155346</t>
  </si>
  <si>
    <t>-665.44401034582 119.464096884425 -341.235065607188</t>
  </si>
  <si>
    <t>-685.932692538405 109.468546989839 -460.276573906774</t>
  </si>
  <si>
    <t>-695.856872778188 99.5720582402091 -568.897022078585</t>
  </si>
  <si>
    <t>-697.233509395687 88.7436087809092 -677.872809147103</t>
  </si>
  <si>
    <t>-690.237826427616 72.6199804100447 -829.170732068978</t>
  </si>
  <si>
    <t>-656.731442400807 52.2518631093367 -923.221003855587</t>
  </si>
  <si>
    <t>-679.28726689644 108.177696308067 -764.605722622263</t>
  </si>
  <si>
    <t>-597.244547807913 229.87256546163 -755.547989363151</t>
  </si>
  <si>
    <t>-516.365417466945 180.941551407866 -453.470953522372</t>
  </si>
  <si>
    <t>-343.98177663364 44.7749341659501 -314.242504194988</t>
  </si>
  <si>
    <t>-707.379160469959 51.3306421331445 -759.846496758017</t>
  </si>
  <si>
    <t>-591.295887282628 219.148747327588 -245.818896986592</t>
  </si>
  <si>
    <t>-591.985339783887 199.954874277837 209.470886158099</t>
  </si>
  <si>
    <t>-625.939790214823 168.783189326611 676.936908655319</t>
  </si>
  <si>
    <t>-494.322268879457 91.3698403435001 764.272528741633</t>
  </si>
  <si>
    <t>-657.493681366977 36.8372030561268 -208.705782735945</t>
  </si>
  <si>
    <t>-586.383229860621 -6.06946695415513 239.356668067276</t>
  </si>
  <si>
    <t>-764.74894856741 112.531721851431 657.547798774461</t>
  </si>
  <si>
    <t>-678.990968970213 -15.9289961383379 741.731664097449</t>
  </si>
  <si>
    <t>9763-20170724T160620.123769900.bin</t>
  </si>
  <si>
    <t>-625.067806833946 127.697367298552 -227.719750621052</t>
  </si>
  <si>
    <t>-666.081186180317 119.342056055262 -341.367924237998</t>
  </si>
  <si>
    <t>-686.657521998342 109.420239986686 -460.400350113837</t>
  </si>
  <si>
    <t>-696.68219453608 99.5808718662352 -569.016848558865</t>
  </si>
  <si>
    <t>-698.180131071092 88.8020281168258 -677.995839331528</t>
  </si>
  <si>
    <t>-691.374351209566 72.7410466665801 -829.309304533562</t>
  </si>
  <si>
    <t>-657.922940008099 52.3875621211405 -923.382204520704</t>
  </si>
  <si>
    <t>-680.367739943885 108.284171299878 -764.745653106102</t>
  </si>
  <si>
    <t>-598.402514878542 230.044651480484 -755.674962151241</t>
  </si>
  <si>
    <t>-516.230929077744 181.504230298755 -453.883912075323</t>
  </si>
  <si>
    <t>-339.904742494526 50.7504611546728 -314.404261989202</t>
  </si>
  <si>
    <t>-708.4036981538 51.4108446627447 -759.969901944135</t>
  </si>
  <si>
    <t>-591.878292245611 218.900250160316 -245.87983947819</t>
  </si>
  <si>
    <t>-592.200725750552 199.687040600681 209.409503822927</t>
  </si>
  <si>
    <t>-625.930949433156 168.80429857458 676.930922259216</t>
  </si>
  <si>
    <t>-494.399454346822 91.2565756244153 764.276973294882</t>
  </si>
  <si>
    <t>-658.123182436333 36.6607651546719 -208.914005904447</t>
  </si>
  <si>
    <t>-587.050841313737 -6.17899952116522 239.160911194339</t>
  </si>
  <si>
    <t>-764.873963207775 112.443700374738 657.568626362534</t>
  </si>
  <si>
    <t>-678.96355832673 -15.9005526951757 741.774764602049</t>
  </si>
  <si>
    <t>9763-20170724T160620.188999500.bin</t>
  </si>
  <si>
    <t>-626.256192335672 127.269891436548 -227.901339142508</t>
  </si>
  <si>
    <t>-667.345371635562 119.022439525431 -341.529887129438</t>
  </si>
  <si>
    <t>-688.095781657907 109.182851713811 -460.539055352318</t>
  </si>
  <si>
    <t>-698.31779314896 99.4073287804122 -569.142886017518</t>
  </si>
  <si>
    <t>-700.052952356587 88.6811058703549 -678.123547095075</t>
  </si>
  <si>
    <t>-693.617464632326 72.6815645989043 -829.459539624511</t>
  </si>
  <si>
    <t>-660.259510376137 52.3210390707134 -923.564312463351</t>
  </si>
  <si>
    <t>-682.482829284352 108.213032658254 -764.911562142065</t>
  </si>
  <si>
    <t>-600.46648441175 229.928212102799 -755.862322346089</t>
  </si>
  <si>
    <t>-515.53021582989 182.674952560217 -454.632920527499</t>
  </si>
  <si>
    <t>-334.211444853051 59.8780181904683 -314.324592247927</t>
  </si>
  <si>
    <t>-710.447126677374 51.3086772564523 -760.08465306424</t>
  </si>
  <si>
    <t>-593.206431378911 218.456256156403 -245.958213218187</t>
  </si>
  <si>
    <t>-592.714662860607 199.177879414698 209.328279318548</t>
  </si>
  <si>
    <t>-625.945167012492 168.729618717571 676.928927634567</t>
  </si>
  <si>
    <t>-494.249103809563 91.4356013237168 764.251858982116</t>
  </si>
  <si>
    <t>-659.134265705483 36.1429976544873 -209.186273119559</t>
  </si>
  <si>
    <t>-588.044711616824 -6.26184180281643 238.927336034867</t>
  </si>
  <si>
    <t>-765.024828255384 112.358153063162 657.639535835134</t>
  </si>
  <si>
    <t>-678.968035462657 -15.8676314697702 741.876550993661</t>
  </si>
  <si>
    <t>9763-20170724T160620.225784200.bin</t>
  </si>
  <si>
    <t>-626.83035191667 127.112134512866 -227.926053490337</t>
  </si>
  <si>
    <t>-667.993036480648 118.859563153344 -341.527716174648</t>
  </si>
  <si>
    <t>-688.842491176129 109.02816854359 -460.520183617804</t>
  </si>
  <si>
    <t>-699.16400076565 99.2638008973033 -569.115556108158</t>
  </si>
  <si>
    <t>-701.007901656826 88.5518792253274 -678.095943316667</t>
  </si>
  <si>
    <t>-694.732949290339 72.5743901435671 -829.441037699832</t>
  </si>
  <si>
    <t>-661.447770575844 52.2225750990951 -923.573292425767</t>
  </si>
  <si>
    <t>-683.536788908158 108.099751160397 -764.900314758032</t>
  </si>
  <si>
    <t>-601.40054872589 229.72495168642 -755.835840274035</t>
  </si>
  <si>
    <t>-515.623455977256 182.546617894488 -454.833137893095</t>
  </si>
  <si>
    <t>-330.183792043935 66.268095918057 -314.357046468039</t>
  </si>
  <si>
    <t>-711.482097989121 51.1880642808937 -760.050797962311</t>
  </si>
  <si>
    <t>-593.877699709812 218.346397344529 -245.970562607985</t>
  </si>
  <si>
    <t>-593.019882063482 199.103062248914 209.316823378942</t>
  </si>
  <si>
    <t>-625.947463545937 168.765642918753 676.947364347123</t>
  </si>
  <si>
    <t>-494.265975112036 91.420626738927 764.247102100712</t>
  </si>
  <si>
    <t>-659.632662634559 35.9419294863035 -209.188385609735</t>
  </si>
  <si>
    <t>-588.260648928379 -6.31066287643512 238.894714927573</t>
  </si>
  <si>
    <t>-765.055611758728 112.348890268396 657.658110973641</t>
  </si>
  <si>
    <t>-678.988188214085 -15.8636218129066 741.904502966812</t>
  </si>
  <si>
    <t>9763-20170724T160620.294972000.bin</t>
  </si>
  <si>
    <t>-627.82634180209 127.049265527162 -227.909204259264</t>
  </si>
  <si>
    <t>-669.120027591204 118.712739054433 -341.457016888606</t>
  </si>
  <si>
    <t>-690.123381615917 108.857539014824 -460.420555506798</t>
  </si>
  <si>
    <t>-700.591387183705 99.0943686208252 -569.002163429848</t>
  </si>
  <si>
    <t>-702.588346839165 88.4046652507318 -677.981898942925</t>
  </si>
  <si>
    <t>-696.531936181996 72.4787889172419 -829.341387715152</t>
  </si>
  <si>
    <t>-663.344585862828 52.2032833239223 -923.52462485487</t>
  </si>
  <si>
    <t>-685.271070938043 107.99589295278 -764.807367034513</t>
  </si>
  <si>
    <t>-603.008198265251 229.563229587299 -755.872973223659</t>
  </si>
  <si>
    <t>-516.66019929083 181.607170318658 -455.156404551625</t>
  </si>
  <si>
    <t>-324.897861447503 74.2231742890522 -316.095460753449</t>
  </si>
  <si>
    <t>-713.152381990341 51.0550588709916 -759.931639817951</t>
  </si>
  <si>
    <t>-595.090445220019 218.345690137735 -245.989992675858</t>
  </si>
  <si>
    <t>-593.635990594297 199.178165792859 209.299191950861</t>
  </si>
  <si>
    <t>-625.945683905557 168.890619342113 676.986846618403</t>
  </si>
  <si>
    <t>-494.300008072808 91.4065477935692 764.217257345953</t>
  </si>
  <si>
    <t>-660.355788733114 35.8512607381533 -209.152168414457</t>
  </si>
  <si>
    <t>-588.37283498601 -6.2487448122356 238.847456788839</t>
  </si>
  <si>
    <t>-765.014312274479 112.391715786593 657.648428986185</t>
  </si>
  <si>
    <t>-678.956411478209 -15.8037602671395 741.930517829534</t>
  </si>
  <si>
    <t>9763-20170724T160620.322590100.bin</t>
  </si>
  <si>
    <t>-628.261177062748 127.055149026863 -227.89519220652</t>
  </si>
  <si>
    <t>-669.593768327639 118.665008090988 -341.425002799333</t>
  </si>
  <si>
    <t>-690.667936306429 108.778409361602 -460.373326737585</t>
  </si>
  <si>
    <t>-701.212547688206 98.9950489812441 -568.945655923561</t>
  </si>
  <si>
    <t>-703.298281609136 88.2927541976921 -677.92247078422</t>
  </si>
  <si>
    <t>-697.377699652176 72.3564420892751 -829.286244372783</t>
  </si>
  <si>
    <t>-664.230695041407 52.0968267987648 -923.487153368113</t>
  </si>
  <si>
    <t>-686.075143503592 107.885716390756 -764.766317875781</t>
  </si>
  <si>
    <t>-603.814245428577 229.445460904042 -755.897403190667</t>
  </si>
  <si>
    <t>-516.926627930695 181.642030011344 -455.312035173029</t>
  </si>
  <si>
    <t>-320.843844445659 80.0748772053405 -317.91591048274</t>
  </si>
  <si>
    <t>-713.919767065907 50.9296239752994 -759.858755570872</t>
  </si>
  <si>
    <t>-595.679447583239 218.32165216164 -245.991061624268</t>
  </si>
  <si>
    <t>-593.906215276335 199.167764796564 209.297403153363</t>
  </si>
  <si>
    <t>-625.984747037348 168.801370551302 677.014826572717</t>
  </si>
  <si>
    <t>-494.175365456784 91.5291865421625 764.185952998121</t>
  </si>
  <si>
    <t>-660.67471869153 35.8551702345671 -209.129451349955</t>
  </si>
  <si>
    <t>-588.441548847336 -6.13422957078842 238.840342288049</t>
  </si>
  <si>
    <t>-765.020457474182 112.400636698354 657.674496340346</t>
  </si>
  <si>
    <t>-678.918345002061 -15.7657610930398 741.955636264758</t>
  </si>
  <si>
    <t>9763-20170724T160620.393202400.bin</t>
  </si>
  <si>
    <t>-629.134408743129 127.016343529439 -227.969113248974</t>
  </si>
  <si>
    <t>-670.527294019964 118.580343253971 -341.473643792723</t>
  </si>
  <si>
    <t>-691.723305757147 108.672003036264 -460.39836355188</t>
  </si>
  <si>
    <t>-702.403063412859 98.8767158105586 -568.95651564454</t>
  </si>
  <si>
    <t>-704.648320988913 88.1690844772056 -677.929703156037</t>
  </si>
  <si>
    <t>-698.974194149728 72.2310891284574 -829.30266234951</t>
  </si>
  <si>
    <t>-665.875231487764 51.9776828572997 -923.521837563678</t>
  </si>
  <si>
    <t>-687.602270637113 107.778282039078 -764.804657413717</t>
  </si>
  <si>
    <t>-605.284596152656 229.315620029336 -756.110188165476</t>
  </si>
  <si>
    <t>-517.555870683324 181.654974210286 -455.746466134366</t>
  </si>
  <si>
    <t>-318.926832365737 83.5383457537698 -319.50515224175</t>
  </si>
  <si>
    <t>-715.367391180709 50.7880060535729 -759.844912391573</t>
  </si>
  <si>
    <t>-596.836900086967 218.37781122966 -246.021265048757</t>
  </si>
  <si>
    <t>-594.284200403648 198.999201352696 209.254124041301</t>
  </si>
  <si>
    <t>-626.002568069478 168.880170673877 677.051638484183</t>
  </si>
  <si>
    <t>-494.172345605403 91.5429592076496 764.133546081719</t>
  </si>
  <si>
    <t>-661.278056860544 35.7340202548617 -209.276587484274</t>
  </si>
  <si>
    <t>-588.879324307257 -5.72428351104304 238.715997350353</t>
  </si>
  <si>
    <t>-765.044354398488 112.423123864433 657.810556209651</t>
  </si>
  <si>
    <t>-678.910220860612 -15.7190185461695 742.095872715897</t>
  </si>
  <si>
    <t>9763-20170724T160620.429324500.bin</t>
  </si>
  <si>
    <t>-629.634821854048 126.962221163512 -228.008770012739</t>
  </si>
  <si>
    <t>-671.064011694548 118.532558852079 -341.500640589213</t>
  </si>
  <si>
    <t>-692.341082434015 108.635523229544 -460.411807611718</t>
  </si>
  <si>
    <t>-703.112152409009 98.8509048229653 -568.96177568519</t>
  </si>
  <si>
    <t>-705.466879226567 88.1528293731114 -677.933570611114</t>
  </si>
  <si>
    <t>-699.963581539704 72.225825085374 -829.314146672954</t>
  </si>
  <si>
    <t>-666.920519806617 51.9385493498062 -923.545570024313</t>
  </si>
  <si>
    <t>-688.527310030436 107.77231694598 -764.827047963767</t>
  </si>
  <si>
    <t>-606.153804925753 229.296441319068 -756.2601757771</t>
  </si>
  <si>
    <t>-518.22273924395 181.503641937037 -455.976783260015</t>
  </si>
  <si>
    <t>-316.531055848692 87.6470344388372 -321.241969115569</t>
  </si>
  <si>
    <t>-716.270034444788 50.7736172692705 -759.838678580017</t>
  </si>
  <si>
    <t>-597.444915922501 218.329131747307 -246.024000413601</t>
  </si>
  <si>
    <t>-594.444869312616 198.818573412575 209.24294930665</t>
  </si>
  <si>
    <t>-626.026709968732 168.836948473292 677.065953871529</t>
  </si>
  <si>
    <t>-494.106122667769 91.6096753157956 764.1086092413</t>
  </si>
  <si>
    <t>-661.696249333369 35.6809402682679 -209.327878640572</t>
  </si>
  <si>
    <t>-589.192847675616 -5.57752926129388 238.666128165992</t>
  </si>
  <si>
    <t>-765.060492951342 112.4335980598 657.902866845154</t>
  </si>
  <si>
    <t>-678.911487392416 -15.6959178786994 742.192223601634</t>
  </si>
  <si>
    <t>9763-20170724T160620.493490300.bin</t>
  </si>
  <si>
    <t>-630.661025933715 126.732747298244 -228.042390257484</t>
  </si>
  <si>
    <t>-672.152289077204 118.321079267265 -341.51279886181</t>
  </si>
  <si>
    <t>-693.534825969132 108.403578429266 -460.40340875918</t>
  </si>
  <si>
    <t>-704.41915978214 98.5822437223806 -568.938748294806</t>
  </si>
  <si>
    <t>-706.905211268997 87.8275024011721 -677.902127449169</t>
  </si>
  <si>
    <t>-701.603385711027 71.7993351187054 -829.279180840359</t>
  </si>
  <si>
    <t>-668.665102674031 51.3771052851916 -923.518187995024</t>
  </si>
  <si>
    <t>-690.084555900969 107.390633507556 -764.831493285128</t>
  </si>
  <si>
    <t>-607.687533956127 228.901968386748 -756.492998476806</t>
  </si>
  <si>
    <t>-519.34366076997 180.830806265006 -456.375093085887</t>
  </si>
  <si>
    <t>-314.417284532201 91.2426922341019 -323.630236904409</t>
  </si>
  <si>
    <t>-717.813879812122 50.392115226037 -759.767477714413</t>
  </si>
  <si>
    <t>-598.570347263842 218.158805271182 -246.02584621793</t>
  </si>
  <si>
    <t>-594.89019396775 198.573205645368 209.232855102241</t>
  </si>
  <si>
    <t>-626.032041041469 168.846605435145 677.0798330568</t>
  </si>
  <si>
    <t>-494.107806431371 91.581719464567 764.083595133689</t>
  </si>
  <si>
    <t>-662.613499764847 35.3602385394663 -209.400527447646</t>
  </si>
  <si>
    <t>-589.76248040664 -5.38758431199972 238.583833914853</t>
  </si>
  <si>
    <t>-765.133341260024 112.40297009655 658.093784483971</t>
  </si>
  <si>
    <t>-678.894821525781 -15.659056010086 742.394150096077</t>
  </si>
  <si>
    <t>9763-20170724T160620.524578100.bin</t>
  </si>
  <si>
    <t>-631.144791683389 126.67175425295 -228.054664779214</t>
  </si>
  <si>
    <t>-672.671380562855 118.247050741096 -341.511058311708</t>
  </si>
  <si>
    <t>-694.099545012798 108.284248687663 -460.389804379578</t>
  </si>
  <si>
    <t>-705.029533079007 98.407957307481 -568.915609246217</t>
  </si>
  <si>
    <t>-707.565957394194 87.5834975523976 -677.870883384284</t>
  </si>
  <si>
    <t>-702.339016901708 71.442796912097 -829.2385409399</t>
  </si>
  <si>
    <t>-669.448633604571 50.938224248031 -923.476307811955</t>
  </si>
  <si>
    <t>-690.788501368261 107.082001832631 -764.82294226929</t>
  </si>
  <si>
    <t>-608.355032938527 228.584880371286 -756.590834712564</t>
  </si>
  <si>
    <t>-519.633934247515 180.455209256305 -456.593545594798</t>
  </si>
  <si>
    <t>-311.505949675214 94.7174711533739 -326.310144090145</t>
  </si>
  <si>
    <t>-718.515006687908 50.0871563667886 -759.702911515569</t>
  </si>
  <si>
    <t>-599.105461545387 218.08105705655 -246.040315985757</t>
  </si>
  <si>
    <t>-595.173639242548 198.489299356459 209.216034057389</t>
  </si>
  <si>
    <t>-626.040106375919 168.835193821002 677.097636278308</t>
  </si>
  <si>
    <t>-494.073266677418 91.6056823814824 764.068118951606</t>
  </si>
  <si>
    <t>-663.021305355942 35.368471650801 -209.402484429726</t>
  </si>
  <si>
    <t>-590.151646792726 -5.33196687571331 238.583184496395</t>
  </si>
  <si>
    <t>-765.182724215517 112.425452259937 658.233423005999</t>
  </si>
  <si>
    <t>-678.925031304027 -15.6416409732208 742.506480867537</t>
  </si>
  <si>
    <t>9763-20170724T160620.588753800.bin</t>
  </si>
  <si>
    <t>-632.022773459958 126.458570721593 -228.140962798377</t>
  </si>
  <si>
    <t>-673.476843930453 117.983508579651 -341.620164822542</t>
  </si>
  <si>
    <t>-694.921110663283 107.94042870644 -460.489179789674</t>
  </si>
  <si>
    <t>-705.903738801624 97.9790665528392 -569.001904929542</t>
  </si>
  <si>
    <t>-708.531492515003 87.0567471189654 -677.945245401148</t>
  </si>
  <si>
    <t>-703.471941664263 70.7663962529912 -829.302423206356</t>
  </si>
  <si>
    <t>-670.638526103623 50.1841202415394 -923.543266900422</t>
  </si>
  <si>
    <t>-691.861545226964 106.474715792652 -764.936177735562</t>
  </si>
  <si>
    <t>-609.479259585793 228.004497988251 -756.839659219813</t>
  </si>
  <si>
    <t>-519.86081946895 179.444470595518 -457.178813423018</t>
  </si>
  <si>
    <t>-308.276404201421 98.2535691552118 -329.577285268132</t>
  </si>
  <si>
    <t>-719.559723685597 49.4740304978618 -759.72706889649</t>
  </si>
  <si>
    <t>-600.020365448628 217.845893775002 -246.08752202663</t>
  </si>
  <si>
    <t>-595.749088449334 198.297914774092 209.16762728467</t>
  </si>
  <si>
    <t>-626.060385797686 168.833366481397 677.124620268521</t>
  </si>
  <si>
    <t>-494.007524674317 91.667639274636 764.021158309628</t>
  </si>
  <si>
    <t>-663.850664723332 35.1067231978725 -209.5684692505</t>
  </si>
  <si>
    <t>-591.459281651053 -5.06105883005171 238.542784192542</t>
  </si>
  <si>
    <t>-765.461926171393 112.428885476217 658.715035201039</t>
  </si>
  <si>
    <t>-678.943670524928 -15.5882161397656 742.796699289729</t>
  </si>
  <si>
    <t>9763-20170724T160620.627865400.bin</t>
  </si>
  <si>
    <t>-632.41291076658 126.298978668274 -228.227105153136</t>
  </si>
  <si>
    <t>-673.822290465469 117.821372105725 -341.722407317204</t>
  </si>
  <si>
    <t>-695.248246678653 107.758916753484 -460.593177456157</t>
  </si>
  <si>
    <t>-706.226073416191 97.7718331838732 -569.103976278452</t>
  </si>
  <si>
    <t>-708.861164545558 86.8147710626222 -678.043524231414</t>
  </si>
  <si>
    <t>-703.824887346347 70.4658254495557 -829.395281660375</t>
  </si>
  <si>
    <t>-670.992040768114 49.8750404580783 -923.634431575904</t>
  </si>
  <si>
    <t>-692.215161151746 106.204073001948 -765.045504747959</t>
  </si>
  <si>
    <t>-609.79179785366 227.718547073836 -756.992200382121</t>
  </si>
  <si>
    <t>-519.975934096434 178.835355325349 -457.442892749177</t>
  </si>
  <si>
    <t>-305.934956435431 100.822978653418 -331.973624970213</t>
  </si>
  <si>
    <t>-719.891439082727 49.1953458377184 -759.80837445664</t>
  </si>
  <si>
    <t>-600.473359039857 217.707411553027 -246.12708178865</t>
  </si>
  <si>
    <t>-596.055495324443 198.155795722209 209.126638546684</t>
  </si>
  <si>
    <t>-626.062442289897 168.883931221608 677.13291913409</t>
  </si>
  <si>
    <t>-493.975830847213 91.7288299791746 763.987519216128</t>
  </si>
  <si>
    <t>-664.219308402216 34.9364170262525 -209.721384369346</t>
  </si>
  <si>
    <t>-592.364285532971 -4.81923390465704 238.5129113641</t>
  </si>
  <si>
    <t>-765.670540737677 112.429318965117 659.055990873705</t>
  </si>
  <si>
    <t>-678.959391283746 -15.5561219986253 742.986964640811</t>
  </si>
  <si>
    <t>9763-20170724T160620.690046600.bin</t>
  </si>
  <si>
    <t>-633.233770749139 125.831026162318 -228.424335418942</t>
  </si>
  <si>
    <t>-674.543673498707 117.441699670344 -341.962472828363</t>
  </si>
  <si>
    <t>-695.933660353713 107.403033478055 -460.841556173145</t>
  </si>
  <si>
    <t>-706.907274541616 97.4105183702457 -569.352369596536</t>
  </si>
  <si>
    <t>-709.567461687417 86.420661472009 -678.288040778764</t>
  </si>
  <si>
    <t>-704.597454933107 69.9970107129882 -829.633948300472</t>
  </si>
  <si>
    <t>-671.791138174315 49.3736736310254 -923.875164145936</t>
  </si>
  <si>
    <t>-692.977790057743 105.775650197257 -765.308352603085</t>
  </si>
  <si>
    <t>-610.591577751015 227.311207327637 -757.244856824257</t>
  </si>
  <si>
    <t>-520.098432413133 178.009524843884 -457.968022863327</t>
  </si>
  <si>
    <t>-304.366929026252 102.639649640038 -333.785255804739</t>
  </si>
  <si>
    <t>-720.615359162699 48.7521790092037 -760.027985380407</t>
  </si>
  <si>
    <t>-601.257217004588 217.197475614244 -246.189142273773</t>
  </si>
  <si>
    <t>-596.630288138188 197.694372673988 209.064519000273</t>
  </si>
  <si>
    <t>-626.092301532402 168.84323591129 677.140889374868</t>
  </si>
  <si>
    <t>-493.913042305715 91.7823019453945 763.938201925594</t>
  </si>
  <si>
    <t>-665.061654490036 34.5313482050578 -210.039808518987</t>
  </si>
  <si>
    <t>-594.512146513692 -4.71706362414557 238.446548770854</t>
  </si>
  <si>
    <t>-766.149106467438 112.339964735623 659.768822372554</t>
  </si>
  <si>
    <t>-678.997626101152 -15.5238970612793 743.428641416315</t>
  </si>
  <si>
    <t>9763-20170724T160620.726130700.bin</t>
  </si>
  <si>
    <t>-633.623984289888 125.561392137068 -228.526971184542</t>
  </si>
  <si>
    <t>-674.883806136561 117.227253910396 -342.087449344685</t>
  </si>
  <si>
    <t>-696.232113236358 107.201379702463 -460.975143508882</t>
  </si>
  <si>
    <t>-707.172247958793 97.2041376116049 -569.488844109078</t>
  </si>
  <si>
    <t>-709.804226267502 86.1930105293445 -678.423149008492</t>
  </si>
  <si>
    <t>-704.800474496337 69.7235006576873 -829.762884903515</t>
  </si>
  <si>
    <t>-671.990557292262 49.0708118293965 -923.99654569052</t>
  </si>
  <si>
    <t>-693.202710894634 105.525374382235 -765.446254707324</t>
  </si>
  <si>
    <t>-610.819599304591 227.064217909341 -757.378698831719</t>
  </si>
  <si>
    <t>-520.166120944296 177.510349921412 -458.192213681737</t>
  </si>
  <si>
    <t>-304.324088015779 102.805907207015 -333.79985289559</t>
  </si>
  <si>
    <t>-720.826177691931 48.4962074152497 -760.153290004853</t>
  </si>
  <si>
    <t>-601.603531056658 216.814102939909 -246.235248410552</t>
  </si>
  <si>
    <t>-596.946450266405 197.409568699734 209.02240605181</t>
  </si>
  <si>
    <t>-626.097711301719 168.829183034405 677.135969133127</t>
  </si>
  <si>
    <t>-493.798496494684 91.9455849586013 763.907747251864</t>
  </si>
  <si>
    <t>-665.485483015462 34.3787052830605 -210.182918222595</t>
  </si>
  <si>
    <t>-595.607359813242 -4.87928226433155 238.407650063514</t>
  </si>
  <si>
    <t>-766.353780119118 112.292480955979 660.097079998397</t>
  </si>
  <si>
    <t>-679.015477073989 -15.5138331575836 743.64994593579</t>
  </si>
  <si>
    <t>9763-20170724T160620.792307100.bin</t>
  </si>
  <si>
    <t>-634.414386799715 125.084616880221 -228.719918718449</t>
  </si>
  <si>
    <t>-675.511189576411 116.830172999362 -342.345280556721</t>
  </si>
  <si>
    <t>-696.744862299824 106.837171645281 -461.256354365208</t>
  </si>
  <si>
    <t>-707.603894898552 96.8503230246818 -569.779129478955</t>
  </si>
  <si>
    <t>-710.178111421731 85.830700013285 -678.714023502363</t>
  </si>
  <si>
    <t>-705.119494308887 69.3293210300055 -830.048422931668</t>
  </si>
  <si>
    <t>-672.301980274751 48.6568173559424 -924.274901120586</t>
  </si>
  <si>
    <t>-693.540794161207 105.142669977078 -765.734705637932</t>
  </si>
  <si>
    <t>-611.184542193761 226.696793184461 -757.56321897078</t>
  </si>
  <si>
    <t>-520.214938573652 176.718094828348 -458.543330988253</t>
  </si>
  <si>
    <t>-306.608266664202 100.580598465527 -331.196187751799</t>
  </si>
  <si>
    <t>-721.17483098303 48.1185801492813 -760.440518087502</t>
  </si>
  <si>
    <t>-602.263946546399 216.176211386653 -246.317436682518</t>
  </si>
  <si>
    <t>-597.552385206065 197.014048094962 208.949808099981</t>
  </si>
  <si>
    <t>-626.092217790095 168.833611727731 677.123046221057</t>
  </si>
  <si>
    <t>-493.747670737596 91.9942749628049 763.864900040523</t>
  </si>
  <si>
    <t>-666.37185719733 34.0827904518194 -210.473145133059</t>
  </si>
  <si>
    <t>-597.68600737778 -5.06983241656303 238.310826759721</t>
  </si>
  <si>
    <t>-766.724785647221 112.211294945064 660.732202070898</t>
  </si>
  <si>
    <t>-679.067207672883 -15.5116637003471 744.077944815503</t>
  </si>
  <si>
    <t>9763-20170724T160620.826413000.bin</t>
  </si>
  <si>
    <t>-634.757985348647 124.873566299095 -228.814800445952</t>
  </si>
  <si>
    <t>-675.767057612829 116.651774758361 -342.474203667699</t>
  </si>
  <si>
    <t>-696.927389234683 106.684401183124 -461.400439580255</t>
  </si>
  <si>
    <t>-707.727198422736 96.7170626579027 -569.931014181069</t>
  </si>
  <si>
    <t>-710.249833605904 85.7127909211517 -678.868451886306</t>
  </si>
  <si>
    <t>-705.127704146637 69.2282434627111 -830.202671322417</t>
  </si>
  <si>
    <t>-672.272456748732 48.5792415685648 -924.421267246173</t>
  </si>
  <si>
    <t>-693.590519700568 105.041351044788 -765.881266235806</t>
  </si>
  <si>
    <t>-611.292886200913 226.617400945243 -757.632392073346</t>
  </si>
  <si>
    <t>-520.007775813747 176.468674791248 -458.737160562852</t>
  </si>
  <si>
    <t>-306.85559461712 100.494496474547 -330.533607077597</t>
  </si>
  <si>
    <t>-721.197689390402 48.002895325965 -760.602572887859</t>
  </si>
  <si>
    <t>-602.642534171555 215.995628646468 -246.3388974403</t>
  </si>
  <si>
    <t>-597.867838346596 196.926406111716 208.931630881496</t>
  </si>
  <si>
    <t>-626.104917864452 168.877789565002 677.146259749624</t>
  </si>
  <si>
    <t>-493.760175466556 92.0090146248815 763.861769903657</t>
  </si>
  <si>
    <t>-666.67990398494 33.8550923779021 -210.64217142056</t>
  </si>
  <si>
    <t>-598.66228130433 -5.10311135498887 238.260347972741</t>
  </si>
  <si>
    <t>-766.91440898354 112.152261272836 661.046943831387</t>
  </si>
  <si>
    <t>-679.052552504784 -15.4976018659606 744.289505210182</t>
  </si>
  <si>
    <t>9763-20170724T160620.892588700.bin</t>
  </si>
  <si>
    <t>-635.424162238668 124.599291047552 -229.005180630379</t>
  </si>
  <si>
    <t>-676.296321413659 116.498476546763 -342.722720979317</t>
  </si>
  <si>
    <t>-697.318929976281 106.664554628696 -461.684517887053</t>
  </si>
  <si>
    <t>-707.994930915514 96.8227208891183 -570.238610416633</t>
  </si>
  <si>
    <t>-710.39534149702 85.9480692219181 -679.192035945383</t>
  </si>
  <si>
    <t>-705.105520559013 69.6475915603401 -830.540396103157</t>
  </si>
  <si>
    <t>-672.132685598654 49.1397090710752 -924.748585233438</t>
  </si>
  <si>
    <t>-693.708737330223 105.415134404154 -766.168743134694</t>
  </si>
  <si>
    <t>-611.641628790582 227.143196521272 -757.685702052349</t>
  </si>
  <si>
    <t>-519.867672000239 176.325892358672 -459.053309168612</t>
  </si>
  <si>
    <t>-311.218963349214 96.0767688724638 -326.132696386778</t>
  </si>
  <si>
    <t>-721.183567911465 48.3048370027532 -760.978080497037</t>
  </si>
  <si>
    <t>-603.465585667663 215.722404389858 -246.332547089942</t>
  </si>
  <si>
    <t>-598.448177637373 196.623692996709 208.934007769823</t>
  </si>
  <si>
    <t>-626.172264929187 168.811903231601 677.201820084431</t>
  </si>
  <si>
    <t>-493.702000117886 92.1098826803363 763.87325561479</t>
  </si>
  <si>
    <t>-667.242870317424 33.6024930465608 -210.993384531059</t>
  </si>
  <si>
    <t>-600.303729295658 -4.93438647090443 238.107648944056</t>
  </si>
  <si>
    <t>-767.199485801346 112.048178643674 661.56086221224</t>
  </si>
  <si>
    <t>-679.073921188719 -15.5031494594896 744.675586326483</t>
  </si>
  <si>
    <t>9763-20170724T160620.923673300.bin</t>
  </si>
  <si>
    <t>-635.765518268014 124.498950263665 -229.067044307897</t>
  </si>
  <si>
    <t>-676.608999323395 116.458887868952 -342.799165769088</t>
  </si>
  <si>
    <t>-697.598773592508 106.690070334556 -461.772129830024</t>
  </si>
  <si>
    <t>-708.243356348194 96.9100385354745 -570.334937968469</t>
  </si>
  <si>
    <t>-710.610726171537 86.100534439063 -679.295506940855</t>
  </si>
  <si>
    <t>-705.273188109989 69.8947410103615 -830.652366607089</t>
  </si>
  <si>
    <t>-672.25060472897 49.4371806369786 -924.854114595124</t>
  </si>
  <si>
    <t>-693.939103883448 105.642159552917 -766.2583603349</t>
  </si>
  <si>
    <t>-612.064378798577 227.499102408404 -757.627569393402</t>
  </si>
  <si>
    <t>-519.905632410462 176.117694372772 -459.210378556301</t>
  </si>
  <si>
    <t>-314.410389812404 93.0191366158922 -323.1648380413</t>
  </si>
  <si>
    <t>-721.330651661102 48.4884564751694 -761.104858531443</t>
  </si>
  <si>
    <t>-603.882815640477 215.570941182613 -246.312193409794</t>
  </si>
  <si>
    <t>-598.685242719102 196.477300260104 208.952707325938</t>
  </si>
  <si>
    <t>-626.219519604714 168.735756042697 677.239586743231</t>
  </si>
  <si>
    <t>-493.633310838594 92.1994952905618 763.880254009816</t>
  </si>
  <si>
    <t>-667.483421766229 33.5205935772537 -211.138699607541</t>
  </si>
  <si>
    <t>-600.928985994704 -4.85851547465518 238.033015476902</t>
  </si>
  <si>
    <t>-767.258852155739 112.018683561331 661.74844039009</t>
  </si>
  <si>
    <t>-679.064323174989 -15.5010024792296 744.838508927136</t>
  </si>
  <si>
    <t>9763-20170724T160620.990582800.bin</t>
  </si>
  <si>
    <t>-636.297038631676 124.470713646285 -229.144366556967</t>
  </si>
  <si>
    <t>-677.090925582473 116.534194784851 -342.901336210457</t>
  </si>
  <si>
    <t>-698.012689041777 106.926436682101 -461.899424452183</t>
  </si>
  <si>
    <t>-708.587828268067 97.3148830334044 -570.484044687873</t>
  </si>
  <si>
    <t>-710.877577336123 86.6962335006319 -679.465058486797</t>
  </si>
  <si>
    <t>-705.423475548597 70.7786718249627 -830.848300196372</t>
  </si>
  <si>
    <t>-672.322347045624 50.4528449517777 -925.051121404655</t>
  </si>
  <si>
    <t>-694.204480884732 106.434376378615 -766.383277454558</t>
  </si>
  <si>
    <t>-612.581468189825 228.420564949214 -757.409015326825</t>
  </si>
  <si>
    <t>-519.868860144369 175.902303836665 -459.361331021791</t>
  </si>
  <si>
    <t>-318.212071140121 88.8128540230359 -320.106073195437</t>
  </si>
  <si>
    <t>-721.468826687356 49.2092472534739 -761.348548836995</t>
  </si>
  <si>
    <t>-604.565717667116 215.447922788549 -246.246474361387</t>
  </si>
  <si>
    <t>-599.139386857438 196.272490320358 209.012246447057</t>
  </si>
  <si>
    <t>-626.288811674407 168.686785893571 677.307142377007</t>
  </si>
  <si>
    <t>-493.589918951861 92.3015191601016 763.90857362395</t>
  </si>
  <si>
    <t>-667.880276096972 33.5748141363563 -211.377299549236</t>
  </si>
  <si>
    <t>-601.971555065124 -4.5445320931758 237.911680843576</t>
  </si>
  <si>
    <t>-767.363861078212 111.98087155074 662.129671431791</t>
  </si>
  <si>
    <t>-679.034413174839 -15.4951650859095 745.143346915476</t>
  </si>
  <si>
    <t>9763-20170724T160621.024172800.bin</t>
  </si>
  <si>
    <t>-636.427873665551 124.476829991133 -229.180813767728</t>
  </si>
  <si>
    <t>-677.176725734805 116.583638664074 -342.9570925005</t>
  </si>
  <si>
    <t>-698.07385967268 107.065020308536 -461.966647956602</t>
  </si>
  <si>
    <t>-708.634850914966 97.5528633008105 -570.561519918745</t>
  </si>
  <si>
    <t>-710.918610525917 87.0519895193863 -679.553926488873</t>
  </si>
  <si>
    <t>-705.464287156546 71.3172693826125 -830.956301245477</t>
  </si>
  <si>
    <t>-672.350315201428 51.0733088667996 -925.172199535032</t>
  </si>
  <si>
    <t>-694.27845965533 106.910334394963 -766.451202956762</t>
  </si>
  <si>
    <t>-612.79070502458 228.978896690566 -757.264684813787</t>
  </si>
  <si>
    <t>-519.721763288959 176.009822480859 -459.407827145207</t>
  </si>
  <si>
    <t>-320.813885684048 85.903685741235 -318.132926630456</t>
  </si>
  <si>
    <t>-721.476987788237 49.6482968305752 -761.47994118403</t>
  </si>
  <si>
    <t>-604.79189507476 215.398860894798 -246.214525576368</t>
  </si>
  <si>
    <t>-599.27814517542 196.207604233087 209.042504345149</t>
  </si>
  <si>
    <t>-626.336604525884 168.602570427061 677.352333493841</t>
  </si>
  <si>
    <t>-493.530450529865 92.3731604122245 763.926647701611</t>
  </si>
  <si>
    <t>-667.847283690753 33.5925468914463 -211.482617085297</t>
  </si>
  <si>
    <t>-602.347484940147 -4.4688403212665 237.871103060091</t>
  </si>
  <si>
    <t>-767.432284669726 111.931998529594 662.28088080523</t>
  </si>
  <si>
    <t>-679.015485572194 -15.4947271499989 745.277261211876</t>
  </si>
  <si>
    <t>9763-20170724T160621.093474800.bin</t>
  </si>
  <si>
    <t>-636.531851514472 124.676443818393 -229.082781346224</t>
  </si>
  <si>
    <t>-677.274679700225 116.812538582827 -342.86334548839</t>
  </si>
  <si>
    <t>-698.122645771384 107.45215407623 -461.893998836146</t>
  </si>
  <si>
    <t>-708.619441787589 98.1390487906599 -570.512223324417</t>
  </si>
  <si>
    <t>-710.817958010759 87.8952565628863 -679.531111981092</t>
  </si>
  <si>
    <t>-705.222094455502 72.5801379792931 -830.971157235471</t>
  </si>
  <si>
    <t>-672.084812288676 52.5726726890825 -925.229442491366</t>
  </si>
  <si>
    <t>-694.183611386305 108.034768506749 -766.364551013955</t>
  </si>
  <si>
    <t>-612.983922545102 230.250276998311 -756.738422210672</t>
  </si>
  <si>
    <t>-519.832995245717 175.8698170501 -459.161780598932</t>
  </si>
  <si>
    <t>-325.117145418069 79.8815298532074 -315.93452930633</t>
  </si>
  <si>
    <t>-721.212710630076 50.678269648819 -761.562703330671</t>
  </si>
  <si>
    <t>-604.985016352682 215.626611787052 -246.108017182965</t>
  </si>
  <si>
    <t>-599.383135145114 196.361483426779 209.144804235516</t>
  </si>
  <si>
    <t>-626.339142164813 168.687801495667 677.402825930906</t>
  </si>
  <si>
    <t>-493.554790721243 92.4232468448333 763.979611381949</t>
  </si>
  <si>
    <t>-667.963231545763 33.7108662356027 -211.391773045409</t>
  </si>
  <si>
    <t>-602.557946723389 -4.40287025577936 237.971292677477</t>
  </si>
  <si>
    <t>-767.473223138615 111.900213815358 662.48431196425</t>
  </si>
  <si>
    <t>-679.005403499461 -15.515936571212 745.442688159977</t>
  </si>
  <si>
    <t>9763-20170724T160621.124059800.bin</t>
  </si>
  <si>
    <t>-636.459792031853 124.755374936833 -229.047272926916</t>
  </si>
  <si>
    <t>-677.215995678425 116.89826841218 -342.823381509456</t>
  </si>
  <si>
    <t>-698.065340295722 107.643846077325 -461.862071609925</t>
  </si>
  <si>
    <t>-708.557080281561 98.4685109372435 -570.492633085063</t>
  </si>
  <si>
    <t>-710.742693146183 88.4061537357647 -679.528497781064</t>
  </si>
  <si>
    <t>-705.120189932185 73.3891463883328 -830.997644422276</t>
  </si>
  <si>
    <t>-671.970892847227 53.5344575310182 -925.283782263798</t>
  </si>
  <si>
    <t>-694.127957939255 108.73279267272 -766.322201051377</t>
  </si>
  <si>
    <t>-613.066229687325 231.024026100085 -756.41831474944</t>
  </si>
  <si>
    <t>-520.024630263058 175.869519464494 -458.949934965855</t>
  </si>
  <si>
    <t>-328.326654918345 75.2633618683381 -314.823828018096</t>
  </si>
  <si>
    <t>-721.08802479144 51.3345764631486 -761.632321067214</t>
  </si>
  <si>
    <t>-604.929946055854 215.760605179957 -246.064584448705</t>
  </si>
  <si>
    <t>-599.369322451024 196.44739750726 209.186698175359</t>
  </si>
  <si>
    <t>-626.324477104045 168.73599666379 677.422648467251</t>
  </si>
  <si>
    <t>-493.547284025175 92.4721567848339 764.011071447695</t>
  </si>
  <si>
    <t>-667.76973178356 33.7629568750995 -211.356859376776</t>
  </si>
  <si>
    <t>-602.435868040749 -4.32976684890104 238.018452224998</t>
  </si>
  <si>
    <t>-767.472717358682 111.892283333092 662.531367275034</t>
  </si>
  <si>
    <t>-679.006510286717 -15.5273359438233 745.486028158292</t>
  </si>
  <si>
    <t>9763-20170724T160621.191650200.bin</t>
  </si>
  <si>
    <t>-636.014208612875 125.244357909031 -228.875441308315</t>
  </si>
  <si>
    <t>-676.802176495977 117.339756918157 -342.636756956207</t>
  </si>
  <si>
    <t>-697.586004134784 108.230292244679 -461.6982582997</t>
  </si>
  <si>
    <t>-707.97503224877 99.2680853891588 -570.356427612317</t>
  </si>
  <si>
    <t>-710.012968501923 89.5026478176119 -679.422050682939</t>
  </si>
  <si>
    <t>-704.136646190633 74.9879038821744 -830.930410562003</t>
  </si>
  <si>
    <t>-670.855772102493 55.3997681796602 -925.2261870068</t>
  </si>
  <si>
    <t>-693.298061768078 110.137733767177 -766.123540987439</t>
  </si>
  <si>
    <t>-612.551761675125 232.594198834684 -755.716977550841</t>
  </si>
  <si>
    <t>-520.079899417202 176.507550374914 -458.245276433318</t>
  </si>
  <si>
    <t>-329.105142874614 74.7065886735131 -313.997897529978</t>
  </si>
  <si>
    <t>-720.175431506653 52.6827002110174 -761.661809658456</t>
  </si>
  <si>
    <t>-604.471849167882 216.23322931842 -245.990963287713</t>
  </si>
  <si>
    <t>-599.162657534048 196.877356814026 209.261471673006</t>
  </si>
  <si>
    <t>-626.276162187626 168.76577666645 677.421531403567</t>
  </si>
  <si>
    <t>-493.536154816625 92.5233854539754 764.085820003117</t>
  </si>
  <si>
    <t>-667.366512458567 34.2935574177611 -211.080953805654</t>
  </si>
  <si>
    <t>-601.75122357535 -4.37175803119544 238.204422839002</t>
  </si>
  <si>
    <t>-767.374974490609 111.913059120935 662.482344593847</t>
  </si>
  <si>
    <t>-678.944413144572 -15.5221933848575 745.451034056359</t>
  </si>
  <si>
    <t>9763-20170724T160621.226745100.bin</t>
  </si>
  <si>
    <t>-635.741319680877 125.440706981423 -228.793796737671</t>
  </si>
  <si>
    <t>-676.611355700375 117.552223063074 -342.526919040802</t>
  </si>
  <si>
    <t>-697.390109423045 108.519041348288 -461.595102798853</t>
  </si>
  <si>
    <t>-707.736738968871 99.6513319058924 -570.265002288191</t>
  </si>
  <si>
    <t>-709.693429416286 90.0068102067446 -679.342891713269</t>
  </si>
  <si>
    <t>-703.663299306288 75.6882910793101 -830.863982102851</t>
  </si>
  <si>
    <t>-670.315420870116 56.2124828012848 -925.159221672577</t>
  </si>
  <si>
    <t>-692.906626623956 110.761604822411 -766.002165944902</t>
  </si>
  <si>
    <t>-612.356741311365 233.337756644088 -755.373323375729</t>
  </si>
  <si>
    <t>-520.206057952101 177.219143114015 -457.808002119348</t>
  </si>
  <si>
    <t>-328.074017842725 76.7492534500875 -314.165777105602</t>
  </si>
  <si>
    <t>-719.756304596796 53.2859345663708 -761.639254280426</t>
  </si>
  <si>
    <t>-604.155152489298 216.418031770463 -245.9615782237</t>
  </si>
  <si>
    <t>-598.926724349497 196.958311314386 209.287478018422</t>
  </si>
  <si>
    <t>-626.25301596887 168.715726949123 677.404098355801</t>
  </si>
  <si>
    <t>-493.495604235363 92.5885700869949 764.142966894571</t>
  </si>
  <si>
    <t>-667.148750157694 34.476822179867 -210.983012723724</t>
  </si>
  <si>
    <t>-601.238358783926 -4.35235236341146 238.244980746015</t>
  </si>
  <si>
    <t>-767.306225182962 111.916659566133 662.394571978884</t>
  </si>
  <si>
    <t>-678.893475237906 -15.5123659560406 745.391852558849</t>
  </si>
  <si>
    <t>9763-20170724T160621.292921200.bin</t>
  </si>
  <si>
    <t>-635.286920311803 126.098774648358 -228.826106004926</t>
  </si>
  <si>
    <t>-676.21059775909 118.195862031932 -342.538918895737</t>
  </si>
  <si>
    <t>-696.969855778023 109.253946867103 -461.617342769366</t>
  </si>
  <si>
    <t>-707.266689219863 100.509106217548 -570.301878430176</t>
  </si>
  <si>
    <t>-709.14083521362 91.0257841222083 -679.395506625621</t>
  </si>
  <si>
    <t>-702.961448010529 76.9697158251565 -830.93506157666</t>
  </si>
  <si>
    <t>-669.460430395633 57.6300512342095 -925.204031965162</t>
  </si>
  <si>
    <t>-692.281175680682 111.936465566382 -766.002851780933</t>
  </si>
  <si>
    <t>-611.832939908419 234.557113155289 -755.091993073058</t>
  </si>
  <si>
    <t>-520.774288832473 178.172900965058 -457.24072186381</t>
  </si>
  <si>
    <t>-329.503566934258 75.4698171349155 -314.028876645487</t>
  </si>
  <si>
    <t>-719.110087633017 54.4417220844771 -761.764091808328</t>
  </si>
  <si>
    <t>-603.71448627999 217.028733014741 -245.971847047896</t>
  </si>
  <si>
    <t>-598.47987781608 197.174443742024 209.2600511316</t>
  </si>
  <si>
    <t>-626.200375237453 168.703736258636 677.353534123675</t>
  </si>
  <si>
    <t>-493.459063039877 92.676285391035 764.204472743877</t>
  </si>
  <si>
    <t>-666.727841284531 35.2280107420349 -211.000174942391</t>
  </si>
  <si>
    <t>-600.478900426765 -4.01732760187133 238.141782155477</t>
  </si>
  <si>
    <t>-767.174938752103 111.959999152128 662.2290524442</t>
  </si>
  <si>
    <t>-678.849324132849 -15.5169915577212 745.245366968156</t>
  </si>
  <si>
    <t>9763-20170724T160621.328050300.bin</t>
  </si>
  <si>
    <t>-635.201547151056 126.499359937225 -228.879310289025</t>
  </si>
  <si>
    <t>-676.11654723855 118.638067391752 -342.598207491246</t>
  </si>
  <si>
    <t>-696.892992269619 109.765014775169 -461.678689344065</t>
  </si>
  <si>
    <t>-707.216191160752 101.090904404196 -570.366596217204</t>
  </si>
  <si>
    <t>-709.127256540039 91.6855585778478 -679.466213901555</t>
  </si>
  <si>
    <t>-703.010033057502 77.7441026500555 -831.018857117113</t>
  </si>
  <si>
    <t>-669.465636671047 58.433181004036 -925.278315554851</t>
  </si>
  <si>
    <t>-692.308054467906 112.663935306311 -766.065123101857</t>
  </si>
  <si>
    <t>-611.898038523362 235.28628241759 -755.011484605508</t>
  </si>
  <si>
    <t>-521.153518754912 178.289203656764 -457.181070828581</t>
  </si>
  <si>
    <t>-330.002651092683 74.9851352129842 -314.241646128818</t>
  </si>
  <si>
    <t>-719.125353608232 55.1616201216216 -761.857862444406</t>
  </si>
  <si>
    <t>-603.706899476432 217.479598352984 -245.964058506398</t>
  </si>
  <si>
    <t>-598.415705857837 197.326523926689 209.254096191503</t>
  </si>
  <si>
    <t>-626.205087332183 168.702036257267 677.352319920755</t>
  </si>
  <si>
    <t>-493.410077791826 92.7682210694918 764.203078711337</t>
  </si>
  <si>
    <t>-666.571877868298 35.6006048038607 -211.170134967941</t>
  </si>
  <si>
    <t>-600.484820468531 -3.63278353658666 237.99679708926</t>
  </si>
  <si>
    <t>-767.171417889088 111.956668112926 662.209919928451</t>
  </si>
  <si>
    <t>-678.822771589592 -15.511846107893 745.214715158946</t>
  </si>
  <si>
    <t>9763-20170724T160621.391249600.bin</t>
  </si>
  <si>
    <t>-635.220192701105 127.296482586473 -229.322636726451</t>
  </si>
  <si>
    <t>-676.091288245126 119.579268965781 -343.067172871937</t>
  </si>
  <si>
    <t>-696.868260192632 110.862230632831 -462.159142378854</t>
  </si>
  <si>
    <t>-707.210710929674 102.332824147579 -570.856506868448</t>
  </si>
  <si>
    <t>-709.15989366353 93.075071044459 -679.96817019465</t>
  </si>
  <si>
    <t>-703.115433612438 79.3408350131001 -831.542756374658</t>
  </si>
  <si>
    <t>-669.54549512404 60.0492904565833 -925.796982571668</t>
  </si>
  <si>
    <t>-692.411715994683 114.185420972056 -766.548881303564</t>
  </si>
  <si>
    <t>-611.966068466221 236.769563545018 -755.281249453231</t>
  </si>
  <si>
    <t>-520.693262491838 178.663666544615 -457.826730713518</t>
  </si>
  <si>
    <t>-330.876506355941 72.9648691163288 -314.860424174376</t>
  </si>
  <si>
    <t>-719.168078898206 56.6502520994836 -762.402572283827</t>
  </si>
  <si>
    <t>-603.752883961155 218.486897961239 -246.096760780925</t>
  </si>
  <si>
    <t>-598.373616651074 197.578015865774 209.086245427289</t>
  </si>
  <si>
    <t>-626.224348011221 168.87679439785 677.30342040387</t>
  </si>
  <si>
    <t>-493.380460320039 92.9142921010323 764.054271665411</t>
  </si>
  <si>
    <t>-666.614669598085 36.0573417619514 -211.995471092685</t>
  </si>
  <si>
    <t>-601.334637631006 -3.40617230736029 237.269301237464</t>
  </si>
  <si>
    <t>-767.194893003701 110.883919574099 661.521084228021</t>
  </si>
  <si>
    <t>-678.706076178845 -15.6314280080735 745.824722219706</t>
  </si>
  <si>
    <t>9763-20170724T160621.422803900.bin</t>
  </si>
  <si>
    <t>-635.307423649674 127.119100234438 -229.788710357242</t>
  </si>
  <si>
    <t>-676.102252519583 119.455116616907 -343.564090766134</t>
  </si>
  <si>
    <t>-696.855285236795 110.774863752984 -462.662926392222</t>
  </si>
  <si>
    <t>-707.198643978806 102.272533371498 -571.362386315206</t>
  </si>
  <si>
    <t>-709.171839649303 93.0357275999352 -680.475432476683</t>
  </si>
  <si>
    <t>-703.184637326034 79.3247475108442 -832.054328173087</t>
  </si>
  <si>
    <t>-669.639548343826 59.9959455253083 -926.309831059694</t>
  </si>
  <si>
    <t>-692.468070316518 114.164667504791 -767.060055098137</t>
  </si>
  <si>
    <t>-612.020080275796 236.752642423858 -755.794309193237</t>
  </si>
  <si>
    <t>-520.218932740159 178.220377312228 -458.586096690948</t>
  </si>
  <si>
    <t>-330.918355018577 71.7813466961663 -315.484471772371</t>
  </si>
  <si>
    <t>-719.19956565028 56.6181241157963 -762.910549719958</t>
  </si>
  <si>
    <t>-603.760988293348 218.666071509084 -246.340815413211</t>
  </si>
  <si>
    <t>-598.421171012997 197.445985143714 208.828318582889</t>
  </si>
  <si>
    <t>-626.245763688237 168.923343409539 677.163738199125</t>
  </si>
  <si>
    <t>-493.338721122995 93.0121171530093 763.862689900206</t>
  </si>
  <si>
    <t>-666.738404401813 35.3703323356995 -212.840090677884</t>
  </si>
  <si>
    <t>-602.210705888495 -4.41181367744935 236.505177396985</t>
  </si>
  <si>
    <t>-767.256848810214 109.052872797165 660.699500603729</t>
  </si>
  <si>
    <t>-678.445151132069 -15.9755507506893 746.861457322199</t>
  </si>
  <si>
    <t>9763-20170724T160621.498511600.bin</t>
  </si>
  <si>
    <t>-635.240774872129 126.394458938343 -230.621836196287</t>
  </si>
  <si>
    <t>-675.854308273181 118.825766981546 -344.468373460687</t>
  </si>
  <si>
    <t>-696.597950792465 110.187722964357 -463.571988687083</t>
  </si>
  <si>
    <t>-707.006483086246 101.703649416819 -572.266684626406</t>
  </si>
  <si>
    <t>-709.119711070256 92.4660275197766 -681.377017049199</t>
  </si>
  <si>
    <t>-703.40505372563 78.7350707331414 -832.96459539057</t>
  </si>
  <si>
    <t>-670.009012944546 59.2972084365585 -927.250592644707</t>
  </si>
  <si>
    <t>-692.536245659608 113.567323622344 -767.991460556364</t>
  </si>
  <si>
    <t>-611.915779926154 236.035417929848 -756.748608177217</t>
  </si>
  <si>
    <t>-519.201965932694 177.330073690633 -459.857997149948</t>
  </si>
  <si>
    <t>-330.695219443831 69.7237222353501 -316.581621199366</t>
  </si>
  <si>
    <t>-719.3309817626 56.053859669712 -763.791924829719</t>
  </si>
  <si>
    <t>-603.415585823813 218.923571774599 -246.845207431441</t>
  </si>
  <si>
    <t>-598.651637775052 197.393118633916 208.315582158784</t>
  </si>
  <si>
    <t>-626.260822465689 169.030873008677 676.835094935485</t>
  </si>
  <si>
    <t>-493.359595887684 93.025679424926 763.460642584508</t>
  </si>
  <si>
    <t>-666.925035619103 33.7749685439994 -213.973732245165</t>
  </si>
  <si>
    <t>-604.295970242834 -7.30715918790452 235.523190637401</t>
  </si>
  <si>
    <t>-767.563969203944 105.93566865757 660.484145430191</t>
  </si>
  <si>
    <t>-678.073238844764 -16.3990542225984 749.754134998805</t>
  </si>
  <si>
    <t>9763-20170724T160621.524583400.bin</t>
  </si>
  <si>
    <t>-635.123751477341 126.236014782503 -230.924638952479</t>
  </si>
  <si>
    <t>-675.644778446371 118.691962804281 -344.80598306093</t>
  </si>
  <si>
    <t>-696.382185678614 110.065333773478 -463.9113166403</t>
  </si>
  <si>
    <t>-706.822097802904 101.588034114708 -572.603493101068</t>
  </si>
  <si>
    <t>-709.003879303027 92.3552074673141 -681.712891149461</t>
  </si>
  <si>
    <t>-703.42303166832 78.6300547042501 -833.305954391956</t>
  </si>
  <si>
    <t>-670.095150653024 59.1297722606287 -927.603196625146</t>
  </si>
  <si>
    <t>-692.471771959076 113.448309507212 -768.339268695449</t>
  </si>
  <si>
    <t>-611.703599805843 235.811948730999 -757.10183773234</t>
  </si>
  <si>
    <t>-518.628007544526 177.177584532313 -460.310394638149</t>
  </si>
  <si>
    <t>-330.544582159535 69.0406702639061 -316.877129105182</t>
  </si>
  <si>
    <t>-719.312972836847 55.9577379872351 -764.122173772733</t>
  </si>
  <si>
    <t>-603.089379737372 219.17463508451 -247.07691846154</t>
  </si>
  <si>
    <t>-598.691817909194 197.506948629845 208.081146750262</t>
  </si>
  <si>
    <t>-626.238499474493 169.13708199286 676.672474251195</t>
  </si>
  <si>
    <t>-493.44453147602 92.919913357726 763.276271361354</t>
  </si>
  <si>
    <t>-666.994375839973 33.3720434254692 -214.254768906963</t>
  </si>
  <si>
    <t>-605.211926251493 -8.7642335290293 235.261794039381</t>
  </si>
  <si>
    <t>-767.534546619224 104.585000247417 660.549842672956</t>
  </si>
  <si>
    <t>-677.882493668802 -16.5828564326882 751.238134160896</t>
  </si>
  <si>
    <t>9763-20170724T160621.593768700.bin</t>
  </si>
  <si>
    <t>-634.683850533322 126.46714062347 -230.920238792427</t>
  </si>
  <si>
    <t>-675.097050148726 119.079872002641 -344.850108771761</t>
  </si>
  <si>
    <t>-695.8772675525 110.545105654516 -463.954600673306</t>
  </si>
  <si>
    <t>-706.420106757138 102.130997169423 -572.641790894913</t>
  </si>
  <si>
    <t>-708.768955369361 92.9465164163821 -681.751785224084</t>
  </si>
  <si>
    <t>-703.486963213321 79.2766517673535 -833.360558195504</t>
  </si>
  <si>
    <t>-670.253314492708 59.6243151101455 -927.659592783389</t>
  </si>
  <si>
    <t>-692.361092990134 114.04964972686 -768.399235547235</t>
  </si>
  <si>
    <t>-611.330905241252 236.253670114441 -757.16877394677</t>
  </si>
  <si>
    <t>-517.737007346154 177.602531159491 -460.543726697731</t>
  </si>
  <si>
    <t>-329.832021814206 69.2607392363404 -317.031291794103</t>
  </si>
  <si>
    <t>-719.287051365042 56.6006584413024 -764.157468357177</t>
  </si>
  <si>
    <t>-602.221493934257 219.768172114346 -247.133341301086</t>
  </si>
  <si>
    <t>-598.511674053175 197.843598728559 208.018555419776</t>
  </si>
  <si>
    <t>-626.211345800989 169.205369045802 676.51630722543</t>
  </si>
  <si>
    <t>-493.541381691806 92.7655792576286 763.113933098318</t>
  </si>
  <si>
    <t>-666.966785657133 33.4147816993921 -213.989749389028</t>
  </si>
  <si>
    <t>-606.051954245679 -10.169858186679 235.507205572425</t>
  </si>
  <si>
    <t>-767.393914424852 103.512871737953 661.435624993048</t>
  </si>
  <si>
    <t>-677.777269915692 -16.5624691169512 753.600055098072</t>
  </si>
  <si>
    <t>9763-20170724T160621.626357600.bin</t>
  </si>
  <si>
    <t>-634.374293042041 126.762962970678 -230.754761073842</t>
  </si>
  <si>
    <t>-674.819499314427 119.44738628156 -344.677809768769</t>
  </si>
  <si>
    <t>-695.662740085526 110.946155455239 -463.773831646501</t>
  </si>
  <si>
    <t>-706.275295161372 102.548093535743 -572.455434301225</t>
  </si>
  <si>
    <t>-708.706824214999 93.3659199882277 -681.563817706406</t>
  </si>
  <si>
    <t>-703.553007292016 79.6857896730551 -833.176169628734</t>
  </si>
  <si>
    <t>-670.36084136045 59.9473048226148 -927.471651637698</t>
  </si>
  <si>
    <t>-692.335621745471 114.44631315645 -768.22384928116</t>
  </si>
  <si>
    <t>-611.166913553384 236.555406454048 -757.002874874693</t>
  </si>
  <si>
    <t>-517.530760817526 177.865281624784 -460.398878818026</t>
  </si>
  <si>
    <t>-329.804411753088 68.9795578545545 -317.064368089922</t>
  </si>
  <si>
    <t>-719.331207502913 57.0313241300835 -763.960930222506</t>
  </si>
  <si>
    <t>-601.760539316007 220.054510120847 -247.039022246681</t>
  </si>
  <si>
    <t>-598.231956668714 197.997239360346 208.107907230101</t>
  </si>
  <si>
    <t>-626.212292590069 169.149054783766 676.499471889666</t>
  </si>
  <si>
    <t>-493.53485661512 92.7389998821602 763.111874061448</t>
  </si>
  <si>
    <t>-666.807268390598 33.7147104909338 -213.695665079355</t>
  </si>
  <si>
    <t>-605.865798996333 -10.3297696724046 235.752693481982</t>
  </si>
  <si>
    <t>-767.140242197117 103.266983911116 661.732672648227</t>
  </si>
  <si>
    <t>-677.752906520899 -16.5660037279802 754.433588839494</t>
  </si>
  <si>
    <t>9763-20170724T160621.689894300.bin</t>
  </si>
  <si>
    <t>-633.569265701119 127.704844446833 -230.220269834451</t>
  </si>
  <si>
    <t>-674.072996214865 120.431343054359 -344.125195335888</t>
  </si>
  <si>
    <t>-695.020063280595 111.94709469865 -463.204197374152</t>
  </si>
  <si>
    <t>-705.745475182537 103.549993764742 -571.874793484202</t>
  </si>
  <si>
    <t>-708.308864658359 94.3523036688039 -680.978801472015</t>
  </si>
  <si>
    <t>-703.358147731663 80.6314001866826 -832.594301880729</t>
  </si>
  <si>
    <t>-670.251069121824 60.7545975091305 -926.890764954002</t>
  </si>
  <si>
    <t>-691.980115438251 115.374965077738 -767.660865221824</t>
  </si>
  <si>
    <t>-610.465776210757 237.258700011746 -756.473712924042</t>
  </si>
  <si>
    <t>-517.127668559846 178.416008340907 -459.805972389649</t>
  </si>
  <si>
    <t>-329.804467552121 68.3566390231279 -316.840840441258</t>
  </si>
  <si>
    <t>-719.117267038347 58.0299744792696 -763.357443064313</t>
  </si>
  <si>
    <t>-600.856739958405 220.867692995137 -246.691411159274</t>
  </si>
  <si>
    <t>-597.631413417233 198.423219453192 208.438912963949</t>
  </si>
  <si>
    <t>-626.170794756072 169.114675913485 676.561463687867</t>
  </si>
  <si>
    <t>-493.610502940697 92.5915161983708 763.253389458324</t>
  </si>
  <si>
    <t>-666.110331164033 34.7236112947776 -212.957372990266</t>
  </si>
  <si>
    <t>-604.996427226756 -9.8091939056053 236.419540698592</t>
  </si>
  <si>
    <t>-766.835391840345 103.483752682172 662.589438090241</t>
  </si>
  <si>
    <t>-677.674312243345 -16.3718479170357 755.478834745178</t>
  </si>
  <si>
    <t>9763-20170724T160621.726995700.bin</t>
  </si>
  <si>
    <t>-633.156374832153 128.155377032609 -229.9358443401</t>
  </si>
  <si>
    <t>-673.638348636769 120.864291785746 -343.847454234467</t>
  </si>
  <si>
    <t>-694.592798764373 112.332651084846 -462.921742447258</t>
  </si>
  <si>
    <t>-705.337801493975 103.878074615117 -571.585852378882</t>
  </si>
  <si>
    <t>-707.934144882703 94.6068763293904 -680.68288239997</t>
  </si>
  <si>
    <t>-703.043342427984 80.7659994778448 -832.289450636817</t>
  </si>
  <si>
    <t>-669.957713256131 60.8166324592203 -926.578016786916</t>
  </si>
  <si>
    <t>-691.610136256587 115.54719781907 -767.385862641633</t>
  </si>
  <si>
    <t>-610.039511940351 237.372667382133 -756.241895922585</t>
  </si>
  <si>
    <t>-516.827802105626 178.469911052764 -459.546401996926</t>
  </si>
  <si>
    <t>-329.511952080355 68.1929470558782 -316.739423973806</t>
  </si>
  <si>
    <t>-718.80459500695 58.233131449733 -763.030609959104</t>
  </si>
  <si>
    <t>-600.418096667265 221.268619846027 -246.482426851501</t>
  </si>
  <si>
    <t>-597.376662931754 198.675610744575 208.641698928711</t>
  </si>
  <si>
    <t>-626.184842708184 169.033343408433 676.645908349016</t>
  </si>
  <si>
    <t>-493.592622808878 92.5681701759308 763.340142414458</t>
  </si>
  <si>
    <t>-665.755280024064 35.1469325848557 -212.638739405654</t>
  </si>
  <si>
    <t>-604.608622027162 -9.58442380199017 236.71395845285</t>
  </si>
  <si>
    <t>-766.723623354518 103.472470917081 662.757999469646</t>
  </si>
  <si>
    <t>-677.631253539989 -16.3103003562003 755.807182958657</t>
  </si>
  <si>
    <t>9763-20170724T160621.788158900.bin</t>
  </si>
  <si>
    <t>-632.28000111746 128.857722271015 -229.546937344584</t>
  </si>
  <si>
    <t>-672.743315045567 121.568034205357 -343.46534242751</t>
  </si>
  <si>
    <t>-693.713507353969 113.09866096175 -462.541211561283</t>
  </si>
  <si>
    <t>-704.487354918441 104.714688647227 -571.208114265773</t>
  </si>
  <si>
    <t>-707.127293206257 95.5226110490617 -680.310684092241</t>
  </si>
  <si>
    <t>-702.313039590456 81.7946974239967 -831.929919863861</t>
  </si>
  <si>
    <t>-669.181915661856 61.7758397497762 -926.187834003581</t>
  </si>
  <si>
    <t>-690.738528914306 116.476361711189 -766.998172081576</t>
  </si>
  <si>
    <t>-608.651717392219 237.987307258486 -755.869817787665</t>
  </si>
  <si>
    <t>-515.843544065149 178.919530128195 -459.08056463702</t>
  </si>
  <si>
    <t>-328.694948857707 68.2674373939331 -316.344722312991</t>
  </si>
  <si>
    <t>-718.147848461225 59.2614069782196 -762.688047620277</t>
  </si>
  <si>
    <t>-599.552609066215 221.94768769659 -246.162825382192</t>
  </si>
  <si>
    <t>-596.877016791334 199.055325699082 208.94852493829</t>
  </si>
  <si>
    <t>-626.192013900294 168.987066829846 676.778679205413</t>
  </si>
  <si>
    <t>-493.642566204387 92.4706730628184 763.493116786069</t>
  </si>
  <si>
    <t>-664.882795908261 35.7923355224243 -212.241097722349</t>
  </si>
  <si>
    <t>-603.798225724518 -9.28530350896608 237.085446632697</t>
  </si>
  <si>
    <t>-766.427079013701 103.496155254367 663.043608233821</t>
  </si>
  <si>
    <t>-677.553378656053 -16.2100130637898 756.39999108395</t>
  </si>
  <si>
    <t>9763-20170724T160621.824760900.bin</t>
  </si>
  <si>
    <t>-631.935879993282 129.121214974045 -229.404176188572</t>
  </si>
  <si>
    <t>-672.369910125881 121.839281805678 -343.333262873866</t>
  </si>
  <si>
    <t>-693.384285806334 113.393139983629 -462.40314583384</t>
  </si>
  <si>
    <t>-704.228768661369 105.034397532479 -571.064897391533</t>
  </si>
  <si>
    <t>-706.970220644049 95.8704710236129 -680.167417474739</t>
  </si>
  <si>
    <t>-702.329141108402 82.1834557516092 -831.795651367068</t>
  </si>
  <si>
    <t>-669.222734528769 62.0853791347788 -926.045514122359</t>
  </si>
  <si>
    <t>-690.632220847576 116.824585991313 -766.864259005742</t>
  </si>
  <si>
    <t>-608.300275399001 238.174946720308 -755.780503308105</t>
  </si>
  <si>
    <t>-515.597457259448 179.019462357931 -458.975897528645</t>
  </si>
  <si>
    <t>-328.761892041397 68.0497401750822 -316.076456270828</t>
  </si>
  <si>
    <t>-718.133214467853 59.6543840608833 -762.545425957151</t>
  </si>
  <si>
    <t>-599.141874235588 222.158561690251 -246.061243846126</t>
  </si>
  <si>
    <t>-596.611018855702 199.143588170843 209.044900502219</t>
  </si>
  <si>
    <t>-626.180796350164 168.993117589974 676.828806523351</t>
  </si>
  <si>
    <t>-493.681018949932 92.4055729418424 763.556368968784</t>
  </si>
  <si>
    <t>-664.586073056772 36.1356886811939 -212.098874285432</t>
  </si>
  <si>
    <t>-603.55839611816 -9.10631310239773 237.218947688352</t>
  </si>
  <si>
    <t>-766.310337465919 103.515125987684 663.147165657701</t>
  </si>
  <si>
    <t>-677.501941522915 -16.12391583201 756.651618540931</t>
  </si>
  <si>
    <t>9763-20170724T160621.894955100.bin</t>
  </si>
  <si>
    <t>-631.306276721358 129.455272295006 -229.262727725895</t>
  </si>
  <si>
    <t>-671.791281016979 122.27672382431 -343.180522251982</t>
  </si>
  <si>
    <t>-692.885216493578 113.834921470965 -462.236490464862</t>
  </si>
  <si>
    <t>-703.814271365265 105.440774592598 -570.887091696959</t>
  </si>
  <si>
    <t>-706.653351081251 96.2030212612797 -679.980977077121</t>
  </si>
  <si>
    <t>-702.161486212498 82.3746149203921 -831.6009119147</t>
  </si>
  <si>
    <t>-669.083172241714 62.0966497329366 -925.821942785223</t>
  </si>
  <si>
    <t>-690.350489338198 117.052488042282 -766.70959082159</t>
  </si>
  <si>
    <t>-607.828765726086 238.253994556968 -755.708616880401</t>
  </si>
  <si>
    <t>-515.375271819146 178.862700662239 -458.873292369221</t>
  </si>
  <si>
    <t>-328.953480519689 67.2464290245207 -315.936889162786</t>
  </si>
  <si>
    <t>-717.947457769436 59.9340770983799 -762.317803435273</t>
  </si>
  <si>
    <t>-598.32388898716 222.481707585079 -245.937046758378</t>
  </si>
  <si>
    <t>-596.040111237614 199.173013515768 209.15545580209</t>
  </si>
  <si>
    <t>-626.17516537234 168.928851833321 676.870124234578</t>
  </si>
  <si>
    <t>-493.747163602697 92.2787368550626 763.652011179633</t>
  </si>
  <si>
    <t>-664.131516983803 36.5193097132994 -211.985447021614</t>
  </si>
  <si>
    <t>-603.289409443711 -9.11819046927485 237.317480180983</t>
  </si>
  <si>
    <t>-766.059174841386 103.378520345012 663.245860787197</t>
  </si>
  <si>
    <t>-677.412539811068 -16.0401322115708 757.184561831609</t>
  </si>
  <si>
    <t>9763-20170724T160621.924533000.bin</t>
  </si>
  <si>
    <t>-631.051849787544 129.624380390951 -229.24342941875</t>
  </si>
  <si>
    <t>-671.585243878816 122.499590465658 -343.147344432065</t>
  </si>
  <si>
    <t>-692.683346633255 114.058119733085 -462.202686400887</t>
  </si>
  <si>
    <t>-703.597875156185 105.643719935215 -570.853178620011</t>
  </si>
  <si>
    <t>-706.404194765724 96.3660018865792 -679.944300744761</t>
  </si>
  <si>
    <t>-701.848417522009 82.4618906806443 -831.555457129444</t>
  </si>
  <si>
    <t>-668.738240655105 62.1367881015467 -925.755191119157</t>
  </si>
  <si>
    <t>-690.067000447059 117.173199424952 -766.676747703823</t>
  </si>
  <si>
    <t>-607.543239414215 238.39549815328 -755.710563263473</t>
  </si>
  <si>
    <t>-515.277011257577 179.02874262636 -458.812113476124</t>
  </si>
  <si>
    <t>-328.956550002742 67.1885029028804 -315.918873346562</t>
  </si>
  <si>
    <t>-717.661418847545 60.0548565714391 -762.267701359568</t>
  </si>
  <si>
    <t>-598.038225458532 222.631369409929 -245.897533321302</t>
  </si>
  <si>
    <t>-595.779514688518 199.133577682442 209.185310968864</t>
  </si>
  <si>
    <t>-626.179810774171 168.850183107302 676.883531699757</t>
  </si>
  <si>
    <t>-493.722054763616 92.2800441429617 763.690602687648</t>
  </si>
  <si>
    <t>-663.923885548915 36.7058266406025 -211.949116091645</t>
  </si>
  <si>
    <t>-603.229008721305 -9.10577541207135 237.356058329919</t>
  </si>
  <si>
    <t>-765.958640877021 103.385971956796 663.366004211921</t>
  </si>
  <si>
    <t>-677.388150303656 -15.9982020912757 757.420255804101</t>
  </si>
  <si>
    <t>9763-20170724T160621.991239400.bin</t>
  </si>
  <si>
    <t>-630.682155914135 129.992163835851 -229.203868721344</t>
  </si>
  <si>
    <t>-671.145706077048 122.909119292342 -343.13519085865</t>
  </si>
  <si>
    <t>-692.131175303394 114.400579051364 -462.205660229145</t>
  </si>
  <si>
    <t>-702.92818181066 105.880787185967 -570.859518823296</t>
  </si>
  <si>
    <t>-705.602617665207 96.4526028269772 -679.941312861401</t>
  </si>
  <si>
    <t>-700.85000117893 82.2921434424659 -831.522666163957</t>
  </si>
  <si>
    <t>-667.583163683229 61.9150048498896 -925.655861059431</t>
  </si>
  <si>
    <t>-689.155901435077 117.114518756333 -766.687602251569</t>
  </si>
  <si>
    <t>-606.732305234534 238.400417199688 -755.817215340211</t>
  </si>
  <si>
    <t>-514.643282030589 179.497410096445 -458.771290427188</t>
  </si>
  <si>
    <t>-328.59746267485 67.3852641788887 -315.733281219673</t>
  </si>
  <si>
    <t>-716.749904408805 60.000854928606 -762.217471888069</t>
  </si>
  <si>
    <t>-597.651267980252 222.984030059718 -245.808601125719</t>
  </si>
  <si>
    <t>-595.495288734381 199.187253620072 209.259229329263</t>
  </si>
  <si>
    <t>-626.187198384194 168.785307523621 676.921409402849</t>
  </si>
  <si>
    <t>-493.744436792818 92.2155711876596 763.751735472072</t>
  </si>
  <si>
    <t>-663.493117725561 37.1221437652473 -211.887643874303</t>
  </si>
  <si>
    <t>-603.217976330913 -8.68401400954417 237.474583280134</t>
  </si>
  <si>
    <t>-765.929947081276 103.517937819448 663.685117166222</t>
  </si>
  <si>
    <t>-677.333140937413 -15.840348691916 757.747423748882</t>
  </si>
  <si>
    <t>9763-20170724T160622.029886900.bin</t>
  </si>
  <si>
    <t>-630.51210436636 130.222292456504 -229.150672677004</t>
  </si>
  <si>
    <t>-670.917688579337 123.154618362536 -343.103455775655</t>
  </si>
  <si>
    <t>-691.857642270145 114.622348855219 -462.180312259029</t>
  </si>
  <si>
    <t>-702.619749961354 106.063972472753 -570.834692733448</t>
  </si>
  <si>
    <t>-705.266403200584 96.579050098032 -679.912162667773</t>
  </si>
  <si>
    <t>-700.482842532589 82.3205198446894 -831.48328388587</t>
  </si>
  <si>
    <t>-667.146931359893 61.9279021135073 -925.588824485281</t>
  </si>
  <si>
    <t>-688.802519634497 117.185153430852 -766.668685722905</t>
  </si>
  <si>
    <t>-606.347001645177 238.47718758129 -755.878248690472</t>
  </si>
  <si>
    <t>-514.430166790502 179.908516470785 -458.713020896921</t>
  </si>
  <si>
    <t>-328.609261561048 67.5503724027285 -315.575620463539</t>
  </si>
  <si>
    <t>-716.396317044439 60.0738070155232 -762.166974195296</t>
  </si>
  <si>
    <t>-597.532029843636 223.211071871013 -245.734860461702</t>
  </si>
  <si>
    <t>-595.497780101384 199.359383375414 209.330622272957</t>
  </si>
  <si>
    <t>-626.207302420429 168.772756277716 676.964922061974</t>
  </si>
  <si>
    <t>-493.7665723468 92.1807423999578 763.778665963284</t>
  </si>
  <si>
    <t>-663.301890617299 37.362496883155 -211.836353717759</t>
  </si>
  <si>
    <t>-603.20891604398 -8.51757564310151 237.542656990793</t>
  </si>
  <si>
    <t>-765.944194311124 103.523953972972 663.771269851031</t>
  </si>
  <si>
    <t>-677.279711447102 -15.7806341822065 757.837945611688</t>
  </si>
  <si>
    <t>9763-20170724T160622.091025200.bin</t>
  </si>
  <si>
    <t>-630.276584448146 130.757664935667 -228.988211486988</t>
  </si>
  <si>
    <t>-670.608191881551 123.674428450101 -342.966169663247</t>
  </si>
  <si>
    <t>-691.412869061609 115.005605870728 -462.056881959675</t>
  </si>
  <si>
    <t>-702.02948297637 106.272765097105 -570.711720743112</t>
  </si>
  <si>
    <t>-704.509237812232 96.5608735450267 -679.773109427689</t>
  </si>
  <si>
    <t>-699.473345573219 81.9309401886992 -831.30072883694</t>
  </si>
  <si>
    <t>-665.979415253457 61.453741294951 -925.331652443683</t>
  </si>
  <si>
    <t>-687.911521256933 116.959469741377 -766.553068558189</t>
  </si>
  <si>
    <t>-605.5504352219 238.302708265061 -755.90524434311</t>
  </si>
  <si>
    <t>-513.9170466894 180.336814686122 -458.534309225005</t>
  </si>
  <si>
    <t>-328.500704502177 67.4764942210159 -315.267514405461</t>
  </si>
  <si>
    <t>-715.491554785261 59.8490736332233 -761.955704601729</t>
  </si>
  <si>
    <t>-597.372115820985 223.755606623279 -245.579144672516</t>
  </si>
  <si>
    <t>-595.554896643157 199.785030595593 209.481001494859</t>
  </si>
  <si>
    <t>-626.247936920284 168.724903242152 677.042651543032</t>
  </si>
  <si>
    <t>-493.812584860659 92.08960515943 763.826439924032</t>
  </si>
  <si>
    <t>-663.031475401035 37.8570794159205 -211.724515811432</t>
  </si>
  <si>
    <t>-603.098174614268 -8.13726187513953 237.664146749804</t>
  </si>
  <si>
    <t>-765.929013418451 103.681458730834 663.984903723557</t>
  </si>
  <si>
    <t>-677.226376621372 -15.6636825642715 757.964102025705</t>
  </si>
  <si>
    <t>9763-20170724T160622.127622300.bin</t>
  </si>
  <si>
    <t>-630.174295227887 131.081957400115 -228.920834482275</t>
  </si>
  <si>
    <t>-670.474562090837 124.005504728087 -342.910377691532</t>
  </si>
  <si>
    <t>-691.205675913635 115.297286491596 -462.011007057905</t>
  </si>
  <si>
    <t>-701.739318033477 106.509716419047 -570.669608279446</t>
  </si>
  <si>
    <t>-704.119998241437 96.7241884406474 -679.726552191526</t>
  </si>
  <si>
    <t>-698.930465284637 81.972040983035 -831.237007687012</t>
  </si>
  <si>
    <t>-665.331793873275 61.4587731260749 -925.22281566984</t>
  </si>
  <si>
    <t>-687.439448386174 117.055163322745 -766.506410944629</t>
  </si>
  <si>
    <t>-605.109240632013 238.435792628567 -755.900817419513</t>
  </si>
  <si>
    <t>-513.693126826533 180.764150552412 -458.405826179398</t>
  </si>
  <si>
    <t>-328.405346569321 67.7568356962283 -315.088553767834</t>
  </si>
  <si>
    <t>-715.013970138147 59.9435626772135 -761.890149917087</t>
  </si>
  <si>
    <t>-597.306095284358 224.045036829864 -245.50677802824</t>
  </si>
  <si>
    <t>-595.530564549681 199.984551444856 209.548894675364</t>
  </si>
  <si>
    <t>-626.264950250053 168.71716774375 677.078645954268</t>
  </si>
  <si>
    <t>-493.804135637859 92.1106606181654 763.848984460129</t>
  </si>
  <si>
    <t>-662.865204726359 38.2204081516777 -211.645299156275</t>
  </si>
  <si>
    <t>-603.027679586775 -7.98478521569223 237.734446592668</t>
  </si>
  <si>
    <t>-765.935611926607 103.762425439801 664.035107617315</t>
  </si>
  <si>
    <t>-677.240945913094 -15.6157947853608 757.979863977933</t>
  </si>
  <si>
    <t>9763-20170724T160622.191125500.bin</t>
  </si>
  <si>
    <t>-629.942546495729 131.588874204467 -228.78070018149</t>
  </si>
  <si>
    <t>-670.296819730852 124.543341537186 -342.753166458529</t>
  </si>
  <si>
    <t>-690.92214923981 115.757357105396 -461.866345688625</t>
  </si>
  <si>
    <t>-701.294704305259 106.856181054406 -570.531101209849</t>
  </si>
  <si>
    <t>-703.449436306703 96.9146636925102 -679.578692339839</t>
  </si>
  <si>
    <t>-697.879636223629 81.9024066864506 -831.050145347582</t>
  </si>
  <si>
    <t>-664.019431878678 61.2637104936684 -924.914595008191</t>
  </si>
  <si>
    <t>-686.556584071948 117.099322290746 -766.35176780019</t>
  </si>
  <si>
    <t>-604.29572588884 238.530636349736 -755.813409804818</t>
  </si>
  <si>
    <t>-513.604845182776 181.482247352799 -457.97644807759</t>
  </si>
  <si>
    <t>-328.618045011992 68.3328771478966 -314.382745661932</t>
  </si>
  <si>
    <t>-714.131707245228 59.990297895203 -761.705736446662</t>
  </si>
  <si>
    <t>-597.071890759251 224.460119266641 -245.387152264419</t>
  </si>
  <si>
    <t>-595.403236159989 200.299690709762 209.663576304112</t>
  </si>
  <si>
    <t>-626.308750528984 168.622590176125 677.141277338071</t>
  </si>
  <si>
    <t>-493.847688480745 91.998461149713 763.895634566792</t>
  </si>
  <si>
    <t>-662.643833914753 38.7914738326549 -211.46525428084</t>
  </si>
  <si>
    <t>-602.651099191454 -7.89203387541806 237.844442635065</t>
  </si>
  <si>
    <t>-765.859082689871 103.882311125807 664.037020963291</t>
  </si>
  <si>
    <t>-677.105398087775 -15.4831880352954 757.94215453807</t>
  </si>
  <si>
    <t>9763-20170724T160622.224217200.bin</t>
  </si>
  <si>
    <t>-629.817231192502 131.824938880574 -228.669638158661</t>
  </si>
  <si>
    <t>-670.216225324115 124.798622483952 -342.62732659849</t>
  </si>
  <si>
    <t>-690.790935173519 115.992868703917 -461.7479010495</t>
  </si>
  <si>
    <t>-701.078201319059 107.057558443041 -570.417858014591</t>
  </si>
  <si>
    <t>-703.108320970068 97.065520537363 -679.463316301209</t>
  </si>
  <si>
    <t>-697.325195484713 81.9656914861025 -830.918092991835</t>
  </si>
  <si>
    <t>-663.339735063638 61.2678085153507 -924.724139588595</t>
  </si>
  <si>
    <t>-686.090305748124 117.19864103062 -766.223867919379</t>
  </si>
  <si>
    <t>-603.801971212785 238.625624414913 -755.697360598838</t>
  </si>
  <si>
    <t>-513.636936239241 181.782599660594 -457.661566913293</t>
  </si>
  <si>
    <t>-328.837115269495 68.5817617737305 -313.867761397068</t>
  </si>
  <si>
    <t>-713.677797025033 60.0951495635609 -761.584259428386</t>
  </si>
  <si>
    <t>-596.953326802015 224.66524360414 -245.319939496234</t>
  </si>
  <si>
    <t>-595.302820946398 200.458872968029 209.728390622488</t>
  </si>
  <si>
    <t>-626.320328195211 168.558165197908 677.163826898911</t>
  </si>
  <si>
    <t>-493.857418724109 91.9436213044762 763.923822820548</t>
  </si>
  <si>
    <t>-662.493906702435 39.0675325535508 -211.329332018755</t>
  </si>
  <si>
    <t>-602.345879800127 -7.80987036826377 237.939474412138</t>
  </si>
  <si>
    <t>-765.83125800188 104.059135941547 664.053778078741</t>
  </si>
  <si>
    <t>-677.106845397213 -15.407354305627 757.858114467558</t>
  </si>
  <si>
    <t>9763-20170724T160622.295409200.bin</t>
  </si>
  <si>
    <t>-629.593999653544 132.253415494977 -228.471210195996</t>
  </si>
  <si>
    <t>-670.0898350713 125.212948334266 -342.393707661456</t>
  </si>
  <si>
    <t>-690.585179411803 116.341042176761 -461.523015646444</t>
  </si>
  <si>
    <t>-700.727081015871 107.325431160935 -570.200123668582</t>
  </si>
  <si>
    <t>-702.538296252338 97.2330796559961 -679.240030199777</t>
  </si>
  <si>
    <t>-696.375418122477 81.9732857481788 -830.663851511565</t>
  </si>
  <si>
    <t>-662.150741088748 61.1795412232484 -924.361677354072</t>
  </si>
  <si>
    <t>-685.316166293103 117.280797544262 -765.980093364577</t>
  </si>
  <si>
    <t>-603.159955505201 238.76904446385 -755.428838825735</t>
  </si>
  <si>
    <t>-513.744803315966 182.393739286689 -457.078550060877</t>
  </si>
  <si>
    <t>-329.299926343939 69.1239489144737 -312.88383309011</t>
  </si>
  <si>
    <t>-712.88855460975 60.1696003539091 -761.346811371533</t>
  </si>
  <si>
    <t>-596.777891766057 225.026233666329 -245.206836340471</t>
  </si>
  <si>
    <t>-595.139979131694 200.748511735388 209.837810963504</t>
  </si>
  <si>
    <t>-626.314416067933 168.501636912335 677.190513247941</t>
  </si>
  <si>
    <t>-493.868738578966 91.8955015591705 763.984276755762</t>
  </si>
  <si>
    <t>-662.271650901496 39.5445272371319 -211.078600137455</t>
  </si>
  <si>
    <t>-601.599945836579 -7.7093483746753 238.080237662641</t>
  </si>
  <si>
    <t>-765.778134306123 104.225277048164 663.885456628675</t>
  </si>
  <si>
    <t>-677.085068512732 -15.3236704181384 757.614293012274</t>
  </si>
  <si>
    <t>9763-20170724T160622.321989900.bin</t>
  </si>
  <si>
    <t>-629.426107402758 132.441288631007 -228.440976839177</t>
  </si>
  <si>
    <t>-669.937626759782 125.374515196999 -342.356175016812</t>
  </si>
  <si>
    <t>-690.370391316124 116.478812857985 -461.494419646819</t>
  </si>
  <si>
    <t>-700.422911520762 107.442446993817 -570.178176183205</t>
  </si>
  <si>
    <t>-702.112351601188 97.3293711654453 -679.218166478964</t>
  </si>
  <si>
    <t>-695.746453068713 82.041118723808 -830.630670823192</t>
  </si>
  <si>
    <t>-661.3865859868 61.2436180358673 -924.278147323319</t>
  </si>
  <si>
    <t>-684.786675362863 117.366849101506 -765.939971762451</t>
  </si>
  <si>
    <t>-602.678621418963 238.899718411045 -755.354524016391</t>
  </si>
  <si>
    <t>-513.689052189568 182.659441816785 -456.851541435079</t>
  </si>
  <si>
    <t>-329.336751950523 69.3708236372668 -312.553307968632</t>
  </si>
  <si>
    <t>-712.339826303153 60.244341104612 -761.330666812954</t>
  </si>
  <si>
    <t>-596.672145071034 225.199634227158 -245.182753018694</t>
  </si>
  <si>
    <t>-595.100365950437 200.894788861367 209.860529865913</t>
  </si>
  <si>
    <t>-626.308803646417 168.50358716599 677.207458887826</t>
  </si>
  <si>
    <t>-493.879276283807 91.8708867880962 764.00236841413</t>
  </si>
  <si>
    <t>-662.041730003216 39.7367094635349 -211.058397913322</t>
  </si>
  <si>
    <t>-601.335138238021 -7.5745954489978 238.089748711777</t>
  </si>
  <si>
    <t>-765.765641469486 104.364299212285 663.857961297048</t>
  </si>
  <si>
    <t>-677.036086040349 -15.2492788395271 757.469737778023</t>
  </si>
  <si>
    <t>9763-20170724T160622.393231000.bin</t>
  </si>
  <si>
    <t>-629.087123857872 132.95049411703 -228.309166163194</t>
  </si>
  <si>
    <t>-669.560212910583 125.870185393784 -342.237167246483</t>
  </si>
  <si>
    <t>-689.881387170619 116.931322488996 -461.39145303857</t>
  </si>
  <si>
    <t>-699.803219680294 107.84503901477 -570.08295604968</t>
  </si>
  <si>
    <t>-701.332963495394 97.6712963615612 -679.119592467048</t>
  </si>
  <si>
    <t>-694.71534287323 82.2884228922303 -830.511702842016</t>
  </si>
  <si>
    <t>-660.090185147391 61.4736938177496 -924.057699085354</t>
  </si>
  <si>
    <t>-683.917911125868 117.680710597926 -765.830029206308</t>
  </si>
  <si>
    <t>-602.064767996719 239.381450088502 -755.222422601445</t>
  </si>
  <si>
    <t>-513.625737608027 183.341351909749 -456.518152452023</t>
  </si>
  <si>
    <t>-329.429767837889 70.0360549365648 -312.033587673606</t>
  </si>
  <si>
    <t>-711.368961270096 60.5090224021917 -761.220769872523</t>
  </si>
  <si>
    <t>-596.484612947813 225.601071809418 -245.044302304534</t>
  </si>
  <si>
    <t>-595.003771023055 201.227633823691 209.995707601203</t>
  </si>
  <si>
    <t>-626.3430043762 168.457554759915 677.288760181613</t>
  </si>
  <si>
    <t>-493.897353260597 91.8355669567341 764.068551499926</t>
  </si>
  <si>
    <t>-661.554502724397 40.4468444013046 -210.87295489765</t>
  </si>
  <si>
    <t>-601.139499822061 -6.90935229724209 238.309751983369</t>
  </si>
  <si>
    <t>-765.919341251056 105.221273048658 664.243448071687</t>
  </si>
  <si>
    <t>-677.142299736136 -15.0887928945447 756.912961789429</t>
  </si>
  <si>
    <t>9763-20170724T160622.429830900.bin</t>
  </si>
  <si>
    <t>-628.932174030539 133.33578415086 -228.148228676817</t>
  </si>
  <si>
    <t>-669.384416040743 126.261354431381 -342.084127143534</t>
  </si>
  <si>
    <t>-689.651102546246 117.312499222704 -461.24667072122</t>
  </si>
  <si>
    <t>-699.510173731461 108.210784664791 -569.942678047269</t>
  </si>
  <si>
    <t>-700.963818136205 98.0153733606048 -678.97839005811</t>
  </si>
  <si>
    <t>-694.227050531596 82.5958279471351 -830.361550365012</t>
  </si>
  <si>
    <t>-659.49478494858 61.8019084647553 -923.872332716075</t>
  </si>
  <si>
    <t>-683.506786509314 118.016164600115 -765.682385737283</t>
  </si>
  <si>
    <t>-601.770776432644 239.793443711435 -755.063024583838</t>
  </si>
  <si>
    <t>-513.53049582775 183.96064135762 -456.261202325304</t>
  </si>
  <si>
    <t>-329.396751964928 70.5342338328576 -311.792277440719</t>
  </si>
  <si>
    <t>-710.908943824566 60.8208216745581 -761.075967912215</t>
  </si>
  <si>
    <t>-596.396635920199 225.818348256312 -244.915349014703</t>
  </si>
  <si>
    <t>-594.951628291145 201.381380940267 210.121415953886</t>
  </si>
  <si>
    <t>-626.356082005877 168.409583355002 677.35131081461</t>
  </si>
  <si>
    <t>-493.853487219439 91.8830006992102 764.128404139233</t>
  </si>
  <si>
    <t>-661.339148308285 40.9998449623131 -210.636605267115</t>
  </si>
  <si>
    <t>-601.198897015683 -6.35596010428117 238.583000044579</t>
  </si>
  <si>
    <t>-766.155622690711 105.924447575731 664.559395081993</t>
  </si>
  <si>
    <t>-677.234839813975 -14.92443195634 756.386193066784</t>
  </si>
  <si>
    <t>9763-20170724T160622.492003000.bin</t>
  </si>
  <si>
    <t>-628.76973247224 133.982441558894 -227.827156242353</t>
  </si>
  <si>
    <t>-669.172778548806 126.912923282617 -341.780716096176</t>
  </si>
  <si>
    <t>-689.360736859265 117.946662538069 -460.955482398479</t>
  </si>
  <si>
    <t>-699.136925385686 108.822201273356 -569.657007262899</t>
  </si>
  <si>
    <t>-700.496279734328 98.5982270061486 -678.691284738824</t>
  </si>
  <si>
    <t>-693.617020591334 83.1339172225782 -830.06342515484</t>
  </si>
  <si>
    <t>-658.764169751888 62.3507352033639 -923.531643432621</t>
  </si>
  <si>
    <t>-682.995768661924 118.591246802241 -765.388179479547</t>
  </si>
  <si>
    <t>-601.402187234715 240.475157281205 -754.771209688189</t>
  </si>
  <si>
    <t>-513.578090092007 184.944799022737 -455.790441566052</t>
  </si>
  <si>
    <t>-329.457080254124 71.3739939402856 -311.41883484089</t>
  </si>
  <si>
    <t>-710.326014952178 61.3615086959023 -760.783556922849</t>
  </si>
  <si>
    <t>-596.143237841412 226.12677703984 -244.659513176579</t>
  </si>
  <si>
    <t>-594.834380194879 201.651603136283 210.375611047417</t>
  </si>
  <si>
    <t>-626.380207659743 168.346403795995 677.483635839704</t>
  </si>
  <si>
    <t>-493.859280435382 91.8631591732751 764.270874542605</t>
  </si>
  <si>
    <t>-661.264839477028 41.9088835963491 -210.237119365964</t>
  </si>
  <si>
    <t>-601.335627795434 -5.34746579795842 239.021154260322</t>
  </si>
  <si>
    <t>-766.616776816902 107.030403511538 664.879949428502</t>
  </si>
  <si>
    <t>-677.248630911051 -14.7431460189 755.035656456106</t>
  </si>
  <si>
    <t>9763-20170724T160622.523083700.bin</t>
  </si>
  <si>
    <t>-628.573685933537 134.382700286263 -227.640346163267</t>
  </si>
  <si>
    <t>-668.949733053842 127.31858424387 -341.603900532592</t>
  </si>
  <si>
    <t>-689.096362370623 118.339436416745 -460.784683616615</t>
  </si>
  <si>
    <t>-698.829775920691 109.197099704404 -569.488488577209</t>
  </si>
  <si>
    <t>-700.140839410187 98.9502097096947 -678.521206046487</t>
  </si>
  <si>
    <t>-693.189232782327 83.4492255864109 -829.886304299122</t>
  </si>
  <si>
    <t>-658.303618429744 62.6583529085597 -923.340695749084</t>
  </si>
  <si>
    <t>-682.613225705018 118.928972623547 -765.216011792932</t>
  </si>
  <si>
    <t>-601.065137547017 240.835137465054 -754.613879182734</t>
  </si>
  <si>
    <t>-513.319293185724 185.510855917581 -455.571873298955</t>
  </si>
  <si>
    <t>-329.250835568405 71.9000550232488 -311.16470933235</t>
  </si>
  <si>
    <t>-709.917003404211 61.6868585151517 -760.607857829494</t>
  </si>
  <si>
    <t>-595.925675898848 226.320254355856 -244.519722995349</t>
  </si>
  <si>
    <t>-594.739598840395 201.887155613487 210.51793125226</t>
  </si>
  <si>
    <t>-626.399476800075 168.314434380674 677.561063367078</t>
  </si>
  <si>
    <t>-493.856990403097 91.8754353075201 764.354395110261</t>
  </si>
  <si>
    <t>-661.011963658734 42.560519800368 -210.011330884772</t>
  </si>
  <si>
    <t>-601.250199306577 -4.78816495045635 239.259446397722</t>
  </si>
  <si>
    <t>-766.778612687365 107.92007636448 665.130828421185</t>
  </si>
  <si>
    <t>-677.316932572603 -14.581822073734 754.200447491965</t>
  </si>
  <si>
    <t>9763-20170724T160622.591875500.bin</t>
  </si>
  <si>
    <t>-628.086407701462 135.305532658007 -227.371210548503</t>
  </si>
  <si>
    <t>-668.449792647386 128.238570008638 -341.338986580136</t>
  </si>
  <si>
    <t>-688.571452250972 119.261257394952 -460.523985860729</t>
  </si>
  <si>
    <t>-698.276969618931 110.124899381016 -569.230866434831</t>
  </si>
  <si>
    <t>-699.554582728873 99.8897760184871 -678.265162173891</t>
  </si>
  <si>
    <t>-692.550599608952 84.4123739252423 -829.630222657179</t>
  </si>
  <si>
    <t>-657.634692362721 63.6085692896988 -923.070450816924</t>
  </si>
  <si>
    <t>-682.021206463329 119.893394945354 -764.95295647442</t>
  </si>
  <si>
    <t>-600.516262085849 241.830521018865 -754.383427601961</t>
  </si>
  <si>
    <t>-512.999207461269 186.706021624134 -455.237504904666</t>
  </si>
  <si>
    <t>-328.925150790246 73.2445173806102 -310.720186222199</t>
  </si>
  <si>
    <t>-709.278157702318 62.6278051160837 -760.358694671118</t>
  </si>
  <si>
    <t>-595.436599715965 226.842775206198 -244.315469315597</t>
  </si>
  <si>
    <t>-594.421815245153 202.423434239469 210.723313759059</t>
  </si>
  <si>
    <t>-626.408767666253 168.295540291115 677.666688330072</t>
  </si>
  <si>
    <t>-493.886112351298 91.8722919641605 764.504103728303</t>
  </si>
  <si>
    <t>-660.581715353458 43.8116226779023 -209.731844034966</t>
  </si>
  <si>
    <t>-600.950369310978 -3.54981440853612 239.554981275215</t>
  </si>
  <si>
    <t>-766.984507482824 109.424881815582 665.127174407863</t>
  </si>
  <si>
    <t>-677.49605563035 -14.3360305488275 752.411576926575</t>
  </si>
  <si>
    <t>9763-20170724T160622.623466800.bin</t>
  </si>
  <si>
    <t>-627.83855431976 135.575779649549 -227.331914597794</t>
  </si>
  <si>
    <t>-668.203046276552 128.511978833186 -341.299545863304</t>
  </si>
  <si>
    <t>-688.302333645322 119.511396799188 -460.486713725892</t>
  </si>
  <si>
    <t>-697.978118111125 110.343981439929 -569.193630700658</t>
  </si>
  <si>
    <t>-699.216715278327 100.068165385127 -678.224386557986</t>
  </si>
  <si>
    <t>-692.14897763993 84.5247832043378 -829.579923026483</t>
  </si>
  <si>
    <t>-657.206784875832 63.6873733380367 -923.002655202666</t>
  </si>
  <si>
    <t>-681.654782875479 120.037770777951 -764.91442541503</t>
  </si>
  <si>
    <t>-600.19189221456 242.009367399472 -754.35147727198</t>
  </si>
  <si>
    <t>-512.730348952032 186.916510176942 -455.183616528313</t>
  </si>
  <si>
    <t>-328.674378277788 73.5334123196501 -310.58156441326</t>
  </si>
  <si>
    <t>-708.897715820724 62.7666862757719 -760.305124482543</t>
  </si>
  <si>
    <t>-595.162261862448 226.99389227709 -244.273885120902</t>
  </si>
  <si>
    <t>-594.241581292206 202.551235560162 210.763868119832</t>
  </si>
  <si>
    <t>-626.406681441347 168.325208228855 677.685363794597</t>
  </si>
  <si>
    <t>-493.927011856099 91.8606397829153 764.552076246048</t>
  </si>
  <si>
    <t>-660.349510440495 44.1631872522858 -209.735283661289</t>
  </si>
  <si>
    <t>-600.717212087811 -3.11595269116629 239.560129078823</t>
  </si>
  <si>
    <t>-767.047561846076 109.929012427952 664.950209461677</t>
  </si>
  <si>
    <t>-677.532466647258 -14.2468457563266 751.615822490738</t>
  </si>
  <si>
    <t>9763-20170724T160622.693162700.bin</t>
  </si>
  <si>
    <t>-627.401854265874 135.781946494495 -227.522222050274</t>
  </si>
  <si>
    <t>-667.807419059958 128.702506007827 -341.474413130968</t>
  </si>
  <si>
    <t>-687.883119223512 119.672728743072 -460.663280824045</t>
  </si>
  <si>
    <t>-697.510337126037 110.474033541821 -569.371864311913</t>
  </si>
  <si>
    <t>-698.67329514344 100.162211589918 -678.400107864672</t>
  </si>
  <si>
    <t>-691.472517199806 84.5641876326033 -829.743564338854</t>
  </si>
  <si>
    <t>-656.456022650148 63.6780589845037 -923.127750231674</t>
  </si>
  <si>
    <t>-681.02902049562 120.097719593546 -765.081195267052</t>
  </si>
  <si>
    <t>-599.499781138602 242.03724766573 -754.548495220212</t>
  </si>
  <si>
    <t>-512.256316223225 187.238337910305 -455.262896272139</t>
  </si>
  <si>
    <t>-328.45642928969 73.6559028264815 -310.491737441973</t>
  </si>
  <si>
    <t>-708.288242477693 62.8339556208648 -760.476391111878</t>
  </si>
  <si>
    <t>-594.674996399373 227.064982193534 -244.39588992493</t>
  </si>
  <si>
    <t>-593.861454305824 202.630853196377 210.642588652628</t>
  </si>
  <si>
    <t>-626.41770619282 168.297394466485 677.627284704791</t>
  </si>
  <si>
    <t>-493.943582133659 91.8834450745069 764.546928734851</t>
  </si>
  <si>
    <t>-659.979490388938 44.458473099136 -210.03912630905</t>
  </si>
  <si>
    <t>-600.175994701742 -2.87273913566332 239.227994607693</t>
  </si>
  <si>
    <t>-767.035558048673 110.216363293115 664.153713953616</t>
  </si>
  <si>
    <t>-677.539363886305 -14.210533440403 750.478010260249</t>
  </si>
  <si>
    <t>9763-20170724T160622.725744900.bin</t>
  </si>
  <si>
    <t>-627.192513120634 135.659195219979 -227.733820655492</t>
  </si>
  <si>
    <t>-667.591421486678 128.55805879334 -341.68699758469</t>
  </si>
  <si>
    <t>-687.649060326105 119.473601621615 -460.874794984562</t>
  </si>
  <si>
    <t>-697.255738348473 110.21255999179 -569.579764006232</t>
  </si>
  <si>
    <t>-698.394153472897 99.8259780221308 -678.60129757707</t>
  </si>
  <si>
    <t>-691.155415312419 84.1114774748221 -829.93089672774</t>
  </si>
  <si>
    <t>-656.112717003033 63.1606557174048 -923.29071579852</t>
  </si>
  <si>
    <t>-680.721292162054 119.691510889848 -765.292671925175</t>
  </si>
  <si>
    <t>-599.202180108362 241.631539977377 -754.828296047468</t>
  </si>
  <si>
    <t>-512.030662479622 187.010568096179 -455.489301055093</t>
  </si>
  <si>
    <t>-328.290369764723 73.5018049803632 -310.584680887242</t>
  </si>
  <si>
    <t>-707.99537485387 62.437800247807 -760.651794844378</t>
  </si>
  <si>
    <t>-594.44963857274 227.026438181402 -244.557138345341</t>
  </si>
  <si>
    <t>-593.711307610499 202.559220339493 210.479644458588</t>
  </si>
  <si>
    <t>-626.413703992689 168.340960210322 677.543043951935</t>
  </si>
  <si>
    <t>-493.980268371756 91.8771223403369 764.480821722905</t>
  </si>
  <si>
    <t>-659.771584647391 44.2156441051661 -210.389473540035</t>
  </si>
  <si>
    <t>-599.909621301759 -3.07049201405152 238.874626145537</t>
  </si>
  <si>
    <t>-766.954617265335 109.875267047995 663.504680489112</t>
  </si>
  <si>
    <t>-677.473528830568 -14.2496722824051 750.278178174842</t>
  </si>
  <si>
    <t>9763-20170724T160622.793431200.bin</t>
  </si>
  <si>
    <t>-626.734120675107 134.887680418848 -228.529335337872</t>
  </si>
  <si>
    <t>-667.099357928674 127.720105456069 -342.490130864448</t>
  </si>
  <si>
    <t>-687.162904218742 118.563395111193 -461.671437281115</t>
  </si>
  <si>
    <t>-696.79189245563 109.234318732051 -570.368712060432</t>
  </si>
  <si>
    <t>-697.969769231069 98.7768161870606 -679.382981256265</t>
  </si>
  <si>
    <t>-690.803559765761 82.9607452603168 -830.705489437812</t>
  </si>
  <si>
    <t>-655.769325876847 61.9203105925881 -924.048285534009</t>
  </si>
  <si>
    <t>-680.321538415482 118.576194572438 -766.09448349136</t>
  </si>
  <si>
    <t>-598.7399587079 240.484697008583 -755.716681020983</t>
  </si>
  <si>
    <t>-511.652829481124 186.054443537613 -456.318424747508</t>
  </si>
  <si>
    <t>-328.032308395992 72.6267261182361 -311.19875838742</t>
  </si>
  <si>
    <t>-707.627200676262 61.3415774601406 -761.405562767666</t>
  </si>
  <si>
    <t>-593.999305460103 226.700721138463 -245.110094960098</t>
  </si>
  <si>
    <t>-593.509424626116 202.244860505084 209.927700092496</t>
  </si>
  <si>
    <t>-626.430537269235 168.363582699236 677.251227276385</t>
  </si>
  <si>
    <t>-493.983531646016 91.931628140059 764.196356762187</t>
  </si>
  <si>
    <t>-659.342376935066 42.9726815589461 -211.50350920611</t>
  </si>
  <si>
    <t>-599.591337079381 -4.3841992147245 237.767965081031</t>
  </si>
  <si>
    <t>-766.772866962912 107.955247471829 661.950363292772</t>
  </si>
  <si>
    <t>-677.146957811689 -14.5280131457582 750.880454795782</t>
  </si>
  <si>
    <t>9763-20170724T160622.828044200.bin</t>
  </si>
  <si>
    <t>-626.550924445626 134.248344322261 -228.989793438589</t>
  </si>
  <si>
    <t>-666.914106333192 127.070444218785 -342.950775268762</t>
  </si>
  <si>
    <t>-687.015990334241 117.894450132983 -462.124162254177</t>
  </si>
  <si>
    <t>-696.696499920302 108.543808281662 -570.815078310855</t>
  </si>
  <si>
    <t>-697.943046157865 98.0599652066196 -679.825938451548</t>
  </si>
  <si>
    <t>-690.889944323902 82.2020692610113 -831.149460207911</t>
  </si>
  <si>
    <t>-655.89890869912 61.0973370140507 -924.493942269126</t>
  </si>
  <si>
    <t>-680.352097983211 117.831900677293 -766.555295581798</t>
  </si>
  <si>
    <t>-598.746537975842 239.737011389529 -756.241171539924</t>
  </si>
  <si>
    <t>-511.598252194348 185.342938884654 -456.854121622907</t>
  </si>
  <si>
    <t>-328.024538019684 72.0180240836412 -311.59482101928</t>
  </si>
  <si>
    <t>-707.669266769433 60.6055855642353 -761.831476012562</t>
  </si>
  <si>
    <t>-593.856062221721 226.412541270708 -245.4373433509</t>
  </si>
  <si>
    <t>-593.415977696637 201.948908263995 209.599937825755</t>
  </si>
  <si>
    <t>-626.434690631163 168.39342041027 677.074840585725</t>
  </si>
  <si>
    <t>-494.035839133479 91.8709765925064 764.01378179285</t>
  </si>
  <si>
    <t>-659.109878536748 42.0159419334707 -212.082138674495</t>
  </si>
  <si>
    <t>-599.431576294875 -5.23445589988637 237.210231830431</t>
  </si>
  <si>
    <t>-766.583478058368 106.860431559535 661.456395220514</t>
  </si>
  <si>
    <t>-676.927045652202 -14.7304069679442 751.57244874193</t>
  </si>
  <si>
    <t>9763-20170724T160622.888715900.bin</t>
  </si>
  <si>
    <t>-626.191922151005 133.503666916001 -229.405439286274</t>
  </si>
  <si>
    <t>-666.575677175371 126.325837078704 -343.359106172824</t>
  </si>
  <si>
    <t>-686.745440306371 117.105150929729 -462.517545232392</t>
  </si>
  <si>
    <t>-696.507257463114 107.697014625091 -571.196152678083</t>
  </si>
  <si>
    <t>-697.855029454783 97.1394658905569 -680.19874407446</t>
  </si>
  <si>
    <t>-690.963339222932 81.1627786187037 -831.517146823473</t>
  </si>
  <si>
    <t>-656.082133717656 59.9411026486171 -924.876317996624</t>
  </si>
  <si>
    <t>-680.341636467278 116.83625029023 -766.960944065439</t>
  </si>
  <si>
    <t>-598.690600253302 238.707213011685 -756.812520011721</t>
  </si>
  <si>
    <t>-511.410776991741 184.47323340444 -457.434707648061</t>
  </si>
  <si>
    <t>-327.764218281167 71.5543177626394 -311.951687568009</t>
  </si>
  <si>
    <t>-707.683728095578 59.62772495833 -762.166067208265</t>
  </si>
  <si>
    <t>-593.514945277303 225.980930282565 -245.795250867813</t>
  </si>
  <si>
    <t>-593.194602026976 201.552192932927 209.244140674213</t>
  </si>
  <si>
    <t>-626.47699454252 168.314759740239 676.819184467494</t>
  </si>
  <si>
    <t>-493.992559985489 91.9288141542729 763.747742352971</t>
  </si>
  <si>
    <t>-658.707039064675 41.2151779309713 -212.364708550445</t>
  </si>
  <si>
    <t>-598.936695999945 -6.33420164473932 236.883788519036</t>
  </si>
  <si>
    <t>-766.192254788979 105.866213714069 661.239112826703</t>
  </si>
  <si>
    <t>-676.718625486072 -14.7563185734509 752.826139238414</t>
  </si>
  <si>
    <t>9763-20170724T160622.924814700.bin</t>
  </si>
  <si>
    <t>-626.035435592629 133.30552756733 -229.477179730376</t>
  </si>
  <si>
    <t>-666.456153569002 126.125704896726 -343.417532636731</t>
  </si>
  <si>
    <t>-686.669792286324 116.901815481832 -462.568251317827</t>
  </si>
  <si>
    <t>-696.473922908056 107.49024512517 -571.242852770208</t>
  </si>
  <si>
    <t>-697.866032906524 96.9293545566068 -680.244546392142</t>
  </si>
  <si>
    <t>-691.038148638707 80.9479021906852 -831.56536834136</t>
  </si>
  <si>
    <t>-656.195625032336 59.7113111522724 -924.935530603893</t>
  </si>
  <si>
    <t>-680.371670173631 116.615116118913 -767.013021015456</t>
  </si>
  <si>
    <t>-598.624388832041 238.422516722314 -756.912348429285</t>
  </si>
  <si>
    <t>-511.372284768942 184.267663258771 -457.512284711657</t>
  </si>
  <si>
    <t>-327.42945635255 72.201497039141 -311.744351865967</t>
  </si>
  <si>
    <t>-707.746852801106 59.4233174084177 -762.2081104424</t>
  </si>
  <si>
    <t>-593.325913265179 225.829024857875 -245.890150180998</t>
  </si>
  <si>
    <t>-593.038117679883 201.452787801162 209.15196826638</t>
  </si>
  <si>
    <t>-626.478439106853 168.290942676307 676.732548478454</t>
  </si>
  <si>
    <t>-494.012603108156 91.88012739541 763.667590430483</t>
  </si>
  <si>
    <t>-658.5819978508 40.9025329331446 -212.359918181769</t>
  </si>
  <si>
    <t>-598.687331078473 -6.69538027353042 236.866847986062</t>
  </si>
  <si>
    <t>-766.009704511998 105.434004000701 661.160370071181</t>
  </si>
  <si>
    <t>-676.607164052713 -14.8016048916943 753.323788792967</t>
  </si>
  <si>
    <t>9763-20170724T160622.992885400.bin</t>
  </si>
  <si>
    <t>-625.732112569976 133.239101675687 -229.344182479366</t>
  </si>
  <si>
    <t>-666.203069036092 126.050339802026 -343.266189427402</t>
  </si>
  <si>
    <t>-686.518974414649 116.835264890466 -462.400232093021</t>
  </si>
  <si>
    <t>-696.436433083443 107.437685160358 -571.065716972446</t>
  </si>
  <si>
    <t>-697.962672129107 96.8957347166936 -680.067462503811</t>
  </si>
  <si>
    <t>-691.342026581578 80.9454087137306 -831.400740961299</t>
  </si>
  <si>
    <t>-656.594304097879 59.7235497169113 -924.809614054463</t>
  </si>
  <si>
    <t>-680.534382112741 116.574448646606 -766.850928240113</t>
  </si>
  <si>
    <t>-598.480007786469 238.18791661737 -756.822351927579</t>
  </si>
  <si>
    <t>-511.832473954859 183.286584602454 -457.382451114652</t>
  </si>
  <si>
    <t>-326.256745698779 75.439116132037 -310.506323125991</t>
  </si>
  <si>
    <t>-708.008567637054 59.4313745601712 -762.029941265057</t>
  </si>
  <si>
    <t>-592.972216585565 225.751676292132 -245.873618934409</t>
  </si>
  <si>
    <t>-592.751919209062 201.387623431608 209.169277722409</t>
  </si>
  <si>
    <t>-626.471643461883 168.271011254448 676.659733258709</t>
  </si>
  <si>
    <t>-494.067350276564 91.7931195015829 763.629513168663</t>
  </si>
  <si>
    <t>-658.339855554609 40.8913988585791 -212.03931792775</t>
  </si>
  <si>
    <t>-598.392319481975 -6.82194317301401 237.168136655568</t>
  </si>
  <si>
    <t>-765.816984145643 105.47386640378 661.641066724912</t>
  </si>
  <si>
    <t>-676.539550407721 -14.6832770070748 754.027825914681</t>
  </si>
  <si>
    <t>9763-20170724T160623.026479200.bin</t>
  </si>
  <si>
    <t>-625.653158995253 133.283793784681 -229.171663843012</t>
  </si>
  <si>
    <t>-666.120316675877 126.119082685538 -343.096651013934</t>
  </si>
  <si>
    <t>-686.464244675623 116.94375670578 -462.228974322603</t>
  </si>
  <si>
    <t>-696.420319894003 107.585943368385 -570.894202810605</t>
  </si>
  <si>
    <t>-697.998602328244 97.0860285267768 -679.899310158163</t>
  </si>
  <si>
    <t>-691.464368068188 81.1949480212152 -831.242744895638</t>
  </si>
  <si>
    <t>-656.747928676751 59.9847821142978 -924.665716435531</t>
  </si>
  <si>
    <t>-680.579317383349 116.779355812125 -766.681229624126</t>
  </si>
  <si>
    <t>-598.288878974463 238.235408839615 -756.642886115273</t>
  </si>
  <si>
    <t>-512.074673602108 183.060782147787 -457.128267564111</t>
  </si>
  <si>
    <t>-325.100750891772 77.4555615515578 -310.395931773883</t>
  </si>
  <si>
    <t>-708.131927307806 59.6730221255921 -761.874649314499</t>
  </si>
  <si>
    <t>-592.863354567852 225.720656455273 -245.774033406977</t>
  </si>
  <si>
    <t>-592.673960487142 201.386495555988 209.270496261044</t>
  </si>
  <si>
    <t>-626.47174868891 168.254058911085 676.686381547262</t>
  </si>
  <si>
    <t>-494.081877748663 91.763985169152 763.667422648088</t>
  </si>
  <si>
    <t>-658.28235219169 40.9918925237848 -211.789888061574</t>
  </si>
  <si>
    <t>-598.409508436068 -6.63299412385709 237.437016235583</t>
  </si>
  <si>
    <t>-765.818222706285 105.787931703036 661.976909486889</t>
  </si>
  <si>
    <t>-676.539406795161 -14.5418764810709 754.137306388348</t>
  </si>
  <si>
    <t>9763-20170724T160623.093159500.bin</t>
  </si>
  <si>
    <t>-625.709481942996 133.236218351601 -228.887823145672</t>
  </si>
  <si>
    <t>-666.219927669503 126.1261607799 -342.800719275158</t>
  </si>
  <si>
    <t>-686.657687912335 117.022010622396 -461.922460005761</t>
  </si>
  <si>
    <t>-696.71939532819 107.731023255461 -570.583796094941</t>
  </si>
  <si>
    <t>-698.423954077084 97.2981741737619 -679.593459127765</t>
  </si>
  <si>
    <t>-692.086401325044 81.4985335835236 -830.954612727997</t>
  </si>
  <si>
    <t>-657.479813359557 60.245078497519 -924.408610263152</t>
  </si>
  <si>
    <t>-681.036170246857 117.005237720019 -766.378522996222</t>
  </si>
  <si>
    <t>-598.285983081873 238.163115359663 -756.416775672632</t>
  </si>
  <si>
    <t>-512.698941252955 182.445795913163 -456.822642384669</t>
  </si>
  <si>
    <t>-325.703343683271 77.6294887361425 -309.553421362316</t>
  </si>
  <si>
    <t>-708.745089141612 59.9733935982506 -761.585404680601</t>
  </si>
  <si>
    <t>-592.802455595004 225.53390943516 -245.599693570657</t>
  </si>
  <si>
    <t>-592.65221534167 201.294989752386 209.449866057719</t>
  </si>
  <si>
    <t>-626.479443846089 168.209885091072 676.761113874115</t>
  </si>
  <si>
    <t>-494.139012852516 91.659623541266 763.76438538006</t>
  </si>
  <si>
    <t>-658.492443394648 41.0081846619739 -211.461241689754</t>
  </si>
  <si>
    <t>-598.611937155898 -6.52328239169287 237.774477130647</t>
  </si>
  <si>
    <t>-765.861097216667 105.904350006133 662.194224057505</t>
  </si>
  <si>
    <t>-676.627856614914 -14.5374152139591 754.252507711236</t>
  </si>
  <si>
    <t>9763-20170724T160623.123243100.bin</t>
  </si>
  <si>
    <t>-625.7627564884 133.097625761493 -228.78116788821</t>
  </si>
  <si>
    <t>-666.294299122243 126.022992630638 -342.688815657221</t>
  </si>
  <si>
    <t>-686.780341841119 116.939651919367 -461.803756949616</t>
  </si>
  <si>
    <t>-696.897109056127 107.661132459191 -570.461152040032</t>
  </si>
  <si>
    <t>-698.667906513896 97.234627545047 -679.470243758379</t>
  </si>
  <si>
    <t>-692.434078421858 81.437191319759 -830.836012912956</t>
  </si>
  <si>
    <t>-657.877882055002 60.1411421044588 -924.298939215346</t>
  </si>
  <si>
    <t>-681.306633980199 116.927241211183 -766.263925176845</t>
  </si>
  <si>
    <t>-598.403750571733 237.981302485043 -756.369368522719</t>
  </si>
  <si>
    <t>-512.938494884884 182.044604643974 -456.781385584003</t>
  </si>
  <si>
    <t>-325.331481851713 78.5332098075548 -309.366840339184</t>
  </si>
  <si>
    <t>-709.078118155521 59.9268376297075 -761.458636266209</t>
  </si>
  <si>
    <t>-592.79212430064 225.335981764108 -245.534132141114</t>
  </si>
  <si>
    <t>-592.642640046584 201.156775524164 209.518639050914</t>
  </si>
  <si>
    <t>-626.498506661836 168.116752615164 676.799722807434</t>
  </si>
  <si>
    <t>-494.117035759769 91.652977017304 763.816657416971</t>
  </si>
  <si>
    <t>-658.555553871523 40.9163560813076 -211.342433150257</t>
  </si>
  <si>
    <t>-598.746446836905 -6.56692179840979 237.907921877585</t>
  </si>
  <si>
    <t>-765.886606021719 106.086011497229 662.40240531641</t>
  </si>
  <si>
    <t>-676.615687933034 -14.4802650459762 754.260874199775</t>
  </si>
  <si>
    <t>9763-20170724T160623.193437600.bin</t>
  </si>
  <si>
    <t>-625.999962954802 133.18224988498 -228.381644017249</t>
  </si>
  <si>
    <t>-666.585842857638 126.193576025042 -342.275318548403</t>
  </si>
  <si>
    <t>-687.164219137998 117.189671852567 -461.380420017333</t>
  </si>
  <si>
    <t>-697.379881321716 107.979650989055 -570.034321138054</t>
  </si>
  <si>
    <t>-699.264595453984 97.6183340678933 -679.047743671901</t>
  </si>
  <si>
    <t>-693.204482599475 81.9077222482335 -830.429600070857</t>
  </si>
  <si>
    <t>-658.71944166397 60.5869181221153 -923.913138848956</t>
  </si>
  <si>
    <t>-681.955924721823 117.338272795898 -765.845752270236</t>
  </si>
  <si>
    <t>-598.844922098627 238.255567675636 -756.054217967817</t>
  </si>
  <si>
    <t>-513.201319532884 182.176671580842 -456.543648226136</t>
  </si>
  <si>
    <t>-326.416575780316 77.9694846796026 -308.576211044485</t>
  </si>
  <si>
    <t>-709.815793031969 60.3801741241737 -761.049892783976</t>
  </si>
  <si>
    <t>-592.899803463569 225.123953545101 -245.263481445229</t>
  </si>
  <si>
    <t>-592.630958259665 201.07671384183 209.79619258066</t>
  </si>
  <si>
    <t>-626.503202700752 168.122783679172 676.963752600327</t>
  </si>
  <si>
    <t>-494.216762847013 91.5269094061985 764.009022896391</t>
  </si>
  <si>
    <t>-658.966241716773 41.47058670763 -210.711280092329</t>
  </si>
  <si>
    <t>-599.215898362719 -5.99571130003392 238.548655543359</t>
  </si>
  <si>
    <t>-766.147182623832 107.624729440648 663.450057566502</t>
  </si>
  <si>
    <t>-676.805679854435 -14.1880026139813 753.579229711091</t>
  </si>
  <si>
    <t>9763-20170724T160623.230056500.bin</t>
  </si>
  <si>
    <t>-626.163070137778 133.495714897983 -228.085413902115</t>
  </si>
  <si>
    <t>-666.757589374759 126.532647780796 -341.977640043798</t>
  </si>
  <si>
    <t>-687.37822148448 117.543850058736 -461.07650216242</t>
  </si>
  <si>
    <t>-697.646011520484 108.344964355569 -569.726410017428</t>
  </si>
  <si>
    <t>-699.596471711742 97.9935350855142 -678.739731498933</t>
  </si>
  <si>
    <t>-693.641434838185 82.2965606358355 -830.127046244401</t>
  </si>
  <si>
    <t>-659.197429574302 60.9745394402985 -923.62549369837</t>
  </si>
  <si>
    <t>-682.354039320417 117.724145042811 -765.548515095398</t>
  </si>
  <si>
    <t>-599.266608812647 238.667023508158 -755.84023140816</t>
  </si>
  <si>
    <t>-513.331101000746 182.82981308505 -456.368120791826</t>
  </si>
  <si>
    <t>-327.21112834244 77.8062826599144 -308.140410194606</t>
  </si>
  <si>
    <t>-710.19864483173 60.759854951219 -760.737154232279</t>
  </si>
  <si>
    <t>-593.008718926627 225.113193607817 -245.053293380052</t>
  </si>
  <si>
    <t>-592.694266449222 201.154672191854 210.011112796087</t>
  </si>
  <si>
    <t>-626.523429831952 168.042800638241 677.08693602588</t>
  </si>
  <si>
    <t>-494.190899764823 91.5372391921173 764.141540827533</t>
  </si>
  <si>
    <t>-659.157843645478 42.1030216631407 -210.290801767177</t>
  </si>
  <si>
    <t>-599.506570584718 -5.36849478297904 238.981764429475</t>
  </si>
  <si>
    <t>-766.382979555797 108.630764471985 663.949402942499</t>
  </si>
  <si>
    <t>-676.951854188046 -14.0140404565282 752.852902710017</t>
  </si>
  <si>
    <t>9763-20170724T160623.292724400.bin</t>
  </si>
  <si>
    <t>-626.463164538545 134.160476732075 -227.618559440077</t>
  </si>
  <si>
    <t>-667.079662209449 127.227886386272 -341.50465254808</t>
  </si>
  <si>
    <t>-687.759274233752 118.24368785962 -460.593624263473</t>
  </si>
  <si>
    <t>-698.095035522575 109.044151002373 -569.237109160079</t>
  </si>
  <si>
    <t>-700.127737867253 98.6903691612945 -678.248721277037</t>
  </si>
  <si>
    <t>-694.301188265478 82.9912880475588 -829.640780698518</t>
  </si>
  <si>
    <t>-659.899616377592 61.7007932562733 -923.162096017908</t>
  </si>
  <si>
    <t>-683.003896569802 118.441378486114 -765.076218152388</t>
  </si>
  <si>
    <t>-600.11059182799 239.520739583789 -755.515376803167</t>
  </si>
  <si>
    <t>-513.843732417586 184.262261896209 -456.031340778864</t>
  </si>
  <si>
    <t>-327.815446686007 79.4613131989511 -307.531074697734</t>
  </si>
  <si>
    <t>-710.754596391236 61.4339325696719 -760.232752152277</t>
  </si>
  <si>
    <t>-593.279431942339 225.223299976225 -244.712600828267</t>
  </si>
  <si>
    <t>-592.804040709318 201.456252397182 210.361606250712</t>
  </si>
  <si>
    <t>-626.558621703853 168.010586838362 677.327388658704</t>
  </si>
  <si>
    <t>-494.271674972503 91.4429659582254 764.396758108984</t>
  </si>
  <si>
    <t>-659.460618300342 43.2198945470091 -209.765858323758</t>
  </si>
  <si>
    <t>-599.886386247939 -4.35029089120417 239.506493724041</t>
  </si>
  <si>
    <t>-766.706579676007 110.182034863445 664.239938689278</t>
  </si>
  <si>
    <t>-677.165802730141 -13.7603131772028 751.212703598353</t>
  </si>
  <si>
    <t>9763-20170724T160623.323308000.bin</t>
  </si>
  <si>
    <t>-626.542367454869 134.354905633 -227.55181143037</t>
  </si>
  <si>
    <t>-667.176847479768 127.414146876416 -341.431028814058</t>
  </si>
  <si>
    <t>-687.871194300546 118.437746657827 -460.518087677978</t>
  </si>
  <si>
    <t>-698.218310774061 109.253266189224 -569.161665537107</t>
  </si>
  <si>
    <t>-700.260203919188 98.9231398121187 -678.175244523005</t>
  </si>
  <si>
    <t>-694.443568372626 83.266944534294 -829.572280801254</t>
  </si>
  <si>
    <t>-660.023087200155 62.0400147807979 -923.101062410555</t>
  </si>
  <si>
    <t>-683.17298784007 118.713441491317 -765.001076842754</t>
  </si>
  <si>
    <t>-600.375638970674 239.851315103193 -755.473254788526</t>
  </si>
  <si>
    <t>-514.095299774903 184.842558914212 -455.947035751618</t>
  </si>
  <si>
    <t>-328.19156001717 79.9663439003673 -307.344057193061</t>
  </si>
  <si>
    <t>-710.861506153033 61.6752116631669 -760.166485166171</t>
  </si>
  <si>
    <t>-593.411939870315 225.282550181935 -244.645271992618</t>
  </si>
  <si>
    <t>-592.799124562867 201.559039768312 210.431073176231</t>
  </si>
  <si>
    <t>-626.565073308818 168.042407709138 677.392723466074</t>
  </si>
  <si>
    <t>-494.342265168286 91.3766052275828 764.473103418256</t>
  </si>
  <si>
    <t>-659.459576500884 43.4495782020913 -209.798320575934</t>
  </si>
  <si>
    <t>-599.910931869292 -4.06000745446454 239.483892674498</t>
  </si>
  <si>
    <t>-766.773868667293 110.556311226907 664.060549225714</t>
  </si>
  <si>
    <t>-677.195346421804 -13.708033680806 750.533506606422</t>
  </si>
  <si>
    <t>9763-20170724T160623.390006300.bin</t>
  </si>
  <si>
    <t>-626.758499091906 134.229635770576 -227.665153927302</t>
  </si>
  <si>
    <t>-667.481333458149 127.231646274533 -341.509280482383</t>
  </si>
  <si>
    <t>-688.245726018399 118.26391910949 -460.584939915998</t>
  </si>
  <si>
    <t>-698.646930046122 109.113142957621 -569.2261066259</t>
  </si>
  <si>
    <t>-700.732728908432 98.8418984458056 -678.244476119804</t>
  </si>
  <si>
    <t>-694.966138398345 83.2927429746392 -829.654472712995</t>
  </si>
  <si>
    <t>-660.479688695924 62.1395758644267 -923.175752924998</t>
  </si>
  <si>
    <t>-683.721724774183 118.716169810444 -765.066152036959</t>
  </si>
  <si>
    <t>-601.055313397468 239.972650415035 -755.59260913134</t>
  </si>
  <si>
    <t>-514.92371795067 185.036745482004 -456.010310999538</t>
  </si>
  <si>
    <t>-329.317603883324 79.9889612508571 -307.156934641804</t>
  </si>
  <si>
    <t>-711.313754175916 61.629202689865 -760.254390753126</t>
  </si>
  <si>
    <t>-593.846814396947 225.082501936469 -244.692514598335</t>
  </si>
  <si>
    <t>-592.738785693201 201.380468670587 210.383901822224</t>
  </si>
  <si>
    <t>-626.605496950107 167.996527759376 677.424419114461</t>
  </si>
  <si>
    <t>-494.253784103242 91.5642330216401 764.51423308974</t>
  </si>
  <si>
    <t>-659.528225713084 43.3115194317943 -210.069841623357</t>
  </si>
  <si>
    <t>-599.590936942561 -3.79172073476298 239.203411205607</t>
  </si>
  <si>
    <t>-766.775050986486 110.893878582509 663.520029374478</t>
  </si>
  <si>
    <t>-677.20760527069 -13.6771036423579 749.562164220651</t>
  </si>
  <si>
    <t>9763-20170724T160623.427109400.bin</t>
  </si>
  <si>
    <t>-626.930209559757 134.059247037564 -227.773265734929</t>
  </si>
  <si>
    <t>-667.723728150882 127.016113531118 -341.589261930158</t>
  </si>
  <si>
    <t>-688.508376805719 118.001537035931 -460.657693899123</t>
  </si>
  <si>
    <t>-698.906255979644 108.807709932426 -569.295726558092</t>
  </si>
  <si>
    <t>-700.96687900346 98.4925350523965 -678.310482248539</t>
  </si>
  <si>
    <t>-695.142525667903 82.8814112260177 -829.711698665684</t>
  </si>
  <si>
    <t>-660.617509848721 61.7267303960352 -923.218405969497</t>
  </si>
  <si>
    <t>-683.953194747225 118.345871334092 -765.136383628279</t>
  </si>
  <si>
    <t>-601.433978978505 239.695635148716 -755.688564983417</t>
  </si>
  <si>
    <t>-515.370324214854 184.789026332026 -456.08127141722</t>
  </si>
  <si>
    <t>-329.750384140427 79.6867513032464 -307.283373448129</t>
  </si>
  <si>
    <t>-711.486076141508 61.2317918365363 -760.306356082907</t>
  </si>
  <si>
    <t>-594.142198729267 224.981003141653 -244.775138813246</t>
  </si>
  <si>
    <t>-592.700005074575 201.189862556193 210.295930521313</t>
  </si>
  <si>
    <t>-626.616163062428 167.976210253214 677.395933786577</t>
  </si>
  <si>
    <t>-494.240500182712 91.5973855525804 764.496253225807</t>
  </si>
  <si>
    <t>-659.581010544306 43.0852222670849 -210.222407914539</t>
  </si>
  <si>
    <t>-599.434612640839 -3.74629368671572 239.051322112278</t>
  </si>
  <si>
    <t>-766.75775469524 110.976373143292 663.276248426189</t>
  </si>
  <si>
    <t>-677.230578530498 -13.6855003529879 749.228617023378</t>
  </si>
  <si>
    <t>9763-20170724T160623.490928500.bin</t>
  </si>
  <si>
    <t>-627.204729535716 133.793037897787 -228.05786240629</t>
  </si>
  <si>
    <t>-668.082684264091 126.629678515432 -341.83608393225</t>
  </si>
  <si>
    <t>-688.911752484356 117.541964056456 -460.891159457418</t>
  </si>
  <si>
    <t>-699.331397265026 108.303591295774 -569.523312136128</t>
  </si>
  <si>
    <t>-701.394543862482 97.9664431866122 -678.535854876592</t>
  </si>
  <si>
    <t>-695.553008126092 82.34930107214 -829.935936414655</t>
  </si>
  <si>
    <t>-660.944915998227 61.2678226936641 -923.428395564309</t>
  </si>
  <si>
    <t>-684.44790184822 117.852737472489 -765.367304719035</t>
  </si>
  <si>
    <t>-602.225309336134 239.408755527147 -755.950322066437</t>
  </si>
  <si>
    <t>-516.089553995306 184.653873538535 -456.335934113395</t>
  </si>
  <si>
    <t>-330.463123577742 79.4668997371939 -307.606082871999</t>
  </si>
  <si>
    <t>-711.827462365173 60.6661252696929 -760.524980351129</t>
  </si>
  <si>
    <t>-594.643033489393 224.83861757969 -244.997669509421</t>
  </si>
  <si>
    <t>-592.731237487207 201.044865782583 210.071349696181</t>
  </si>
  <si>
    <t>-626.630203210149 168.018714339423 677.301704362008</t>
  </si>
  <si>
    <t>-494.234994710002 91.683563458997 764.410614235088</t>
  </si>
  <si>
    <t>-659.592525743674 42.7969106639059 -210.514249971466</t>
  </si>
  <si>
    <t>-599.269568205603 -3.76428583406278 238.763939073225</t>
  </si>
  <si>
    <t>-766.768440899883 110.969845507258 662.878042970465</t>
  </si>
  <si>
    <t>-677.184646601908 -13.690134976943 748.774134724413</t>
  </si>
  <si>
    <t>9763-20170724T160623.524518900.bin</t>
  </si>
  <si>
    <t>-627.294430350292 133.688122280309 -228.21155213765</t>
  </si>
  <si>
    <t>-668.189438996325 126.469631983333 -341.98019556777</t>
  </si>
  <si>
    <t>-689.058562735837 117.347758305831 -461.025706682393</t>
  </si>
  <si>
    <t>-699.523481152635 108.087689127421 -569.651593571214</t>
  </si>
  <si>
    <t>-701.640520518856 97.7383689539572 -678.662078198974</t>
  </si>
  <si>
    <t>-695.882624845348 82.1142493060993 -830.064564961096</t>
  </si>
  <si>
    <t>-661.267551902944 61.0702513241961 -923.562825900919</t>
  </si>
  <si>
    <t>-684.781649251993 117.639321277552 -765.507191224287</t>
  </si>
  <si>
    <t>-602.730986811946 239.314352286684 -756.134390386108</t>
  </si>
  <si>
    <t>-516.396275218864 184.706184148478 -456.550573776483</t>
  </si>
  <si>
    <t>-330.675657339814 79.7323647959422 -307.787675654751</t>
  </si>
  <si>
    <t>-712.079047720156 60.4154721146995 -760.640071091862</t>
  </si>
  <si>
    <t>-594.891437087022 224.769239849274 -245.106056095053</t>
  </si>
  <si>
    <t>-592.869380015644 201.013830362454 209.964527715378</t>
  </si>
  <si>
    <t>-626.644824500449 168.051244255676 677.258863914187</t>
  </si>
  <si>
    <t>-494.256000583361 91.6933354987143 764.357535146207</t>
  </si>
  <si>
    <t>-659.530751944127 42.6958401379818 -210.673387559039</t>
  </si>
  <si>
    <t>-599.250169637881 -3.69175402675205 238.628435295671</t>
  </si>
  <si>
    <t>-766.761741475971 110.983186657669 662.753179132498</t>
  </si>
  <si>
    <t>-677.19116342575 -13.697166468203 748.633464490126</t>
  </si>
  <si>
    <t>9763-20170724T160623.590104600.bin</t>
  </si>
  <si>
    <t>-627.611629574783 133.363936444556 -228.416390202256</t>
  </si>
  <si>
    <t>-668.511965432095 126.058747759763 -342.17759937882</t>
  </si>
  <si>
    <t>-689.414049404911 116.84822881298 -461.210508986529</t>
  </si>
  <si>
    <t>-699.920070874871 107.507499102305 -569.825537480557</t>
  </si>
  <si>
    <t>-702.089729058681 97.0765251147807 -678.827180699151</t>
  </si>
  <si>
    <t>-696.41681275616 81.3377618514683 -830.220967020032</t>
  </si>
  <si>
    <t>-661.818561388083 60.337525717548 -923.735347683951</t>
  </si>
  <si>
    <t>-685.335581171917 116.938119622355 -765.701517799902</t>
  </si>
  <si>
    <t>-603.521269887331 238.784645393689 -756.493132650187</t>
  </si>
  <si>
    <t>-516.796334257914 184.565557240133 -456.951387816035</t>
  </si>
  <si>
    <t>-331.025830786869 79.634796398218 -308.220363089599</t>
  </si>
  <si>
    <t>-712.518092925368 59.6653866586796 -760.766231479285</t>
  </si>
  <si>
    <t>-595.442732509068 224.537429167643 -245.285542535311</t>
  </si>
  <si>
    <t>-593.194565343457 200.908133265286 209.790495083041</t>
  </si>
  <si>
    <t>-626.693439178167 168.001339403912 677.182844254056</t>
  </si>
  <si>
    <t>-494.192021289849 91.7980273542023 764.245711187643</t>
  </si>
  <si>
    <t>-659.644939619476 42.2186740302363 -210.911885691845</t>
  </si>
  <si>
    <t>-599.304577621999 -3.77819397423741 238.422111770196</t>
  </si>
  <si>
    <t>-766.771574860896 110.844549313278 662.484809737813</t>
  </si>
  <si>
    <t>-677.150312554329 -13.7138855219075 748.489122890813</t>
  </si>
  <si>
    <t>9763-20170724T160623.625215800.bin</t>
  </si>
  <si>
    <t>-627.776395969236 133.170847167319 -228.4981658958</t>
  </si>
  <si>
    <t>-668.703494509464 125.824208126425 -342.246920443582</t>
  </si>
  <si>
    <t>-689.641007519896 116.588798974529 -461.271753208978</t>
  </si>
  <si>
    <t>-700.182119156917 107.233060978613 -569.882134651267</t>
  </si>
  <si>
    <t>-702.389671606628 96.7948258020099 -678.88227648864</t>
  </si>
  <si>
    <t>-696.771853083347 81.0545539963584 -830.278010526786</t>
  </si>
  <si>
    <t>-662.198491133785 60.0698246776578 -923.804973432307</t>
  </si>
  <si>
    <t>-685.688384911811 116.665447584483 -765.764761356731</t>
  </si>
  <si>
    <t>-603.962245195584 238.569465149407 -756.605892680985</t>
  </si>
  <si>
    <t>-517.041496498028 184.52854188279 -457.088657185052</t>
  </si>
  <si>
    <t>-331.228632237421 79.6406146871702 -308.380318204628</t>
  </si>
  <si>
    <t>-712.826665362605 59.3729141435958 -760.815264569264</t>
  </si>
  <si>
    <t>-595.675106004671 224.387463755827 -245.364298081635</t>
  </si>
  <si>
    <t>-593.313304108126 200.842537438339 209.715666974316</t>
  </si>
  <si>
    <t>-626.697974076467 168.039898851452 677.142405971063</t>
  </si>
  <si>
    <t>-494.18201153423 91.8509873567427 764.195724903225</t>
  </si>
  <si>
    <t>-659.738761084201 41.9870958544789 -210.991840796284</t>
  </si>
  <si>
    <t>-599.352910917874 -3.93369567856212 238.343841610562</t>
  </si>
  <si>
    <t>-766.779574032923 110.715404156366 662.377538200581</t>
  </si>
  <si>
    <t>-677.091486180595 -13.7224167959778 748.486649440287</t>
  </si>
  <si>
    <t>9763-20170724T160623.693390200.bin</t>
  </si>
  <si>
    <t>-628.006753014392 132.765132434084 -228.576124467741</t>
  </si>
  <si>
    <t>-668.934285339047 125.348248643744 -342.320338862061</t>
  </si>
  <si>
    <t>-689.863351939561 116.054685768017 -461.341970025559</t>
  </si>
  <si>
    <t>-700.392814035078 106.65385656361 -569.949580676125</t>
  </si>
  <si>
    <t>-702.584326265946 96.1796175290358 -678.946593898244</t>
  </si>
  <si>
    <t>-696.939388711433 80.4000828826004 -830.337185441322</t>
  </si>
  <si>
    <t>-662.371441125249 59.4214416040388 -923.867651031666</t>
  </si>
  <si>
    <t>-685.892146874493 116.038991364166 -765.833373193731</t>
  </si>
  <si>
    <t>-604.249974448998 238.002899725756 -756.693925537375</t>
  </si>
  <si>
    <t>-517.201963181172 183.982007894752 -457.210094132652</t>
  </si>
  <si>
    <t>-331.254668000571 79.3631016107126 -308.480275345129</t>
  </si>
  <si>
    <t>-712.982118546268 58.7250025843603 -760.869645836559</t>
  </si>
  <si>
    <t>-595.946868891681 223.976850255955 -245.472212980137</t>
  </si>
  <si>
    <t>-593.52723387038 200.621490628749 209.61717032437</t>
  </si>
  <si>
    <t>-626.734600970235 168.007199786695 677.090098173452</t>
  </si>
  <si>
    <t>-494.124971832119 91.9683572196814 764.132028673013</t>
  </si>
  <si>
    <t>-659.905918587366 41.6047873929274 -211.020163398415</t>
  </si>
  <si>
    <t>-599.485054119584 -4.13916780594468 238.328733364806</t>
  </si>
  <si>
    <t>-766.791417203117 110.746079867162 662.411719345927</t>
  </si>
  <si>
    <t>-677.091707147381 -13.7164333112089 748.473052073061</t>
  </si>
  <si>
    <t>9763-20170724T160623.723977600.bin</t>
  </si>
  <si>
    <t>-628.135867421883 132.612818603797 -228.591903171426</t>
  </si>
  <si>
    <t>-669.057587852191 125.177343443306 -342.336905331231</t>
  </si>
  <si>
    <t>-689.97365356078 115.859835107063 -461.359017122394</t>
  </si>
  <si>
    <t>-700.488256780306 106.435956908973 -569.965973396337</t>
  </si>
  <si>
    <t>-702.66200725729 95.937425865739 -678.961059338096</t>
  </si>
  <si>
    <t>-696.98935224428 80.1231898938538 -830.347129377925</t>
  </si>
  <si>
    <t>-662.419649898638 59.1322795163146 -923.874180058009</t>
  </si>
  <si>
    <t>-685.956435095384 115.778032828632 -765.84955900565</t>
  </si>
  <si>
    <t>-604.324085251945 237.744987311397 -756.687605515541</t>
  </si>
  <si>
    <t>-517.299135129487 183.716913158544 -457.198272258037</t>
  </si>
  <si>
    <t>-331.320417181293 79.1669678855076 -308.459383377897</t>
  </si>
  <si>
    <t>-713.042319959747 58.4628393056253 -760.877270178935</t>
  </si>
  <si>
    <t>-596.083432512494 223.820516370678 -245.509809131782</t>
  </si>
  <si>
    <t>-593.610381110054 200.549377725043 209.583532336758</t>
  </si>
  <si>
    <t>-626.735242438758 168.047918609454 677.070440470662</t>
  </si>
  <si>
    <t>-494.160651159369 91.9522590391357 764.116072393277</t>
  </si>
  <si>
    <t>-660.047839472967 41.4992918269363 -211.015622389794</t>
  </si>
  <si>
    <t>-599.63024040715 -4.1469574690027 238.343771189132</t>
  </si>
  <si>
    <t>-766.826138283519 110.792897228724 662.467603552124</t>
  </si>
  <si>
    <t>-677.06773686697 -13.691826599347 748.435509255462</t>
  </si>
  <si>
    <t>9763-20170724T160623.795677800.bin</t>
  </si>
  <si>
    <t>-628.501794330723 132.259250219895 -228.681792429758</t>
  </si>
  <si>
    <t>-669.356806298241 124.814854089039 -342.450289470845</t>
  </si>
  <si>
    <t>-690.20383179513 115.463508582414 -461.481807252324</t>
  </si>
  <si>
    <t>-700.656255643124 105.998210419069 -570.091146886487</t>
  </si>
  <si>
    <t>-702.768617022634 95.4471564385894 -679.082330649503</t>
  </si>
  <si>
    <t>-697.01198876746 79.5481124273092 -830.456313368365</t>
  </si>
  <si>
    <t>-662.41575986577 58.521818225418 -923.965588705648</t>
  </si>
  <si>
    <t>-686.018757968981 115.24092346348 -765.973067061988</t>
  </si>
  <si>
    <t>-604.397404427964 237.219403272422 -756.785352649078</t>
  </si>
  <si>
    <t>-517.457280306747 183.170348140786 -457.27519344429</t>
  </si>
  <si>
    <t>-331.542953273611 78.6589630798055 -308.428698317545</t>
  </si>
  <si>
    <t>-713.099505309263 57.9249385657761 -760.982977803532</t>
  </si>
  <si>
    <t>-596.477042113431 223.390180193113 -245.568388807</t>
  </si>
  <si>
    <t>-593.892269305554 200.253698265545 209.531262589221</t>
  </si>
  <si>
    <t>-626.772127061676 168.026029104195 677.064283724981</t>
  </si>
  <si>
    <t>-494.167431524327 91.974895692646 764.10297541071</t>
  </si>
  <si>
    <t>-660.389539579319 41.2207175380649 -211.131708837057</t>
  </si>
  <si>
    <t>-600.054397965476 -4.01436131919331 238.280275018839</t>
  </si>
  <si>
    <t>-766.824998932591 110.939472622591 662.546579975092</t>
  </si>
  <si>
    <t>-677.131254103582 -13.6949045568153 748.365117509792</t>
  </si>
  <si>
    <t>9763-20170724T160623.826762400.bin</t>
  </si>
  <si>
    <t>-628.635422106046 132.037346001367 -228.753322986721</t>
  </si>
  <si>
    <t>-669.457260529731 124.602298748053 -342.534203724685</t>
  </si>
  <si>
    <t>-690.261687239049 115.245385648382 -461.572816610629</t>
  </si>
  <si>
    <t>-700.672215801397 105.768155801929 -570.185283789751</t>
  </si>
  <si>
    <t>-702.739719598469 95.1976676118945 -679.175361295092</t>
  </si>
  <si>
    <t>-696.918091030382 79.2632720360418 -830.543054863304</t>
  </si>
  <si>
    <t>-662.300875926697 58.2230475485906 -924.041482774877</t>
  </si>
  <si>
    <t>-685.954247673706 114.971993878814 -766.063690807641</t>
  </si>
  <si>
    <t>-604.353107163528 236.953741960525 -756.850913655294</t>
  </si>
  <si>
    <t>-517.403227458779 182.949511586786 -457.335591823422</t>
  </si>
  <si>
    <t>-331.480846549488 78.4352142932355 -308.501036416309</t>
  </si>
  <si>
    <t>-713.033699706635 57.6555203336295 -761.071435620611</t>
  </si>
  <si>
    <t>-596.642447320083 223.137120235514 -245.605670394306</t>
  </si>
  <si>
    <t>-593.999780055333 200.070089937373 209.49716579408</t>
  </si>
  <si>
    <t>-626.77357846553 168.045141231355 677.053658108348</t>
  </si>
  <si>
    <t>-494.142647054363 92.0395828028579 764.092193269812</t>
  </si>
  <si>
    <t>-660.455932923382 41.0248175613913 -211.241228454646</t>
  </si>
  <si>
    <t>-600.351929210113 -3.91195353523904 238.231601621476</t>
  </si>
  <si>
    <t>-766.840057333938 110.989505396507 662.600667719708</t>
  </si>
  <si>
    <t>-677.137149269077 -13.6851601790024 748.351046240932</t>
  </si>
  <si>
    <t>9763-20170724T160623.894955400.bin</t>
  </si>
  <si>
    <t>-628.829823978495 131.564335412259 -228.949960620597</t>
  </si>
  <si>
    <t>-669.561587461489 124.167264450772 -342.765644446788</t>
  </si>
  <si>
    <t>-690.275091462494 114.81454292031 -461.820487925823</t>
  </si>
  <si>
    <t>-700.604462818095 105.326292677148 -570.439676066116</t>
  </si>
  <si>
    <t>-702.592689098833 94.7292645960918 -679.428576935795</t>
  </si>
  <si>
    <t>-696.663664101359 78.7411467668151 -830.786615787987</t>
  </si>
  <si>
    <t>-662.011217253481 57.6744150860138 -924.26595651837</t>
  </si>
  <si>
    <t>-685.755055516756 114.477091341297 -766.312950585478</t>
  </si>
  <si>
    <t>-604.185912908966 236.48284477906 -757.038306429024</t>
  </si>
  <si>
    <t>-517.236967262408 182.423306988569 -457.532720268248</t>
  </si>
  <si>
    <t>-331.291122885954 78.0403620721975 -308.635358240203</t>
  </si>
  <si>
    <t>-712.819052809 57.1537444962628 -761.317890922849</t>
  </si>
  <si>
    <t>-596.936813550939 222.630240384132 -245.693584401998</t>
  </si>
  <si>
    <t>-594.237281233314 199.712230366619 209.416455888373</t>
  </si>
  <si>
    <t>-626.804671288826 168.04021611097 677.038439072161</t>
  </si>
  <si>
    <t>-494.171726107964 92.0347219538016 764.073924132766</t>
  </si>
  <si>
    <t>-660.567793663982 40.5470607777579 -211.558417052395</t>
  </si>
  <si>
    <t>-601.03461799289 -3.69140962976098 238.05965316019</t>
  </si>
  <si>
    <t>-766.893567786648 110.973411389117 662.710747634226</t>
  </si>
  <si>
    <t>-677.091230804314 -13.6718803662402 748.399784545779</t>
  </si>
  <si>
    <t>9763-20170724T160623.923058700.bin</t>
  </si>
  <si>
    <t>-628.961856515645 131.329066726548 -229.023175561552</t>
  </si>
  <si>
    <t>-669.620694928997 123.952063578066 -342.866211520647</t>
  </si>
  <si>
    <t>-690.271423961289 114.61057745619 -461.932808561874</t>
  </si>
  <si>
    <t>-700.549143113127 105.128551289911 -570.557374574091</t>
  </si>
  <si>
    <t>-702.491234745203 94.5336672277042 -679.54745111834</t>
  </si>
  <si>
    <t>-696.504377877755 78.5438497633356 -830.902948564689</t>
  </si>
  <si>
    <t>-661.833319111002 57.478320929042 -924.37563813625</t>
  </si>
  <si>
    <t>-685.622680407962 114.281617329357 -766.425699538875</t>
  </si>
  <si>
    <t>-604.073829735346 236.288116719479 -757.100025904769</t>
  </si>
  <si>
    <t>-517.140233653287 182.226501658632 -457.590309427802</t>
  </si>
  <si>
    <t>-331.256636672157 77.7558466291325 -308.676901732857</t>
  </si>
  <si>
    <t>-712.684079642187 56.9560707243352 -761.440084907076</t>
  </si>
  <si>
    <t>-597.079750045472 222.404215847818 -245.734632538094</t>
  </si>
  <si>
    <t>-594.38837111989 199.563286133309 209.379370194491</t>
  </si>
  <si>
    <t>-626.81254012442 168.083396756382 677.041142056993</t>
  </si>
  <si>
    <t>-494.200931496561 92.03028780823 764.067584565369</t>
  </si>
  <si>
    <t>-660.71337756877 40.3119078141444 -211.671419991878</t>
  </si>
  <si>
    <t>-601.350755375581 -3.59880697477752 238.001361692568</t>
  </si>
  <si>
    <t>-766.920721002373 110.950938804943 662.77709269035</t>
  </si>
  <si>
    <t>-677.091133453147 -13.689112059641 748.44516829239</t>
  </si>
  <si>
    <t>9763-20170724T160623.994278200.bin</t>
  </si>
  <si>
    <t>-629.046259693344 131.015982843418 -229.143194895933</t>
  </si>
  <si>
    <t>-669.63756469844 123.713936190977 -343.0152232684</t>
  </si>
  <si>
    <t>-690.20537846564 114.414783315604 -462.099435312247</t>
  </si>
  <si>
    <t>-700.402697353624 104.95755163663 -570.733769417365</t>
  </si>
  <si>
    <t>-702.25996080038 94.3733254225192 -679.726337163297</t>
  </si>
  <si>
    <t>-696.150894868593 78.3838564502362 -831.077071998964</t>
  </si>
  <si>
    <t>-661.460977272293 57.3168190831038 -924.54231976167</t>
  </si>
  <si>
    <t>-685.334346904648 114.127602124398 -766.592072093431</t>
  </si>
  <si>
    <t>-603.804587254663 236.143545056903 -757.171027148883</t>
  </si>
  <si>
    <t>-517.062931479664 182.013306538292 -457.617984740386</t>
  </si>
  <si>
    <t>-331.194008820906 77.5383851995111 -308.689176217991</t>
  </si>
  <si>
    <t>-712.373579811323 56.7898089822259 -761.625993303865</t>
  </si>
  <si>
    <t>-597.256362091765 222.083590355079 -245.760587338793</t>
  </si>
  <si>
    <t>-594.532203823239 199.352317597447 209.358695530406</t>
  </si>
  <si>
    <t>-626.857566249147 168.044478847257 677.053745399026</t>
  </si>
  <si>
    <t>-494.186101126151 92.0744067954381 764.061468610777</t>
  </si>
  <si>
    <t>-660.667991394533 40.0014955153517 -211.865744058358</t>
  </si>
  <si>
    <t>-601.748224579152 -3.45437148420751 237.909458632719</t>
  </si>
  <si>
    <t>-766.902566843366 110.949202893205 662.870282392281</t>
  </si>
  <si>
    <t>-677.11326975798 -13.7140472771516 748.546746700071</t>
  </si>
  <si>
    <t>9763-20170724T160624.026355800.bin</t>
  </si>
  <si>
    <t>-629.056206915007 130.901038098618 -229.15256482934</t>
  </si>
  <si>
    <t>-669.614026814343 123.622188813069 -343.038120035139</t>
  </si>
  <si>
    <t>-690.129761556321 114.338360384009 -462.132467728085</t>
  </si>
  <si>
    <t>-700.273044139747 104.892010794285 -570.772865448513</t>
  </si>
  <si>
    <t>-702.068973552799 94.3167733843479 -679.767307069511</t>
  </si>
  <si>
    <t>-695.867593829999 78.3378722475097 -831.115416504078</t>
  </si>
  <si>
    <t>-661.145169401498 57.2781354699828 -924.570371149472</t>
  </si>
  <si>
    <t>-685.100176565651 114.081564244551 -766.622100757165</t>
  </si>
  <si>
    <t>-603.583077226952 236.099492727025 -757.126742300457</t>
  </si>
  <si>
    <t>-516.935791383111 181.875760727995 -457.563354925343</t>
  </si>
  <si>
    <t>-331.086019343242 77.4136682263661 -308.601690224796</t>
  </si>
  <si>
    <t>-712.122938263744 56.7344061558445 -761.674940429606</t>
  </si>
  <si>
    <t>-597.273651797848 221.958981704775 -245.758773938935</t>
  </si>
  <si>
    <t>-594.543952440403 199.263933752942 209.362302240692</t>
  </si>
  <si>
    <t>-626.856684434028 168.067156169094 677.053924615009</t>
  </si>
  <si>
    <t>-494.217440664825 92.04641249662 764.066479168001</t>
  </si>
  <si>
    <t>-660.666874179405 39.8878970712124 -211.900275161465</t>
  </si>
  <si>
    <t>-601.825680401428 -3.42779519031228 237.898748414059</t>
  </si>
  <si>
    <t>-766.886370660022 110.931865073827 662.885458174713</t>
  </si>
  <si>
    <t>-677.093938644477 -13.7185283596534 748.577378811463</t>
  </si>
  <si>
    <t>9763-20170724T160624.094549600.bin</t>
  </si>
  <si>
    <t>-628.879435302511 130.959706245091 -229.13097258953</t>
  </si>
  <si>
    <t>-669.387140570539 123.64420392203 -343.031923701169</t>
  </si>
  <si>
    <t>-689.830655867435 114.362718071059 -462.138870963064</t>
  </si>
  <si>
    <t>-699.899025862937 104.936251806067 -570.787992044127</t>
  </si>
  <si>
    <t>-701.610645677693 94.3990324916888 -679.787529568638</t>
  </si>
  <si>
    <t>-695.281947030336 78.4928969523314 -831.137832232525</t>
  </si>
  <si>
    <t>-660.502995499463 57.4653188841439 -924.578930502411</t>
  </si>
  <si>
    <t>-684.593266256676 114.217044947162 -766.620761690556</t>
  </si>
  <si>
    <t>-603.116916156276 236.253498152835 -757.014101997299</t>
  </si>
  <si>
    <t>-516.632260668649 181.98223809295 -457.412348910613</t>
  </si>
  <si>
    <t>-330.764368443464 77.5344268887395 -308.463151041171</t>
  </si>
  <si>
    <t>-711.57103807919 56.8448088311166 -761.719279514962</t>
  </si>
  <si>
    <t>-597.127798384278 221.99352994281 -245.736489969715</t>
  </si>
  <si>
    <t>-594.527236333928 199.399373549978 209.390239946159</t>
  </si>
  <si>
    <t>-626.840522635822 168.171352404521 677.063614698142</t>
  </si>
  <si>
    <t>-494.275237078771 92.0331966236683 764.086224525401</t>
  </si>
  <si>
    <t>-660.461294289631 39.9538418869963 -211.858180038108</t>
  </si>
  <si>
    <t>-601.709249628028 -3.38444808286727 237.950252802894</t>
  </si>
  <si>
    <t>-766.831406149959 110.956341209229 662.918754414246</t>
  </si>
  <si>
    <t>-677.047165379541 -13.7020155704388 748.607681149545</t>
  </si>
  <si>
    <t>9763-20170724T160624.125135200.bin</t>
  </si>
  <si>
    <t>-628.708268957846 131.012712740298 -229.097439064272</t>
  </si>
  <si>
    <t>-669.210762650466 123.678017930116 -342.998959018434</t>
  </si>
  <si>
    <t>-689.621690134291 114.37720119335 -462.109994142173</t>
  </si>
  <si>
    <t>-699.649193388437 104.934290016063 -570.761485744632</t>
  </si>
  <si>
    <t>-701.308557102843 94.3822606953827 -679.760288421024</t>
  </si>
  <si>
    <t>-694.895316834318 78.4579858519444 -831.1052827641</t>
  </si>
  <si>
    <t>-660.063621522872 57.42785059372 -924.526291178311</t>
  </si>
  <si>
    <t>-684.257499078747 114.196639104376 -766.587766496819</t>
  </si>
  <si>
    <t>-602.83641721305 236.269075957531 -756.939734252222</t>
  </si>
  <si>
    <t>-516.385609235394 181.945392386393 -457.33771793694</t>
  </si>
  <si>
    <t>-330.456278737269 77.5448445903776 -308.432140459551</t>
  </si>
  <si>
    <t>-711.208413725353 56.8113768831527 -761.691792027912</t>
  </si>
  <si>
    <t>-597.003368358796 222.063267443721 -245.721402968972</t>
  </si>
  <si>
    <t>-594.456512573549 199.486513996074 209.406595460899</t>
  </si>
  <si>
    <t>-626.844893970739 168.158552996174 677.071532955909</t>
  </si>
  <si>
    <t>-494.211977262645 92.1297030583082 764.086696199378</t>
  </si>
  <si>
    <t>-660.218622254156 39.9942506611055 -211.806311126057</t>
  </si>
  <si>
    <t>-601.554595170634 -3.40840495047587 238.007379480394</t>
  </si>
  <si>
    <t>-766.822665057062 110.96345038041 662.935174609788</t>
  </si>
  <si>
    <t>-677.046173622923 -13.7067490439438 748.615031828599</t>
  </si>
  <si>
    <t>9763-20170724T160624.193817400.bin</t>
  </si>
  <si>
    <t>-628.31687815874 131.172206277544 -228.952019151989</t>
  </si>
  <si>
    <t>-668.829683821285 123.769656846007 -342.84553542257</t>
  </si>
  <si>
    <t>-689.172729968996 114.412524277697 -461.963798933863</t>
  </si>
  <si>
    <t>-699.105908799387 104.925410023537 -570.619950994037</t>
  </si>
  <si>
    <t>-700.637825864174 94.3370196651717 -679.617187710438</t>
  </si>
  <si>
    <t>-694.01339693912 78.3710526775503 -830.948628182506</t>
  </si>
  <si>
    <t>-659.068861061455 57.3512908576681 -924.329847547088</t>
  </si>
  <si>
    <t>-683.492354512727 114.139748795169 -766.42874235767</t>
  </si>
  <si>
    <t>-602.147890878755 236.267691926044 -756.722818036253</t>
  </si>
  <si>
    <t>-515.720983029256 182.003777803328 -457.103098521508</t>
  </si>
  <si>
    <t>-329.728452971882 77.5274029157961 -308.329833938433</t>
  </si>
  <si>
    <t>-710.396757973524 56.73111755232 -761.54958398501</t>
  </si>
  <si>
    <t>-596.57767189998 222.24218251617 -245.659028555844</t>
  </si>
  <si>
    <t>-594.185777318539 199.637102728511 209.468295056709</t>
  </si>
  <si>
    <t>-626.827647394324 168.208427427857 677.079762173197</t>
  </si>
  <si>
    <t>-494.230257253898 92.1332517074925 764.108511657043</t>
  </si>
  <si>
    <t>-659.887339202576 40.1304491051453 -211.571168139729</t>
  </si>
  <si>
    <t>-600.957109048602 -3.49128704510395 238.186580827764</t>
  </si>
  <si>
    <t>-766.765238771223 111.003627334814 662.889874322324</t>
  </si>
  <si>
    <t>-676.996356058434 -13.687537263165 748.547122977405</t>
  </si>
  <si>
    <t>9763-20170724T160624.224909700.bin</t>
  </si>
  <si>
    <t>-628.086580066585 131.260388116252 -228.882007120532</t>
  </si>
  <si>
    <t>-668.586753020579 123.798057568142 -342.776032684809</t>
  </si>
  <si>
    <t>-688.896892170566 114.374239493001 -461.89467337594</t>
  </si>
  <si>
    <t>-698.792129080694 104.8247866241 -570.549041042673</t>
  </si>
  <si>
    <t>-700.278094079357 94.172350437661 -679.540577423735</t>
  </si>
  <si>
    <t>-693.581494638284 78.1161827796254 -830.859386512309</t>
  </si>
  <si>
    <t>-658.59349239377 57.0768185102497 -924.219775732998</t>
  </si>
  <si>
    <t>-683.099755709054 113.927318607425 -766.356513097386</t>
  </si>
  <si>
    <t>-601.821291757986 236.095706609678 -756.672484352195</t>
  </si>
  <si>
    <t>-515.440833620371 181.91400655547 -457.024314042663</t>
  </si>
  <si>
    <t>-329.432155785632 77.3928763503536 -308.302570300623</t>
  </si>
  <si>
    <t>-709.989333402213 56.513731011921 -761.454537358094</t>
  </si>
  <si>
    <t>-596.381588485335 222.369492856768 -245.627079985131</t>
  </si>
  <si>
    <t>-594.036871715485 199.711371503688 209.497994299469</t>
  </si>
  <si>
    <t>-626.819712535486 168.193583087281 677.078014575279</t>
  </si>
  <si>
    <t>-494.167748607012 92.2192275807772 764.111706457987</t>
  </si>
  <si>
    <t>-659.630838383734 40.1982332309044 -211.455389265238</t>
  </si>
  <si>
    <t>-600.592204596279 -3.55902509286966 238.274939260298</t>
  </si>
  <si>
    <t>-766.710012261145 111.024804568611 662.818204325318</t>
  </si>
  <si>
    <t>-677.035358551449 -13.7152654936506 748.502989704867</t>
  </si>
  <si>
    <t>9763-20170724T160624.290091100.bin</t>
  </si>
  <si>
    <t>-627.564695370926 131.540971743096 -228.723393358228</t>
  </si>
  <si>
    <t>-668.025391914046 123.928892483099 -342.62143495941</t>
  </si>
  <si>
    <t>-688.317652671901 114.38523949299 -461.733620771826</t>
  </si>
  <si>
    <t>-698.205953013757 104.739187842851 -570.380007934459</t>
  </si>
  <si>
    <t>-699.694079211052 94.0017572156285 -679.36316265697</t>
  </si>
  <si>
    <t>-693.009866078729 77.8391803463503 -830.671121659444</t>
  </si>
  <si>
    <t>-658.006568983513 56.7785158347619 -924.021139935713</t>
  </si>
  <si>
    <t>-682.533875046477 113.700789906626 -766.195426341928</t>
  </si>
  <si>
    <t>-601.310413179927 235.908372409666 -756.569323830415</t>
  </si>
  <si>
    <t>-514.888428042267 181.903678179624 -456.901267636484</t>
  </si>
  <si>
    <t>-328.827393118615 77.3369070410229 -308.277128844067</t>
  </si>
  <si>
    <t>-709.401012812656 56.2804005330354 -761.248739452929</t>
  </si>
  <si>
    <t>-595.905362594537 222.752474420401 -245.564977307424</t>
  </si>
  <si>
    <t>-593.924414141606 200.137263644097 209.563879717219</t>
  </si>
  <si>
    <t>-626.800105803227 168.270430080537 677.088610846369</t>
  </si>
  <si>
    <t>-494.162349617849 92.275172782937 764.125718701397</t>
  </si>
  <si>
    <t>-659.079870815537 40.3860336307582 -211.219896549939</t>
  </si>
  <si>
    <t>-599.985779734144 -3.74343018639911 238.466814245978</t>
  </si>
  <si>
    <t>-766.734126292882 111.005711804772 662.77519944676</t>
  </si>
  <si>
    <t>-677.026645278123 -13.7410695028962 748.415860191621</t>
  </si>
  <si>
    <t>9763-20170724T160624.323177900.bin</t>
  </si>
  <si>
    <t>-627.32611415958 131.693676675582 -228.627449696894</t>
  </si>
  <si>
    <t>-667.780357696227 124.00454679816 -342.522736176131</t>
  </si>
  <si>
    <t>-688.074771851881 114.398665531322 -461.629417816886</t>
  </si>
  <si>
    <t>-697.968424695692 104.70290019343 -570.270861075431</t>
  </si>
  <si>
    <t>-699.465303220426 93.9223764700689 -679.249847805725</t>
  </si>
  <si>
    <t>-692.796539032573 77.7070691942452 -830.552680826943</t>
  </si>
  <si>
    <t>-657.787391869174 56.6264346263702 -923.89594040454</t>
  </si>
  <si>
    <t>-682.323722501051 113.595552277421 -766.091459278603</t>
  </si>
  <si>
    <t>-601.153003911196 235.838662304291 -756.491138765314</t>
  </si>
  <si>
    <t>-514.644479425948 181.913446989148 -456.83378924081</t>
  </si>
  <si>
    <t>-328.592333687544 77.2668220951157 -308.254796721558</t>
  </si>
  <si>
    <t>-709.170860830729 56.1680509533248 -761.120128282343</t>
  </si>
  <si>
    <t>-595.66690395153 222.968661016683 -245.531180945544</t>
  </si>
  <si>
    <t>-593.855961808604 200.371567818868 209.599203343226</t>
  </si>
  <si>
    <t>-626.78685501544 168.317391390298 677.093072278161</t>
  </si>
  <si>
    <t>-494.16773317601 92.2916279621249 764.131944437929</t>
  </si>
  <si>
    <t>-658.842148599359 40.4588326737332 -211.071633556656</t>
  </si>
  <si>
    <t>-599.710681530867 -3.79944713669056 238.59755019852</t>
  </si>
  <si>
    <t>-766.774916677267 111.019852445054 662.777356281132</t>
  </si>
  <si>
    <t>-677.004617940306 -13.7317431266558 748.345143200601</t>
  </si>
  <si>
    <t>9763-20170724T160624.389356000.bin</t>
  </si>
  <si>
    <t>-626.772534732862 132.053906110775 -228.576963553631</t>
  </si>
  <si>
    <t>-667.221181281207 124.298621313184 -342.469669896955</t>
  </si>
  <si>
    <t>-687.488464447865 114.630275842428 -461.576141216167</t>
  </si>
  <si>
    <t>-697.348522677259 104.879789771077 -570.215711963759</t>
  </si>
  <si>
    <t>-698.802813311893 94.0462631843659 -679.189883476151</t>
  </si>
  <si>
    <t>-692.066033060599 77.7586081370857 -830.482086311878</t>
  </si>
  <si>
    <t>-657.014471674435 56.6277572514307 -923.797989114527</t>
  </si>
  <si>
    <t>-681.627485663507 113.680447753839 -766.033799367939</t>
  </si>
  <si>
    <t>-600.495296005772 235.942947288909 -756.446656732212</t>
  </si>
  <si>
    <t>-514.011711811285 182.162149459371 -456.75616220199</t>
  </si>
  <si>
    <t>-327.987906895749 77.3207214914389 -308.278943231211</t>
  </si>
  <si>
    <t>-708.466155218746 56.2504032807494 -761.046207751315</t>
  </si>
  <si>
    <t>-595.128226918689 223.367301590319 -245.498400410321</t>
  </si>
  <si>
    <t>-593.553258052341 200.630018188103 209.625996544324</t>
  </si>
  <si>
    <t>-626.796401772589 168.307228071407 677.096219778892</t>
  </si>
  <si>
    <t>-494.110827272601 92.4065886988662 764.14298729214</t>
  </si>
  <si>
    <t>-658.277267612883 40.8355269614028 -210.992254239653</t>
  </si>
  <si>
    <t>-599.191956008204 -3.57924870371426 238.667517700083</t>
  </si>
  <si>
    <t>-766.714232365083 111.109435728919 662.673883612135</t>
  </si>
  <si>
    <t>-677.016381102373 -13.7347669195278 748.182604022619</t>
  </si>
  <si>
    <t>9763-20170724T160624.426963000.bin</t>
  </si>
  <si>
    <t>-626.525064161814 132.166549128013 -228.605649287317</t>
  </si>
  <si>
    <t>-666.956697128908 124.416439960895 -342.504880080948</t>
  </si>
  <si>
    <t>-687.225254781693 114.749173578007 -461.611088847053</t>
  </si>
  <si>
    <t>-697.094379168862 104.99771041152 -570.249830222937</t>
  </si>
  <si>
    <t>-698.565740401108 94.161130252638 -679.223330701903</t>
  </si>
  <si>
    <t>-691.861029635715 77.8669550955544 -830.516330859743</t>
  </si>
  <si>
    <t>-656.800162775741 56.7013949717989 -923.82083736649</t>
  </si>
  <si>
    <t>-681.411065357607 113.792577827202 -766.071956276555</t>
  </si>
  <si>
    <t>-600.279147493753 236.075321934608 -756.48859724964</t>
  </si>
  <si>
    <t>-513.817918726687 182.314375434505 -456.788153868564</t>
  </si>
  <si>
    <t>-327.878294218121 77.3080067775945 -308.322171852296</t>
  </si>
  <si>
    <t>-708.244180990847 56.3607440575133 -761.075718003611</t>
  </si>
  <si>
    <t>-594.862851975264 223.449724339323 -245.502843244848</t>
  </si>
  <si>
    <t>-593.334461895806 200.613709694647 209.616855582641</t>
  </si>
  <si>
    <t>-626.807849741361 168.258219114781 677.078694864674</t>
  </si>
  <si>
    <t>-494.096726854532 92.421181081598 764.141972266315</t>
  </si>
  <si>
    <t>-658.022243774992 40.958459367911 -211.046868770956</t>
  </si>
  <si>
    <t>-599.02277146698 -3.40232438618591 238.629490646298</t>
  </si>
  <si>
    <t>-766.666371777866 111.129145471344 662.614457668041</t>
  </si>
  <si>
    <t>-677.0019609611 -13.730035604977 748.136277437388</t>
  </si>
  <si>
    <t>9763-20170724T160624.490639000.bin</t>
  </si>
  <si>
    <t>-626.131377918691 132.44700363679 -228.698461238666</t>
  </si>
  <si>
    <t>-666.512427381106 124.760112606999 -342.619818738004</t>
  </si>
  <si>
    <t>-686.763748554056 115.097684219212 -461.729435881068</t>
  </si>
  <si>
    <t>-696.632278229233 105.326237744694 -570.36636620828</t>
  </si>
  <si>
    <t>-698.118979005924 94.4446073839706 -679.335298562914</t>
  </si>
  <si>
    <t>-691.45239350884 78.0617177847885 -830.620280111252</t>
  </si>
  <si>
    <t>-656.428944366912 56.8253198362056 -923.922727291877</t>
  </si>
  <si>
    <t>-680.985105990561 114.024616243044 -766.199535617503</t>
  </si>
  <si>
    <t>-599.864442114599 236.300877039516 -756.689789039911</t>
  </si>
  <si>
    <t>-513.45620832062 182.56763383829 -456.968987739809</t>
  </si>
  <si>
    <t>-327.673694049092 77.3782066242798 -308.435744075669</t>
  </si>
  <si>
    <t>-707.819170282577 56.5966887711311 -761.163039774967</t>
  </si>
  <si>
    <t>-594.512303432162 223.680100185381 -245.518272639287</t>
  </si>
  <si>
    <t>-592.967758103846 200.540145705525 209.585983464166</t>
  </si>
  <si>
    <t>-626.794703711027 168.289773543867 677.043605742892</t>
  </si>
  <si>
    <t>-494.119928656605 92.4205714397124 764.134239469124</t>
  </si>
  <si>
    <t>-657.622824537098 41.3027069700029 -211.238389127114</t>
  </si>
  <si>
    <t>-598.947138095692 -3.0618122870037 238.479981743046</t>
  </si>
  <si>
    <t>-766.603515828371 111.125428425104 662.556706185094</t>
  </si>
  <si>
    <t>-676.983765707432 -13.7440847336222 748.110315122489</t>
  </si>
  <si>
    <t>9763-20170724T160624.523228600.bin</t>
  </si>
  <si>
    <t>-625.969522416716 132.652300169625 -228.743217155706</t>
  </si>
  <si>
    <t>-666.309408389613 125.003966829256 -342.681738207891</t>
  </si>
  <si>
    <t>-686.538514905037 115.362645973229 -461.796801026971</t>
  </si>
  <si>
    <t>-696.395669888661 105.602443425361 -570.435747295903</t>
  </si>
  <si>
    <t>-697.879815971219 94.7242284252759 -679.405096656688</t>
  </si>
  <si>
    <t>-691.21941996022 78.3372868921601 -830.689885193554</t>
  </si>
  <si>
    <t>-656.221641976089 57.089472013502 -923.999587147812</t>
  </si>
  <si>
    <t>-680.74362069872 114.299227982552 -766.270147836703</t>
  </si>
  <si>
    <t>-599.573744639197 236.552687473098 -756.783923376688</t>
  </si>
  <si>
    <t>-513.248964011796 182.822991622898 -457.03854436847</t>
  </si>
  <si>
    <t>-327.505080324265 77.5569424773851 -308.511243932508</t>
  </si>
  <si>
    <t>-707.589268689862 56.8767615695292 -761.232158735913</t>
  </si>
  <si>
    <t>-594.305836471769 223.860224346007 -245.521331653651</t>
  </si>
  <si>
    <t>-592.846944325206 200.633202849716 209.578757114148</t>
  </si>
  <si>
    <t>-626.782809697771 168.305964113501 677.020191374661</t>
  </si>
  <si>
    <t>-494.0652658698 92.5248755341988 764.122398799016</t>
  </si>
  <si>
    <t>-657.470172440597 41.5475077276217 -211.310423332283</t>
  </si>
  <si>
    <t>-598.962767750176 -2.95536678911958 238.416227827213</t>
  </si>
  <si>
    <t>-766.610500367463 111.104743601021 662.552025779141</t>
  </si>
  <si>
    <t>-676.959761916534 -13.741035277073 748.107752480931</t>
  </si>
  <si>
    <t>9763-20170724T160624.591911800.bin</t>
  </si>
  <si>
    <t>-625.744698064391 132.980915046077 -228.758178931243</t>
  </si>
  <si>
    <t>-666.030840643286 125.387708098365 -342.719533743695</t>
  </si>
  <si>
    <t>-686.237432829922 115.772478264956 -461.840418730372</t>
  </si>
  <si>
    <t>-696.088007633569 106.024044797533 -570.48098186675</t>
  </si>
  <si>
    <t>-697.580165712482 95.1453693343149 -679.450162208762</t>
  </si>
  <si>
    <t>-690.945924956852 78.7455821895878 -830.734822856887</t>
  </si>
  <si>
    <t>-656.005356141446 57.4595596841598 -924.057110055714</t>
  </si>
  <si>
    <t>-680.431648863007 114.700411271924 -766.317233805393</t>
  </si>
  <si>
    <t>-599.147831850765 236.878486974781 -756.847201273397</t>
  </si>
  <si>
    <t>-512.895994436925 183.158428975332 -457.078982294996</t>
  </si>
  <si>
    <t>-327.323206391259 77.7124663267753 -308.46555894916</t>
  </si>
  <si>
    <t>-707.331089673142 57.303550438849 -761.274813428738</t>
  </si>
  <si>
    <t>-593.987714329368 224.18170091745 -245.515981531513</t>
  </si>
  <si>
    <t>-592.736235187028 200.869233271686 209.580306215182</t>
  </si>
  <si>
    <t>-626.751763778062 168.423053146685 676.997500980086</t>
  </si>
  <si>
    <t>-494.124866698693 92.4962036001989 764.110821240532</t>
  </si>
  <si>
    <t>-657.369427884757 41.8169159180748 -211.352409727535</t>
  </si>
  <si>
    <t>-598.945174925692 -2.84457568484959 238.369289761303</t>
  </si>
  <si>
    <t>-766.600419527668 111.080808338576 662.5151300425</t>
  </si>
  <si>
    <t>-676.947473220757 -13.7482771029322 748.092941223668</t>
  </si>
  <si>
    <t>9763-20170724T160624.624517300.bin</t>
  </si>
  <si>
    <t>-625.624518498546 133.119749647143 -228.77077698957</t>
  </si>
  <si>
    <t>-665.911341504722 125.557747804118 -342.733847260926</t>
  </si>
  <si>
    <t>-686.118283834478 115.958970656976 -461.856221289533</t>
  </si>
  <si>
    <t>-695.969059720803 106.220054072566 -570.497620633489</t>
  </si>
  <si>
    <t>-697.461219923428 95.3461309650199 -679.467283460256</t>
  </si>
  <si>
    <t>-690.827090633392 78.9480205786795 -830.752103328028</t>
  </si>
  <si>
    <t>-655.899379799073 57.6464119386465 -924.075515643738</t>
  </si>
  <si>
    <t>-680.299710242957 114.896127824521 -766.332853179736</t>
  </si>
  <si>
    <t>-598.961501942617 237.034416776134 -756.858129598478</t>
  </si>
  <si>
    <t>-512.85549536788 183.247239681669 -457.060084164875</t>
  </si>
  <si>
    <t>-327.360041981811 77.7081495241493 -308.416393606503</t>
  </si>
  <si>
    <t>-707.22526829983 57.5112162826692 -761.293477345074</t>
  </si>
  <si>
    <t>-593.792844404738 224.336933530891 -245.516683666374</t>
  </si>
  <si>
    <t>-592.620432073787 200.94208923642 209.575519732394</t>
  </si>
  <si>
    <t>-626.752586977666 168.42333070274 676.983907406066</t>
  </si>
  <si>
    <t>-494.105775013917 92.5319326587364 764.097785421179</t>
  </si>
  <si>
    <t>-657.313084684838 41.9362468538795 -211.372564274864</t>
  </si>
  <si>
    <t>-598.911091599504 -2.89254872021343 238.335364661429</t>
  </si>
  <si>
    <t>-766.592387648387 110.992386359898 662.440270560164</t>
  </si>
  <si>
    <t>-676.898813877435 -13.7469876612431 748.106268295326</t>
  </si>
  <si>
    <t>9763-20170724T160624.693201200.bin</t>
  </si>
  <si>
    <t>-625.292047162926 133.33748029883 -228.787098741865</t>
  </si>
  <si>
    <t>-665.575264271625 125.812070201409 -342.75387628295</t>
  </si>
  <si>
    <t>-685.773850744226 116.24954937519 -461.880481911671</t>
  </si>
  <si>
    <t>-695.615122027973 106.54403982269 -570.525716894845</t>
  </si>
  <si>
    <t>-697.095711122959 95.7048294961785 -679.499075083538</t>
  </si>
  <si>
    <t>-690.443012434192 79.3571902317472 -830.788463909056</t>
  </si>
  <si>
    <t>-655.496550392672 58.0453437371332 -924.102629198251</t>
  </si>
  <si>
    <t>-679.902025590802 115.273884983583 -766.354016254287</t>
  </si>
  <si>
    <t>-598.479781114581 237.350821790672 -756.802901965866</t>
  </si>
  <si>
    <t>-512.557584462511 183.423377700635 -456.977293263113</t>
  </si>
  <si>
    <t>-327.206207918242 77.6278533278951 -308.335992467655</t>
  </si>
  <si>
    <t>-706.87122542218 57.9071430882425 -761.341171970928</t>
  </si>
  <si>
    <t>-593.345716843125 224.618014941247 -245.528050743506</t>
  </si>
  <si>
    <t>-592.353573267267 201.082886805243 209.557504055143</t>
  </si>
  <si>
    <t>-626.730342226401 168.514574373707 676.950754459048</t>
  </si>
  <si>
    <t>-494.129149183043 92.548323881731 764.068891912089</t>
  </si>
  <si>
    <t>-657.093404813804 42.091197209123 -211.413529863959</t>
  </si>
  <si>
    <t>-598.822639482512 -3.16603719750424 238.268574034755</t>
  </si>
  <si>
    <t>-766.596251516159 110.732675327075 662.29927303371</t>
  </si>
  <si>
    <t>-676.876411890373 -13.8074654476748 748.227218716247</t>
  </si>
  <si>
    <t>9763-20170724T160624.725782600.bin</t>
  </si>
  <si>
    <t>-625.122110996329 133.441260921186 -228.773027822856</t>
  </si>
  <si>
    <t>-665.399201061465 125.915394855781 -342.741902134808</t>
  </si>
  <si>
    <t>-685.597725736566 116.365351171039 -461.869425423232</t>
  </si>
  <si>
    <t>-695.44137951284 106.677192624497 -570.516222544135</t>
  </si>
  <si>
    <t>-696.926632376637 95.8619854442572 -679.491714275166</t>
  </si>
  <si>
    <t>-690.282469986268 79.5552845997227 -830.786080558968</t>
  </si>
  <si>
    <t>-655.327714157251 58.2474574066284 -924.097945788175</t>
  </si>
  <si>
    <t>-679.730174540416 115.450959444515 -766.34174041978</t>
  </si>
  <si>
    <t>-598.277533136786 237.507281248037 -756.75184268445</t>
  </si>
  <si>
    <t>-512.437250771275 183.505533517938 -456.916181806718</t>
  </si>
  <si>
    <t>-327.158912717262 77.6229418625603 -308.245767129137</t>
  </si>
  <si>
    <t>-706.714484826863 58.0899700739478 -761.344269940992</t>
  </si>
  <si>
    <t>-593.104599252758 224.755981250014 -245.524937950333</t>
  </si>
  <si>
    <t>-592.275869997386 201.182972097821 209.558821208926</t>
  </si>
  <si>
    <t>-626.72754874631 168.534122618102 676.940183686092</t>
  </si>
  <si>
    <t>-494.123056814935 92.5688734949306 764.05417426199</t>
  </si>
  <si>
    <t>-657.014226568145 42.1846303342309 -211.379662757704</t>
  </si>
  <si>
    <t>-598.776654963868 -3.39170161666311 238.274492177135</t>
  </si>
  <si>
    <t>-766.607133643826 110.625574562835 662.282062138997</t>
  </si>
  <si>
    <t>-676.876194454429 -13.8434745780417 748.301387421689</t>
  </si>
  <si>
    <t>9763-20170724T160624.796471500.bin</t>
  </si>
  <si>
    <t>-624.834260216572 133.354209186542 -228.84718310583</t>
  </si>
  <si>
    <t>-665.103647440939 125.812102776658 -342.817762828879</t>
  </si>
  <si>
    <t>-685.281393287169 116.262814609647 -461.948840791596</t>
  </si>
  <si>
    <t>-695.100499143613 106.584230345637 -570.598684305565</t>
  </si>
  <si>
    <t>-696.555119176444 95.7888314436161 -679.576585255521</t>
  </si>
  <si>
    <t>-689.86206994799 79.5211013960761 -830.872878042794</t>
  </si>
  <si>
    <t>-654.872725021266 58.2319587530615 -924.176144814546</t>
  </si>
  <si>
    <t>-679.315910613181 115.393357855364 -766.414556233057</t>
  </si>
  <si>
    <t>-597.797866444148 237.399260399036 -756.74568432799</t>
  </si>
  <si>
    <t>-512.090126308153 183.286969112138 -456.892063723313</t>
  </si>
  <si>
    <t>-326.962314080888 77.2582282007938 -308.138413148691</t>
  </si>
  <si>
    <t>-706.331195058017 58.0447390688046 -761.443429650933</t>
  </si>
  <si>
    <t>-592.631973416348 224.919804290722 -245.60654252983</t>
  </si>
  <si>
    <t>-592.088709274723 201.315250179056 209.476048907122</t>
  </si>
  <si>
    <t>-626.686909946781 168.69894269018 676.864447696131</t>
  </si>
  <si>
    <t>-494.232289074682 92.4922182685923 763.99548059664</t>
  </si>
  <si>
    <t>-656.893818960546 41.777953914022 -211.505286975219</t>
  </si>
  <si>
    <t>-598.689859777051 -4.17893049597274 238.11443101008</t>
  </si>
  <si>
    <t>-766.669065273023 109.672766667739 661.763948168181</t>
  </si>
  <si>
    <t>-676.705156529515 -13.9698069515705 748.726728492195</t>
  </si>
  <si>
    <t>9763-20170724T160624.829577700.bin</t>
  </si>
  <si>
    <t>-624.648757785173 133.177827557395 -228.936901956266</t>
  </si>
  <si>
    <t>-664.921289809067 125.640931606247 -342.906826994643</t>
  </si>
  <si>
    <t>-685.099760436394 116.117612250157 -462.039979761585</t>
  </si>
  <si>
    <t>-694.918361715687 106.471892712554 -570.692598105748</t>
  </si>
  <si>
    <t>-696.370722528266 95.7199034792529 -679.674936615532</t>
  </si>
  <si>
    <t>-689.672437127557 79.5241407066455 -830.978667399745</t>
  </si>
  <si>
    <t>-654.668358959593 58.2753474144204 -924.285633264994</t>
  </si>
  <si>
    <t>-679.126199481406 115.364638029324 -766.502712015877</t>
  </si>
  <si>
    <t>-597.572251161135 237.338089424167 -756.802291023071</t>
  </si>
  <si>
    <t>-511.937629593109 183.188794873793 -456.934338019955</t>
  </si>
  <si>
    <t>-326.896937216812 77.0868398111572 -308.124539856094</t>
  </si>
  <si>
    <t>-706.14622668117 58.0159047502164 -761.560129487475</t>
  </si>
  <si>
    <t>-592.380290188381 224.876143000099 -245.67267369119</t>
  </si>
  <si>
    <t>-591.981233293388 201.256408933551 209.409279313215</t>
  </si>
  <si>
    <t>-626.687162849953 168.690143680266 676.812202164997</t>
  </si>
  <si>
    <t>-494.23868376131 92.4809782886991 763.950462135681</t>
  </si>
  <si>
    <t>-656.76825391978 41.5281800709577 -211.620382186375</t>
  </si>
  <si>
    <t>-598.598338799076 -4.68466585522287 237.97757267117</t>
  </si>
  <si>
    <t>-766.624286960878 109.251350932429 661.675399715604</t>
  </si>
  <si>
    <t>-676.611946113528 -14.0588656842829 749.058909993019</t>
  </si>
  <si>
    <t>9763-20170724T160624.891745600.bin</t>
  </si>
  <si>
    <t>-624.231603913298 133.141210835176 -228.959320404412</t>
  </si>
  <si>
    <t>-664.477624782387 125.604430316648 -342.938544035602</t>
  </si>
  <si>
    <t>-684.622507838387 116.096609182867 -462.078746933486</t>
  </si>
  <si>
    <t>-694.407815285223 106.471210040757 -570.736201422495</t>
  </si>
  <si>
    <t>-695.82416933876 95.7456516243572 -679.721542962668</t>
  </si>
  <si>
    <t>-689.072948713139 79.5930992869414 -831.027567391103</t>
  </si>
  <si>
    <t>-654.033087967629 58.379498134083 -924.329067474209</t>
  </si>
  <si>
    <t>-678.534354292027 115.408324083996 -766.536310599147</t>
  </si>
  <si>
    <t>-596.924819665367 237.341463366271 -756.768915097692</t>
  </si>
  <si>
    <t>-511.486578554329 183.07697979139 -456.865874375385</t>
  </si>
  <si>
    <t>-326.571693259242 76.8357984263257 -307.998920190872</t>
  </si>
  <si>
    <t>-705.585964202675 58.0718690798383 -761.622369891628</t>
  </si>
  <si>
    <t>-591.885839715838 224.888606334866 -245.698197049088</t>
  </si>
  <si>
    <t>-591.691551547063 201.25254884319 209.383001254168</t>
  </si>
  <si>
    <t>-626.672018069042 168.756738414071 676.769903097411</t>
  </si>
  <si>
    <t>-494.265047361844 92.4886198597487 763.919653058728</t>
  </si>
  <si>
    <t>-656.415745518023 41.5251504484722 -211.513132570458</t>
  </si>
  <si>
    <t>-598.368927023821 -4.84308248843695 238.084730790414</t>
  </si>
  <si>
    <t>-766.586838358467 109.239406665596 661.923464319661</t>
  </si>
  <si>
    <t>-676.581704290443 -14.0046137846389 749.407772965026</t>
  </si>
  <si>
    <t>9763-20170724T160624.924343300.bin</t>
  </si>
  <si>
    <t>-624.062947209356 133.136206166934 -228.89172172675</t>
  </si>
  <si>
    <t>-664.303037687596 125.607700907544 -342.873614949267</t>
  </si>
  <si>
    <t>-684.419660346481 116.121304057484 -462.020093414703</t>
  </si>
  <si>
    <t>-694.17017606342 106.520359047705 -570.682903845919</t>
  </si>
  <si>
    <t>-695.542358561443 95.8244131456863 -679.671733568121</t>
  </si>
  <si>
    <t>-688.71993789567 79.7184634215455 -830.979550857654</t>
  </si>
  <si>
    <t>-653.655012686055 58.5246192382499 -924.276177827369</t>
  </si>
  <si>
    <t>-678.205635261319 115.510931624929 -766.471739248095</t>
  </si>
  <si>
    <t>-596.550538721323 237.420209367733 -756.670898193182</t>
  </si>
  <si>
    <t>-511.259310352374 183.10695771161 -456.734894452175</t>
  </si>
  <si>
    <t>-326.413348949181 76.755943616238 -307.860773557088</t>
  </si>
  <si>
    <t>-705.271727251814 58.1786810415124 -761.58928442248</t>
  </si>
  <si>
    <t>-591.681220139064 224.85897482144 -245.666014347438</t>
  </si>
  <si>
    <t>-591.564587761132 201.214550339579 209.414802807028</t>
  </si>
  <si>
    <t>-626.691682920248 168.662767784194 676.765675578063</t>
  </si>
  <si>
    <t>-494.211064033802 92.5347605206778 763.925987210775</t>
  </si>
  <si>
    <t>-656.285158465216 41.5427812857095 -211.399915742119</t>
  </si>
  <si>
    <t>-598.246918228484 -4.8460419473729 238.196917301502</t>
  </si>
  <si>
    <t>-766.569038173869 109.23152410486 661.964790178856</t>
  </si>
  <si>
    <t>-676.555928708555 -13.9946963889158 749.465899513367</t>
  </si>
  <si>
    <t>9763-20170724T160624.994022900.bin</t>
  </si>
  <si>
    <t>-623.664808326645 133.121212289967 -228.68247030921</t>
  </si>
  <si>
    <t>-663.866649213738 125.563308996633 -342.675917610108</t>
  </si>
  <si>
    <t>-683.935621286647 116.043492534845 -461.827765961557</t>
  </si>
  <si>
    <t>-693.6395019823 106.41177675541 -570.49206565943</t>
  </si>
  <si>
    <t>-694.961435497995 95.685433312726 -679.478488062144</t>
  </si>
  <si>
    <t>-688.06616902104 79.5374959366391 -830.778539985584</t>
  </si>
  <si>
    <t>-652.981538249788 58.3560917969176 -924.070538872062</t>
  </si>
  <si>
    <t>-677.574616314143 115.344145909306 -766.274678167168</t>
  </si>
  <si>
    <t>-595.951500962744 237.266269355476 -756.447619521155</t>
  </si>
  <si>
    <t>-510.759958932906 182.991408970392 -456.476202976242</t>
  </si>
  <si>
    <t>-325.995550290348 76.5670675515162 -307.553334945446</t>
  </si>
  <si>
    <t>-704.659541544772 58.0208432203233 -761.39117279351</t>
  </si>
  <si>
    <t>-591.207762083055 224.77941865501 -245.549393439207</t>
  </si>
  <si>
    <t>-591.329932315616 201.280983620953 209.539075403115</t>
  </si>
  <si>
    <t>-626.698480524265 168.626365672824 676.797415775679</t>
  </si>
  <si>
    <t>-494.274848156605 92.4402738971812 763.993625363483</t>
  </si>
  <si>
    <t>-655.932871180039 41.5469070689112 -211.085430561781</t>
  </si>
  <si>
    <t>-597.826000189578 -4.84787323816226 238.501879999556</t>
  </si>
  <si>
    <t>-766.513001394995 109.523010910447 662.163424249121</t>
  </si>
  <si>
    <t>-676.540594370018 -13.9139115609314 749.409108759678</t>
  </si>
  <si>
    <t>9763-20170724T160625.026114600.bin</t>
  </si>
  <si>
    <t>-623.395041089337 133.149854368633 -228.540602499742</t>
  </si>
  <si>
    <t>-663.575807874709 125.551954136964 -342.538819196003</t>
  </si>
  <si>
    <t>-683.641299066984 116.021600414994 -461.690409759122</t>
  </si>
  <si>
    <t>-693.349105981107 106.39190308628 -570.354499358866</t>
  </si>
  <si>
    <t>-694.682239888601 95.6783605960195 -679.342064703208</t>
  </si>
  <si>
    <t>-687.809670209552 79.5593612685459 -830.646184145284</t>
  </si>
  <si>
    <t>-652.725692786854 58.3975144657147 -923.942913980447</t>
  </si>
  <si>
    <t>-677.305938037029 115.352461327652 -766.13691897215</t>
  </si>
  <si>
    <t>-595.679495868885 237.275027034017 -756.326970551</t>
  </si>
  <si>
    <t>-510.578858797204 183.011706973612 -456.32773432989</t>
  </si>
  <si>
    <t>-325.8377683678 76.5853984714531 -307.377367989438</t>
  </si>
  <si>
    <t>-704.39516666639 58.0306165023108 -761.260629686278</t>
  </si>
  <si>
    <t>-590.95704363759 224.722756801806 -245.46916703133</t>
  </si>
  <si>
    <t>-591.237431699685 201.348910612164 209.625576461494</t>
  </si>
  <si>
    <t>-626.703956873369 168.586532581478 676.827330300491</t>
  </si>
  <si>
    <t>-494.233415240631 92.5012956101887 764.040331652207</t>
  </si>
  <si>
    <t>-655.636349799499 41.711642086806 -210.880620299861</t>
  </si>
  <si>
    <t>-597.582734979173 -4.76897860541726 238.704720931031</t>
  </si>
  <si>
    <t>-766.502144219538 109.839239551515 662.294565736985</t>
  </si>
  <si>
    <t>-676.609511862757 -13.8540243772468 749.258916835814</t>
  </si>
  <si>
    <t>9763-20170724T160625.091293800.bin</t>
  </si>
  <si>
    <t>-622.997144244461 133.297888243869 -228.314490604293</t>
  </si>
  <si>
    <t>-663.137505983146 125.62877954217 -342.3221552899</t>
  </si>
  <si>
    <t>-683.186720918148 116.058423459614 -461.47321585876</t>
  </si>
  <si>
    <t>-692.889931581596 106.404753291039 -570.135659021397</t>
  </si>
  <si>
    <t>-694.228554229402 95.6789927564598 -679.121879038019</t>
  </si>
  <si>
    <t>-687.374079871373 79.554716949453 -830.426337004652</t>
  </si>
  <si>
    <t>-652.275300179839 58.4108313796773 -923.721578917922</t>
  </si>
  <si>
    <t>-676.885962541236 115.360927360137 -765.921855690343</t>
  </si>
  <si>
    <t>-595.418650527839 237.3839423345 -756.097924932252</t>
  </si>
  <si>
    <t>-510.342100821529 183.082474780007 -456.098748491788</t>
  </si>
  <si>
    <t>-325.610525466297 76.6068199461781 -307.171769974663</t>
  </si>
  <si>
    <t>-703.927898824621 58.0175927455862 -761.035942361109</t>
  </si>
  <si>
    <t>-590.700076231741 224.645715918133 -245.330136705393</t>
  </si>
  <si>
    <t>-591.019790633818 201.425998709599 209.772481536119</t>
  </si>
  <si>
    <t>-626.714883630763 168.527502703177 676.901262950776</t>
  </si>
  <si>
    <t>-494.214093084865 92.5218964369001 764.137748044586</t>
  </si>
  <si>
    <t>-655.15375584409 42.0631643553932 -210.620038669839</t>
  </si>
  <si>
    <t>-597.208916900018 -4.58146072133604 238.962355226639</t>
  </si>
  <si>
    <t>-766.497658274604 110.312395624271 662.355006177722</t>
  </si>
  <si>
    <t>-676.686910142836 -13.7925568584651 748.815946435145</t>
  </si>
  <si>
    <t>9763-20170724T160625.123378900.bin</t>
  </si>
  <si>
    <t>-622.852758440497 133.266397380952 -228.275820363358</t>
  </si>
  <si>
    <t>-663.001773538507 125.581179943589 -342.279307266337</t>
  </si>
  <si>
    <t>-683.053149900841 116.005496038138 -461.429795702181</t>
  </si>
  <si>
    <t>-692.755467182472 106.352039210768 -570.092153108764</t>
  </si>
  <si>
    <t>-694.09020350108 95.6319128335085 -679.079013009047</t>
  </si>
  <si>
    <t>-687.226821206036 79.5217915615769 -830.384494327983</t>
  </si>
  <si>
    <t>-652.113381264457 58.3992859047512 -923.679059901344</t>
  </si>
  <si>
    <t>-676.764143341162 115.332007155423 -765.87812224063</t>
  </si>
  <si>
    <t>-595.408753154215 237.424628168978 -756.045993016699</t>
  </si>
  <si>
    <t>-510.384079173794 183.092163961986 -456.037771611697</t>
  </si>
  <si>
    <t>-325.553790977035 76.671750202026 -307.193786864131</t>
  </si>
  <si>
    <t>-703.763132997351 57.9680767032883 -760.995039500551</t>
  </si>
  <si>
    <t>-590.62065814782 224.564828160713 -245.295138041916</t>
  </si>
  <si>
    <t>-590.917099769577 201.377025252505 209.809247874359</t>
  </si>
  <si>
    <t>-626.710057416556 168.533802136068 676.924712399571</t>
  </si>
  <si>
    <t>-494.18175829085 92.5935879459155 764.176327542415</t>
  </si>
  <si>
    <t>-654.972826317617 42.0006838926759 -210.601682180396</t>
  </si>
  <si>
    <t>-597.025631204862 -4.49671995249469 238.995668017394</t>
  </si>
  <si>
    <t>-766.477058764656 110.451438879818 662.261226329154</t>
  </si>
  <si>
    <t>-676.702878621006 -13.7587846007989 748.608972346078</t>
  </si>
  <si>
    <t>9763-20170724T160625.190558500.bin</t>
  </si>
  <si>
    <t>-622.644556821597 132.968452490544 -228.351818632756</t>
  </si>
  <si>
    <t>-662.780573374573 125.216479470191 -342.355474078813</t>
  </si>
  <si>
    <t>-682.803456772709 115.601938367221 -461.507475713441</t>
  </si>
  <si>
    <t>-692.472934201209 105.927977255697 -570.171090976874</t>
  </si>
  <si>
    <t>-693.767393150828 95.2036503450167 -679.157911731226</t>
  </si>
  <si>
    <t>-686.84005987527 79.1060839631239 -830.461902170251</t>
  </si>
  <si>
    <t>-651.673625309508 58.0524136489612 -923.752058154378</t>
  </si>
  <si>
    <t>-676.451636672383 114.93265939123 -765.952479552491</t>
  </si>
  <si>
    <t>-595.338629138972 237.190476740112 -756.08940037337</t>
  </si>
  <si>
    <t>-510.278547210842 183.012802363484 -456.06322491319</t>
  </si>
  <si>
    <t>-325.279460193751 76.6530507248101 -307.385699179944</t>
  </si>
  <si>
    <t>-703.358676967142 57.5249374292582 -761.076672312319</t>
  </si>
  <si>
    <t>-590.493679356706 224.266609244939 -245.344466168833</t>
  </si>
  <si>
    <t>-590.793261941268 201.179141448572 209.764972059151</t>
  </si>
  <si>
    <t>-626.719503317949 168.510342912694 676.921980264697</t>
  </si>
  <si>
    <t>-494.177304335473 92.6304067454973 764.204923012979</t>
  </si>
  <si>
    <t>-654.636615124385 41.7246605110629 -210.726551610061</t>
  </si>
  <si>
    <t>-596.927924100476 -4.43507537548453 238.936256211979</t>
  </si>
  <si>
    <t>-766.450974919747 110.512471341512 662.10452542683</t>
  </si>
  <si>
    <t>-676.676288217183 -13.7601813442066 748.361847910336</t>
  </si>
  <si>
    <t>9763-20170724T160625.231703300.bin</t>
  </si>
  <si>
    <t>-622.529854411669 132.803277934759 -228.403538064771</t>
  </si>
  <si>
    <t>-662.651733742032 125.034033524738 -342.410992393049</t>
  </si>
  <si>
    <t>-682.661961436939 115.406158043479 -461.563965995838</t>
  </si>
  <si>
    <t>-692.320735678058 105.722297084031 -570.22759139688</t>
  </si>
  <si>
    <t>-693.605200728054 94.9905978360418 -679.213970482044</t>
  </si>
  <si>
    <t>-686.664742000582 78.8856428121348 -830.516528647614</t>
  </si>
  <si>
    <t>-651.471042709479 57.8638032264926 -923.803649321931</t>
  </si>
  <si>
    <t>-676.298521984802 114.723000077051 -766.009525751701</t>
  </si>
  <si>
    <t>-595.24818936731 237.025654854829 -756.15634744053</t>
  </si>
  <si>
    <t>-510.186527230509 182.8752367298 -456.125760973316</t>
  </si>
  <si>
    <t>-325.13338877553 76.6788346810861 -307.398763590146</t>
  </si>
  <si>
    <t>-703.172814261551 57.3002005322223 -761.130218390824</t>
  </si>
  <si>
    <t>-590.429053484356 224.077625464244 -245.382430628437</t>
  </si>
  <si>
    <t>-590.71515521104 201.066669404277 209.730899963785</t>
  </si>
  <si>
    <t>-626.723712410767 168.501605602651 676.919102837134</t>
  </si>
  <si>
    <t>-494.150402899272 92.6815874013837 764.206849555189</t>
  </si>
  <si>
    <t>-654.455505906334 41.6124400892234 -210.76600063712</t>
  </si>
  <si>
    <t>-596.882321772062 -4.39535501425621 238.929783294861</t>
  </si>
  <si>
    <t>-766.449323034575 110.619664875557 662.11026610254</t>
  </si>
  <si>
    <t>-676.686854853586 -13.74523319697 748.247295926561</t>
  </si>
  <si>
    <t>9763-20170724T160625.294904700.bin</t>
  </si>
  <si>
    <t>-622.455373175465 132.465727260225 -228.496133918915</t>
  </si>
  <si>
    <t>-662.540238955917 124.658951873899 -342.513862052314</t>
  </si>
  <si>
    <t>-682.543775512597 115.020047398868 -461.667288942624</t>
  </si>
  <si>
    <t>-692.209222786178 105.336222276764 -570.330315502764</t>
  </si>
  <si>
    <t>-693.513152991124 94.6139013423424 -679.31746518408</t>
  </si>
  <si>
    <t>-686.612918291059 78.5311917675958 -830.624170310439</t>
  </si>
  <si>
    <t>-651.420782279538 57.5422406876226 -923.919125748091</t>
  </si>
  <si>
    <t>-676.249887628569 114.368221705479 -766.116559255206</t>
  </si>
  <si>
    <t>-595.278530641497 236.729525714793 -756.29052130692</t>
  </si>
  <si>
    <t>-510.175849654857 182.703828153473 -456.249140199232</t>
  </si>
  <si>
    <t>-325.092574479287 76.7004895478342 -307.421855726387</t>
  </si>
  <si>
    <t>-703.082351274776 56.9262148226578 -761.234579162096</t>
  </si>
  <si>
    <t>-590.481997427606 223.693860199716 -245.445498223722</t>
  </si>
  <si>
    <t>-590.709745446774 200.784234939828 209.672910857919</t>
  </si>
  <si>
    <t>-626.747164567837 168.455407496842 676.903509478683</t>
  </si>
  <si>
    <t>-494.135603739317 92.7183263679715 764.205139649139</t>
  </si>
  <si>
    <t>-654.283088337927 41.2987815173904 -210.88508322164</t>
  </si>
  <si>
    <t>-596.934584411955 -4.06116004165574 238.905184961217</t>
  </si>
  <si>
    <t>-766.46072498062 110.830398698168 662.124335935756</t>
  </si>
  <si>
    <t>-676.703973921275 -13.7058905065956 748.019378895149</t>
  </si>
  <si>
    <t>9763-20170724T160625.327996400.bin</t>
  </si>
  <si>
    <t>-622.488078041448 132.308815795261 -228.553106422389</t>
  </si>
  <si>
    <t>-662.550844706139 124.508286861897 -342.579090112902</t>
  </si>
  <si>
    <t>-682.545567964316 114.87196278912 -461.734109766608</t>
  </si>
  <si>
    <t>-692.20883693004 105.188694249604 -570.397348210791</t>
  </si>
  <si>
    <t>-693.516533253961 94.4649121706473 -679.384330624814</t>
  </si>
  <si>
    <t>-686.627687036568 78.378020843204 -830.691146629346</t>
  </si>
  <si>
    <t>-651.445588801194 57.3831569401043 -923.988539324977</t>
  </si>
  <si>
    <t>-676.269072763509 114.221151465087 -766.186095990013</t>
  </si>
  <si>
    <t>-595.326598282898 236.598276517277 -756.375562954903</t>
  </si>
  <si>
    <t>-510.255409388361 182.580189970467 -456.323737106717</t>
  </si>
  <si>
    <t>-325.154474744711 76.6784702703565 -307.44615727467</t>
  </si>
  <si>
    <t>-703.082552639431 56.7707289667042 -761.298831278679</t>
  </si>
  <si>
    <t>-590.565743657701 223.536168003134 -245.475132293822</t>
  </si>
  <si>
    <t>-590.755445623719 200.705142258367 209.647298355812</t>
  </si>
  <si>
    <t>-626.756944404793 168.480311874228 676.903777782203</t>
  </si>
  <si>
    <t>-494.143162243764 92.7435995520445 764.202364164548</t>
  </si>
  <si>
    <t>-654.269035753018 41.1906974923299 -210.962597799917</t>
  </si>
  <si>
    <t>-596.979236085162 -3.99081624908035 238.853100961641</t>
  </si>
  <si>
    <t>-766.421973924639 110.906868610054 662.087744349523</t>
  </si>
  <si>
    <t>-676.737430535354 -13.7196499595593 747.927262537737</t>
  </si>
  <si>
    <t>9763-20170724T160625.388165600.bin</t>
  </si>
  <si>
    <t>-622.559981192616 132.078808433287 -228.660073612654</t>
  </si>
  <si>
    <t>-662.590387532477 124.275633815871 -342.697264502334</t>
  </si>
  <si>
    <t>-682.571331086151 114.62645320671 -461.853551427083</t>
  </si>
  <si>
    <t>-692.229986667422 104.927910162683 -570.515967284207</t>
  </si>
  <si>
    <t>-693.541458712138 94.1847922424161 -679.500757379576</t>
  </si>
  <si>
    <t>-686.666622818897 78.0669119982897 -830.805105509246</t>
  </si>
  <si>
    <t>-651.509865549015 57.0429145651685 -924.105422217872</t>
  </si>
  <si>
    <t>-676.324873920617 113.933603977654 -766.310548316299</t>
  </si>
  <si>
    <t>-595.450406375822 236.356515448268 -756.539687386016</t>
  </si>
  <si>
    <t>-510.395464457454 182.39049434975 -456.473780940437</t>
  </si>
  <si>
    <t>-325.285715973712 76.6788008567021 -307.472124740907</t>
  </si>
  <si>
    <t>-703.092311878373 56.4633806686097 -761.404615694486</t>
  </si>
  <si>
    <t>-590.745487780644 223.245683922873 -245.531159129679</t>
  </si>
  <si>
    <t>-590.825743299832 200.522663909033 209.596601013496</t>
  </si>
  <si>
    <t>-626.773210722466 168.488012170365 676.885930284795</t>
  </si>
  <si>
    <t>-494.131466086795 92.8097318966265 764.192719985616</t>
  </si>
  <si>
    <t>-654.197441323475 40.9966910796045 -211.128179184005</t>
  </si>
  <si>
    <t>-597.117362156984 -3.90378224152096 238.742296440166</t>
  </si>
  <si>
    <t>-766.378057004547 110.977395787487 662.023794568785</t>
  </si>
  <si>
    <t>-676.677351414972 -13.682531166934 747.79796375417</t>
  </si>
  <si>
    <t>9763-20170724T160625.437196300.bin</t>
  </si>
  <si>
    <t>-622.542255704689 131.950980348135 -228.704123441129</t>
  </si>
  <si>
    <t>-662.554600799684 124.134014277552 -342.746740364349</t>
  </si>
  <si>
    <t>-682.530492601189 114.469961371883 -461.902718563114</t>
  </si>
  <si>
    <t>-692.190223546356 104.757748030884 -570.563663491819</t>
  </si>
  <si>
    <t>-693.508447121505 94.0009110952287 -679.547271854755</t>
  </si>
  <si>
    <t>-686.648878746626 77.8640322373449 -830.85001179562</t>
  </si>
  <si>
    <t>-651.495669591991 56.8307720733419 -924.149734038291</t>
  </si>
  <si>
    <t>-676.31078847742 113.743779635278 -766.361998892939</t>
  </si>
  <si>
    <t>-595.480630339716 236.201056180092 -756.619996449884</t>
  </si>
  <si>
    <t>-510.412766588716 182.353180599263 -456.536654920878</t>
  </si>
  <si>
    <t>-325.292464489881 76.7330486687347 -307.483109913669</t>
  </si>
  <si>
    <t>-703.057160976515 56.26454129443 -761.444364157757</t>
  </si>
  <si>
    <t>-590.78408120239 223.089525913596 -245.561919679081</t>
  </si>
  <si>
    <t>-590.825291477368 200.428141295121 209.568958347294</t>
  </si>
  <si>
    <t>-626.781678181537 168.513297708317 676.884066345906</t>
  </si>
  <si>
    <t>-494.087719969224 92.9167054741531 764.182276142643</t>
  </si>
  <si>
    <t>-654.116300464194 40.8673899259668 -211.185344155612</t>
  </si>
  <si>
    <t>-597.109166938599 -3.87974133663511 238.709656086072</t>
  </si>
  <si>
    <t>-766.350224119152 110.991250994988 661.985493436732</t>
  </si>
  <si>
    <t>-676.68128038614 -13.6902810391846 747.761444977898</t>
  </si>
  <si>
    <t>9763-20170724T160625.494348600.bin</t>
  </si>
  <si>
    <t>-622.552228281486 131.64888531136 -228.741973740552</t>
  </si>
  <si>
    <t>-662.55925951392 123.794878227086 -342.783872090439</t>
  </si>
  <si>
    <t>-682.537742656648 114.075303996436 -461.934861089679</t>
  </si>
  <si>
    <t>-692.203413344182 104.306261986314 -570.590179177634</t>
  </si>
  <si>
    <t>-693.531018439788 93.4867559418258 -679.567409132908</t>
  </si>
  <si>
    <t>-686.688143662458 77.2571554225997 -830.861193159841</t>
  </si>
  <si>
    <t>-651.531149559576 56.1981988124423 -924.153578206145</t>
  </si>
  <si>
    <t>-676.373455509905 113.190250074108 -766.399200715568</t>
  </si>
  <si>
    <t>-595.667781830008 235.735266272611 -756.756034213962</t>
  </si>
  <si>
    <t>-510.535501430383 182.094251448074 -456.653846721734</t>
  </si>
  <si>
    <t>-325.364911283875 76.7437103845054 -307.472041675678</t>
  </si>
  <si>
    <t>-703.058297896036 55.6863149007306 -761.437539518593</t>
  </si>
  <si>
    <t>-590.922370999487 222.807891782283 -245.602627897518</t>
  </si>
  <si>
    <t>-590.854503388602 200.275580366625 209.534727643011</t>
  </si>
  <si>
    <t>-626.789139088035 168.538985848737 676.869763655852</t>
  </si>
  <si>
    <t>-494.089560416085 92.9518508066824 764.167670279114</t>
  </si>
  <si>
    <t>-654.059991368908 40.5458178792105 -211.215627074924</t>
  </si>
  <si>
    <t>-596.921320628264 -3.91991736712794 238.690572037863</t>
  </si>
  <si>
    <t>-766.292369537941 110.982730148604 661.890852731418</t>
  </si>
  <si>
    <t>-676.703170581677 -13.7283996022413 747.707078372659</t>
  </si>
  <si>
    <t>9763-20170724T160625.524932800.bin</t>
  </si>
  <si>
    <t>-622.567628414968 131.528764612968 -228.739847203215</t>
  </si>
  <si>
    <t>-662.576415816321 123.631523875032 -342.778062955005</t>
  </si>
  <si>
    <t>-682.544461994113 113.875267477393 -461.927910249253</t>
  </si>
  <si>
    <t>-692.195636314478 104.07508503011 -570.581752857847</t>
  </si>
  <si>
    <t>-693.503708828227 93.226028909736 -679.556255961904</t>
  </si>
  <si>
    <t>-686.628656950727 76.956478827396 -830.844202202715</t>
  </si>
  <si>
    <t>-651.449596188334 55.8876043444745 -924.126119891338</t>
  </si>
  <si>
    <t>-676.337304136804 112.911025319255 -766.390348550586</t>
  </si>
  <si>
    <t>-595.677679187633 235.48895348011 -756.776799554375</t>
  </si>
  <si>
    <t>-510.500974670961 182.041739471673 -456.652671608664</t>
  </si>
  <si>
    <t>-325.274194019458 76.8011640278464 -307.463174204452</t>
  </si>
  <si>
    <t>-703.003892419716 55.3996053838973 -761.417413086411</t>
  </si>
  <si>
    <t>-590.999054775616 222.68014397006 -245.61698966161</t>
  </si>
  <si>
    <t>-590.865558535384 200.206982657296 209.523226450019</t>
  </si>
  <si>
    <t>-626.796764165371 168.523020841246 676.865922042094</t>
  </si>
  <si>
    <t>-494.054602194459 92.9976086899655 764.152451134458</t>
  </si>
  <si>
    <t>-653.985186270759 40.4407063425117 -211.217324391613</t>
  </si>
  <si>
    <t>-596.863557601574 -3.91615266048507 238.701901677226</t>
  </si>
  <si>
    <t>-766.273030957738 111.000234842985 661.877317732364</t>
  </si>
  <si>
    <t>-676.697169461207 -13.7257970207438 747.685824347993</t>
  </si>
  <si>
    <t>9763-20170724T160625.593493300.bin</t>
  </si>
  <si>
    <t>-622.570658653942 131.334449455929 -228.740923443695</t>
  </si>
  <si>
    <t>-662.593286060463 123.366815003669 -342.769545165419</t>
  </si>
  <si>
    <t>-682.579927235237 113.569455584044 -461.91272986142</t>
  </si>
  <si>
    <t>-692.24898303395 103.745874186817 -570.563054984831</t>
  </si>
  <si>
    <t>-693.575867527891 92.8876083175217 -679.536309377906</t>
  </si>
  <si>
    <t>-686.727447112156 76.6208101688635 -830.825713672225</t>
  </si>
  <si>
    <t>-651.510989461896 55.5403675802852 -924.090939429777</t>
  </si>
  <si>
    <t>-676.454920319921 112.587839927316 -766.376027639194</t>
  </si>
  <si>
    <t>-595.848422190402 235.203276858202 -756.813709286916</t>
  </si>
  <si>
    <t>-510.652222895209 181.823541086814 -456.683234967434</t>
  </si>
  <si>
    <t>-325.413373928773 76.7174375904851 -307.413747923087</t>
  </si>
  <si>
    <t>-703.060373438034 55.048923587259 -761.393683018164</t>
  </si>
  <si>
    <t>-591.092714598218 222.501110073528 -245.637936734065</t>
  </si>
  <si>
    <t>-590.867779467387 200.136994314793 209.507662900163</t>
  </si>
  <si>
    <t>-626.801680721842 168.555637396403 676.860143079053</t>
  </si>
  <si>
    <t>-494.049866979787 93.0317974041411 764.133402604311</t>
  </si>
  <si>
    <t>-653.933193732181 40.1893257689651 -211.181664918133</t>
  </si>
  <si>
    <t>-596.724325248133 -3.95907549332469 238.746956858311</t>
  </si>
  <si>
    <t>-766.249549008611 110.999674965761 661.849783754178</t>
  </si>
  <si>
    <t>-676.67946971102 -13.7309520449967 747.657669142349</t>
  </si>
  <si>
    <t>9763-20170724T160625.627092400.bin</t>
  </si>
  <si>
    <t>-622.576543407695 131.236898274666 -228.718909571996</t>
  </si>
  <si>
    <t>-662.615784907193 123.24820082181 -342.740083141554</t>
  </si>
  <si>
    <t>-682.618000221004 113.434926661165 -461.879402776782</t>
  </si>
  <si>
    <t>-692.300483569053 103.600082394927 -570.527395401791</t>
  </si>
  <si>
    <t>-693.639771978712 92.7345547221657 -679.499794732345</t>
  </si>
  <si>
    <t>-686.807543579102 76.462173271779 -830.789352204886</t>
  </si>
  <si>
    <t>-651.587106644663 55.3771086500658 -924.052038370128</t>
  </si>
  <si>
    <t>-676.53702321281 112.43564036862 -766.342929922124</t>
  </si>
  <si>
    <t>-595.962779143398 235.078397803326 -756.806420435982</t>
  </si>
  <si>
    <t>-510.74486641198 181.789325109091 -456.665844739504</t>
  </si>
  <si>
    <t>-325.468996968973 76.7553940637113 -307.391593576945</t>
  </si>
  <si>
    <t>-703.124153931655 54.8887680070277 -761.354066981041</t>
  </si>
  <si>
    <t>-591.085273911114 222.442725234729 -245.645812833157</t>
  </si>
  <si>
    <t>-590.871012955193 200.135442399077 209.502559982094</t>
  </si>
  <si>
    <t>-626.794430178697 168.593435442638 676.855561193602</t>
  </si>
  <si>
    <t>-494.060231016641 93.0349430401068 764.125566728625</t>
  </si>
  <si>
    <t>-653.947688133653 40.0916415005306 -211.130023476906</t>
  </si>
  <si>
    <t>-596.653210760257 -4.06572304133465 238.786784320419</t>
  </si>
  <si>
    <t>-766.265195853014 110.974143091826 661.839438208844</t>
  </si>
  <si>
    <t>-676.665743513782 -13.7380951406922 747.643347423893</t>
  </si>
  <si>
    <t>9763-20170724T160625.697336300.bin</t>
  </si>
  <si>
    <t>-622.610795890571 130.979083354233 -228.701277838171</t>
  </si>
  <si>
    <t>-662.694487751951 122.953503617097 -342.704480816798</t>
  </si>
  <si>
    <t>-682.704988032749 113.091563643671 -461.838290936646</t>
  </si>
  <si>
    <t>-692.379621224467 103.209121051695 -570.482585718779</t>
  </si>
  <si>
    <t>-693.695569138906 92.2931345710495 -679.450292472707</t>
  </si>
  <si>
    <t>-686.814755126714 75.9483666914045 -830.729883860671</t>
  </si>
  <si>
    <t>-651.558447438168 54.8199330232426 -923.969183741194</t>
  </si>
  <si>
    <t>-676.575623333626 111.957459585826 -766.298262770224</t>
  </si>
  <si>
    <t>-596.028254608972 234.620605130329 -756.833032251958</t>
  </si>
  <si>
    <t>-510.754776790086 181.494376194218 -456.679313251958</t>
  </si>
  <si>
    <t>-325.429983457627 76.6336276543414 -307.344166284444</t>
  </si>
  <si>
    <t>-703.143015349721 54.4033380967678 -761.288408697173</t>
  </si>
  <si>
    <t>-591.118297762523 222.192390423521 -245.668482056861</t>
  </si>
  <si>
    <t>-590.817420845424 199.975841133618 209.484301487551</t>
  </si>
  <si>
    <t>-626.812547740578 168.575334770953 676.853253252611</t>
  </si>
  <si>
    <t>-493.984719193905 93.1725506290713 764.115506330011</t>
  </si>
  <si>
    <t>-653.959712977883 39.823553753459 -211.070398606198</t>
  </si>
  <si>
    <t>-596.546469545424 -4.24120811241664 238.840365118509</t>
  </si>
  <si>
    <t>-766.250581872638 110.964783042825 661.809481310615</t>
  </si>
  <si>
    <t>-676.664402580385 -13.7548224403863 747.616550337909</t>
  </si>
  <si>
    <t>9763-20170724T160625.722903900.bin</t>
  </si>
  <si>
    <t>-622.666686902336 130.865537902072 -228.708709998018</t>
  </si>
  <si>
    <t>-662.772635655313 122.832740443565 -342.703444923909</t>
  </si>
  <si>
    <t>-682.795358469122 112.941289543762 -461.832808640049</t>
  </si>
  <si>
    <t>-692.476957981845 103.023157846246 -570.473300766361</t>
  </si>
  <si>
    <t>-693.795757020897 92.0626667086926 -679.436522546779</t>
  </si>
  <si>
    <t>-686.914731164943 75.6469661360572 -830.708402836778</t>
  </si>
  <si>
    <t>-651.644743773863 54.485967288676 -923.935045435094</t>
  </si>
  <si>
    <t>-676.676764949376 111.686852204068 -766.293742841603</t>
  </si>
  <si>
    <t>-596.142394997266 234.367364229506 -756.849741589774</t>
  </si>
  <si>
    <t>-510.785651886596 181.361362390626 -456.698568202841</t>
  </si>
  <si>
    <t>-325.455151876319 76.5842778048295 -307.311658990237</t>
  </si>
  <si>
    <t>-703.241895144938 54.1340533146401 -761.256631510141</t>
  </si>
  <si>
    <t>-591.173285766631 222.097029321367 -245.687935809654</t>
  </si>
  <si>
    <t>-590.834514156311 199.912258617797 209.466291068459</t>
  </si>
  <si>
    <t>-626.800439970646 168.624990777497 676.842645285592</t>
  </si>
  <si>
    <t>-494.027188899581 93.1408025799942 764.117566822329</t>
  </si>
  <si>
    <t>-654.026632242178 39.70660336933 -211.060806742629</t>
  </si>
  <si>
    <t>-596.533964316637 -4.29289702006236 238.846260513183</t>
  </si>
  <si>
    <t>-766.234218079662 110.977767867673 661.804850732915</t>
  </si>
  <si>
    <t>-676.671873225996 -13.763511451506 747.605313198262</t>
  </si>
  <si>
    <t>9763-20170724T160625.792279200.bin</t>
  </si>
  <si>
    <t>-622.767483344219 130.620827816675 -228.723589148662</t>
  </si>
  <si>
    <t>-662.839327027232 122.528075957714 -342.725932855801</t>
  </si>
  <si>
    <t>-682.868558823585 112.552378896164 -461.847269982821</t>
  </si>
  <si>
    <t>-692.573625955846 102.546302834337 -570.477464306853</t>
  </si>
  <si>
    <t>-693.934044005869 91.4847135772727 -679.430043823994</t>
  </si>
  <si>
    <t>-687.130233353127 74.9134276831655 -830.688463516407</t>
  </si>
  <si>
    <t>-651.859973172488 53.6490239191357 -923.89145396403</t>
  </si>
  <si>
    <t>-676.851413491024 111.015812485185 -766.315488208265</t>
  </si>
  <si>
    <t>-596.277556682271 233.678248232335 -757.014888674571</t>
  </si>
  <si>
    <t>-510.844852579321 180.992920092285 -456.828746514299</t>
  </si>
  <si>
    <t>-325.521448813423 76.396185707976 -307.306705566431</t>
  </si>
  <si>
    <t>-703.430037215789 53.4755630342449 -761.207102304423</t>
  </si>
  <si>
    <t>-591.328810178404 221.886955933587 -245.713783031738</t>
  </si>
  <si>
    <t>-590.980737878837 199.845723369497 209.447427807157</t>
  </si>
  <si>
    <t>-626.815540487306 168.617065876992 676.839586419773</t>
  </si>
  <si>
    <t>-493.994998185007 93.2087671362276 764.10814114278</t>
  </si>
  <si>
    <t>-654.052291290884 39.4109827966076 -211.067966046377</t>
  </si>
  <si>
    <t>-596.593684835678 -4.41546424833473 238.860319747767</t>
  </si>
  <si>
    <t>-766.26794742347 110.929838279407 661.801685961982</t>
  </si>
  <si>
    <t>-676.650251592327 -13.7712070268913 747.602779197735</t>
  </si>
  <si>
    <t>9763-20170724T160625.824887500.bin</t>
  </si>
  <si>
    <t>-622.875746141185 130.473865725656 -228.703572759383</t>
  </si>
  <si>
    <t>-662.964138236625 122.36584974411 -342.699161988018</t>
  </si>
  <si>
    <t>-683.021262110648 112.366372866077 -461.813812370252</t>
  </si>
  <si>
    <t>-692.75618578125 102.334563823441 -570.439036342708</t>
  </si>
  <si>
    <t>-694.151364280904 91.2421948782192 -679.387939307264</t>
  </si>
  <si>
    <t>-687.400743427386 74.6226904216389 -830.643445475926</t>
  </si>
  <si>
    <t>-652.129915245883 53.2963202468334 -923.832236193584</t>
  </si>
  <si>
    <t>-677.092297902559 110.742375166318 -766.284878894485</t>
  </si>
  <si>
    <t>-596.504043495986 233.397024848641 -757.017947829916</t>
  </si>
  <si>
    <t>-511.013981657619 180.7726825394 -456.837497950622</t>
  </si>
  <si>
    <t>-325.7206360008 76.2041116200812 -307.258646534803</t>
  </si>
  <si>
    <t>-703.683096892642 53.2102045827476 -761.150240192816</t>
  </si>
  <si>
    <t>-591.45725329435 221.774237178423 -245.717050777087</t>
  </si>
  <si>
    <t>-591.067797089348 199.792833103313 209.447057065221</t>
  </si>
  <si>
    <t>-626.829697576885 168.605295334615 676.84780622653</t>
  </si>
  <si>
    <t>-493.971203366892 93.2539882340675 764.107881918869</t>
  </si>
  <si>
    <t>-654.162256756506 39.2174673113552 -211.045959513045</t>
  </si>
  <si>
    <t>-596.609825598367 -4.43540599111043 238.887150792494</t>
  </si>
  <si>
    <t>-766.26132484042 110.93387066691 661.813818591252</t>
  </si>
  <si>
    <t>-676.664294281528 -13.7862113194687 747.60888996182</t>
  </si>
  <si>
    <t>9763-20170724T160625.893569300.bin</t>
  </si>
  <si>
    <t>-622.983482387319 130.345455404657 -228.709441339788</t>
  </si>
  <si>
    <t>-663.130273689712 122.233704487856 -342.684143969476</t>
  </si>
  <si>
    <t>-683.260922668122 112.204606473561 -461.783772693779</t>
  </si>
  <si>
    <t>-693.068482611238 102.134996256223 -570.399060163342</t>
  </si>
  <si>
    <t>-694.542065726822 90.9939917230424 -679.341959094581</t>
  </si>
  <si>
    <t>-687.906442882319 74.2953239700778 -830.593835839082</t>
  </si>
  <si>
    <t>-652.648665837463 52.8385512511884 -923.757483219916</t>
  </si>
  <si>
    <t>-677.534763580363 110.44232005218 -766.260749046948</t>
  </si>
  <si>
    <t>-596.889012001043 233.05931737844 -757.079090717541</t>
  </si>
  <si>
    <t>-511.383405879438 180.545549059211 -456.883556175228</t>
  </si>
  <si>
    <t>-326.147476321004 76.085204658908 -307.157990069029</t>
  </si>
  <si>
    <t>-704.15019975932 52.9256558138227 -761.07834389642</t>
  </si>
  <si>
    <t>-591.594126420154 221.652051831144 -245.728345537724</t>
  </si>
  <si>
    <t>-591.055419983118 199.740661335148 209.438978981808</t>
  </si>
  <si>
    <t>-626.831658361304 168.661146146948 676.852253814125</t>
  </si>
  <si>
    <t>-493.992863832337 93.2721908073613 764.109788506556</t>
  </si>
  <si>
    <t>-654.219002876491 39.1175214952743 -211.026875026023</t>
  </si>
  <si>
    <t>-596.644047201274 -4.52785875452332 238.904104574103</t>
  </si>
  <si>
    <t>-766.246798334063 110.921475474875 661.806068906533</t>
  </si>
  <si>
    <t>-676.636006310846 -13.7799716017944 747.61382006107</t>
  </si>
  <si>
    <t>9763-20170724T160625.926162100.bin</t>
  </si>
  <si>
    <t>-623.001608051424 130.269818621532 -228.71001605239</t>
  </si>
  <si>
    <t>-663.168433194651 122.16243093114 -342.678016108058</t>
  </si>
  <si>
    <t>-683.328340164932 112.127815979499 -461.77233364559</t>
  </si>
  <si>
    <t>-693.166112223556 102.049102103098 -570.383899565373</t>
  </si>
  <si>
    <t>-694.673807735511 90.8946651074111 -679.325034246569</t>
  </si>
  <si>
    <t>-688.089462522686 74.172946903429 -830.57663359086</t>
  </si>
  <si>
    <t>-652.833486676875 52.6534601344681 -923.726468929124</t>
  </si>
  <si>
    <t>-677.69027867776 110.327074468661 -766.252012840404</t>
  </si>
  <si>
    <t>-597.018516323494 232.932964702328 -757.112656018509</t>
  </si>
  <si>
    <t>-511.484887150443 180.505372475448 -456.91018556457</t>
  </si>
  <si>
    <t>-326.280787041785 76.0680753422776 -307.129088371616</t>
  </si>
  <si>
    <t>-704.315375124135 52.8165112758049 -761.052924619712</t>
  </si>
  <si>
    <t>-591.60383528821 221.562028057728 -245.729474041664</t>
  </si>
  <si>
    <t>-591.033623734875 199.679624996368 209.439096492758</t>
  </si>
  <si>
    <t>-626.841890264429 168.666678756978 676.858333338271</t>
  </si>
  <si>
    <t>-493.998963965961 93.282092756989 764.113280276551</t>
  </si>
  <si>
    <t>-654.235818162013 39.0403051244471 -211.027579146439</t>
  </si>
  <si>
    <t>-596.650655678566 -4.58251110753054 238.904264591859</t>
  </si>
  <si>
    <t>-766.245525345301 110.886751368086 661.792958737729</t>
  </si>
  <si>
    <t>-676.637087482836 -13.7934252571822 747.634090347731</t>
  </si>
  <si>
    <t>9763-20170724T160625.989832400.bin</t>
  </si>
  <si>
    <t>-623.10547517707 130.132717112982 -228.785023284933</t>
  </si>
  <si>
    <t>-663.300138556334 122.081861892488 -342.747199446835</t>
  </si>
  <si>
    <t>-683.519325250005 112.071264768032 -461.833434149465</t>
  </si>
  <si>
    <t>-693.42386667657 101.998958013825 -570.43964668389</t>
  </si>
  <si>
    <t>-695.011831888728 90.8341845440571 -679.37845729362</t>
  </si>
  <si>
    <t>-688.553299843098 74.0794670630607 -830.631819154913</t>
  </si>
  <si>
    <t>-653.316283143921 52.4653137827756 -923.767073785113</t>
  </si>
  <si>
    <t>-678.074540943914 110.235755135324 -766.321394544614</t>
  </si>
  <si>
    <t>-597.283060449821 232.775597389601 -757.290417478015</t>
  </si>
  <si>
    <t>-511.742539695446 180.496856003506 -457.063964306179</t>
  </si>
  <si>
    <t>-326.622972514021 76.1552902493893 -307.11180762066</t>
  </si>
  <si>
    <t>-704.747476961668 52.7500474638352 -761.092528896482</t>
  </si>
  <si>
    <t>-591.758655474517 221.406075067842 -245.753490359308</t>
  </si>
  <si>
    <t>-590.958682498506 199.46780456108 209.412142114454</t>
  </si>
  <si>
    <t>-626.846844382543 168.665509713428 676.8484015865</t>
  </si>
  <si>
    <t>-494.00449337934 93.293666370779 764.115271848378</t>
  </si>
  <si>
    <t>-654.315200975067 38.9213564812858 -211.142616500426</t>
  </si>
  <si>
    <t>-596.675336140437 -4.49283657735486 238.802382741448</t>
  </si>
  <si>
    <t>-766.17659655426 110.839077569445 661.740520111925</t>
  </si>
  <si>
    <t>-676.637903443896 -13.8265042005585 747.675532533959</t>
  </si>
  <si>
    <t>9763-20170724T160626.023430900.bin</t>
  </si>
  <si>
    <t>-623.215856304985 130.064501536946 -228.837842505419</t>
  </si>
  <si>
    <t>-663.415256447362 122.037659448753 -342.800133913716</t>
  </si>
  <si>
    <t>-683.672844430064 112.047147701242 -461.881607311401</t>
  </si>
  <si>
    <t>-693.626340958496 101.989656464615 -570.484516014152</t>
  </si>
  <si>
    <t>-695.277517742998 90.8354997925551 -679.423576295181</t>
  </si>
  <si>
    <t>-688.921622109434 74.0903186329765 -830.682259450767</t>
  </si>
  <si>
    <t>-653.718917679677 52.4379072972465 -923.821612400796</t>
  </si>
  <si>
    <t>-678.38995374098 110.238322477461 -766.375802834211</t>
  </si>
  <si>
    <t>-597.490791157618 232.714854638599 -757.411554559591</t>
  </si>
  <si>
    <t>-512.008235414677 180.41614991746 -457.172081017862</t>
  </si>
  <si>
    <t>-326.970094289813 76.1040566618167 -307.098916325163</t>
  </si>
  <si>
    <t>-705.077962982869 52.7606423706638 -761.134143982619</t>
  </si>
  <si>
    <t>-591.912246923635 221.315681478989 -245.773896271852</t>
  </si>
  <si>
    <t>-590.924307899708 199.348567983656 209.389904301525</t>
  </si>
  <si>
    <t>-626.844389807862 168.668282390823 676.843345611402</t>
  </si>
  <si>
    <t>-493.995804632098 93.3116431007372 764.11382112147</t>
  </si>
  <si>
    <t>-654.36670090503 38.8805863362772 -211.232801537993</t>
  </si>
  <si>
    <t>-596.759233358307 -4.3638959349239 238.732645513212</t>
  </si>
  <si>
    <t>-766.123041481016 110.863718901504 661.746019536266</t>
  </si>
  <si>
    <t>-676.676699491457 -13.8470825649565 747.711555433863</t>
  </si>
  <si>
    <t>9763-20170724T160626.115201300.bin</t>
  </si>
  <si>
    <t>-623.471878511144 129.991266543194 -228.887466119704</t>
  </si>
  <si>
    <t>-663.734624014927 122.043572937824 -342.832981816685</t>
  </si>
  <si>
    <t>-684.080829144306 112.093512583582 -461.902693907811</t>
  </si>
  <si>
    <t>-694.124811981703 102.055461183555 -570.499127748015</t>
  </si>
  <si>
    <t>-695.877060315057 90.9025708929098 -679.436764333475</t>
  </si>
  <si>
    <t>-689.672439120144 74.1397924149537 -830.69987303205</t>
  </si>
  <si>
    <t>-654.591271302585 52.4385571687931 -923.873496168895</t>
  </si>
  <si>
    <t>-679.07049134454 110.292630520071 -766.407597377243</t>
  </si>
  <si>
    <t>-598.131514955867 232.739015307257 -757.560320795067</t>
  </si>
  <si>
    <t>-512.683087887681 180.522822233214 -457.296744047763</t>
  </si>
  <si>
    <t>-327.724473999338 76.2838774563154 -307.074991352045</t>
  </si>
  <si>
    <t>-705.765039891537 52.821033988778 -761.133602713661</t>
  </si>
  <si>
    <t>-592.230986489325 221.227442428709 -245.777221249122</t>
  </si>
  <si>
    <t>-590.815634894232 199.102828826856 209.377810836708</t>
  </si>
  <si>
    <t>-626.855358596795 168.650672237002 676.845792963781</t>
  </si>
  <si>
    <t>-493.987248728246 93.3366904005663 764.123393458757</t>
  </si>
  <si>
    <t>-654.585760551897 38.7909524677516 -211.324002708932</t>
  </si>
  <si>
    <t>-596.924036844061 -4.27269852720428 238.651933916487</t>
  </si>
  <si>
    <t>-766.123205992859 110.820035616646 661.778003523284</t>
  </si>
  <si>
    <t>-676.601511888894 -13.8204819748589 747.767078496318</t>
  </si>
  <si>
    <t>9763-20170724T160626.124733300.bin</t>
  </si>
  <si>
    <t>-623.609339234846 129.940223088006 -228.878728832458</t>
  </si>
  <si>
    <t>-663.917421949477 122.017972412349 -342.809841525478</t>
  </si>
  <si>
    <t>-684.3030665872 112.088878904877 -461.874533190008</t>
  </si>
  <si>
    <t>-694.379785015986 102.068223452906 -570.469636935185</t>
  </si>
  <si>
    <t>-696.161438097264 90.9315613695624 -679.408474929595</t>
  </si>
  <si>
    <t>-689.994442000005 74.1898282128759 -830.67542556076</t>
  </si>
  <si>
    <t>-654.99341087199 52.516332936762 -923.885779325453</t>
  </si>
  <si>
    <t>-679.376123981493 110.333576588064 -766.3806898558</t>
  </si>
  <si>
    <t>-598.411411413136 232.77195716105 -757.572604224071</t>
  </si>
  <si>
    <t>-513.041895793728 180.628196925162 -457.274071998346</t>
  </si>
  <si>
    <t>-328.079944228826 76.4307922306186 -307.027303246359</t>
  </si>
  <si>
    <t>-706.070165916718 52.8614778159697 -761.10816680759</t>
  </si>
  <si>
    <t>-592.350193992773 221.196348638202 -245.765210268238</t>
  </si>
  <si>
    <t>-590.754935024758 199.03478923693 209.387430774923</t>
  </si>
  <si>
    <t>-626.852749784495 168.646344996026 676.844348905327</t>
  </si>
  <si>
    <t>-493.99569222792 93.3229609135215 764.130674899471</t>
  </si>
  <si>
    <t>-654.745967816576 38.7036171591042 -211.304359959456</t>
  </si>
  <si>
    <t>-596.962243463906 -4.30795988856221 238.660849721848</t>
  </si>
  <si>
    <t>-766.138434486362 110.792304199446 661.798486707488</t>
  </si>
  <si>
    <t>-676.570012263909 -13.8127644877504 747.790237106731</t>
  </si>
  <si>
    <t>9763-20170724T160626.192425200.bin</t>
  </si>
  <si>
    <t>-623.775415777449 130.078941047211 -228.838313777401</t>
  </si>
  <si>
    <t>-664.122762241532 122.167275425852 -342.756339148648</t>
  </si>
  <si>
    <t>-684.564713145416 112.25542604718 -461.81276433616</t>
  </si>
  <si>
    <t>-694.69865030288 102.254907898641 -570.404405414593</t>
  </si>
  <si>
    <t>-696.543606610868 91.1436811165072 -679.344706898146</t>
  </si>
  <si>
    <t>-690.470046660368 74.4442310762377 -830.620054623732</t>
  </si>
  <si>
    <t>-655.613750861734 52.9091870536481 -923.916701312247</t>
  </si>
  <si>
    <t>-679.818865502366 110.573084341868 -766.322560362226</t>
  </si>
  <si>
    <t>-598.85318829541 233.012673140712 -757.583814649938</t>
  </si>
  <si>
    <t>-513.511046101554 180.96747122051 -457.260463005623</t>
  </si>
  <si>
    <t>-328.623792050442 76.774186172205 -306.919182294328</t>
  </si>
  <si>
    <t>-706.495836870402 53.0934969202842 -761.048373907789</t>
  </si>
  <si>
    <t>-592.521061538057 221.340002705344 -245.746007826613</t>
  </si>
  <si>
    <t>-590.862098983546 199.144056061799 209.40475799915</t>
  </si>
  <si>
    <t>-626.83502548923 168.713897569029 676.851213508812</t>
  </si>
  <si>
    <t>-493.979965710982 93.3900950321274 764.140171966452</t>
  </si>
  <si>
    <t>-654.860270914565 38.9062737026197 -211.242206650619</t>
  </si>
  <si>
    <t>-597.023550304409 -4.31326437189568 238.696232523025</t>
  </si>
  <si>
    <t>-766.164700276336 110.769910080189 661.829641210771</t>
  </si>
  <si>
    <t>-676.632550987383 -13.8629336331603 747.818930967837</t>
  </si>
  <si>
    <t>9763-20170724T160626.227530800.bin</t>
  </si>
  <si>
    <t>-623.864921104852 130.105920521893 -228.845191726568</t>
  </si>
  <si>
    <t>-664.230826319809 122.19245185141 -342.756476625284</t>
  </si>
  <si>
    <t>-684.710967901586 112.309866925946 -461.808860673264</t>
  </si>
  <si>
    <t>-694.887047367621 102.348248018041 -570.40010099242</t>
  </si>
  <si>
    <t>-696.781239613513 91.28843588723 -679.344824441689</t>
  </si>
  <si>
    <t>-690.783488984302 74.6728486806092 -830.632521681315</t>
  </si>
  <si>
    <t>-655.981737589473 53.2427793276884 -923.973565971341</t>
  </si>
  <si>
    <t>-680.106148811643 110.768827473519 -766.320721565461</t>
  </si>
  <si>
    <t>-599.109928878619 233.195588719213 -757.609487616662</t>
  </si>
  <si>
    <t>-513.78578239835 181.109762205015 -457.287936493996</t>
  </si>
  <si>
    <t>-328.903894244427 76.9727629033084 -306.901046960329</t>
  </si>
  <si>
    <t>-706.768443462503 53.2806595190286 -761.063943844413</t>
  </si>
  <si>
    <t>-592.648483712012 221.418608381352 -245.752149180274</t>
  </si>
  <si>
    <t>-590.921939486051 199.189171510895 209.396706201225</t>
  </si>
  <si>
    <t>-626.824521048325 168.741928380162 676.857714486558</t>
  </si>
  <si>
    <t>-493.951196407769 93.4406255639331 764.138297768327</t>
  </si>
  <si>
    <t>-654.934872669455 38.8379306431702 -211.250516134909</t>
  </si>
  <si>
    <t>-597.043119559242 -4.21328031822623 238.697041294303</t>
  </si>
  <si>
    <t>-766.185800423384 110.769061914795 661.859127052792</t>
  </si>
  <si>
    <t>-676.637733664164 -13.865185735674 747.829781530383</t>
  </si>
  <si>
    <t>9763-20170724T160626.293711700.bin</t>
  </si>
  <si>
    <t>-624.048963822084 130.264419052274 -228.813856453719</t>
  </si>
  <si>
    <t>-664.471758754837 122.378934715374 -342.706792372335</t>
  </si>
  <si>
    <t>-685.052151152314 112.574172824264 -461.748409653367</t>
  </si>
  <si>
    <t>-695.335452037209 102.703998101544 -570.337891382366</t>
  </si>
  <si>
    <t>-697.352813929563 91.7568147006273 -679.291690255494</t>
  </si>
  <si>
    <t>-691.54159841586 75.3205036666252 -830.606202957382</t>
  </si>
  <si>
    <t>-656.801644660049 54.0586627877451 -924.008819118475</t>
  </si>
  <si>
    <t>-680.80230274681 111.348211625703 -766.266555049594</t>
  </si>
  <si>
    <t>-599.802667354996 233.768939461709 -757.570077076782</t>
  </si>
  <si>
    <t>-514.413708016127 181.490040329194 -457.300447963214</t>
  </si>
  <si>
    <t>-329.619916756312 77.2276730849037 -306.892146952782</t>
  </si>
  <si>
    <t>-707.423434847405 53.8379389856846 -761.041832221469</t>
  </si>
  <si>
    <t>-592.878574540534 221.596235409694 -245.722420917192</t>
  </si>
  <si>
    <t>-591.037102502235 199.271120326196 209.42127215491</t>
  </si>
  <si>
    <t>-626.835416078627 168.742588348237 676.878391692318</t>
  </si>
  <si>
    <t>-493.927007702408 93.4734840233282 764.133345788989</t>
  </si>
  <si>
    <t>-655.068136354899 39.0064672849664 -211.253150632801</t>
  </si>
  <si>
    <t>-597.149976664249 -4.06710866550839 238.688837364507</t>
  </si>
  <si>
    <t>-766.236719159986 110.748532700699 661.903117036196</t>
  </si>
  <si>
    <t>-676.627012124648 -13.8660570510135 747.838095389909</t>
  </si>
  <si>
    <t>9763-20170724T160626.328808800.bin</t>
  </si>
  <si>
    <t>-624.122384812988 130.364999249123 -228.824620449958</t>
  </si>
  <si>
    <t>-664.573353148169 122.484781339945 -342.708025622896</t>
  </si>
  <si>
    <t>-685.209776941342 112.720501262709 -461.743175126313</t>
  </si>
  <si>
    <t>-695.554630458886 102.902141425549 -570.331526607111</t>
  </si>
  <si>
    <t>-697.643519252389 92.0230306770668 -679.290841376912</t>
  </si>
  <si>
    <t>-691.941806795825 75.6983700457242 -830.62160312778</t>
  </si>
  <si>
    <t>-657.236483242684 54.5117790137294 -924.054291897835</t>
  </si>
  <si>
    <t>-681.170846836234 111.685270750688 -766.264471366802</t>
  </si>
  <si>
    <t>-600.175665688075 234.120850140813 -757.571254839849</t>
  </si>
  <si>
    <t>-514.754498118169 181.722034118872 -457.331713008366</t>
  </si>
  <si>
    <t>-329.936359325526 77.4608469793307 -306.952515417755</t>
  </si>
  <si>
    <t>-707.75850045452 54.1576962715867 -761.060411512674</t>
  </si>
  <si>
    <t>-592.965792262259 221.720312197441 -245.720813946867</t>
  </si>
  <si>
    <t>-591.077880343162 199.34654329158 209.420367068131</t>
  </si>
  <si>
    <t>-626.810888738366 168.838555789197 676.879834753344</t>
  </si>
  <si>
    <t>-493.965380588779 93.4571653022135 764.13365701644</t>
  </si>
  <si>
    <t>-655.147216170617 39.0559730347547 -211.253489740563</t>
  </si>
  <si>
    <t>-597.20314744199 -4.00113498514429 238.686763278167</t>
  </si>
  <si>
    <t>-766.255258023007 110.756146991781 661.928427541577</t>
  </si>
  <si>
    <t>-676.62621079785 -13.8590088637811 747.842473303064</t>
  </si>
  <si>
    <t>9763-20170724T160626.393003900.bin</t>
  </si>
  <si>
    <t>-624.288199830498 130.558018388489 -228.800751699128</t>
  </si>
  <si>
    <t>-664.814068063873 122.736024471859 -342.661640447847</t>
  </si>
  <si>
    <t>-685.520799996066 113.095894711634 -461.694553827094</t>
  </si>
  <si>
    <t>-695.925722405251 103.417799129034 -570.289728663977</t>
  </si>
  <si>
    <t>-698.070216201319 92.7077081513091 -679.264666530132</t>
  </si>
  <si>
    <t>-692.439997825576 76.6488916132812 -830.626666339858</t>
  </si>
  <si>
    <t>-657.741230651808 55.6400018247539 -924.101828977059</t>
  </si>
  <si>
    <t>-681.651054686783 112.528297087237 -766.212435057315</t>
  </si>
  <si>
    <t>-600.664974062071 234.952807191774 -757.463648788312</t>
  </si>
  <si>
    <t>-515.094287043022 182.481172923164 -457.279358694327</t>
  </si>
  <si>
    <t>-330.311000320277 78.0736961615755 -306.95878405509</t>
  </si>
  <si>
    <t>-708.211416292627 54.9804449599194 -761.094849367514</t>
  </si>
  <si>
    <t>-593.099956993682 221.929843351837 -245.703402567134</t>
  </si>
  <si>
    <t>-591.13867553839 199.449893757277 209.432369777701</t>
  </si>
  <si>
    <t>-626.811347695591 168.839256945059 676.885759459894</t>
  </si>
  <si>
    <t>-493.920682522478 93.5289566159652 764.132190560892</t>
  </si>
  <si>
    <t>-655.299611155985 39.2665856238261 -211.232779765281</t>
  </si>
  <si>
    <t>-597.365954598923 -3.98335265341711 238.690307521596</t>
  </si>
  <si>
    <t>-766.313744896019 110.77614242326 661.992631474538</t>
  </si>
  <si>
    <t>-676.668702349563 -13.8757158659689 747.836679959454</t>
  </si>
  <si>
    <t>9763-20170724T160626.426574100.bin</t>
  </si>
  <si>
    <t>-624.375880931874 130.674928191155 -228.791561615137</t>
  </si>
  <si>
    <t>-664.933904875446 122.873188141074 -342.642229984228</t>
  </si>
  <si>
    <t>-685.658602452301 113.284783053401 -461.676389218483</t>
  </si>
  <si>
    <t>-696.07296077213 103.666557455122 -570.27599479095</t>
  </si>
  <si>
    <t>-698.2197986292 93.0293743129125 -679.258006561906</t>
  </si>
  <si>
    <t>-692.585018593747 77.0856788905251 -830.631895352337</t>
  </si>
  <si>
    <t>-657.863381441779 56.1316658128774 -924.110907321066</t>
  </si>
  <si>
    <t>-681.794775179531 112.91469971711 -766.189844011594</t>
  </si>
  <si>
    <t>-600.739652778331 235.308153594871 -757.401537031818</t>
  </si>
  <si>
    <t>-515.24565327851 182.678021438737 -457.223160480941</t>
  </si>
  <si>
    <t>-330.516787716939 78.2556833940926 -306.846073000169</t>
  </si>
  <si>
    <t>-708.361731163707 55.3657955408694 -761.117453606159</t>
  </si>
  <si>
    <t>-593.152180534541 222.03726928166 -245.689660693203</t>
  </si>
  <si>
    <t>-591.148167581011 199.54401456838 209.445248767366</t>
  </si>
  <si>
    <t>-626.801998412467 168.853684529778 676.887799094383</t>
  </si>
  <si>
    <t>-493.928422711341 93.5147453972504 764.135509298538</t>
  </si>
  <si>
    <t>-655.451995068104 39.3643791508478 -211.20772765966</t>
  </si>
  <si>
    <t>-597.42085900045 -3.97531772098841 238.694168037328</t>
  </si>
  <si>
    <t>-766.33872971354 110.777472995032 661.996266917809</t>
  </si>
  <si>
    <t>-676.698984128504 -13.8937857131411 747.81759167942</t>
  </si>
  <si>
    <t>9763-20170724T160626.490079400.bin</t>
  </si>
  <si>
    <t>-624.533377952286 130.807565502473 -228.754596799113</t>
  </si>
  <si>
    <t>-665.150659144528 123.04836138518 -342.587005425607</t>
  </si>
  <si>
    <t>-685.910974865609 113.508310531249 -461.61890124628</t>
  </si>
  <si>
    <t>-696.346996115554 103.937210881886 -570.220610846879</t>
  </si>
  <si>
    <t>-698.504421490172 93.351446838587 -679.207417714457</t>
  </si>
  <si>
    <t>-692.872760250763 77.4841105017313 -830.589537221584</t>
  </si>
  <si>
    <t>-658.127648331473 56.6057379459542 -924.076591979873</t>
  </si>
  <si>
    <t>-682.076994281948 113.278606849066 -766.129241946995</t>
  </si>
  <si>
    <t>-601.036981652375 235.656956413439 -757.249379844803</t>
  </si>
  <si>
    <t>-515.63467401897 182.793284633511 -457.086045642559</t>
  </si>
  <si>
    <t>-331.042806453252 78.1256379314145 -306.711255970739</t>
  </si>
  <si>
    <t>-708.652279011699 55.7311238006218 -761.085918685556</t>
  </si>
  <si>
    <t>-593.221939163212 222.198983289322 -245.670155790163</t>
  </si>
  <si>
    <t>-591.153911256772 199.647602230128 209.461492198441</t>
  </si>
  <si>
    <t>-626.776692261022 168.923673050569 676.886030983353</t>
  </si>
  <si>
    <t>-493.929276779903 93.5464591130979 764.140574272333</t>
  </si>
  <si>
    <t>-655.661379169491 39.4821624321748 -211.172619139021</t>
  </si>
  <si>
    <t>-597.524268678993 -4.04155222653594 238.697871093726</t>
  </si>
  <si>
    <t>-766.402219139994 110.761024169144 662.000612756734</t>
  </si>
  <si>
    <t>-676.707792979721 -13.8983605744127 747.782051722631</t>
  </si>
  <si>
    <t>9763-20170724T160626.525179000.bin</t>
  </si>
  <si>
    <t>-624.591259811888 130.908461260681 -228.769699090591</t>
  </si>
  <si>
    <t>-665.211250290511 123.147269308243 -342.601231433509</t>
  </si>
  <si>
    <t>-685.97563571262 113.629041053596 -461.634006511169</t>
  </si>
  <si>
    <t>-696.415586382029 104.087372586001 -570.238007824412</t>
  </si>
  <si>
    <t>-698.576993378242 93.540723927576 -679.228440623757</t>
  </si>
  <si>
    <t>-692.950621911924 77.7379402700496 -830.617449318567</t>
  </si>
  <si>
    <t>-658.188653901662 56.9089016030814 -924.10947412965</t>
  </si>
  <si>
    <t>-682.15593262296 113.506568211585 -766.142678446301</t>
  </si>
  <si>
    <t>-601.109222050587 235.885302989582 -757.231414870581</t>
  </si>
  <si>
    <t>-515.819653167961 182.964012161397 -457.046118051249</t>
  </si>
  <si>
    <t>-331.29967106393 78.2464184816513 -306.617869475618</t>
  </si>
  <si>
    <t>-708.724291315041 55.953811318208 -761.122438509477</t>
  </si>
  <si>
    <t>-593.265833348674 222.31190274036 -245.673577892302</t>
  </si>
  <si>
    <t>-591.198420130834 199.722558172221 209.456086000237</t>
  </si>
  <si>
    <t>-626.778484592517 168.908207154775 676.89035042029</t>
  </si>
  <si>
    <t>-493.919501190216 93.5403986970853 764.135355936963</t>
  </si>
  <si>
    <t>-655.767867078021 39.59126073118 -211.183535271293</t>
  </si>
  <si>
    <t>-597.641951622649 -4.09470212548467 238.672674353445</t>
  </si>
  <si>
    <t>-766.431412622087 110.757873987441 662.009498801126</t>
  </si>
  <si>
    <t>-676.697317016948 -13.88721160357 747.770195737897</t>
  </si>
  <si>
    <t>9763-20170724T160626.595300500.bin</t>
  </si>
  <si>
    <t>-624.759228991448 131.017356562159 -228.759707151349</t>
  </si>
  <si>
    <t>-665.40918445138 123.278681035908 -342.581883985163</t>
  </si>
  <si>
    <t>-686.170818904623 113.810453984014 -461.619152538294</t>
  </si>
  <si>
    <t>-696.594411877575 104.323082052062 -570.229449449939</t>
  </si>
  <si>
    <t>-698.725099882804 93.8390838270197 -679.226639241668</t>
  </si>
  <si>
    <t>-693.041283744485 78.1308573133933 -830.62338461664</t>
  </si>
  <si>
    <t>-658.211471937575 57.3964543727629 -924.111048919235</t>
  </si>
  <si>
    <t>-682.267259478215 113.857529333366 -766.121820283072</t>
  </si>
  <si>
    <t>-601.185565468231 236.210119711346 -757.146995764448</t>
  </si>
  <si>
    <t>-516.064163240209 183.252614310855 -456.920361439797</t>
  </si>
  <si>
    <t>-331.679986406747 78.4334405332311 -306.39642853804</t>
  </si>
  <si>
    <t>-708.845068599474 56.3050701623151 -761.148297139078</t>
  </si>
  <si>
    <t>-593.41899550951 222.511636031061 -245.662838739684</t>
  </si>
  <si>
    <t>-591.35953225327 199.858713018868 209.463706697363</t>
  </si>
  <si>
    <t>-626.772347452642 168.956475365565 676.894432883085</t>
  </si>
  <si>
    <t>-493.910378948348 93.5804534759372 764.127797573308</t>
  </si>
  <si>
    <t>-655.959376234015 39.5799230038947 -211.199414564489</t>
  </si>
  <si>
    <t>-597.843468264014 -4.03931010011274 238.664496041298</t>
  </si>
  <si>
    <t>-766.523213474046 110.771809514623 662.082880154824</t>
  </si>
  <si>
    <t>-676.703011395482 -13.8767772883625 747.748365015523</t>
  </si>
  <si>
    <t>9763-20170724T160626.626889000.bin</t>
  </si>
  <si>
    <t>-624.844040186224 131.078299508792 -228.742958744896</t>
  </si>
  <si>
    <t>-665.507157373171 123.34226221016 -342.560708102057</t>
  </si>
  <si>
    <t>-686.272710313679 113.889702103806 -461.598466560552</t>
  </si>
  <si>
    <t>-696.695767936035 104.421215809061 -570.210465030332</t>
  </si>
  <si>
    <t>-698.82187140066 93.9603291041058 -679.209967575532</t>
  </si>
  <si>
    <t>-693.127219535502 78.2885631309787 -830.610058739589</t>
  </si>
  <si>
    <t>-658.270176847665 57.5794128998427 -924.093181973062</t>
  </si>
  <si>
    <t>-682.347692080368 113.994943366264 -766.098294659976</t>
  </si>
  <si>
    <t>-601.250575529331 236.330318803975 -757.091332962532</t>
  </si>
  <si>
    <t>-516.20985282823 183.375413015294 -456.841294341635</t>
  </si>
  <si>
    <t>-331.915668066299 78.5025620081956 -306.244485065246</t>
  </si>
  <si>
    <t>-708.946254985308 56.4506130598134 -761.142205401222</t>
  </si>
  <si>
    <t>-593.462440056795 222.58544113566 -245.655302830774</t>
  </si>
  <si>
    <t>-591.436494614321 199.945285132364 209.472041040332</t>
  </si>
  <si>
    <t>-626.770458645677 168.992267529205 676.899533448856</t>
  </si>
  <si>
    <t>-493.894294763759 93.6318096223815 764.124758114529</t>
  </si>
  <si>
    <t>-656.086912477734 39.6489056839919 -211.158155086359</t>
  </si>
  <si>
    <t>-597.910734652448 -4.06842828793378 238.68845031302</t>
  </si>
  <si>
    <t>-766.553979322497 110.78599917576 662.102623231753</t>
  </si>
  <si>
    <t>-676.686253656299 -13.8565840809415 747.726931880391</t>
  </si>
  <si>
    <t>9763-20170724T160626.693576000.bin</t>
  </si>
  <si>
    <t>-624.992269114313 131.191141231119 -228.731798021266</t>
  </si>
  <si>
    <t>-665.695284755641 123.511137024419 -342.539074629838</t>
  </si>
  <si>
    <t>-686.416127050669 114.104976153681 -461.588447321415</t>
  </si>
  <si>
    <t>-696.763197459131 104.674330740268 -570.210866897088</t>
  </si>
  <si>
    <t>-698.777965350902 94.2468510314307 -679.215808408592</t>
  </si>
  <si>
    <t>-692.891959489226 78.6170702666684 -830.612858965158</t>
  </si>
  <si>
    <t>-657.929260725679 57.9505252318761 -924.065892540336</t>
  </si>
  <si>
    <t>-682.173887622755 114.296387845513 -766.075927663717</t>
  </si>
  <si>
    <t>-601.043403839409 236.603786669706 -756.960829878923</t>
  </si>
  <si>
    <t>-516.445925849626 183.548023288999 -456.603404424503</t>
  </si>
  <si>
    <t>-332.31480534962 78.5527860573745 -305.892345039562</t>
  </si>
  <si>
    <t>-708.818855408068 56.7690516491712 -761.172758020552</t>
  </si>
  <si>
    <t>-593.51175087758 222.679106085533 -245.647924581205</t>
  </si>
  <si>
    <t>-591.470774157872 200.008642837082 209.478045571467</t>
  </si>
  <si>
    <t>-626.762839543168 169.045463937871 676.902817641581</t>
  </si>
  <si>
    <t>-493.897890717709 93.657396479741 764.121292423171</t>
  </si>
  <si>
    <t>-656.313765212985 39.7878499382364 -211.158018747003</t>
  </si>
  <si>
    <t>-598.123536303077 -4.15841335723121 238.664483045502</t>
  </si>
  <si>
    <t>-766.601767869641 110.797336190291 662.109713017041</t>
  </si>
  <si>
    <t>-676.70612435697 -13.8622354577278 747.680048613773</t>
  </si>
  <si>
    <t>9763-20170724T160626.727670200.bin</t>
  </si>
  <si>
    <t>-625.057111163208 131.219450429698 -228.733338988902</t>
  </si>
  <si>
    <t>-665.763875421702 123.565481890567 -342.541059109003</t>
  </si>
  <si>
    <t>-686.443996389547 114.169455752038 -461.598211173804</t>
  </si>
  <si>
    <t>-696.736096808407 104.741139767051 -570.22615165726</t>
  </si>
  <si>
    <t>-698.677644209131 94.3094330785616 -679.231837948083</t>
  </si>
  <si>
    <t>-692.671389071066 78.6667391607916 -830.622878399993</t>
  </si>
  <si>
    <t>-657.652154643669 58.0175560353928 -924.058762328477</t>
  </si>
  <si>
    <t>-681.99514848961 114.347272888034 -766.079750033436</t>
  </si>
  <si>
    <t>-600.856447513212 236.645341321299 -756.897756327209</t>
  </si>
  <si>
    <t>-516.503107660195 183.585473385938 -456.472442017843</t>
  </si>
  <si>
    <t>-332.457447797799 78.5716590526167 -305.669972483927</t>
  </si>
  <si>
    <t>-708.662876241611 56.828922364632 -761.194453815721</t>
  </si>
  <si>
    <t>-593.517243714646 222.708131105753 -245.643553966282</t>
  </si>
  <si>
    <t>-591.446369810201 199.989935127221 209.479787689821</t>
  </si>
  <si>
    <t>-626.761956481042 169.036401288897 676.896028425752</t>
  </si>
  <si>
    <t>-493.89827338885 93.655559759404 764.122644989697</t>
  </si>
  <si>
    <t>-656.43947254172 39.8154491412599 -211.165235192513</t>
  </si>
  <si>
    <t>-598.214176243316 -4.17187950644825 238.648735435554</t>
  </si>
  <si>
    <t>-766.615468336537 110.809494143004 662.114033829624</t>
  </si>
  <si>
    <t>-676.755944123357 -13.887153133533 747.668220902735</t>
  </si>
  <si>
    <t>9763-20170724T160626.789447700.bin</t>
  </si>
  <si>
    <t>-625.100275488227 131.158371176098 -228.769498702509</t>
  </si>
  <si>
    <t>-665.774433433118 123.503449472459 -342.588659207108</t>
  </si>
  <si>
    <t>-686.295247973814 114.066771671957 -461.67017878433</t>
  </si>
  <si>
    <t>-696.391810581826 104.583067517426 -570.3117858338</t>
  </si>
  <si>
    <t>-698.087239753267 94.0759413333531 -679.314334275443</t>
  </si>
  <si>
    <t>-691.687468167996 78.306590551915 -830.676079954962</t>
  </si>
  <si>
    <t>-656.62060956094 57.7636355112331 -924.117443063817</t>
  </si>
  <si>
    <t>-681.156246556627 114.030762152168 -766.133103722298</t>
  </si>
  <si>
    <t>-599.956320777432 236.272422529377 -756.790593187542</t>
  </si>
  <si>
    <t>-516.103023530129 183.392671329779 -456.193612052691</t>
  </si>
  <si>
    <t>-332.220371454627 78.1627622889662 -305.343028201804</t>
  </si>
  <si>
    <t>-707.882166398985 56.5372254470049 -761.273259743721</t>
  </si>
  <si>
    <t>-593.564763877136 222.671463959996 -245.663479701344</t>
  </si>
  <si>
    <t>-591.544329652494 199.988519261211 209.461863511115</t>
  </si>
  <si>
    <t>-626.756457363178 169.063906341718 676.89191937689</t>
  </si>
  <si>
    <t>-493.949182280779 93.5880647200111 764.122289686695</t>
  </si>
  <si>
    <t>-656.509099980643 39.7093373134883 -211.209511911036</t>
  </si>
  <si>
    <t>-598.401495025536 -4.15845817815284 238.63137221019</t>
  </si>
  <si>
    <t>-766.692925837605 110.808738470704 662.154772447402</t>
  </si>
  <si>
    <t>-676.74735357681 -13.8666753649973 747.649525098616</t>
  </si>
  <si>
    <t>9763-20170724T160626.829053400.bin</t>
  </si>
  <si>
    <t>-625.242934701951 131.104933081006 -228.782513917302</t>
  </si>
  <si>
    <t>-665.894137333557 123.440442584239 -342.609451630472</t>
  </si>
  <si>
    <t>-686.3018755153 113.973639152113 -461.707993413781</t>
  </si>
  <si>
    <t>-696.259700780826 104.450404912403 -570.358859244281</t>
  </si>
  <si>
    <t>-697.7806786756 93.8891858023558 -679.358852048736</t>
  </si>
  <si>
    <t>-691.102511757841 78.0273563245523 -830.698866645225</t>
  </si>
  <si>
    <t>-656.064059045277 57.6061327692719 -924.177397089608</t>
  </si>
  <si>
    <t>-680.664545032804 113.779449476631 -766.156123649023</t>
  </si>
  <si>
    <t>-599.363685650575 235.940762278496 -756.670760393096</t>
  </si>
  <si>
    <t>-515.839288319683 183.215320683027 -455.955113225493</t>
  </si>
  <si>
    <t>-331.949765503142 77.9482120704542 -305.138927324329</t>
  </si>
  <si>
    <t>-707.450189103245 56.3120564236322 -761.314868692174</t>
  </si>
  <si>
    <t>-593.673573840359 222.657805875764 -245.674983375906</t>
  </si>
  <si>
    <t>-591.642956533409 199.989475073272 209.451052340297</t>
  </si>
  <si>
    <t>-626.751678447521 169.113376344019 676.891308350082</t>
  </si>
  <si>
    <t>-494.000104159452 93.5398439800058 764.121905306932</t>
  </si>
  <si>
    <t>-656.700479644126 39.6383233324018 -211.22876505579</t>
  </si>
  <si>
    <t>-598.583322316779 -4.13625457701846 238.619895033551</t>
  </si>
  <si>
    <t>-766.739347066991 110.802064873848 662.194693231674</t>
  </si>
  <si>
    <t>-676.751514543992 -13.8665797049084 747.654757766751</t>
  </si>
  <si>
    <t>9763-20170724T160626.894414200.bin</t>
  </si>
  <si>
    <t>-625.505749592194 130.908850719958 -228.850649449406</t>
  </si>
  <si>
    <t>-666.103683679236 123.254999339311 -342.69718012758</t>
  </si>
  <si>
    <t>-686.176986110636 113.751664798667 -461.849646069103</t>
  </si>
  <si>
    <t>-695.717513791855 104.170304418911 -570.532856766165</t>
  </si>
  <si>
    <t>-696.707977390047 93.5225292664043 -679.530580313822</t>
  </si>
  <si>
    <t>-689.177496348046 77.5079395476264 -830.814419743925</t>
  </si>
  <si>
    <t>-654.123183060959 57.4914811580315 -924.374617222416</t>
  </si>
  <si>
    <t>-679.06895104068 113.309449293444 -766.246710575876</t>
  </si>
  <si>
    <t>-597.766176198576 235.427606558335 -756.324784897382</t>
  </si>
  <si>
    <t>-515.159812122926 182.72026053205 -455.352687792695</t>
  </si>
  <si>
    <t>-331.035041714391 77.7807469766981 -304.595116205704</t>
  </si>
  <si>
    <t>-705.950011940766 55.8783931436546 -761.505152031341</t>
  </si>
  <si>
    <t>-593.935337727633 222.47014596801 -245.694366598591</t>
  </si>
  <si>
    <t>-591.885244723023 199.897563513136 209.436409663656</t>
  </si>
  <si>
    <t>-626.792113794164 169.090545172395 676.90430547018</t>
  </si>
  <si>
    <t>-493.99092542692 93.5813218209444 764.115043316222</t>
  </si>
  <si>
    <t>-656.924324676541 39.4267968432268 -211.333928707967</t>
  </si>
  <si>
    <t>-598.916026827653 -4.15394426571947 238.54770848905</t>
  </si>
  <si>
    <t>-766.779232002004 110.754759367742 662.220074346006</t>
  </si>
  <si>
    <t>-676.733274896328 -13.8640836520656 747.691607291502</t>
  </si>
  <si>
    <t>9763-20170724T160626.924497700.bin</t>
  </si>
  <si>
    <t>-625.616647401027 130.781053891228 -228.870595548111</t>
  </si>
  <si>
    <t>-666.199632927328 123.163488916466 -342.724948908114</t>
  </si>
  <si>
    <t>-686.093982241685 113.67294327139 -461.908416352047</t>
  </si>
  <si>
    <t>-695.405117213183 104.093061711541 -570.611652453799</t>
  </si>
  <si>
    <t>-696.099220815761 93.4365391460879 -679.610843148336</t>
  </si>
  <si>
    <t>-688.088674115934 77.3987868704232 -830.867517501891</t>
  </si>
  <si>
    <t>-652.962198395092 57.6345702664596 -924.454354923511</t>
  </si>
  <si>
    <t>-678.18064512489 113.208163666858 -766.273078319898</t>
  </si>
  <si>
    <t>-596.902800656148 235.338948717677 -756.124065915807</t>
  </si>
  <si>
    <t>-514.987168918555 182.740557495194 -454.944044289746</t>
  </si>
  <si>
    <t>-330.782361449638 77.8117876010556 -304.276891201141</t>
  </si>
  <si>
    <t>-705.085509761845 55.781859216864 -761.608999954993</t>
  </si>
  <si>
    <t>-594.039326007651 222.345850939594 -245.698694978788</t>
  </si>
  <si>
    <t>-591.994643278486 199.796313763123 209.433112829134</t>
  </si>
  <si>
    <t>-626.820442087284 169.060368270834 676.921480295982</t>
  </si>
  <si>
    <t>-494.04270305248 93.5049120032545 764.127898655662</t>
  </si>
  <si>
    <t>-657.069030832174 39.3052856342485 -211.377527499187</t>
  </si>
  <si>
    <t>-599.039898462237 -4.13065913594232 238.51536389714</t>
  </si>
  <si>
    <t>-766.759937593332 110.772748090529 662.229728221766</t>
  </si>
  <si>
    <t>-676.745795835923 -13.8596935240082 747.714942052787</t>
  </si>
  <si>
    <t>9763-20170724T160626.993682300.bin</t>
  </si>
  <si>
    <t>-625.78583713667 130.350621328694 -228.958090906624</t>
  </si>
  <si>
    <t>-666.289093574563 122.83364175913 -342.847436822442</t>
  </si>
  <si>
    <t>-685.781004029513 113.400075137078 -462.101949888592</t>
  </si>
  <si>
    <t>-694.595914230767 103.854367170416 -570.849506334587</t>
  </si>
  <si>
    <t>-694.663047198456 93.2152110308998 -679.852457353745</t>
  </si>
  <si>
    <t>-685.647339920602 77.1854396687418 -831.053546558771</t>
  </si>
  <si>
    <t>-650.434815613233 58.0207143576672 -924.732678324416</t>
  </si>
  <si>
    <t>-676.169474379717 112.991632093457 -766.392926937639</t>
  </si>
  <si>
    <t>-595.136226214526 235.226949089753 -755.698123227646</t>
  </si>
  <si>
    <t>-514.776534283828 182.912613700552 -454.049631363987</t>
  </si>
  <si>
    <t>-330.27455491273 77.7512165397131 -303.909263345583</t>
  </si>
  <si>
    <t>-703.10350058742 55.5646612648902 -761.910718522332</t>
  </si>
  <si>
    <t>-594.108728031902 221.860913336 -245.725606553861</t>
  </si>
  <si>
    <t>-592.057808519895 199.48909773594 209.415023586556</t>
  </si>
  <si>
    <t>-626.837080413701 169.041401174573 676.92606796262</t>
  </si>
  <si>
    <t>-494.095682824648 93.4382515029135 764.146468512304</t>
  </si>
  <si>
    <t>-657.29834596714 38.9015263045808 -211.554231499611</t>
  </si>
  <si>
    <t>-599.57872272885 -4.23964445107504 238.406851571428</t>
  </si>
  <si>
    <t>-766.811039889351 110.717087613662 662.274857158428</t>
  </si>
  <si>
    <t>-676.729383224805 -13.8480483561855 747.787056968413</t>
  </si>
  <si>
    <t>9763-20170724T160627.024264100.bin</t>
  </si>
  <si>
    <t>-625.885875967781 130.11435941404 -229.029283920506</t>
  </si>
  <si>
    <t>-666.353817447337 122.663603311318 -342.935592413281</t>
  </si>
  <si>
    <t>-685.607468387026 113.278308336112 -462.232598187758</t>
  </si>
  <si>
    <t>-694.123543348504 103.769448364386 -571.007257588083</t>
  </si>
  <si>
    <t>-693.809042544717 93.161198424659 -680.012813296725</t>
  </si>
  <si>
    <t>-684.17882123919 77.1683891414461 -831.17995195665</t>
  </si>
  <si>
    <t>-648.916855818519 58.3606917527852 -924.912779286841</t>
  </si>
  <si>
    <t>-674.980236244027 112.966297135216 -766.474305347166</t>
  </si>
  <si>
    <t>-594.154939966095 235.310699904445 -755.415074794095</t>
  </si>
  <si>
    <t>-514.688737888965 183.024185545936 -453.525278853889</t>
  </si>
  <si>
    <t>-329.874854484001 77.7487358982421 -303.849127529023</t>
  </si>
  <si>
    <t>-701.899537659432 55.5231433960494 -762.11195392781</t>
  </si>
  <si>
    <t>-594.17628308272 221.636367985402 -245.749042742245</t>
  </si>
  <si>
    <t>-592.10775772563 199.306943946772 209.39354167896</t>
  </si>
  <si>
    <t>-626.836513766839 169.057450107984 676.931337796594</t>
  </si>
  <si>
    <t>-494.206029245586 93.2806257157424 764.169714108201</t>
  </si>
  <si>
    <t>-657.483352912526 38.6546738825145 -211.671374895798</t>
  </si>
  <si>
    <t>-599.894248532742 -4.31835567544567 238.322481046626</t>
  </si>
  <si>
    <t>-766.841702119258 110.667929236176 662.299548879851</t>
  </si>
  <si>
    <t>-676.713803670708 -13.8459336124124 747.837696859985</t>
  </si>
  <si>
    <t>9763-20170724T160627.094955100.bin</t>
  </si>
  <si>
    <t>-626.19065381659 129.590767944757 -229.074456924904</t>
  </si>
  <si>
    <t>-666.659967364141 122.276209329281 -342.988990692293</t>
  </si>
  <si>
    <t>-685.263319039434 112.897435880146 -462.389762666975</t>
  </si>
  <si>
    <t>-692.923054788764 103.342638408058 -571.223890717085</t>
  </si>
  <si>
    <t>-691.48683792656 92.638040763994 -680.211064021266</t>
  </si>
  <si>
    <t>-680.027333894901 76.460638643608 -831.230885514437</t>
  </si>
  <si>
    <t>-644.373124969319 58.3243003665143 -924.947745865016</t>
  </si>
  <si>
    <t>-671.656571852124 112.357916454541 -766.467948903539</t>
  </si>
  <si>
    <t>-591.389075832463 234.990915263868 -754.615779449581</t>
  </si>
  <si>
    <t>-514.35236917689 183.496302139744 -451.961058019933</t>
  </si>
  <si>
    <t>-328.380449050775 77.9021608174492 -303.952986213994</t>
  </si>
  <si>
    <t>-698.539001737649 54.8794124346523 -762.350629568684</t>
  </si>
  <si>
    <t>-594.37092193886 221.040301491563 -245.738197859726</t>
  </si>
  <si>
    <t>-592.071148123073 198.746141905478 209.404975414465</t>
  </si>
  <si>
    <t>-626.893324509438 168.864614214167 676.957060169847</t>
  </si>
  <si>
    <t>-494.1952535214 93.2485412884662 764.232198403485</t>
  </si>
  <si>
    <t>-657.836466731456 38.1882531461249 -211.768853574233</t>
  </si>
  <si>
    <t>-600.295197636953 -4.48325735404137 238.259816160421</t>
  </si>
  <si>
    <t>-766.87914929929 110.62712191986 662.344555888806</t>
  </si>
  <si>
    <t>-676.740235159409 -13.8594086583489 747.910872100154</t>
  </si>
  <si>
    <t>9763-20170724T160627.122028000.bin</t>
  </si>
  <si>
    <t>-626.409926334445 129.364999496476 -229.074051424846</t>
  </si>
  <si>
    <t>-666.952577158182 122.153524183703 -342.969173383173</t>
  </si>
  <si>
    <t>-685.089534398409 112.760327207165 -462.440383022197</t>
  </si>
  <si>
    <t>-692.104854840617 103.143905232036 -571.312629512584</t>
  </si>
  <si>
    <t>-689.804359702695 92.3292112329766 -680.274044161734</t>
  </si>
  <si>
    <t>-676.920296873979 75.9490071915534 -831.157131225742</t>
  </si>
  <si>
    <t>-640.84771520277 58.1124236596174 -924.771425630713</t>
  </si>
  <si>
    <t>-669.181040581617 111.942595676879 -766.369103423698</t>
  </si>
  <si>
    <t>-589.195747069518 234.713038515069 -754.038442609634</t>
  </si>
  <si>
    <t>-514.060838522187 183.933629300441 -450.785400854908</t>
  </si>
  <si>
    <t>-327.151808378508 78.1979714285783 -304.064474295829</t>
  </si>
  <si>
    <t>-696.061137922093 54.4508954946991 -762.422963612306</t>
  </si>
  <si>
    <t>-594.573051188947 220.805851230299 -245.712704674089</t>
  </si>
  <si>
    <t>-592.048100493576 198.460732594723 209.426837823014</t>
  </si>
  <si>
    <t>-626.911702313982 168.795097574902 676.974649126317</t>
  </si>
  <si>
    <t>-494.242566639444 93.1803034245952 764.294823067001</t>
  </si>
  <si>
    <t>-658.044885981235 37.9742937938865 -211.779928632916</t>
  </si>
  <si>
    <t>-600.432195327255 -4.62215525199304 238.246673391168</t>
  </si>
  <si>
    <t>-766.894354463714 110.616597009157 662.344824861303</t>
  </si>
  <si>
    <t>-676.74183269119 -13.8556437271689 747.917590338791</t>
  </si>
  <si>
    <t>9763-20170724T160627.192225300.bin</t>
  </si>
  <si>
    <t>-627.267846081876 129.151538652804 -229.087429542968</t>
  </si>
  <si>
    <t>-667.906434913141 122.09891627078 -342.958213274163</t>
  </si>
  <si>
    <t>-684.926388300464 112.591581886636 -462.58467189933</t>
  </si>
  <si>
    <t>-690.431640532946 102.767770562438 -571.525147519026</t>
  </si>
  <si>
    <t>-686.128716277862 91.6469118820662 -680.395109589233</t>
  </si>
  <si>
    <t>-669.96309360599 74.7447378747449 -830.904346616616</t>
  </si>
  <si>
    <t>-632.828167436688 57.3350688661535 -924.182779420102</t>
  </si>
  <si>
    <t>-663.719721527755 111.001524803902 -766.101630362584</t>
  </si>
  <si>
    <t>-584.499049542825 234.15358188504 -752.667010776264</t>
  </si>
  <si>
    <t>-513.751483769903 184.703362803921 -448.141677612094</t>
  </si>
  <si>
    <t>-325.647620720696 78.2992056455619 -303.445065694144</t>
  </si>
  <si>
    <t>-690.512032599947 53.4453361244714 -762.515707597153</t>
  </si>
  <si>
    <t>-595.313448619714 220.527599042458 -245.678940972491</t>
  </si>
  <si>
    <t>-592.02247468748 198.093225667699 209.451347414567</t>
  </si>
  <si>
    <t>-626.904866036231 168.770755369505 677.007290868014</t>
  </si>
  <si>
    <t>-494.290984814116 93.117603064464 764.378177321609</t>
  </si>
  <si>
    <t>-659.040061476493 37.8249290165691 -211.760079946867</t>
  </si>
  <si>
    <t>-600.73708497627 -4.9816204240683 238.157727641112</t>
  </si>
  <si>
    <t>-766.887680057824 110.631771152528 662.253761331152</t>
  </si>
  <si>
    <t>-676.76240161791 -13.8512367043038 747.839554998178</t>
  </si>
  <si>
    <t>9763-20170724T160627.229330500.bin</t>
  </si>
  <si>
    <t>-627.881123184522 129.069243234519 -229.122088249276</t>
  </si>
  <si>
    <t>-668.486074114186 122.145061611017 -343.012883173325</t>
  </si>
  <si>
    <t>-684.791142401577 112.581356790968 -462.734299325938</t>
  </si>
  <si>
    <t>-689.371507430626 102.63337739568 -571.706260841288</t>
  </si>
  <si>
    <t>-683.871414174349 91.3175706731772 -680.502233178468</t>
  </si>
  <si>
    <t>-665.768961261536 74.0733932331491 -830.751905972024</t>
  </si>
  <si>
    <t>-627.946693471854 56.8272908847152 -923.784296878915</t>
  </si>
  <si>
    <t>-660.407553737479 110.499054192802 -765.965013321361</t>
  </si>
  <si>
    <t>-581.59446420922 233.850131511889 -751.984512847931</t>
  </si>
  <si>
    <t>-513.366322296008 185.343672695469 -446.733428331966</t>
  </si>
  <si>
    <t>-324.937371532058 78.5186014970832 -302.771720384819</t>
  </si>
  <si>
    <t>-687.149948652034 52.9077224881062 -762.577299403111</t>
  </si>
  <si>
    <t>-595.909928986307 220.535692774164 -245.639724519717</t>
  </si>
  <si>
    <t>-592.134441494006 197.977075187663 209.480515544438</t>
  </si>
  <si>
    <t>-626.914146645552 168.736606230057 677.03641302409</t>
  </si>
  <si>
    <t>-494.323114492042 93.0621810558414 764.423530936157</t>
  </si>
  <si>
    <t>-659.631569859385 37.6974767542115 -211.861168931374</t>
  </si>
  <si>
    <t>-601.026634857409 -5.0725918542073 238.020882849886</t>
  </si>
  <si>
    <t>-766.940193646458 110.612101700332 662.202805475525</t>
  </si>
  <si>
    <t>-676.782230049416 -13.8546991743106 747.777733626104</t>
  </si>
  <si>
    <t>9763-20170724T160627.291115100.bin</t>
  </si>
  <si>
    <t>-629.405722543034 129.104302390093 -229.204253386678</t>
  </si>
  <si>
    <t>-669.774830353971 122.503090709315 -343.197983376106</t>
  </si>
  <si>
    <t>-684.557273732335 112.849012490292 -463.109806305366</t>
  </si>
  <si>
    <t>-687.239758608607 102.651287815282 -572.122072095238</t>
  </si>
  <si>
    <t>-679.336951876971 90.9204227577297 -680.725758142879</t>
  </si>
  <si>
    <t>-657.394155694177 72.9312929607308 -830.375087983715</t>
  </si>
  <si>
    <t>-618.14512366545 55.8870169632282 -922.852087888276</t>
  </si>
  <si>
    <t>-653.766334912959 109.71272473693 -765.668993404457</t>
  </si>
  <si>
    <t>-575.541390121264 233.337083821061 -750.638516879116</t>
  </si>
  <si>
    <t>-513.134205865739 187.088664876928 -443.795587016552</t>
  </si>
  <si>
    <t>-324.560290783481 79.265431084136 -300.770644699691</t>
  </si>
  <si>
    <t>-680.440061370204 52.0690390921209 -762.650777051332</t>
  </si>
  <si>
    <t>-597.376231702124 220.736596288855 -245.488439150892</t>
  </si>
  <si>
    <t>-592.780481809061 198.068521631525 209.618945475017</t>
  </si>
  <si>
    <t>-626.926627857452 168.770505449332 677.147504265051</t>
  </si>
  <si>
    <t>-494.4309174331 92.9149092665102 764.522152847724</t>
  </si>
  <si>
    <t>-661.263094020327 37.609745102159 -212.188110172322</t>
  </si>
  <si>
    <t>-601.778076042177 -5.26226931462293 237.568666210242</t>
  </si>
  <si>
    <t>-767.095478256444 110.532209761742 661.998487712657</t>
  </si>
  <si>
    <t>-676.785726073797 -13.8405779027764 747.550082281588</t>
  </si>
  <si>
    <t>9763-20170724T160627.323199700.bin</t>
  </si>
  <si>
    <t>-630.234584453121 129.335410572673 -229.256929438551</t>
  </si>
  <si>
    <t>-670.346926581338 122.850525918614 -343.347875886814</t>
  </si>
  <si>
    <t>-684.284878279188 113.123621593959 -463.354995783563</t>
  </si>
  <si>
    <t>-685.969282497178 102.782355000151 -572.373585673013</t>
  </si>
  <si>
    <t>-676.843916202197 90.8312517168231 -680.857489510707</t>
  </si>
  <si>
    <t>-652.981946956057 72.4580938929978 -830.165950103482</t>
  </si>
  <si>
    <t>-612.976981496288 55.4344303643188 -922.322261994458</t>
  </si>
  <si>
    <t>-650.205654117734 109.415407397018 -765.517966600987</t>
  </si>
  <si>
    <t>-572.259951270139 233.126243279296 -749.978045739641</t>
  </si>
  <si>
    <t>-512.980281662043 188.034562416157 -442.343710033752</t>
  </si>
  <si>
    <t>-324.409827797948 79.8337532345868 -299.599853939925</t>
  </si>
  <si>
    <t>-676.874540984558 51.7599629897156 -762.685225478242</t>
  </si>
  <si>
    <t>-598.092642966826 220.950437737808 -245.402281937813</t>
  </si>
  <si>
    <t>-593.181148946961 198.363413431988 209.705836568185</t>
  </si>
  <si>
    <t>-626.925560971478 168.807307003136 677.200198470745</t>
  </si>
  <si>
    <t>-494.435083888092 92.9156627271423 764.551448882969</t>
  </si>
  <si>
    <t>-662.14580322244 37.8520621277912 -212.363192175255</t>
  </si>
  <si>
    <t>-602.161208963443 -5.38681523550258 237.292103845713</t>
  </si>
  <si>
    <t>-767.166478437001 110.506620009848 661.834052423051</t>
  </si>
  <si>
    <t>-676.808554277935 -13.8418173816049 747.370116462257</t>
  </si>
  <si>
    <t>9763-20170724T160627.393391700.bin</t>
  </si>
  <si>
    <t>-631.496691796354 129.644763339965 -229.391128432824</t>
  </si>
  <si>
    <t>-670.837322834445 123.362474896882 -343.761830680733</t>
  </si>
  <si>
    <t>-683.047917149306 113.500299108894 -463.945866167993</t>
  </si>
  <si>
    <t>-682.796740813167 102.899541007666 -572.952324402898</t>
  </si>
  <si>
    <t>-671.383958471949 90.5538062329806 -681.175167098546</t>
  </si>
  <si>
    <t>-644.003901413462 71.4955440873766 -829.792601429513</t>
  </si>
  <si>
    <t>-602.565652378034 54.4426280855544 -921.307835954631</t>
  </si>
  <si>
    <t>-642.779094046724 108.761647288809 -765.273884285702</t>
  </si>
  <si>
    <t>-565.263648655692 232.648525503529 -748.868325174986</t>
  </si>
  <si>
    <t>-512.474457557908 189.667385219464 -439.753213330866</t>
  </si>
  <si>
    <t>-324.076208323865 80.8669477344667 -297.237951294923</t>
  </si>
  <si>
    <t>-669.458350931209 51.0948316607323 -762.794095486221</t>
  </si>
  <si>
    <t>-599.167602453078 221.153701024448 -245.224897620848</t>
  </si>
  <si>
    <t>-594.295781228832 199.098005378714 209.909817858357</t>
  </si>
  <si>
    <t>-626.946513764344 168.727140910715 677.332414945556</t>
  </si>
  <si>
    <t>-494.334916558922 93.0063886535161 764.648150415594</t>
  </si>
  <si>
    <t>-663.610705330328 38.1427784138566 -212.789682624213</t>
  </si>
  <si>
    <t>-602.713753096791 -5.95040566630905 236.660015363791</t>
  </si>
  <si>
    <t>-767.308592046086 110.459276919708 661.346302456998</t>
  </si>
  <si>
    <t>-676.884294481166 -13.8610122308849 746.85312931667</t>
  </si>
  <si>
    <t>9763-20170724T160627.426995800.bin</t>
  </si>
  <si>
    <t>-631.981038566113 129.698032349838 -229.440199493881</t>
  </si>
  <si>
    <t>-670.876578982912 123.447449572421 -343.964743210943</t>
  </si>
  <si>
    <t>-682.230244947148 113.460073204588 -464.222338679133</t>
  </si>
  <si>
    <t>-681.046427277066 102.682572145626 -573.20538839817</t>
  </si>
  <si>
    <t>-668.554668903876 90.097768013761 -681.2813459448</t>
  </si>
  <si>
    <t>-639.536493124693 70.644386816783 -829.536456688186</t>
  </si>
  <si>
    <t>-597.422973408022 53.5206595342129 -920.729740403815</t>
  </si>
  <si>
    <t>-639.027149288889 108.083961673487 -765.108525699154</t>
  </si>
  <si>
    <t>-561.70037796618 232.043863011016 -748.363257947712</t>
  </si>
  <si>
    <t>-512.024137673865 190.390900766102 -438.551115355262</t>
  </si>
  <si>
    <t>-323.995371257259 80.9045067552972 -296.073274418019</t>
  </si>
  <si>
    <t>-665.725084071832 50.4198916722382 -762.767682157922</t>
  </si>
  <si>
    <t>-599.491026581575 221.133525505174 -245.189889431017</t>
  </si>
  <si>
    <t>-594.764430219346 199.314827746332 209.9576770322</t>
  </si>
  <si>
    <t>-626.950384738306 168.585903561466 677.363885971792</t>
  </si>
  <si>
    <t>-494.195513168373 93.1476053642616 764.706405363124</t>
  </si>
  <si>
    <t>-664.326913258999 38.2366229939096 -212.993410275298</t>
  </si>
  <si>
    <t>-602.846274157087 -6.32558067490618 236.330536861714</t>
  </si>
  <si>
    <t>-767.367025712401 110.425661470169 661.023124478789</t>
  </si>
  <si>
    <t>-676.884958217679 -13.8597077772861 746.519650100322</t>
  </si>
  <si>
    <t>9763-20170724T160627.494682500.bin</t>
  </si>
  <si>
    <t>-632.432537016372 129.487960084625 -229.692980487514</t>
  </si>
  <si>
    <t>-670.482647948646 123.321080885131 -344.505689429042</t>
  </si>
  <si>
    <t>-680.217310710053 113.091178187689 -464.88480135148</t>
  </si>
  <si>
    <t>-677.276210251235 101.958804646016 -573.798899232304</t>
  </si>
  <si>
    <t>-662.757261072005 88.8847697644155 -681.563173193379</t>
  </si>
  <si>
    <t>-630.66943173039 68.6138959947284 -829.074145656989</t>
  </si>
  <si>
    <t>-587.281616545963 51.3241614048029 -919.636396160629</t>
  </si>
  <si>
    <t>-631.508558826833 106.415058134111 -764.861204436986</t>
  </si>
  <si>
    <t>-554.587696016591 230.538900428424 -747.53602465232</t>
  </si>
  <si>
    <t>-510.980233197314 191.627103989349 -436.456507892558</t>
  </si>
  <si>
    <t>-323.503626491158 81.0207534997296 -294.116037343375</t>
  </si>
  <si>
    <t>-658.226013624316 48.7512330799598 -762.748774470773</t>
  </si>
  <si>
    <t>-599.702912276977 220.848595860052 -245.182982909098</t>
  </si>
  <si>
    <t>-595.424285232567 199.467365435706 209.989778151491</t>
  </si>
  <si>
    <t>-626.937488216341 168.148317151351 677.323160605393</t>
  </si>
  <si>
    <t>-493.96518043876 93.3525113266101 764.887204714111</t>
  </si>
  <si>
    <t>-665.021540173972 38.1046166050128 -213.6166525745</t>
  </si>
  <si>
    <t>-602.790237599604 -6.71204057333648 235.578657241398</t>
  </si>
  <si>
    <t>-767.434308033518 110.370651965759 660.281757686007</t>
  </si>
  <si>
    <t>-676.942970190007 -13.9008982202272 745.788530511394</t>
  </si>
  <si>
    <t>9763-20170724T160627.526265000.bin</t>
  </si>
  <si>
    <t>-632.394134059661 129.283251189101 -229.913283050589</t>
  </si>
  <si>
    <t>-669.969152663373 123.102052367914 -344.881652024447</t>
  </si>
  <si>
    <t>-678.92957399551 112.732066400935 -465.308956532776</t>
  </si>
  <si>
    <t>-675.17796875622 101.421795106744 -574.179710764389</t>
  </si>
  <si>
    <t>-659.749964052172 88.1184675863192 -681.789445905477</t>
  </si>
  <si>
    <t>-626.308919701485 67.4768364388808 -828.947916703803</t>
  </si>
  <si>
    <t>-582.342149118944 50.1030238088379 -919.214461416308</t>
  </si>
  <si>
    <t>-627.755789211112 105.447927779873 -764.8461780211</t>
  </si>
  <si>
    <t>-551.05987777814 229.690532762854 -747.344983514463</t>
  </si>
  <si>
    <t>-510.186174002723 192.166508400377 -435.724382148058</t>
  </si>
  <si>
    <t>-323.035095381979 81.0154727551353 -293.379766309112</t>
  </si>
  <si>
    <t>-654.455168372157 47.7724637075298 -762.823532136659</t>
  </si>
  <si>
    <t>-599.621387659915 220.554215224047 -245.239613498831</t>
  </si>
  <si>
    <t>-595.57801227798 199.307450507745 209.941567396394</t>
  </si>
  <si>
    <t>-626.965378815371 167.889352545211 677.320506941269</t>
  </si>
  <si>
    <t>-493.797086844998 93.5455087655935 764.971611646954</t>
  </si>
  <si>
    <t>-665.023427835325 38.0091880083389 -213.96791035691</t>
  </si>
  <si>
    <t>-602.634868466182 -6.90491170617247 235.195754003464</t>
  </si>
  <si>
    <t>-767.425879263313 110.350887035973 659.875189318671</t>
  </si>
  <si>
    <t>-676.939715944359 -13.910818217244 745.401787601862</t>
  </si>
  <si>
    <t>9763-20170724T160627.592848000.bin</t>
  </si>
  <si>
    <t>-631.879876839515 129.121182249107 -230.227617300815</t>
  </si>
  <si>
    <t>-668.666924336811 122.884043848572 -345.447456386761</t>
  </si>
  <si>
    <t>-676.299278003634 112.221643443543 -465.940786063372</t>
  </si>
  <si>
    <t>-671.148740579431 100.5475559309 -574.715797628858</t>
  </si>
  <si>
    <t>-654.144774151833 86.7809572280466 -682.029383323021</t>
  </si>
  <si>
    <t>-618.353878667673 65.3928138649453 -828.527083280601</t>
  </si>
  <si>
    <t>-573.426775307487 47.8531244283502 -918.287370599923</t>
  </si>
  <si>
    <t>-620.864862380462 103.707175610794 -764.662896724466</t>
  </si>
  <si>
    <t>-544.656950799447 228.21797247792 -747.00372479015</t>
  </si>
  <si>
    <t>-508.97347343927 193.435028788121 -434.428928769173</t>
  </si>
  <si>
    <t>-322.277667882007 81.321305745751 -292.241614903649</t>
  </si>
  <si>
    <t>-647.515646394538 46.005602885444 -762.749930555387</t>
  </si>
  <si>
    <t>-599.177069663496 220.320679242273 -245.224146442498</t>
  </si>
  <si>
    <t>-595.845410009967 199.258009605489 209.971361429959</t>
  </si>
  <si>
    <t>-627.194391915952 167.266432984752 677.411320429862</t>
  </si>
  <si>
    <t>-493.659107714401 93.6738099159604 765.137980168518</t>
  </si>
  <si>
    <t>-664.516073965813 38.0150418040841 -214.583797145148</t>
  </si>
  <si>
    <t>-602.13011703187 -6.97912421853266 234.572321525003</t>
  </si>
  <si>
    <t>-767.379753381646 110.302579748578 659.146648782086</t>
  </si>
  <si>
    <t>-676.904327259118 -13.9316450698084 744.72446220447</t>
  </si>
  <si>
    <t>9763-20170724T160627.626947200.bin</t>
  </si>
  <si>
    <t>-631.486992781625 129.115742500906 -230.38831896272</t>
  </si>
  <si>
    <t>-667.896197947531 122.852644054189 -345.726780300216</t>
  </si>
  <si>
    <t>-674.938063716098 112.068349850697 -466.245098260594</t>
  </si>
  <si>
    <t>-669.177411767102 100.244044253056 -574.973494295366</t>
  </si>
  <si>
    <t>-651.496572030134 86.2872754893929 -682.1529961578</t>
  </si>
  <si>
    <t>-614.706058941178 64.5939300096368 -828.357937757609</t>
  </si>
  <si>
    <t>-569.378652470389 46.9973484169218 -917.905399558532</t>
  </si>
  <si>
    <t>-617.684536710243 103.055571957112 -764.60245930703</t>
  </si>
  <si>
    <t>-541.791752418335 227.757150836168 -746.930457852527</t>
  </si>
  <si>
    <t>-508.292501899837 194.30558854201 -433.968878975745</t>
  </si>
  <si>
    <t>-321.798418306212 81.8124551787728 -291.81644810745</t>
  </si>
  <si>
    <t>-644.284986822487 45.3294570675741 -762.730972583319</t>
  </si>
  <si>
    <t>-598.84394582951 220.247273734121 -245.196362827598</t>
  </si>
  <si>
    <t>-596.124116738132 199.31637300655 210.009304285517</t>
  </si>
  <si>
    <t>-627.35254417018 166.949257904568 677.490964519656</t>
  </si>
  <si>
    <t>-493.578144804405 93.7674179744181 765.196988144023</t>
  </si>
  <si>
    <t>-664.073355262554 38.081085521048 -214.912196699785</t>
  </si>
  <si>
    <t>-601.868593877175 -6.77534350898122 234.282812188823</t>
  </si>
  <si>
    <t>-767.317439419801 110.30621552553 658.849345666921</t>
  </si>
  <si>
    <t>-676.905026351538 -13.9540530896777 744.45596402258</t>
  </si>
  <si>
    <t>9763-20170724T160627.695131400.bin</t>
  </si>
  <si>
    <t>-630.748828437809 129.258620908405 -230.716027712372</t>
  </si>
  <si>
    <t>-666.348569169032 122.867026126739 -346.299746222391</t>
  </si>
  <si>
    <t>-672.307140554172 111.781950231501 -466.849185334745</t>
  </si>
  <si>
    <t>-665.476378505832 99.6151906926489 -575.477834671067</t>
  </si>
  <si>
    <t>-646.651881971639 85.2451929237714 -682.407660413389</t>
  </si>
  <si>
    <t>-608.212833301067 62.905206004483 -828.09018739643</t>
  </si>
  <si>
    <t>-562.214496225169 45.1499867944763 -917.263430606209</t>
  </si>
  <si>
    <t>-611.996111837183 101.687364999647 -764.571969623529</t>
  </si>
  <si>
    <t>-536.729672254286 226.792986266505 -747.014769741454</t>
  </si>
  <si>
    <t>-506.806234269912 195.854714829591 -433.432940725971</t>
  </si>
  <si>
    <t>-320.882798473383 82.8257447748106 -290.958408431404</t>
  </si>
  <si>
    <t>-638.445813589386 43.8924526335329 -762.688309553484</t>
  </si>
  <si>
    <t>-598.323696217452 220.347365689634 -245.219550908337</t>
  </si>
  <si>
    <t>-596.529273977304 199.420703204279 209.990919078876</t>
  </si>
  <si>
    <t>-627.547616000766 166.502035424098 677.509500314164</t>
  </si>
  <si>
    <t>-493.47832864652 93.8773860610604 765.228394099156</t>
  </si>
  <si>
    <t>-663.016998067594 38.2507522558922 -215.509296832131</t>
  </si>
  <si>
    <t>-601.386885536414 -6.21771768175722 233.803473650839</t>
  </si>
  <si>
    <t>-767.220161869699 110.257697099513 658.373663726489</t>
  </si>
  <si>
    <t>-676.869634646303 -13.9969053284442 744.053873816677</t>
  </si>
  <si>
    <t>9763-20170724T160627.722199000.bin</t>
  </si>
  <si>
    <t>-630.29345893673 129.365943442998 -230.843483934463</t>
  </si>
  <si>
    <t>-665.53015082474 122.898640093101 -346.534257720418</t>
  </si>
  <si>
    <t>-671.022901795193 111.66649199083 -467.092229236218</t>
  </si>
  <si>
    <t>-663.738220085398 99.3390300801962 -575.673192145622</t>
  </si>
  <si>
    <t>-644.434370494089 84.7810707362196 -682.492142688129</t>
  </si>
  <si>
    <t>-605.309820434184 62.1526961060235 -827.947342471852</t>
  </si>
  <si>
    <t>-559.051036930848 44.3416236982116 -916.974618927632</t>
  </si>
  <si>
    <t>-609.445680776436 101.084704879282 -764.543010482813</t>
  </si>
  <si>
    <t>-534.531384150359 226.40608664252 -747.060267875721</t>
  </si>
  <si>
    <t>-506.024360968345 196.585652517509 -433.238263503612</t>
  </si>
  <si>
    <t>-320.382932089419 83.3783930086627 -290.537784801008</t>
  </si>
  <si>
    <t>-635.796670357981 43.2455022139509 -762.632883683258</t>
  </si>
  <si>
    <t>-597.999379671057 220.455261970077 -245.246712883732</t>
  </si>
  <si>
    <t>-596.424190250277 199.434253951567 209.960158715546</t>
  </si>
  <si>
    <t>-627.611829176524 166.365068786659 677.514591378514</t>
  </si>
  <si>
    <t>-493.350937412505 94.0700528946609 765.212710255547</t>
  </si>
  <si>
    <t>-662.443008628155 38.3214446242598 -215.727302143776</t>
  </si>
  <si>
    <t>-601.062477824188 -5.94959726027901 233.639158511301</t>
  </si>
  <si>
    <t>-767.159695957199 110.249747372944 658.175949660797</t>
  </si>
  <si>
    <t>-676.864140538598 -14.0214261686658 743.89001551487</t>
  </si>
  <si>
    <t>9763-20170724T160627.791388200.bin</t>
  </si>
  <si>
    <t>-629.192448499713 129.633651846554 -230.828378190662</t>
  </si>
  <si>
    <t>-663.794933480109 122.992053600892 -346.700536205668</t>
  </si>
  <si>
    <t>-668.48888519326 111.492681715898 -467.26706720369</t>
  </si>
  <si>
    <t>-660.429439338509 98.8963842043659 -575.762363995448</t>
  </si>
  <si>
    <t>-640.308687198648 84.0490855363309 -682.3905670535</t>
  </si>
  <si>
    <t>-600.016122458145 61.0031348592861 -827.460848091154</t>
  </si>
  <si>
    <t>-553.318932841609 43.1536480923592 -916.251423482303</t>
  </si>
  <si>
    <t>-604.779253070506 100.169306392763 -764.245089776061</t>
  </si>
  <si>
    <t>-530.479503962065 225.877864316662 -746.883136099478</t>
  </si>
  <si>
    <t>-504.192716612982 198.334393447381 -432.659397838599</t>
  </si>
  <si>
    <t>-319.282653632687 84.4815445682052 -289.523568900349</t>
  </si>
  <si>
    <t>-630.909380754056 42.2312455202464 -762.298481135368</t>
  </si>
  <si>
    <t>-597.146687966588 220.715547627783 -245.079919287524</t>
  </si>
  <si>
    <t>-596.273907341067 199.671915249844 210.127856657128</t>
  </si>
  <si>
    <t>-627.883225316305 166.21869790012 677.708361438975</t>
  </si>
  <si>
    <t>-493.229938468485 94.3412020147462 765.14767746941</t>
  </si>
  <si>
    <t>-661.191204399004 38.6142433045634 -215.875447350555</t>
  </si>
  <si>
    <t>-600.284724590498 -5.55664037840552 233.565306959415</t>
  </si>
  <si>
    <t>-767.047490194213 110.232695599805 657.911084413107</t>
  </si>
  <si>
    <t>-676.781012474308 -14.0453970928036 743.645723848445</t>
  </si>
  <si>
    <t>9763-20170724T160627.823473500.bin</t>
  </si>
  <si>
    <t>-628.617039736104 129.742867000682 -230.777902977158</t>
  </si>
  <si>
    <t>-662.999008894481 123.030715384679 -346.71169751604</t>
  </si>
  <si>
    <t>-667.392361930867 111.427510641399 -467.279599605177</t>
  </si>
  <si>
    <t>-659.033079922452 98.7321543496539 -575.740680490972</t>
  </si>
  <si>
    <t>-638.588042165127 83.7857371329976 -682.293245827856</t>
  </si>
  <si>
    <t>-597.823266108406 60.6067096915519 -827.210367663456</t>
  </si>
  <si>
    <t>-550.968730880928 42.7742554855899 -915.921330091383</t>
  </si>
  <si>
    <t>-602.859264283323 99.860256201478 -764.069924339927</t>
  </si>
  <si>
    <t>-528.84734675813 225.748110155885 -746.757149466417</t>
  </si>
  <si>
    <t>-503.63701919494 199.147160971534 -432.364124718916</t>
  </si>
  <si>
    <t>-318.898741698668 85.1591463532372 -289.114162041806</t>
  </si>
  <si>
    <t>-628.861539309893 41.8652057669049 -762.108186954349</t>
  </si>
  <si>
    <t>-596.632110651619 220.807599307482 -245.008877753207</t>
  </si>
  <si>
    <t>-596.130330347249 199.848297965369 210.203266463604</t>
  </si>
  <si>
    <t>-627.933217146558 166.144831028786 677.6776931699</t>
  </si>
  <si>
    <t>-493.138369011322 94.5087498336834 765.097013282293</t>
  </si>
  <si>
    <t>-660.547351685653 38.7013568456632 -215.859385468027</t>
  </si>
  <si>
    <t>-599.824894328749 -5.46196288406441 233.607102284591</t>
  </si>
  <si>
    <t>-766.960115487893 110.272861225899 657.806724788622</t>
  </si>
  <si>
    <t>-676.773255093249 -14.0621839136948 743.542611874029</t>
  </si>
  <si>
    <t>9763-20170724T160627.899640700.bin</t>
  </si>
  <si>
    <t>-627.396758979388 129.915046803743 -230.742029255663</t>
  </si>
  <si>
    <t>-661.382545909294 123.061210193825 -346.784320010947</t>
  </si>
  <si>
    <t>-665.209409014822 111.242478092905 -467.350627251124</t>
  </si>
  <si>
    <t>-656.277531612672 98.3367161760398 -575.741174943637</t>
  </si>
  <si>
    <t>-635.2070253293 83.1733827753887 -682.141201574556</t>
  </si>
  <si>
    <t>-593.526272506298 59.69449287322 -826.749088497153</t>
  </si>
  <si>
    <t>-546.394688795251 41.8702779550708 -915.315007115454</t>
  </si>
  <si>
    <t>-599.064616617962 99.1235790947871 -763.760199656499</t>
  </si>
  <si>
    <t>-525.61416970264 225.35396197496 -746.606365849347</t>
  </si>
  <si>
    <t>-502.304922674104 200.514200130145 -431.922696909665</t>
  </si>
  <si>
    <t>-317.964669087701 86.1587195299696 -288.453021788243</t>
  </si>
  <si>
    <t>-624.872735770613 41.0428569133971 -761.76894439755</t>
  </si>
  <si>
    <t>-595.382809849967 221.020256577269 -245.015936896518</t>
  </si>
  <si>
    <t>-595.492202216484 200.00905910437 210.194149513221</t>
  </si>
  <si>
    <t>-627.877914516942 166.169003180642 677.594767824488</t>
  </si>
  <si>
    <t>-493.019146236788 94.7249698680066 765.072601743024</t>
  </si>
  <si>
    <t>-659.282730192536 38.8864531165993 -215.815052133311</t>
  </si>
  <si>
    <t>-598.805528178103 -5.46152353791945 233.666223868006</t>
  </si>
  <si>
    <t>-766.818172683569 110.304162396482 657.529300472396</t>
  </si>
  <si>
    <t>-676.774030746995 -14.1247036349071 743.279055015685</t>
  </si>
  <si>
    <t>9763-20170724T160627.926719200.bin</t>
  </si>
  <si>
    <t>-626.828719994847 130.026287779488 -230.762699775407</t>
  </si>
  <si>
    <t>-660.661944150062 123.127100256076 -346.846907223869</t>
  </si>
  <si>
    <t>-664.210822664837 111.219222380382 -467.412932095466</t>
  </si>
  <si>
    <t>-654.980624660419 98.2211802192855 -575.767421505368</t>
  </si>
  <si>
    <t>-633.569606060318 82.9574739684099 -682.085015926405</t>
  </si>
  <si>
    <t>-591.376881213591 59.3346239134555 -826.520951768192</t>
  </si>
  <si>
    <t>-544.087599305153 41.5087848933092 -915.002293590335</t>
  </si>
  <si>
    <t>-597.176809646561 98.8428783940881 -763.605372578582</t>
  </si>
  <si>
    <t>-523.906339535282 225.188029080666 -746.528080330254</t>
  </si>
  <si>
    <t>-501.523289164517 201.4397233286 -431.692686149841</t>
  </si>
  <si>
    <t>-317.511450272689 86.7488533747492 -288.069192898421</t>
  </si>
  <si>
    <t>-622.915018266433 40.730980562003 -761.619708897606</t>
  </si>
  <si>
    <t>-594.81661795314 221.18302982755 -245.012937025104</t>
  </si>
  <si>
    <t>-595.191392497572 200.156476018409 210.196228707513</t>
  </si>
  <si>
    <t>-627.863097616028 166.186858518272 677.561840915032</t>
  </si>
  <si>
    <t>-492.951694116933 94.8654378396855 765.058574164702</t>
  </si>
  <si>
    <t>-658.759663804158 38.9551765999163 -215.841910296729</t>
  </si>
  <si>
    <t>-598.382179757844 -5.34607905005669 233.657409813688</t>
  </si>
  <si>
    <t>-766.780513672446 110.287603753003 657.403534934431</t>
  </si>
  <si>
    <t>-676.716836284623 -14.1295991537868 743.14968378863</t>
  </si>
  <si>
    <t>9763-20170724T160627.992900200.bin</t>
  </si>
  <si>
    <t>-625.865588016284 130.181917893991 -230.84737628635</t>
  </si>
  <si>
    <t>-659.268550267331 123.151935669485 -347.048195508789</t>
  </si>
  <si>
    <t>-662.258499042813 111.037282813691 -467.608787408512</t>
  </si>
  <si>
    <t>-652.481439259212 97.8280438167149 -575.889870215112</t>
  </si>
  <si>
    <t>-630.490274518778 82.333362825234 -682.055442676487</t>
  </si>
  <si>
    <t>-587.46510977657 58.3733595522331 -826.190043661552</t>
  </si>
  <si>
    <t>-539.874973441331 40.4787445831307 -914.49596992275</t>
  </si>
  <si>
    <t>-593.643872676806 98.0356534694263 -763.407572911625</t>
  </si>
  <si>
    <t>-520.474524754504 224.454955951841 -746.395634868553</t>
  </si>
  <si>
    <t>-499.707240967921 202.949004335748 -431.288624430097</t>
  </si>
  <si>
    <t>-316.373999912645 87.6663568989627 -287.271547703024</t>
  </si>
  <si>
    <t>-619.360940992908 39.9141828345298 -761.422414232027</t>
  </si>
  <si>
    <t>-593.746853628477 221.378247900581 -245.061069822784</t>
  </si>
  <si>
    <t>-594.83128212973 200.435526439623 210.150808735423</t>
  </si>
  <si>
    <t>-627.813907260271 166.304672355522 677.482081664682</t>
  </si>
  <si>
    <t>-492.941274803375 94.9725329952635 765.029859343364</t>
  </si>
  <si>
    <t>-657.844918621888 39.0700945506364 -215.922619277174</t>
  </si>
  <si>
    <t>-597.715101324943 -5.17112765126308 233.615839747493</t>
  </si>
  <si>
    <t>-766.672969499879 110.317908527187 657.168282876784</t>
  </si>
  <si>
    <t>-676.708027739943 -14.1766205958138 742.905859940767</t>
  </si>
  <si>
    <t>9763-20170724T160628.025997200.bin</t>
  </si>
  <si>
    <t>-625.429436869262 130.372412425876 -230.869343959965</t>
  </si>
  <si>
    <t>-658.626471233882 123.268368752005 -347.1246676357</t>
  </si>
  <si>
    <t>-661.397888095116 111.056053173256 -467.680614745768</t>
  </si>
  <si>
    <t>-651.422814177934 97.7506140777093 -575.931813113541</t>
  </si>
  <si>
    <t>-629.2361327709 82.1526946939282 -682.041706185908</t>
  </si>
  <si>
    <t>-585.944519422807 58.042690921809 -826.071381753745</t>
  </si>
  <si>
    <t>-538.264959427313 40.1102626391382 -914.32135136122</t>
  </si>
  <si>
    <t>-592.242323857578 97.7714853939945 -763.342700337069</t>
  </si>
  <si>
    <t>-519.089591630895 224.207060003116 -746.363445670674</t>
  </si>
  <si>
    <t>-499.153241197295 203.576617497825 -431.144308579281</t>
  </si>
  <si>
    <t>-316.237073536419 88.0207113108943 -286.816295897256</t>
  </si>
  <si>
    <t>-617.957131040319 39.6497231748438 -761.34258526631</t>
  </si>
  <si>
    <t>-593.325628260361 221.518168878953 -245.074072652298</t>
  </si>
  <si>
    <t>-594.745366907756 200.638424569688 210.139798924666</t>
  </si>
  <si>
    <t>-627.832980654385 166.326253049558 677.48041149558</t>
  </si>
  <si>
    <t>-492.929434637255 95.0345194503523 765.013432925273</t>
  </si>
  <si>
    <t>-657.427204633595 39.3707996491032 -215.972963233585</t>
  </si>
  <si>
    <t>-597.556304905251 -5.14051398188235 233.573439127318</t>
  </si>
  <si>
    <t>-766.621051843768 110.326408517957 657.072884290949</t>
  </si>
  <si>
    <t>-676.688046309057 -14.1898939690145 742.812326456838</t>
  </si>
  <si>
    <t>9763-20170724T160628.095071400.bin</t>
  </si>
  <si>
    <t>-624.667979144791 130.554854111561 -230.95428687536</t>
  </si>
  <si>
    <t>-657.46446226845 123.42310999958 -347.32153077073</t>
  </si>
  <si>
    <t>-659.833811514811 111.086145129716 -467.873455873099</t>
  </si>
  <si>
    <t>-649.504176218716 97.6314490705108 -576.07279794768</t>
  </si>
  <si>
    <t>-626.9770504105 81.8500299683983 -682.083809750033</t>
  </si>
  <si>
    <t>-583.231454661683 57.4516622081799 -825.927674400896</t>
  </si>
  <si>
    <t>-535.358053708363 39.3826815214086 -914.044851754243</t>
  </si>
  <si>
    <t>-589.725109037349 97.3053566048168 -763.298319482693</t>
  </si>
  <si>
    <t>-516.608311875216 223.767008167854 -746.360109527245</t>
  </si>
  <si>
    <t>-498.195801218601 204.190845642631 -430.981018620917</t>
  </si>
  <si>
    <t>-316.139516114794 88.3827735921918 -285.770699060325</t>
  </si>
  <si>
    <t>-615.449869312648 39.189120210495 -761.264147342758</t>
  </si>
  <si>
    <t>-592.568444261064 221.63566064126 -245.032411517788</t>
  </si>
  <si>
    <t>-594.614103300181 200.813429402726 210.181706266345</t>
  </si>
  <si>
    <t>-627.990624289157 166.301319984881 677.587343354803</t>
  </si>
  <si>
    <t>-492.897815379719 95.1801108892089 764.967066177773</t>
  </si>
  <si>
    <t>-656.673243345583 39.5357748421459 -216.185752388494</t>
  </si>
  <si>
    <t>-597.315750312862 -5.04604812590901 233.421608195091</t>
  </si>
  <si>
    <t>-766.541098058293 110.244032013021 656.895427543902</t>
  </si>
  <si>
    <t>-676.677214636929 -14.2558374305506 742.731165695843</t>
  </si>
  <si>
    <t>9763-20170724T160628.126655400.bin</t>
  </si>
  <si>
    <t>-624.367892848833 130.522529138245 -230.957324637269</t>
  </si>
  <si>
    <t>-656.989195748897 123.392209901509 -347.373915587891</t>
  </si>
  <si>
    <t>-659.192337994211 111.034762924584 -467.926749839701</t>
  </si>
  <si>
    <t>-648.719689956278 97.5539695272328 -576.109192518704</t>
  </si>
  <si>
    <t>-626.058640572116 81.739647753245 -682.086815462462</t>
  </si>
  <si>
    <t>-582.137685861876 57.2893153108882 -825.868339380138</t>
  </si>
  <si>
    <t>-534.198440365225 39.1648173239732 -913.938322828637</t>
  </si>
  <si>
    <t>-588.705836167957 97.1647757292574 -763.260615890923</t>
  </si>
  <si>
    <t>-515.535799287023 223.587878489338 -746.3125732599</t>
  </si>
  <si>
    <t>-497.881107569684 204.428324143813 -430.864512526739</t>
  </si>
  <si>
    <t>-316.168882466214 88.2591133315959 -285.511784209899</t>
  </si>
  <si>
    <t>-614.436764905704 39.0509905727054 -761.238261803318</t>
  </si>
  <si>
    <t>-592.243112307001 221.534963888032 -244.984751316154</t>
  </si>
  <si>
    <t>-594.477640464389 200.720072032852 210.228822526508</t>
  </si>
  <si>
    <t>-628.055549838255 166.282728547879 677.609523221968</t>
  </si>
  <si>
    <t>-492.862611074017 95.2919229783151 764.940460958129</t>
  </si>
  <si>
    <t>-656.395030611128 39.5590516836792 -216.232085511962</t>
  </si>
  <si>
    <t>-597.183019125615 -5.01284359992223 233.395449936244</t>
  </si>
  <si>
    <t>-766.488606747214 110.20722039005 656.827994924562</t>
  </si>
  <si>
    <t>-676.668783631864 -14.2894056363768 742.714577571015</t>
  </si>
  <si>
    <t>9763-20170724T160628.192338800.bin</t>
  </si>
  <si>
    <t>-623.661465029931 130.405841816314 -230.960894298016</t>
  </si>
  <si>
    <t>-656.069136704647 123.263415745422 -347.436276038285</t>
  </si>
  <si>
    <t>-658.034213321908 110.879059627431 -467.99066292377</t>
  </si>
  <si>
    <t>-647.340750944965 97.3720675991121 -576.148170373073</t>
  </si>
  <si>
    <t>-624.455708363088 81.5325732443864 -682.07374781404</t>
  </si>
  <si>
    <t>-580.222761393628 57.0504831422213 -825.754213385394</t>
  </si>
  <si>
    <t>-532.19652339911 38.8636884188584 -913.763892100195</t>
  </si>
  <si>
    <t>-586.932160744643 96.9421509032304 -763.171884345373</t>
  </si>
  <si>
    <t>-513.68773033036 223.310763651953 -746.160843697809</t>
  </si>
  <si>
    <t>-496.971136517724 204.76260638231 -430.625285789511</t>
  </si>
  <si>
    <t>-316.218596843575 87.4929220770473 -284.96009896842</t>
  </si>
  <si>
    <t>-612.656739810559 38.8240021526358 -761.188377033468</t>
  </si>
  <si>
    <t>-591.451491361202 221.376356970808 -244.976895649212</t>
  </si>
  <si>
    <t>-594.003080309487 200.573039824621 210.235500765602</t>
  </si>
  <si>
    <t>-628.043790441918 166.30560559378 677.542423288077</t>
  </si>
  <si>
    <t>-492.866159790612 95.3538036936852 764.928688915794</t>
  </si>
  <si>
    <t>-655.792398783582 39.4762130301051 -216.277756180079</t>
  </si>
  <si>
    <t>-596.851499786902 -4.89993614213972 233.404751562958</t>
  </si>
  <si>
    <t>-766.409801786909 110.185076586961 656.761254938441</t>
  </si>
  <si>
    <t>-676.643416632381 -14.3349801305123 742.669715093314</t>
  </si>
  <si>
    <t>9763-20170724T160628.226427400.bin</t>
  </si>
  <si>
    <t>-623.274769515907 130.347674801274 -230.972070053897</t>
  </si>
  <si>
    <t>-655.599350449604 123.214157725847 -347.471038022965</t>
  </si>
  <si>
    <t>-657.480383165547 110.798996259024 -468.023577605904</t>
  </si>
  <si>
    <t>-646.71201659192 97.2518891779878 -576.168672263285</t>
  </si>
  <si>
    <t>-623.754275271517 81.3621255099943 -682.071004380585</t>
  </si>
  <si>
    <t>-579.423052412168 56.802157582302 -825.707917937943</t>
  </si>
  <si>
    <t>-531.378540393732 38.5675678195391 -913.697641605809</t>
  </si>
  <si>
    <t>-586.173616202354 96.7270151305845 -763.151107514328</t>
  </si>
  <si>
    <t>-512.7972634942 223.026029200266 -746.091783595803</t>
  </si>
  <si>
    <t>-496.417358541767 204.394034864524 -430.543391745735</t>
  </si>
  <si>
    <t>-316.217645954241 86.5891847277508 -284.625164024346</t>
  </si>
  <si>
    <t>-611.902861865938 38.6113697815179 -761.155035775276</t>
  </si>
  <si>
    <t>-590.974598966256 221.355615513 -244.986699686522</t>
  </si>
  <si>
    <t>-593.780114509802 200.570377248749 210.225147892346</t>
  </si>
  <si>
    <t>-628.029945539426 166.336409265486 677.519072737516</t>
  </si>
  <si>
    <t>-492.884119614143 95.36255354633 764.936689559675</t>
  </si>
  <si>
    <t>-655.479502166796 39.4226621394134 -216.304793083191</t>
  </si>
  <si>
    <t>-596.741363068039 -4.92145501975051 233.407415313077</t>
  </si>
  <si>
    <t>-766.38380529861 110.177280757215 656.735947911871</t>
  </si>
  <si>
    <t>-676.666076533203 -14.3768727560043 742.645806625705</t>
  </si>
  <si>
    <t>9763-20170724T160628.293191600.bin</t>
  </si>
  <si>
    <t>-622.519032264905 130.326351886873 -230.976330782125</t>
  </si>
  <si>
    <t>-654.699424289583 123.151222040289 -347.512676665908</t>
  </si>
  <si>
    <t>-656.467117008709 110.724114485053 -468.065708288759</t>
  </si>
  <si>
    <t>-645.610651490205 97.1810530106891 -576.202495074882</t>
  </si>
  <si>
    <t>-622.579146657115 81.3118540640319 -682.092023151702</t>
  </si>
  <si>
    <t>-578.160051475817 56.7985811811398 -825.709688332334</t>
  </si>
  <si>
    <t>-530.11987117912 38.5768932914145 -913.704462848647</t>
  </si>
  <si>
    <t>-584.941558818868 96.699928785866 -763.141203879663</t>
  </si>
  <si>
    <t>-511.286829942833 222.807144400036 -745.985636710242</t>
  </si>
  <si>
    <t>-494.801896047569 203.635569393552 -430.475148766874</t>
  </si>
  <si>
    <t>-314.856245980058 85.6291741159587 -284.406402592933</t>
  </si>
  <si>
    <t>-610.686675671588 38.5899803040475 -761.185280779789</t>
  </si>
  <si>
    <t>-468.90987548665 0.0705868294478478 -353.959304017273</t>
  </si>
  <si>
    <t>-590.110856098581 221.44294161415 -245.002029644906</t>
  </si>
  <si>
    <t>-593.450180990061 200.908520363458 210.217643584438</t>
  </si>
  <si>
    <t>-627.980418769026 166.506169539535 677.469105800864</t>
  </si>
  <si>
    <t>-492.971466254792 95.342799824577 764.944087878878</t>
  </si>
  <si>
    <t>-654.846322304433 39.2970001953427 -216.248403406073</t>
  </si>
  <si>
    <t>-596.377368422914 -5.03948836524842 233.499721341203</t>
  </si>
  <si>
    <t>-766.333668396803 110.137464272198 656.641103792752</t>
  </si>
  <si>
    <t>-676.647685285324 -14.4277774489699 742.568008381511</t>
  </si>
  <si>
    <t>9763-20170724T160628.326779100.bin</t>
  </si>
  <si>
    <t>-622.121481220492 130.225704701069 -230.954348634182</t>
  </si>
  <si>
    <t>-654.243606830563 123.006893436334 -347.504187699919</t>
  </si>
  <si>
    <t>-655.988802208667 110.558701328088 -468.055291454312</t>
  </si>
  <si>
    <t>-645.126853720845 97.0071636666257 -576.190474551481</t>
  </si>
  <si>
    <t>-622.104158183846 81.1405909491527 -682.082202544887</t>
  </si>
  <si>
    <t>-577.711096358524 56.6429257779173 -825.710579740831</t>
  </si>
  <si>
    <t>-529.719928558555 38.4239453547821 -913.732786850085</t>
  </si>
  <si>
    <t>-584.474899240476 96.5346800801617 -763.134171413428</t>
  </si>
  <si>
    <t>-510.642702898155 222.54670630962 -745.944238911526</t>
  </si>
  <si>
    <t>-493.602634842561 202.856205187945 -430.495095578445</t>
  </si>
  <si>
    <t>-314.265869450333 84.0669857564042 -284.312043398981</t>
  </si>
  <si>
    <t>-610.232471418251 38.4300063833202 -761.184906188822</t>
  </si>
  <si>
    <t>-589.676503677254 221.344500589563 -245.015659100634</t>
  </si>
  <si>
    <t>-593.298202094244 201.010739234286 210.210754035665</t>
  </si>
  <si>
    <t>-627.963099977852 166.534712079132 677.436937837737</t>
  </si>
  <si>
    <t>-492.963792907823 95.3872625060371 764.939738973496</t>
  </si>
  <si>
    <t>-654.450918727317 39.1719695170036 -216.192028965586</t>
  </si>
  <si>
    <t>-596.094466550883 -5.16910104675253 233.570218672533</t>
  </si>
  <si>
    <t>-766.286601360942 110.14190309881 656.578474029866</t>
  </si>
  <si>
    <t>-676.626979631111 -14.4370426135185 742.513010624529</t>
  </si>
  <si>
    <t>9763-20170724T160628.390990400.bin</t>
  </si>
  <si>
    <t>-621.094664945546 129.764548210993 -230.910365571885</t>
  </si>
  <si>
    <t>-653.135087117512 122.443637072451 -347.476389535179</t>
  </si>
  <si>
    <t>-654.963473734662 110.011603405724 -468.027913192499</t>
  </si>
  <si>
    <t>-644.242385454206 96.5213674633965 -576.184717932669</t>
  </si>
  <si>
    <t>-621.421599955186 80.7614157221019 -682.136016469421</t>
  </si>
  <si>
    <t>-577.366696801142 56.4569916242933 -825.901346590528</t>
  </si>
  <si>
    <t>-529.603898352943 38.2927856116696 -914.058885579476</t>
  </si>
  <si>
    <t>-583.949367157998 96.2500277155877 -763.242842017304</t>
  </si>
  <si>
    <t>-509.931668924526 222.127822457415 -745.944440945254</t>
  </si>
  <si>
    <t>-491.064946956593 200.61760976293 -430.71825606424</t>
  </si>
  <si>
    <t>-312.847069458403 79.7534127739391 -284.867954836209</t>
  </si>
  <si>
    <t>-609.769859045424 38.1719014976406 -761.336622427628</t>
  </si>
  <si>
    <t>-588.561268979685 220.767265526726 -245.063751004077</t>
  </si>
  <si>
    <t>-592.61435052032 200.699530229391 210.170813810782</t>
  </si>
  <si>
    <t>-627.929557691501 166.574257732143 677.393655885207</t>
  </si>
  <si>
    <t>-492.936008982574 95.4737873536812 764.943513289411</t>
  </si>
  <si>
    <t>-653.508605592505 38.7773678487456 -216.087154589167</t>
  </si>
  <si>
    <t>-595.423949923791 -5.5498821042645 233.711560390038</t>
  </si>
  <si>
    <t>-766.183239334496 110.114905417639 656.391165281229</t>
  </si>
  <si>
    <t>-676.614803199491 -14.4989805426985 742.370125786318</t>
  </si>
  <si>
    <t>9763-20170724T160628.423076800.bin</t>
  </si>
  <si>
    <t>-620.417904854156 129.374851860651 -230.861759874166</t>
  </si>
  <si>
    <t>-652.432162607219 121.993841068856 -347.43120180965</t>
  </si>
  <si>
    <t>-654.348040267711 109.584086765306 -467.983511092756</t>
  </si>
  <si>
    <t>-643.751013522029 96.1442930293649 -576.159082648388</t>
  </si>
  <si>
    <t>-621.09609024961 80.4627766727776 -682.157572053048</t>
  </si>
  <si>
    <t>-577.311267340391 56.2936950962492 -826.028198127453</t>
  </si>
  <si>
    <t>-529.712516595853 38.1770658382252 -914.284287234707</t>
  </si>
  <si>
    <t>-583.742779556087 96.0132767835808 -763.307326565627</t>
  </si>
  <si>
    <t>-509.572952973567 221.795108206156 -745.956306131514</t>
  </si>
  <si>
    <t>-489.599142329892 199.260407531673 -430.869886617169</t>
  </si>
  <si>
    <t>-311.68278491906 77.7683879318395 -285.173329298579</t>
  </si>
  <si>
    <t>-609.626563013514 37.9623125290923 -761.432547407984</t>
  </si>
  <si>
    <t>-587.868300648566 220.341003259692 -245.04957954745</t>
  </si>
  <si>
    <t>-592.205391076439 200.419417627186 210.188897782958</t>
  </si>
  <si>
    <t>-627.970452265848 166.599438948232 677.421937965753</t>
  </si>
  <si>
    <t>-492.975044476916 95.4700507814453 764.945453410784</t>
  </si>
  <si>
    <t>-652.897836058127 38.4144433317886 -216.015392693362</t>
  </si>
  <si>
    <t>-594.974876729865 -5.76239863921046 233.81902256597</t>
  </si>
  <si>
    <t>-766.081921795786 110.135089282277 656.29772619958</t>
  </si>
  <si>
    <t>-676.605261676616 -14.5130010813525 742.32266345573</t>
  </si>
  <si>
    <t>9763-20170724T160628.492815700.bin</t>
  </si>
  <si>
    <t>-618.848871030166 128.118076808295 -230.777102831352</t>
  </si>
  <si>
    <t>-650.857782462404 120.61004705191 -347.339782060884</t>
  </si>
  <si>
    <t>-653.093915511798 108.328821596378 -467.899799869143</t>
  </si>
  <si>
    <t>-642.913389858362 95.098695307172 -576.141077701937</t>
  </si>
  <si>
    <t>-620.79270736172 79.7121121748792 -682.29560974928</t>
  </si>
  <si>
    <t>-577.860631697172 56.0333816632397 -826.504322988575</t>
  </si>
  <si>
    <t>-530.764120694269 38.0139941936231 -915.049223204414</t>
  </si>
  <si>
    <t>-583.831185477126 95.5002250557441 -763.578716261432</t>
  </si>
  <si>
    <t>-509.105324065087 220.926611035559 -746.079612348427</t>
  </si>
  <si>
    <t>-487.437817438525 196.630328162041 -431.236138892996</t>
  </si>
  <si>
    <t>-310.65745017732 72.8609123025212 -286.074623594909</t>
  </si>
  <si>
    <t>-609.882287848446 37.5207557507042 -761.814197480426</t>
  </si>
  <si>
    <t>-586.250473203872 218.921438964758 -245.046164252274</t>
  </si>
  <si>
    <t>-591.195117841189 199.399564180018 210.203479251607</t>
  </si>
  <si>
    <t>-628.064227473792 166.461573345453 677.445433671078</t>
  </si>
  <si>
    <t>-492.861109450165 95.6903585384987 764.938627390136</t>
  </si>
  <si>
    <t>-651.370580637208 37.3082854034628 -215.863248354696</t>
  </si>
  <si>
    <t>-593.975769734127 -6.29880767837449 234.094411888279</t>
  </si>
  <si>
    <t>-765.866279180347 110.078116561825 656.095679726181</t>
  </si>
  <si>
    <t>-676.575287597276 -14.5823328501194 742.295516233036</t>
  </si>
  <si>
    <t>9763-20170724T160628.522897200.bin</t>
  </si>
  <si>
    <t>-618.059067797006 127.211039071681 -230.767162895724</t>
  </si>
  <si>
    <t>-650.129480725297 119.644220410408 -347.309152581429</t>
  </si>
  <si>
    <t>-652.614114688384 107.455454145031 -467.873740588936</t>
  </si>
  <si>
    <t>-642.729757633136 94.3655158496802 -576.159407941775</t>
  </si>
  <si>
    <t>-620.970552434656 79.1718519884498 -682.416470429045</t>
  </si>
  <si>
    <t>-578.601250551453 55.8119034682406 -826.843490432641</t>
  </si>
  <si>
    <t>-531.844242329717 37.8722729475924 -915.584227694537</t>
  </si>
  <si>
    <t>-584.293014781037 95.124924872159 -763.795824314742</t>
  </si>
  <si>
    <t>-509.416885152975 220.481088984769 -746.259204005563</t>
  </si>
  <si>
    <t>-486.127471866967 196.381358458674 -431.516422417357</t>
  </si>
  <si>
    <t>-309.678311489322 71.931301340449 -286.53405940183</t>
  </si>
  <si>
    <t>-610.403838853313 37.1708241219353 -762.082131547892</t>
  </si>
  <si>
    <t>-585.483798038352 217.838756135777 -245.097350468581</t>
  </si>
  <si>
    <t>-590.441849706683 198.344213810625 210.153193894987</t>
  </si>
  <si>
    <t>-628.131968902138 166.249799750326 677.449434967861</t>
  </si>
  <si>
    <t>-492.765213545365 95.7947689349267 764.944842686953</t>
  </si>
  <si>
    <t>-650.534305045313 36.579458231291 -215.811082324303</t>
  </si>
  <si>
    <t>-593.461273697028 -6.67239345951066 234.221847257393</t>
  </si>
  <si>
    <t>-765.679725060531 110.065773208091 655.975711732359</t>
  </si>
  <si>
    <t>-676.523233353532 -14.6026603663265 742.303040247792</t>
  </si>
  <si>
    <t>9763-20170724T160628.593642100.bin</t>
  </si>
  <si>
    <t>-616.60262758246 125.193234289999 -230.679053399287</t>
  </si>
  <si>
    <t>-648.896122718084 117.650786045082 -347.160999624117</t>
  </si>
  <si>
    <t>-651.927472075752 105.674487678889 -467.734396546346</t>
  </si>
  <si>
    <t>-642.660307391299 92.8419334956545 -576.105458256926</t>
  </si>
  <si>
    <t>-621.630116519102 77.9634944677896 -682.553672292076</t>
  </si>
  <si>
    <t>-580.37787444789 55.0934199927174 -827.381863325315</t>
  </si>
  <si>
    <t>-534.332585269899 37.3263387878021 -916.528600276215</t>
  </si>
  <si>
    <t>-585.537935636464 94.1732669934515 -764.143774479493</t>
  </si>
  <si>
    <t>-510.600025965921 219.496190077388 -746.697815858469</t>
  </si>
  <si>
    <t>-484.861965510412 197.140082255828 -432.017061741548</t>
  </si>
  <si>
    <t>-309.187648035762 71.7156114525797 -286.933375388062</t>
  </si>
  <si>
    <t>-611.723551094615 36.2520939889228 -762.456007278236</t>
  </si>
  <si>
    <t>-584.343537945586 215.482321058425 -244.941970037532</t>
  </si>
  <si>
    <t>-588.762913843563 195.684991048043 210.301114262495</t>
  </si>
  <si>
    <t>-628.54209162386 165.675010669563 677.741433937523</t>
  </si>
  <si>
    <t>-492.65000139344 95.9493767806659 765.006481559167</t>
  </si>
  <si>
    <t>-648.77557083801 35.0549337098005 -215.738430190843</t>
  </si>
  <si>
    <t>-592.491126564785 -7.30805330755243 234.478312288232</t>
  </si>
  <si>
    <t>-765.255153607499 110.049635586965 655.830215542762</t>
  </si>
  <si>
    <t>-676.511460476054 -14.708428460013 742.452954655063</t>
  </si>
  <si>
    <t>9763-20170724T160628.622714300.bin</t>
  </si>
  <si>
    <t>-616.123631896334 124.193205141925 -230.595869821887</t>
  </si>
  <si>
    <t>-648.591830748305 116.679838394931 -347.031124177642</t>
  </si>
  <si>
    <t>-651.847163586827 104.773946092964 -467.605622017609</t>
  </si>
  <si>
    <t>-642.798273564994 92.0185091679184 -576.004172548089</t>
  </si>
  <si>
    <t>-621.999564331119 77.2277181126046 -682.51009410522</t>
  </si>
  <si>
    <t>-581.079360605516 54.4885221503412 -827.453158718267</t>
  </si>
  <si>
    <t>-535.214285601284 36.7199609091922 -916.692406965884</t>
  </si>
  <si>
    <t>-586.098982881486 93.5133131935634 -764.169638474029</t>
  </si>
  <si>
    <t>-511.214571414571 218.87383072772 -746.785040647695</t>
  </si>
  <si>
    <t>-484.976942886412 197.666432278153 -432.066213294737</t>
  </si>
  <si>
    <t>-310.205679026667 70.8364980721728 -287.113617575523</t>
  </si>
  <si>
    <t>-612.271599662123 35.5864874302897 -762.470824634689</t>
  </si>
  <si>
    <t>-584.137070059819 214.299770448973 -244.777852636654</t>
  </si>
  <si>
    <t>-588.064716264902 194.3759935627 210.464209640294</t>
  </si>
  <si>
    <t>-628.806270684175 165.331179840711 677.934220641745</t>
  </si>
  <si>
    <t>-492.584898127847 96.0356115542866 765.028219640435</t>
  </si>
  <si>
    <t>-648.064912040237 34.2093805453801 -215.723193748278</t>
  </si>
  <si>
    <t>-592.228407823154 -7.52573431672158 234.607990324605</t>
  </si>
  <si>
    <t>-765.070259752657 109.980658541043 655.833731821217</t>
  </si>
  <si>
    <t>-676.454855727321 -14.7521332964996 742.623979294074</t>
  </si>
  <si>
    <t>9763-20170724T160628.690910900.bin</t>
  </si>
  <si>
    <t>-615.985848019425 122.894011346712 -230.500363424581</t>
  </si>
  <si>
    <t>-648.770861531196 115.494206505541 -346.854072182727</t>
  </si>
  <si>
    <t>-652.351278598908 103.694317295037 -467.429817398316</t>
  </si>
  <si>
    <t>-643.594217618346 91.026147089623 -575.862697934058</t>
  </si>
  <si>
    <t>-623.082412106176 76.3106009997912 -682.434595223109</t>
  </si>
  <si>
    <t>-582.553458222162 53.6606931939587 -827.501422860753</t>
  </si>
  <si>
    <t>-537.108992999641 35.9211489166212 -916.961392334485</t>
  </si>
  <si>
    <t>-587.489564090012 92.684843818279 -764.211030760067</t>
  </si>
  <si>
    <t>-513.236227360086 218.444369329713 -747.037591622913</t>
  </si>
  <si>
    <t>-486.308876490306 199.046719482373 -432.260220791085</t>
  </si>
  <si>
    <t>-311.920515766956 71.6271802288834 -287.363668202285</t>
  </si>
  <si>
    <t>-613.482904504089 34.6803674774867 -762.416519290259</t>
  </si>
  <si>
    <t>-584.555819153395 212.845710966562 -244.506087083271</t>
  </si>
  <si>
    <t>-586.882659013169 192.305711616719 210.719518633759</t>
  </si>
  <si>
    <t>-629.158534307275 164.928543124791 678.178499475969</t>
  </si>
  <si>
    <t>-492.453856228398 96.272013912693 765.021015773403</t>
  </si>
  <si>
    <t>-647.297575262441 33.2570131692846 -215.801226424911</t>
  </si>
  <si>
    <t>-592.548769968723 -7.51221632092461 234.751970940594</t>
  </si>
  <si>
    <t>-764.84749727364 109.851547602676 656.167083461811</t>
  </si>
  <si>
    <t>-676.369715273333 -14.8473398186129 743.146321109501</t>
  </si>
  <si>
    <t>9763-20170724T160628.724998100.bin</t>
  </si>
  <si>
    <t>-616.212520033788 122.477426852927 -230.477141587354</t>
  </si>
  <si>
    <t>-649.085783016502 115.12467565473 -346.808999844572</t>
  </si>
  <si>
    <t>-652.867400580024 103.421255074675 -467.388011403559</t>
  </si>
  <si>
    <t>-644.334986859555 90.8565755278059 -575.85075681628</t>
  </si>
  <si>
    <t>-624.087312971137 76.2573973851959 -682.489207641914</t>
  </si>
  <si>
    <t>-583.962238376966 53.7797517063209 -827.695066867404</t>
  </si>
  <si>
    <t>-538.780898386695 36.1035680802761 -917.30072622108</t>
  </si>
  <si>
    <t>-588.781268299281 92.7543532181239 -764.365281406301</t>
  </si>
  <si>
    <t>-514.920995466788 218.777483248804 -747.356207338482</t>
  </si>
  <si>
    <t>-487.856909963182 200.592061142488 -432.518150565513</t>
  </si>
  <si>
    <t>-313.904011860506 72.8462907136357 -287.385578231826</t>
  </si>
  <si>
    <t>-614.651515784121 34.696345208351 -762.526724536213</t>
  </si>
  <si>
    <t>-585.070136171651 212.490481542287 -244.382920522361</t>
  </si>
  <si>
    <t>-586.627205645377 191.82327657629 210.840274581944</t>
  </si>
  <si>
    <t>-629.258449688894 164.888935807202 678.270049926414</t>
  </si>
  <si>
    <t>-492.427699725436 96.3691409262276 765.021965056471</t>
  </si>
  <si>
    <t>-647.184519521491 32.7081032949284 -215.885062086572</t>
  </si>
  <si>
    <t>-593.1650023957 -7.11926867101874 234.840274134312</t>
  </si>
  <si>
    <t>-764.927566245531 109.784824583018 656.558152403723</t>
  </si>
  <si>
    <t>-676.394501011565 -14.8949396839105 743.508474350165</t>
  </si>
  <si>
    <t>9763-20170724T160628.794187300.bin</t>
  </si>
  <si>
    <t>-617.205132820618 122.193508206783 -230.438458503564</t>
  </si>
  <si>
    <t>-650.158072818642 114.790263732349 -346.744551749818</t>
  </si>
  <si>
    <t>-654.181287860924 103.157272764906 -467.322583150758</t>
  </si>
  <si>
    <t>-645.929361797871 90.698901427877 -575.819297897999</t>
  </si>
  <si>
    <t>-626.019579886085 76.2432475444571 -682.540837191148</t>
  </si>
  <si>
    <t>-586.418182576465 53.9985484682413 -827.926153356648</t>
  </si>
  <si>
    <t>-541.599301950098 36.3472742582223 -917.7186665023</t>
  </si>
  <si>
    <t>-591.108829479847 92.9149540672643 -764.550927305723</t>
  </si>
  <si>
    <t>-517.821713929552 219.276286172325 -747.705289742493</t>
  </si>
  <si>
    <t>-490.723377738077 203.574014724062 -432.736613633848</t>
  </si>
  <si>
    <t>-318.469697648701 74.0735263806196 -287.13308713793</t>
  </si>
  <si>
    <t>-616.772346722475 34.7672893412937 -762.644341051422</t>
  </si>
  <si>
    <t>-586.491474884282 212.502028195836 -244.32168573164</t>
  </si>
  <si>
    <t>-587.438725896456 192.246264818555 210.92177814688</t>
  </si>
  <si>
    <t>-629.300438130773 165.194739807572 678.363071949351</t>
  </si>
  <si>
    <t>-492.481375479937 96.469190082297 764.970507837975</t>
  </si>
  <si>
    <t>-647.77378527873 32.0545690234578 -215.880590021315</t>
  </si>
  <si>
    <t>-594.811624922971 -6.49299180293247 235.081494424113</t>
  </si>
  <si>
    <t>-765.34101789359 109.567698024044 657.503330610509</t>
  </si>
  <si>
    <t>-676.497682679932 -15.0253267443536 744.261354419942</t>
  </si>
  <si>
    <t>9763-20170724T160628.828282900.bin</t>
  </si>
  <si>
    <t>-617.961415316319 122.148149895334 -230.403532862056</t>
  </si>
  <si>
    <t>-650.981303492831 114.720435937897 -346.689034241484</t>
  </si>
  <si>
    <t>-655.114707901616 103.123495124966 -467.266783402139</t>
  </si>
  <si>
    <t>-646.977622665281 90.7207965848918 -575.778560690089</t>
  </si>
  <si>
    <t>-627.196017429942 76.3422322839067 -682.534401809237</t>
  </si>
  <si>
    <t>-587.784438937578 54.2254320956968 -827.990860216902</t>
  </si>
  <si>
    <t>-543.100606140953 36.5913574152232 -917.853971385539</t>
  </si>
  <si>
    <t>-592.435547911752 93.1046152028016 -764.589715905747</t>
  </si>
  <si>
    <t>-519.362966343404 219.602419349447 -747.802959055061</t>
  </si>
  <si>
    <t>-492.52611443739 205.142977254493 -432.752365345576</t>
  </si>
  <si>
    <t>-321.131849610003 74.3934899965013 -287.25094105382</t>
  </si>
  <si>
    <t>-618.010209574377 34.9181655315006 -762.671969913247</t>
  </si>
  <si>
    <t>-587.408893269876 212.631578226602 -244.331767251065</t>
  </si>
  <si>
    <t>-588.136454973753 192.581859278139 210.921104929194</t>
  </si>
  <si>
    <t>-629.310130996439 165.363479381956 678.407468895064</t>
  </si>
  <si>
    <t>-492.541940310353 96.4674862101299 764.959886332953</t>
  </si>
  <si>
    <t>-648.406234539628 31.7345172690616 -215.834855047048</t>
  </si>
  <si>
    <t>-595.628373205024 -6.43165082737346 235.181172863953</t>
  </si>
  <si>
    <t>-765.478148040569 109.498778817029 657.896538660959</t>
  </si>
  <si>
    <t>-676.498614883704 -15.0592064681205 744.565208073777</t>
  </si>
  <si>
    <t>9763-20170724T160628.892457100.bin</t>
  </si>
  <si>
    <t>-619.840187398799 121.747110954754 -230.381547920467</t>
  </si>
  <si>
    <t>-653.023760248877 114.286361750781 -346.618309698026</t>
  </si>
  <si>
    <t>-657.348505925356 102.751119688133 -467.195277644856</t>
  </si>
  <si>
    <t>-649.390801193361 90.4435275046019 -575.731210355903</t>
  </si>
  <si>
    <t>-629.791879982647 76.1987797282754 -682.538549777054</t>
  </si>
  <si>
    <t>-590.63419003799 54.3080507757602 -828.097831014292</t>
  </si>
  <si>
    <t>-546.185320255496 36.7467707655687 -918.091596331655</t>
  </si>
  <si>
    <t>-595.285816627533 93.1361612789942 -764.665487437499</t>
  </si>
  <si>
    <t>-522.80017969283 219.974598554007 -747.977110841481</t>
  </si>
  <si>
    <t>-496.341294585153 207.187374023245 -432.822176903445</t>
  </si>
  <si>
    <t>-325.882796581106 74.8004822070404 -287.702718034277</t>
  </si>
  <si>
    <t>-620.63460707742 34.8519690876763 -762.719281472292</t>
  </si>
  <si>
    <t>-589.566458469892 212.585056510065 -244.353107985751</t>
  </si>
  <si>
    <t>-589.702469100858 193.05278835024 210.922848423321</t>
  </si>
  <si>
    <t>-629.319261160461 165.611026327821 678.499168960164</t>
  </si>
  <si>
    <t>-492.564660462492 96.5497942866559 764.941221912892</t>
  </si>
  <si>
    <t>-650.016396222404 30.9058378788766 -215.786524871903</t>
  </si>
  <si>
    <t>-597.418481192929 -6.3288007862368 235.32845022514</t>
  </si>
  <si>
    <t>-765.829254921876 109.337097389868 658.644100078103</t>
  </si>
  <si>
    <t>-676.560881516202 -15.1510375376497 745.115863221417</t>
  </si>
  <si>
    <t>9763-20170724T160628.924543200.bin</t>
  </si>
  <si>
    <t>-620.803286549858 121.43170849719 -230.434457943277</t>
  </si>
  <si>
    <t>-654.093861532517 114.007912007383 -346.6430303079</t>
  </si>
  <si>
    <t>-658.555111826799 102.550151136175 -467.222373721691</t>
  </si>
  <si>
    <t>-650.730001526046 90.3282824426919 -575.777636381618</t>
  </si>
  <si>
    <t>-631.2705699431 76.1843141912946 -682.623981352849</t>
  </si>
  <si>
    <t>-592.312016101927 54.4482488947747 -828.259742077726</t>
  </si>
  <si>
    <t>-548.006811219566 36.9167795944418 -918.330099059799</t>
  </si>
  <si>
    <t>-596.931640780143 93.2320881384451 -764.797990308618</t>
  </si>
  <si>
    <t>-524.697845042987 220.233630077264 -748.128498646445</t>
  </si>
  <si>
    <t>-498.573416771249 207.61183380348 -432.939036571309</t>
  </si>
  <si>
    <t>-328.512272253595 74.4859938874192 -288.0295725278</t>
  </si>
  <si>
    <t>-622.168331347927 34.899442407069 -762.842789142079</t>
  </si>
  <si>
    <t>-590.738430117888 212.537573051433 -244.36597873703</t>
  </si>
  <si>
    <t>-590.422745003856 193.035981048512 210.911161698506</t>
  </si>
  <si>
    <t>-629.308145075465 165.735585370598 678.524933436238</t>
  </si>
  <si>
    <t>-492.591546901337 96.5633532514619 764.938394042368</t>
  </si>
  <si>
    <t>-650.814742768898 30.3627577517102 -215.887834112076</t>
  </si>
  <si>
    <t>-598.532683139087 -6.31502658857562 235.309499618419</t>
  </si>
  <si>
    <t>-766.046898642886 109.257177270875 659.023437393122</t>
  </si>
  <si>
    <t>-676.566465205783 -15.1664001490569 745.368901638749</t>
  </si>
  <si>
    <t>9763-20170724T160628.992769400.bin</t>
  </si>
  <si>
    <t>-622.617979035459 120.840493424938 -230.567316634259</t>
  </si>
  <si>
    <t>-656.067833968669 113.43928904369 -346.731593643227</t>
  </si>
  <si>
    <t>-660.850388034997 102.125922332358 -467.312276292587</t>
  </si>
  <si>
    <t>-653.376205650787 90.0783900740523 -575.911703953148</t>
  </si>
  <si>
    <t>-634.322707529097 76.1476899732268 -682.859156173342</t>
  </si>
  <si>
    <t>-595.97905337945 54.7440430580612 -828.707092264339</t>
  </si>
  <si>
    <t>-552.038733532301 37.1994821108092 -918.953638278081</t>
  </si>
  <si>
    <t>-600.406400968108 93.414787056392 -765.162671787194</t>
  </si>
  <si>
    <t>-528.538404347645 220.634599890139 -748.546572888435</t>
  </si>
  <si>
    <t>-502.009228984586 208.145125403747 -433.385602432101</t>
  </si>
  <si>
    <t>-333.552734986262 72.5287320628454 -288.911893400403</t>
  </si>
  <si>
    <t>-625.483506099058 35.0141472686864 -763.18511809728</t>
  </si>
  <si>
    <t>-592.845779611126 212.164491061837 -244.415557163096</t>
  </si>
  <si>
    <t>-591.57075801654 192.870726968416 210.868744984226</t>
  </si>
  <si>
    <t>-629.337990714912 165.902291742163 678.612267249908</t>
  </si>
  <si>
    <t>-492.57904200654 96.6833369645708 764.921252097542</t>
  </si>
  <si>
    <t>-652.25928201475 29.5160869601864 -216.079256539021</t>
  </si>
  <si>
    <t>-600.752482378619 -6.32349023592883 235.274498312509</t>
  </si>
  <si>
    <t>-766.450121181072 109.057126525411 659.727877515018</t>
  </si>
  <si>
    <t>-676.654875722102 -15.2621352583665 745.896579935951</t>
  </si>
  <si>
    <t>9763-20170724T160629.026363600.bin</t>
  </si>
  <si>
    <t>-623.463744442909 120.47101795538 -230.578043880893</t>
  </si>
  <si>
    <t>-657.015775244817 113.145537058016 -346.71756804059</t>
  </si>
  <si>
    <t>-661.97026656228 101.910858551912 -467.298806612952</t>
  </si>
  <si>
    <t>-654.677420139702 89.9332267831123 -575.918162783655</t>
  </si>
  <si>
    <t>-635.829075473252 76.069171245497 -682.91065637424</t>
  </si>
  <si>
    <t>-597.792598612463 54.7532203825401 -828.851898870044</t>
  </si>
  <si>
    <t>-554.047186672714 37.1599904142554 -919.183548243335</t>
  </si>
  <si>
    <t>-602.105862438845 93.3940333245887 -765.281410601063</t>
  </si>
  <si>
    <t>-530.297924365956 220.650077955712 -748.717735134669</t>
  </si>
  <si>
    <t>-503.59615516215 208.357998698422 -433.563704590864</t>
  </si>
  <si>
    <t>-335.333724536248 72.211039532302 -289.363008278448</t>
  </si>
  <si>
    <t>-627.13918631083 34.975793579699 -763.273434344066</t>
  </si>
  <si>
    <t>-593.813938083447 211.893559069578 -244.391974258659</t>
  </si>
  <si>
    <t>-592.06665726087 192.585875214347 210.890033354317</t>
  </si>
  <si>
    <t>-629.393895324531 165.902372973717 678.68085326205</t>
  </si>
  <si>
    <t>-492.558069940118 96.7503727870574 764.921584138303</t>
  </si>
  <si>
    <t>-652.996673123893 29.0586142643367 -216.157966815133</t>
  </si>
  <si>
    <t>-601.654679915259 -6.34360984949399 235.249089350104</t>
  </si>
  <si>
    <t>-766.556190337222 108.973437160432 660.003051604375</t>
  </si>
  <si>
    <t>-676.670026837048 -15.2985578419107 746.145197720741</t>
  </si>
  <si>
    <t>9763-20170724T160629.092040700.bin</t>
  </si>
  <si>
    <t>-624.906637078671 119.861844795799 -230.649719454233</t>
  </si>
  <si>
    <t>-658.769430415937 112.680033638087 -346.70809467598</t>
  </si>
  <si>
    <t>-664.221002832285 101.577835912661 -467.279963215993</t>
  </si>
  <si>
    <t>-657.447476521902 89.7072465456597 -575.944876775422</t>
  </si>
  <si>
    <t>-639.182143265427 75.9328353435849 -683.049920758335</t>
  </si>
  <si>
    <t>-602.015510313495 54.7187765212213 -829.229977631407</t>
  </si>
  <si>
    <t>-558.691389227826 36.9592917488872 -919.731983845523</t>
  </si>
  <si>
    <t>-605.935895393895 93.3092464004803 -765.603567085379</t>
  </si>
  <si>
    <t>-534.095359054887 220.573119402427 -749.235123290241</t>
  </si>
  <si>
    <t>-507.100273767551 208.555483224776 -434.095353712951</t>
  </si>
  <si>
    <t>-338.280037182354 72.4572165052355 -290.502051138616</t>
  </si>
  <si>
    <t>-630.985419221401 34.9012821458443 -763.496064508109</t>
  </si>
  <si>
    <t>-595.411894614362 211.334396028065 -244.344113358429</t>
  </si>
  <si>
    <t>-592.653389655144 192.063244650889 210.934534470133</t>
  </si>
  <si>
    <t>-629.487816025147 165.950764726801 678.790725153179</t>
  </si>
  <si>
    <t>-492.547000973232 96.8523036461579 764.907640154653</t>
  </si>
  <si>
    <t>-654.386197688431 28.4303334953461 -216.303616350672</t>
  </si>
  <si>
    <t>-603.180601818152 -6.04281831233425 235.190906420581</t>
  </si>
  <si>
    <t>-766.680888319332 108.88141556238 660.571917731963</t>
  </si>
  <si>
    <t>-676.618778459182 -15.326108569142 746.623144237302</t>
  </si>
  <si>
    <t>9763-20170724T160629.126654300.bin</t>
  </si>
  <si>
    <t>-625.485058538015 119.636848124831 -230.721027149838</t>
  </si>
  <si>
    <t>-659.476306188745 112.531816019091 -346.746609459268</t>
  </si>
  <si>
    <t>-665.213060470247 101.490175384775 -467.310846638356</t>
  </si>
  <si>
    <t>-658.758305486792 89.66446772832 -576.000050104738</t>
  </si>
  <si>
    <t>-640.868642640686 75.9231651901232 -683.172681965839</t>
  </si>
  <si>
    <t>-604.27869825318 54.7406652417039 -829.502823600258</t>
  </si>
  <si>
    <t>-561.166576337482 36.8823351777087 -920.086522694318</t>
  </si>
  <si>
    <t>-607.931367137737 93.310516635486 -765.847876944328</t>
  </si>
  <si>
    <t>-536.061036595621 220.558269121076 -749.588944107742</t>
  </si>
  <si>
    <t>-508.445068504083 208.401064236769 -434.508271041618</t>
  </si>
  <si>
    <t>-338.926647045648 73.1369243188512 -290.949342254207</t>
  </si>
  <si>
    <t>-633.005860050532 34.9160116879964 -763.664689043963</t>
  </si>
  <si>
    <t>-595.997193685958 211.127531455261 -244.362596754754</t>
  </si>
  <si>
    <t>-592.8694410229 191.866630076794 210.914200175929</t>
  </si>
  <si>
    <t>-629.511622702961 165.982077976037 678.80772231885</t>
  </si>
  <si>
    <t>-492.535919359641 96.9099386281785 764.890286931587</t>
  </si>
  <si>
    <t>-654.852075491641 28.2346004848321 -216.483363885606</t>
  </si>
  <si>
    <t>-604.178779866922 -5.69965266733516 235.111965465089</t>
  </si>
  <si>
    <t>-766.785428444967 108.845449643689 660.941434297531</t>
  </si>
  <si>
    <t>-676.628726311052 -15.3506548491953 746.910078980217</t>
  </si>
  <si>
    <t>9763-20170724T160629.192094500.bin</t>
  </si>
  <si>
    <t>-626.243530785245 119.089209163881 -230.924356771216</t>
  </si>
  <si>
    <t>-660.488879951855 112.235699653818 -346.890202854665</t>
  </si>
  <si>
    <t>-666.787937335533 101.362434582972 -467.441712355242</t>
  </si>
  <si>
    <t>-660.961663141788 89.6496907338349 -576.178668115909</t>
  </si>
  <si>
    <t>-643.813810398914 75.9782177141458 -683.481398789672</t>
  </si>
  <si>
    <t>-608.363514855911 54.8450317551044 -830.098779282862</t>
  </si>
  <si>
    <t>-565.653658838753 36.7908997736247 -920.834207150468</t>
  </si>
  <si>
    <t>-611.474738514897 93.3741514642597 -766.390526099213</t>
  </si>
  <si>
    <t>-539.346397885721 220.498168060188 -750.259280542839</t>
  </si>
  <si>
    <t>-510.350417749756 207.286788840226 -435.345145383291</t>
  </si>
  <si>
    <t>-337.329609726776 77.6947249511768 -290.736184898521</t>
  </si>
  <si>
    <t>-636.623570946987 35.0175169825718 -764.059780789627</t>
  </si>
  <si>
    <t>-596.800810569002 210.569179096347 -244.400303529422</t>
  </si>
  <si>
    <t>-593.076577028051 191.28240180724 210.87088321749</t>
  </si>
  <si>
    <t>-629.575922273523 166.06600892971 678.869132926107</t>
  </si>
  <si>
    <t>-492.51472206723 97.0313736701758 764.845637696563</t>
  </si>
  <si>
    <t>-655.612222925876 27.6049868630162 -216.825264303419</t>
  </si>
  <si>
    <t>-606.268351288165 -5.13343819371039 235.005541164431</t>
  </si>
  <si>
    <t>-766.976419792625 108.763869474049 661.720085224167</t>
  </si>
  <si>
    <t>-676.661674044503 -15.4072797624426 747.558748562987</t>
  </si>
  <si>
    <t>9763-20170724T160629.230217000.bin</t>
  </si>
  <si>
    <t>-626.603047761845 118.873223887908 -230.970361335412</t>
  </si>
  <si>
    <t>-660.935233540665 112.142781822106 -346.917789215792</t>
  </si>
  <si>
    <t>-667.455591631506 101.341523756057 -467.464056857935</t>
  </si>
  <si>
    <t>-661.882806560719 89.6710410199357 -576.218844810721</t>
  </si>
  <si>
    <t>-645.038671381561 76.0185264680599 -683.572027512863</t>
  </si>
  <si>
    <t>-610.059639376734 54.886021331982 -830.302713901126</t>
  </si>
  <si>
    <t>-567.533940579422 36.74453628623 -921.107037232769</t>
  </si>
  <si>
    <t>-612.946551191928 93.4065414663564 -766.578752193335</t>
  </si>
  <si>
    <t>-540.641725499327 220.435880695929 -750.493148135491</t>
  </si>
  <si>
    <t>-511.074339050458 206.335611005054 -435.670870319162</t>
  </si>
  <si>
    <t>-335.4804545022 80.9910960736643 -290.420769868728</t>
  </si>
  <si>
    <t>-638.127063839138 35.0663740904306 -764.17924699136</t>
  </si>
  <si>
    <t>-597.110427789557 210.341455094369 -244.383436766396</t>
  </si>
  <si>
    <t>-593.114708935583 191.000473463522 210.88313011194</t>
  </si>
  <si>
    <t>-629.614352479282 166.105207477129 678.90327903121</t>
  </si>
  <si>
    <t>-492.529071835042 97.0590371611697 764.832079222028</t>
  </si>
  <si>
    <t>-655.941070618424 27.4530611372684 -216.920821928394</t>
  </si>
  <si>
    <t>-607.233855533388 -4.93632835010544 235.004226552915</t>
  </si>
  <si>
    <t>-767.095345679047 108.666093659093 662.099341338105</t>
  </si>
  <si>
    <t>-676.663974559392 -15.4435132122865 747.90428344614</t>
  </si>
  <si>
    <t>9763-20170724T160629.291381300.bin</t>
  </si>
  <si>
    <t>-627.1317384556 118.522274602757 -230.937944154859</t>
  </si>
  <si>
    <t>-661.633139591595 111.996440949708 -346.846822377033</t>
  </si>
  <si>
    <t>-668.586851842025 101.289090531174 -467.377185514592</t>
  </si>
  <si>
    <t>-663.510571826315 89.6545011168125 -576.160096708284</t>
  </si>
  <si>
    <t>-647.262941483551 75.986292150134 -683.603359953433</t>
  </si>
  <si>
    <t>-613.210213266081 54.7764397869901 -830.540487658061</t>
  </si>
  <si>
    <t>-571.055913319435 36.4092240764494 -921.472695838192</t>
  </si>
  <si>
    <t>-615.624908226157 93.3011523668324 -766.799406724614</t>
  </si>
  <si>
    <t>-542.885219523422 220.0950907702 -750.803279863821</t>
  </si>
  <si>
    <t>-512.120899018614 204.144833321359 -436.183905403959</t>
  </si>
  <si>
    <t>-331.198747722576 87.6352641013561 -290.119721422604</t>
  </si>
  <si>
    <t>-640.930108426801 35.0210851121728 -764.251249684403</t>
  </si>
  <si>
    <t>-597.588812718408 209.836014987464 -244.286571359955</t>
  </si>
  <si>
    <t>-592.933826575107 190.331416788353 210.966695841075</t>
  </si>
  <si>
    <t>-629.685681265202 166.170636671947 679.000032920307</t>
  </si>
  <si>
    <t>-492.541218343027 97.126890936825 764.836314797628</t>
  </si>
  <si>
    <t>-656.534223942251 27.2328167212643 -216.928196666519</t>
  </si>
  <si>
    <t>-608.627751094612 -4.79911926024329 235.107924645582</t>
  </si>
  <si>
    <t>-767.201561010375 108.529554856394 662.746615251287</t>
  </si>
  <si>
    <t>-676.672828200961 -15.5104271821945 748.549491042956</t>
  </si>
  <si>
    <t>9763-20170724T160629.323477900.bin</t>
  </si>
  <si>
    <t>-627.351874934873 118.45505904567 -230.892078994079</t>
  </si>
  <si>
    <t>-662.00209709161 112.053525594451 -346.763481128132</t>
  </si>
  <si>
    <t>-669.179465885587 101.402951738591 -467.285704656625</t>
  </si>
  <si>
    <t>-664.334113756915 89.7896555270811 -576.081348544</t>
  </si>
  <si>
    <t>-648.344264539139 76.1116330629288 -683.56203791129</t>
  </si>
  <si>
    <t>-614.675684255125 54.8547562831675 -830.580995499615</t>
  </si>
  <si>
    <t>-572.677355716779 36.3757640446452 -921.562694447521</t>
  </si>
  <si>
    <t>-616.871197988253 93.3776695011481 -766.830790556338</t>
  </si>
  <si>
    <t>-543.774537074417 219.956207877893 -750.799970662035</t>
  </si>
  <si>
    <t>-512.917904298045 202.916469825098 -436.246906167329</t>
  </si>
  <si>
    <t>-327.350360222669 93.9531259317096 -290.186179037785</t>
  </si>
  <si>
    <t>-642.27475057544 35.1428815054335 -764.228619576334</t>
  </si>
  <si>
    <t>-597.744576333949 209.708079782758 -244.212516311367</t>
  </si>
  <si>
    <t>-592.706232981416 190.017177492267 211.028604641163</t>
  </si>
  <si>
    <t>-629.720842101046 166.208850418273 679.054890168998</t>
  </si>
  <si>
    <t>-492.54038845971 97.1818649918421 764.847117968525</t>
  </si>
  <si>
    <t>-656.825474088508 27.2509007020521 -216.88675512363</t>
  </si>
  <si>
    <t>-608.997563772916 -4.70702123107662 235.162828080654</t>
  </si>
  <si>
    <t>-767.214036344209 108.47166834823 663.016713042194</t>
  </si>
  <si>
    <t>-676.657315846299 -15.5349700849226 748.838353863678</t>
  </si>
  <si>
    <t>9763-20170724T160629.391670600.bin</t>
  </si>
  <si>
    <t>-627.736145232868 118.543035341839 -230.634543207039</t>
  </si>
  <si>
    <t>-662.652105393198 112.318445127331 -346.435795723055</t>
  </si>
  <si>
    <t>-670.159196235425 101.760625101711 -466.94607428605</t>
  </si>
  <si>
    <t>-665.635156063741 90.1892434044153 -575.759982173029</t>
  </si>
  <si>
    <t>-649.987837896544 76.5073898759515 -683.290677160413</t>
  </si>
  <si>
    <t>-616.815707488795 55.1938985863917 -830.414186263833</t>
  </si>
  <si>
    <t>-575.038070547412 36.4208983701599 -921.437199650085</t>
  </si>
  <si>
    <t>-618.66167661093 93.6841415600431 -766.633123041924</t>
  </si>
  <si>
    <t>-544.604161974977 219.7033215127 -750.501874143565</t>
  </si>
  <si>
    <t>-514.079490756232 199.542675221437 -436.100741267826</t>
  </si>
  <si>
    <t>-320.081769872663 102.365732699066 -292.700741165785</t>
  </si>
  <si>
    <t>-644.325024443878 35.5647772396117 -764.000011324546</t>
  </si>
  <si>
    <t>-597.864623532388 209.612246533693 -243.989721412349</t>
  </si>
  <si>
    <t>-592.29521937886 189.679195723887 211.234722360816</t>
  </si>
  <si>
    <t>-629.78330482207 166.24191650925 679.179164528312</t>
  </si>
  <si>
    <t>-492.506663632711 97.308329106944 764.892564730476</t>
  </si>
  <si>
    <t>-657.474695223935 27.4732351012301 -216.56007361615</t>
  </si>
  <si>
    <t>-609.170648255784 -4.63221286735597 235.428395343272</t>
  </si>
  <si>
    <t>-767.205146273394 108.393961026574 663.455035960867</t>
  </si>
  <si>
    <t>-676.643840127057 -15.6103844408728 749.275101306684</t>
  </si>
  <si>
    <t>9763-20170724T160629.425750700.bin</t>
  </si>
  <si>
    <t>-627.937741921631 118.74475485828 -230.492342638743</t>
  </si>
  <si>
    <t>-663.000604746203 112.558104384704 -346.251206592161</t>
  </si>
  <si>
    <t>-670.667091190785 101.991721975511 -466.750697023538</t>
  </si>
  <si>
    <t>-666.290627332194 90.3923877978405 -575.567929433558</t>
  </si>
  <si>
    <t>-650.79340014317 76.6620683599649 -683.113944956666</t>
  </si>
  <si>
    <t>-617.831276888317 55.2601573134332 -830.271820404359</t>
  </si>
  <si>
    <t>-576.154160461205 36.3196190955443 -921.306291643253</t>
  </si>
  <si>
    <t>-619.529814964238 93.7645203937338 -766.495276042315</t>
  </si>
  <si>
    <t>-545.246466638129 219.659712143591 -750.401025152084</t>
  </si>
  <si>
    <t>-513.970072072254 198.481064132104 -436.140838569006</t>
  </si>
  <si>
    <t>-316.256177291956 106.157013455613 -294.622233960395</t>
  </si>
  <si>
    <t>-645.302150900751 35.6951940095992 -763.822801018031</t>
  </si>
  <si>
    <t>-597.957162909729 209.776346933387 -243.903623105912</t>
  </si>
  <si>
    <t>-592.196447615244 189.713888408934 211.312835297302</t>
  </si>
  <si>
    <t>-629.793200484945 166.318643494195 679.229564224877</t>
  </si>
  <si>
    <t>-492.512860977633 97.3580354223648 764.915341621067</t>
  </si>
  <si>
    <t>-657.772170940782 27.7340240117139 -216.371002144698</t>
  </si>
  <si>
    <t>-609.263368875537 -4.57840150029324 235.580848765175</t>
  </si>
  <si>
    <t>-767.23280100374 108.39839195309 663.688710315358</t>
  </si>
  <si>
    <t>-676.645363724094 -15.6365813581028 749.436851745933</t>
  </si>
  <si>
    <t>9763-20170724T160629.489947200.bin</t>
  </si>
  <si>
    <t>-628.303090696997 119.32174695448 -230.250460500089</t>
  </si>
  <si>
    <t>-663.573595952248 113.205437633396 -345.949965294513</t>
  </si>
  <si>
    <t>-671.483029211659 102.586497597881 -466.429298115887</t>
  </si>
  <si>
    <t>-667.338229404498 90.8913796735847 -575.245016541777</t>
  </si>
  <si>
    <t>-652.082920525936 77.0190623585577 -682.807580568076</t>
  </si>
  <si>
    <t>-619.466552698994 55.373033125361 -830.006917225029</t>
  </si>
  <si>
    <t>-577.901845317478 36.2049402299601 -921.044978885561</t>
  </si>
  <si>
    <t>-620.94666642011 93.9535000439955 -766.270774847135</t>
  </si>
  <si>
    <t>-546.394208482473 219.697054427275 -750.390300024776</t>
  </si>
  <si>
    <t>-512.948872179818 197.744648496741 -436.406694227939</t>
  </si>
  <si>
    <t>-312.133427758545 108.144150754882 -297.529302261372</t>
  </si>
  <si>
    <t>-646.849899324591 35.947964852993 -763.480555133858</t>
  </si>
  <si>
    <t>-598.087926831463 210.388384606551 -243.764689703986</t>
  </si>
  <si>
    <t>-592.076607738573 190.038111337374 211.435681888059</t>
  </si>
  <si>
    <t>-629.760625161285 166.550918960405 679.288519614564</t>
  </si>
  <si>
    <t>-492.580210695755 97.374041030889 764.960016115391</t>
  </si>
  <si>
    <t>-658.389057859754 28.2997120951095 -216.037643492242</t>
  </si>
  <si>
    <t>-609.779953245118 -4.53809424096448 235.865553343001</t>
  </si>
  <si>
    <t>-767.413010583264 108.38347563851 664.159369648601</t>
  </si>
  <si>
    <t>-676.652867285452 -15.6810188196521 749.681900531425</t>
  </si>
  <si>
    <t>9763-20170724T160629.527550300.bin</t>
  </si>
  <si>
    <t>-628.500501758737 119.648288677986 -230.161853101487</t>
  </si>
  <si>
    <t>-663.851343603856 113.55673171673 -345.838139836709</t>
  </si>
  <si>
    <t>-671.841677813981 102.9061690863 -466.309230916997</t>
  </si>
  <si>
    <t>-667.769555499983 91.1593567543766 -575.122369648189</t>
  </si>
  <si>
    <t>-652.586606140644 77.2119989207708 -682.685216232967</t>
  </si>
  <si>
    <t>-620.070469059742 55.4376366214406 -829.887814359828</t>
  </si>
  <si>
    <t>-578.548359780464 36.1944434300387 -920.929640680396</t>
  </si>
  <si>
    <t>-621.480347160864 94.0620306993044 -766.176824612582</t>
  </si>
  <si>
    <t>-546.67355246374 219.678008371867 -750.41929424947</t>
  </si>
  <si>
    <t>-512.739311013416 197.524127852254 -436.502224186835</t>
  </si>
  <si>
    <t>-312.074226213996 107.557707831017 -297.644000768673</t>
  </si>
  <si>
    <t>-647.435351946987 36.0822127824119 -763.333741046603</t>
  </si>
  <si>
    <t>-598.185766517475 210.731262140874 -243.711116564763</t>
  </si>
  <si>
    <t>-592.08490601175 190.224367973947 211.481091555995</t>
  </si>
  <si>
    <t>-629.758898498797 166.641682007866 679.321569182052</t>
  </si>
  <si>
    <t>-492.589971544094 97.4164563124687 764.972408480599</t>
  </si>
  <si>
    <t>-658.724074060023 28.6231053707527 -215.954964001036</t>
  </si>
  <si>
    <t>-610.358931480094 -4.49198683908344 235.954118683061</t>
  </si>
  <si>
    <t>-767.557732252684 108.383971487661 664.440139171784</t>
  </si>
  <si>
    <t>-676.680718801502 -15.7109471915367 749.79429666185</t>
  </si>
  <si>
    <t>9763-20170724T160629.591136100.bin</t>
  </si>
  <si>
    <t>-628.873418481415 120.365318804467 -230.13132185209</t>
  </si>
  <si>
    <t>-664.258318420641 114.397797956257 -345.803765084355</t>
  </si>
  <si>
    <t>-672.33507826352 103.768242660739 -466.2708829003</t>
  </si>
  <si>
    <t>-668.363056863938 91.9984997715492 -575.085217861774</t>
  </si>
  <si>
    <t>-653.301587553143 77.9872275329788 -682.657043261154</t>
  </si>
  <si>
    <t>-620.975861399651 56.0821221503452 -829.882052057114</t>
  </si>
  <si>
    <t>-579.529873062052 36.7060408356565 -920.930314728098</t>
  </si>
  <si>
    <t>-622.275183511668 94.7508507945117 -766.195678881315</t>
  </si>
  <si>
    <t>-547.263009524685 220.262659524543 -750.602472760685</t>
  </si>
  <si>
    <t>-512.945327829825 197.435011565602 -436.775454944097</t>
  </si>
  <si>
    <t>-311.361619748173 108.779435802786 -298.405544084423</t>
  </si>
  <si>
    <t>-648.282743032435 36.7981225337826 -763.283365335385</t>
  </si>
  <si>
    <t>-598.347833691056 211.511769282257 -243.617232379689</t>
  </si>
  <si>
    <t>-592.266450814671 190.783236974466 211.565183463036</t>
  </si>
  <si>
    <t>-629.762353775232 166.870861764872 679.384829672731</t>
  </si>
  <si>
    <t>-492.635983688774 97.4767507422043 764.96707291391</t>
  </si>
  <si>
    <t>-659.269976549653 29.3238478623614 -215.978531347328</t>
  </si>
  <si>
    <t>-612.134007497147 -4.36348878672766 236.018200017164</t>
  </si>
  <si>
    <t>-767.950431816192 108.377697429054 665.103911088544</t>
  </si>
  <si>
    <t>-676.771557890067 -15.7797411132449 750.044199803056</t>
  </si>
  <si>
    <t>9763-20170724T160629.626230700.bin</t>
  </si>
  <si>
    <t>-629.015892689898 120.66596351688 -230.138692278314</t>
  </si>
  <si>
    <t>-664.365160182412 114.795508309628 -345.826968298916</t>
  </si>
  <si>
    <t>-672.451524444104 104.22769339161 -466.298923166252</t>
  </si>
  <si>
    <t>-668.506597627669 92.5032024447694 -575.119158590048</t>
  </si>
  <si>
    <t>-653.489824168541 78.5290112100195 -682.701934644795</t>
  </si>
  <si>
    <t>-621.243431000776 56.6689987343602 -829.951174572631</t>
  </si>
  <si>
    <t>-579.825466010081 37.2508564186851 -921.003173751059</t>
  </si>
  <si>
    <t>-622.515910616845 95.3214363451045 -766.254223154644</t>
  </si>
  <si>
    <t>-547.590987683237 220.862354827039 -750.625689986296</t>
  </si>
  <si>
    <t>-512.726477886883 197.960330485951 -436.864347746326</t>
  </si>
  <si>
    <t>-309.306813911262 112.32622136896 -299.280521450994</t>
  </si>
  <si>
    <t>-648.506997496737 37.3613295787879 -763.341571991063</t>
  </si>
  <si>
    <t>-598.414848461966 211.823548042192 -243.589024287295</t>
  </si>
  <si>
    <t>-592.374612804603 190.972144336081 211.588359863337</t>
  </si>
  <si>
    <t>-629.762839468234 166.951899951253 679.409885631908</t>
  </si>
  <si>
    <t>-492.59036481735 97.6069159978381 764.958089824596</t>
  </si>
  <si>
    <t>-659.450912274795 29.5576677357285 -216.055929733548</t>
  </si>
  <si>
    <t>-612.994489895675 -4.32736339504891 235.996374870619</t>
  </si>
  <si>
    <t>-768.10433758812 108.3447710318 665.345711472379</t>
  </si>
  <si>
    <t>-676.813227090308 -15.8143417677829 750.162927696491</t>
  </si>
  <si>
    <t>9763-20170724T160629.693061500.bin</t>
  </si>
  <si>
    <t>-629.239017944171 121.193576726103 -230.085923152549</t>
  </si>
  <si>
    <t>-664.597306803154 115.556435955255 -345.782939646232</t>
  </si>
  <si>
    <t>-672.675193681153 105.170279507989 -466.271354809659</t>
  </si>
  <si>
    <t>-668.715304435228 93.5904327933595 -575.106396084627</t>
  </si>
  <si>
    <t>-653.676361688285 79.7426797303076 -682.702563554347</t>
  </si>
  <si>
    <t>-621.391651125825 58.04106825284 -829.966661616305</t>
  </si>
  <si>
    <t>-579.939371275366 38.5503772854565 -920.98766565977</t>
  </si>
  <si>
    <t>-622.664755013233 96.617979603054 -766.224103767189</t>
  </si>
  <si>
    <t>-547.628881583532 222.11611408286 -750.457161612567</t>
  </si>
  <si>
    <t>-512.786823825273 199.401356457929 -436.679935269823</t>
  </si>
  <si>
    <t>-303.945858300356 120.912087891576 -303.012747747958</t>
  </si>
  <si>
    <t>-648.68859820699 38.6686357878802 -763.389621974026</t>
  </si>
  <si>
    <t>-598.444462241871 212.314815204759 -243.490630286412</t>
  </si>
  <si>
    <t>-592.344274770541 191.286575685116 211.677796375531</t>
  </si>
  <si>
    <t>-629.733696767787 167.076578384192 679.433757305578</t>
  </si>
  <si>
    <t>-492.581398912725 97.6879496203599 764.978923017578</t>
  </si>
  <si>
    <t>-659.890585726112 30.1174170971778 -215.987459166807</t>
  </si>
  <si>
    <t>-613.377507422684 -4.37850109183614 236.012839553751</t>
  </si>
  <si>
    <t>-768.198587532788 108.19868756339 665.463923872527</t>
  </si>
  <si>
    <t>-676.828367894411 -15.9078828222591 750.27286644648</t>
  </si>
  <si>
    <t>9763-20170724T160629.758902200.bin</t>
  </si>
  <si>
    <t>-629.303515293395 121.411459778625 -230.011769968844</t>
  </si>
  <si>
    <t>-664.752710065308 115.843951959453 -345.684339820697</t>
  </si>
  <si>
    <t>-672.852479045916 105.535185241964 -466.178033782661</t>
  </si>
  <si>
    <t>-668.883034367842 94.0264158326786 -575.020275710617</t>
  </si>
  <si>
    <t>-653.805384896304 80.2500930188683 -682.620028183838</t>
  </si>
  <si>
    <t>-621.4379535168 58.6468794581956 -829.880621782962</t>
  </si>
  <si>
    <t>-579.953015735159 39.1471661604617 -920.884586090137</t>
  </si>
  <si>
    <t>-622.733448339126 97.1754327996316 -766.109098977277</t>
  </si>
  <si>
    <t>-547.675486950454 222.63515956218 -750.239114477752</t>
  </si>
  <si>
    <t>-512.993707701438 200.159382366636 -436.426933472353</t>
  </si>
  <si>
    <t>-303.31498571899 122.980452945086 -303.309243418029</t>
  </si>
  <si>
    <t>-648.785630168911 39.2358349110389 -763.335566366763</t>
  </si>
  <si>
    <t>-598.494632153204 212.514781462835 -243.411530922903</t>
  </si>
  <si>
    <t>-592.253003985394 191.348794378087 211.748535118158</t>
  </si>
  <si>
    <t>-629.737261159589 167.075387495947 679.46289840643</t>
  </si>
  <si>
    <t>-492.534821568185 97.785590293229 765.007803415282</t>
  </si>
  <si>
    <t>-660.029635324847 30.3450003774392 -215.917352257519</t>
  </si>
  <si>
    <t>-613.049738570968 -4.32891296056664 236.021007829571</t>
  </si>
  <si>
    <t>-768.148240241893 108.180406449162 665.411737715667</t>
  </si>
  <si>
    <t>-676.792058919235 -15.9267199326791 750.235017594349</t>
  </si>
  <si>
    <t>9763-20170724T160629.793991900.bin</t>
  </si>
  <si>
    <t>-629.066438160147 122.082575925446 -229.894585131693</t>
  </si>
  <si>
    <t>-664.558330833188 116.560725433699 -345.556270029468</t>
  </si>
  <si>
    <t>-672.608139090519 106.350174596263 -466.061560459942</t>
  </si>
  <si>
    <t>-668.555050704109 94.9485926911607 -574.912029775332</t>
  </si>
  <si>
    <t>-653.356255051742 81.2960689356903 -682.510607104553</t>
  </si>
  <si>
    <t>-620.782891795762 59.8809256289906 -829.753175480896</t>
  </si>
  <si>
    <t>-579.157009790191 40.3722216407866 -920.69098017383</t>
  </si>
  <si>
    <t>-622.157133604469 98.3233692698029 -765.931591903753</t>
  </si>
  <si>
    <t>-547.177230319416 223.779326556378 -749.869651405348</t>
  </si>
  <si>
    <t>-512.741314864405 201.804530731501 -435.994642819608</t>
  </si>
  <si>
    <t>-300.860722514764 127.071423998314 -304.984625957172</t>
  </si>
  <si>
    <t>-648.234032694186 40.3895919917688 -763.274387255121</t>
  </si>
  <si>
    <t>-598.25486982219 213.17359002127 -243.268237052137</t>
  </si>
  <si>
    <t>-591.979720361311 191.743909385005 211.879134382828</t>
  </si>
  <si>
    <t>-629.738003578469 167.154052254062 679.525805800267</t>
  </si>
  <si>
    <t>-492.449889932772 98.0178811480127 765.057519828154</t>
  </si>
  <si>
    <t>-659.709523621821 31.0467517687666 -215.826236970617</t>
  </si>
  <si>
    <t>-612.247549855602 -4.38133847063432 236.003237505069</t>
  </si>
  <si>
    <t>-768.058882014395 108.12848310948 665.218333369057</t>
  </si>
  <si>
    <t>-676.751042047934 -15.9837853762913 750.086111168889</t>
  </si>
  <si>
    <t>9763-20170724T160629.822064800.bin</t>
  </si>
  <si>
    <t>-628.79816982253 122.530330344672 -229.843291606387</t>
  </si>
  <si>
    <t>-664.281842553228 117.001804799347 -345.507300037399</t>
  </si>
  <si>
    <t>-672.297821459266 106.850011151139 -466.019727644754</t>
  </si>
  <si>
    <t>-668.202856720118 95.5288178607691 -574.877043759589</t>
  </si>
  <si>
    <t>-652.950660209667 81.9840311142789 -682.48170550029</t>
  </si>
  <si>
    <t>-620.290847040947 60.74721346306 -829.730914886567</t>
  </si>
  <si>
    <t>-578.576752087667 41.2828445067773 -920.637696100705</t>
  </si>
  <si>
    <t>-621.715595125444 99.1180527334461 -765.867209228086</t>
  </si>
  <si>
    <t>-546.783102892056 224.599625447006 -749.686332580729</t>
  </si>
  <si>
    <t>-512.557702020168 202.662320534294 -435.785823068749</t>
  </si>
  <si>
    <t>-300.398569256535 128.340965655788 -304.992424716979</t>
  </si>
  <si>
    <t>-647.768073525811 41.169553933617 -763.288083549972</t>
  </si>
  <si>
    <t>-597.966581708017 213.618694783828 -243.212691137124</t>
  </si>
  <si>
    <t>-591.882380618184 192.117033891919 211.933823935975</t>
  </si>
  <si>
    <t>-629.726008053136 167.247971724113 679.546147922844</t>
  </si>
  <si>
    <t>-492.450225650885 98.0774161891159 765.069894193645</t>
  </si>
  <si>
    <t>-659.487743729096 31.4753014467537 -215.770834204595</t>
  </si>
  <si>
    <t>-611.863211639736 -4.33651635078149 236.01131708275</t>
  </si>
  <si>
    <t>-768.022822378464 108.109243203988 665.115628685338</t>
  </si>
  <si>
    <t>-676.762868541153 -16.0260617412584 750.00117057768</t>
  </si>
  <si>
    <t>9763-20170724T160629.889927500.bin</t>
  </si>
  <si>
    <t>-628.100423399732 123.329942401921 -229.824452865107</t>
  </si>
  <si>
    <t>-663.496674916488 117.771107864366 -345.513807249112</t>
  </si>
  <si>
    <t>-671.455025547138 107.688463877764 -466.03580132267</t>
  </si>
  <si>
    <t>-667.31980231537 96.4722882873125 -574.902341672596</t>
  </si>
  <si>
    <t>-652.038044428964 83.075881411989 -682.521555314919</t>
  </si>
  <si>
    <t>-619.346818007496 62.0908406656865 -829.799757034103</t>
  </si>
  <si>
    <t>-577.519056352753 42.7278396799877 -920.676085950321</t>
  </si>
  <si>
    <t>-620.827903018638 100.371167354919 -765.883122929562</t>
  </si>
  <si>
    <t>-546.114920074584 225.96691818287 -749.526920706498</t>
  </si>
  <si>
    <t>-512.162049448314 203.319892330465 -435.647213110344</t>
  </si>
  <si>
    <t>-299.394646431345 129.531882477925 -305.541758557939</t>
  </si>
  <si>
    <t>-646.795358590696 42.3810634866925 -763.384392792341</t>
  </si>
  <si>
    <t>-597.316721012719 214.515658487579 -243.17567872924</t>
  </si>
  <si>
    <t>-591.61030456684 192.781020007271 211.964616344458</t>
  </si>
  <si>
    <t>-629.704533923314 167.375388012725 679.546105212037</t>
  </si>
  <si>
    <t>-492.398754788049 98.2458298314364 765.054809284164</t>
  </si>
  <si>
    <t>-658.684424599185 32.2036993438619 -215.791150103517</t>
  </si>
  <si>
    <t>-611.303872392736 -4.08763003869717 235.978365649574</t>
  </si>
  <si>
    <t>-768.004623831249 108.071731788161 664.97578963907</t>
  </si>
  <si>
    <t>-676.761640057179 -16.0808149121374 749.854323460047</t>
  </si>
  <si>
    <t>9763-20170724T160629.924009700.bin</t>
  </si>
  <si>
    <t>-627.68690698038 123.79019339611 -229.800410164207</t>
  </si>
  <si>
    <t>-663.038011143298 118.219516344699 -345.502904579187</t>
  </si>
  <si>
    <t>-670.97216900103 108.173563510942 -466.029572067997</t>
  </si>
  <si>
    <t>-666.823579353927 97.0104291324799 -574.901173217896</t>
  </si>
  <si>
    <t>-651.536749963436 83.6864060267512 -682.528562357753</t>
  </si>
  <si>
    <t>-618.846129196803 62.8221041249262 -829.82410779217</t>
  </si>
  <si>
    <t>-576.987242336925 43.5484364206482 -920.705049115433</t>
  </si>
  <si>
    <t>-620.346373945992 101.058375017569 -765.881536830234</t>
  </si>
  <si>
    <t>-545.693654113198 226.678384195074 -749.450878912636</t>
  </si>
  <si>
    <t>-511.959424346839 203.817415560558 -435.563073712808</t>
  </si>
  <si>
    <t>-299.266609971492 129.814695978104 -305.457713085533</t>
  </si>
  <si>
    <t>-646.275011142704 43.0494882827666 -763.419137108146</t>
  </si>
  <si>
    <t>-596.956837959043 214.984676373388 -243.161827537189</t>
  </si>
  <si>
    <t>-591.364455598509 193.088178045478 211.972169421046</t>
  </si>
  <si>
    <t>-629.680344852591 167.464779227301 679.53246326101</t>
  </si>
  <si>
    <t>-492.390941572911 98.3143844251795 765.05061189615</t>
  </si>
  <si>
    <t>-658.254434408758 32.6551410920429 -215.763741458534</t>
  </si>
  <si>
    <t>-610.97774778949 -4.05341921431909 235.982934795253</t>
  </si>
  <si>
    <t>-768.000773233566 108.024126458477 664.881378482988</t>
  </si>
  <si>
    <t>-676.756420704923 -16.1167903803266 749.775441207405</t>
  </si>
  <si>
    <t>9763-20170724T160629.992801100.bin</t>
  </si>
  <si>
    <t>-627.024258978873 124.750403319443 -229.649499726992</t>
  </si>
  <si>
    <t>-662.353871779249 119.14622088903 -345.356875500167</t>
  </si>
  <si>
    <t>-670.285471480575 109.158997273089 -465.888609340683</t>
  </si>
  <si>
    <t>-666.14073004305 98.0889918953867 -574.769924740819</t>
  </si>
  <si>
    <t>-650.86249808542 84.8990573116964 -682.414948600774</t>
  </si>
  <si>
    <t>-618.187244280175 64.2642764696677 -829.746349842948</t>
  </si>
  <si>
    <t>-576.314783476244 45.1473938421575 -920.654074276318</t>
  </si>
  <si>
    <t>-619.722917986112 102.419196691876 -765.755958833099</t>
  </si>
  <si>
    <t>-545.206573301926 228.112594847549 -749.217862325755</t>
  </si>
  <si>
    <t>-511.825629204928 204.678408322411 -435.334508587724</t>
  </si>
  <si>
    <t>-300.711184495447 129.044610087196 -303.606424372467</t>
  </si>
  <si>
    <t>-645.567182751187 44.3698074749227 -763.357586566698</t>
  </si>
  <si>
    <t>-596.344073451785 215.938655257174 -243.061254379067</t>
  </si>
  <si>
    <t>-590.986157996465 193.779975536002 212.062899628422</t>
  </si>
  <si>
    <t>-629.648284874279 167.533526185731 679.517774986954</t>
  </si>
  <si>
    <t>-492.270593658623 98.5673369825206 765.042877497479</t>
  </si>
  <si>
    <t>-657.618761954058 33.6178690988618 -215.558678915527</t>
  </si>
  <si>
    <t>-609.894186576745 -4.07542239883583 236.059787920038</t>
  </si>
  <si>
    <t>-767.927842813103 107.991574657226 664.623968335854</t>
  </si>
  <si>
    <t>-676.766437517428 -16.1947143054638 749.540830065337</t>
  </si>
  <si>
    <t>9763-20170724T160630.028411200.bin</t>
  </si>
  <si>
    <t>-626.662434154872 125.244692545731 -229.573532198688</t>
  </si>
  <si>
    <t>-662.01220894157 119.597139097142 -345.272669078427</t>
  </si>
  <si>
    <t>-669.952305989177 109.613836144475 -465.8043238938</t>
  </si>
  <si>
    <t>-665.809121313577 98.5696742610792 -574.68817069207</t>
  </si>
  <si>
    <t>-650.525316475201 85.4297264313295 -682.338519366319</t>
  </si>
  <si>
    <t>-617.834274270247 64.8907636852728 -829.679775751481</t>
  </si>
  <si>
    <t>-575.949640827705 45.8474021097081 -920.597417751104</t>
  </si>
  <si>
    <t>-619.405081922878 103.016228059504 -765.672776253146</t>
  </si>
  <si>
    <t>-544.9921614357 228.756724335611 -749.06342762455</t>
  </si>
  <si>
    <t>-511.713844054197 205.083596707814 -435.187149231711</t>
  </si>
  <si>
    <t>-302.851234707006 126.53532114801 -301.588309862556</t>
  </si>
  <si>
    <t>-645.193066423257 44.9409419900849 -763.298952779589</t>
  </si>
  <si>
    <t>-595.987187508478 216.429879315394 -243.012530207276</t>
  </si>
  <si>
    <t>-590.845714572422 194.199816635561 212.110605145887</t>
  </si>
  <si>
    <t>-629.630647789693 167.614143982141 679.517519723581</t>
  </si>
  <si>
    <t>-492.258668587913 98.6388161699169 765.04447100285</t>
  </si>
  <si>
    <t>-657.220738795467 34.0931780135384 -215.43586224349</t>
  </si>
  <si>
    <t>-609.344031821509 -4.1283577699528 236.122190530455</t>
  </si>
  <si>
    <t>-767.914208863649 107.979368378758 664.48703865191</t>
  </si>
  <si>
    <t>-676.787498482906 -16.2382510734142 749.395354701771</t>
  </si>
  <si>
    <t>9763-20170724T160630.092650400.bin</t>
  </si>
  <si>
    <t>-626.041171212597 126.105310581361 -229.362418892963</t>
  </si>
  <si>
    <t>-661.421078642396 120.312812058566 -345.045296133756</t>
  </si>
  <si>
    <t>-669.385479679147 110.316849047058 -465.574204292476</t>
  </si>
  <si>
    <t>-665.258890489762 99.3209697594609 -574.463537134362</t>
  </si>
  <si>
    <t>-649.984112948755 86.2920547407059 -682.128743406546</t>
  </si>
  <si>
    <t>-617.295728423839 65.9749410152633 -829.501347336657</t>
  </si>
  <si>
    <t>-575.36677336818 47.0843530727423 -920.430376642667</t>
  </si>
  <si>
    <t>-618.918604647891 104.027099706657 -765.451885271394</t>
  </si>
  <si>
    <t>-544.722708522749 229.900133143413 -748.820594711265</t>
  </si>
  <si>
    <t>-511.535966282265 206.723652091578 -434.897648267288</t>
  </si>
  <si>
    <t>-315.329084422071 112.73562602464 -292.380279012794</t>
  </si>
  <si>
    <t>-644.60001816721 45.9022128455813 -763.135067584202</t>
  </si>
  <si>
    <t>-595.360223964158 217.476552421217 -242.939518844423</t>
  </si>
  <si>
    <t>-590.602321660898 195.079285251306 212.179597363884</t>
  </si>
  <si>
    <t>-629.587352915333 167.766557905026 679.507177433548</t>
  </si>
  <si>
    <t>-492.178354968463 98.8642264425141 765.033445262174</t>
  </si>
  <si>
    <t>-656.615807014849 34.7602487567692 -215.115904837897</t>
  </si>
  <si>
    <t>-608.26149081758 -4.37634515463674 236.312726402404</t>
  </si>
  <si>
    <t>-767.935153100661 107.943434313331 664.200094009474</t>
  </si>
  <si>
    <t>-676.79352633708 -16.2946898997855 749.062384385896</t>
  </si>
  <si>
    <t>9763-20170724T160630.123732500.bin</t>
  </si>
  <si>
    <t>-625.75270491834 126.455159868065 -229.298994564959</t>
  </si>
  <si>
    <t>-661.162418280305 120.608754174364 -344.970045279819</t>
  </si>
  <si>
    <t>-669.168451328927 110.612232946518 -465.496018911654</t>
  </si>
  <si>
    <t>-665.082367436919 99.6421669690999 -574.389698166577</t>
  </si>
  <si>
    <t>-649.849542077427 86.6677026082089 -682.06735244561</t>
  </si>
  <si>
    <t>-617.218916134078 66.4586711522286 -829.467578710485</t>
  </si>
  <si>
    <t>-575.283204803917 47.6155705881793 -920.403379340138</t>
  </si>
  <si>
    <t>-618.848909423471 104.477694236945 -765.398731870218</t>
  </si>
  <si>
    <t>-544.851290966161 230.465177904512 -748.781756334544</t>
  </si>
  <si>
    <t>-511.269740189584 207.856887802043 -434.859229875538</t>
  </si>
  <si>
    <t>-320.695112238307 106.622821194852 -289.686797274173</t>
  </si>
  <si>
    <t>-644.464920914306 46.3234941137623 -763.0963129123</t>
  </si>
  <si>
    <t>-595.058823349497 217.909969938961 -242.936194974957</t>
  </si>
  <si>
    <t>-590.494668980091 195.459633538994 212.182311941087</t>
  </si>
  <si>
    <t>-629.550687525595 167.853032604312 679.479173348562</t>
  </si>
  <si>
    <t>-492.123852121083 98.9919218762909 765.009955024537</t>
  </si>
  <si>
    <t>-656.309762768177 35.0495441516341 -214.972504172618</t>
  </si>
  <si>
    <t>-607.821786322242 -4.57179237566061 236.399511718995</t>
  </si>
  <si>
    <t>-767.969012437265 107.913545462291 664.059215198225</t>
  </si>
  <si>
    <t>-676.819633840488 -16.3319246519791 748.902342320756</t>
  </si>
  <si>
    <t>9763-20170724T160630.189624400.bin</t>
  </si>
  <si>
    <t>-625.362466410363 126.948252085967 -229.194483909701</t>
  </si>
  <si>
    <t>-660.823382964246 120.94069191285 -344.841545238488</t>
  </si>
  <si>
    <t>-668.925961522624 110.917206134221 -465.358844182701</t>
  </si>
  <si>
    <t>-664.941638360289 99.9855932735618 -574.260169608266</t>
  </si>
  <si>
    <t>-649.821544887072 87.1167033618462 -681.966274263769</t>
  </si>
  <si>
    <t>-617.355551056429 67.1273406520863 -829.432943567218</t>
  </si>
  <si>
    <t>-575.446844565936 48.4156599653822 -920.40827408345</t>
  </si>
  <si>
    <t>-618.969768200565 105.074658404275 -765.321233724012</t>
  </si>
  <si>
    <t>-545.38471982863 231.322347095097 -748.870791021736</t>
  </si>
  <si>
    <t>-510.524182565877 210.675706450103 -434.952628914851</t>
  </si>
  <si>
    <t>-321.560448042872 106.716566259405 -289.600446226182</t>
  </si>
  <si>
    <t>-644.471782538409 46.8692895844893 -763.045740837877</t>
  </si>
  <si>
    <t>-594.673075027945 218.595070401803 -242.993828461341</t>
  </si>
  <si>
    <t>-590.299842417319 196.132714304744 212.12602282819</t>
  </si>
  <si>
    <t>-629.421744124389 168.033306435388 679.354523125469</t>
  </si>
  <si>
    <t>-491.959410226983 99.2954065325314 764.927412843386</t>
  </si>
  <si>
    <t>-655.921046618407 35.3294951796302 -214.721556746573</t>
  </si>
  <si>
    <t>-606.860052531106 -5.34278608400473 236.495118690989</t>
  </si>
  <si>
    <t>-767.983665648396 107.583428042484 663.511838930102</t>
  </si>
  <si>
    <t>-676.76889466153 -16.4106792205855 748.65187547489</t>
  </si>
  <si>
    <t>9763-20170724T160630.223720000.bin</t>
  </si>
  <si>
    <t>-625.348867480301 126.922976032177 -229.240159980391</t>
  </si>
  <si>
    <t>-660.805793288948 120.812160759979 -344.883007353561</t>
  </si>
  <si>
    <t>-668.963268561125 110.781117544261 -465.396126497111</t>
  </si>
  <si>
    <t>-665.050860792986 99.8844388871764 -574.303489254543</t>
  </si>
  <si>
    <t>-650.023194563178 87.093025375174 -682.031836606584</t>
  </si>
  <si>
    <t>-617.704055412765 67.256829129047 -829.5512398282</t>
  </si>
  <si>
    <t>-575.840464469213 48.6386559770863 -920.566618953789</t>
  </si>
  <si>
    <t>-619.281994189337 105.14949866529 -765.406352463493</t>
  </si>
  <si>
    <t>-545.768828276785 231.462515485974 -749.01816047286</t>
  </si>
  <si>
    <t>-510.896464090929 211.520053199483 -435.055778508802</t>
  </si>
  <si>
    <t>-322.350350063085 106.456116610395 -289.955756113583</t>
  </si>
  <si>
    <t>-644.726386874692 46.9181611935996 -763.150688423635</t>
  </si>
  <si>
    <t>-594.596772600023 218.599910581562 -243.098145359842</t>
  </si>
  <si>
    <t>-590.283288139693 196.300976591405 212.030128491924</t>
  </si>
  <si>
    <t>-629.324666224866 168.112617422111 679.240636867166</t>
  </si>
  <si>
    <t>-491.822322140543 99.515194356494 764.861943438643</t>
  </si>
  <si>
    <t>-655.975668339247 35.2501451687153 -214.69205297606</t>
  </si>
  <si>
    <t>-606.308217402595 -5.81369201536859 236.422759313971</t>
  </si>
  <si>
    <t>-767.942487883877 107.389742297875 663.210752197383</t>
  </si>
  <si>
    <t>-676.735225754703 -16.4779445960385 748.542675869574</t>
  </si>
  <si>
    <t>9763-20170724T160630.296509100.bin</t>
  </si>
  <si>
    <t>-625.63097974483 126.829239902537 -229.330462874668</t>
  </si>
  <si>
    <t>-661.126363680762 120.50851572244 -344.950286538983</t>
  </si>
  <si>
    <t>-669.429242611054 110.46915867446 -465.452623807178</t>
  </si>
  <si>
    <t>-665.688431739959 99.6460559401221 -574.373380781181</t>
  </si>
  <si>
    <t>-650.868963455664 87.0073185835759 -682.148641161381</t>
  </si>
  <si>
    <t>-618.873112879524 67.4632693847159 -829.777508310653</t>
  </si>
  <si>
    <t>-577.125542724914 48.9964569289866 -920.876833430488</t>
  </si>
  <si>
    <t>-620.372284391746 105.255039433074 -765.571208605036</t>
  </si>
  <si>
    <t>-547.008224085135 231.621781057965 -749.159691231677</t>
  </si>
  <si>
    <t>-512.496132189197 212.051911182015 -435.134069676836</t>
  </si>
  <si>
    <t>-326.972317190253 102.250038865932 -289.646977366099</t>
  </si>
  <si>
    <t>-645.688284648773 46.9667725508336 -763.341366837918</t>
  </si>
  <si>
    <t>-595.148202927465 218.589769274052 -243.317554702027</t>
  </si>
  <si>
    <t>-590.598156636903 196.469724119116 211.817146282716</t>
  </si>
  <si>
    <t>-629.177282039267 168.197735659566 679.065890969224</t>
  </si>
  <si>
    <t>-491.549492363052 99.9567336135119 764.770403345115</t>
  </si>
  <si>
    <t>-655.968144893609 35.199715414117 -214.701714523161</t>
  </si>
  <si>
    <t>-605.343903479964 -6.41989540222721 236.255717902163</t>
  </si>
  <si>
    <t>-767.805356069986 107.315246544174 662.726209675966</t>
  </si>
  <si>
    <t>-676.712222715066 -16.5249846318388 748.219805454075</t>
  </si>
  <si>
    <t>9763-20170724T160630.326591200.bin</t>
  </si>
  <si>
    <t>-626.02220612048 126.871772664036 -229.485524414583</t>
  </si>
  <si>
    <t>-661.539530023564 120.478736690225 -345.094446742263</t>
  </si>
  <si>
    <t>-669.867865971245 110.484571194099 -465.599074784353</t>
  </si>
  <si>
    <t>-666.150358980218 99.7447868915785 -574.528748862771</t>
  </si>
  <si>
    <t>-651.353925354083 87.2278659569806 -682.321206445073</t>
  </si>
  <si>
    <t>-619.389072924108 67.8897207119442 -829.984073577148</t>
  </si>
  <si>
    <t>-577.6441757702 49.5434938251503 -921.109096932201</t>
  </si>
  <si>
    <t>-620.915165420418 105.608961260403 -765.735720247339</t>
  </si>
  <si>
    <t>-547.432401115528 231.874102528879 -749.11962860077</t>
  </si>
  <si>
    <t>-513.455050171721 211.937154756172 -435.058785458501</t>
  </si>
  <si>
    <t>-330.63370783958 97.9817361770479 -289.344830812433</t>
  </si>
  <si>
    <t>-646.149927750123 47.2835025441718 -763.55998055491</t>
  </si>
  <si>
    <t>-595.751616079649 218.719454024755 -243.419984283274</t>
  </si>
  <si>
    <t>-591.046791406849 196.606771660545 211.713527140913</t>
  </si>
  <si>
    <t>-629.151173504287 168.200136393852 678.994940806296</t>
  </si>
  <si>
    <t>-491.508992917722 100.046395479549 764.74578800898</t>
  </si>
  <si>
    <t>-656.282756211013 35.1492458477919 -214.919189729275</t>
  </si>
  <si>
    <t>-605.374359839981 -6.11998021582463 236.038514760611</t>
  </si>
  <si>
    <t>-767.805985523128 107.323261764448 662.625351090121</t>
  </si>
  <si>
    <t>-676.693961867956 -16.5361208433499 748.071012035162</t>
  </si>
  <si>
    <t>9763-20170724T160630.392774300.bin</t>
  </si>
  <si>
    <t>-627.19983916939 127.284209728532 -230.137008539988</t>
  </si>
  <si>
    <t>-662.654794460078 120.910403743019 -345.766356986638</t>
  </si>
  <si>
    <t>-670.936834506401 111.152746682832 -466.293404697512</t>
  </si>
  <si>
    <t>-667.183184547352 100.708158748109 -575.250486175033</t>
  </si>
  <si>
    <t>-652.355082000985 88.5628223236856 -683.081345393276</t>
  </si>
  <si>
    <t>-620.34985843062 69.8154377205994 -830.811483231541</t>
  </si>
  <si>
    <t>-578.553751077918 51.7669621383552 -921.972444619061</t>
  </si>
  <si>
    <t>-622.012810930247 107.32768436335 -766.445530713913</t>
  </si>
  <si>
    <t>-548.431936640548 233.470398191779 -749.211764066416</t>
  </si>
  <si>
    <t>-513.72903596723 211.21093322776 -435.386297131606</t>
  </si>
  <si>
    <t>-335.179899593057 90.6156215445828 -289.718835195531</t>
  </si>
  <si>
    <t>-647.009573924895 48.8934381687041 -764.445405557899</t>
  </si>
  <si>
    <t>-597.223385113235 219.436341902032 -243.823710751226</t>
  </si>
  <si>
    <t>-592.045797148438 196.971666600844 211.287517789693</t>
  </si>
  <si>
    <t>-628.984457330301 168.233154770815 678.699129384283</t>
  </si>
  <si>
    <t>-491.472177444869 100.11298371804 764.684773150985</t>
  </si>
  <si>
    <t>-657.103621311669 35.2722556737886 -215.803331609308</t>
  </si>
  <si>
    <t>-606.898195281618 -5.00437897176653 235.322887425671</t>
  </si>
  <si>
    <t>-768.005172492078 107.248930895586 662.630422140639</t>
  </si>
  <si>
    <t>-676.797524048796 -16.5904702141115 748.00298866348</t>
  </si>
  <si>
    <t>9763-20170724T160630.426867500.bin</t>
  </si>
  <si>
    <t>-628.008475921798 127.644238722341 -230.525626940416</t>
  </si>
  <si>
    <t>-663.501086394553 121.381804535589 -346.149414126921</t>
  </si>
  <si>
    <t>-671.839728684237 111.79162532928 -466.685903388543</t>
  </si>
  <si>
    <t>-668.143049755292 101.521647390457 -575.661751228733</t>
  </si>
  <si>
    <t>-653.376476146758 89.5736958212178 -683.522892015073</t>
  </si>
  <si>
    <t>-621.460108679985 71.1240793552113 -831.309854257483</t>
  </si>
  <si>
    <t>-579.696572222963 53.2506353482463 -922.52013492215</t>
  </si>
  <si>
    <t>-623.152653464149 108.535060263612 -766.885536251739</t>
  </si>
  <si>
    <t>-549.679411995892 234.717734292974 -749.437732939535</t>
  </si>
  <si>
    <t>-513.795746609364 210.691007432934 -435.875393022525</t>
  </si>
  <si>
    <t>-337.255003666022 86.7909233898351 -290.533826940023</t>
  </si>
  <si>
    <t>-648.011570173953 50.0398607522043 -764.951785259667</t>
  </si>
  <si>
    <t>-598.12977556431 220.103233691479 -244.060012709507</t>
  </si>
  <si>
    <t>-592.615817265689 197.348204295164 211.032743931273</t>
  </si>
  <si>
    <t>-628.870013680309 168.50760789014 678.528212752385</t>
  </si>
  <si>
    <t>-491.601042663427 100.000443140149 764.595095544266</t>
  </si>
  <si>
    <t>-657.812585102863 35.3979439192922 -216.351479909835</t>
  </si>
  <si>
    <t>-608.166493568319 -4.47051101231182 234.872839341133</t>
  </si>
  <si>
    <t>-768.164505029606 107.051531383364 662.710344924091</t>
  </si>
  <si>
    <t>-676.757461700826 -16.6137411982379 748.122096780109</t>
  </si>
  <si>
    <t>9763-20170724T160630.492056200.bin</t>
  </si>
  <si>
    <t>-629.516884515088 128.109412267792 -231.090538228518</t>
  </si>
  <si>
    <t>-664.970315922063 122.075646834828 -346.738504280855</t>
  </si>
  <si>
    <t>-673.406192475557 112.76254816642 -467.289967293598</t>
  </si>
  <si>
    <t>-669.852070530565 102.762154500032 -576.295516652807</t>
  </si>
  <si>
    <t>-655.280239677009 91.1019957002911 -684.214669989184</t>
  </si>
  <si>
    <t>-623.685098702964 73.0706948077998 -832.12219004089</t>
  </si>
  <si>
    <t>-582.091974310133 55.4583742150462 -923.461180901147</t>
  </si>
  <si>
    <t>-625.286108433611 110.319423740399 -767.601808264147</t>
  </si>
  <si>
    <t>-551.797056058136 236.479655162975 -750.044046507642</t>
  </si>
  <si>
    <t>-512.113724060239 209.673053553651 -437.165705416937</t>
  </si>
  <si>
    <t>-340.891182157258 77.3293868262313 -292.908741033029</t>
  </si>
  <si>
    <t>-650.043837528494 51.7785429142093 -765.753683205711</t>
  </si>
  <si>
    <t>-599.509094574085 220.827196964163 -244.316248605162</t>
  </si>
  <si>
    <t>-594.165635332298 198.385947106721 210.794110267597</t>
  </si>
  <si>
    <t>-628.86640248708 168.951080522315 678.448991700474</t>
  </si>
  <si>
    <t>-491.788932728106 99.8926306304868 764.380401583531</t>
  </si>
  <si>
    <t>-659.38312524971 35.4578213034406 -217.194628427659</t>
  </si>
  <si>
    <t>-611.185584913565 -3.38357079436855 234.276381820672</t>
  </si>
  <si>
    <t>-768.49761694477 107.037291207432 663.352474005084</t>
  </si>
  <si>
    <t>-676.77789633648 -16.5940006853455 748.47768517191</t>
  </si>
  <si>
    <t>9763-20170724T160630.523134100.bin</t>
  </si>
  <si>
    <t>-630.192167262723 128.135077820241 -231.283646107881</t>
  </si>
  <si>
    <t>-665.653918553664 122.230001832454 -346.935745938282</t>
  </si>
  <si>
    <t>-674.226074338424 113.060162038844 -467.488632267578</t>
  </si>
  <si>
    <t>-670.846661289969 103.19287367713 -576.51185269374</t>
  </si>
  <si>
    <t>-656.49869324489 91.6681950775933 -684.475607905185</t>
  </si>
  <si>
    <t>-625.263054938539 73.8259533630121 -832.48233427062</t>
  </si>
  <si>
    <t>-583.836809774577 56.3020993000671 -923.914054554553</t>
  </si>
  <si>
    <t>-626.691559841498 110.985722979448 -767.906550684882</t>
  </si>
  <si>
    <t>-553.074690196703 237.08478302229 -750.42409309834</t>
  </si>
  <si>
    <t>-511.257348072731 209.350716950402 -437.904719409631</t>
  </si>
  <si>
    <t>-340.569462522178 76.0167800899219 -293.926478939267</t>
  </si>
  <si>
    <t>-651.476111495414 52.455520040131 -766.081330014201</t>
  </si>
  <si>
    <t>-600.152200507726 220.900763356326 -244.450742879602</t>
  </si>
  <si>
    <t>-594.701552050702 198.553703530063 210.663101280234</t>
  </si>
  <si>
    <t>-628.834705032698 169.132816232904 678.368252676219</t>
  </si>
  <si>
    <t>-491.850906651125 99.8575392923326 764.274461078185</t>
  </si>
  <si>
    <t>-660.093501007949 35.3485247015306 -217.44968189678</t>
  </si>
  <si>
    <t>-612.633501611424 -3.0083432890026 234.140774988432</t>
  </si>
  <si>
    <t>-768.694739278117 107.062574849902 663.730244168589</t>
  </si>
  <si>
    <t>-676.806747884325 -16.5800018719758 748.657346972432</t>
  </si>
  <si>
    <t>9763-20170724T160630.594162900.bin</t>
  </si>
  <si>
    <t>-631.277510127937 127.555523122094 -231.392058281519</t>
  </si>
  <si>
    <t>-666.898954306865 122.04929384957 -347.014653865535</t>
  </si>
  <si>
    <t>-675.765745061527 113.164824837003 -467.567632521473</t>
  </si>
  <si>
    <t>-672.706249669632 103.504145977414 -576.618806568857</t>
  </si>
  <si>
    <t>-658.729208915076 92.1326301177826 -684.647381484075</t>
  </si>
  <si>
    <t>-628.059068267173 74.4457703458561 -832.790989805512</t>
  </si>
  <si>
    <t>-586.977334252642 56.9434879717319 -924.382130069839</t>
  </si>
  <si>
    <t>-629.13155926284 111.492135342374 -768.143138575833</t>
  </si>
  <si>
    <t>-554.835530539851 237.218793276772 -750.851995289656</t>
  </si>
  <si>
    <t>-510.920069845008 207.987637477592 -438.75719079972</t>
  </si>
  <si>
    <t>-339.618021594179 75.3885590413611 -294.829590878339</t>
  </si>
  <si>
    <t>-654.127712342156 53.05122700165 -766.34092775273</t>
  </si>
  <si>
    <t>-600.8253072827 220.214437898743 -244.437347996925</t>
  </si>
  <si>
    <t>-594.938224885425 197.842237960972 210.669740489617</t>
  </si>
  <si>
    <t>-628.956017270636 169.214627479533 678.442894406478</t>
  </si>
  <si>
    <t>-491.99209804921 99.7373151657687 764.217590759243</t>
  </si>
  <si>
    <t>-661.609871297454 34.8746196117611 -217.664066677465</t>
  </si>
  <si>
    <t>-614.617322504002 -2.98069774754981 234.017656389962</t>
  </si>
  <si>
    <t>-768.871870800025 107.126634351785 664.251948050196</t>
  </si>
  <si>
    <t>-676.799994095537 -16.5564064340726 748.920606627698</t>
  </si>
  <si>
    <t>9763-20170724T160630.622234400.bin</t>
  </si>
  <si>
    <t>-631.603723603879 127.096343147836 -231.345013746136</t>
  </si>
  <si>
    <t>-667.34544879923 121.791463683247 -346.93985359629</t>
  </si>
  <si>
    <t>-676.354871215164 113.032940072799 -467.491533859365</t>
  </si>
  <si>
    <t>-673.432254135294 103.453890230578 -576.553724254615</t>
  </si>
  <si>
    <t>-659.599197198432 92.1315227324501 -684.606080780213</t>
  </si>
  <si>
    <t>-629.135738456109 74.47906368092 -832.796333544038</t>
  </si>
  <si>
    <t>-588.196891599664 56.9290944628999 -924.442285234145</t>
  </si>
  <si>
    <t>-630.036568651875 111.476141488268 -768.117600460759</t>
  </si>
  <si>
    <t>-555.31288362615 236.946874503274 -750.840895368384</t>
  </si>
  <si>
    <t>-511.298252069235 207.195915478153 -438.809320037927</t>
  </si>
  <si>
    <t>-339.729229254821 74.8562100532861 -294.961037120754</t>
  </si>
  <si>
    <t>-655.193125295528 53.1033801420906 -766.335762408644</t>
  </si>
  <si>
    <t>-600.911352646488 219.618907053281 -244.327556361883</t>
  </si>
  <si>
    <t>-594.80395990026 197.249066113006 210.776907955342</t>
  </si>
  <si>
    <t>-629.077893100857 169.147659381256 678.54006485114</t>
  </si>
  <si>
    <t>-492.041336568916 99.7144026786591 764.234406359276</t>
  </si>
  <si>
    <t>-662.22349313723 34.5119952543266 -217.667555839327</t>
  </si>
  <si>
    <t>-615.24595609174 -3.0253346751972 234.042178265453</t>
  </si>
  <si>
    <t>-768.900911125128 107.149931594481 664.453618786494</t>
  </si>
  <si>
    <t>-676.752574204637 -16.5366153796283 749.034015528778</t>
  </si>
  <si>
    <t>9763-20170724T160630.693440900.bin</t>
  </si>
  <si>
    <t>-631.54535350276 126.281306883053 -231.249204929442</t>
  </si>
  <si>
    <t>-667.425397500336 121.328939497824 -346.817027523298</t>
  </si>
  <si>
    <t>-676.688910038331 112.790898563416 -467.365089535091</t>
  </si>
  <si>
    <t>-674.041200414041 103.360896263034 -576.447214967459</t>
  </si>
  <si>
    <t>-660.525604867915 92.1404423104045 -684.550346582921</t>
  </si>
  <si>
    <t>-630.544156936804 74.5836589022372 -832.850228405287</t>
  </si>
  <si>
    <t>-589.846448912147 56.8621406866837 -924.570681383751</t>
  </si>
  <si>
    <t>-631.088753590933 111.476701348142 -768.108338939189</t>
  </si>
  <si>
    <t>-555.706874686672 236.555320257028 -750.963087401497</t>
  </si>
  <si>
    <t>-511.550772099896 207.001807172953 -438.932600648206</t>
  </si>
  <si>
    <t>-336.23906654585 80.8943844904206 -294.002354387151</t>
  </si>
  <si>
    <t>-656.53126336348 53.2273117478192 -766.356052918992</t>
  </si>
  <si>
    <t>-600.413000052559 218.482136937856 -244.120385123311</t>
  </si>
  <si>
    <t>-594.410697836407 196.317262502808 210.99533229231</t>
  </si>
  <si>
    <t>-629.27077713115 169.05415868058 678.716429625437</t>
  </si>
  <si>
    <t>-492.312285022422 99.3973053158704 764.354073463181</t>
  </si>
  <si>
    <t>-662.479700984154 34.1303565241403 -217.613243216875</t>
  </si>
  <si>
    <t>-616.067438796892 -3.45773943859308 234.150837759816</t>
  </si>
  <si>
    <t>-768.888204796541 107.234340337465 664.782805493476</t>
  </si>
  <si>
    <t>-676.727370426781 -16.519102946485 749.251625420711</t>
  </si>
  <si>
    <t>9763-20170724T160630.722515600.bin</t>
  </si>
  <si>
    <t>-631.461066671191 125.887160957362 -231.065609830524</t>
  </si>
  <si>
    <t>-667.403797662965 121.019235385974 -346.617542026888</t>
  </si>
  <si>
    <t>-676.807251333286 112.529437700744 -467.158104256871</t>
  </si>
  <si>
    <t>-674.316883217565 103.128997167776 -576.246571940363</t>
  </si>
  <si>
    <t>-660.987375541706 91.925624156301 -684.374652182221</t>
  </si>
  <si>
    <t>-631.292490638145 74.3803268526917 -832.733589175756</t>
  </si>
  <si>
    <t>-590.708538560333 56.5472649125802 -924.482654566016</t>
  </si>
  <si>
    <t>-631.643076996961 111.238799097673 -767.9705107581</t>
  </si>
  <si>
    <t>-555.9081287762 236.138329248447 -751.130368964315</t>
  </si>
  <si>
    <t>-510.908380883105 209.090229481504 -438.99320136377</t>
  </si>
  <si>
    <t>-332.785000198309 87.6867472627762 -293.475871155229</t>
  </si>
  <si>
    <t>-657.21996377122 53.0484335428234 -766.208005853499</t>
  </si>
  <si>
    <t>-600.16759337495 217.809701237249 -244.038502819647</t>
  </si>
  <si>
    <t>-594.210022894782 195.749701949189 211.082937363737</t>
  </si>
  <si>
    <t>-629.332585883816 168.870611128307 678.778105152917</t>
  </si>
  <si>
    <t>-492.356037423194 99.3088941008823 764.464165110105</t>
  </si>
  <si>
    <t>-662.592186242277 33.9370635715716 -217.367990181459</t>
  </si>
  <si>
    <t>-615.910564856449 -3.87319001711194 234.349766303379</t>
  </si>
  <si>
    <t>-768.855996590831 107.257272241238 664.821638567408</t>
  </si>
  <si>
    <t>-676.727157394085 -16.5328589884818 749.271579140808</t>
  </si>
  <si>
    <t>9763-20170724T160630.799580200.bin</t>
  </si>
  <si>
    <t>-631.139194299646 124.707368574444 -230.88359967421</t>
  </si>
  <si>
    <t>-667.234188151274 119.90380377903 -346.390729747974</t>
  </si>
  <si>
    <t>-676.93892800905 111.334268063387 -466.901956710622</t>
  </si>
  <si>
    <t>-674.781819770718 101.794172598668 -575.985266856863</t>
  </si>
  <si>
    <t>-661.845632737632 90.378525108888 -684.1388953541</t>
  </si>
  <si>
    <t>-632.758130767985 72.4583486050367 -832.573266137777</t>
  </si>
  <si>
    <t>-592.417092884901 54.2584678711346 -924.357548727474</t>
  </si>
  <si>
    <t>-632.658975727975 109.399906533785 -767.856765857687</t>
  </si>
  <si>
    <t>-556.087957826843 233.957823079 -751.926855525001</t>
  </si>
  <si>
    <t>-513.895173589538 212.472633175247 -438.966275750979</t>
  </si>
  <si>
    <t>-333.014641199711 96.3064526086503 -292.577420711113</t>
  </si>
  <si>
    <t>-658.59787826144 51.3750912006126 -765.934636758844</t>
  </si>
  <si>
    <t>-599.839958126565 215.818969454337 -243.990478929526</t>
  </si>
  <si>
    <t>-593.315718434056 193.834509574056 211.12684933973</t>
  </si>
  <si>
    <t>-629.419319253687 168.236424013167 678.830271011387</t>
  </si>
  <si>
    <t>-492.128620999347 99.5441827443262 764.714819366318</t>
  </si>
  <si>
    <t>-662.18744580865 33.5488438633656 -217.109782752412</t>
  </si>
  <si>
    <t>-614.760057727038 -4.59237180148898 234.502390419063</t>
  </si>
  <si>
    <t>-768.605925628209 107.268507904776 664.533770594495</t>
  </si>
  <si>
    <t>-676.661006213531 -16.5541486977186 749.136388466771</t>
  </si>
  <si>
    <t>9763-20170724T160630.822633200.bin</t>
  </si>
  <si>
    <t>-631.06355956248 124.219073308808 -230.930892051307</t>
  </si>
  <si>
    <t>-667.135634902477 119.426203618718 -346.445559647213</t>
  </si>
  <si>
    <t>-676.877202361721 110.773605230166 -466.947851685781</t>
  </si>
  <si>
    <t>-674.780145619615 101.115095150612 -576.022018562508</t>
  </si>
  <si>
    <t>-661.931478413638 89.5352602604808 -684.168458542235</t>
  </si>
  <si>
    <t>-632.994892806219 71.3367055915965 -832.598457522016</t>
  </si>
  <si>
    <t>-592.689708561746 52.9268124028349 -924.356689262784</t>
  </si>
  <si>
    <t>-632.750893635573 108.364712532731 -767.931892271604</t>
  </si>
  <si>
    <t>-556.12584085394 232.877451625669 -752.281584574997</t>
  </si>
  <si>
    <t>-517.301713425338 214.819351519558 -438.669088284251</t>
  </si>
  <si>
    <t>-336.687320078517 98.4706549686348 -292.096646257805</t>
  </si>
  <si>
    <t>-658.846049627646 50.413205449772 -765.913723949581</t>
  </si>
  <si>
    <t>-599.794506121899 215.057041640948 -244.023072346918</t>
  </si>
  <si>
    <t>-592.637062132009 192.821226903968 211.072462716234</t>
  </si>
  <si>
    <t>-629.4323381143 167.981016151135 678.813937479884</t>
  </si>
  <si>
    <t>-491.973823058642 99.7522834494944 764.79945963199</t>
  </si>
  <si>
    <t>-662.12228164577 33.3934930139144 -217.201002792455</t>
  </si>
  <si>
    <t>-614.298270817193 -4.59493746310568 234.382340907038</t>
  </si>
  <si>
    <t>-768.466430062656 107.225237974146 664.347780480165</t>
  </si>
  <si>
    <t>-676.593980123068 -16.5727431338671 749.065109078291</t>
  </si>
  <si>
    <t>9763-20170724T160630.889825200.bin</t>
  </si>
  <si>
    <t>-631.304477876741 123.482300102048 -231.070470613282</t>
  </si>
  <si>
    <t>-667.293206744508 118.674786219664 -346.610479830614</t>
  </si>
  <si>
    <t>-676.820846164657 109.899498992151 -467.121039555816</t>
  </si>
  <si>
    <t>-674.480121555241 100.08741715129 -576.17639080262</t>
  </si>
  <si>
    <t>-661.341227346598 88.3123122140471 -684.266992299916</t>
  </si>
  <si>
    <t>-631.956868695611 69.8006554893695 -832.570472611783</t>
  </si>
  <si>
    <t>-591.389973011563 51.1260432468707 -924.15960011336</t>
  </si>
  <si>
    <t>-631.946540680045 106.982147961987 -767.991247282825</t>
  </si>
  <si>
    <t>-555.759227746157 231.790884587771 -752.612298134224</t>
  </si>
  <si>
    <t>-523.183790981982 220.12099814467 -437.987326800332</t>
  </si>
  <si>
    <t>-342.451789015619 102.911948841217 -292.247761162241</t>
  </si>
  <si>
    <t>-657.970459410032 49.0009189479517 -765.910086575164</t>
  </si>
  <si>
    <t>-600.047755803725 214.065178721028 -244.022754163862</t>
  </si>
  <si>
    <t>-591.297657485009 191.176694442726 211.012658459279</t>
  </si>
  <si>
    <t>-629.460780713082 167.755259999504 678.774693332793</t>
  </si>
  <si>
    <t>-491.711122470827 100.223955437971 764.844812221233</t>
  </si>
  <si>
    <t>-662.385988494755 32.9951045595367 -217.510668907418</t>
  </si>
  <si>
    <t>-614.23395524398 -4.32520041805196 234.093469468861</t>
  </si>
  <si>
    <t>-768.330761333202 107.128114744373 664.276638150953</t>
  </si>
  <si>
    <t>-676.573936469411 -16.6762563011598 749.109809820433</t>
  </si>
  <si>
    <t>9763-20170724T160630.926922000.bin</t>
  </si>
  <si>
    <t>-631.581419596308 123.406704774411 -231.145696757291</t>
  </si>
  <si>
    <t>-667.480860789789 118.616511474292 -346.714173697322</t>
  </si>
  <si>
    <t>-676.848978512374 109.752811294433 -467.23083713631</t>
  </si>
  <si>
    <t>-674.33716606089 99.8252704160955 -576.271998281987</t>
  </si>
  <si>
    <t>-661.002271833107 87.9036553212259 -684.322497558171</t>
  </si>
  <si>
    <t>-631.321903051018 69.1603598630877 -832.537686523256</t>
  </si>
  <si>
    <t>-590.531061316071 50.3635525779582 -924.002388538203</t>
  </si>
  <si>
    <t>-631.539141072069 106.485809943623 -768.042238592479</t>
  </si>
  <si>
    <t>-555.882421424185 231.696353633599 -752.954757303712</t>
  </si>
  <si>
    <t>-525.800453463228 222.09850273626 -438.011735558115</t>
  </si>
  <si>
    <t>-345.874551378153 103.852095227911 -292.112625343859</t>
  </si>
  <si>
    <t>-657.369965312985 48.421551720711 -765.872085209807</t>
  </si>
  <si>
    <t>-600.424554969397 214.077430264123 -243.977264584827</t>
  </si>
  <si>
    <t>-590.997445699453 190.862645596192 211.028039933238</t>
  </si>
  <si>
    <t>-629.49994191063 167.774814937624 678.790383535797</t>
  </si>
  <si>
    <t>-491.661666856088 100.397264569891 764.839143441472</t>
  </si>
  <si>
    <t>-662.56769115127 32.8892140722414 -217.67028365458</t>
  </si>
  <si>
    <t>-614.64673722203 -4.18400068494066 233.978721684768</t>
  </si>
  <si>
    <t>-768.395022314401 107.022225738468 664.391439252522</t>
  </si>
  <si>
    <t>-676.551368922867 -16.7212326102142 749.219566816628</t>
  </si>
  <si>
    <t>9763-20170724T160630.997024800.bin</t>
  </si>
  <si>
    <t>-632.574806891217 124.048228370424 -231.24222972559</t>
  </si>
  <si>
    <t>-668.309313187621 119.252014167891 -346.861652126193</t>
  </si>
  <si>
    <t>-677.493317300109 110.235430923255 -467.381016738176</t>
  </si>
  <si>
    <t>-674.808665129042 100.128419679901 -576.401599093588</t>
  </si>
  <si>
    <t>-661.295285303022 87.9968890924345 -684.406537395983</t>
  </si>
  <si>
    <t>-631.361979760909 68.9397878824414 -832.530901495019</t>
  </si>
  <si>
    <t>-590.104688368145 50.0506064154208 -923.766995577943</t>
  </si>
  <si>
    <t>-631.905663906717 106.494957962673 -768.170651756906</t>
  </si>
  <si>
    <t>-557.44157811589 232.467520103522 -753.708148303589</t>
  </si>
  <si>
    <t>-531.948560600645 226.844103115653 -438.264515587133</t>
  </si>
  <si>
    <t>-353.923828093406 106.37138721694 -291.85559988613</t>
  </si>
  <si>
    <t>-657.307380469927 48.2490141991659 -765.810313471085</t>
  </si>
  <si>
    <t>-601.615503807995 215.239486113374 -243.944713604305</t>
  </si>
  <si>
    <t>-591.79941263519 191.893251623193 211.04562610863</t>
  </si>
  <si>
    <t>-629.543643306916 168.0348795967 678.808356241303</t>
  </si>
  <si>
    <t>-491.745235020438 100.467647668278 764.772191135842</t>
  </si>
  <si>
    <t>-663.518436959268 33.0541770434477 -217.851118761776</t>
  </si>
  <si>
    <t>-615.681246200314 -3.9052355954309 233.816118121112</t>
  </si>
  <si>
    <t>-768.497920776343 106.731460035275 664.580586231065</t>
  </si>
  <si>
    <t>-676.569184148302 -16.8594295125258 749.538840042187</t>
  </si>
  <si>
    <t>9763-20170724T160631.025098000.bin</t>
  </si>
  <si>
    <t>-633.350404765564 124.421640784257 -231.255278248631</t>
  </si>
  <si>
    <t>-669.067353921317 119.619231703108 -346.87992797379</t>
  </si>
  <si>
    <t>-678.149438894566 110.566403631554 -467.404412700111</t>
  </si>
  <si>
    <t>-675.338034416905 100.420395257775 -576.418086690791</t>
  </si>
  <si>
    <t>-661.664577054765 88.2467062172373 -684.39814365892</t>
  </si>
  <si>
    <t>-631.475370215786 69.1313187252449 -832.463071411722</t>
  </si>
  <si>
    <t>-589.942362732242 50.254593568538 -923.576415045664</t>
  </si>
  <si>
    <t>-632.218014934591 106.748942806925 -768.141379355215</t>
  </si>
  <si>
    <t>-558.249629577256 233.0182507625 -753.702276757643</t>
  </si>
  <si>
    <t>-535.294438555223 228.799705237291 -438.04200552585</t>
  </si>
  <si>
    <t>-358.53976456419 107.004784826164 -291.188911977092</t>
  </si>
  <si>
    <t>-657.448350888017 48.4295698420324 -765.75640221038</t>
  </si>
  <si>
    <t>-602.49918130247 215.872100728736 -243.955548189904</t>
  </si>
  <si>
    <t>-592.664220448932 192.645262502164 211.040564302074</t>
  </si>
  <si>
    <t>-629.570982246393 168.141290351013 678.834662750449</t>
  </si>
  <si>
    <t>-491.751167754212 100.537002503416 764.734971164904</t>
  </si>
  <si>
    <t>-664.148416381117 33.1330601073928 -217.895665261988</t>
  </si>
  <si>
    <t>-616.194943223756 -3.81299945222281 233.760218121496</t>
  </si>
  <si>
    <t>-768.564684861792 106.600414273464 664.715752459479</t>
  </si>
  <si>
    <t>-676.549770874694 -16.9082309364351 749.700330539773</t>
  </si>
  <si>
    <t>9763-20170724T160631.098810200.bin</t>
  </si>
  <si>
    <t>-634.875124487466 124.983019504446 -231.203548230056</t>
  </si>
  <si>
    <t>-670.566865395957 120.045597116197 -346.830242433474</t>
  </si>
  <si>
    <t>-679.370107708723 110.956389675867 -467.372501737452</t>
  </si>
  <si>
    <t>-676.202450533811 100.824388313041 -576.377950863093</t>
  </si>
  <si>
    <t>-662.070947264305 88.7154027664553 -684.306193747306</t>
  </si>
  <si>
    <t>-631.143419058133 69.746160385763 -832.23749833726</t>
  </si>
  <si>
    <t>-588.906386096349 50.855111376402 -923.023821857635</t>
  </si>
  <si>
    <t>-632.388338249346 107.376224915453 -767.930815090476</t>
  </si>
  <si>
    <t>-559.304028942806 234.134833862096 -753.28937168148</t>
  </si>
  <si>
    <t>-541.436321028805 232.353901492839 -437.277106137697</t>
  </si>
  <si>
    <t>-367.382161555882 107.195958427077 -290.026647580467</t>
  </si>
  <si>
    <t>-657.267438737286 48.9027013553068 -765.634132124067</t>
  </si>
  <si>
    <t>-604.304660131129 216.885713892408 -243.948849738176</t>
  </si>
  <si>
    <t>-594.290757537335 193.887412993791 211.05491888036</t>
  </si>
  <si>
    <t>-629.59780526255 168.372525975204 678.88089694835</t>
  </si>
  <si>
    <t>-491.752083576775 100.693436028732 764.680694823698</t>
  </si>
  <si>
    <t>-665.321620539262 33.0915292690988 -217.795926143781</t>
  </si>
  <si>
    <t>-616.923433906198 -3.80703865877467 233.816500799271</t>
  </si>
  <si>
    <t>-768.676008471397 106.465133458387 664.959403609631</t>
  </si>
  <si>
    <t>-676.538452381737 -16.9575977451777 749.935957111122</t>
  </si>
  <si>
    <t>9763-20170724T160631.127888500.bin</t>
  </si>
  <si>
    <t>-635.473076123956 125.170900793691 -231.133175751708</t>
  </si>
  <si>
    <t>-671.18675355246 120.190342482462 -346.751147160221</t>
  </si>
  <si>
    <t>-679.825609887185 111.080705233284 -467.303905570853</t>
  </si>
  <si>
    <t>-676.432273691838 100.945836779107 -576.302020025109</t>
  </si>
  <si>
    <t>-662.000059202629 88.8529986609999 -684.192536597784</t>
  </si>
  <si>
    <t>-630.579565480866 69.9295622638863 -832.025746205376</t>
  </si>
  <si>
    <t>-587.88279400789 50.9762525368335 -922.583718063407</t>
  </si>
  <si>
    <t>-632.140966827903 107.58197324076 -767.738972922276</t>
  </si>
  <si>
    <t>-559.585454807233 234.61944974438 -752.975408030024</t>
  </si>
  <si>
    <t>-543.111234815901 234.000743263444 -436.882954294362</t>
  </si>
  <si>
    <t>-369.122559127796 108.701629244871 -289.675145015921</t>
  </si>
  <si>
    <t>-656.823267807278 49.0233219829943 -765.489118782263</t>
  </si>
  <si>
    <t>-605.080055298029 217.245233533107 -243.90010906813</t>
  </si>
  <si>
    <t>-595.092834148548 194.41188041303 211.11247779003</t>
  </si>
  <si>
    <t>-629.637465998016 168.464845101558 678.948251983832</t>
  </si>
  <si>
    <t>-491.7777169009 100.725039846767 764.677609832155</t>
  </si>
  <si>
    <t>-665.726083999571 33.1322277550555 -217.698542818703</t>
  </si>
  <si>
    <t>-617.136118755391 -3.89642778176471 233.882684597353</t>
  </si>
  <si>
    <t>-768.74383665339 106.471031961078 665.090225368751</t>
  </si>
  <si>
    <t>-676.549388002999 -16.9721408490157 749.97534168592</t>
  </si>
  <si>
    <t>9763-20170724T160631.190067600.bin</t>
  </si>
  <si>
    <t>-636.738449662967 125.476167917176 -231.044058081202</t>
  </si>
  <si>
    <t>-672.496931944454 120.457299650458 -346.64651637314</t>
  </si>
  <si>
    <t>-680.805125680982 111.327793841545 -467.220973679995</t>
  </si>
  <si>
    <t>-676.958704788558 101.193080935744 -576.204256362981</t>
  </si>
  <si>
    <t>-661.923577496078 89.1250007879332 -684.014912056995</t>
  </si>
  <si>
    <t>-629.516209522871 70.268001039183 -831.643530479071</t>
  </si>
  <si>
    <t>-585.859931845945 51.1606398261586 -921.710288663781</t>
  </si>
  <si>
    <t>-631.687977553067 107.965412946879 -767.40091751395</t>
  </si>
  <si>
    <t>-560.064028765534 235.495574933312 -752.29537040373</t>
  </si>
  <si>
    <t>-545.766833446797 236.005358477053 -436.096847635213</t>
  </si>
  <si>
    <t>-371.850071542439 110.316834206033 -289.136287566836</t>
  </si>
  <si>
    <t>-656.022875709777 49.2579533043963 -765.243996929508</t>
  </si>
  <si>
    <t>-606.619433117982 217.873690036098 -243.805702430457</t>
  </si>
  <si>
    <t>-596.093337955403 194.982645899036 211.191845731614</t>
  </si>
  <si>
    <t>-629.6983448366 168.540755149349 679.041070701188</t>
  </si>
  <si>
    <t>-491.813898171659 100.748909315613 764.689554964631</t>
  </si>
  <si>
    <t>-666.723791529516 33.1339671548371 -217.605137041535</t>
  </si>
  <si>
    <t>-617.675142035595 -3.796679799103 233.934455784001</t>
  </si>
  <si>
    <t>-768.813037973123 106.573830752965 665.266800208592</t>
  </si>
  <si>
    <t>-676.49959398952 -16.9265348568931 749.939071869818</t>
  </si>
  <si>
    <t>9763-20170724T160631.224160400.bin</t>
  </si>
  <si>
    <t>-637.253995033705 125.512968319228 -231.072882142865</t>
  </si>
  <si>
    <t>-672.980648778848 120.481648765923 -346.684701320505</t>
  </si>
  <si>
    <t>-681.147227543477 111.385993345933 -467.271408969585</t>
  </si>
  <si>
    <t>-677.12775419337 101.305441062885 -576.253385852377</t>
  </si>
  <si>
    <t>-661.87571515827 89.3177220476248 -684.042670939643</t>
  </si>
  <si>
    <t>-629.123073483623 70.602177342322 -831.613009890333</t>
  </si>
  <si>
    <t>-585.091678113152 51.4988679572293 -921.497851220265</t>
  </si>
  <si>
    <t>-631.530006248573 108.272179461988 -767.362732364687</t>
  </si>
  <si>
    <t>-560.287641451099 235.981887212497 -751.981146858811</t>
  </si>
  <si>
    <t>-546.288207624277 236.296380551258 -435.768918274895</t>
  </si>
  <si>
    <t>-372.144714405827 111.060620468849 -288.690368654146</t>
  </si>
  <si>
    <t>-655.700237738174 49.4942260627945 -765.272645849317</t>
  </si>
  <si>
    <t>-607.202264834372 217.998391375661 -243.784226921066</t>
  </si>
  <si>
    <t>-596.42446371341 195.10414541179 211.207292160087</t>
  </si>
  <si>
    <t>-629.708606765652 168.574374979549 679.05087176155</t>
  </si>
  <si>
    <t>-491.830747954464 100.756114085809 764.689007585925</t>
  </si>
  <si>
    <t>-667.148592861949 33.0679789090661 -217.67353732628</t>
  </si>
  <si>
    <t>-617.941416307092 -3.69233293056777 233.86271133516</t>
  </si>
  <si>
    <t>-768.834241368751 106.505022438214 665.223861115298</t>
  </si>
  <si>
    <t>-676.504125989346 -16.945532721586 749.950629222639</t>
  </si>
  <si>
    <t>9763-20170724T160631.294859500.bin</t>
  </si>
  <si>
    <t>-637.835537026765 125.08907343695 -231.264827486543</t>
  </si>
  <si>
    <t>-673.505940423379 120.067905170671 -346.89449919444</t>
  </si>
  <si>
    <t>-681.486070105022 111.0856723196 -467.502097941849</t>
  </si>
  <si>
    <t>-677.244469347351 101.154523916866 -576.489374727209</t>
  </si>
  <si>
    <t>-661.718262664674 89.3651660170501 -684.261315242757</t>
  </si>
  <si>
    <t>-628.532182912032 70.9788373357378 -831.776273998465</t>
  </si>
  <si>
    <t>-583.965174364683 52.0001886899965 -921.423117080145</t>
  </si>
  <si>
    <t>-631.240713051275 108.550488748721 -767.480434585853</t>
  </si>
  <si>
    <t>-560.420322562722 236.446706424241 -751.550327184154</t>
  </si>
  <si>
    <t>-546.241925142045 234.926218918315 -435.349650376326</t>
  </si>
  <si>
    <t>-371.798930459047 110.715306628571 -287.757869289875</t>
  </si>
  <si>
    <t>-655.191198946603 49.678037549809 -765.530485444757</t>
  </si>
  <si>
    <t>-607.994778677749 217.808775692204 -243.886549223031</t>
  </si>
  <si>
    <t>-596.931380030312 195.048436287498 211.104978073876</t>
  </si>
  <si>
    <t>-629.688792450762 168.667558094937 679.001162665238</t>
  </si>
  <si>
    <t>-491.807751898172 100.845899757211 764.631460202016</t>
  </si>
  <si>
    <t>-667.571287629769 32.2862103924672 -218.061574171031</t>
  </si>
  <si>
    <t>-618.362998054748 -4.27435365506904 233.490774473788</t>
  </si>
  <si>
    <t>-768.823835412512 105.82227143557 664.859708107317</t>
  </si>
  <si>
    <t>-676.437200530365 -17.1022049065957 750.286895588549</t>
  </si>
  <si>
    <t>9763-20170724T160631.326945900.bin</t>
  </si>
  <si>
    <t>-638.010660757186 124.700456306338 -231.341956727471</t>
  </si>
  <si>
    <t>-673.688378578992 119.630871161399 -346.967136359426</t>
  </si>
  <si>
    <t>-681.629779907248 110.678107381431 -467.57961794319</t>
  </si>
  <si>
    <t>-677.33411967956 100.80130050887 -576.569743753585</t>
  </si>
  <si>
    <t>-661.735564474187 89.0910525387405 -684.339912314646</t>
  </si>
  <si>
    <t>-628.431044002725 70.8376498038015 -831.844416249038</t>
  </si>
  <si>
    <t>-583.688783519983 51.9378019579042 -921.420744283897</t>
  </si>
  <si>
    <t>-631.190516086937 108.351040403829 -767.516784132435</t>
  </si>
  <si>
    <t>-560.315604854801 236.159058122505 -751.241633434601</t>
  </si>
  <si>
    <t>-545.742449996621 233.477651230842 -435.066607428038</t>
  </si>
  <si>
    <t>-370.952439280272 109.928509270927 -287.329976513404</t>
  </si>
  <si>
    <t>-655.144025315338 49.4773715543267 -765.639641774938</t>
  </si>
  <si>
    <t>-608.202017579604 217.515607106169 -243.957922063753</t>
  </si>
  <si>
    <t>-597.014447073568 194.907605768717 211.03813211171</t>
  </si>
  <si>
    <t>-629.684881384119 168.70306285095 678.973027399846</t>
  </si>
  <si>
    <t>-491.762171372516 100.943706912629 764.585543043308</t>
  </si>
  <si>
    <t>-667.705325185987 31.7796271371794 -218.142513041205</t>
  </si>
  <si>
    <t>-618.470385151748 -4.59093961369308 233.422348928865</t>
  </si>
  <si>
    <t>-768.807808660162 105.654866628392 664.879538361922</t>
  </si>
  <si>
    <t>-676.367496875134 -17.1018182508431 750.489638514739</t>
  </si>
  <si>
    <t>9763-20170724T160631.393133600.bin</t>
  </si>
  <si>
    <t>-637.996533458251 124.088189275888 -231.209476581821</t>
  </si>
  <si>
    <t>-673.794390894881 118.947764445899 -346.794518160356</t>
  </si>
  <si>
    <t>-681.807616495365 110.132111118322 -467.41235789753</t>
  </si>
  <si>
    <t>-677.55487070568 100.451733647961 -576.421785177971</t>
  </si>
  <si>
    <t>-661.976313421943 89.003000733431 -684.222930621426</t>
  </si>
  <si>
    <t>-628.675661229467 71.1735085706207 -831.780289205302</t>
  </si>
  <si>
    <t>-583.733280037429 52.4551064473062 -921.294364205309</t>
  </si>
  <si>
    <t>-631.378474725993 108.47991665729 -767.329846444646</t>
  </si>
  <si>
    <t>-560.219142519516 236.053333823838 -750.45093355671</t>
  </si>
  <si>
    <t>-544.948941392835 230.953203915815 -434.338596093308</t>
  </si>
  <si>
    <t>-369.489115059382 108.120395775497 -286.798882825389</t>
  </si>
  <si>
    <t>-655.44188035196 49.6450709777448 -765.651532887262</t>
  </si>
  <si>
    <t>-608.228838654545 216.913720157052 -243.922620314055</t>
  </si>
  <si>
    <t>-597.01507196952 194.620889534157 211.088344362628</t>
  </si>
  <si>
    <t>-629.748890530846 168.774051194786 679.035133269077</t>
  </si>
  <si>
    <t>-491.75141183145 101.054765335895 764.558842479107</t>
  </si>
  <si>
    <t>-667.625827037322 31.3466014646456 -217.793589995829</t>
  </si>
  <si>
    <t>-618.190140176013 -5.08073356176396 233.744750243192</t>
  </si>
  <si>
    <t>-768.804963091864 105.776036291336 665.137849319862</t>
  </si>
  <si>
    <t>-676.36911806249 -17.0825773294321 750.60646972619</t>
  </si>
  <si>
    <t>9763-20170724T160631.421207600.bin</t>
  </si>
  <si>
    <t>-637.898216819084 123.945534689735 -231.066844083239</t>
  </si>
  <si>
    <t>-673.798345707731 118.79962081684 -346.619954196386</t>
  </si>
  <si>
    <t>-681.911994387057 110.070779585936 -467.237259445185</t>
  </si>
  <si>
    <t>-677.74691125089 100.502266827986 -576.260038729448</t>
  </si>
  <si>
    <t>-662.251713790637 89.1959418081276 -684.088138995263</t>
  </si>
  <si>
    <t>-629.061112417153 71.5938144099173 -831.697663424891</t>
  </si>
  <si>
    <t>-584.078608785408 52.9571617626764 -921.208660486028</t>
  </si>
  <si>
    <t>-631.675948493557 108.784776152794 -767.176977984707</t>
  </si>
  <si>
    <t>-560.362810648698 236.244564501474 -750.103342945193</t>
  </si>
  <si>
    <t>-544.797559021489 230.44970934809 -434.017344414618</t>
  </si>
  <si>
    <t>-369.059471298776 107.702056836353 -286.738071784546</t>
  </si>
  <si>
    <t>-655.817905295528 49.9796299355551 -765.592923437174</t>
  </si>
  <si>
    <t>-608.180125045247 216.680263127703 -243.847269490363</t>
  </si>
  <si>
    <t>-597.016601646177 194.530959426183 211.171904766929</t>
  </si>
  <si>
    <t>-629.801814781388 168.779696730462 679.111413442155</t>
  </si>
  <si>
    <t>-491.754528574257 101.095744614368 764.582675494192</t>
  </si>
  <si>
    <t>-667.477070213572 31.3110342472353 -217.551968980776</t>
  </si>
  <si>
    <t>-617.947441278169 -5.21713117937861 233.967833913796</t>
  </si>
  <si>
    <t>-768.801585114668 105.985005711059 665.26919787082</t>
  </si>
  <si>
    <t>-676.344646677052 -17.0239554861919 750.498462480872</t>
  </si>
  <si>
    <t>9763-20170724T160631.492432400.bin</t>
  </si>
  <si>
    <t>-637.78239336748 123.679612420319 -230.776723953743</t>
  </si>
  <si>
    <t>-673.903990910258 118.52951009359 -346.260597121411</t>
  </si>
  <si>
    <t>-682.236468453284 109.914949644012 -466.871213075923</t>
  </si>
  <si>
    <t>-678.262908189446 100.498225462889 -575.914342171696</t>
  </si>
  <si>
    <t>-662.949583302125 89.3924793041604 -683.789245489304</t>
  </si>
  <si>
    <t>-629.999020530255 72.1195531851063 -831.491398766663</t>
  </si>
  <si>
    <t>-584.978117926153 53.6202011428184 -921.011610096622</t>
  </si>
  <si>
    <t>-632.481666597035 109.155587066455 -766.87649330052</t>
  </si>
  <si>
    <t>-560.992444421687 236.490095493612 -749.608874515323</t>
  </si>
  <si>
    <t>-545.470392058794 230.040262377066 -433.533356523726</t>
  </si>
  <si>
    <t>-369.565708888989 107.120525520996 -286.596956169934</t>
  </si>
  <si>
    <t>-656.675636761846 50.3689230707128 -765.399080613471</t>
  </si>
  <si>
    <t>-608.018087106077 216.111202863025 -243.689001017929</t>
  </si>
  <si>
    <t>-596.793920885627 194.158113739497 211.33810920896</t>
  </si>
  <si>
    <t>-629.871519267065 168.806446058774 679.236629595358</t>
  </si>
  <si>
    <t>-491.82460284123 101.052346104098 764.652871519961</t>
  </si>
  <si>
    <t>-667.445493092319 31.3096894041091 -217.141289027448</t>
  </si>
  <si>
    <t>-617.385710693967 -5.00742886374701 234.337120596286</t>
  </si>
  <si>
    <t>-768.705523512607 106.440651248971 665.322673560886</t>
  </si>
  <si>
    <t>-676.402258233248 -16.9558925097188 750.157283301346</t>
  </si>
  <si>
    <t>9763-20170724T160631.521510700.bin</t>
  </si>
  <si>
    <t>-637.658134676981 123.477049654738 -230.747286102882</t>
  </si>
  <si>
    <t>-673.831003170798 118.358327016672 -346.216327312907</t>
  </si>
  <si>
    <t>-682.211664984929 109.77976907863 -466.826260671448</t>
  </si>
  <si>
    <t>-678.278837435689 100.400655921704 -575.874016241963</t>
  </si>
  <si>
    <t>-663.002763346854 89.3391986573256 -683.75884015015</t>
  </si>
  <si>
    <t>-630.099372470263 72.1366874872522 -831.479757826134</t>
  </si>
  <si>
    <t>-585.016403991664 53.6675368926556 -920.974895690156</t>
  </si>
  <si>
    <t>-632.570720810818 109.14566429026 -766.84894741923</t>
  </si>
  <si>
    <t>-561.154434317832 236.499586410043 -749.485907606148</t>
  </si>
  <si>
    <t>-545.563239709213 229.488663235843 -433.425865843655</t>
  </si>
  <si>
    <t>-369.542948698804 106.573195739876 -286.624343178927</t>
  </si>
  <si>
    <t>-656.745550664406 50.3507857909256 -765.386786928174</t>
  </si>
  <si>
    <t>-607.867901495328 215.869267854887 -243.654254164789</t>
  </si>
  <si>
    <t>-596.582272292477 193.888230978307 211.370046666711</t>
  </si>
  <si>
    <t>-629.901289138917 168.834550549978 679.279014054511</t>
  </si>
  <si>
    <t>-491.87224991401 101.027832482434 764.682446165552</t>
  </si>
  <si>
    <t>-667.281375799222 31.142682730534 -217.169704364922</t>
  </si>
  <si>
    <t>-617.320999548945 -4.89373634980393 234.34222497959</t>
  </si>
  <si>
    <t>-768.678229547505 106.496673548577 665.293327269074</t>
  </si>
  <si>
    <t>-676.398479096922 -16.9609964947506 750.064559439662</t>
  </si>
  <si>
    <t>9763-20170724T160631.590737600.bin</t>
  </si>
  <si>
    <t>-637.609413883807 123.068859114685 -230.717764174896</t>
  </si>
  <si>
    <t>-673.886931558288 117.974323023178 -346.15514873893</t>
  </si>
  <si>
    <t>-682.285349515318 109.501816620145 -466.771326946323</t>
  </si>
  <si>
    <t>-678.330011539945 100.257281657297 -575.82975222012</t>
  </si>
  <si>
    <t>-662.991730036903 89.3726188366275 -683.723753737449</t>
  </si>
  <si>
    <t>-629.960921608519 72.4620330051466 -831.449774638631</t>
  </si>
  <si>
    <t>-584.582189528822 54.0678395665518 -920.810948419415</t>
  </si>
  <si>
    <t>-632.535499010152 109.362480778408 -766.76090290803</t>
  </si>
  <si>
    <t>-561.29743686433 236.790000497712 -749.116203124643</t>
  </si>
  <si>
    <t>-545.252182378934 228.362633766594 -433.113445508464</t>
  </si>
  <si>
    <t>-368.468614661133 105.780977096114 -286.951417238043</t>
  </si>
  <si>
    <t>-656.616556057191 50.5264114420881 -765.41024346815</t>
  </si>
  <si>
    <t>-607.782919764471 215.413406105568 -243.648783031608</t>
  </si>
  <si>
    <t>-596.301177628724 193.432383898048 211.370741849524</t>
  </si>
  <si>
    <t>-629.929387923864 168.853101854553 679.296953832581</t>
  </si>
  <si>
    <t>-491.905813288537 101.034685385536 764.699921296975</t>
  </si>
  <si>
    <t>-667.298814628362 30.7499693903321 -217.164028712876</t>
  </si>
  <si>
    <t>-617.459515219593 -4.88287868953262 234.393289931987</t>
  </si>
  <si>
    <t>-768.68156218499 106.543138052579 665.324045974673</t>
  </si>
  <si>
    <t>-676.403218768491 -16.9687812939103 750.017722627016</t>
  </si>
  <si>
    <t>9763-20170724T160631.621817600.bin</t>
  </si>
  <si>
    <t>-637.759667817147 122.937788665167 -230.705404414124</t>
  </si>
  <si>
    <t>-674.084418400498 117.836406106449 -346.127653659556</t>
  </si>
  <si>
    <t>-682.461764190383 109.386577233197 -466.746710144297</t>
  </si>
  <si>
    <t>-678.458727543069 100.17377776788 -575.806110687519</t>
  </si>
  <si>
    <t>-663.044641912805 89.3316754271777 -683.693658947961</t>
  </si>
  <si>
    <t>-629.880295097798 72.4912204402165 -831.397834212281</t>
  </si>
  <si>
    <t>-584.283226903242 54.101205161182 -920.648590015491</t>
  </si>
  <si>
    <t>-632.508860295148 109.359166943137 -766.69259829677</t>
  </si>
  <si>
    <t>-561.271460495601 236.775918369772 -748.902705637081</t>
  </si>
  <si>
    <t>-544.88919233386 227.906771989289 -432.929407508252</t>
  </si>
  <si>
    <t>-367.73468323757 105.446935423665 -287.114792230733</t>
  </si>
  <si>
    <t>-656.600079721571 50.5260880826818 -765.394072479465</t>
  </si>
  <si>
    <t>-607.945327385567 215.319832783366 -243.640212869754</t>
  </si>
  <si>
    <t>-596.370909381888 193.357452595331 211.377817854882</t>
  </si>
  <si>
    <t>-629.945330670431 168.88359737905 679.31436053552</t>
  </si>
  <si>
    <t>-491.90779248937 101.063202065194 764.693150878698</t>
  </si>
  <si>
    <t>-667.441962283756 30.614168401368 -217.11429216437</t>
  </si>
  <si>
    <t>-617.533664990159 -4.90990487165823 234.444008057737</t>
  </si>
  <si>
    <t>-768.695712501376 106.530004985786 665.348533628479</t>
  </si>
  <si>
    <t>-676.374558717181 -16.9647087834414 750.020695732839</t>
  </si>
  <si>
    <t>9763-20170724T160631.695537200.bin</t>
  </si>
  <si>
    <t>-638.103205762626 122.802304583337 -230.752955087747</t>
  </si>
  <si>
    <t>-674.388072982479 117.609349444636 -346.183587145557</t>
  </si>
  <si>
    <t>-682.719055391175 109.178323459892 -466.807288506082</t>
  </si>
  <si>
    <t>-678.672550092379 100.015513236392 -575.869306118246</t>
  </si>
  <si>
    <t>-663.214458820221 89.2488147617391 -683.758155739909</t>
  </si>
  <si>
    <t>-629.989397019376 72.5325802351656 -831.46271996661</t>
  </si>
  <si>
    <t>-584.03476381896 54.0966091034729 -920.520316833584</t>
  </si>
  <si>
    <t>-632.565882038576 109.314211311273 -766.706369349501</t>
  </si>
  <si>
    <t>-561.184877038296 236.618196606635 -748.754774626131</t>
  </si>
  <si>
    <t>-544.147334113321 226.906610498243 -432.840866210645</t>
  </si>
  <si>
    <t>-366.853770331088 104.259897723462 -287.352649301187</t>
  </si>
  <si>
    <t>-656.814941569543 50.5438850131018 -765.509669019842</t>
  </si>
  <si>
    <t>-608.321651677692 215.239502633395 -243.69865518772</t>
  </si>
  <si>
    <t>-596.995415994915 193.641010864646 211.342928558672</t>
  </si>
  <si>
    <t>-629.976656263398 168.971672295042 679.337435805268</t>
  </si>
  <si>
    <t>-491.907310535755 101.139591613133 764.65548921189</t>
  </si>
  <si>
    <t>-667.740120017543 30.3953671437714 -217.10280871329</t>
  </si>
  <si>
    <t>-617.744774414727 -4.91751919970966 234.462322568826</t>
  </si>
  <si>
    <t>-768.727250099787 106.504983097347 665.438568175104</t>
  </si>
  <si>
    <t>-676.386685008835 -16.9985409962396 750.076709260812</t>
  </si>
  <si>
    <t>9763-20170724T160631.721604800.bin</t>
  </si>
  <si>
    <t>-638.323238915646 122.784293025459 -230.773661635646</t>
  </si>
  <si>
    <t>-674.61016925602 117.619929130881 -346.205041759415</t>
  </si>
  <si>
    <t>-682.928859680321 109.243021664626 -466.833426132586</t>
  </si>
  <si>
    <t>-678.866286391473 100.130919040879 -575.898953620752</t>
  </si>
  <si>
    <t>-663.387943284263 89.4118448587726 -683.789551324616</t>
  </si>
  <si>
    <t>-630.131192784856 72.7543309557757 -831.493723985142</t>
  </si>
  <si>
    <t>-584.074625794907 54.2698131125678 -920.488697162493</t>
  </si>
  <si>
    <t>-632.659024154804 109.484711446386 -766.706299568268</t>
  </si>
  <si>
    <t>-561.104125245106 236.679384178195 -748.653403315066</t>
  </si>
  <si>
    <t>-543.789647060911 226.468836879165 -432.770346416909</t>
  </si>
  <si>
    <t>-366.507191745809 103.768411910268 -287.313785573312</t>
  </si>
  <si>
    <t>-657.033482487386 50.7648694328004 -765.572183389935</t>
  </si>
  <si>
    <t>-608.523606133454 215.246283903843 -243.735382617979</t>
  </si>
  <si>
    <t>-597.315962385082 193.741084331321 211.313687889533</t>
  </si>
  <si>
    <t>-629.976958280151 169.015480800518 679.327243854586</t>
  </si>
  <si>
    <t>-491.913775116368 101.162398086875 764.638602796986</t>
  </si>
  <si>
    <t>-667.981372508937 30.3898708599725 -217.158450775875</t>
  </si>
  <si>
    <t>-617.883490765886 -4.91197874157683 234.39623042555</t>
  </si>
  <si>
    <t>-768.720869140152 106.485140011938 665.444091048207</t>
  </si>
  <si>
    <t>-676.345950221015 -16.9827938685198 750.09661152891</t>
  </si>
  <si>
    <t>9763-20170724T160631.792194600.bin</t>
  </si>
  <si>
    <t>-638.921666432529 122.891970443038 -230.89704879203</t>
  </si>
  <si>
    <t>-675.181488482365 117.834480170389 -346.341698569687</t>
  </si>
  <si>
    <t>-683.485400183467 109.516601025534 -466.9750948886</t>
  </si>
  <si>
    <t>-679.416446125603 100.430426873603 -576.04257793828</t>
  </si>
  <si>
    <t>-663.939771541923 89.7055995110024 -683.932854710809</t>
  </si>
  <si>
    <t>-630.694880704966 73.0031936934301 -831.634661786549</t>
  </si>
  <si>
    <t>-584.551011116943 54.3316295339912 -920.545280494078</t>
  </si>
  <si>
    <t>-633.146640234371 109.723941680021 -766.839030596836</t>
  </si>
  <si>
    <t>-561.339648392322 236.76819647283 -748.725659779452</t>
  </si>
  <si>
    <t>-543.665421928735 225.342546506376 -432.904072526267</t>
  </si>
  <si>
    <t>-367.25476415715 101.231560207977 -287.584457276266</t>
  </si>
  <si>
    <t>-657.662773682295 51.0630598558487 -765.723518076878</t>
  </si>
  <si>
    <t>-609.097215825806 215.362749796212 -243.774263614888</t>
  </si>
  <si>
    <t>-597.800082688022 193.896748010163 211.274449532451</t>
  </si>
  <si>
    <t>-629.986040993137 169.101539008245 679.338663557872</t>
  </si>
  <si>
    <t>-491.971673269692 101.131175581765 764.635687597505</t>
  </si>
  <si>
    <t>-668.57344441022 30.4949953635858 -217.355123114584</t>
  </si>
  <si>
    <t>-618.416199952601 -4.73119134158901 234.198935599524</t>
  </si>
  <si>
    <t>-768.735185665257 106.45456293171 665.476196136019</t>
  </si>
  <si>
    <t>-676.348665855406 -17.0011364480188 750.133854368355</t>
  </si>
  <si>
    <t>9763-20170724T160631.825277500.bin</t>
  </si>
  <si>
    <t>-639.112046328974 122.988752721512 -230.933689803744</t>
  </si>
  <si>
    <t>-675.344298389548 117.985021779308 -346.389168010143</t>
  </si>
  <si>
    <t>-683.629637849474 109.701094294761 -467.026363566147</t>
  </si>
  <si>
    <t>-679.548346416564 100.634958147872 -576.095011248519</t>
  </si>
  <si>
    <t>-664.064451063184 89.9178050338385 -683.984994591023</t>
  </si>
  <si>
    <t>-630.815248842681 73.2118650527202 -831.685522047712</t>
  </si>
  <si>
    <t>-584.699595784637 54.4778287139191 -920.597539513112</t>
  </si>
  <si>
    <t>-633.240734192817 109.922490898085 -766.882986607294</t>
  </si>
  <si>
    <t>-561.340593445661 236.895039564015 -748.738375588191</t>
  </si>
  <si>
    <t>-543.370060865664 225.09835638965 -432.947163381819</t>
  </si>
  <si>
    <t>-367.741430712397 99.6033315923567 -287.869199627198</t>
  </si>
  <si>
    <t>-657.813231696534 51.2849860020222 -765.782325364049</t>
  </si>
  <si>
    <t>-609.263137236039 215.391389687019 -243.777106847806</t>
  </si>
  <si>
    <t>-597.899672045772 193.927983255545 211.26995822183</t>
  </si>
  <si>
    <t>-629.994235124363 169.160681237146 679.351892920309</t>
  </si>
  <si>
    <t>-492.017813321292 101.093984422175 764.633438880166</t>
  </si>
  <si>
    <t>-668.793426958949 30.5903759101755 -217.407128882763</t>
  </si>
  <si>
    <t>-618.546713234601 -4.71078375640604 234.131155341458</t>
  </si>
  <si>
    <t>-768.747732584494 106.425007279357 665.474752089204</t>
  </si>
  <si>
    <t>-676.343768719294 -17.008574556324 750.145689676203</t>
  </si>
  <si>
    <t>9763-20170724T160631.897113400.bin</t>
  </si>
  <si>
    <t>-639.483232397674 123.233809421852 -230.904037412171</t>
  </si>
  <si>
    <t>-675.732793706298 118.34344014653 -346.359051304002</t>
  </si>
  <si>
    <t>-683.971303646867 110.011319426301 -466.995973609328</t>
  </si>
  <si>
    <t>-679.822857591304 100.840151517386 -576.053407479337</t>
  </si>
  <si>
    <t>-664.24864091121 89.960091350996 -683.914101742294</t>
  </si>
  <si>
    <t>-630.852134066741 72.9709118607466 -831.548838959093</t>
  </si>
  <si>
    <t>-584.724342712108 54.113191529691 -920.428571145925</t>
  </si>
  <si>
    <t>-633.336480799694 109.803471626091 -766.81784414192</t>
  </si>
  <si>
    <t>-561.402698202684 236.779592232132 -748.735586430843</t>
  </si>
  <si>
    <t>-543.004838194225 224.474105160234 -432.988548853579</t>
  </si>
  <si>
    <t>-368.032592541172 97.4287109361555 -288.467793761472</t>
  </si>
  <si>
    <t>-657.921662929899 51.1726759281305 -765.632354090725</t>
  </si>
  <si>
    <t>-609.527454560545 215.687555853892 -243.700203964429</t>
  </si>
  <si>
    <t>-598.047733181439 194.035615937159 211.335061047065</t>
  </si>
  <si>
    <t>-630.037357237469 169.216976231022 679.403127698556</t>
  </si>
  <si>
    <t>-492.046258111853 101.109853361613 764.628619808743</t>
  </si>
  <si>
    <t>-669.28981332641 30.8133242587912 -217.439761606203</t>
  </si>
  <si>
    <t>-618.850948748907 -4.55270466972138 234.072010289918</t>
  </si>
  <si>
    <t>-768.787857955324 106.3927080422 665.526830759212</t>
  </si>
  <si>
    <t>-676.341652088552 -17.0243334698198 750.175774446892</t>
  </si>
  <si>
    <t>9763-20170724T160631.924187400.bin</t>
  </si>
  <si>
    <t>-639.49646984998 123.450734327887 -230.853583503878</t>
  </si>
  <si>
    <t>-675.741151302565 118.5557311978 -346.310059870685</t>
  </si>
  <si>
    <t>-683.955284277833 110.165316617966 -466.944578168499</t>
  </si>
  <si>
    <t>-679.777531616376 100.921326734481 -575.99478273748</t>
  </si>
  <si>
    <t>-664.167396619463 89.9496192686418 -683.840932654047</t>
  </si>
  <si>
    <t>-630.714900875809 72.8147678191142 -831.446212783623</t>
  </si>
  <si>
    <t>-584.541578193462 53.9019526048016 -920.290514061844</t>
  </si>
  <si>
    <t>-633.230879143834 109.714165883287 -766.754475779924</t>
  </si>
  <si>
    <t>-561.300474887665 236.684219843186 -748.689546007916</t>
  </si>
  <si>
    <t>-542.449150070466 224.016873969835 -432.983364024413</t>
  </si>
  <si>
    <t>-367.691494894658 96.4400189741493 -288.671348333404</t>
  </si>
  <si>
    <t>-657.80229808806 51.0786661481968 -765.516447370817</t>
  </si>
  <si>
    <t>-609.523921638702 215.929195760597 -243.651977942119</t>
  </si>
  <si>
    <t>-598.053183070805 194.215514961005 211.380526388763</t>
  </si>
  <si>
    <t>-630.048105315816 169.274759460776 679.42544452094</t>
  </si>
  <si>
    <t>-492.050844798589 101.147062338502 764.624549925473</t>
  </si>
  <si>
    <t>-669.288376350843 31.018233384458 -217.369855960497</t>
  </si>
  <si>
    <t>-618.794003822701 -4.5782678813157 234.117501021895</t>
  </si>
  <si>
    <t>-768.792358371934 106.389571688749 665.531822009106</t>
  </si>
  <si>
    <t>-676.336945580856 -17.0241377445657 750.175570848311</t>
  </si>
  <si>
    <t>9763-20170724T160631.993134300.bin</t>
  </si>
  <si>
    <t>-639.26266353651 124.176142024064 -230.710180082489</t>
  </si>
  <si>
    <t>-675.537863563608 119.228635908258 -346.154594938813</t>
  </si>
  <si>
    <t>-683.799814859575 110.803647816065 -466.783543801294</t>
  </si>
  <si>
    <t>-679.671830529549 101.53233048639 -575.833297116711</t>
  </si>
  <si>
    <t>-664.118014309644 90.5344656909062 -683.685026695141</t>
  </si>
  <si>
    <t>-630.750262926824 73.362324544019 -831.305129040239</t>
  </si>
  <si>
    <t>-584.650933743118 54.4459553986744 -920.187077825368</t>
  </si>
  <si>
    <t>-633.241741489653 110.283155529217 -766.624668015726</t>
  </si>
  <si>
    <t>-561.017498028565 237.050147403781 -748.328627977823</t>
  </si>
  <si>
    <t>-541.210174335854 222.892293924386 -432.744333530112</t>
  </si>
  <si>
    <t>-365.838444161829 95.3245564480235 -289.171078942178</t>
  </si>
  <si>
    <t>-657.787196590001 51.6377470103573 -765.350894967042</t>
  </si>
  <si>
    <t>-609.411463370243 216.699049147562 -243.546411115449</t>
  </si>
  <si>
    <t>-598.047846909737 194.766227339943 211.478325042907</t>
  </si>
  <si>
    <t>-630.059918358526 169.343307974196 679.459715685777</t>
  </si>
  <si>
    <t>-492.03475001398 101.224806897721 764.620905987623</t>
  </si>
  <si>
    <t>-668.915023278838 31.7107629657914 -217.208899956286</t>
  </si>
  <si>
    <t>-618.165998100427 -4.40781991513813 234.208506575324</t>
  </si>
  <si>
    <t>-768.755567103934 106.417549090026 665.495650352743</t>
  </si>
  <si>
    <t>-676.338680136958 -17.0313331776526 750.130141906243</t>
  </si>
  <si>
    <t>9763-20170724T160632.029231400.bin</t>
  </si>
  <si>
    <t>-639.097179560046 124.655064323487 -230.619401545875</t>
  </si>
  <si>
    <t>-675.37100252789 119.619647560689 -346.060618796796</t>
  </si>
  <si>
    <t>-683.6910338341 111.201352473546 -466.685991054554</t>
  </si>
  <si>
    <t>-679.639135834076 101.972572549266 -575.74218811341</t>
  </si>
  <si>
    <t>-664.18303384097 91.0526441995837 -683.615742516497</t>
  </si>
  <si>
    <t>-630.971563146313 74.0240693994194 -831.287892870489</t>
  </si>
  <si>
    <t>-585.002626470593 55.2030439016939 -920.257538299953</t>
  </si>
  <si>
    <t>-633.423498097067 110.894075049343 -766.576783187181</t>
  </si>
  <si>
    <t>-561.034115953975 237.551646711091 -748.047666135126</t>
  </si>
  <si>
    <t>-540.235857169311 221.950936038169 -432.595218464748</t>
  </si>
  <si>
    <t>-364.183658845518 94.7357212706129 -289.542949432227</t>
  </si>
  <si>
    <t>-657.909613733557 52.2234177373152 -765.318273698663</t>
  </si>
  <si>
    <t>-609.37163330522 217.202741503442 -243.493999111279</t>
  </si>
  <si>
    <t>-598.028111965875 195.172810801823 211.52660117438</t>
  </si>
  <si>
    <t>-630.051585669274 169.388901452325 679.465947806008</t>
  </si>
  <si>
    <t>-492.002131133043 101.307544404247 764.617519217417</t>
  </si>
  <si>
    <t>-668.628434197383 32.1476837473554 -217.068178978365</t>
  </si>
  <si>
    <t>-617.652771035525 -4.35133166243645 234.293048131806</t>
  </si>
  <si>
    <t>-768.722654992022 106.405866297246 665.404661647359</t>
  </si>
  <si>
    <t>-676.317800504524 -17.0209778327296 750.084487037081</t>
  </si>
  <si>
    <t>9763-20170724T160632.093316100.bin</t>
  </si>
  <si>
    <t>-638.565221421198 125.712361829039 -230.37386455626</t>
  </si>
  <si>
    <t>-674.894746827999 120.388546571454 -345.784591098422</t>
  </si>
  <si>
    <t>-683.574495535446 111.972873454672 -466.384751106126</t>
  </si>
  <si>
    <t>-679.965885684234 102.866353453207 -575.46680809666</t>
  </si>
  <si>
    <t>-665.063494246328 92.1869623167333 -683.442469900893</t>
  </si>
  <si>
    <t>-632.726248615803 75.6138571714862 -831.360080435949</t>
  </si>
  <si>
    <t>-587.472684172281 57.1581864825264 -920.771949630562</t>
  </si>
  <si>
    <t>-634.849609694298 112.306533073947 -766.536874116677</t>
  </si>
  <si>
    <t>-562.507691094313 238.992062945984 -748.315166337537</t>
  </si>
  <si>
    <t>-535.887965178239 223.468389382977 -433.296738933326</t>
  </si>
  <si>
    <t>-358.209100608648 97.3869506522879 -291.255365172731</t>
  </si>
  <si>
    <t>-659.219380371076 53.5873143139254 -765.285398676752</t>
  </si>
  <si>
    <t>-609.15595604695 218.471237905389 -243.478620313817</t>
  </si>
  <si>
    <t>-598.410449236452 196.420318792805 211.55532449866</t>
  </si>
  <si>
    <t>-629.949625351651 169.507869326433 679.401666194377</t>
  </si>
  <si>
    <t>-491.869068082156 101.523949915404 764.580651510354</t>
  </si>
  <si>
    <t>-667.839920548961 32.9378595019475 -216.633200132799</t>
  </si>
  <si>
    <t>-616.23426065484 -4.49293946060061 234.580065751751</t>
  </si>
  <si>
    <t>-768.666663566769 106.29707043751 665.13305749347</t>
  </si>
  <si>
    <t>-676.273926771123 -17.0323695872703 749.967839609654</t>
  </si>
  <si>
    <t>9763-20170724T160632.124398300.bin</t>
  </si>
  <si>
    <t>-638.136067328207 126.134493034239 -230.291462726374</t>
  </si>
  <si>
    <t>-674.562746510954 120.633634302889 -345.663255166912</t>
  </si>
  <si>
    <t>-683.529850011931 112.143930588948 -466.237149658931</t>
  </si>
  <si>
    <t>-680.254979915357 103.015233323479 -575.32789653746</t>
  </si>
  <si>
    <t>-665.755156228686 92.3596670855266 -683.360693954849</t>
  </si>
  <si>
    <t>-634.042715179811 75.8681876677865 -831.422676410864</t>
  </si>
  <si>
    <t>-589.241974817595 57.5923533459966 -921.099242431361</t>
  </si>
  <si>
    <t>-635.893245012464 112.525611691362 -766.571122024276</t>
  </si>
  <si>
    <t>-563.253570322767 239.218892627757 -748.772735756414</t>
  </si>
  <si>
    <t>-534.544419405414 225.018593289787 -433.875385894532</t>
  </si>
  <si>
    <t>-356.736099936571 98.6206442821895 -292.277991936583</t>
  </si>
  <si>
    <t>-660.255628404867 53.8048229466556 -765.248634771926</t>
  </si>
  <si>
    <t>-608.766384367072 218.94053038057 -243.558182175443</t>
  </si>
  <si>
    <t>-598.784953879139 197.211759128273 211.508708941492</t>
  </si>
  <si>
    <t>-629.846708319132 169.664085658678 679.325422622446</t>
  </si>
  <si>
    <t>-491.786412141646 101.665260099687 764.525305605273</t>
  </si>
  <si>
    <t>-667.466213988532 33.2328416292219 -216.341775394343</t>
  </si>
  <si>
    <t>-615.339757084825 -4.90463078945254 234.752455919795</t>
  </si>
  <si>
    <t>-768.629015154317 106.1932762392 664.921268232021</t>
  </si>
  <si>
    <t>-676.244952763288 -17.0488502479577 749.892282828764</t>
  </si>
  <si>
    <t>9763-20170724T160632.195601600.bin</t>
  </si>
  <si>
    <t>-637.480715703367 126.590549620776 -230.220114434333</t>
  </si>
  <si>
    <t>-674.071436895593 120.849178930421 -345.528315329811</t>
  </si>
  <si>
    <t>-683.510031456217 112.16069761774 -466.05204740233</t>
  </si>
  <si>
    <t>-680.781270391352 102.880665205012 -575.145064590462</t>
  </si>
  <si>
    <t>-666.939879937937 92.1081777225356 -683.252555506955</t>
  </si>
  <si>
    <t>-636.250053751077 75.4947822009519 -831.516281544742</t>
  </si>
  <si>
    <t>-592.254024683895 57.5375558566736 -921.654389372489</t>
  </si>
  <si>
    <t>-637.649223253313 112.203793508766 -766.682613434383</t>
  </si>
  <si>
    <t>-564.909312999606 238.802902690015 -749.393215601827</t>
  </si>
  <si>
    <t>-535.091669006796 228.212048222146 -434.456669552741</t>
  </si>
  <si>
    <t>-358.363932082641 99.5113498802607 -293.582694124198</t>
  </si>
  <si>
    <t>-662.009613369583 53.4874251898441 -765.145631448132</t>
  </si>
  <si>
    <t>-607.94407895092 219.676086147633 -243.766762139476</t>
  </si>
  <si>
    <t>-599.489131667706 198.391561354589 211.352030997319</t>
  </si>
  <si>
    <t>-629.703590541617 169.965205081429 679.204940417484</t>
  </si>
  <si>
    <t>-491.754993101872 101.74966363883 764.412531679177</t>
  </si>
  <si>
    <t>-666.922957909505 33.4981990283488 -216.119208315154</t>
  </si>
  <si>
    <t>-614.268709778578 -5.6873864855861 234.823881726833</t>
  </si>
  <si>
    <t>-768.613683806914 105.794282971168 664.417777770771</t>
  </si>
  <si>
    <t>-676.201954470671 -17.116194884951 749.837927777956</t>
  </si>
  <si>
    <t>9763-20170724T160632.222673400.bin</t>
  </si>
  <si>
    <t>-637.227292906593 126.64201925814 -230.248736587969</t>
  </si>
  <si>
    <t>-673.903763828936 120.864013975546 -345.527694253638</t>
  </si>
  <si>
    <t>-683.500914465015 112.156401113821 -466.037599346389</t>
  </si>
  <si>
    <t>-680.943114632599 102.869539711596 -575.134128326166</t>
  </si>
  <si>
    <t>-667.297781021087 92.1028481504629 -683.267165847837</t>
  </si>
  <si>
    <t>-636.903650827501 75.5124698512889 -831.594430131241</t>
  </si>
  <si>
    <t>-593.18082284938 57.7153449432667 -921.89685405712</t>
  </si>
  <si>
    <t>-638.192027627552 112.219056486493 -766.756998969048</t>
  </si>
  <si>
    <t>-565.598185397308 238.93943443522 -749.488305472574</t>
  </si>
  <si>
    <t>-536.48597740428 228.33624139416 -434.486366565741</t>
  </si>
  <si>
    <t>-361.357196722274 97.2138022567817 -293.848914801647</t>
  </si>
  <si>
    <t>-662.512216357868 53.4873081311625 -765.171318526559</t>
  </si>
  <si>
    <t>-607.632790616165 219.926138492423 -243.834082292328</t>
  </si>
  <si>
    <t>-599.3862177462 198.524447251644 211.283061772584</t>
  </si>
  <si>
    <t>-629.706228303659 169.981188986691 679.176869080347</t>
  </si>
  <si>
    <t>-491.759132218991 101.74779841024 764.372619697273</t>
  </si>
  <si>
    <t>-666.657196513988 33.4270431888799 -216.101588287275</t>
  </si>
  <si>
    <t>-613.985926510179 -6.19028449300959 234.801841196554</t>
  </si>
  <si>
    <t>-768.613971106614 105.54033935982 664.220341686859</t>
  </si>
  <si>
    <t>-676.168971795959 -17.1563775183565 749.91137037654</t>
  </si>
  <si>
    <t>9763-20170724T160632.299436500.bin</t>
  </si>
  <si>
    <t>-637.025306426707 126.626354402306 -230.291088980947</t>
  </si>
  <si>
    <t>-674.049531294323 120.806360760317 -345.456926045317</t>
  </si>
  <si>
    <t>-684.048084022235 112.186421009182 -465.940405890187</t>
  </si>
  <si>
    <t>-681.866526527402 103.040137237741 -575.057032043006</t>
  </si>
  <si>
    <t>-668.605044178194 92.4797487992537 -683.25805638884</t>
  </si>
  <si>
    <t>-638.746705974004 76.2482634879004 -831.733706923689</t>
  </si>
  <si>
    <t>-595.475370213272 58.7471269511773 -922.311162791442</t>
  </si>
  <si>
    <t>-639.898721728249 112.837579997208 -766.827557022072</t>
  </si>
  <si>
    <t>-568.031083353928 239.983038745042 -749.676554061581</t>
  </si>
  <si>
    <t>-540.614503862744 228.203836857268 -434.564175388435</t>
  </si>
  <si>
    <t>-370.186177861028 89.621696121126 -295.311799517338</t>
  </si>
  <si>
    <t>-664.017461732028 54.0228163616598 -765.24811092286</t>
  </si>
  <si>
    <t>-607.518212494787 220.032851488835 -243.918398252636</t>
  </si>
  <si>
    <t>-598.687229340318 198.216949726037 211.168154788662</t>
  </si>
  <si>
    <t>-629.673294150394 169.938706142121 679.078949361628</t>
  </si>
  <si>
    <t>-491.602552396281 101.951438031608 764.27115215434</t>
  </si>
  <si>
    <t>-666.405422235426 33.2998733824484 -216.010391750056</t>
  </si>
  <si>
    <t>-613.395267479595 -6.71386841260983 234.818297995203</t>
  </si>
  <si>
    <t>-768.56998657772 105.157341895944 663.903511595811</t>
  </si>
  <si>
    <t>-676.146425835498 -17.1945475775876 750.109138586575</t>
  </si>
  <si>
    <t>9763-20170724T160632.322495600.bin</t>
  </si>
  <si>
    <t>-637.123979396558 126.379177623985 -230.381245707458</t>
  </si>
  <si>
    <t>-674.344232904721 120.528406380596 -345.482239823133</t>
  </si>
  <si>
    <t>-684.529112493048 111.953064038312 -465.953333340743</t>
  </si>
  <si>
    <t>-682.507581931851 102.879990828641 -575.079106190026</t>
  </si>
  <si>
    <t>-669.395398781575 92.4265856832087 -683.308803726684</t>
  </si>
  <si>
    <t>-639.731350591108 76.3797653492882 -831.843508308162</t>
  </si>
  <si>
    <t>-596.669922965907 59.0182610307415 -922.547772035933</t>
  </si>
  <si>
    <t>-640.837436918648 112.904211714922 -766.899870055442</t>
  </si>
  <si>
    <t>-569.262441982995 240.222083583295 -749.823245595071</t>
  </si>
  <si>
    <t>-542.197555710948 228.570997239079 -434.675803066494</t>
  </si>
  <si>
    <t>-373.346451684691 86.776366345525 -296.742380795773</t>
  </si>
  <si>
    <t>-664.875972177259 54.0559212402443 -765.343056660578</t>
  </si>
  <si>
    <t>-607.686064086551 219.857526878224 -243.999033642536</t>
  </si>
  <si>
    <t>-598.540049628254 198.084961592612 211.083456351057</t>
  </si>
  <si>
    <t>-629.630516784145 169.991584761679 678.988781293053</t>
  </si>
  <si>
    <t>-491.526095037003 102.076308484363 764.183767440279</t>
  </si>
  <si>
    <t>-666.440969793006 32.9428657776887 -216.069405551267</t>
  </si>
  <si>
    <t>-613.157616993707 -6.99452523017476 234.733823252762</t>
  </si>
  <si>
    <t>-768.489989221453 104.824737515671 663.692178156503</t>
  </si>
  <si>
    <t>-676.023533591675 -17.2286961030748 750.274020795866</t>
  </si>
  <si>
    <t>9763-20170724T160632.392699900.bin</t>
  </si>
  <si>
    <t>-637.861817890271 125.859619620147 -230.555864185762</t>
  </si>
  <si>
    <t>-675.237032658581 119.900600425694 -345.601028166476</t>
  </si>
  <si>
    <t>-685.714952612975 111.36339965864 -466.049739863348</t>
  </si>
  <si>
    <t>-684.010883093116 102.375981863265 -575.188014758582</t>
  </si>
  <si>
    <t>-671.265123124125 92.0531706079462 -683.473952290692</t>
  </si>
  <si>
    <t>-642.157295930051 76.2284974383824 -832.142483436576</t>
  </si>
  <si>
    <t>-599.539294964094 59.0592623537693 -923.092404706568</t>
  </si>
  <si>
    <t>-643.060119140312 112.671831745287 -767.150207866757</t>
  </si>
  <si>
    <t>-571.74208860118 240.158718083595 -750.317491289131</t>
  </si>
  <si>
    <t>-544.852027422997 229.305019024081 -435.126469501145</t>
  </si>
  <si>
    <t>-376.010148494887 86.8360671221628 -297.878193977278</t>
  </si>
  <si>
    <t>-667.013024381106 53.7890971768934 -765.572331320445</t>
  </si>
  <si>
    <t>-608.765380652271 219.50840230482 -244.149264049027</t>
  </si>
  <si>
    <t>-599.117899386697 197.902248281426 210.930701246128</t>
  </si>
  <si>
    <t>-629.605631328152 169.999311300674 678.903074477498</t>
  </si>
  <si>
    <t>-491.369283249536 102.31479886364 764.067773899962</t>
  </si>
  <si>
    <t>-666.829305762192 32.3859782850282 -216.202726229966</t>
  </si>
  <si>
    <t>-613.256184743523 -7.12355320022539 234.603940957121</t>
  </si>
  <si>
    <t>-768.411597597732 104.836691927706 663.848158267332</t>
  </si>
  <si>
    <t>-676.022546420462 -17.2013998481889 750.534245441093</t>
  </si>
  <si>
    <t>9763-20170724T160632.425788100.bin</t>
  </si>
  <si>
    <t>-638.636481354395 125.699063989062 -230.604110488633</t>
  </si>
  <si>
    <t>-676.043974679718 119.770843528686 -345.640284669898</t>
  </si>
  <si>
    <t>-686.626457775965 111.296904146548 -466.084443398211</t>
  </si>
  <si>
    <t>-685.046191111203 102.372755817472 -575.229833535954</t>
  </si>
  <si>
    <t>-672.45252677674 92.1147821829668 -683.539652240889</t>
  </si>
  <si>
    <t>-643.584067831768 76.3779127181119 -832.264152958883</t>
  </si>
  <si>
    <t>-601.179967644349 59.3284716240207 -923.336592846379</t>
  </si>
  <si>
    <t>-644.403571043631 112.791274647289 -767.253897213239</t>
  </si>
  <si>
    <t>-573.30842454857 240.385426193899 -750.415522370407</t>
  </si>
  <si>
    <t>-545.966082278627 229.466023401285 -435.265702467853</t>
  </si>
  <si>
    <t>-375.756602676679 88.8156024937587 -297.831157793576</t>
  </si>
  <si>
    <t>-668.311371089569 53.8906856106105 -765.662376967043</t>
  </si>
  <si>
    <t>-609.721608762113 219.453307805062 -244.16056838737</t>
  </si>
  <si>
    <t>-599.764745825694 197.89870732725 210.915208494334</t>
  </si>
  <si>
    <t>-629.617996976081 169.990246784401 678.906538015382</t>
  </si>
  <si>
    <t>-491.33476768084 102.378958747603 764.053316073723</t>
  </si>
  <si>
    <t>-667.48328151757 32.1372287304264 -216.317792666518</t>
  </si>
  <si>
    <t>-613.829334886647 -6.85330586740815 234.52432995762</t>
  </si>
  <si>
    <t>-768.499670024212 104.922783061282 664.021814220906</t>
  </si>
  <si>
    <t>-675.956963999674 -17.0907987978951 750.578420275107</t>
  </si>
  <si>
    <t>9763-20170724T160632.490927100.bin</t>
  </si>
  <si>
    <t>-640.70783057634 125.398047911827 -230.931125024294</t>
  </si>
  <si>
    <t>-678.22507701165 119.677213491973 -345.94201359914</t>
  </si>
  <si>
    <t>-689.055265883099 111.445413243391 -466.380984400959</t>
  </si>
  <si>
    <t>-687.753357211278 102.741896039509 -575.547814337526</t>
  </si>
  <si>
    <t>-675.49078148933 92.6972991090709 -683.915662452539</t>
  </si>
  <si>
    <t>-647.134072736179 77.2425408223849 -832.767966103181</t>
  </si>
  <si>
    <t>-605.212971788495 60.5230271772693 -924.124940019572</t>
  </si>
  <si>
    <t>-647.801972009853 113.561423685052 -767.703398368918</t>
  </si>
  <si>
    <t>-577.09744872605 241.37839078277 -750.733532812669</t>
  </si>
  <si>
    <t>-548.151348788014 228.619278950962 -435.796195371799</t>
  </si>
  <si>
    <t>-374.269490565747 94.1708266187411 -296.761130589355</t>
  </si>
  <si>
    <t>-671.560027280012 54.6002557920742 -766.107567756332</t>
  </si>
  <si>
    <t>-612.136739367542 219.301807266995 -244.20028076769</t>
  </si>
  <si>
    <t>-601.23581559613 197.684123636456 210.850829341712</t>
  </si>
  <si>
    <t>-629.689436485771 169.918233239368 678.93250999943</t>
  </si>
  <si>
    <t>-491.30411641828 102.452163517574 764.028545525478</t>
  </si>
  <si>
    <t>-669.1815874252 31.5805040799132 -217.063961261236</t>
  </si>
  <si>
    <t>-616.346022788446 -5.93410800261586 234.000061168892</t>
  </si>
  <si>
    <t>-768.718147886894 105.005425954315 664.462479808984</t>
  </si>
  <si>
    <t>-676.022540036366 -17.0633921484925 750.777277361572</t>
  </si>
  <si>
    <t>9763-20170724T160632.523013500.bin</t>
  </si>
  <si>
    <t>-641.806300945957 125.273087881104 -231.092023196055</t>
  </si>
  <si>
    <t>-679.363543242087 119.709667188105 -346.097659619724</t>
  </si>
  <si>
    <t>-690.353401355208 111.645218349794 -466.533426063377</t>
  </si>
  <si>
    <t>-689.244063038937 103.091684899451 -575.714171729811</t>
  </si>
  <si>
    <t>-677.220327725928 93.1926150219417 -684.122189471843</t>
  </si>
  <si>
    <t>-649.241717660517 77.9318713863715 -833.066206293155</t>
  </si>
  <si>
    <t>-607.570193903374 61.3685450959433 -924.565500538318</t>
  </si>
  <si>
    <t>-649.75717449953 114.170890309113 -767.955654432231</t>
  </si>
  <si>
    <t>-579.079842043224 241.9845052776 -750.919756551648</t>
  </si>
  <si>
    <t>-549.854261088105 228.263387317351 -436.048728837442</t>
  </si>
  <si>
    <t>-375.370192649041 94.7343454781715 -296.881943829186</t>
  </si>
  <si>
    <t>-673.485627981663 55.1976240615334 -766.370581686998</t>
  </si>
  <si>
    <t>-613.32562684497 219.219006319162 -244.209010274638</t>
  </si>
  <si>
    <t>-601.863243833575 197.519203892756 210.824424667662</t>
  </si>
  <si>
    <t>-629.748193208715 169.918854188604 678.9785866177</t>
  </si>
  <si>
    <t>-491.346231480253 102.406483223753 764.010873123464</t>
  </si>
  <si>
    <t>-670.107200944776 31.43200979733 -217.398812774954</t>
  </si>
  <si>
    <t>-617.976865814403 -5.4928073371982 233.795863458416</t>
  </si>
  <si>
    <t>-768.861263820983 105.132653064531 664.851360651984</t>
  </si>
  <si>
    <t>-676.024992637452 -17.0035782738955 750.919255735783</t>
  </si>
  <si>
    <t>9763-20170724T160632.593904800.bin</t>
  </si>
  <si>
    <t>-644.013772755226 125.374526284341 -231.305284895786</t>
  </si>
  <si>
    <t>-681.779194218846 120.179332025537 -346.260037254036</t>
  </si>
  <si>
    <t>-693.166565742201 112.411540591166 -466.678281532397</t>
  </si>
  <si>
    <t>-692.491701632548 104.088408359482 -575.880504209566</t>
  </si>
  <si>
    <t>-680.974261766629 94.3772236125717 -684.360455510918</t>
  </si>
  <si>
    <t>-653.769536774148 79.3295461098535 -833.469325094822</t>
  </si>
  <si>
    <t>-612.575475403685 62.9141778489893 -925.21115058716</t>
  </si>
  <si>
    <t>-653.86190271376 115.441800608608 -768.286279660851</t>
  </si>
  <si>
    <t>-582.731997571045 242.99281376567 -751.098994696975</t>
  </si>
  <si>
    <t>-552.732677894648 228.52948652336 -436.33401838687</t>
  </si>
  <si>
    <t>-377.627784746384 95.0934969688465 -297.859651264858</t>
  </si>
  <si>
    <t>-677.751542332395 56.5337039752997 -766.700220135518</t>
  </si>
  <si>
    <t>-615.441182192719 219.298188340535 -244.185770817357</t>
  </si>
  <si>
    <t>-603.428344026784 197.576221753151 210.832392005988</t>
  </si>
  <si>
    <t>-629.884234192544 170.118020701956 679.097131310866</t>
  </si>
  <si>
    <t>-491.584965672577 102.156622766618 763.938631018755</t>
  </si>
  <si>
    <t>-672.563129973691 31.5111427156687 -217.858939946639</t>
  </si>
  <si>
    <t>-621.145822395046 -4.86871223202093 233.461892343984</t>
  </si>
  <si>
    <t>-769.064274600747 105.203017440287 665.470391472944</t>
  </si>
  <si>
    <t>-676.043045868889 -16.9392572360807 751.329788121859</t>
  </si>
  <si>
    <t>9763-20170724T160632.624986300.bin</t>
  </si>
  <si>
    <t>-645.222255774361 125.36255841767 -231.489105938624</t>
  </si>
  <si>
    <t>-683.061852019495 120.329457677958 -346.426713060977</t>
  </si>
  <si>
    <t>-694.589663132504 112.67806331775 -466.839103925419</t>
  </si>
  <si>
    <t>-694.068478866616 104.438546325257 -576.048505460056</t>
  </si>
  <si>
    <t>-682.730067815022 94.788418536285 -684.5526485206</t>
  </si>
  <si>
    <t>-655.799486097502 79.8006086605246 -833.717423287112</t>
  </si>
  <si>
    <t>-614.74090549776 63.4110467694873 -925.524543634212</t>
  </si>
  <si>
    <t>-655.734216301037 115.871529358134 -768.511386226445</t>
  </si>
  <si>
    <t>-584.099058849141 243.059424201251 -750.919797013081</t>
  </si>
  <si>
    <t>-553.258284752746 227.518366527583 -436.287425457093</t>
  </si>
  <si>
    <t>-377.33494080199 94.9035484051017 -298.061714198207</t>
  </si>
  <si>
    <t>-679.696592091957 56.99303787857 -766.921797309857</t>
  </si>
  <si>
    <t>-616.518249360996 219.316600339909 -244.207598398139</t>
  </si>
  <si>
    <t>-604.442638425924 197.684975681815 210.8131909599</t>
  </si>
  <si>
    <t>-629.971560060739 170.218998275351 679.159174730759</t>
  </si>
  <si>
    <t>-491.742296993235 101.973398759317 763.88650862051</t>
  </si>
  <si>
    <t>-673.879196609026 31.454603644492 -218.193022651108</t>
  </si>
  <si>
    <t>-622.846374729929 -4.49693494365351 233.205624335446</t>
  </si>
  <si>
    <t>-769.131220774268 105.148781329927 665.826723040243</t>
  </si>
  <si>
    <t>-675.969247204384 -16.9061263215467 751.657717736318</t>
  </si>
  <si>
    <t>9763-20170724T160632.692189100.bin</t>
  </si>
  <si>
    <t>-647.441017366881 125.075833897192 -232.071319915329</t>
  </si>
  <si>
    <t>-685.31067239684 120.3860389976 -347.013447395516</t>
  </si>
  <si>
    <t>-696.998293523513 113.027095158075 -467.428615275955</t>
  </si>
  <si>
    <t>-696.674842109118 105.024591647211 -576.656320360895</t>
  </si>
  <si>
    <t>-685.586217083159 95.5803547751743 -685.204534363228</t>
  </si>
  <si>
    <t>-659.055013690185 80.842940028318 -834.465687087246</t>
  </si>
  <si>
    <t>-618.133796080064 64.6013589091008 -926.360445870671</t>
  </si>
  <si>
    <t>-658.771240835263 116.786735608551 -769.190262059301</t>
  </si>
  <si>
    <t>-586.352820057288 243.468796430384 -750.927768457287</t>
  </si>
  <si>
    <t>-550.930183792597 223.412448713712 -437.034249886172</t>
  </si>
  <si>
    <t>-374.961216834842 91.1723840455104 -298.507963773832</t>
  </si>
  <si>
    <t>-682.817162925304 57.9409543278734 -767.654266964536</t>
  </si>
  <si>
    <t>-618.715037441752 219.265121308942 -244.39226995258</t>
  </si>
  <si>
    <t>-606.313031063731 197.657597826416 210.620985589105</t>
  </si>
  <si>
    <t>-630.131961404857 170.418386191477 679.228822226031</t>
  </si>
  <si>
    <t>-492.128939609201 101.469170458585 763.75506004563</t>
  </si>
  <si>
    <t>-675.947849239353 30.9119918664551 -219.14151159831</t>
  </si>
  <si>
    <t>-626.544110234551 -3.80182719777304 232.535231852128</t>
  </si>
  <si>
    <t>-769.278966549704 104.569579408226 666.381163444057</t>
  </si>
  <si>
    <t>-675.874675141695 -16.9035898096113 752.772259200383</t>
  </si>
  <si>
    <t>9763-20170724T160632.725259000.bin</t>
  </si>
  <si>
    <t>-648.615767504357 124.762376088547 -232.342916945277</t>
  </si>
  <si>
    <t>-686.51792640854 120.261827966617 -347.281991898877</t>
  </si>
  <si>
    <t>-698.358343109354 113.042700332486 -467.690591061219</t>
  </si>
  <si>
    <t>-698.222175015401 105.144996309322 -576.926406324168</t>
  </si>
  <si>
    <t>-687.368509918064 95.7833614189012 -685.505447631977</t>
  </si>
  <si>
    <t>-661.21113144508 81.1372957649878 -834.841661374338</t>
  </si>
  <si>
    <t>-620.427481820851 64.9244930641732 -926.802569902429</t>
  </si>
  <si>
    <t>-660.74213350155 117.032294659473 -769.540483320972</t>
  </si>
  <si>
    <t>-588.225092620405 243.615359336523 -751.058726405946</t>
  </si>
  <si>
    <t>-548.650634804251 220.689440924944 -437.858344702418</t>
  </si>
  <si>
    <t>-372.490265602122 89.3090606161225 -298.758602148721</t>
  </si>
  <si>
    <t>-684.827785923262 58.2031585981986 -767.98957764435</t>
  </si>
  <si>
    <t>-619.862870515434 219.119711908332 -244.498283975372</t>
  </si>
  <si>
    <t>-607.171652588567 197.549273950077 210.508603342524</t>
  </si>
  <si>
    <t>-630.222110809877 170.538533878798 679.253994701293</t>
  </si>
  <si>
    <t>-492.352167727722 101.174279670259 763.657742184666</t>
  </si>
  <si>
    <t>-677.191114404013 30.3284874190631 -219.629057622781</t>
  </si>
  <si>
    <t>-628.020076710887 -3.78999845414023 232.11850208414</t>
  </si>
  <si>
    <t>-769.263299968409 103.673141670273 666.285725395063</t>
  </si>
  <si>
    <t>-675.69944017229 -16.9493940205293 753.690023622775</t>
  </si>
  <si>
    <t>9763-20170724T160632.792145200.bin</t>
  </si>
  <si>
    <t>-650.762872129636 123.87691850514 -232.617584356763</t>
  </si>
  <si>
    <t>-688.834848123588 119.617603339945 -347.509574762807</t>
  </si>
  <si>
    <t>-700.975428527092 112.629151256476 -467.902076093853</t>
  </si>
  <si>
    <t>-701.162223504693 104.923858988511 -577.151463313232</t>
  </si>
  <si>
    <t>-690.681296418772 95.7314807133057 -685.781725288621</t>
  </si>
  <si>
    <t>-665.091104857519 81.2905012582157 -835.236059821927</t>
  </si>
  <si>
    <t>-624.58629521377 65.1515203592223 -927.333078729392</t>
  </si>
  <si>
    <t>-664.256038847397 117.047924742836 -769.862941923037</t>
  </si>
  <si>
    <t>-590.997688179402 243.128641854836 -750.9487413858</t>
  </si>
  <si>
    <t>-542.871295373297 213.556573315372 -439.507626272848</t>
  </si>
  <si>
    <t>-367.724380913725 81.39283500699 -299.871098567175</t>
  </si>
  <si>
    <t>-688.571912844876 58.3124324040987 -768.351118269112</t>
  </si>
  <si>
    <t>-621.908461204631 218.658508260558 -244.557765836919</t>
  </si>
  <si>
    <t>-608.379022543664 196.907298533303 210.416486504985</t>
  </si>
  <si>
    <t>-630.431390842555 170.533067040531 679.305242867425</t>
  </si>
  <si>
    <t>-492.700748771537 100.683505045263 763.535994239829</t>
  </si>
  <si>
    <t>-679.411324287286 29.0097915341041 -220.075332164945</t>
  </si>
  <si>
    <t>-629.921023109756 -4.24170837735915 231.702035763803</t>
  </si>
  <si>
    <t>-769.078226853329 102.451154157968 666.916139344604</t>
  </si>
  <si>
    <t>-675.416810573647 -17.0655504514859 755.723809740013</t>
  </si>
  <si>
    <t>9763-20170724T160632.825230300.bin</t>
  </si>
  <si>
    <t>-651.596752836195 123.587891658391 -232.495680632039</t>
  </si>
  <si>
    <t>-689.788039591182 119.452440026222 -347.352742716019</t>
  </si>
  <si>
    <t>-702.053133079936 112.595698098151 -467.740076608463</t>
  </si>
  <si>
    <t>-702.353476739201 105.00477186177 -576.997329488359</t>
  </si>
  <si>
    <t>-691.98654636415 95.917747890659 -685.647195226441</t>
  </si>
  <si>
    <t>-666.555129762298 81.6096924739663 -835.14150141914</t>
  </si>
  <si>
    <t>-626.177085839457 65.5116530109387 -927.301434658189</t>
  </si>
  <si>
    <t>-665.557495647852 117.270736781793 -769.718195876814</t>
  </si>
  <si>
    <t>-591.619851764023 242.948608448071 -750.664193284247</t>
  </si>
  <si>
    <t>-539.939372763009 209.990143493781 -440.13391629073</t>
  </si>
  <si>
    <t>-364.470032471609 78.0549086202018 -300.686142106375</t>
  </si>
  <si>
    <t>-690.05798806747 58.6103926633737 -768.271643354377</t>
  </si>
  <si>
    <t>-622.649531192578 218.380406168168 -244.463380443833</t>
  </si>
  <si>
    <t>-608.725570807341 196.666126040023 210.500766591627</t>
  </si>
  <si>
    <t>-630.484877294898 170.511861044585 679.35301216601</t>
  </si>
  <si>
    <t>-492.806826505741 100.513325805673 763.546048843085</t>
  </si>
  <si>
    <t>-680.362126894169 28.7840736327723 -219.816916769467</t>
  </si>
  <si>
    <t>-630.464557727648 -4.450264652849 231.916905409043</t>
  </si>
  <si>
    <t>-769.058230784695 102.383130362007 667.467641909189</t>
  </si>
  <si>
    <t>-675.368377514577 -16.9738933277215 756.459969277589</t>
  </si>
  <si>
    <t>9763-20170724T160632.891422900.bin</t>
  </si>
  <si>
    <t>-652.894777892152 122.796170306035 -232.318528997604</t>
  </si>
  <si>
    <t>-691.370191872157 118.866076077417 -347.087776283023</t>
  </si>
  <si>
    <t>-703.969514507174 112.19566046576 -467.451119017178</t>
  </si>
  <si>
    <t>-704.588874560261 104.759530139361 -576.717620220829</t>
  </si>
  <si>
    <t>-694.55516706789 95.8112627598462 -685.410301404407</t>
  </si>
  <si>
    <t>-669.599029399398 81.6772240619869 -835.001233898919</t>
  </si>
  <si>
    <t>-629.48750711705 65.5827651339218 -927.278032576024</t>
  </si>
  <si>
    <t>-668.215766660006 117.188311845959 -769.503315226181</t>
  </si>
  <si>
    <t>-593.135702321123 242.148150960334 -750.229051095629</t>
  </si>
  <si>
    <t>-532.531957812587 202.879498825141 -442.054812937841</t>
  </si>
  <si>
    <t>-358.216212695797 69.238400060477 -302.784842521711</t>
  </si>
  <si>
    <t>-693.066728383608 58.6741214924252 -768.120537800666</t>
  </si>
  <si>
    <t>-623.633669086587 217.548376301033 -244.389375918767</t>
  </si>
  <si>
    <t>-609.147244984493 196.096661358256 210.569478241879</t>
  </si>
  <si>
    <t>-630.510051625265 170.432158801253 679.377593409718</t>
  </si>
  <si>
    <t>-492.890892746188 100.306558747603 763.561229290751</t>
  </si>
  <si>
    <t>-682.048048186193 27.9583663935227 -219.569483528403</t>
  </si>
  <si>
    <t>-631.08051774134 -5.7350558466344 232.010723854363</t>
  </si>
  <si>
    <t>-768.723779677003 101.272965873073 667.383380006125</t>
  </si>
  <si>
    <t>-675.254346018025 -17.012625065229 758.022754358486</t>
  </si>
  <si>
    <t>9763-20170724T160632.922505100.bin</t>
  </si>
  <si>
    <t>-653.321413349435 122.264490175377 -232.388570011199</t>
  </si>
  <si>
    <t>-691.892099212191 118.413027296111 -347.128611611942</t>
  </si>
  <si>
    <t>-704.622202494282 111.819139550691 -467.482288434117</t>
  </si>
  <si>
    <t>-705.373261097214 104.448130215356 -576.752375293644</t>
  </si>
  <si>
    <t>-695.483393975934 95.5598586773701 -685.463243215272</t>
  </si>
  <si>
    <t>-670.739094681771 81.5020225599092 -835.096406658162</t>
  </si>
  <si>
    <t>-630.713638380461 65.4137304643889 -927.411767935431</t>
  </si>
  <si>
    <t>-669.177192958707 116.943336212145 -769.564784031058</t>
  </si>
  <si>
    <t>-593.543386502766 241.573287332736 -750.28947543184</t>
  </si>
  <si>
    <t>-528.675395205999 199.150597946327 -443.404167961821</t>
  </si>
  <si>
    <t>-355.286425376761 64.1592389068053 -304.279491205861</t>
  </si>
  <si>
    <t>-694.198260589232 58.5009095650623 -768.211903137265</t>
  </si>
  <si>
    <t>-623.959779874758 217.112252623245 -244.468988782636</t>
  </si>
  <si>
    <t>-609.19433540862 195.642269822453 210.480072948981</t>
  </si>
  <si>
    <t>-630.487014645825 170.414380184081 679.348624428309</t>
  </si>
  <si>
    <t>-492.930325672382 100.18165736443 763.545053495318</t>
  </si>
  <si>
    <t>-682.501472913699 27.3725743127641 -219.724077179842</t>
  </si>
  <si>
    <t>-631.259752950207 -6.31118068153296 231.825847998608</t>
  </si>
  <si>
    <t>-768.284993547011 100.77455831242 667.316749483518</t>
  </si>
  <si>
    <t>-675.211755934856 -17.0140270401796 759.004948436965</t>
  </si>
  <si>
    <t>9763-20170724T160632.988701900.bin</t>
  </si>
  <si>
    <t>-653.738286808152 121.525834806261 -232.368739143255</t>
  </si>
  <si>
    <t>-692.367248693192 117.845774562818 -347.09486192941</t>
  </si>
  <si>
    <t>-705.25578039366 111.424802697504 -467.440992888965</t>
  </si>
  <si>
    <t>-706.190929513929 104.203657084004 -576.719790702535</t>
  </si>
  <si>
    <t>-696.524675498631 95.4555041194712 -685.462064711052</t>
  </si>
  <si>
    <t>-672.130774506529 81.5786910181412 -835.169753641071</t>
  </si>
  <si>
    <t>-632.301511284689 65.5027307901748 -927.572029080535</t>
  </si>
  <si>
    <t>-670.231323233545 116.862076787413 -769.5617654642</t>
  </si>
  <si>
    <t>-593.475744005997 240.804718361688 -750.352494317499</t>
  </si>
  <si>
    <t>-520.341237475626 192.535550012787 -446.201843963063</t>
  </si>
  <si>
    <t>-348.775510165122 55.3696619619086 -306.943879087434</t>
  </si>
  <si>
    <t>-695.61741413769 58.5753031255078 -768.295597432678</t>
  </si>
  <si>
    <t>-624.137889423217 216.305945388547 -244.498918244761</t>
  </si>
  <si>
    <t>-609.230503969552 195.165971106549 210.461136078679</t>
  </si>
  <si>
    <t>-630.47932849694 170.325609563706 679.353936378027</t>
  </si>
  <si>
    <t>-492.99973587458 99.9577160388599 763.563363614507</t>
  </si>
  <si>
    <t>-683.224718394958 26.78458365402 -219.629102975905</t>
  </si>
  <si>
    <t>-631.149531635251 -6.89174450070777 231.82608949068</t>
  </si>
  <si>
    <t>-767.532167591753 100.56682934644 667.754801613777</t>
  </si>
  <si>
    <t>-675.435795112575 -16.9236001007223 760.801920825522</t>
  </si>
  <si>
    <t>9763-20170724T160633.026791300.bin</t>
  </si>
  <si>
    <t>-653.827138547152 121.321615827401 -232.119280127971</t>
  </si>
  <si>
    <t>-692.497659135167 117.676344032 -346.832398625168</t>
  </si>
  <si>
    <t>-705.490776593183 111.29167817944 -467.169285807569</t>
  </si>
  <si>
    <t>-706.546401952855 104.098247089964 -576.448826795954</t>
  </si>
  <si>
    <t>-697.025859175415 95.3698274550525 -685.205429106403</t>
  </si>
  <si>
    <t>-672.85987373573 81.509294623786 -834.951613836331</t>
  </si>
  <si>
    <t>-633.168891535691 65.4145241303734 -927.410055317015</t>
  </si>
  <si>
    <t>-670.754172820298 116.739497942803 -769.321432565689</t>
  </si>
  <si>
    <t>-593.422543723289 240.361070685564 -750.183954255146</t>
  </si>
  <si>
    <t>-516.412398905429 189.529009316401 -447.41056848887</t>
  </si>
  <si>
    <t>-346.168394295556 51.0920425363922 -307.788752511203</t>
  </si>
  <si>
    <t>-696.351050137519 58.5447141049392 -768.065783997324</t>
  </si>
  <si>
    <t>-624.110603803053 216.065739546407 -244.375614174416</t>
  </si>
  <si>
    <t>-609.366362293909 195.147946042852 210.599928434144</t>
  </si>
  <si>
    <t>-630.470927007449 170.367620087631 679.431019362017</t>
  </si>
  <si>
    <t>-493.106043867907 99.7713712290213 763.636551380533</t>
  </si>
  <si>
    <t>-683.441825732022 26.675773143277 -219.216029121779</t>
  </si>
  <si>
    <t>-631.11068674556 -7.12705582942658 232.200074628405</t>
  </si>
  <si>
    <t>-767.48442625133 100.675905317378 668.205190719882</t>
  </si>
  <si>
    <t>-675.514922263722 -16.8355085792441 761.351294709579</t>
  </si>
  <si>
    <t>9763-20170724T160633.090517000.bin</t>
  </si>
  <si>
    <t>-653.301186718164 120.815934791123 -231.506404738213</t>
  </si>
  <si>
    <t>-691.857937917189 117.175744996664 -346.25801667895</t>
  </si>
  <si>
    <t>-705.009940286951 110.856441916529 -466.581173185476</t>
  </si>
  <si>
    <t>-706.323184871166 103.735852240108 -575.862531944966</t>
  </si>
  <si>
    <t>-697.173030374252 95.0875277705111 -684.657508458735</t>
  </si>
  <si>
    <t>-673.635376755282 81.3403009288609 -834.514015795097</t>
  </si>
  <si>
    <t>-634.22121897088 65.2419082303697 -927.090253048468</t>
  </si>
  <si>
    <t>-671.020080836284 116.417780902286 -768.820327687256</t>
  </si>
  <si>
    <t>-592.186460271921 239.094741158014 -749.860233990187</t>
  </si>
  <si>
    <t>-510.315792055431 184.957100383469 -448.940775132774</t>
  </si>
  <si>
    <t>-341.990674168992 45.3675157840164 -308.14491091955</t>
  </si>
  <si>
    <t>-697.080003906284 58.4283018115398 -767.593830876827</t>
  </si>
  <si>
    <t>-623.237300093553 215.377549411754 -244.003969955901</t>
  </si>
  <si>
    <t>-609.528984015576 195.161514768568 211.035601639433</t>
  </si>
  <si>
    <t>-630.488582707618 170.303441262416 679.669310495981</t>
  </si>
  <si>
    <t>-493.341850231967 99.3083224150132 763.895052793142</t>
  </si>
  <si>
    <t>-683.190838855489 26.2161549263712 -218.228493336748</t>
  </si>
  <si>
    <t>-630.985728545799 -7.4227648038916 233.214403911898</t>
  </si>
  <si>
    <t>-767.727745697455 101.113672971085 669.1272377707</t>
  </si>
  <si>
    <t>-675.57623718666 -16.6736098937022 761.743438957072</t>
  </si>
  <si>
    <t>9763-20170724T160633.125609200.bin</t>
  </si>
  <si>
    <t>-652.833031323638 120.574471965295 -231.074206268968</t>
  </si>
  <si>
    <t>-691.333640771055 116.968303354209 -345.845593654894</t>
  </si>
  <si>
    <t>-704.654137252273 110.683382811617 -466.152094703026</t>
  </si>
  <si>
    <t>-706.212609141972 103.595341716541 -575.432399159053</t>
  </si>
  <si>
    <t>-697.398059330442 94.9825498281323 -684.257813473694</t>
  </si>
  <si>
    <t>-674.417476072911 81.2881893078418 -834.2056202928</t>
  </si>
  <si>
    <t>-635.221905925127 65.1528918368847 -926.868131204775</t>
  </si>
  <si>
    <t>-671.475191365696 116.305312345932 -768.493782871201</t>
  </si>
  <si>
    <t>-592.061388098351 238.651636458406 -749.728429289602</t>
  </si>
  <si>
    <t>-508.385265103546 183.207226731585 -449.54440858429</t>
  </si>
  <si>
    <t>-341.332248028999 43.1685346880677 -307.683547395818</t>
  </si>
  <si>
    <t>-697.696230118673 58.3896330800628 -767.223015932391</t>
  </si>
  <si>
    <t>-622.549541701581 214.990192800034 -243.73435233367</t>
  </si>
  <si>
    <t>-609.457080490992 195.038516871334 211.335130188586</t>
  </si>
  <si>
    <t>-630.56178640801 170.121211732654 679.871967256635</t>
  </si>
  <si>
    <t>-493.476503561835 99.0177373585893 764.10638120541</t>
  </si>
  <si>
    <t>-683.019281129001 26.1082339285756 -217.638724963225</t>
  </si>
  <si>
    <t>-630.744962507579 -7.50477761666843 233.79812806112</t>
  </si>
  <si>
    <t>-767.940848158645 101.490099333238 669.524584183979</t>
  </si>
  <si>
    <t>-675.577987122173 -16.5402869286952 761.619280321861</t>
  </si>
  <si>
    <t>9763-20170724T160633.191791200.bin</t>
  </si>
  <si>
    <t>-651.69241276656 120.309246349326 -230.252441634698</t>
  </si>
  <si>
    <t>-690.318789076186 116.864773392686 -344.986727414695</t>
  </si>
  <si>
    <t>-704.045792544451 110.72417297695 -465.254934331885</t>
  </si>
  <si>
    <t>-706.084383646898 103.765701292349 -574.535553959858</t>
  </si>
  <si>
    <t>-697.858004484543 95.285846484727 -683.417581022737</t>
  </si>
  <si>
    <t>-675.801109859321 81.7832574229867 -833.521309536653</t>
  </si>
  <si>
    <t>-636.976596794109 65.5730210079482 -926.326883426849</t>
  </si>
  <si>
    <t>-672.318830994215 116.655484214242 -767.758703605343</t>
  </si>
  <si>
    <t>-591.750235730908 238.275141477484 -749.263989530117</t>
  </si>
  <si>
    <t>-506.363234058296 180.186372327993 -450.063519913782</t>
  </si>
  <si>
    <t>-339.535518346849 41.8738070796521 -306.257467744407</t>
  </si>
  <si>
    <t>-698.802355828039 58.8600063055533 -766.451398205155</t>
  </si>
  <si>
    <t>-621.018473972731 214.673016396082 -243.153197132793</t>
  </si>
  <si>
    <t>-608.759393585054 194.399406727081 211.92516322733</t>
  </si>
  <si>
    <t>-630.801184914964 169.621829740311 680.347098451817</t>
  </si>
  <si>
    <t>-493.993397802207 98.0692525553318 764.652280018451</t>
  </si>
  <si>
    <t>-682.271261604276 25.9952757741814 -216.695774275682</t>
  </si>
  <si>
    <t>-629.817800696452 -7.93012717776151 234.696993845438</t>
  </si>
  <si>
    <t>-768.117609644907 101.898835369709 669.647721107874</t>
  </si>
  <si>
    <t>-675.595713626642 -16.3939792438443 761.244773223088</t>
  </si>
  <si>
    <t>9763-20170724T160633.227902100.bin</t>
  </si>
  <si>
    <t>-650.770294775205 120.19463064767 -229.893511887081</t>
  </si>
  <si>
    <t>-689.521816764564 116.744292837841 -344.585222161823</t>
  </si>
  <si>
    <t>-703.519922634049 110.68759311636 -464.826455304766</t>
  </si>
  <si>
    <t>-705.860021437053 103.846615797157 -574.108571389944</t>
  </si>
  <si>
    <t>-697.987524349833 95.5293800138768 -683.029120390152</t>
  </si>
  <si>
    <t>-676.472474618408 82.3022499666247 -833.236101257886</t>
  </si>
  <si>
    <t>-637.905207417205 66.1095285291747 -926.151996186868</t>
  </si>
  <si>
    <t>-672.70587370618 117.032573381174 -767.41411042448</t>
  </si>
  <si>
    <t>-591.764699180309 238.390916403507 -748.924691942311</t>
  </si>
  <si>
    <t>-505.160893091673 178.798842260753 -450.370392950902</t>
  </si>
  <si>
    <t>-337.794771519737 41.5668625824819 -306.155141764387</t>
  </si>
  <si>
    <t>-699.278458006572 59.2772414452902 -766.13436313917</t>
  </si>
  <si>
    <t>-619.867417159995 214.397458744309 -242.925711985182</t>
  </si>
  <si>
    <t>-608.065432025386 194.075679333754 212.162709838495</t>
  </si>
  <si>
    <t>-630.864050144207 169.417729485662 680.510837538771</t>
  </si>
  <si>
    <t>-494.182673545913 97.6979215607905 764.878942743383</t>
  </si>
  <si>
    <t>-681.553575535511 25.9903598563144 -216.191198854559</t>
  </si>
  <si>
    <t>-628.929658794285 -8.29302593694865 235.154685627051</t>
  </si>
  <si>
    <t>-768.121914450541 102.196106938163 669.675978282837</t>
  </si>
  <si>
    <t>-675.624695520052 -16.3081843791608 761.024267482467</t>
  </si>
  <si>
    <t>9763-20170724T160633.295096800.bin</t>
  </si>
  <si>
    <t>-648.297448807037 119.959427579723 -229.473356858206</t>
  </si>
  <si>
    <t>-687.312380157262 116.373584004147 -344.071793216242</t>
  </si>
  <si>
    <t>-701.903464355569 110.459319106589 -464.249598896805</t>
  </si>
  <si>
    <t>-704.90659594073 103.869302471343 -573.53080139009</t>
  </si>
  <si>
    <t>-697.815866157425 95.9299643651234 -682.533325188149</t>
  </si>
  <si>
    <t>-677.501179053054 83.3635429394737 -832.963985692059</t>
  </si>
  <si>
    <t>-639.443148971935 67.2992516123531 -926.111783454922</t>
  </si>
  <si>
    <t>-673.156173064825 117.780164258057 -767.012939642219</t>
  </si>
  <si>
    <t>-591.61651474665 238.738833709323 -748.476396340755</t>
  </si>
  <si>
    <t>-501.126853751582 176.637094517436 -451.590587690383</t>
  </si>
  <si>
    <t>-333.043228662058 40.6314237739559 -307.048528640011</t>
  </si>
  <si>
    <t>-699.823488982598 60.0673464540662 -765.793110273045</t>
  </si>
  <si>
    <t>-617.193358185534 213.957031836753 -242.745831130734</t>
  </si>
  <si>
    <t>-606.478425407815 193.563498788657 212.366137657722</t>
  </si>
  <si>
    <t>-630.885606140997 169.11576097085 680.657111185505</t>
  </si>
  <si>
    <t>-494.417830732818 97.1487921392081 765.160461685783</t>
  </si>
  <si>
    <t>-679.187773289807 25.9973948810698 -215.582064595792</t>
  </si>
  <si>
    <t>-626.94691883147 -9.019570716109 235.751983383734</t>
  </si>
  <si>
    <t>-768.037670750207 102.271380871113 669.277834755166</t>
  </si>
  <si>
    <t>-675.666116277159 -16.2138597125886 760.777891023376</t>
  </si>
  <si>
    <t>9763-20170724T160633.322155600.bin</t>
  </si>
  <si>
    <t>-646.8346156289 119.804265691476 -229.306622640808</t>
  </si>
  <si>
    <t>-685.946009874181 116.04507760604 -343.866544791077</t>
  </si>
  <si>
    <t>-700.835783966642 110.170517668316 -464.009591292161</t>
  </si>
  <si>
    <t>-704.188149998737 103.705614939012 -573.288242757293</t>
  </si>
  <si>
    <t>-697.521208466811 95.9820233607952 -682.33290782238</t>
  </si>
  <si>
    <t>-677.867511652502 83.8105650465673 -832.883901977135</t>
  </si>
  <si>
    <t>-640.056968664533 67.8721777481039 -926.153927014886</t>
  </si>
  <si>
    <t>-673.226253181333 118.051120548895 -766.861446713582</t>
  </si>
  <si>
    <t>-591.424584573017 238.837380563951 -748.338891212147</t>
  </si>
  <si>
    <t>-498.862390569554 175.81432857688 -452.287291583489</t>
  </si>
  <si>
    <t>-330.101743693749 40.5634060028501 -307.82604584769</t>
  </si>
  <si>
    <t>-699.901058674547 60.3410145716393 -765.678076189433</t>
  </si>
  <si>
    <t>-615.695624445813 213.765529790762 -242.72482486118</t>
  </si>
  <si>
    <t>-605.61016266795 193.439772082919 212.404674492003</t>
  </si>
  <si>
    <t>-630.873689533062 169.00433093635 680.685836718279</t>
  </si>
  <si>
    <t>-494.486403199909 96.9442968774756 765.239753570267</t>
  </si>
  <si>
    <t>-677.809939439497 25.7891119626752 -215.248318185954</t>
  </si>
  <si>
    <t>-625.685628938289 -9.32215264095953 236.09179872219</t>
  </si>
  <si>
    <t>-767.973889814092 102.359076382349 669.178507580809</t>
  </si>
  <si>
    <t>-675.644556872616 -16.1361002768583 760.708242130098</t>
  </si>
  <si>
    <t>9763-20170724T160633.390340900.bin</t>
  </si>
  <si>
    <t>-643.908909347621 119.537497174164 -229.009468145412</t>
  </si>
  <si>
    <t>-683.063104861587 115.372359549735 -343.540695955449</t>
  </si>
  <si>
    <t>-698.446584489019 109.548801599994 -463.623995377572</t>
  </si>
  <si>
    <t>-702.424124169678 103.320434144726 -572.89549529832</t>
  </si>
  <si>
    <t>-696.553590155316 96.024751246021 -682.015391424111</t>
  </si>
  <si>
    <t>-678.174903766266 84.6472683812151 -832.789366180472</t>
  </si>
  <si>
    <t>-640.803334666651 69.0497706135229 -926.293682036909</t>
  </si>
  <si>
    <t>-673.00474652842 118.553456262168 -766.633788618878</t>
  </si>
  <si>
    <t>-591.026049519543 239.237213581635 -748.229033814062</t>
  </si>
  <si>
    <t>-494.146852209309 174.232401110512 -453.992759502915</t>
  </si>
  <si>
    <t>-324.921152519668 38.9872934146852 -310.070963360549</t>
  </si>
  <si>
    <t>-699.608997429247 60.8095193536476 -765.519257196815</t>
  </si>
  <si>
    <t>-612.871902332657 213.598404069204 -242.699186542811</t>
  </si>
  <si>
    <t>-604.269019667662 193.458179673419 212.468852569016</t>
  </si>
  <si>
    <t>-630.830727818678 168.870909567338 680.699169304265</t>
  </si>
  <si>
    <t>-494.51078358733 96.7599926533244 765.318328495421</t>
  </si>
  <si>
    <t>-674.694012124289 25.5786326610046 -214.657397166326</t>
  </si>
  <si>
    <t>-623.252010620625 -9.48859009621788 236.764438559938</t>
  </si>
  <si>
    <t>-767.940315989602 102.563684232835 669.027990096178</t>
  </si>
  <si>
    <t>-675.675511061247 -16.0133464318967 760.516783985798</t>
  </si>
  <si>
    <t>9763-20170724T160633.424429500.bin</t>
  </si>
  <si>
    <t>-642.350092904539 119.611549447339 -228.880090564009</t>
  </si>
  <si>
    <t>-681.466316670618 115.243397388097 -343.416669485987</t>
  </si>
  <si>
    <t>-697.030053434498 109.452059312791 -463.478328922208</t>
  </si>
  <si>
    <t>-701.258168135255 103.347396248714 -572.74739191906</t>
  </si>
  <si>
    <t>-695.722766163015 96.2686064789714 -681.898993061994</t>
  </si>
  <si>
    <t>-677.893682772651 85.2879601503687 -832.768404598171</t>
  </si>
  <si>
    <t>-640.725299778794 69.9085852995754 -926.389827757707</t>
  </si>
  <si>
    <t>-672.495572926326 119.026073884053 -766.545213227019</t>
  </si>
  <si>
    <t>-590.367341779993 239.59739552462 -748.147459415515</t>
  </si>
  <si>
    <t>-491.8128272144 173.872380542266 -454.628538005486</t>
  </si>
  <si>
    <t>-322.065736174501 38.8872281734671 -311.077201513218</t>
  </si>
  <si>
    <t>-699.069415709706 61.2670529459892 -765.481592561835</t>
  </si>
  <si>
    <t>-611.474799641222 213.700501871197 -242.669613279118</t>
  </si>
  <si>
    <t>-603.688080829015 193.711987721036 212.519881057033</t>
  </si>
  <si>
    <t>-630.791617198924 168.890838222836 680.700477617311</t>
  </si>
  <si>
    <t>-494.560999466052 96.6389798966657 765.343223014864</t>
  </si>
  <si>
    <t>-673.016439513046 25.6597906316078 -214.382731856421</t>
  </si>
  <si>
    <t>-622.187264899432 -9.43464491063946 237.106388913276</t>
  </si>
  <si>
    <t>-767.965014504616 102.699411194787 668.997835151148</t>
  </si>
  <si>
    <t>-675.702320983901 -15.9555075056956 760.387787599519</t>
  </si>
  <si>
    <t>9763-20170724T160633.490610800.bin</t>
  </si>
  <si>
    <t>-639.418874855606 119.972355522426 -228.676156360835</t>
  </si>
  <si>
    <t>-678.450840635896 115.243876355115 -343.227348430165</t>
  </si>
  <si>
    <t>-694.424677041345 109.512660738774 -463.237902987539</t>
  </si>
  <si>
    <t>-699.22265209962 103.638790968833 -572.496108896948</t>
  </si>
  <si>
    <t>-694.449813366667 96.9692585672296 -681.709617550621</t>
  </si>
  <si>
    <t>-677.872247369523 86.7442091587077 -832.774525109001</t>
  </si>
  <si>
    <t>-641.232660786074 71.7672262012347 -926.669288199945</t>
  </si>
  <si>
    <t>-671.977642390967 120.174628005401 -766.437645845701</t>
  </si>
  <si>
    <t>-589.779205944886 240.726496951814 -748.148900993435</t>
  </si>
  <si>
    <t>-487.910893775721 172.839890849912 -456.257654598736</t>
  </si>
  <si>
    <t>-317.234643211173 39.1885676229488 -312.560095731452</t>
  </si>
  <si>
    <t>-698.437016609086 62.3622672465419 -765.428161121126</t>
  </si>
  <si>
    <t>-608.668490634875 213.966485370757 -242.700735039095</t>
  </si>
  <si>
    <t>-602.752070221348 194.34482572519 212.5329383152</t>
  </si>
  <si>
    <t>-630.658045786743 168.842646219708 680.612467957514</t>
  </si>
  <si>
    <t>-494.518326637987 96.5507970492599 765.367302395613</t>
  </si>
  <si>
    <t>-670.035955002667 26.0372705437569 -213.913593814911</t>
  </si>
  <si>
    <t>-620.010421948795 -9.0435570880943 237.666260371131</t>
  </si>
  <si>
    <t>-767.932646931582 103.078504804101 668.902503185833</t>
  </si>
  <si>
    <t>-675.732308862607 -15.8125256158939 760.048197493354</t>
  </si>
  <si>
    <t>9763-20170724T160633.522695800.bin</t>
  </si>
  <si>
    <t>-637.900586237417 120.317464343233 -228.502985080358</t>
  </si>
  <si>
    <t>-676.893481145073 115.44450687995 -343.061240026376</t>
  </si>
  <si>
    <t>-693.064694980363 109.740893976043 -463.046755671756</t>
  </si>
  <si>
    <t>-698.136620393999 103.96657091554 -572.297819231517</t>
  </si>
  <si>
    <t>-693.730332135928 97.4736174615791 -681.537407652704</t>
  </si>
  <si>
    <t>-677.754553995707 87.5759624257678 -832.688979496362</t>
  </si>
  <si>
    <t>-641.361988044905 72.7944518047057 -926.710739006323</t>
  </si>
  <si>
    <t>-671.625437295862 120.876311275447 -766.30788035124</t>
  </si>
  <si>
    <t>-589.407778937363 241.430934139017 -748.110654990523</t>
  </si>
  <si>
    <t>-486.043544632475 172.416142828754 -457.01106946788</t>
  </si>
  <si>
    <t>-315.708051213454 39.0083126388131 -312.684301811784</t>
  </si>
  <si>
    <t>-698.021179724474 63.0344996760684 -765.31028551763</t>
  </si>
  <si>
    <t>-607.188574059762 214.243116367088 -242.653757825133</t>
  </si>
  <si>
    <t>-602.215121780339 194.727248864494 212.595620814361</t>
  </si>
  <si>
    <t>-630.613707385891 168.825047228059 680.624864584809</t>
  </si>
  <si>
    <t>-494.500319437755 96.5082419503608 765.400653229148</t>
  </si>
  <si>
    <t>-668.477673083162 26.4701762441732 -213.635466445895</t>
  </si>
  <si>
    <t>-619.017653245409 -8.68113843250876 238.001362544556</t>
  </si>
  <si>
    <t>-767.949403097377 103.532957167966 669.025416328575</t>
  </si>
  <si>
    <t>-675.760485018416 -15.6918407681198 759.745626294851</t>
  </si>
  <si>
    <t>9763-20170724T160633.593427000.bin</t>
  </si>
  <si>
    <t>-634.857218801578 121.15511944862 -228.291273990203</t>
  </si>
  <si>
    <t>-673.683994008046 116.052325928858 -342.89609051496</t>
  </si>
  <si>
    <t>-690.175761970824 110.38018020436 -462.839406286536</t>
  </si>
  <si>
    <t>-695.736359357703 104.75094324519 -572.074248322633</t>
  </si>
  <si>
    <t>-692.01351117969 98.5250412151424 -681.354633199492</t>
  </si>
  <si>
    <t>-677.183169200157 89.1304607350617 -832.655013599007</t>
  </si>
  <si>
    <t>-641.255071023973 74.642751558679 -926.900837446365</t>
  </si>
  <si>
    <t>-670.604017419719 122.233798892906 -766.218608141306</t>
  </si>
  <si>
    <t>-588.344245142375 242.800989756137 -748.291715345245</t>
  </si>
  <si>
    <t>-481.709427726166 172.233106086244 -458.748355889316</t>
  </si>
  <si>
    <t>-313.644973895975 39.0821453871838 -311.550432511018</t>
  </si>
  <si>
    <t>-696.886240479311 64.3407614646565 -765.200026275494</t>
  </si>
  <si>
    <t>-604.089648248141 214.811001679978 -242.634419525344</t>
  </si>
  <si>
    <t>-600.923174027311 195.447912871475 212.637654303111</t>
  </si>
  <si>
    <t>-630.38955280122 168.829064050714 680.469560621875</t>
  </si>
  <si>
    <t>-494.532914043443 96.3065441969738 765.48113487833</t>
  </si>
  <si>
    <t>-665.423818691603 27.5651058224339 -213.204184017655</t>
  </si>
  <si>
    <t>-617.357317284647 -7.81412032129811 238.565219905376</t>
  </si>
  <si>
    <t>-768.10796452855 104.251678870165 669.013388366682</t>
  </si>
  <si>
    <t>-675.872774811799 -15.4943630757782 758.997144600649</t>
  </si>
  <si>
    <t>9763-20170724T160633.628522300.bin</t>
  </si>
  <si>
    <t>-633.214536368114 121.584661398359 -228.200690489504</t>
  </si>
  <si>
    <t>-671.946281046942 116.354075595595 -342.8318546929</t>
  </si>
  <si>
    <t>-688.600992258542 110.678400418332 -462.752529661824</t>
  </si>
  <si>
    <t>-694.41502478784 105.09927046643 -571.976806920649</t>
  </si>
  <si>
    <t>-691.049491227487 98.9788400247783 -681.274771894035</t>
  </si>
  <si>
    <t>-676.821033947263 89.7893766904065 -832.64551039172</t>
  </si>
  <si>
    <t>-641.134361250383 75.3863556674776 -926.995906151403</t>
  </si>
  <si>
    <t>-669.985759767112 122.806340834045 -766.191998398107</t>
  </si>
  <si>
    <t>-587.601352432634 243.295016240892 -748.36308959065</t>
  </si>
  <si>
    <t>-479.671198396735 171.935717290828 -459.494331986723</t>
  </si>
  <si>
    <t>-313.152371573482 38.0663624522533 -311.195608901045</t>
  </si>
  <si>
    <t>-696.247633242754 64.904491686385 -765.145322092494</t>
  </si>
  <si>
    <t>-602.397872038403 215.103457843493 -242.654733763784</t>
  </si>
  <si>
    <t>-600.0765605639 195.765672217066 212.623528743812</t>
  </si>
  <si>
    <t>-630.254918694007 168.885526710885 680.393116719458</t>
  </si>
  <si>
    <t>-494.553157655306 96.2323862687406 765.540467792383</t>
  </si>
  <si>
    <t>-663.861366263935 28.0482628874133 -213.06115640166</t>
  </si>
  <si>
    <t>-616.498081064869 -7.38247150813004 238.778489920021</t>
  </si>
  <si>
    <t>-768.146141219434 104.632233587085 669.000987835036</t>
  </si>
  <si>
    <t>-675.921316383832 -15.4278202784276 758.575947125468</t>
  </si>
  <si>
    <t>9763-20170724T160633.697714300.bin</t>
  </si>
  <si>
    <t>-629.703499364369 122.5991538887 -228.00902701813</t>
  </si>
  <si>
    <t>-668.224396390851 117.139782225546 -342.700559459239</t>
  </si>
  <si>
    <t>-685.124531350468 111.450877624863 -462.586188986669</t>
  </si>
  <si>
    <t>-691.348223311965 105.949027816815 -571.791807069235</t>
  </si>
  <si>
    <t>-688.577489982905 99.9957854141319 -681.115710901591</t>
  </si>
  <si>
    <t>-675.363609062605 91.1324718993719 -832.597879600843</t>
  </si>
  <si>
    <t>-640.176124547577 76.8390418740055 -927.152212120674</t>
  </si>
  <si>
    <t>-668.023454024993 123.979298875657 -766.113870754983</t>
  </si>
  <si>
    <t>-585.117001388802 244.131578703518 -748.400433686272</t>
  </si>
  <si>
    <t>-475.916812068116 171.005828877661 -460.452222340095</t>
  </si>
  <si>
    <t>-310.398454900921 36.8535887335413 -311.291432390494</t>
  </si>
  <si>
    <t>-694.39727697505 66.129071450493 -765.029599045927</t>
  </si>
  <si>
    <t>-486.509968071217 0.537453889421386 -369.030575655802</t>
  </si>
  <si>
    <t>-598.706442756991 215.850616833731 -242.689615676198</t>
  </si>
  <si>
    <t>-598.215857292836 196.442379562622 212.591413519109</t>
  </si>
  <si>
    <t>-629.938622434566 168.95737471464 680.14468421088</t>
  </si>
  <si>
    <t>-494.510027944081 96.2174508022954 765.652011687589</t>
  </si>
  <si>
    <t>-660.554118868218 29.3572599435845 -212.655255769652</t>
  </si>
  <si>
    <t>-614.318833108096 -6.55448907991899 239.263161218489</t>
  </si>
  <si>
    <t>-768.239502219637 105.317157970653 668.715531415787</t>
  </si>
  <si>
    <t>-675.986359166284 -15.2269430798756 757.608674776214</t>
  </si>
  <si>
    <t>9763-20170724T160633.724784700.bin</t>
  </si>
  <si>
    <t>-627.681203832322 123.093218773615 -227.940247613268</t>
  </si>
  <si>
    <t>-666.129382624682 117.494918087415 -342.649378800771</t>
  </si>
  <si>
    <t>-683.18263747566 111.748989898146 -462.510671781183</t>
  </si>
  <si>
    <t>-689.637637041234 106.23261868047 -571.702110388621</t>
  </si>
  <si>
    <t>-687.189753632204 100.304119826645 -681.035130436909</t>
  </si>
  <si>
    <t>-674.517286527948 91.5181139980718 -832.567956408688</t>
  </si>
  <si>
    <t>-639.609136178878 77.2329374109613 -927.226969168639</t>
  </si>
  <si>
    <t>-666.908467781618 124.316973720064 -766.090453816003</t>
  </si>
  <si>
    <t>-583.759862694906 244.312258340309 -748.454587706637</t>
  </si>
  <si>
    <t>-473.849377440461 170.399058498446 -460.978093590188</t>
  </si>
  <si>
    <t>-308.806734473982 35.737441537708 -311.749270205746</t>
  </si>
  <si>
    <t>-693.340408609129 66.4943759936621 -764.94825594957</t>
  </si>
  <si>
    <t>-484.469674654031 0.695805535656973 -368.97988768425</t>
  </si>
  <si>
    <t>-596.536699552585 216.168118264907 -242.74581421253</t>
  </si>
  <si>
    <t>-597.088692868301 196.808542768029 212.537162962436</t>
  </si>
  <si>
    <t>-629.78759901805 169.024351615462 680.03574312043</t>
  </si>
  <si>
    <t>-494.522337411588 96.1573492811974 765.693312445374</t>
  </si>
  <si>
    <t>-658.622995015968 29.9718400502968 -212.490198251828</t>
  </si>
  <si>
    <t>-612.931748639836 -6.46869598630678 239.441260689369</t>
  </si>
  <si>
    <t>-768.194127263247 105.420801635557 668.371385566504</t>
  </si>
  <si>
    <t>-675.988959894918 -15.2052781026309 757.203072584703</t>
  </si>
  <si>
    <t>9763-20170724T160633.789515800.bin</t>
  </si>
  <si>
    <t>-623.044110542855 123.811551817417 -227.647646152051</t>
  </si>
  <si>
    <t>-661.39662955518 117.898390622984 -342.373143196183</t>
  </si>
  <si>
    <t>-678.87065493009 111.9764857746 -462.165220976754</t>
  </si>
  <si>
    <t>-685.918211005673 106.366335529723 -571.315215483063</t>
  </si>
  <si>
    <t>-684.272115929075 100.414835982268 -680.662054424158</t>
  </si>
  <si>
    <t>-672.926536339442 91.6751389190015 -832.30273914859</t>
  </si>
  <si>
    <t>-638.659146677861 77.3067762394692 -927.183037696503</t>
  </si>
  <si>
    <t>-664.639679549597 124.409633131634 -765.874481798952</t>
  </si>
  <si>
    <t>-580.958440896243 244.104133187816 -748.653326598642</t>
  </si>
  <si>
    <t>-469.524119130856 168.797530067417 -462.126716946487</t>
  </si>
  <si>
    <t>-306.176668192115 32.1582870333066 -312.830578736779</t>
  </si>
  <si>
    <t>-691.25350559491 66.6747593435077 -764.538200426055</t>
  </si>
  <si>
    <t>-480.091453176564 0.277490400458419 -368.472780014951</t>
  </si>
  <si>
    <t>-591.592536393096 216.689966458325 -242.712855081551</t>
  </si>
  <si>
    <t>-594.623977250916 197.378445360966 212.562484979147</t>
  </si>
  <si>
    <t>-629.69209618335 169.006319028796 679.961461887782</t>
  </si>
  <si>
    <t>-494.531883775105 96.0405833340321 765.700767146669</t>
  </si>
  <si>
    <t>-654.343897065177 30.8446889862898 -211.946513291195</t>
  </si>
  <si>
    <t>-609.668386941232 -6.76767308460057 239.990520075856</t>
  </si>
  <si>
    <t>-768.073535972442 105.604268694923 667.683129002533</t>
  </si>
  <si>
    <t>-676.036043849238 -15.1359055793077 756.533670071828</t>
  </si>
  <si>
    <t>9763-20170724T160633.825613600.bin</t>
  </si>
  <si>
    <t>-620.613813855425 123.918908505752 -227.410918759893</t>
  </si>
  <si>
    <t>-658.933588194654 117.814194051974 -342.137160086975</t>
  </si>
  <si>
    <t>-676.612791676898 111.765735146209 -461.892832204167</t>
  </si>
  <si>
    <t>-683.943489137064 106.06910812641 -571.019703474378</t>
  </si>
  <si>
    <t>-682.67688734322 100.060150229466 -680.368495932095</t>
  </si>
  <si>
    <t>-671.956904146182 91.2714335199846 -832.05173537259</t>
  </si>
  <si>
    <t>-637.994844082183 76.8328779648821 -927.031202782729</t>
  </si>
  <si>
    <t>-663.326496771806 123.995391721489 -765.662227360761</t>
  </si>
  <si>
    <t>-579.293372207493 243.467902109294 -748.679848508497</t>
  </si>
  <si>
    <t>-467.103537111695 167.849341348916 -462.530502310859</t>
  </si>
  <si>
    <t>-304.219799760387 30.8684177160112 -313.04084307901</t>
  </si>
  <si>
    <t>-690.073773863643 66.3250163494006 -764.21106166572</t>
  </si>
  <si>
    <t>-589.001208488782 216.644569155834 -242.675836753658</t>
  </si>
  <si>
    <t>-593.137344904609 197.488485590428 212.597349734317</t>
  </si>
  <si>
    <t>-629.642928232494 168.920383850549 679.894092252364</t>
  </si>
  <si>
    <t>-494.350555800673 96.2157375952779 765.646755111856</t>
  </si>
  <si>
    <t>-652.03243219899 31.0781764967358 -211.497400437907</t>
  </si>
  <si>
    <t>-607.726748525143 -7.23337374008815 240.417330771579</t>
  </si>
  <si>
    <t>-767.990756564687 105.639047687146 667.329452977395</t>
  </si>
  <si>
    <t>-676.006605667361 -15.1049804352765 756.22998447038</t>
  </si>
  <si>
    <t>9763-20170724T160633.895327800.bin</t>
  </si>
  <si>
    <t>-615.650286993793 124.65273261696 -226.546381381093</t>
  </si>
  <si>
    <t>-653.941076743597 118.006805005035 -341.252237156745</t>
  </si>
  <si>
    <t>-672.102617397795 111.572824603758 -460.91566596157</t>
  </si>
  <si>
    <t>-680.078835418005 105.589365823568 -569.981822751817</t>
  </si>
  <si>
    <t>-679.664384745812 99.3547381441656 -679.324408955758</t>
  </si>
  <si>
    <t>-670.339662810683 90.3146085826522 -831.08520134335</t>
  </si>
  <si>
    <t>-637.041455494189 75.5981488954349 -926.25681318704</t>
  </si>
  <si>
    <t>-660.950066044647 123.079152393738 -764.818879922329</t>
  </si>
  <si>
    <t>-576.29389764899 242.198226398916 -748.397259558365</t>
  </si>
  <si>
    <t>-462.881232942971 166.050943094131 -462.870924301157</t>
  </si>
  <si>
    <t>-301.772615089667 27.1342818544558 -313.243880702154</t>
  </si>
  <si>
    <t>-687.98113656997 65.5499293342273 -763.052736194335</t>
  </si>
  <si>
    <t>-584.000426728284 216.979547044887 -242.294032696111</t>
  </si>
  <si>
    <t>-590.00817646641 197.753911330159 212.955347739535</t>
  </si>
  <si>
    <t>-629.703305347226 168.753968739018 679.982851365532</t>
  </si>
  <si>
    <t>-494.052013187763 96.5810220404644 765.617614219371</t>
  </si>
  <si>
    <t>-647.153940850747 32.4166130390317 -210.062214046134</t>
  </si>
  <si>
    <t>-602.983708676044 -7.88079176283236 241.693011867745</t>
  </si>
  <si>
    <t>-767.664873365592 106.365759392189 666.829767350046</t>
  </si>
  <si>
    <t>-676.096945133913 -15.0074218414297 755.302224726592</t>
  </si>
  <si>
    <t>9763-20170724T160633.928414200.bin</t>
  </si>
  <si>
    <t>-613.30445669298 125.311236013793 -225.979027435326</t>
  </si>
  <si>
    <t>-651.589061811498 118.393562053606 -340.671012338759</t>
  </si>
  <si>
    <t>-670.009516318549 111.753887517846 -460.283473894203</t>
  </si>
  <si>
    <t>-678.328339992004 105.612924853501 -569.315242640288</t>
  </si>
  <si>
    <t>-678.363923486132 99.2500019382578 -678.6513118623</t>
  </si>
  <si>
    <t>-669.774282526565 90.0626716923935 -830.44660377013</t>
  </si>
  <si>
    <t>-636.769546340068 75.1860798523592 -925.695565514054</t>
  </si>
  <si>
    <t>-660.00978131297 122.866163824528 -764.253591116284</t>
  </si>
  <si>
    <t>-575.316386476309 242.001046538814 -748.24870685882</t>
  </si>
  <si>
    <t>-461.688173941359 165.764577513275 -462.831824504235</t>
  </si>
  <si>
    <t>-300.967996900669 25.8516323637966 -313.716212822856</t>
  </si>
  <si>
    <t>-687.140001903259 65.3894943945197 -762.310180188539</t>
  </si>
  <si>
    <t>-581.62760156401 217.418468821098 -241.974565639207</t>
  </si>
  <si>
    <t>-588.549497184841 198.015299300198 213.254154891215</t>
  </si>
  <si>
    <t>-629.785657214794 168.656572455917 680.113663015499</t>
  </si>
  <si>
    <t>-494.058265412534 96.503627523987 765.644592606118</t>
  </si>
  <si>
    <t>-644.961837801008 33.3081687464298 -209.254542017696</t>
  </si>
  <si>
    <t>-600.611655121381 -7.44845796311461 242.441828034415</t>
  </si>
  <si>
    <t>-767.454652909666 107.148637146299 666.73905793619</t>
  </si>
  <si>
    <t>-676.13735415673 -14.8440364321 754.616521805604</t>
  </si>
  <si>
    <t>9763-20170724T160633.990663900.bin</t>
  </si>
  <si>
    <t>-608.948144847074 126.324662908368 -225.149642639549</t>
  </si>
  <si>
    <t>-647.160417908079 118.898929368909 -339.833890319461</t>
  </si>
  <si>
    <t>-666.167401433092 111.806929111793 -459.328677111428</t>
  </si>
  <si>
    <t>-675.288237171828 105.283602490219 -568.274092575586</t>
  </si>
  <si>
    <t>-676.395908932864 98.5672033326616 -677.583375864466</t>
  </si>
  <si>
    <t>-669.573527318254 88.9203576251252 -829.439852476747</t>
  </si>
  <si>
    <t>-637.150054129056 73.6145942782573 -924.82040518775</t>
  </si>
  <si>
    <t>-658.935401019085 121.87463480716 -763.456866132216</t>
  </si>
  <si>
    <t>-574.352194239647 241.259354313278 -748.527469998301</t>
  </si>
  <si>
    <t>-463.298910109825 167.667577145969 -461.407995256993</t>
  </si>
  <si>
    <t>-303.381837612724 22.9385228414887 -316.073529529958</t>
  </si>
  <si>
    <t>-686.2491185283 64.502845745202 -761.039328447711</t>
  </si>
  <si>
    <t>-577.215834993237 217.893545631106 -241.531920290397</t>
  </si>
  <si>
    <t>-585.735737422089 198.023118538222 213.649561601</t>
  </si>
  <si>
    <t>-629.86165674774 168.368590098634 680.212709157342</t>
  </si>
  <si>
    <t>-493.824287485435 96.6848663589349 765.645669051081</t>
  </si>
  <si>
    <t>-640.558162069734 34.79205228051 -208.097167322173</t>
  </si>
  <si>
    <t>-596.446091723508 -6.58094028501114 243.566488663435</t>
  </si>
  <si>
    <t>-766.968454994101 108.274141692435 666.174505914941</t>
  </si>
  <si>
    <t>-676.247745200651 -14.7113707786013 753.282674044922</t>
  </si>
  <si>
    <t>9763-20170724T160634.031762900.bin</t>
  </si>
  <si>
    <t>-606.903842827303 126.547108545759 -224.904131020078</t>
  </si>
  <si>
    <t>-645.084762728694 118.967301337151 -339.588828598481</t>
  </si>
  <si>
    <t>-664.358997923249 111.692174600843 -459.029731013207</t>
  </si>
  <si>
    <t>-673.845310301548 104.995189923278 -567.933333666174</t>
  </si>
  <si>
    <t>-675.442134360103 98.0992138102013 -677.225417232258</t>
  </si>
  <si>
    <t>-669.426937429806 88.1986636111553 -829.099666679483</t>
  </si>
  <si>
    <t>-637.232785206841 72.6958180733498 -924.526042092744</t>
  </si>
  <si>
    <t>-658.403099132811 121.246482799711 -763.226765489639</t>
  </si>
  <si>
    <t>-574.149185143722 240.908050889166 -748.889720857854</t>
  </si>
  <si>
    <t>-466.340809088743 171.822550235573 -459.423556689341</t>
  </si>
  <si>
    <t>-307.883493447811 23.0888356544106 -316.554264561733</t>
  </si>
  <si>
    <t>-685.773760054541 63.9123231222079 -760.573202308809</t>
  </si>
  <si>
    <t>-575.178332501385 217.744887531777 -241.430510062698</t>
  </si>
  <si>
    <t>-584.344957094655 197.600779645589 213.726430255537</t>
  </si>
  <si>
    <t>-629.853281733992 168.173540412864 680.179699036234</t>
  </si>
  <si>
    <t>-493.638173792033 96.8536738382159 765.63399100185</t>
  </si>
  <si>
    <t>-638.539098215314 35.406770460233 -207.794250049826</t>
  </si>
  <si>
    <t>-594.843406265069 -6.47248172325408 243.863203049063</t>
  </si>
  <si>
    <t>-766.677560209386 108.653313701891 665.792214499161</t>
  </si>
  <si>
    <t>-676.236603048651 -14.6488059468948 752.743473354833</t>
  </si>
  <si>
    <t>9763-20170724T160634.092469500.bin</t>
  </si>
  <si>
    <t>-603.401159323435 126.481111273654 -225.030838110752</t>
  </si>
  <si>
    <t>-641.442171860705 118.765508164891 -339.752969491878</t>
  </si>
  <si>
    <t>-660.821104394016 111.159872583743 -459.156364847496</t>
  </si>
  <si>
    <t>-670.506794034362 104.101154991904 -568.01961165333</t>
  </si>
  <si>
    <t>-672.408532712251 96.7909082653791 -677.279931182931</t>
  </si>
  <si>
    <t>-666.927340428289 86.268306678232 -829.132553653395</t>
  </si>
  <si>
    <t>-634.883910183323 70.4112985594468 -924.551492178654</t>
  </si>
  <si>
    <t>-655.731975655991 119.61376346677 -763.438834028032</t>
  </si>
  <si>
    <t>-572.097146284657 239.777323025555 -749.797763595004</t>
  </si>
  <si>
    <t>-474.826241136354 183.478111270015 -453.9008558083</t>
  </si>
  <si>
    <t>-319.710228524813 31.0540747381788 -311.254554687988</t>
  </si>
  <si>
    <t>-682.973220061666 62.2346993870824 -760.446100795861</t>
  </si>
  <si>
    <t>-571.41877477135 217.114532043954 -241.537692916783</t>
  </si>
  <si>
    <t>-582.13468115538 196.911534686181 213.582757265974</t>
  </si>
  <si>
    <t>-629.735284654768 167.947843538249 679.968093379121</t>
  </si>
  <si>
    <t>-493.339202280457 97.1400585343283 765.559400767787</t>
  </si>
  <si>
    <t>-635.24044326304 35.8843546167946 -207.845847428389</t>
  </si>
  <si>
    <t>-592.642314428712 -6.38039094982037 243.88056642123</t>
  </si>
  <si>
    <t>-766.252001845728 108.877444357418 665.041657214971</t>
  </si>
  <si>
    <t>-676.213593440801 -14.6515502214938 752.088723501066</t>
  </si>
  <si>
    <t>9763-20170724T160634.125561600.bin</t>
  </si>
  <si>
    <t>-602.078854914108 126.437226777393 -225.177870473502</t>
  </si>
  <si>
    <t>-640.020765558652 118.669565623354 -339.92919590479</t>
  </si>
  <si>
    <t>-659.345302297925 110.922002276247 -459.332371207149</t>
  </si>
  <si>
    <t>-669.001768866993 103.709824536792 -568.18812777357</t>
  </si>
  <si>
    <t>-670.895212557211 96.2270487349092 -677.436827922236</t>
  </si>
  <si>
    <t>-665.424151158705 85.4511352322145 -829.272160549767</t>
  </si>
  <si>
    <t>-633.357376058039 69.4685385261921 -924.662213415018</t>
  </si>
  <si>
    <t>-654.337256668423 118.959100964585 -763.642640833011</t>
  </si>
  <si>
    <t>-571.351260821042 239.612240130337 -750.249385599038</t>
  </si>
  <si>
    <t>-479.555210363229 190.972643656838 -451.261376127044</t>
  </si>
  <si>
    <t>-326.38670071332 38.1570563771825 -306.939336249625</t>
  </si>
  <si>
    <t>-681.352602951569 61.4791729690137 -760.536700825123</t>
  </si>
  <si>
    <t>-570.054145986971 217.078740122767 -241.655123379025</t>
  </si>
  <si>
    <t>-581.35535665415 196.764858519927 213.44627212477</t>
  </si>
  <si>
    <t>-629.681577599115 167.932171592081 679.856575174632</t>
  </si>
  <si>
    <t>-493.254086599986 97.2493845990971 765.501154917428</t>
  </si>
  <si>
    <t>-633.902426154334 35.9540726148534 -208.049350923448</t>
  </si>
  <si>
    <t>-591.962919548044 -6.62294855754726 243.709349601403</t>
  </si>
  <si>
    <t>-766.049136679514 108.67063690785 664.542194822316</t>
  </si>
  <si>
    <t>-676.208185762405 -14.7047038897217 752.010124208122</t>
  </si>
  <si>
    <t>9763-20170724T160634.193785300.bin</t>
  </si>
  <si>
    <t>-600.3591319612 126.395475144239 -225.62114126084</t>
  </si>
  <si>
    <t>-638.033051354929 118.424237373963 -340.446932111014</t>
  </si>
  <si>
    <t>-657.091666900783 110.339376561111 -459.870347625683</t>
  </si>
  <si>
    <t>-666.511718564374 102.786475068895 -568.72372585438</t>
  </si>
  <si>
    <t>-668.174471666215 94.9369629665357 -677.950518902498</t>
  </si>
  <si>
    <t>-662.389524069947 83.6337960865935 -829.735808697034</t>
  </si>
  <si>
    <t>-630.100204232028 67.540473036677 -925.032090195098</t>
  </si>
  <si>
    <t>-651.760477509983 117.51742550751 -764.223719656801</t>
  </si>
  <si>
    <t>-570.585725251501 239.450086644818 -751.602240881214</t>
  </si>
  <si>
    <t>-491.741709811345 206.576293140526 -446.825156104713</t>
  </si>
  <si>
    <t>-342.859976359152 56.0468503535253 -295.771521831696</t>
  </si>
  <si>
    <t>-678.137866571215 59.7527950713898 -760.927245988028</t>
  </si>
  <si>
    <t>-568.570336339069 217.363762666082 -241.958169531735</t>
  </si>
  <si>
    <t>-580.384000553782 196.951126980685 213.125789196101</t>
  </si>
  <si>
    <t>-629.511368379749 168.081793044918 679.545011954878</t>
  </si>
  <si>
    <t>-493.040613704031 97.5873533810911 765.275849030832</t>
  </si>
  <si>
    <t>-631.904161574977 35.5930571127797 -208.6806426153</t>
  </si>
  <si>
    <t>-591.01284135348 -6.97263757165911 243.175253852492</t>
  </si>
  <si>
    <t>-765.768212899647 107.90643615675 663.780812085775</t>
  </si>
  <si>
    <t>-676.142994525685 -14.8440608756355 752.342385944046</t>
  </si>
  <si>
    <t>9763-20170724T160634.223863200.bin</t>
  </si>
  <si>
    <t>-599.907332206577 126.311362867615 -225.944909588683</t>
  </si>
  <si>
    <t>-637.455285673902 118.19625614136 -340.801829678776</t>
  </si>
  <si>
    <t>-656.283550766261 109.960957189408 -460.25161429099</t>
  </si>
  <si>
    <t>-665.452791822069 102.276787080157 -569.117149690035</t>
  </si>
  <si>
    <t>-666.823118732185 94.3037065090293 -678.338926139283</t>
  </si>
  <si>
    <t>-660.589140746693 82.8400898922912 -830.094569823669</t>
  </si>
  <si>
    <t>-628.069045953264 66.8084910638504 -925.322836959175</t>
  </si>
  <si>
    <t>-650.36569783061 116.887855463744 -764.602982383213</t>
  </si>
  <si>
    <t>-570.029321366099 239.356969975746 -752.019675305453</t>
  </si>
  <si>
    <t>-495.883974153206 214.066864492077 -445.34554213702</t>
  </si>
  <si>
    <t>-350.367442113312 63.8762015261123 -290.717654262043</t>
  </si>
  <si>
    <t>-676.329332129845 58.9368383914345 -761.291857809438</t>
  </si>
  <si>
    <t>-568.431655271781 217.590085339039 -242.200623539115</t>
  </si>
  <si>
    <t>-580.177495457094 197.132860473522 212.883092309131</t>
  </si>
  <si>
    <t>-629.385283431157 168.117827688197 679.331438218415</t>
  </si>
  <si>
    <t>-492.798567273235 97.8983812459394 765.103278660405</t>
  </si>
  <si>
    <t>-631.153422732301 35.1487660644707 -209.114988360614</t>
  </si>
  <si>
    <t>-590.583417544698 -7.11094097629893 242.798608799123</t>
  </si>
  <si>
    <t>-765.547765692571 107.328785237725 663.332070757568</t>
  </si>
  <si>
    <t>-676.127225405041 -14.9938940490952 752.688928655334</t>
  </si>
  <si>
    <t>9763-20170724T160634.289549400.bin</t>
  </si>
  <si>
    <t>-599.677817843755 126.093293496284 -226.743921538342</t>
  </si>
  <si>
    <t>-637.142847970589 117.613672944207 -341.601499461997</t>
  </si>
  <si>
    <t>-655.525576432319 109.174581315438 -461.106473322583</t>
  </si>
  <si>
    <t>-664.140859619923 101.374984762607 -570.009196184324</t>
  </si>
  <si>
    <t>-664.806072411869 93.3554325731698 -679.234194521468</t>
  </si>
  <si>
    <t>-657.436063932048 81.8993938459582 -830.939182681351</t>
  </si>
  <si>
    <t>-624.325056731485 66.1580254708852 -926.012155550578</t>
  </si>
  <si>
    <t>-648.107744667528 116.120175664727 -765.404168834826</t>
  </si>
  <si>
    <t>-569.568910655042 239.811496920119 -752.862296257103</t>
  </si>
  <si>
    <t>-503.281281753261 225.174979436514 -443.705490929099</t>
  </si>
  <si>
    <t>-360.826481342221 75.7670064893121 -285.509639802128</t>
  </si>
  <si>
    <t>-673.286412796771 57.8164642627441 -762.224636087693</t>
  </si>
  <si>
    <t>-569.184946264058 218.134382392788 -242.80949127559</t>
  </si>
  <si>
    <t>-580.009271836838 197.499060643415 212.289013530311</t>
  </si>
  <si>
    <t>-629.068137175143 168.36809930855 678.780406631062</t>
  </si>
  <si>
    <t>-492.326759136842 98.5975775800036 764.672102189605</t>
  </si>
  <si>
    <t>-629.945423373715 34.2467628856189 -210.110245703764</t>
  </si>
  <si>
    <t>-589.325162842437 -7.51103153271106 241.845484857834</t>
  </si>
  <si>
    <t>-764.597804021878 106.116101204755 662.254722464732</t>
  </si>
  <si>
    <t>-676.057968568688 -15.1951474013777 753.839600038455</t>
  </si>
  <si>
    <t>9763-20170724T160634.322639400.bin</t>
  </si>
  <si>
    <t>-599.702364212086 126.254168780924 -227.07773554525</t>
  </si>
  <si>
    <t>-637.147493709978 117.552117962826 -341.925202861708</t>
  </si>
  <si>
    <t>-655.380574908766 108.987548532164 -461.444071969875</t>
  </si>
  <si>
    <t>-663.805763456103 101.11694033521 -570.356590904985</t>
  </si>
  <si>
    <t>-664.225969160967 93.0692691465345 -679.580666906783</t>
  </si>
  <si>
    <t>-656.458462411352 81.6196291532369 -831.266467573443</t>
  </si>
  <si>
    <t>-623.047601429857 65.9855118492351 -926.252103399609</t>
  </si>
  <si>
    <t>-647.516498305124 115.92852296208 -765.72364778173</t>
  </si>
  <si>
    <t>-570.315681427942 240.44944000655 -753.229437795739</t>
  </si>
  <si>
    <t>-504.206302900817 227.715662452091 -443.950230914647</t>
  </si>
  <si>
    <t>-360.449780941448 79.9050203726169 -285.431751913879</t>
  </si>
  <si>
    <t>-672.274132671088 57.4430221597622 -762.576748269645</t>
  </si>
  <si>
    <t>-569.796489296195 218.571819128585 -243.139808856623</t>
  </si>
  <si>
    <t>-580.174872949309 198.008316724408 211.972394378992</t>
  </si>
  <si>
    <t>-628.824910201083 168.639803060334 678.48669411102</t>
  </si>
  <si>
    <t>-492.141926774252 98.8577544033869 764.46189135449</t>
  </si>
  <si>
    <t>-629.439509470801 34.1230478658301 -210.427240710735</t>
  </si>
  <si>
    <t>-588.664003811162 -7.32394124201392 241.543090699897</t>
  </si>
  <si>
    <t>-764.22069027684 105.864186812785 662.150942756585</t>
  </si>
  <si>
    <t>-676.027514259377 -15.1986977674658 754.396555187645</t>
  </si>
  <si>
    <t>9763-20170724T160634.395594200.bin</t>
  </si>
  <si>
    <t>-600.099881814303 126.956582162061 -227.424138540061</t>
  </si>
  <si>
    <t>-637.451529872272 117.863225294661 -342.271856377803</t>
  </si>
  <si>
    <t>-655.479211461735 109.110792988831 -461.808222611586</t>
  </si>
  <si>
    <t>-663.670777213792 101.162447315509 -570.732871858559</t>
  </si>
  <si>
    <t>-663.809013558562 93.132674316417 -679.958929184182</t>
  </si>
  <si>
    <t>-655.598696528315 81.8116007673509 -831.631085504188</t>
  </si>
  <si>
    <t>-621.573691006704 66.3624768921954 -926.428880132396</t>
  </si>
  <si>
    <t>-647.234077845691 116.223606430154 -766.066210498461</t>
  </si>
  <si>
    <t>-572.248926312134 242.096427620342 -753.530026259408</t>
  </si>
  <si>
    <t>-502.988469206829 227.455189433785 -445.025821440553</t>
  </si>
  <si>
    <t>-347.686207202658 91.7893742068356 -286.539052472885</t>
  </si>
  <si>
    <t>-671.228949479917 57.4180298283397 -762.975659666227</t>
  </si>
  <si>
    <t>-571.216443979707 219.644903481483 -243.409439986577</t>
  </si>
  <si>
    <t>-581.421070022031 199.227648500632 211.713220305837</t>
  </si>
  <si>
    <t>-628.747677878854 168.868521352726 678.415099154853</t>
  </si>
  <si>
    <t>-491.82012732225 99.3531651367773 764.217034555754</t>
  </si>
  <si>
    <t>-629.018070921363 34.3365225299615 -210.576568053063</t>
  </si>
  <si>
    <t>-588.36695120841 -6.26464284093186 241.481742906588</t>
  </si>
  <si>
    <t>-764.18413086796 106.006004754001 662.7586057053</t>
  </si>
  <si>
    <t>-676.07415467849 -15.1467177236343 754.965818175097</t>
  </si>
  <si>
    <t>9763-20170724T160634.427680600.bin</t>
  </si>
  <si>
    <t>-600.544369272646 127.390897381925 -227.237159712402</t>
  </si>
  <si>
    <t>-637.722409437652 118.140096496656 -342.128519697295</t>
  </si>
  <si>
    <t>-655.58433168632 109.325115726157 -461.685278940268</t>
  </si>
  <si>
    <t>-663.629420534211 101.363700488865 -570.619736823962</t>
  </si>
  <si>
    <t>-663.625268207892 93.3657394591849 -679.848369452903</t>
  </si>
  <si>
    <t>-655.221202478594 82.1377020835173 -831.516860210398</t>
  </si>
  <si>
    <t>-620.943291493406 66.8499472051731 -926.249601957332</t>
  </si>
  <si>
    <t>-647.090752389764 116.569840614712 -765.93293141354</t>
  </si>
  <si>
    <t>-572.917499505938 242.897089255126 -753.355401311547</t>
  </si>
  <si>
    <t>-501.867020750712 225.749547530455 -445.387835544646</t>
  </si>
  <si>
    <t>-341.964653009134 94.032739678592 -288.149343216772</t>
  </si>
  <si>
    <t>-670.788663622903 57.6417576576553 -762.883488463244</t>
  </si>
  <si>
    <t>-571.932026736073 220.114645069096 -243.279892169459</t>
  </si>
  <si>
    <t>-582.187950878196 199.747004515449 211.843899223302</t>
  </si>
  <si>
    <t>-628.815987650466 168.94622155572 678.538335481015</t>
  </si>
  <si>
    <t>-491.803570900029 99.417037255917 764.193471162318</t>
  </si>
  <si>
    <t>-629.153686910968 34.7925422775209 -210.3229602361</t>
  </si>
  <si>
    <t>-588.973636761114 -5.5883943250933 241.797139972565</t>
  </si>
  <si>
    <t>-764.535909466899 106.436149271952 663.484266857294</t>
  </si>
  <si>
    <t>-676.1908992267 -15.1239948265097 754.927163575967</t>
  </si>
  <si>
    <t>9763-20170724T160634.496441400.bin</t>
  </si>
  <si>
    <t>-601.110066800519 128.249982716488 -226.587689244967</t>
  </si>
  <si>
    <t>-638.058658702345 118.995188430909 -341.55276378727</t>
  </si>
  <si>
    <t>-655.760077668791 110.215501144115 -461.136030714617</t>
  </si>
  <si>
    <t>-663.690310963912 102.316467312957 -570.083477854449</t>
  </si>
  <si>
    <t>-663.602121008806 94.4193612962808 -679.319463958349</t>
  </si>
  <si>
    <t>-655.112920977273 83.3795431497258 -830.996868358748</t>
  </si>
  <si>
    <t>-620.671213602246 68.4596617518057 -925.728919334741</t>
  </si>
  <si>
    <t>-647.290637607717 117.836609446845 -765.388729161369</t>
  </si>
  <si>
    <t>-574.351260261588 244.913498962434 -752.747775531115</t>
  </si>
  <si>
    <t>-499.690655125902 220.836366396457 -446.100976024154</t>
  </si>
  <si>
    <t>-334.08910222115 97.8732077979569 -287.676704958473</t>
  </si>
  <si>
    <t>-670.447696917227 58.6919401398154 -762.379899603361</t>
  </si>
  <si>
    <t>-572.693664759725 220.660295564274 -242.725519919098</t>
  </si>
  <si>
    <t>-583.135268236518 200.337684693194 212.396146154679</t>
  </si>
  <si>
    <t>-628.95030287205 169.042538731095 678.873911311397</t>
  </si>
  <si>
    <t>-491.822593194817 99.4708487430401 764.309713287904</t>
  </si>
  <si>
    <t>-629.467429077491 35.8954980097003 -209.572236117498</t>
  </si>
  <si>
    <t>-590.672606464234 -3.74970032792339 242.733965177063</t>
  </si>
  <si>
    <t>-765.513967976583 107.924363693958 665.057836637529</t>
  </si>
  <si>
    <t>-676.368640532664 -14.8644159341268 754.049566684273</t>
  </si>
  <si>
    <t>9763-20170724T160634.522508200.bin</t>
  </si>
  <si>
    <t>-601.375221284868 128.455847825941 -226.349106248707</t>
  </si>
  <si>
    <t>-638.282044781896 119.253250332507 -341.331820622841</t>
  </si>
  <si>
    <t>-655.976759997766 110.503780233369 -460.918136543766</t>
  </si>
  <si>
    <t>-663.915971213325 102.632390695456 -569.86704446142</t>
  </si>
  <si>
    <t>-663.85194208547 94.7685599835202 -679.105442272907</t>
  </si>
  <si>
    <t>-655.412241587797 83.7854998966063 -830.789711314731</t>
  </si>
  <si>
    <t>-620.992643722266 68.9973487511807 -925.550474504912</t>
  </si>
  <si>
    <t>-647.688965196833 118.264492982441 -765.181335834902</t>
  </si>
  <si>
    <t>-575.304983435671 245.648187642488 -752.513681176488</t>
  </si>
  <si>
    <t>-498.511917329142 217.895972396252 -446.705235841828</t>
  </si>
  <si>
    <t>-331.21525225858 98.9740961018622 -286.982086855392</t>
  </si>
  <si>
    <t>-670.60416148762 59.0258004900038 -762.166932865614</t>
  </si>
  <si>
    <t>-572.932027089494 220.681199388356 -242.502051511419</t>
  </si>
  <si>
    <t>-583.228360395702 200.268828819231 212.618684593321</t>
  </si>
  <si>
    <t>-628.98041171754 169.075993747951 679.010813940915</t>
  </si>
  <si>
    <t>-491.821271269269 99.5091406736335 764.400121903852</t>
  </si>
  <si>
    <t>-629.780497451104 36.2358149742943 -209.357437037936</t>
  </si>
  <si>
    <t>-591.426312583372 -2.96447193755944 243.02514248365</t>
  </si>
  <si>
    <t>-765.814200469598 108.499857773544 665.422532437943</t>
  </si>
  <si>
    <t>-676.418306496325 -14.7723606074403 753.48979351646</t>
  </si>
  <si>
    <t>9763-20170724T160634.589691400.bin</t>
  </si>
  <si>
    <t>-601.302635862761 128.605714433499 -226.152358232786</t>
  </si>
  <si>
    <t>-638.191946635047 119.587853916672 -341.155222664633</t>
  </si>
  <si>
    <t>-655.953718210325 110.951341130613 -460.73999810882</t>
  </si>
  <si>
    <t>-663.989015518114 103.160949306643 -569.687648054298</t>
  </si>
  <si>
    <t>-664.057106310107 95.3611151739206 -678.930444616689</t>
  </si>
  <si>
    <t>-655.838098466836 84.4538888928864 -830.632556525488</t>
  </si>
  <si>
    <t>-621.585386063394 69.8194747748864 -925.477379101032</t>
  </si>
  <si>
    <t>-648.122577625898 118.939397039363 -765.026512717699</t>
  </si>
  <si>
    <t>-575.963104421622 246.439848350092 -752.290573620928</t>
  </si>
  <si>
    <t>-496.042846945277 214.126988884915 -447.733887770137</t>
  </si>
  <si>
    <t>-316.621084658456 114.380112626125 -288.045422957559</t>
  </si>
  <si>
    <t>-670.826898949732 59.6206386536776 -761.991621251653</t>
  </si>
  <si>
    <t>-441.798763128363 0.00337481774431581 -371.684009063916</t>
  </si>
  <si>
    <t>-572.863658213729 220.583225173135 -242.200688894138</t>
  </si>
  <si>
    <t>-583.031722288769 200.027339133815 212.916563981217</t>
  </si>
  <si>
    <t>-629.083851352215 169.173381240406 679.268501550889</t>
  </si>
  <si>
    <t>-491.967887259153 99.3925685480629 764.552522306134</t>
  </si>
  <si>
    <t>-629.519779469952 36.7115533613398 -209.486902225446</t>
  </si>
  <si>
    <t>-592.464528926048 -1.97913907116754 243.047751585482</t>
  </si>
  <si>
    <t>-766.115281966152 109.071789094893 665.624385758699</t>
  </si>
  <si>
    <t>-676.44600778788 -14.701635474232 752.705238958962</t>
  </si>
  <si>
    <t>9763-20170724T160634.623785600.bin</t>
  </si>
  <si>
    <t>-601.083079215777 128.563950016877 -226.134452111737</t>
  </si>
  <si>
    <t>-637.969438739955 119.606530850153 -341.14292715245</t>
  </si>
  <si>
    <t>-655.805930509572 111.008865217401 -460.719320068816</t>
  </si>
  <si>
    <t>-663.941228964867 103.243427643144 -569.661396929126</t>
  </si>
  <si>
    <t>-664.141294291518 95.4583006655671 -678.905072616938</t>
  </si>
  <si>
    <t>-656.139115690888 84.5598194304871 -830.619370445855</t>
  </si>
  <si>
    <t>-622.037796038429 69.93727879163 -925.5206499642</t>
  </si>
  <si>
    <t>-648.316344134898 119.036313473326 -765.02137489261</t>
  </si>
  <si>
    <t>-576.023100423826 246.46814418057 -752.246526751079</t>
  </si>
  <si>
    <t>-495.395447433319 212.166393962346 -448.094006441649</t>
  </si>
  <si>
    <t>-306.288212881726 124.735931843863 -292.41354797293</t>
  </si>
  <si>
    <t>-671.043427046859 59.7276708879904 -761.959543898929</t>
  </si>
  <si>
    <t>-441.42019002284 0.54288268625487 -372.080494654288</t>
  </si>
  <si>
    <t>-572.650118711025 220.446634480462 -242.117945209497</t>
  </si>
  <si>
    <t>-582.871291234005 199.988639433078 213.002561287519</t>
  </si>
  <si>
    <t>-629.123366539593 169.283729397042 679.356647984844</t>
  </si>
  <si>
    <t>-492.030290715163 99.38576698171 764.581494826048</t>
  </si>
  <si>
    <t>-629.367245409886 36.6618101466245 -209.566647939352</t>
  </si>
  <si>
    <t>-592.577741486104 -1.7756775741193 243.011246942265</t>
  </si>
  <si>
    <t>-766.157859414297 109.183074548522 665.587250808754</t>
  </si>
  <si>
    <t>-676.483549273055 -14.7231106074241 752.473838810791</t>
  </si>
  <si>
    <t>9763-20170724T160634.688944000.bin</t>
  </si>
  <si>
    <t>-600.586268761483 128.137636919104 -226.128758907248</t>
  </si>
  <si>
    <t>-637.485365832942 119.223695771951 -341.136567358695</t>
  </si>
  <si>
    <t>-655.491717496739 110.66014613976 -460.689897165813</t>
  </si>
  <si>
    <t>-663.845358085225 102.919540948916 -569.617131229891</t>
  </si>
  <si>
    <t>-664.328177960973 95.1522214515676 -678.861380347825</t>
  </si>
  <si>
    <t>-656.78523905684 84.2701480806059 -830.600229356914</t>
  </si>
  <si>
    <t>-623.008059354763 69.5982159667374 -925.609814033291</t>
  </si>
  <si>
    <t>-648.706084154031 118.717671618461 -765.0180604712</t>
  </si>
  <si>
    <t>-575.786930196204 245.774711392268 -752.257766428951</t>
  </si>
  <si>
    <t>-494.343673308661 209.502521694676 -448.551519325554</t>
  </si>
  <si>
    <t>-287.505080336384 140.591724851177 -306.737677500976</t>
  </si>
  <si>
    <t>-671.539345743762 59.4526861266479 -761.903002097506</t>
  </si>
  <si>
    <t>-572.092985146464 219.948543146708 -242.050539550166</t>
  </si>
  <si>
    <t>-582.698529401717 199.818423798351 213.075760222216</t>
  </si>
  <si>
    <t>-629.213726218207 169.32951209442 679.461480255618</t>
  </si>
  <si>
    <t>-492.055326474806 99.4386649539745 764.586965885937</t>
  </si>
  <si>
    <t>-628.957772051081 36.2164050515762 -209.633128110461</t>
  </si>
  <si>
    <t>-592.044496121332 -1.68832814261555 242.979668602609</t>
  </si>
  <si>
    <t>-766.0639933687 109.286092210104 665.369540424214</t>
  </si>
  <si>
    <t>-676.454139623261 -14.7511752753719 752.135543199565</t>
  </si>
  <si>
    <t>9763-20170724T160634.721029000.bin</t>
  </si>
  <si>
    <t>-600.195339357184 127.948290436297 -226.124173385012</t>
  </si>
  <si>
    <t>-637.120645044018 119.058509112424 -341.125485688537</t>
  </si>
  <si>
    <t>-655.236708508489 110.505960651156 -460.663154521521</t>
  </si>
  <si>
    <t>-663.723827216534 102.77122937667 -569.580491953522</t>
  </si>
  <si>
    <t>-664.374454337074 95.0063054613524 -678.823823198192</t>
  </si>
  <si>
    <t>-657.099492365444 84.1253417921691 -830.576061214875</t>
  </si>
  <si>
    <t>-623.496053331945 69.4098585752681 -925.640335449572</t>
  </si>
  <si>
    <t>-648.874464420711 118.560832207009 -765.005660065791</t>
  </si>
  <si>
    <t>-575.796966994821 245.52875326678 -752.268150156644</t>
  </si>
  <si>
    <t>-493.904245202182 208.369761215946 -448.790058769769</t>
  </si>
  <si>
    <t>-281.112361185837 145.728905173831 -313.004187110309</t>
  </si>
  <si>
    <t>-671.762441907556 59.3187912220797 -761.855161365719</t>
  </si>
  <si>
    <t>-571.614550370596 219.722206734007 -242.049086125984</t>
  </si>
  <si>
    <t>-582.439124144139 199.7088891301 213.077311717778</t>
  </si>
  <si>
    <t>-629.239868295806 169.385391370259 679.490467611187</t>
  </si>
  <si>
    <t>-492.082599017485 99.4519990078895 764.582834004548</t>
  </si>
  <si>
    <t>-628.626565209906 36.1839281771749 -209.61721188305</t>
  </si>
  <si>
    <t>-591.678955625787 -1.75537541233598 242.989853095659</t>
  </si>
  <si>
    <t>-765.986540092989 109.319824251419 665.234054889583</t>
  </si>
  <si>
    <t>-676.425729900363 -14.7589216268063 751.991375281587</t>
  </si>
  <si>
    <t>9763-20170724T160634.790250300.bin</t>
  </si>
  <si>
    <t>-599.193296419158 127.749965137401 -226.166991440831</t>
  </si>
  <si>
    <t>-636.221304780292 118.929502087939 -341.140565955242</t>
  </si>
  <si>
    <t>-654.476373471711 110.484288207078 -460.664635027175</t>
  </si>
  <si>
    <t>-663.103162523369 102.866889584072 -569.579345474259</t>
  </si>
  <si>
    <t>-663.906502278014 95.2432668003778 -678.831664156472</t>
  </si>
  <si>
    <t>-656.856871383132 84.5862790479887 -830.610331046581</t>
  </si>
  <si>
    <t>-623.414085320042 69.9041260378469 -925.736516244952</t>
  </si>
  <si>
    <t>-648.486771108694 118.906764962822 -764.99808417234</t>
  </si>
  <si>
    <t>-574.951209263966 245.59166083745 -752.01846643742</t>
  </si>
  <si>
    <t>-492.587206692675 207.44013571606 -448.791025998325</t>
  </si>
  <si>
    <t>-274.889576164408 153.524874072788 -317.09839337021</t>
  </si>
  <si>
    <t>-671.46539686834 59.6966412490065 -761.907876102471</t>
  </si>
  <si>
    <t>-570.402066220581 219.380283347025 -242.039670821276</t>
  </si>
  <si>
    <t>-581.569460864138 199.291398174421 213.075076032836</t>
  </si>
  <si>
    <t>-629.32522399216 169.431651498881 679.545591824284</t>
  </si>
  <si>
    <t>-492.175067041398 99.4013508142282 764.569674959383</t>
  </si>
  <si>
    <t>-627.861944237816 36.1482607499556 -209.610986360219</t>
  </si>
  <si>
    <t>-591.217996328723 -1.92905533747603 243.009142140936</t>
  </si>
  <si>
    <t>-765.876276165876 109.370950113993 665.082099782848</t>
  </si>
  <si>
    <t>-676.506336534845 -14.8428104202515 751.843020796237</t>
  </si>
  <si>
    <t>9763-20170724T160634.861434200.bin</t>
  </si>
  <si>
    <t>-598.018664930661 127.821499025184 -226.04715915398</t>
  </si>
  <si>
    <t>-635.181632178773 119.038609900867 -340.980158603932</t>
  </si>
  <si>
    <t>-653.583445328286 110.699166451481 -460.488975309821</t>
  </si>
  <si>
    <t>-662.346408884459 103.214913131746 -569.402055671622</t>
  </si>
  <si>
    <t>-663.288428966306 95.768351839484 -678.665580372351</t>
  </si>
  <si>
    <t>-656.433048497577 85.4090408356283 -830.473561370751</t>
  </si>
  <si>
    <t>-623.140722922655 70.8562055928023 -925.672420907993</t>
  </si>
  <si>
    <t>-647.98274125306 119.602138448274 -764.80529268888</t>
  </si>
  <si>
    <t>-574.447771574475 246.234085941638 -751.382188061208</t>
  </si>
  <si>
    <t>-491.345666676417 206.892904835982 -448.508387785037</t>
  </si>
  <si>
    <t>-276.535932846772 154.826692745307 -311.439239157595</t>
  </si>
  <si>
    <t>-670.949959087054 60.3832737624127 -761.80128538969</t>
  </si>
  <si>
    <t>-568.957405353811 219.316758239587 -242.011992478066</t>
  </si>
  <si>
    <t>-580.540232289088 199.139121259147 213.088403223077</t>
  </si>
  <si>
    <t>-629.315686811322 169.570018646349 679.504355835782</t>
  </si>
  <si>
    <t>-492.271646929797 99.3407524044167 764.535499796983</t>
  </si>
  <si>
    <t>-626.938082021074 36.3329353544307 -209.391807182517</t>
  </si>
  <si>
    <t>-590.703329014707 -2.04766367862976 243.235667122391</t>
  </si>
  <si>
    <t>-765.833191318549 109.31809810288 664.993532275123</t>
  </si>
  <si>
    <t>-676.535592100946 -14.896218724612 751.828184238096</t>
  </si>
  <si>
    <t>9763-20170724T160634.891517400.bin</t>
  </si>
  <si>
    <t>-597.415324389705 127.807103460432 -226.007898991405</t>
  </si>
  <si>
    <t>-634.647494228462 119.013080243579 -340.91755990769</t>
  </si>
  <si>
    <t>-653.119916879168 110.716499381169 -460.418602292636</t>
  </si>
  <si>
    <t>-661.946360131215 103.29679671492 -569.33091815922</t>
  </si>
  <si>
    <t>-662.950895294987 95.943088053976 -678.600145498922</t>
  </si>
  <si>
    <t>-656.180910958129 85.7444560933168 -830.422993726852</t>
  </si>
  <si>
    <t>-622.941540146279 71.2803308802504 -925.653813421115</t>
  </si>
  <si>
    <t>-647.697995548619 119.869791334626 -764.723420574059</t>
  </si>
  <si>
    <t>-574.185191416259 246.510235764199 -751.17549061758</t>
  </si>
  <si>
    <t>-491.295687737552 206.588860014499 -448.319317848617</t>
  </si>
  <si>
    <t>-282.616166056739 149.271948813199 -304.063683466011</t>
  </si>
  <si>
    <t>-670.654784339697 60.6443440169069 -761.768733820807</t>
  </si>
  <si>
    <t>-568.236919774604 219.303068606834 -242.022416459128</t>
  </si>
  <si>
    <t>-580.046046468556 199.066982620516 213.069536227051</t>
  </si>
  <si>
    <t>-629.294380113151 169.590127764647 679.454255591742</t>
  </si>
  <si>
    <t>-492.27360766198 99.3383311741827 764.50432231358</t>
  </si>
  <si>
    <t>-626.462987582454 36.331103242919 -209.296689854631</t>
  </si>
  <si>
    <t>-590.181584002358 -2.34412833514034 243.302014088361</t>
  </si>
  <si>
    <t>-765.706207613925 109.117531304659 664.749270202727</t>
  </si>
  <si>
    <t>-676.484784764952 -14.9429800190467 751.881531613486</t>
  </si>
  <si>
    <t>9763-20170724T160634.924602400.bin</t>
  </si>
  <si>
    <t>-596.790999082203 127.763026902192 -225.927900093549</t>
  </si>
  <si>
    <t>-634.070044352054 118.930654895719 -340.819408789763</t>
  </si>
  <si>
    <t>-652.592428837516 110.653399837171 -460.314045561198</t>
  </si>
  <si>
    <t>-661.464741215475 103.27652825159 -569.225559885682</t>
  </si>
  <si>
    <t>-662.515258375751 95.9925341929134 -678.499158728258</t>
  </si>
  <si>
    <t>-655.808869116761 85.9200060041253 -830.333126475162</t>
  </si>
  <si>
    <t>-622.605026682075 71.5491114960466 -925.590394368113</t>
  </si>
  <si>
    <t>-647.299746667764 119.991166010102 -764.608954654805</t>
  </si>
  <si>
    <t>-573.794315070811 246.629421359931 -750.952461136578</t>
  </si>
  <si>
    <t>-491.650379395988 205.923650583781 -447.997572212883</t>
  </si>
  <si>
    <t>-287.929002274319 141.828719968415 -299.567466259138</t>
  </si>
  <si>
    <t>-670.252760391626 60.762369331643 -761.693538198492</t>
  </si>
  <si>
    <t>-567.538500404356 219.269158927599 -242.029315424772</t>
  </si>
  <si>
    <t>-579.537798600961 199.061710618014 213.05893090465</t>
  </si>
  <si>
    <t>-629.258066238297 169.617502231671 679.390487121068</t>
  </si>
  <si>
    <t>-492.242266639193 99.3914918869143 764.469832038014</t>
  </si>
  <si>
    <t>-625.873407221947 36.2952099056674 -209.183909551361</t>
  </si>
  <si>
    <t>-589.471145665992 -2.71585407865018 243.37625068101</t>
  </si>
  <si>
    <t>-765.526205578162 108.934863691679 664.524871551208</t>
  </si>
  <si>
    <t>-676.483368336133 -15.0245315521652 751.983168980323</t>
  </si>
  <si>
    <t>9763-20170724T160634.989780900.bin</t>
  </si>
  <si>
    <t>-595.503069051481 127.242020190229 -225.858529913636</t>
  </si>
  <si>
    <t>-632.881510083241 118.277975120888 -340.707551966041</t>
  </si>
  <si>
    <t>-651.412328960046 110.033984705555 -460.2031948069</t>
  </si>
  <si>
    <t>-660.252860779765 102.760755312786 -569.124336634224</t>
  </si>
  <si>
    <t>-661.231098739982 95.6580195641341 -678.410384158583</t>
  </si>
  <si>
    <t>-654.38167099433 85.9215929956329 -830.259998629966</t>
  </si>
  <si>
    <t>-621.142916394246 71.8326157126742 -925.547239089372</t>
  </si>
  <si>
    <t>-645.992695690979 119.869567228113 -764.45653445027</t>
  </si>
  <si>
    <t>-572.702163325322 246.591623330904 -750.439396952466</t>
  </si>
  <si>
    <t>-491.692437596023 206.167076346355 -447.141767614931</t>
  </si>
  <si>
    <t>-298.560526739541 122.81572429192 -294.188518877911</t>
  </si>
  <si>
    <t>-668.831983934096 60.5897240946269 -761.685820194243</t>
  </si>
  <si>
    <t>-566.252474818067 218.975244861364 -242.098538903994</t>
  </si>
  <si>
    <t>-578.503374442515 198.931903085142 212.990277550441</t>
  </si>
  <si>
    <t>-629.151251353653 169.732465004451 679.246983170167</t>
  </si>
  <si>
    <t>-492.065378171853 99.6690680163254 764.347492188295</t>
  </si>
  <si>
    <t>-624.600473161706 35.4254231030609 -209.062065481599</t>
  </si>
  <si>
    <t>-587.482557389788 -3.81304926259418 243.420298055514</t>
  </si>
  <si>
    <t>-764.923240195324 108.148014071652 663.573373396115</t>
  </si>
  <si>
    <t>-676.404814095878 -15.189159447646 752.432481340411</t>
  </si>
  <si>
    <t>9763-20170724T160635.022868400.bin</t>
  </si>
  <si>
    <t>-594.962489698456 126.772494899861 -225.851906114675</t>
  </si>
  <si>
    <t>-632.344733987323 117.638392540837 -340.68625839973</t>
  </si>
  <si>
    <t>-650.797610334909 109.295549872422 -460.187220971688</t>
  </si>
  <si>
    <t>-659.533438736574 101.966587176001 -569.112860083924</t>
  </si>
  <si>
    <t>-660.372788512465 94.844117348151 -678.398880431564</t>
  </si>
  <si>
    <t>-653.294757378538 85.1201779092414 -830.238827079974</t>
  </si>
  <si>
    <t>-619.96796435134 71.1149643337346 -925.507729894614</t>
  </si>
  <si>
    <t>-645.057661462279 119.082804358062 -764.423815768383</t>
  </si>
  <si>
    <t>-572.036600589013 245.928577588254 -750.270892629415</t>
  </si>
  <si>
    <t>-490.904215429491 205.862775179903 -446.958449758704</t>
  </si>
  <si>
    <t>-301.396592355408 114.742791752897 -293.902604839851</t>
  </si>
  <si>
    <t>-667.795474100187 59.7626336029687 -761.684864132297</t>
  </si>
  <si>
    <t>-565.697477747664 218.730400579743 -242.193327340045</t>
  </si>
  <si>
    <t>-578.088128357705 198.892323521704 212.900676276018</t>
  </si>
  <si>
    <t>-629.051704258409 169.82701294702 679.096450132325</t>
  </si>
  <si>
    <t>-491.983474933164 99.7929619689826 764.249563258043</t>
  </si>
  <si>
    <t>-624.077599002952 34.7213913615376 -208.962838301229</t>
  </si>
  <si>
    <t>-586.27587270455 -4.65321565073282 243.451059533926</t>
  </si>
  <si>
    <t>-764.570577606745 107.713387259356 663.190684564266</t>
  </si>
  <si>
    <t>-676.321722637163 -15.292328027039 752.77437173564</t>
  </si>
  <si>
    <t>9763-20170724T160635.097839500.bin</t>
  </si>
  <si>
    <t>-594.106458109557 125.783287330543 -225.712762386583</t>
  </si>
  <si>
    <t>-631.584907151057 116.300500216448 -340.487590223023</t>
  </si>
  <si>
    <t>-649.853430304083 107.811713253137 -460.006582194039</t>
  </si>
  <si>
    <t>-658.30465569042 100.438440403749 -568.951714093295</t>
  </si>
  <si>
    <t>-658.740994775882 93.3618326264452 -678.242917372172</t>
  </si>
  <si>
    <t>-650.979904031499 83.7980319021067 -830.059569431295</t>
  </si>
  <si>
    <t>-617.352206104572 69.9852778018651 -925.250949469711</t>
  </si>
  <si>
    <t>-643.105057765519 117.716217545079 -764.177422154472</t>
  </si>
  <si>
    <t>-570.211572744254 244.580250511461 -749.50744827308</t>
  </si>
  <si>
    <t>-489.191743311943 204.291703807221 -446.194309608895</t>
  </si>
  <si>
    <t>-307.552223024443 97.5175402782204 -293.720053194407</t>
  </si>
  <si>
    <t>-665.722867085134 58.3431816371474 -761.593488719642</t>
  </si>
  <si>
    <t>-564.809333075546 218.308579055877 -242.409981210636</t>
  </si>
  <si>
    <t>-577.406433337025 198.814032753688 212.693235322845</t>
  </si>
  <si>
    <t>-628.719178019086 170.042502176095 678.739227019287</t>
  </si>
  <si>
    <t>-491.778298091664 100.038807398286 764.121809223229</t>
  </si>
  <si>
    <t>-623.303195853763 33.3474270070064 -208.372330425949</t>
  </si>
  <si>
    <t>-583.207585415123 -6.1897006055749 243.829820902214</t>
  </si>
  <si>
    <t>-763.769964948195 107.372176285699 662.442106091948</t>
  </si>
  <si>
    <t>-676.23389122932 -15.3312163606597 753.132923183431</t>
  </si>
  <si>
    <t>9763-20170724T160635.126917000.bin</t>
  </si>
  <si>
    <t>-593.735518647458 125.583091650765 -225.651926538967</t>
  </si>
  <si>
    <t>-631.251182571921 115.88386173797 -340.396344822943</t>
  </si>
  <si>
    <t>-649.433573567607 107.326157475785 -459.923628367779</t>
  </si>
  <si>
    <t>-657.754562886055 99.9478208833989 -568.878441210751</t>
  </si>
  <si>
    <t>-658.007441115789 92.9219649740769 -678.173628596952</t>
  </si>
  <si>
    <t>-649.936246386124 83.484774507376 -829.981970322735</t>
  </si>
  <si>
    <t>-616.164986236763 69.7399020252401 -925.132251087949</t>
  </si>
  <si>
    <t>-642.19399105475 117.347209595941 -764.05546411208</t>
  </si>
  <si>
    <t>-569.185267886339 244.111330678044 -749.096531071711</t>
  </si>
  <si>
    <t>-488.291432989449 203.516585522298 -445.790697308402</t>
  </si>
  <si>
    <t>-309.889048504096 90.0548595770538 -294.327614245999</t>
  </si>
  <si>
    <t>-664.821071293564 57.9735930175195 -761.56747130615</t>
  </si>
  <si>
    <t>-564.514025837022 218.363100678271 -242.521758430343</t>
  </si>
  <si>
    <t>-577.25967876863 199.055625417824 212.58525879494</t>
  </si>
  <si>
    <t>-628.503753473542 170.263003304019 678.5538655632</t>
  </si>
  <si>
    <t>-491.82006057797 99.9802652413428 764.119186135501</t>
  </si>
  <si>
    <t>-622.850398655013 33.0330596967704 -208.084188572382</t>
  </si>
  <si>
    <t>-581.787337383664 -6.58979132717423 244.023693569945</t>
  </si>
  <si>
    <t>-763.374325636926 107.458806042262 662.158849547181</t>
  </si>
  <si>
    <t>-676.205480481758 -15.3279465914852 753.090309025173</t>
  </si>
  <si>
    <t>9763-20170724T160635.191617400.bin</t>
  </si>
  <si>
    <t>-592.883737518242 125.26190806659 -225.639210724448</t>
  </si>
  <si>
    <t>-630.404877757708 115.240528119188 -340.354252647119</t>
  </si>
  <si>
    <t>-648.40030842121 106.665426144276 -459.908292948678</t>
  </si>
  <si>
    <t>-656.470263224671 99.391320486209 -568.88920598711</t>
  </si>
  <si>
    <t>-656.389206238606 92.5868653095185 -678.198534429962</t>
  </si>
  <si>
    <t>-647.767586151951 83.5767621631262 -830.002813525851</t>
  </si>
  <si>
    <t>-613.716765882395 69.9949989383256 -925.076674976105</t>
  </si>
  <si>
    <t>-640.266280958556 117.254171636874 -763.953774537131</t>
  </si>
  <si>
    <t>-567.075630194303 243.807138286707 -748.179262704857</t>
  </si>
  <si>
    <t>-485.352337546272 201.420755010315 -445.341289989983</t>
  </si>
  <si>
    <t>-312.481434017775 77.781006868453 -295.43827140463</t>
  </si>
  <si>
    <t>-662.898550837993 57.8726701721178 -761.714535287902</t>
  </si>
  <si>
    <t>-563.767052072235 218.376627483568 -242.790658274229</t>
  </si>
  <si>
    <t>-576.935529208545 199.593217177767 212.326342761001</t>
  </si>
  <si>
    <t>-628.115090849839 170.658327413689 678.292098190262</t>
  </si>
  <si>
    <t>-491.839555441828 99.9005637265018 764.116484780195</t>
  </si>
  <si>
    <t>-621.874225879342 32.3274570390608 -207.785173764769</t>
  </si>
  <si>
    <t>-579.607663889595 -6.75423329784576 244.258891472058</t>
  </si>
  <si>
    <t>-762.885807356476 107.774963714744 661.668001370562</t>
  </si>
  <si>
    <t>-676.152942192135 -15.2405037269618 752.70708821653</t>
  </si>
  <si>
    <t>9763-20170724T160635.225722500.bin</t>
  </si>
  <si>
    <t>-592.512571393941 125.166873841951 -225.594145585256</t>
  </si>
  <si>
    <t>-630.020037024619 115.070015694233 -340.307089656314</t>
  </si>
  <si>
    <t>-647.927988887287 106.560010244227 -459.878971398952</t>
  </si>
  <si>
    <t>-655.887240790336 99.3992238878443 -568.87543826987</t>
  </si>
  <si>
    <t>-655.663799329208 92.760404520644 -678.194762963994</t>
  </si>
  <si>
    <t>-646.811092633069 84.0335581214008 -830.002180148479</t>
  </si>
  <si>
    <t>-612.636477241363 70.5633755679701 -925.047658701401</t>
  </si>
  <si>
    <t>-639.402687071847 117.584830091712 -763.878394272607</t>
  </si>
  <si>
    <t>-566.06866697053 244.014002043357 -747.676403244968</t>
  </si>
  <si>
    <t>-483.544917671567 200.33187832955 -445.239676947584</t>
  </si>
  <si>
    <t>-314.542717749418 70.6867793385402 -296.000188033028</t>
  </si>
  <si>
    <t>-662.053604522497 58.2049941876023 -761.785894568709</t>
  </si>
  <si>
    <t>-563.483198289135 218.271792639732 -242.774742068383</t>
  </si>
  <si>
    <t>-576.781295642378 199.610295094263 212.343445515594</t>
  </si>
  <si>
    <t>-628.122755590627 170.67493541447 678.336892698565</t>
  </si>
  <si>
    <t>-491.87185824153 99.8511212263591 764.145942828793</t>
  </si>
  <si>
    <t>-621.474546419059 32.3184387840104 -207.686940368099</t>
  </si>
  <si>
    <t>-579.145343077063 -6.69587331379262 244.357017698501</t>
  </si>
  <si>
    <t>-762.832500402852 108.012741043384 661.633011262646</t>
  </si>
  <si>
    <t>-676.179993186023 -15.2096700299169 752.468565469299</t>
  </si>
  <si>
    <t>9763-20170724T160635.296237500.bin</t>
  </si>
  <si>
    <t>-592.069650849235 124.911064140261 -225.356632597278</t>
  </si>
  <si>
    <t>-629.545601469829 114.89852828227 -340.087337022513</t>
  </si>
  <si>
    <t>-647.236656275151 106.634978183565 -459.708735465509</t>
  </si>
  <si>
    <t>-654.921993445729 99.7530859294284 -568.742841538081</t>
  </si>
  <si>
    <t>-654.346477151085 93.4435204621366 -678.080429333924</t>
  </si>
  <si>
    <t>-644.923745361727 85.2212713969459 -829.881718058272</t>
  </si>
  <si>
    <t>-610.475495769601 71.9423193188568 -924.855166527966</t>
  </si>
  <si>
    <t>-637.701097030574 118.528525191277 -763.614139596487</t>
  </si>
  <si>
    <t>-563.74579800365 244.484254021375 -746.600875871804</t>
  </si>
  <si>
    <t>-479.909775259979 198.792472071377 -444.82292098923</t>
  </si>
  <si>
    <t>-315.807451156511 62.0901826493559 -296.414830705435</t>
  </si>
  <si>
    <t>-660.484987536066 59.1901303071788 -761.81453882393</t>
  </si>
  <si>
    <t>-563.092689057489 217.689241695929 -242.463825931435</t>
  </si>
  <si>
    <t>-576.527263410323 199.150128474245 212.65547082947</t>
  </si>
  <si>
    <t>-628.300981541474 170.407343315997 678.565218614491</t>
  </si>
  <si>
    <t>-491.952625183078 99.6895319836185 764.306850853229</t>
  </si>
  <si>
    <t>-621.005413171771 32.2896965149619 -207.408602425383</t>
  </si>
  <si>
    <t>-579.15592278432 -6.31724959264557 244.714993269083</t>
  </si>
  <si>
    <t>-763.160115007253 108.90344050941 662.060169356928</t>
  </si>
  <si>
    <t>-676.288637706729 -15.0654563713292 751.662441737422</t>
  </si>
  <si>
    <t>9763-20170724T160635.323308300.bin</t>
  </si>
  <si>
    <t>-592.084388630475 124.904550437931 -225.125769305386</t>
  </si>
  <si>
    <t>-629.53479230228 115.067794404875 -339.879862570336</t>
  </si>
  <si>
    <t>-647.138041018376 106.961558721313 -459.52527492991</t>
  </si>
  <si>
    <t>-654.718623822925 100.211178427183 -568.574804557881</t>
  </si>
  <si>
    <t>-654.013257104794 94.0207733322686 -677.918494624196</t>
  </si>
  <si>
    <t>-644.384511979089 85.9496795357038 -829.71491062922</t>
  </si>
  <si>
    <t>-609.823030846934 72.7117429622197 -924.652997186084</t>
  </si>
  <si>
    <t>-637.207167936777 119.173892566956 -763.400836328276</t>
  </si>
  <si>
    <t>-562.987364214363 244.930730672737 -746.022117323794</t>
  </si>
  <si>
    <t>-478.330121380108 198.074196719688 -444.652264449231</t>
  </si>
  <si>
    <t>-316.970083737021 57.9033940558104 -296.472862520453</t>
  </si>
  <si>
    <t>-660.082711823339 59.8678635606234 -761.698522907584</t>
  </si>
  <si>
    <t>-563.053359748721 217.531649130487 -242.176915274764</t>
  </si>
  <si>
    <t>-576.629138633046 198.917007936609 212.934986312454</t>
  </si>
  <si>
    <t>-628.478449578025 170.191063411268 678.788378515045</t>
  </si>
  <si>
    <t>-492.122351772804 99.4399725569642 764.490240528864</t>
  </si>
  <si>
    <t>-621.111422898132 32.4821833312053 -207.264323812642</t>
  </si>
  <si>
    <t>-579.491435090886 -6.08578560042929 244.883811657702</t>
  </si>
  <si>
    <t>-763.327472408369 109.378986109304 662.162446811922</t>
  </si>
  <si>
    <t>-676.390444378942 -15.0087546746502 751.118377303217</t>
  </si>
  <si>
    <t>9763-20170724T160635.388485800.bin</t>
  </si>
  <si>
    <t>-592.033526331521 124.686734311235 -224.89149006934</t>
  </si>
  <si>
    <t>-629.391786810832 115.180961355097 -339.703617366219</t>
  </si>
  <si>
    <t>-646.78772281387 107.383425417815 -459.399608867247</t>
  </si>
  <si>
    <t>-654.135049303221 100.898288438003 -568.481236129219</t>
  </si>
  <si>
    <t>-653.151275574163 94.9576675585402 -677.836598050916</t>
  </si>
  <si>
    <t>-643.089685257961 87.2159650347232 -829.622213545221</t>
  </si>
  <si>
    <t>-608.296535639442 74.0188970211457 -924.481300249333</t>
  </si>
  <si>
    <t>-635.972477853723 120.246322784135 -763.204782370425</t>
  </si>
  <si>
    <t>-560.989940936555 245.455288610857 -745.202043458263</t>
  </si>
  <si>
    <t>-476.056944936661 196.102311636776 -444.308582826626</t>
  </si>
  <si>
    <t>-317.956589136724 51.9497386178061 -296.435757306451</t>
  </si>
  <si>
    <t>-659.11079542049 61.0365146220829 -761.718738745336</t>
  </si>
  <si>
    <t>-562.688958363447 216.830901982218 -241.724625449879</t>
  </si>
  <si>
    <t>-576.639941923822 198.432065129615 213.384794150719</t>
  </si>
  <si>
    <t>-628.850333755476 169.849752401122 679.244097426343</t>
  </si>
  <si>
    <t>-492.433761300604 98.9998921281899 764.76791690222</t>
  </si>
  <si>
    <t>-621.187558186174 32.5346470142877 -207.276445229276</t>
  </si>
  <si>
    <t>-580.138278948267 -6.12178182449134 244.916334138368</t>
  </si>
  <si>
    <t>-763.52951634392 109.796637128068 661.944944101701</t>
  </si>
  <si>
    <t>-676.457727260396 -14.9478477362591 750.267268421685</t>
  </si>
  <si>
    <t>9763-20170724T160635.423593100.bin</t>
  </si>
  <si>
    <t>-592.02092295058 124.396086110404 -224.750008190029</t>
  </si>
  <si>
    <t>-629.309566704977 115.122708779205 -339.6036579047</t>
  </si>
  <si>
    <t>-646.586447200628 107.508956746892 -459.328822505525</t>
  </si>
  <si>
    <t>-653.807100076585 101.168296229949 -568.42744445248</t>
  </si>
  <si>
    <t>-652.678134254872 95.3501483918558 -677.787937235089</t>
  </si>
  <si>
    <t>-642.396765251637 87.7546048115689 -829.566106686409</t>
  </si>
  <si>
    <t>-607.479252524246 74.5334614854237 -924.37616895364</t>
  </si>
  <si>
    <t>-635.293335810626 120.688926775387 -763.099665151954</t>
  </si>
  <si>
    <t>-559.889659423401 245.609898799314 -744.789506123741</t>
  </si>
  <si>
    <t>-475.542848793579 194.827007366684 -443.969189935028</t>
  </si>
  <si>
    <t>-318.661924776651 49.3940912722878 -296.051211019108</t>
  </si>
  <si>
    <t>-658.598519593076 61.5419298447412 -761.718431943351</t>
  </si>
  <si>
    <t>-562.532675275854 216.402024122057 -241.464624434893</t>
  </si>
  <si>
    <t>-576.733777650636 198.028735446647 213.638005148273</t>
  </si>
  <si>
    <t>-629.118229539547 169.64541784915 679.536798215286</t>
  </si>
  <si>
    <t>-492.601180497459 98.7964930765604 764.900924976926</t>
  </si>
  <si>
    <t>-621.35593455016 32.3741187953085 -207.338729777578</t>
  </si>
  <si>
    <t>-580.520376613511 -6.48268770429468 244.856268166636</t>
  </si>
  <si>
    <t>-763.563849185563 109.877385893913 661.799342029493</t>
  </si>
  <si>
    <t>-676.552532488706 -14.984338825579 750.015490996883</t>
  </si>
  <si>
    <t>9763-20170724T160635.488759600.bin</t>
  </si>
  <si>
    <t>-592.01658816017 123.508239723921 -224.766789162676</t>
  </si>
  <si>
    <t>-629.191803198395 114.483968647085 -339.677095703204</t>
  </si>
  <si>
    <t>-646.148012831884 107.092931347002 -459.462032245834</t>
  </si>
  <si>
    <t>-652.995367779749 100.943955096264 -568.595727308052</t>
  </si>
  <si>
    <t>-651.411463027524 95.309054999964 -677.960095809707</t>
  </si>
  <si>
    <t>-640.414570990674 87.9609896209179 -829.700276543399</t>
  </si>
  <si>
    <t>-605.155566184462 74.6743008158819 -924.374786976781</t>
  </si>
  <si>
    <t>-633.48346400528 120.730977398966 -763.134609629178</t>
  </si>
  <si>
    <t>-557.268095919291 245.051267023396 -744.092721887557</t>
  </si>
  <si>
    <t>-473.725052179532 193.05424567049 -443.255489008666</t>
  </si>
  <si>
    <t>-318.715298152473 45.9188561618021 -295.048760078937</t>
  </si>
  <si>
    <t>-657.077231578892 61.6935984689553 -761.985443676368</t>
  </si>
  <si>
    <t>-561.980151146325 215.206988274854 -241.384075735597</t>
  </si>
  <si>
    <t>-576.370765447323 197.153554354178 213.725370369707</t>
  </si>
  <si>
    <t>-629.171380728193 169.508947342712 679.581016239653</t>
  </si>
  <si>
    <t>-492.681138290428 98.6250514044216 764.958975894275</t>
  </si>
  <si>
    <t>-621.840535642871 31.7246549948484 -207.560261852411</t>
  </si>
  <si>
    <t>-581.251298588749 -7.30294004072789 244.642136507927</t>
  </si>
  <si>
    <t>-763.616424371949 109.780108362602 661.437254781466</t>
  </si>
  <si>
    <t>-676.664781890816 -15.036134649635 749.776536855023</t>
  </si>
  <si>
    <t>9763-20170724T160635.521847400.bin</t>
  </si>
  <si>
    <t>-591.802401208936 122.896106840376 -224.845589769719</t>
  </si>
  <si>
    <t>-628.873513610477 113.952743396008 -339.795841953869</t>
  </si>
  <si>
    <t>-645.659174610973 106.655931307194 -459.610664198874</t>
  </si>
  <si>
    <t>-652.32620783639 100.59614327517 -568.760412662059</t>
  </si>
  <si>
    <t>-650.536360823935 95.0543066646787 -678.126551768727</t>
  </si>
  <si>
    <t>-639.227661733728 87.8388812881631 -829.850076196748</t>
  </si>
  <si>
    <t>-603.800477139997 74.503749897367 -924.454994513736</t>
  </si>
  <si>
    <t>-632.361509324147 120.521876589036 -763.234808901557</t>
  </si>
  <si>
    <t>-555.826355171914 244.580300972922 -743.885040983765</t>
  </si>
  <si>
    <t>-473.0044642031 192.2284511648 -442.909970927939</t>
  </si>
  <si>
    <t>-318.433004302467 44.5002960956781 -294.835224054451</t>
  </si>
  <si>
    <t>-656.101334860076 61.5410671312829 -762.199336400878</t>
  </si>
  <si>
    <t>-561.550961016331 214.59732709293 -241.436238701805</t>
  </si>
  <si>
    <t>-576.123364211893 196.784048977404 213.676934625754</t>
  </si>
  <si>
    <t>-629.129238995848 169.574387615887 679.540031820749</t>
  </si>
  <si>
    <t>-492.729072904476 98.5697184484075 764.961585468457</t>
  </si>
  <si>
    <t>-621.788957755009 31.1404219660733 -207.690203835271</t>
  </si>
  <si>
    <t>-581.420676487884 -7.92726526770048 244.528530329373</t>
  </si>
  <si>
    <t>-763.676250689137 109.617377495119 661.29149251813</t>
  </si>
  <si>
    <t>-676.625857327558 -15.0481575129836 749.746192578711</t>
  </si>
  <si>
    <t>9763-20170724T160635.589749900.bin</t>
  </si>
  <si>
    <t>-591.324007761633 121.908123483387 -225.040091534308</t>
  </si>
  <si>
    <t>-628.188909408684 112.961329444517 -340.056417894147</t>
  </si>
  <si>
    <t>-644.673950743095 105.749608192917 -459.918032514971</t>
  </si>
  <si>
    <t>-651.031703261575 99.7992799765852 -569.092256472537</t>
  </si>
  <si>
    <t>-648.896279054554 94.3973995158619 -678.458981439927</t>
  </si>
  <si>
    <t>-637.070248158632 87.4070169829834 -830.153782979775</t>
  </si>
  <si>
    <t>-601.352821512036 74.0259794754193 -924.642853259472</t>
  </si>
  <si>
    <t>-630.334403275212 119.952149099828 -763.457776901442</t>
  </si>
  <si>
    <t>-553.275036087653 243.622163808 -743.53245186616</t>
  </si>
  <si>
    <t>-471.417486075608 190.118387325365 -442.496175181428</t>
  </si>
  <si>
    <t>-317.178704296422 40.9836994754426 -295.488293137231</t>
  </si>
  <si>
    <t>-654.271421322177 61.0479126581224 -762.609474284924</t>
  </si>
  <si>
    <t>-560.847235529361 213.700641663451 -241.6661344101</t>
  </si>
  <si>
    <t>-575.834773412482 196.45762483165 213.45556519173</t>
  </si>
  <si>
    <t>-628.880664474948 169.578773471225 679.261440034556</t>
  </si>
  <si>
    <t>-492.683008233557 98.5338591396287 764.972112926025</t>
  </si>
  <si>
    <t>-621.676814510097 30.1435564873157 -207.789829701313</t>
  </si>
  <si>
    <t>-581.118663547281 -9.03246128317573 244.402555380854</t>
  </si>
  <si>
    <t>-763.678279657472 109.393550375264 660.82385044582</t>
  </si>
  <si>
    <t>-676.763648187428 -15.1355264369849 749.603808097717</t>
  </si>
  <si>
    <t>9763-20170724T160635.628851000.bin</t>
  </si>
  <si>
    <t>-591.059602606698 121.364764983711 -225.247989146266</t>
  </si>
  <si>
    <t>-627.823836885766 112.346279737688 -340.290824617617</t>
  </si>
  <si>
    <t>-644.180708917203 105.129698245829 -460.169750345231</t>
  </si>
  <si>
    <t>-650.411786577541 99.1988489970734 -569.352297233343</t>
  </si>
  <si>
    <t>-648.138590966119 93.8391728337174 -678.718513154829</t>
  </si>
  <si>
    <t>-636.110239349296 86.9289198716233 -830.400958718928</t>
  </si>
  <si>
    <t>-600.258588569082 73.5326558716738 -924.837044446732</t>
  </si>
  <si>
    <t>-629.422497941089 119.422090441428 -763.6747568915</t>
  </si>
  <si>
    <t>-552.193994051894 242.918418619037 -743.530198305052</t>
  </si>
  <si>
    <t>-470.444647264209 189.089893403377 -442.522410499744</t>
  </si>
  <si>
    <t>-316.548589584393 38.5183078234511 -296.624286195288</t>
  </si>
  <si>
    <t>-653.442388784252 60.5508144714095 -762.897549646105</t>
  </si>
  <si>
    <t>-560.449493485527 213.236857270105 -241.943495929209</t>
  </si>
  <si>
    <t>-575.517203903272 196.328211417849 213.188115011289</t>
  </si>
  <si>
    <t>-628.631993085021 169.733227579211 679.027572741663</t>
  </si>
  <si>
    <t>-492.594234785696 98.6119453810925 764.92867491165</t>
  </si>
  <si>
    <t>-621.528295247313 29.5077752383061 -207.970162208097</t>
  </si>
  <si>
    <t>-580.652865877665 -9.61895404112533 244.197898295161</t>
  </si>
  <si>
    <t>-763.528198248106 109.142413814259 660.331934594939</t>
  </si>
  <si>
    <t>-676.743786019417 -15.186624923909 749.518594135718</t>
  </si>
  <si>
    <t>9763-20170724T160635.694063300.bin</t>
  </si>
  <si>
    <t>-590.056574818767 120.632584440012 -225.504271808994</t>
  </si>
  <si>
    <t>-626.688306538807 111.447996465318 -340.576272705322</t>
  </si>
  <si>
    <t>-642.906348302377 104.230630467152 -460.473836826035</t>
  </si>
  <si>
    <t>-649.008755020628 98.3609275263673 -569.667137577264</t>
  </si>
  <si>
    <t>-646.603537049551 93.1208388030025 -679.036243196427</t>
  </si>
  <si>
    <t>-634.388195247843 86.4343242798584 -830.713701428864</t>
  </si>
  <si>
    <t>-598.343445905504 73.0938742765691 -925.084343984158</t>
  </si>
  <si>
    <t>-627.737180952104 118.810491387214 -763.927034438179</t>
  </si>
  <si>
    <t>-550.141545645545 242.035122451071 -743.410032195937</t>
  </si>
  <si>
    <t>-468.26664122403 186.652271564787 -442.71836964378</t>
  </si>
  <si>
    <t>-314.264416021212 34.28417573449 -298.810993541062</t>
  </si>
  <si>
    <t>-651.84905542527 59.9752821281743 -763.275295016992</t>
  </si>
  <si>
    <t>-559.448172393752 212.642184322765 -242.227389870159</t>
  </si>
  <si>
    <t>-574.987525812122 196.175437281268 212.904415568798</t>
  </si>
  <si>
    <t>-628.434384403768 169.848047140548 678.820610960957</t>
  </si>
  <si>
    <t>-492.490043456191 98.7452674971064 764.884783448257</t>
  </si>
  <si>
    <t>-620.560286184164 28.7613750822602 -208.110940166965</t>
  </si>
  <si>
    <t>-579.689322112381 -10.3382277140136 244.059913038862</t>
  </si>
  <si>
    <t>-763.385564933427 109.136011969471 659.961907432474</t>
  </si>
  <si>
    <t>-676.727110714735 -15.1821366992895 749.286089869817</t>
  </si>
  <si>
    <t>9763-20170724T160635.725141600.bin</t>
  </si>
  <si>
    <t>-589.604297464795 120.437416515859 -225.465766561224</t>
  </si>
  <si>
    <t>-626.216016671898 111.176863928377 -340.5380173639</t>
  </si>
  <si>
    <t>-642.407402115552 103.939005492783 -460.437967555438</t>
  </si>
  <si>
    <t>-648.482605835474 98.0714808108169 -569.632882928753</t>
  </si>
  <si>
    <t>-646.046890245019 92.853173744151 -679.002364137033</t>
  </si>
  <si>
    <t>-633.785464622343 86.2164325803681 -830.678371389345</t>
  </si>
  <si>
    <t>-597.666815507755 72.8877846029625 -925.022316458877</t>
  </si>
  <si>
    <t>-627.13645407439 118.563206973182 -763.877232551938</t>
  </si>
  <si>
    <t>-549.452111002275 241.697779650769 -743.214880607758</t>
  </si>
  <si>
    <t>-467.28125608487 185.567535484314 -442.742815098606</t>
  </si>
  <si>
    <t>-312.808794650007 32.6808394445916 -299.893266898332</t>
  </si>
  <si>
    <t>-651.285076832594 59.7427624552959 -763.255603508861</t>
  </si>
  <si>
    <t>-558.996286140723 212.453394749035 -242.221526854237</t>
  </si>
  <si>
    <t>-574.737284196805 196.164998711826 212.909854987131</t>
  </si>
  <si>
    <t>-628.437237241335 169.821123139311 678.838198375085</t>
  </si>
  <si>
    <t>-492.448544929512 98.7890825046056 764.890720992976</t>
  </si>
  <si>
    <t>-620.178017072531 28.556302981892 -207.946649357261</t>
  </si>
  <si>
    <t>-579.171938424865 -10.3893065165598 244.225253424653</t>
  </si>
  <si>
    <t>-763.404481708757 109.374658242036 659.939957912784</t>
  </si>
  <si>
    <t>-676.793859201295 -15.1576117319412 749.011999552519</t>
  </si>
  <si>
    <t>9763-20170724T160635.792330700.bin</t>
  </si>
  <si>
    <t>-588.759566840393 120.161232509342 -225.071048262021</t>
  </si>
  <si>
    <t>-625.372199386108 110.821075984102 -340.136680958605</t>
  </si>
  <si>
    <t>-641.534966163323 103.498552831384 -460.035319942439</t>
  </si>
  <si>
    <t>-647.5716320064 97.5510183286074 -569.228040353387</t>
  </si>
  <si>
    <t>-645.085158647269 92.247586330999 -678.592329830196</t>
  </si>
  <si>
    <t>-632.740463245253 85.486350999377 -830.25611162297</t>
  </si>
  <si>
    <t>-596.571607475439 72.1458456075668 -924.57916241975</t>
  </si>
  <si>
    <t>-626.108477004881 117.879975276149 -763.476048057786</t>
  </si>
  <si>
    <t>-548.34397078642 240.94658952449 -742.707074415267</t>
  </si>
  <si>
    <t>-464.58752151212 183.821132470343 -442.860896042599</t>
  </si>
  <si>
    <t>-310.181704296836 28.9757146475783 -302.063940153524</t>
  </si>
  <si>
    <t>-650.29673603342 59.0760133160845 -762.823257654522</t>
  </si>
  <si>
    <t>-558.18893132488 212.034180947788 -241.831296646889</t>
  </si>
  <si>
    <t>-574.416662598483 195.847696706104 213.286625482372</t>
  </si>
  <si>
    <t>-628.780555706429 169.488367942082 679.191948988809</t>
  </si>
  <si>
    <t>-492.522699899228 98.6851701765556 765.006966917406</t>
  </si>
  <si>
    <t>-619.249486995366 28.4070708486427 -207.50089979272</t>
  </si>
  <si>
    <t>-578.282137420327 -10.2758315037079 244.696977032354</t>
  </si>
  <si>
    <t>-763.40210566836 109.836290816457 659.820872181584</t>
  </si>
  <si>
    <t>-676.816689479288 -15.0820775399186 748.375252409116</t>
  </si>
  <si>
    <t>9763-20170724T160635.828427800.bin</t>
  </si>
  <si>
    <t>-588.34688473303 120.001392446767 -224.794746078573</t>
  </si>
  <si>
    <t>-624.884056399307 110.665979893532 -339.88457416954</t>
  </si>
  <si>
    <t>-641.042157099982 103.332385555499 -459.783350287913</t>
  </si>
  <si>
    <t>-647.104468708195 97.3661383485148 -568.973495942279</t>
  </si>
  <si>
    <t>-644.673463444504 92.0342303341652 -678.337717868296</t>
  </si>
  <si>
    <t>-632.436768378814 85.2219925683426 -830.007965808629</t>
  </si>
  <si>
    <t>-596.283551872883 71.8440517809827 -924.331633329874</t>
  </si>
  <si>
    <t>-625.725842264304 117.625098125238 -763.240177825355</t>
  </si>
  <si>
    <t>-547.848305682746 240.630135214042 -742.526188407914</t>
  </si>
  <si>
    <t>-463.553870744749 183.11612159739 -442.90521717275</t>
  </si>
  <si>
    <t>-308.565810987698 28.6509604537152 -302.33032451101</t>
  </si>
  <si>
    <t>-649.976405824151 58.8472976145806 -762.556769890204</t>
  </si>
  <si>
    <t>-557.780780122207 211.813582504064 -241.517553816706</t>
  </si>
  <si>
    <t>-574.32866759801 195.550923471761 213.586168560056</t>
  </si>
  <si>
    <t>-629.088088403064 169.294817179998 679.516416095547</t>
  </si>
  <si>
    <t>-492.714161463228 98.445577250385 765.108751751198</t>
  </si>
  <si>
    <t>-618.80467083312 28.327172913931 -207.305501414746</t>
  </si>
  <si>
    <t>-577.958384356525 -10.245187641236 244.912845165554</t>
  </si>
  <si>
    <t>-763.376007961852 109.972132759604 659.753079313577</t>
  </si>
  <si>
    <t>-676.826911921488 -15.0606844639406 748.181365308744</t>
  </si>
  <si>
    <t>9763-20170724T160635.891518800.bin</t>
  </si>
  <si>
    <t>-587.659458885793 119.622304633768 -224.414683656603</t>
  </si>
  <si>
    <t>-624.085439403502 110.271595389741 -339.538629996248</t>
  </si>
  <si>
    <t>-640.334890153272 102.886525752495 -459.421839006405</t>
  </si>
  <si>
    <t>-646.56415098306 96.8560476589694 -568.59908487137</t>
  </si>
  <si>
    <t>-644.384300358456 91.4405260221049 -677.964341211206</t>
  </si>
  <si>
    <t>-632.583294524299 84.4904365113432 -829.662917389697</t>
  </si>
  <si>
    <t>-596.635284201878 70.9842887682626 -924.046783212337</t>
  </si>
  <si>
    <t>-625.636982100426 116.936116117416 -762.94019279354</t>
  </si>
  <si>
    <t>-547.675463104128 239.914600348657 -742.419214505104</t>
  </si>
  <si>
    <t>-462.257208676258 181.100002960469 -443.369506056669</t>
  </si>
  <si>
    <t>-305.45713952978 29.5296009468077 -301.657790716754</t>
  </si>
  <si>
    <t>-649.972882413984 58.195018640869 -762.14204795419</t>
  </si>
  <si>
    <t>-557.182988046189 211.13579329844 -241.02028107572</t>
  </si>
  <si>
    <t>-574.210392594557 194.987315750989 214.069796452237</t>
  </si>
  <si>
    <t>-629.591984210771 168.933461307723 679.987691285133</t>
  </si>
  <si>
    <t>-492.868673892455 98.2546912063335 765.162564966374</t>
  </si>
  <si>
    <t>-617.970523082434 28.1495017852119 -207.118082587401</t>
  </si>
  <si>
    <t>-577.899690509526 -10.2315118300978 245.185917823168</t>
  </si>
  <si>
    <t>-763.305654838621 110.10723659389 659.797065822753</t>
  </si>
  <si>
    <t>-676.927887506951 -15.0979320697572 748.148946231986</t>
  </si>
  <si>
    <t>9763-20170724T160635.922599900.bin</t>
  </si>
  <si>
    <t>-587.398414558738 119.336744328607 -224.240832075938</t>
  </si>
  <si>
    <t>-623.775405520978 110.024828592488 -339.383259727272</t>
  </si>
  <si>
    <t>-640.047051653996 102.647927270599 -459.264059864938</t>
  </si>
  <si>
    <t>-646.326205754356 96.610278712508 -568.438043295755</t>
  </si>
  <si>
    <t>-644.225928884388 91.1720609158044 -677.803874865124</t>
  </si>
  <si>
    <t>-632.566331644799 84.1729830803527 -829.510975702814</t>
  </si>
  <si>
    <t>-596.701612833679 70.606559070058 -923.917828216543</t>
  </si>
  <si>
    <t>-625.540199313692 116.632981675283 -762.803485704902</t>
  </si>
  <si>
    <t>-547.493278299552 239.564912433096 -742.333471927553</t>
  </si>
  <si>
    <t>-461.462665465623 180.269954177332 -443.554290905452</t>
  </si>
  <si>
    <t>-303.176281899798 31.0689061430114 -300.983089099252</t>
  </si>
  <si>
    <t>-649.910559532123 57.9066492057038 -761.967109762821</t>
  </si>
  <si>
    <t>-557.015064250407 210.81722137426 -240.819949503767</t>
  </si>
  <si>
    <t>-574.011047501486 194.521101741478 214.26597548204</t>
  </si>
  <si>
    <t>-629.772616618291 168.813809942596 680.161250005412</t>
  </si>
  <si>
    <t>-492.90605059711 98.2296169993383 765.184368101405</t>
  </si>
  <si>
    <t>-617.597411419155 27.8760417824319 -207.0743499966</t>
  </si>
  <si>
    <t>-577.928957527879 -10.1302624288082 245.296753249141</t>
  </si>
  <si>
    <t>-763.321452186446 110.090376459776 659.874850817994</t>
  </si>
  <si>
    <t>-676.981870854306 -15.1196153931926 748.257281492026</t>
  </si>
  <si>
    <t>9763-20170724T160635.993473600.bin</t>
  </si>
  <si>
    <t>-587.208867727338 118.94507170268 -224.196840849759</t>
  </si>
  <si>
    <t>-623.599751725727 109.756070061183 -339.344960358321</t>
  </si>
  <si>
    <t>-639.907198732843 102.349111353985 -459.218888511266</t>
  </si>
  <si>
    <t>-646.228622258548 96.2150514189927 -568.385131532098</t>
  </si>
  <si>
    <t>-644.180900329862 90.6071779880651 -677.743274497015</t>
  </si>
  <si>
    <t>-632.605242776998 83.2925996042122 -829.441939470434</t>
  </si>
  <si>
    <t>-596.826176922809 69.4944972250248 -923.847840690461</t>
  </si>
  <si>
    <t>-625.483155688222 115.866786379737 -762.800336541716</t>
  </si>
  <si>
    <t>-547.332172408219 238.754235597706 -742.464584354684</t>
  </si>
  <si>
    <t>-459.820898839407 178.858150231356 -444.235749498435</t>
  </si>
  <si>
    <t>-299.379766439945 34.0856188283171 -299.523575450512</t>
  </si>
  <si>
    <t>-649.971141291433 57.1912782008928 -761.839643138216</t>
  </si>
  <si>
    <t>-556.919610347009 210.323892234914 -240.628458633332</t>
  </si>
  <si>
    <t>-573.323822789998 193.620888577064 214.464437618398</t>
  </si>
  <si>
    <t>-629.914055060638 168.707923348623 680.305597129564</t>
  </si>
  <si>
    <t>-492.857470551942 98.3294331631828 765.19297983813</t>
  </si>
  <si>
    <t>-617.351452424478 27.6782531124468 -207.13480801348</t>
  </si>
  <si>
    <t>-578.172340062485 -10.1544183939179 245.293445950922</t>
  </si>
  <si>
    <t>-763.251549481733 110.024056409969 660.006532729825</t>
  </si>
  <si>
    <t>-676.98210419386 -15.1428375463288 748.518388780109</t>
  </si>
  <si>
    <t>9763-20170724T160636.027563900.bin</t>
  </si>
  <si>
    <t>-587.171602145259 118.885222595327 -224.150253112422</t>
  </si>
  <si>
    <t>-623.557662897405 109.733345303512 -339.30286851689</t>
  </si>
  <si>
    <t>-639.864087548989 102.352821776181 -459.178577364962</t>
  </si>
  <si>
    <t>-646.18571845663 96.2327492675354 -568.345521146767</t>
  </si>
  <si>
    <t>-644.139361098711 90.6253746204115 -677.703750787771</t>
  </si>
  <si>
    <t>-632.566800707177 83.2942994006855 -829.402026995698</t>
  </si>
  <si>
    <t>-596.761147657083 69.4337771095327 -923.788639713174</t>
  </si>
  <si>
    <t>-625.401957029745 115.858574444869 -762.75996558471</t>
  </si>
  <si>
    <t>-547.080452738517 238.632462089714 -742.466619687957</t>
  </si>
  <si>
    <t>-458.823298303704 178.337239534333 -444.538175133127</t>
  </si>
  <si>
    <t>-297.914134101133 34.8014533139458 -299.115512494028</t>
  </si>
  <si>
    <t>-649.972649739168 57.2175629492892 -761.800523221355</t>
  </si>
  <si>
    <t>-556.952682020324 210.201860327012 -240.563233379534</t>
  </si>
  <si>
    <t>-573.016845605342 193.299341526184 214.534502899458</t>
  </si>
  <si>
    <t>-629.937500540399 168.665097091207 680.341122765452</t>
  </si>
  <si>
    <t>-492.778286785978 98.4506439637412 765.198620603974</t>
  </si>
  <si>
    <t>-617.188976542428 27.72646273648 -207.133170636249</t>
  </si>
  <si>
    <t>-578.261758943387 -10.0909551645893 245.318052339281</t>
  </si>
  <si>
    <t>-763.209930388768 110.000249067795 660.089414829756</t>
  </si>
  <si>
    <t>-677.00351705837 -15.1644958905194 748.665637848114</t>
  </si>
  <si>
    <t>9763-20170724T160636.090737100.bin</t>
  </si>
  <si>
    <t>-587.166773338556 118.662682253481 -224.19893212387</t>
  </si>
  <si>
    <t>-623.567601791797 109.583430344589 -339.352621182339</t>
  </si>
  <si>
    <t>-639.9509183192 102.252276530718 -459.220861584517</t>
  </si>
  <si>
    <t>-646.367610154272 96.1643961681059 -568.384047771612</t>
  </si>
  <si>
    <t>-644.441548714163 90.5752189062673 -677.745482539459</t>
  </si>
  <si>
    <t>-633.061945638635 83.2534880192752 -829.458748340245</t>
  </si>
  <si>
    <t>-597.24798863209 69.2568794871181 -923.822046980791</t>
  </si>
  <si>
    <t>-625.795382485676 115.806503386679 -762.822165647168</t>
  </si>
  <si>
    <t>-547.47186365825 238.611395074226 -742.510098034954</t>
  </si>
  <si>
    <t>-458.277698495491 177.159539902759 -445.097487153776</t>
  </si>
  <si>
    <t>-297.295294849089 34.4778932267168 -298.917253145062</t>
  </si>
  <si>
    <t>-650.398734497882 57.1797672383134 -761.838227434707</t>
  </si>
  <si>
    <t>-557.037600173956 209.926272552695 -240.529407644321</t>
  </si>
  <si>
    <t>-572.852537443084 192.999802716411 214.576149388311</t>
  </si>
  <si>
    <t>-629.91826284158 168.636675651469 680.366244974457</t>
  </si>
  <si>
    <t>-492.752107434279 98.4423465444138 765.229173403971</t>
  </si>
  <si>
    <t>-617.186492834443 27.4356841086815 -207.187493817149</t>
  </si>
  <si>
    <t>-578.397433776608 -9.89697545630634 245.315858420756</t>
  </si>
  <si>
    <t>-763.236341496447 109.900528705894 660.273707117096</t>
  </si>
  <si>
    <t>-676.995971144568 -15.1855560049535 748.927959248638</t>
  </si>
  <si>
    <t>9763-20170724T160636.121819600.bin</t>
  </si>
  <si>
    <t>-587.209362998668 118.617506798328 -224.15815949089</t>
  </si>
  <si>
    <t>-623.60309279712 109.543326894979 -339.314480764237</t>
  </si>
  <si>
    <t>-639.992927514047 102.176864933454 -459.179676556395</t>
  </si>
  <si>
    <t>-646.421583211689 96.0404159815887 -568.339426312682</t>
  </si>
  <si>
    <t>-644.513599029106 90.3861062281312 -677.697784120421</t>
  </si>
  <si>
    <t>-633.165740840672 82.956361803235 -829.408159095528</t>
  </si>
  <si>
    <t>-597.366865471465 68.9304116674255 -923.772780257344</t>
  </si>
  <si>
    <t>-625.875006422707 115.552539119207 -762.795467293356</t>
  </si>
  <si>
    <t>-547.641179370207 238.416663337931 -742.628084653383</t>
  </si>
  <si>
    <t>-458.361639470544 177.075135368903 -445.218340140878</t>
  </si>
  <si>
    <t>-297.639496003346 34.0828981281663 -299.055151795392</t>
  </si>
  <si>
    <t>-650.498671651511 56.9349980940906 -761.766569818149</t>
  </si>
  <si>
    <t>-557.04813524583 209.87050135001 -240.528166749337</t>
  </si>
  <si>
    <t>-572.89649657202 193.012311609732 214.578662961721</t>
  </si>
  <si>
    <t>-629.879921014985 168.713212545144 680.375010535151</t>
  </si>
  <si>
    <t>-492.75025127319 98.4606270119916 765.24865035253</t>
  </si>
  <si>
    <t>-617.220697199641 27.4417232906987 -207.126882746623</t>
  </si>
  <si>
    <t>-578.416300158912 -9.97775955864518 245.368095327604</t>
  </si>
  <si>
    <t>-763.231897702397 109.902741381496 660.342667632229</t>
  </si>
  <si>
    <t>-677.043402946772 -15.2110276876549 749.008354213678</t>
  </si>
  <si>
    <t>9763-20170724T160636.192014400.bin</t>
  </si>
  <si>
    <t>-587.267449100842 118.426718216544 -224.134916701284</t>
  </si>
  <si>
    <t>-623.68836372814 109.338841288984 -339.281462104205</t>
  </si>
  <si>
    <t>-640.188180871032 101.948148333377 -459.130127371037</t>
  </si>
  <si>
    <t>-646.750204382659 95.783865179329 -568.280383271649</t>
  </si>
  <si>
    <t>-645.008794339791 90.0954761824303 -677.639663848409</t>
  </si>
  <si>
    <t>-633.926590437393 82.6108927778444 -829.367030405748</t>
  </si>
  <si>
    <t>-598.163327287308 68.5377695475297 -923.738174813654</t>
  </si>
  <si>
    <t>-626.465530507584 115.208576679932 -762.773889086866</t>
  </si>
  <si>
    <t>-548.321100913039 238.210442572049 -743.064069334163</t>
  </si>
  <si>
    <t>-459.203301651356 178.275215045689 -445.319270789001</t>
  </si>
  <si>
    <t>-299.678547731983 34.1240208988684 -298.982951272954</t>
  </si>
  <si>
    <t>-651.194804245979 56.6364942784423 -761.690850684788</t>
  </si>
  <si>
    <t>-557.042015733005 209.642569893942 -240.574132357347</t>
  </si>
  <si>
    <t>-572.908562607162 192.964368277675 214.538713387362</t>
  </si>
  <si>
    <t>-629.778060277279 168.808674055487 680.354795101547</t>
  </si>
  <si>
    <t>-492.672830921471 98.5505197622697 765.263324416673</t>
  </si>
  <si>
    <t>-617.383453107576 27.192565431287 -207.061964354626</t>
  </si>
  <si>
    <t>-578.495104052493 -10.0922697425074 245.436934217515</t>
  </si>
  <si>
    <t>-763.304045438702 109.843383893354 660.430331794072</t>
  </si>
  <si>
    <t>-677.118176041334 -15.2633870218476 749.108417022525</t>
  </si>
  <si>
    <t>9763-20170724T160636.226103000.bin</t>
  </si>
  <si>
    <t>-587.330792723384 118.242942347262 -224.143000863935</t>
  </si>
  <si>
    <t>-623.769658397062 109.169831956197 -339.285003155972</t>
  </si>
  <si>
    <t>-640.341185423383 101.769726642377 -459.123235512293</t>
  </si>
  <si>
    <t>-646.990137618329 95.5882983443107 -568.267347372959</t>
  </si>
  <si>
    <t>-645.357896035546 89.8745717944807 -677.626959852769</t>
  </si>
  <si>
    <t>-634.449915592999 82.3473011377575 -829.364790607474</t>
  </si>
  <si>
    <t>-598.727489228466 68.2351798240877 -923.745651982359</t>
  </si>
  <si>
    <t>-626.887587107418 114.953309109472 -762.7871204631</t>
  </si>
  <si>
    <t>-548.816365900613 238.049144282027 -743.398128711009</t>
  </si>
  <si>
    <t>-460.483523846417 178.820208287789 -445.278433190439</t>
  </si>
  <si>
    <t>-300.964167861089 34.5584606767311 -299.04515726804</t>
  </si>
  <si>
    <t>-651.665169620216 56.4024195314023 -761.663813425418</t>
  </si>
  <si>
    <t>-557.056912670034 209.419937279582 -240.605319940487</t>
  </si>
  <si>
    <t>-572.903827633498 192.783724264921 214.50978566987</t>
  </si>
  <si>
    <t>-629.751123838412 168.758897608192 680.345111264046</t>
  </si>
  <si>
    <t>-492.559665737614 98.6857498031079 765.267195002808</t>
  </si>
  <si>
    <t>-617.522560843115 27.1130941787542 -207.021136064187</t>
  </si>
  <si>
    <t>-578.546913266815 -10.2622136928758 245.462747704954</t>
  </si>
  <si>
    <t>-763.327445277688 109.814394889186 660.445510872502</t>
  </si>
  <si>
    <t>-677.122018304449 -15.2746450760883 749.129574002715</t>
  </si>
  <si>
    <t>9763-20170724T160636.291293100.bin</t>
  </si>
  <si>
    <t>-587.470417957858 117.944222459335 -224.086661111727</t>
  </si>
  <si>
    <t>-624.028058967396 108.92487169492 -339.195219109902</t>
  </si>
  <si>
    <t>-640.775172306218 101.513624168345 -459.008350321938</t>
  </si>
  <si>
    <t>-647.606175863021 95.3014462189169 -568.139485494327</t>
  </si>
  <si>
    <t>-646.178829955147 89.5401584571953 -677.499452199571</t>
  </si>
  <si>
    <t>-635.579138399936 81.9323345808634 -829.255089384353</t>
  </si>
  <si>
    <t>-599.969108009687 67.7749811042202 -923.671605474349</t>
  </si>
  <si>
    <t>-627.88453214428 114.574895859108 -762.710546641907</t>
  </si>
  <si>
    <t>-550.09892418315 237.92593235491 -743.779405300863</t>
  </si>
  <si>
    <t>-463.128013933689 179.530037682979 -445.095226327934</t>
  </si>
  <si>
    <t>-302.570984288212 35.7705238071835 -299.504392542304</t>
  </si>
  <si>
    <t>-652.65387489606 56.0221530202775 -761.505254359748</t>
  </si>
  <si>
    <t>-556.992082087711 209.034664297707 -240.609970400111</t>
  </si>
  <si>
    <t>-572.637601387024 192.378245347837 214.511420239699</t>
  </si>
  <si>
    <t>-629.68758299403 168.795433920146 680.339089618623</t>
  </si>
  <si>
    <t>-492.549213702872 98.6637354702311 765.298643668847</t>
  </si>
  <si>
    <t>-617.863368284167 26.9559482121169 -206.919375591838</t>
  </si>
  <si>
    <t>-578.617446227981 -10.5262526009719 245.532321019107</t>
  </si>
  <si>
    <t>-763.331345814632 109.833150119428 660.47617750682</t>
  </si>
  <si>
    <t>-677.180008712406 -15.3141752180529 749.130629541543</t>
  </si>
  <si>
    <t>9763-20170724T160636.325383100.bin</t>
  </si>
  <si>
    <t>-587.565010957775 117.826310227729 -224.08683072041</t>
  </si>
  <si>
    <t>-624.177568247316 108.813156919384 -339.178470637512</t>
  </si>
  <si>
    <t>-641.027616713271 101.386538830008 -458.97614478278</t>
  </si>
  <si>
    <t>-647.971138478555 95.1524485924397 -568.098903565693</t>
  </si>
  <si>
    <t>-646.675649339764 89.3615459629345 -677.459038056497</t>
  </si>
  <si>
    <t>-636.278734898275 81.7052180894927 -829.226321145647</t>
  </si>
  <si>
    <t>-600.729635226104 67.5396610105579 -923.66457758561</t>
  </si>
  <si>
    <t>-628.482095427588 114.363522880264 -762.701367218854</t>
  </si>
  <si>
    <t>-550.786609905071 237.809910714508 -744.034904171329</t>
  </si>
  <si>
    <t>-464.200871156136 180.202886181822 -445.085893144876</t>
  </si>
  <si>
    <t>-303.618479766117 35.8278271854633 -300.133610498148</t>
  </si>
  <si>
    <t>-653.276055004095 55.8222202192123 -761.446621580226</t>
  </si>
  <si>
    <t>-557.052038361673 208.888977548476 -240.620996572532</t>
  </si>
  <si>
    <t>-572.59046487533 192.198599832662 214.502734778133</t>
  </si>
  <si>
    <t>-629.665422939762 168.769114328066 680.330176039909</t>
  </si>
  <si>
    <t>-492.464728497832 98.7750101926331 765.302555805948</t>
  </si>
  <si>
    <t>-617.985161283317 26.8484512551418 -206.905714550374</t>
  </si>
  <si>
    <t>-578.718861906126 -10.5911385441195 245.547711960644</t>
  </si>
  <si>
    <t>-763.374631260063 109.806081568034 660.505291756175</t>
  </si>
  <si>
    <t>-677.229152376459 -15.3537068200819 749.147790263926</t>
  </si>
  <si>
    <t>9763-20170724T160636.392576800.bin</t>
  </si>
  <si>
    <t>-587.665440804052 117.662522889569 -224.181344310106</t>
  </si>
  <si>
    <t>-624.365283941385 108.6743410217 -339.247085068772</t>
  </si>
  <si>
    <t>-641.496089447763 101.181862575554 -459.000840882273</t>
  </si>
  <si>
    <t>-648.772853359397 94.8473481402502 -568.096186036068</t>
  </si>
  <si>
    <t>-647.889270914754 88.9131687963588 -677.452724980926</t>
  </si>
  <si>
    <t>-638.145359557456 81.0113309557698 -829.25057712708</t>
  </si>
  <si>
    <t>-602.760800838779 66.7285471967175 -923.733004597075</t>
  </si>
  <si>
    <t>-629.988421457981 113.745862320531 -762.806418155565</t>
  </si>
  <si>
    <t>-551.856166450738 237.029541365618 -744.857329753434</t>
  </si>
  <si>
    <t>-466.066537563024 182.185590172395 -445.160007097094</t>
  </si>
  <si>
    <t>-308.419229985353 33.3146689634311 -301.539659099733</t>
  </si>
  <si>
    <t>-654.924991808705 55.2695140236231 -761.36317056654</t>
  </si>
  <si>
    <t>-557.113419197796 208.654134798359 -240.704632432398</t>
  </si>
  <si>
    <t>-572.631040763234 192.087878570205 214.424383268228</t>
  </si>
  <si>
    <t>-629.598073234416 168.839664386386 680.302252156742</t>
  </si>
  <si>
    <t>-492.437086525022 98.8155767285721 765.314049081153</t>
  </si>
  <si>
    <t>-618.098449923377 26.789783844072 -206.974243364716</t>
  </si>
  <si>
    <t>-579.001125124431 -10.6930191930796 245.490235536186</t>
  </si>
  <si>
    <t>-763.469765883842 109.707108224926 660.549992670443</t>
  </si>
  <si>
    <t>-677.283099448265 -15.4142096251551 749.206744742596</t>
  </si>
  <si>
    <t>9763-20170724T160636.425655900.bin</t>
  </si>
  <si>
    <t>-587.791554263272 117.549295276065 -224.240945460772</t>
  </si>
  <si>
    <t>-624.585503404947 108.641502886933 -339.282940164253</t>
  </si>
  <si>
    <t>-641.849545935541 101.134860626327 -459.016666293375</t>
  </si>
  <si>
    <t>-649.262619528688 94.7469461669116 -568.099591416376</t>
  </si>
  <si>
    <t>-648.531284910161 88.7173105292486 -677.452023399712</t>
  </si>
  <si>
    <t>-639.015439866401 80.637824898098 -829.255163655985</t>
  </si>
  <si>
    <t>-603.680852775368 66.2457531756399 -923.739652634582</t>
  </si>
  <si>
    <t>-630.711586957156 113.430033614025 -762.857499522429</t>
  </si>
  <si>
    <t>-552.24067852895 236.530309833042 -745.260318110836</t>
  </si>
  <si>
    <t>-467.85717391999 182.483719846061 -445.019433378568</t>
  </si>
  <si>
    <t>-310.933382655662 32.471412615482 -301.794711573837</t>
  </si>
  <si>
    <t>-655.740246903353 54.9954387233443 -761.316507721152</t>
  </si>
  <si>
    <t>-557.179336263484 208.489691843068 -240.748592258321</t>
  </si>
  <si>
    <t>-572.564191608 191.873296118608 214.383117335134</t>
  </si>
  <si>
    <t>-629.578208579372 168.849887310739 680.291763069279</t>
  </si>
  <si>
    <t>-492.44966552054 98.7818059081728 765.319604655872</t>
  </si>
  <si>
    <t>-618.291089979119 26.6732270575731 -207.072674779889</t>
  </si>
  <si>
    <t>-579.246766937885 -10.7467695478542 245.401591930059</t>
  </si>
  <si>
    <t>-763.499005642518 109.668152951715 660.57334706706</t>
  </si>
  <si>
    <t>-677.330972041763 -15.4524937363569 749.249167914455</t>
  </si>
  <si>
    <t>9763-20170724T160636.493855600.bin</t>
  </si>
  <si>
    <t>-588.36616108237 117.565702452155 -224.326404696908</t>
  </si>
  <si>
    <t>-625.356746953714 108.802561137735 -339.31649266684</t>
  </si>
  <si>
    <t>-642.755579734721 101.298305781811 -459.030783239895</t>
  </si>
  <si>
    <t>-650.265173181132 94.8576658322802 -568.104039146936</t>
  </si>
  <si>
    <t>-649.604550491939 88.7232585849615 -677.451076030584</t>
  </si>
  <si>
    <t>-640.16070243223 80.4457001004296 -829.248086950044</t>
  </si>
  <si>
    <t>-604.825901579503 65.8936467797221 -923.70790709723</t>
  </si>
  <si>
    <t>-631.828371926133 113.325742472023 -762.897547324833</t>
  </si>
  <si>
    <t>-553.207797305736 236.36803299179 -745.504312800461</t>
  </si>
  <si>
    <t>-470.357384694372 182.478519936241 -444.808662086378</t>
  </si>
  <si>
    <t>-315.744258726195 28.3769145496619 -303.424247488248</t>
  </si>
  <si>
    <t>-656.850278956649 54.8907452779163 -761.267711601187</t>
  </si>
  <si>
    <t>-557.607009017017 208.430591792076 -240.789691784924</t>
  </si>
  <si>
    <t>-572.350869600585 191.441354959156 214.34949253381</t>
  </si>
  <si>
    <t>-629.55252224091 168.812667358976 680.271102621253</t>
  </si>
  <si>
    <t>-492.403042431838 98.8091704115736 765.318336496141</t>
  </si>
  <si>
    <t>-618.982440755683 26.8652079385733 -207.187786493566</t>
  </si>
  <si>
    <t>-579.867389040301 -10.7932838477773 245.26056858715</t>
  </si>
  <si>
    <t>-763.575127945969 109.53618849085 660.655393192596</t>
  </si>
  <si>
    <t>-677.358458288028 -15.5074969274363 749.392529249261</t>
  </si>
  <si>
    <t>9763-20170724T160636.521950100.bin</t>
  </si>
  <si>
    <t>-588.70722327922 117.627060075415 -224.39082097318</t>
  </si>
  <si>
    <t>-625.763265912558 108.908264961286 -339.363148763152</t>
  </si>
  <si>
    <t>-643.187414382106 101.41528444894 -459.074630726245</t>
  </si>
  <si>
    <t>-650.702947330454 94.9724767297093 -568.14725962885</t>
  </si>
  <si>
    <t>-650.031669384259 88.823631235329 -677.493583277171</t>
  </si>
  <si>
    <t>-640.555504342551 80.5141829579384 -829.286668591324</t>
  </si>
  <si>
    <t>-605.152809467803 65.8997852055591 -923.711540079237</t>
  </si>
  <si>
    <t>-632.256341686679 113.416321275571 -762.9429624607</t>
  </si>
  <si>
    <t>-553.596237234558 236.426494845527 -745.529676545169</t>
  </si>
  <si>
    <t>-470.562915519117 182.87328689353 -444.824313027428</t>
  </si>
  <si>
    <t>-317.437734456264 26.3020389737601 -304.538309627576</t>
  </si>
  <si>
    <t>-657.240456772025 54.9654216722463 -761.302818401776</t>
  </si>
  <si>
    <t>-557.994854001463 208.474949386615 -240.807523314002</t>
  </si>
  <si>
    <t>-572.339124095648 191.319642538511 214.338185823917</t>
  </si>
  <si>
    <t>-629.542477974371 168.806110404088 680.266749923692</t>
  </si>
  <si>
    <t>-492.313171661342 98.9486316116804 765.305321758918</t>
  </si>
  <si>
    <t>-619.222239640253 26.8858585078733 -207.273563310448</t>
  </si>
  <si>
    <t>-580.141542855696 -10.7380418162495 245.18058482437</t>
  </si>
  <si>
    <t>-763.611536156965 109.490461998635 660.716902078566</t>
  </si>
  <si>
    <t>-677.425808706255 -15.5536533209336 749.483437674747</t>
  </si>
  <si>
    <t>9763-20170724T160636.591118100.bin</t>
  </si>
  <si>
    <t>-589.623003065109 117.82158970608 -224.481902707459</t>
  </si>
  <si>
    <t>-626.735755927849 109.134632140199 -339.438425477749</t>
  </si>
  <si>
    <t>-644.223320465723 101.683539917222 -459.143215959633</t>
  </si>
  <si>
    <t>-651.797975250963 95.2794030677121 -568.214112134164</t>
  </si>
  <si>
    <t>-651.18730528854 89.167545948678 -677.562764210759</t>
  </si>
  <si>
    <t>-641.796726099289 80.9056334916293 -829.363671708893</t>
  </si>
  <si>
    <t>-606.21812755169 66.2380254812006 -923.714217336355</t>
  </si>
  <si>
    <t>-633.52170578584 113.813157662323 -763.019620009017</t>
  </si>
  <si>
    <t>-555.010073355874 236.925222274098 -745.64285365016</t>
  </si>
  <si>
    <t>-470.809758583065 182.908981346141 -445.345114792847</t>
  </si>
  <si>
    <t>-318.777315026317 24.6670381241318 -305.746829850281</t>
  </si>
  <si>
    <t>-658.381720636935 55.3095130724237 -761.373361111471</t>
  </si>
  <si>
    <t>-559.188008887789 208.922771264365 -240.841947493171</t>
  </si>
  <si>
    <t>-572.87638009012 191.541761336185 214.315309756521</t>
  </si>
  <si>
    <t>-629.509216986733 168.8400228749 680.259528943248</t>
  </si>
  <si>
    <t>-492.257441697508 99.0284894193128 765.299594102283</t>
  </si>
  <si>
    <t>-619.928344205432 26.8479782661313 -207.424761663485</t>
  </si>
  <si>
    <t>-580.616130246462 -10.4533275488873 245.036147139323</t>
  </si>
  <si>
    <t>-763.719198598722 109.382106399762 660.851645305172</t>
  </si>
  <si>
    <t>-677.453671886942 -15.5982720466877 749.630495197083</t>
  </si>
  <si>
    <t>9763-20170724T160636.627213700.bin</t>
  </si>
  <si>
    <t>-590.153119082975 117.990260454036 -224.47574399313</t>
  </si>
  <si>
    <t>-627.259045429604 109.271506129399 -339.431912341523</t>
  </si>
  <si>
    <t>-644.763598877937 101.829302564031 -459.134737825442</t>
  </si>
  <si>
    <t>-652.362794727195 95.447759414207 -568.205328036421</t>
  </si>
  <si>
    <t>-651.785818196315 89.3712675984054 -677.556109749257</t>
  </si>
  <si>
    <t>-642.450994552218 81.170862285175 -829.363901405055</t>
  </si>
  <si>
    <t>-606.794773747549 66.515486686166 -923.68703485815</t>
  </si>
  <si>
    <t>-634.177973236968 114.062502815905 -763.011694687522</t>
  </si>
  <si>
    <t>-555.826466290481 237.28322482232 -745.652634329957</t>
  </si>
  <si>
    <t>-470.968894148994 182.859919123814 -445.613508454581</t>
  </si>
  <si>
    <t>-318.902114033318 24.6944564191888 -305.965996838622</t>
  </si>
  <si>
    <t>-658.984729755575 55.5360953539575 -761.375660300798</t>
  </si>
  <si>
    <t>-559.822448804954 209.160945755702 -240.859559316888</t>
  </si>
  <si>
    <t>-573.28515277305 191.823947622355 214.306148950436</t>
  </si>
  <si>
    <t>-629.461025635506 168.900019280333 680.24693424252</t>
  </si>
  <si>
    <t>-492.155010784461 99.2076976787271 765.297169695305</t>
  </si>
  <si>
    <t>-620.336306218825 26.8976022135571 -207.429250885893</t>
  </si>
  <si>
    <t>-580.73035345954 -10.221607080271 245.020980555597</t>
  </si>
  <si>
    <t>-763.79519636053 109.375761097685 660.932636427238</t>
  </si>
  <si>
    <t>-677.484816698826 -15.6068755822578 749.6646449644</t>
  </si>
  <si>
    <t>9763-20170724T160636.690214800.bin</t>
  </si>
  <si>
    <t>-590.998406174861 118.507913298649 -224.46745838664</t>
  </si>
  <si>
    <t>-628.083276654607 109.658688584561 -339.420505412796</t>
  </si>
  <si>
    <t>-645.572941230905 102.151757690856 -459.121537926972</t>
  </si>
  <si>
    <t>-653.160482072442 95.735077314391 -568.190700166319</t>
  </si>
  <si>
    <t>-652.573179567128 89.6447406833481 -677.540771624858</t>
  </si>
  <si>
    <t>-643.225393180239 81.4448545300575 -829.347684912111</t>
  </si>
  <si>
    <t>-607.458527892426 66.7928567922613 -923.62943780877</t>
  </si>
  <si>
    <t>-634.967462787176 114.340186845059 -762.995529729585</t>
  </si>
  <si>
    <t>-556.737071630851 237.637511040181 -745.79550862549</t>
  </si>
  <si>
    <t>-472.52643934018 182.852419228836 -445.63990698442</t>
  </si>
  <si>
    <t>-319.227366855304 26.9136248186951 -304.84014371</t>
  </si>
  <si>
    <t>-659.75552614855 55.8059223228775 -761.360201082253</t>
  </si>
  <si>
    <t>-560.84396463011 209.809591348601 -240.90531117427</t>
  </si>
  <si>
    <t>-574.170859269216 192.632697306408 214.27043680172</t>
  </si>
  <si>
    <t>-629.399438195611 169.036337210287 680.274939677184</t>
  </si>
  <si>
    <t>-492.063594845031 99.3701993632278 765.298478007296</t>
  </si>
  <si>
    <t>-621.004985841945 27.2201050816088 -207.351995993102</t>
  </si>
  <si>
    <t>-580.901598570745 -9.94412729530154 245.050735680262</t>
  </si>
  <si>
    <t>-763.989705825172 109.349320485996 661.051568851244</t>
  </si>
  <si>
    <t>-677.506113592237 -15.6148760536776 749.640808391664</t>
  </si>
  <si>
    <t>9763-20170724T160636.722301300.bin</t>
  </si>
  <si>
    <t>-591.319923814624 118.713322541049 -224.474433821317</t>
  </si>
  <si>
    <t>-628.414926536016 109.861764699212 -339.424015316066</t>
  </si>
  <si>
    <t>-645.888804118985 102.381714072167 -459.128943659026</t>
  </si>
  <si>
    <t>-653.451099551982 96.0015131402483 -568.202200021261</t>
  </si>
  <si>
    <t>-652.827258111451 89.9602836105391 -677.554624872285</t>
  </si>
  <si>
    <t>-643.41715479495 81.8417052818172 -829.362279498442</t>
  </si>
  <si>
    <t>-607.583472444688 67.2211122784054 -923.623430662894</t>
  </si>
  <si>
    <t>-635.188441453638 114.702391228667 -762.989197344635</t>
  </si>
  <si>
    <t>-556.925528980713 237.984592062304 -745.751456356266</t>
  </si>
  <si>
    <t>-473.053076543812 183.465080253358 -445.452945281681</t>
  </si>
  <si>
    <t>-319.369218849973 28.5209627901406 -303.976272016231</t>
  </si>
  <si>
    <t>-659.973245841908 56.1654289038891 -761.394969583991</t>
  </si>
  <si>
    <t>-561.156340879763 210.058268394684 -240.930889837728</t>
  </si>
  <si>
    <t>-574.408575988151 192.902418632511 214.24790576043</t>
  </si>
  <si>
    <t>-629.367964432546 169.113752276593 680.273217662858</t>
  </si>
  <si>
    <t>-492.097931949354 99.3179158567382 765.296691209569</t>
  </si>
  <si>
    <t>-621.361965261042 27.365579368005 -207.37251925495</t>
  </si>
  <si>
    <t>-581.006809042506 -9.81847472416689 245.006198600228</t>
  </si>
  <si>
    <t>-764.035239768995 109.351305297897 661.055967451056</t>
  </si>
  <si>
    <t>-677.573367753909 -15.6512790196002 749.612226539898</t>
  </si>
  <si>
    <t>9763-20170724T160636.789220300.bin</t>
  </si>
  <si>
    <t>-591.870814661206 118.968800120934 -224.562770372366</t>
  </si>
  <si>
    <t>-629.018504423395 110.196566234728 -339.50138992919</t>
  </si>
  <si>
    <t>-646.534062039228 102.769323717953 -459.203585226629</t>
  </si>
  <si>
    <t>-654.12959123116 96.4283686229296 -568.276638396413</t>
  </si>
  <si>
    <t>-653.534417245352 90.4195857122845 -677.631052889926</t>
  </si>
  <si>
    <t>-644.159346443647 82.3405616479142 -829.442969702919</t>
  </si>
  <si>
    <t>-608.281683902102 67.7003545671419 -923.684408024345</t>
  </si>
  <si>
    <t>-635.919673872175 115.185742971986 -763.063538569465</t>
  </si>
  <si>
    <t>-557.560873196599 238.419824704314 -745.843490466334</t>
  </si>
  <si>
    <t>-473.854201229509 184.142558960012 -445.454686314475</t>
  </si>
  <si>
    <t>-320.576329561688 29.3470619276679 -303.376220415475</t>
  </si>
  <si>
    <t>-660.695363881806 56.6448269206107 -761.478207630898</t>
  </si>
  <si>
    <t>-561.633229535705 210.36729147037 -240.984449035619</t>
  </si>
  <si>
    <t>-574.551809980203 192.968950538497 214.194777734524</t>
  </si>
  <si>
    <t>-629.310391440416 169.205971418729 680.259508516253</t>
  </si>
  <si>
    <t>-492.040487628188 99.4140894896248 765.286433274812</t>
  </si>
  <si>
    <t>-622.012578659602 27.6396527701706 -207.498267181514</t>
  </si>
  <si>
    <t>-581.55762368774 -9.75370320412458 244.85433785547</t>
  </si>
  <si>
    <t>-764.208770108758 109.266430830373 661.106881682515</t>
  </si>
  <si>
    <t>-677.619416592216 -15.6894785136233 749.604470553566</t>
  </si>
  <si>
    <t>9763-20170724T160636.826317400.bin</t>
  </si>
  <si>
    <t>-592.105953650278 119.054889010759 -224.590744196334</t>
  </si>
  <si>
    <t>-629.275606905561 110.330797327928 -339.526106116894</t>
  </si>
  <si>
    <t>-646.840578146245 102.937640944379 -459.22313055695</t>
  </si>
  <si>
    <t>-654.491959917349 96.6226309872684 -568.293765846804</t>
  </si>
  <si>
    <t>-653.963956900896 90.6351779502638 -677.649897183038</t>
  </si>
  <si>
    <t>-644.693494921887 82.581857386577 -829.469538125624</t>
  </si>
  <si>
    <t>-608.828005889601 67.9156528683566 -923.711504774727</t>
  </si>
  <si>
    <t>-636.399408186995 115.412166192773 -763.089568207238</t>
  </si>
  <si>
    <t>-557.842851325001 238.514810229818 -745.788183424691</t>
  </si>
  <si>
    <t>-474.040595805164 183.979547986739 -445.472906340868</t>
  </si>
  <si>
    <t>-320.676083838376 29.3689961067873 -303.286521592649</t>
  </si>
  <si>
    <t>-661.191327591089 56.8782752585935 -761.498465701017</t>
  </si>
  <si>
    <t>-561.795391245192 210.462668643859 -240.996505896796</t>
  </si>
  <si>
    <t>-574.610760556615 193.014433418004 214.183692432195</t>
  </si>
  <si>
    <t>-629.289024949258 169.261557591982 680.260306739498</t>
  </si>
  <si>
    <t>-492.055861769431 99.3875352938144 765.279088005217</t>
  </si>
  <si>
    <t>-622.311809768997 27.6891916004161 -207.540947649554</t>
  </si>
  <si>
    <t>-581.786893678962 -9.73156416685697 244.803039517048</t>
  </si>
  <si>
    <t>-764.268900492664 109.236600911455 661.124846192363</t>
  </si>
  <si>
    <t>-677.6680821593 -15.7172358609694 749.614091719018</t>
  </si>
  <si>
    <t>9763-20170724T160636.896030900.bin</t>
  </si>
  <si>
    <t>-592.557807559361 119.165037272121 -224.586991121493</t>
  </si>
  <si>
    <t>-629.805415048658 110.483240244384 -339.500074108455</t>
  </si>
  <si>
    <t>-647.499820457741 103.140663349984 -459.181225895392</t>
  </si>
  <si>
    <t>-655.288737963951 96.8747141362155 -568.245076316608</t>
  </si>
  <si>
    <t>-654.918195709636 90.9398568407905 -677.604442612307</t>
  </si>
  <si>
    <t>-645.886793613388 82.9633502075874 -829.442652545135</t>
  </si>
  <si>
    <t>-610.103508505168 68.2923980907658 -923.715108523573</t>
  </si>
  <si>
    <t>-637.474261285584 115.754158085371 -763.05803751037</t>
  </si>
  <si>
    <t>-558.851319787283 238.805391834648 -745.749164651891</t>
  </si>
  <si>
    <t>-473.63160427567 182.921001438419 -446.081547624883</t>
  </si>
  <si>
    <t>-319.069485306687 30.0565612083469 -303.305196673927</t>
  </si>
  <si>
    <t>-662.291669508608 57.231120731788 -761.459833720061</t>
  </si>
  <si>
    <t>-562.182579895104 210.686543261791 -240.990702190433</t>
  </si>
  <si>
    <t>-574.842833789842 193.163377384603 214.190975762028</t>
  </si>
  <si>
    <t>-629.278559454794 169.277904593062 680.285849113605</t>
  </si>
  <si>
    <t>-491.972090398935 99.4870569969614 765.254593703003</t>
  </si>
  <si>
    <t>-622.768733691776 27.7201928898796 -207.488839695016</t>
  </si>
  <si>
    <t>-582.023559605568 -9.79198878303009 244.827812591865</t>
  </si>
  <si>
    <t>-764.39718372513 109.201710070468 661.185910369995</t>
  </si>
  <si>
    <t>-677.651700407707 -15.6947660454971 749.614414027186</t>
  </si>
  <si>
    <t>9763-20170724T160636.924102400.bin</t>
  </si>
  <si>
    <t>-592.718372838829 119.279627445938 -224.536527319604</t>
  </si>
  <si>
    <t>-630.010147005693 110.575254439658 -339.433587231818</t>
  </si>
  <si>
    <t>-647.785417524187 103.263538815177 -459.104602826591</t>
  </si>
  <si>
    <t>-655.661399106678 97.0447375825568 -568.164973644351</t>
  </si>
  <si>
    <t>-655.39129087669 91.1746559339279 -677.528154357213</t>
  </si>
  <si>
    <t>-646.512785797326 83.3050780155418 -829.380859598535</t>
  </si>
  <si>
    <t>-610.795431334029 68.6836367666708 -923.68618682852</t>
  </si>
  <si>
    <t>-638.013682997255 116.040961974318 -762.980212468567</t>
  </si>
  <si>
    <t>-559.319369249641 239.038302531747 -745.614604012339</t>
  </si>
  <si>
    <t>-473.27874425819 182.458048911975 -446.312398495962</t>
  </si>
  <si>
    <t>-317.50914318363 31.6330102520515 -302.681977540527</t>
  </si>
  <si>
    <t>-662.868735556296 57.5333784834693 -761.401352627119</t>
  </si>
  <si>
    <t>-562.373067052753 210.822695112922 -240.977717552497</t>
  </si>
  <si>
    <t>-574.954719724085 193.346469713087 214.208009733117</t>
  </si>
  <si>
    <t>-629.246091413409 169.368053526566 680.287683655703</t>
  </si>
  <si>
    <t>-491.970945388368 99.5064937858365 765.248917044634</t>
  </si>
  <si>
    <t>-622.898088071273 27.8258768969015 -207.414996100104</t>
  </si>
  <si>
    <t>-581.949003864003 -9.76682100548896 244.876458930455</t>
  </si>
  <si>
    <t>-764.423939847288 109.215740458255 661.182027897557</t>
  </si>
  <si>
    <t>-677.718516913905 -15.7275059744138 749.583764924972</t>
  </si>
  <si>
    <t>9763-20170724T160636.996330800.bin</t>
  </si>
  <si>
    <t>-593.034386608447 119.5483994395 -224.478592075487</t>
  </si>
  <si>
    <t>-630.410969986564 110.785257003992 -339.343702000888</t>
  </si>
  <si>
    <t>-648.304641199351 103.504066714468 -458.998985275647</t>
  </si>
  <si>
    <t>-656.299408933317 97.340249020531 -568.053737513672</t>
  </si>
  <si>
    <t>-656.158520704603 91.5474997048425 -677.421377319472</t>
  </si>
  <si>
    <t>-647.469578529067 83.8037147932134 -829.291422626068</t>
  </si>
  <si>
    <t>-611.836906285615 69.2515499001945 -923.639345074134</t>
  </si>
  <si>
    <t>-638.8142201798 116.453361725828 -762.868594354012</t>
  </si>
  <si>
    <t>-559.774202300998 239.232570086455 -745.478095648681</t>
  </si>
  <si>
    <t>-472.764340957709 182.420145628609 -446.500134798566</t>
  </si>
  <si>
    <t>-315.998391962021 33.8517783342299 -301.607317968484</t>
  </si>
  <si>
    <t>-663.81419570209 58.006739929544 -761.318658942749</t>
  </si>
  <si>
    <t>-562.78741405467 211.170480195626 -240.993538779237</t>
  </si>
  <si>
    <t>-575.185463547208 193.616239286485 214.194091997764</t>
  </si>
  <si>
    <t>-629.186515426481 169.494558046202 680.291356530022</t>
  </si>
  <si>
    <t>-491.967873834787 99.5196163098747 765.250524447105</t>
  </si>
  <si>
    <t>-623.159346606921 27.9956717111486 -207.316299196405</t>
  </si>
  <si>
    <t>-581.763102620089 -9.58896565637724 244.935203408784</t>
  </si>
  <si>
    <t>-764.474845045906 109.262936111793 661.170894564801</t>
  </si>
  <si>
    <t>-677.828921767425 -15.775592706 749.496202419741</t>
  </si>
  <si>
    <t>9763-20170724T160637.024405200.bin</t>
  </si>
  <si>
    <t>-593.260828749703 119.692317445011 -224.474315162981</t>
  </si>
  <si>
    <t>-630.661097686863 110.910766075004 -339.330328459366</t>
  </si>
  <si>
    <t>-648.557605521949 103.617683568535 -458.984367032147</t>
  </si>
  <si>
    <t>-656.545800817478 97.4437639064838 -568.038980134975</t>
  </si>
  <si>
    <t>-656.389186106305 91.6401325506567 -677.406048540332</t>
  </si>
  <si>
    <t>-647.668800918841 83.8792881243087 -829.273477192019</t>
  </si>
  <si>
    <t>-611.991933419844 69.3043277657814 -923.601250103759</t>
  </si>
  <si>
    <t>-639.005660891788 116.527362067373 -762.850760249769</t>
  </si>
  <si>
    <t>-559.852936069978 239.21431453899 -745.433235062255</t>
  </si>
  <si>
    <t>-472.510176384375 182.480398600623 -446.537488882837</t>
  </si>
  <si>
    <t>-315.420004433458 35.1788433026445 -300.705323451109</t>
  </si>
  <si>
    <t>-664.048833436113 58.0992102428413 -761.302943030377</t>
  </si>
  <si>
    <t>-563.005808797374 211.283890883554 -240.996312453133</t>
  </si>
  <si>
    <t>-575.293226107546 193.699717277483 214.193253802464</t>
  </si>
  <si>
    <t>-629.171207765212 169.513539926347 680.296001495102</t>
  </si>
  <si>
    <t>-491.911163261877 99.6027559596278 765.241112427815</t>
  </si>
  <si>
    <t>-623.423531187961 28.1597059185378 -207.320174865552</t>
  </si>
  <si>
    <t>-581.827108021494 -9.59922814804827 244.898409203618</t>
  </si>
  <si>
    <t>-764.524236706082 109.229962291269 661.149111344906</t>
  </si>
  <si>
    <t>-677.778604891633 -15.7517571666124 749.456986544251</t>
  </si>
  <si>
    <t>9763-20170724T160637.093625700.bin</t>
  </si>
  <si>
    <t>-593.797780548109 119.943726264504 -224.540069393625</t>
  </si>
  <si>
    <t>-631.277208665047 111.226413955382 -339.375274813248</t>
  </si>
  <si>
    <t>-649.063346291771 104.072382667455 -459.054158628574</t>
  </si>
  <si>
    <t>-656.872411003799 98.053624433931 -568.130426040864</t>
  </si>
  <si>
    <t>-656.457005264273 92.4341631204136 -677.506390359196</t>
  </si>
  <si>
    <t>-647.29446245084 84.9591508762994 -829.362158345087</t>
  </si>
  <si>
    <t>-611.343235942045 70.4925393234678 -923.602341067188</t>
  </si>
  <si>
    <t>-638.840066341386 117.488489530844 -762.854351732188</t>
  </si>
  <si>
    <t>-559.570300886294 240.051742861808 -744.9843600036</t>
  </si>
  <si>
    <t>-471.89590756555 182.440253649863 -446.35380821451</t>
  </si>
  <si>
    <t>-313.897536584843 36.7350649375721 -299.900436435053</t>
  </si>
  <si>
    <t>-663.857122084247 59.0447577888558 -761.487039605534</t>
  </si>
  <si>
    <t>-563.530188428609 211.661336357557 -241.024652131005</t>
  </si>
  <si>
    <t>-575.38136584921 193.7777326325 214.164739074953</t>
  </si>
  <si>
    <t>-629.137712682918 169.523774614494 680.284363843172</t>
  </si>
  <si>
    <t>-491.888888244099 99.5923351456308 765.230597305177</t>
  </si>
  <si>
    <t>-623.918640782105 28.3383229858346 -207.414387822196</t>
  </si>
  <si>
    <t>-582.060356604299 -9.48162538557904 244.774970693416</t>
  </si>
  <si>
    <t>-764.604235726575 109.193658800398 661.128646905737</t>
  </si>
  <si>
    <t>-677.848987627087 -15.7838645035995 749.433036758223</t>
  </si>
  <si>
    <t>9763-20170724T160637.127716400.bin</t>
  </si>
  <si>
    <t>-594.155063424052 120.048958906653 -224.576460664558</t>
  </si>
  <si>
    <t>-631.630142698835 111.344600191612 -339.414089167857</t>
  </si>
  <si>
    <t>-649.310781853946 104.262311951377 -459.112828144096</t>
  </si>
  <si>
    <t>-656.982044084355 98.331250704259 -568.203749006578</t>
  </si>
  <si>
    <t>-656.386523501005 92.821343036348 -677.584405089607</t>
  </si>
  <si>
    <t>-646.930011539486 85.5205621195948 -829.430628768939</t>
  </si>
  <si>
    <t>-610.812966748163 71.123600899753 -923.618070599763</t>
  </si>
  <si>
    <t>-638.609923425734 117.975830833775 -762.869769869563</t>
  </si>
  <si>
    <t>-559.391860319353 240.527375316784 -744.711415238556</t>
  </si>
  <si>
    <t>-471.843334224936 182.432444402853 -446.137361247687</t>
  </si>
  <si>
    <t>-313.337527710827 36.5327271879914 -300.42798152754</t>
  </si>
  <si>
    <t>-663.618591096395 59.5259563623767 -761.616962450133</t>
  </si>
  <si>
    <t>-563.880443958102 211.768447604501 -241.044168362898</t>
  </si>
  <si>
    <t>-575.546665162897 193.866951536467 214.14927675162</t>
  </si>
  <si>
    <t>-629.10888525011 169.547967151979 680.267287122432</t>
  </si>
  <si>
    <t>-491.860680199653 99.6274546530428 765.223556829576</t>
  </si>
  <si>
    <t>-624.256561555595 28.4227510773587 -207.462799340419</t>
  </si>
  <si>
    <t>-582.255384506159 -9.36960084306907 244.715577573416</t>
  </si>
  <si>
    <t>-764.630848099567 109.20695397678 661.140019458056</t>
  </si>
  <si>
    <t>-677.846822373084 -15.7622292715678 749.427843505354</t>
  </si>
  <si>
    <t>9763-20170724T160637.189885000.bin</t>
  </si>
  <si>
    <t>-595.034167589723 120.161782345823 -224.717106854427</t>
  </si>
  <si>
    <t>-632.471702995981 111.537793420649 -339.573037519976</t>
  </si>
  <si>
    <t>-649.830649035579 104.555456978199 -459.324677446939</t>
  </si>
  <si>
    <t>-657.094351392984 98.7189430514225 -568.448519845544</t>
  </si>
  <si>
    <t>-655.975305614506 93.3058356462466 -677.830038956735</t>
  </si>
  <si>
    <t>-645.672593600258 86.1397652776841 -829.627624711984</t>
  </si>
  <si>
    <t>-609.072326219529 71.8616709252651 -923.646449993196</t>
  </si>
  <si>
    <t>-637.711688839667 118.530949857522 -762.991560041399</t>
  </si>
  <si>
    <t>-558.394538247052 240.957551180752 -744.348191890125</t>
  </si>
  <si>
    <t>-472.507023057922 181.426979706631 -445.574631118472</t>
  </si>
  <si>
    <t>-312.932298565465 34.3823665521127 -302.201470597097</t>
  </si>
  <si>
    <t>-662.750703501553 60.0901735345087 -761.932182371464</t>
  </si>
  <si>
    <t>-564.734865260113 211.947889766431 -241.137392339768</t>
  </si>
  <si>
    <t>-576.15963935551 194.155336127063 214.066399282658</t>
  </si>
  <si>
    <t>-629.016882187676 169.659150042819 680.220358672593</t>
  </si>
  <si>
    <t>-491.855871482447 99.6262124302655 765.224852846014</t>
  </si>
  <si>
    <t>-625.196369847388 28.4383987109572 -207.627053768417</t>
  </si>
  <si>
    <t>-582.72584584558 -9.33382427662627 244.509140108007</t>
  </si>
  <si>
    <t>-764.808995163833 109.127664036066 661.137015697021</t>
  </si>
  <si>
    <t>-677.931179420641 -15.8048740956365 749.384506095638</t>
  </si>
  <si>
    <t>9763-20170724T160637.229991300.bin</t>
  </si>
  <si>
    <t>-595.638608919435 120.171680264326 -224.777233914584</t>
  </si>
  <si>
    <t>-633.052276373335 111.615579474509 -339.646041283213</t>
  </si>
  <si>
    <t>-650.283756801727 104.677019604559 -459.418598683309</t>
  </si>
  <si>
    <t>-657.39017424059 98.870663537627 -568.554537922339</t>
  </si>
  <si>
    <t>-656.072323784129 93.4787286190037 -677.934845766563</t>
  </si>
  <si>
    <t>-645.45117842067 86.3328424292768 -829.711428743209</t>
  </si>
  <si>
    <t>-608.653103945508 72.1076281382802 -923.660993958784</t>
  </si>
  <si>
    <t>-637.624095294721 118.712656770506 -763.053915983951</t>
  </si>
  <si>
    <t>-558.348594365024 241.125990730362 -744.169782257726</t>
  </si>
  <si>
    <t>-473.117594875008 181.264528995697 -445.274422837948</t>
  </si>
  <si>
    <t>-313.025680853204 34.215866634632 -302.483223580247</t>
  </si>
  <si>
    <t>-662.677262019202 60.2767567553437 -762.055864332567</t>
  </si>
  <si>
    <t>-565.256656110357 211.948312776906 -241.187774721498</t>
  </si>
  <si>
    <t>-576.511461963999 194.231284419699 214.023262333066</t>
  </si>
  <si>
    <t>-628.969131383979 169.703467876565 680.205428310781</t>
  </si>
  <si>
    <t>-491.795793082334 99.7139368389242 765.225752210993</t>
  </si>
  <si>
    <t>-625.902482573325 28.453091560285 -207.718383591384</t>
  </si>
  <si>
    <t>-583.092776761258 -9.41795977233551 244.377642488342</t>
  </si>
  <si>
    <t>-764.874424612415 109.114306899166 661.106425311368</t>
  </si>
  <si>
    <t>-677.97529537222 -15.8211466749112 749.328828813131</t>
  </si>
  <si>
    <t>9763-20170724T160637.290977600.bin</t>
  </si>
  <si>
    <t>-596.756971028007 120.118498392503 -225.052695579547</t>
  </si>
  <si>
    <t>-634.077194165054 111.738800272281 -339.964873582122</t>
  </si>
  <si>
    <t>-651.082325345927 104.776923676814 -459.768474118087</t>
  </si>
  <si>
    <t>-657.932915160484 98.8803652705258 -568.91579345435</t>
  </si>
  <si>
    <t>-656.310589158788 93.3360429284733 -678.284448779454</t>
  </si>
  <si>
    <t>-645.217873824416 85.9203957315146 -830.014354241826</t>
  </si>
  <si>
    <t>-608.110181599209 71.6770209516847 -923.839284750791</t>
  </si>
  <si>
    <t>-637.676773311292 118.452122511191 -763.397963348661</t>
  </si>
  <si>
    <t>-558.727884621481 241.042619175439 -744.310396791268</t>
  </si>
  <si>
    <t>-474.323340259689 181.3182060755 -445.153328460126</t>
  </si>
  <si>
    <t>-314.751281081692 32.9250206086751 -303.17337384908</t>
  </si>
  <si>
    <t>-662.575372444911 59.9510216227843 -762.359124851847</t>
  </si>
  <si>
    <t>-566.221539300887 211.92025637438 -241.304817939057</t>
  </si>
  <si>
    <t>-577.412525559771 194.428283182116 213.916577819126</t>
  </si>
  <si>
    <t>-628.914833668374 169.778999069671 680.191706457538</t>
  </si>
  <si>
    <t>-491.765553281382 99.7552110295387 765.222632241768</t>
  </si>
  <si>
    <t>-627.177069384835 28.4251878502025 -208.101287958762</t>
  </si>
  <si>
    <t>-584.201172554954 -9.65386879253879 243.961508675104</t>
  </si>
  <si>
    <t>-765.1351925362 109.003505609536 661.075051053209</t>
  </si>
  <si>
    <t>-678.044912087881 -15.8476538102184 749.228241596183</t>
  </si>
  <si>
    <t>9763-20170724T160637.325067500.bin</t>
  </si>
  <si>
    <t>-597.336156652229 120.064876963518 -225.131825655839</t>
  </si>
  <si>
    <t>-634.6304839561 111.789898268344 -340.059927433413</t>
  </si>
  <si>
    <t>-651.532680037656 104.74196352771 -459.873210045356</t>
  </si>
  <si>
    <t>-658.261258520344 98.7000025449229 -569.020143531875</t>
  </si>
  <si>
    <t>-656.48939311866 92.9489435915357 -678.375781672331</t>
  </si>
  <si>
    <t>-645.161744706568 85.1877412191729 -830.071005427757</t>
  </si>
  <si>
    <t>-607.90037200292 70.9284016909985 -923.832616910981</t>
  </si>
  <si>
    <t>-637.813235170003 117.90890152851 -763.525940295407</t>
  </si>
  <si>
    <t>-559.255450098339 240.75204532254 -744.521167158462</t>
  </si>
  <si>
    <t>-474.723407454324 181.218788917417 -445.361735461019</t>
  </si>
  <si>
    <t>-315.330725580344 32.3685063929856 -303.659177351288</t>
  </si>
  <si>
    <t>-662.534613595961 59.3346541322876 -762.375070017287</t>
  </si>
  <si>
    <t>-566.702897422561 211.946545113654 -241.353212601799</t>
  </si>
  <si>
    <t>-577.852602616924 194.564922294985 213.873393656261</t>
  </si>
  <si>
    <t>-628.873826140841 169.787677032024 680.176064325656</t>
  </si>
  <si>
    <t>-491.775977539258 99.6980684468974 765.235657906893</t>
  </si>
  <si>
    <t>-627.841480543582 28.2401228827425 -208.221637506548</t>
  </si>
  <si>
    <t>-584.739022225739 -9.84202851610803 243.828748348565</t>
  </si>
  <si>
    <t>-765.333604238871 108.934744771121 661.083250292239</t>
  </si>
  <si>
    <t>-678.081033949276 -15.8483293557481 749.172324220081</t>
  </si>
  <si>
    <t>9763-20170724T160637.393783900.bin</t>
  </si>
  <si>
    <t>-598.411529541138 120.152711007599 -225.201408390548</t>
  </si>
  <si>
    <t>-635.666193930401 111.966152135227 -340.148754890533</t>
  </si>
  <si>
    <t>-652.499783193178 104.583310104989 -459.951371722628</t>
  </si>
  <si>
    <t>-659.158690417854 98.0754648384209 -569.075926504938</t>
  </si>
  <si>
    <t>-657.312022214778 91.7005227470934 -678.395611475559</t>
  </si>
  <si>
    <t>-645.877124217655 82.9128035774961 -830.026882033196</t>
  </si>
  <si>
    <t>-608.456505906006 68.4995827728546 -923.701475668684</t>
  </si>
  <si>
    <t>-638.68033668858 116.127443073375 -763.710076714621</t>
  </si>
  <si>
    <t>-560.710067078079 239.456169203138 -745.360805247299</t>
  </si>
  <si>
    <t>-475.54380216681 181.1160448437 -446.146242043882</t>
  </si>
  <si>
    <t>-316.875563021529 30.0191481986517 -306.017125107655</t>
  </si>
  <si>
    <t>-663.193062162261 57.4747820609848 -762.159430315424</t>
  </si>
  <si>
    <t>-567.757700753836 212.212199477734 -241.355035103416</t>
  </si>
  <si>
    <t>-578.843295756155 195.021074732062 213.880380786327</t>
  </si>
  <si>
    <t>-628.852972917362 169.836147089477 680.226193938692</t>
  </si>
  <si>
    <t>-491.719343531808 99.7874792462783 765.261842050245</t>
  </si>
  <si>
    <t>-628.920630751923 28.1668698954086 -208.361258635434</t>
  </si>
  <si>
    <t>-585.290806417137 -10.2583383295041 243.609553438419</t>
  </si>
  <si>
    <t>-765.53700058955 108.911520169878 660.927644582351</t>
  </si>
  <si>
    <t>-678.19713619056 -15.874707338583 748.925717511788</t>
  </si>
  <si>
    <t>9763-20170724T160637.427153800.bin</t>
  </si>
  <si>
    <t>-598.712759665836 120.377691406945 -225.245797210029</t>
  </si>
  <si>
    <t>-635.942142315193 112.156491191994 -340.198740687806</t>
  </si>
  <si>
    <t>-652.740488118495 104.509816967783 -459.989794867562</t>
  </si>
  <si>
    <t>-659.365490106008 97.6694050257422 -569.096052848881</t>
  </si>
  <si>
    <t>-657.484209442666 90.8671621350456 -678.389410547209</t>
  </si>
  <si>
    <t>-646.001660075624 81.3864056398081 -829.97537102667</t>
  </si>
  <si>
    <t>-608.507075486071 66.7936083619668 -923.592572942045</t>
  </si>
  <si>
    <t>-638.823373309196 114.902849652533 -763.808605459105</t>
  </si>
  <si>
    <t>-560.912615977152 238.325086263552 -746.050405367038</t>
  </si>
  <si>
    <t>-475.454955288523 181.146617758693 -446.694654351723</t>
  </si>
  <si>
    <t>-317.012306088075 28.9275628675337 -307.527991729148</t>
  </si>
  <si>
    <t>-663.341277588943 56.2598547877842 -761.998012565354</t>
  </si>
  <si>
    <t>-568.088191185691 212.515685685157 -241.380097013404</t>
  </si>
  <si>
    <t>-579.333820583718 195.442554042932 213.855770051387</t>
  </si>
  <si>
    <t>-628.82330178912 169.846047381513 680.219990039988</t>
  </si>
  <si>
    <t>-491.676761724235 99.8175687442897 765.25138094795</t>
  </si>
  <si>
    <t>-629.185480320883 28.2666448247107 -208.392132748705</t>
  </si>
  <si>
    <t>-585.255903524088 -10.2986795555835 243.537720504013</t>
  </si>
  <si>
    <t>-765.597577842105 108.87503041397 660.784721975439</t>
  </si>
  <si>
    <t>-678.156382364456 -15.8479111293693 748.771878863622</t>
  </si>
  <si>
    <t>9763-20170724T160637.491333700.bin</t>
  </si>
  <si>
    <t>-599.014640355195 121.209377489585 -225.354946415378</t>
  </si>
  <si>
    <t>-636.175522821605 112.820695443897 -340.317985340195</t>
  </si>
  <si>
    <t>-653.014918131249 104.710648417628 -460.072834413576</t>
  </si>
  <si>
    <t>-659.724901442299 97.3274208839832 -569.13855756007</t>
  </si>
  <si>
    <t>-657.978221774609 89.8555856894434 -678.390461487095</t>
  </si>
  <si>
    <t>-646.735622626218 79.309529933385 -829.923948394498</t>
  </si>
  <si>
    <t>-609.20933099302 64.251301337519 -923.454654984113</t>
  </si>
  <si>
    <t>-639.419789927843 113.276479827507 -764.00232090049</t>
  </si>
  <si>
    <t>-561.352899308176 236.710326410942 -747.01214816815</t>
  </si>
  <si>
    <t>-474.753249473942 180.83737612341 -447.738190519013</t>
  </si>
  <si>
    <t>-315.361200013552 30.1577217442184 -307.981648930967</t>
  </si>
  <si>
    <t>-664.000455056375 54.6751887244202 -761.747646366793</t>
  </si>
  <si>
    <t>-568.461387159594 213.410497000732 -241.571867224859</t>
  </si>
  <si>
    <t>-579.746301708088 196.228545326277 213.659048782339</t>
  </si>
  <si>
    <t>-628.664337738194 169.873626806506 680.022632653235</t>
  </si>
  <si>
    <t>-491.584234269634 99.8784204187209 765.188507872232</t>
  </si>
  <si>
    <t>-629.377389931496 29.0652521226298 -208.544575781881</t>
  </si>
  <si>
    <t>-584.924036119098 -9.79218962528762 243.308984075342</t>
  </si>
  <si>
    <t>-765.549733915411 108.95410472337 660.52563900837</t>
  </si>
  <si>
    <t>-678.181203681771 -15.8195529231346 748.513026020483</t>
  </si>
  <si>
    <t>9763-20170724T160637.524418000.bin</t>
  </si>
  <si>
    <t>-598.990939515995 121.759098677277 -225.479401893758</t>
  </si>
  <si>
    <t>-636.172174078097 113.279228352217 -340.429240341483</t>
  </si>
  <si>
    <t>-653.044189969819 104.924216472854 -460.162674242787</t>
  </si>
  <si>
    <t>-659.78987175878 97.2565879869226 -569.206522851506</t>
  </si>
  <si>
    <t>-658.085574980486 89.437258403538 -678.434656239713</t>
  </si>
  <si>
    <t>-646.909650746642 78.341983619649 -829.93395635722</t>
  </si>
  <si>
    <t>-609.404344370219 63.0194226890103 -923.430108154903</t>
  </si>
  <si>
    <t>-639.58492052656 112.556019273518 -764.14121937559</t>
  </si>
  <si>
    <t>-561.707903343906 236.156444747425 -747.517221290625</t>
  </si>
  <si>
    <t>-473.798939238563 180.230329924455 -448.635199679849</t>
  </si>
  <si>
    <t>-313.945347404295 31.8485395861426 -306.960550377852</t>
  </si>
  <si>
    <t>-664.124346326388 53.9466260537172 -761.659187107336</t>
  </si>
  <si>
    <t>-568.556462536435 214.045811881601 -241.749182329673</t>
  </si>
  <si>
    <t>-579.549797089444 196.445062600277 213.472727517509</t>
  </si>
  <si>
    <t>-628.472026623694 169.965512234282 679.816118038864</t>
  </si>
  <si>
    <t>-491.573219428547 99.849995686541 765.174493064999</t>
  </si>
  <si>
    <t>-629.241240427152 29.5628507036924 -208.642853314013</t>
  </si>
  <si>
    <t>-584.752669168806 -9.34673702362602 243.202746090845</t>
  </si>
  <si>
    <t>-765.569567659868 108.994946352046 660.455615390484</t>
  </si>
  <si>
    <t>-678.205365764616 -15.8078025502878 748.40607548564</t>
  </si>
  <si>
    <t>9763-20170724T160637.590598700.bin</t>
  </si>
  <si>
    <t>-598.797167992335 122.84851959705 -225.709662856771</t>
  </si>
  <si>
    <t>-636.064701665612 114.218375245035 -340.620256000269</t>
  </si>
  <si>
    <t>-652.941229118243 105.651596158513 -460.338099334388</t>
  </si>
  <si>
    <t>-659.656827442449 97.7653272279547 -569.368131507931</t>
  </si>
  <si>
    <t>-657.888840331965 89.6981110969455 -678.577410654162</t>
  </si>
  <si>
    <t>-646.589650283249 78.2268632356418 -830.039461645385</t>
  </si>
  <si>
    <t>-609.030266657981 62.5638192515003 -923.457470753396</t>
  </si>
  <si>
    <t>-639.34466858205 112.614913830874 -764.328703525198</t>
  </si>
  <si>
    <t>-561.422357014384 236.269560839234 -747.923628094593</t>
  </si>
  <si>
    <t>-470.20845308532 179.447363794628 -450.203199439357</t>
  </si>
  <si>
    <t>-310.000421061194 34.3807919393496 -305.527384740651</t>
  </si>
  <si>
    <t>-663.833696151781 53.9901746895962 -761.715613291934</t>
  </si>
  <si>
    <t>-568.471712243311 215.252066535754 -242.007320743385</t>
  </si>
  <si>
    <t>-579.226871990153 197.122386281196 213.199568981662</t>
  </si>
  <si>
    <t>-628.205536700825 170.170906030985 679.512352575521</t>
  </si>
  <si>
    <t>-491.560249442166 99.88686710826 765.137833212007</t>
  </si>
  <si>
    <t>-629.01928279812 30.493691953631 -208.757515770701</t>
  </si>
  <si>
    <t>-584.318231703027 -8.49031488742025 243.060727550456</t>
  </si>
  <si>
    <t>-765.652988014915 109.050638691981 660.372346461982</t>
  </si>
  <si>
    <t>-678.176610395337 -15.7519957879599 748.211360827956</t>
  </si>
  <si>
    <t>9763-20170724T160637.625692900.bin</t>
  </si>
  <si>
    <t>-598.737039555381 123.347976704716 -225.835630322532</t>
  </si>
  <si>
    <t>-636.025004067961 114.601989914747 -340.730830019972</t>
  </si>
  <si>
    <t>-652.858877836168 105.870915580605 -460.442854078805</t>
  </si>
  <si>
    <t>-659.509997760367 97.8162529409794 -569.46467500526</t>
  </si>
  <si>
    <t>-657.652059786478 89.5603986914625 -678.658196989384</t>
  </si>
  <si>
    <t>-646.202221213615 77.805342940261 -830.087183078885</t>
  </si>
  <si>
    <t>-608.63334373094 61.9443425373236 -923.468069003467</t>
  </si>
  <si>
    <t>-639.027985243796 112.318659946088 -764.434436101629</t>
  </si>
  <si>
    <t>-561.21114588643 236.032791145487 -748.142099821465</t>
  </si>
  <si>
    <t>-468.365696200264 179.078659508236 -450.951722762051</t>
  </si>
  <si>
    <t>-307.969500661198 34.618438700918 -305.878081773396</t>
  </si>
  <si>
    <t>-663.508886312508 53.6944844941593 -761.734650604189</t>
  </si>
  <si>
    <t>-568.436031029956 215.832396356762 -242.229404094982</t>
  </si>
  <si>
    <t>-579.201126053683 197.571566833251 212.971931939912</t>
  </si>
  <si>
    <t>-627.964586491708 170.333331245201 679.259301682357</t>
  </si>
  <si>
    <t>-491.484572826029 99.9585494972407 765.073724825858</t>
  </si>
  <si>
    <t>-628.92788170659 30.9278006959123 -208.762632241205</t>
  </si>
  <si>
    <t>-583.990530330795 -8.26432711020311 243.014192151596</t>
  </si>
  <si>
    <t>-765.652790579021 109.047160095729 660.245203351546</t>
  </si>
  <si>
    <t>-678.18260060763 -15.7438339034723 748.106894545838</t>
  </si>
  <si>
    <t>9763-20170724T160637.694887400.bin</t>
  </si>
  <si>
    <t>-598.66724183758 123.983338472475 -225.972462077886</t>
  </si>
  <si>
    <t>-636.019602209615 115.020762201482 -340.830067632227</t>
  </si>
  <si>
    <t>-652.783296096583 106.06788433215 -460.53546380167</t>
  </si>
  <si>
    <t>-659.315042348752 97.8075512400676 -569.549104201092</t>
  </si>
  <si>
    <t>-657.281931015939 89.3391637270786 -678.723276698344</t>
  </si>
  <si>
    <t>-645.531588701212 77.2796251369327 -830.105357941589</t>
  </si>
  <si>
    <t>-607.908326274255 61.187648298335 -923.424713878387</t>
  </si>
  <si>
    <t>-638.470163582071 111.917779625511 -764.506087247684</t>
  </si>
  <si>
    <t>-560.494202815265 235.527294808395 -748.275892837135</t>
  </si>
  <si>
    <t>-465.64995519633 178.844479708791 -451.665246360684</t>
  </si>
  <si>
    <t>-304.495406068148 35.1914223726949 -306.630600078775</t>
  </si>
  <si>
    <t>-662.99133831722 53.3134121369601 -761.740866392681</t>
  </si>
  <si>
    <t>-568.40214769565 216.636245997295 -242.548150561864</t>
  </si>
  <si>
    <t>-578.995529439099 198.200882762082 212.650285417341</t>
  </si>
  <si>
    <t>-627.726232038335 170.504452693605 678.982479506495</t>
  </si>
  <si>
    <t>-491.397673823637 100.064537176958 764.983975420149</t>
  </si>
  <si>
    <t>-628.777026400162 31.3624776088263 -208.74216602714</t>
  </si>
  <si>
    <t>-583.157831042201 -8.20983180211829 242.933121133426</t>
  </si>
  <si>
    <t>-765.503430652557 108.955661255629 659.844961268407</t>
  </si>
  <si>
    <t>-678.11732757899 -15.7244556147728 747.947408977861</t>
  </si>
  <si>
    <t>9763-20170724T160637.722963100.bin</t>
  </si>
  <si>
    <t>-598.67890185313 124.12063601619 -226.055190680768</t>
  </si>
  <si>
    <t>-636.055890673745 115.1049396851 -340.900620023181</t>
  </si>
  <si>
    <t>-652.798676377506 106.096756358706 -460.604907923515</t>
  </si>
  <si>
    <t>-659.292583557159 97.7845192025843 -569.616770703825</t>
  </si>
  <si>
    <t>-657.202931780667 89.261528409837 -678.785599001013</t>
  </si>
  <si>
    <t>-645.354563777567 77.12305617527 -830.153661553195</t>
  </si>
  <si>
    <t>-607.667618023309 60.9700895901972 -923.436855139034</t>
  </si>
  <si>
    <t>-638.329582267825 111.79288781943 -764.567208484824</t>
  </si>
  <si>
    <t>-560.352654555918 235.39801262213 -748.311771364126</t>
  </si>
  <si>
    <t>-464.608595827606 178.189934033018 -452.091418763047</t>
  </si>
  <si>
    <t>-303.365935062411 35.2104079838484 -306.490190685313</t>
  </si>
  <si>
    <t>-662.864585952084 53.1950563069358 -761.788712766809</t>
  </si>
  <si>
    <t>-568.450705457223 216.883183949222 -242.681444346763</t>
  </si>
  <si>
    <t>-578.904197044269 198.296850627779 212.514017409702</t>
  </si>
  <si>
    <t>-627.572089583267 170.56472547112 678.785225568344</t>
  </si>
  <si>
    <t>-491.381521669265 100.058498252875 764.950848260154</t>
  </si>
  <si>
    <t>-628.791172775117 31.4187246141225 -208.750986606555</t>
  </si>
  <si>
    <t>-582.750669442928 -8.2085523547737 242.876771254558</t>
  </si>
  <si>
    <t>-765.444613486771 108.991007310054 659.695593784048</t>
  </si>
  <si>
    <t>-678.140379050943 -15.725284151715 747.828054237381</t>
  </si>
  <si>
    <t>9763-20170724T160637.788145500.bin</t>
  </si>
  <si>
    <t>-598.746531276291 124.416370328919 -226.10122211866</t>
  </si>
  <si>
    <t>-636.12090539701 115.262895977941 -340.936659396005</t>
  </si>
  <si>
    <t>-652.717972932627 106.201974491068 -460.657091892522</t>
  </si>
  <si>
    <t>-659.020348600194 97.8797347816499 -569.679557233612</t>
  </si>
  <si>
    <t>-656.679542218882 89.3860034742677 -678.845535486746</t>
  </si>
  <si>
    <t>-644.420623012417 77.3306386226034 -830.187575687988</t>
  </si>
  <si>
    <t>-606.55120354218 61.2098811266626 -923.402423696447</t>
  </si>
  <si>
    <t>-637.580949108321 111.967512034752 -764.56427508895</t>
  </si>
  <si>
    <t>-559.477357150011 235.467239866088 -748.151977632923</t>
  </si>
  <si>
    <t>-462.753655706027 176.36734457654 -452.622092239984</t>
  </si>
  <si>
    <t>-302.317534648711 34.1226790548765 -305.418967274921</t>
  </si>
  <si>
    <t>-662.108651957625 53.362050048823 -761.882615681394</t>
  </si>
  <si>
    <t>-568.342722423422 217.259268398837 -242.868934378266</t>
  </si>
  <si>
    <t>-578.808864513876 198.695159675803 212.327098863041</t>
  </si>
  <si>
    <t>-627.335848113146 170.743575750469 678.551326860776</t>
  </si>
  <si>
    <t>-491.399539307053 100.021450641126 764.941181679083</t>
  </si>
  <si>
    <t>-629.069010190193 31.6557098427074 -208.604783651282</t>
  </si>
  <si>
    <t>-582.180007825682 -8.14893279891908 242.920070401964</t>
  </si>
  <si>
    <t>-765.416822741701 109.22691807491 659.513167097758</t>
  </si>
  <si>
    <t>-678.154009305797 -15.652859330502 747.454896469051</t>
  </si>
  <si>
    <t>9763-20170724T160637.823238000.bin</t>
  </si>
  <si>
    <t>-598.686957667636 124.500396877522 -226.111830643056</t>
  </si>
  <si>
    <t>-636.05179619086 115.297445991763 -340.946393286446</t>
  </si>
  <si>
    <t>-652.590606838555 106.263874031737 -460.677104317167</t>
  </si>
  <si>
    <t>-658.819583151463 98.0002153646067 -569.707963027839</t>
  </si>
  <si>
    <t>-656.384374870774 89.6005370246064 -678.879291595435</t>
  </si>
  <si>
    <t>-643.972360716953 77.7141328442146 -830.222131154054</t>
  </si>
  <si>
    <t>-606.01467238323 61.6756918804961 -923.415315349733</t>
  </si>
  <si>
    <t>-637.20058660577 112.278345854927 -764.553509116693</t>
  </si>
  <si>
    <t>-559.063471832733 235.724828148274 -747.893177618366</t>
  </si>
  <si>
    <t>-461.975160744992 175.732295998404 -452.662748781397</t>
  </si>
  <si>
    <t>-302.477122180171 32.8505905028464 -305.057701063761</t>
  </si>
  <si>
    <t>-661.727939854909 53.6687176791295 -761.961929914444</t>
  </si>
  <si>
    <t>-568.171602323255 217.410929661688 -242.961943675116</t>
  </si>
  <si>
    <t>-578.831248664881 198.945933293737 212.233788649069</t>
  </si>
  <si>
    <t>-627.204450028596 170.880954779536 678.442918302901</t>
  </si>
  <si>
    <t>-491.449537080914 99.9530080617237 764.949232898221</t>
  </si>
  <si>
    <t>-629.036319828043 31.6687935668222 -208.575822227557</t>
  </si>
  <si>
    <t>-582.036483288127 -8.08123532821946 242.942298498358</t>
  </si>
  <si>
    <t>-765.500723591686 109.296748304955 659.43665632907</t>
  </si>
  <si>
    <t>-678.140558015492 -15.6029402535844 747.253342345774</t>
  </si>
  <si>
    <t>9763-20170724T160637.891197900.bin</t>
  </si>
  <si>
    <t>-598.617570696038 124.53509092455 -226.129397349651</t>
  </si>
  <si>
    <t>-635.97231905743 115.35463681159 -340.969138104724</t>
  </si>
  <si>
    <t>-652.318080898533 106.43680789434 -460.73495614448</t>
  </si>
  <si>
    <t>-658.296745350655 98.3170590260645 -569.790659187043</t>
  </si>
  <si>
    <t>-655.53565992521 90.1018362493273 -678.968225365481</t>
  </si>
  <si>
    <t>-642.593174526733 78.5149082178066 -830.289872031516</t>
  </si>
  <si>
    <t>-604.402072447629 62.5676579313219 -923.403390933478</t>
  </si>
  <si>
    <t>-636.015003475226 112.933827893623 -764.525289100123</t>
  </si>
  <si>
    <t>-557.551465914348 236.108979898694 -747.443083245141</t>
  </si>
  <si>
    <t>-460.971279444622 173.819087402864 -452.522097935831</t>
  </si>
  <si>
    <t>-303.803985955108 27.8410178943561 -305.447532513016</t>
  </si>
  <si>
    <t>-660.62458381027 54.3497723594776 -762.144422724313</t>
  </si>
  <si>
    <t>-567.884727658488 217.476303734304 -242.990852346285</t>
  </si>
  <si>
    <t>-578.785406912934 198.97031873128 212.19744188838</t>
  </si>
  <si>
    <t>-627.255803340908 170.859349115617 678.49569333916</t>
  </si>
  <si>
    <t>-491.571644544293 99.7972876836293 765.002888049468</t>
  </si>
  <si>
    <t>-629.302873795205 31.6857450593307 -208.53882032803</t>
  </si>
  <si>
    <t>-581.650898243832 -8.3194042979278 242.888393862513</t>
  </si>
  <si>
    <t>-765.415808183383 109.413157469694 659.07381875064</t>
  </si>
  <si>
    <t>-678.176963030584 -15.5693710912919 746.893314693122</t>
  </si>
  <si>
    <t>9763-20170724T160637.923286800.bin</t>
  </si>
  <si>
    <t>-598.725968122097 124.429943538134 -226.094757856942</t>
  </si>
  <si>
    <t>-636.126217888715 115.337128881061 -340.92667874321</t>
  </si>
  <si>
    <t>-652.432365350252 106.526230602239 -460.705777188444</t>
  </si>
  <si>
    <t>-658.339575802975 98.5114055384006 -569.773258396138</t>
  </si>
  <si>
    <t>-655.471444290103 90.4097448885511 -678.956482064136</t>
  </si>
  <si>
    <t>-642.343556835685 78.9899940752803 -830.274881831301</t>
  </si>
  <si>
    <t>-604.066437825244 63.0395082767609 -923.352351602359</t>
  </si>
  <si>
    <t>-635.823837877196 113.326944215487 -764.461659258684</t>
  </si>
  <si>
    <t>-557.186332823294 236.396950834292 -747.116121777143</t>
  </si>
  <si>
    <t>-460.808211028619 172.813733961283 -452.405019403233</t>
  </si>
  <si>
    <t>-305.548072792189 23.5230659837532 -306.635801573029</t>
  </si>
  <si>
    <t>-660.480702018099 54.758735391217 -762.180693522248</t>
  </si>
  <si>
    <t>-567.868046700293 217.382014932834 -242.933418814177</t>
  </si>
  <si>
    <t>-578.778368740599 198.81867358036 212.25233621779</t>
  </si>
  <si>
    <t>-627.328343165358 170.771946670282 678.538207360919</t>
  </si>
  <si>
    <t>-491.685058025674 99.6143027988198 765.030964410886</t>
  </si>
  <si>
    <t>-629.469424678886 31.5862260824269 -208.554274294392</t>
  </si>
  <si>
    <t>-581.409771876298 -8.43671965378167 242.828156167593</t>
  </si>
  <si>
    <t>-765.286741168401 109.470093937289 658.860042915153</t>
  </si>
  <si>
    <t>-678.178103195197 -15.5434773554462 746.764573465161</t>
  </si>
  <si>
    <t>9763-20170724T160637.992474600.bin</t>
  </si>
  <si>
    <t>-599.082612385989 124.22798340875 -225.899714124966</t>
  </si>
  <si>
    <t>-636.523039307502 115.180878357085 -340.722061226089</t>
  </si>
  <si>
    <t>-652.792159197843 106.45687883486 -460.512638853286</t>
  </si>
  <si>
    <t>-658.633758069898 98.5307883373412 -569.589954869753</t>
  </si>
  <si>
    <t>-655.667477894004 90.5251808013529 -678.777853333296</t>
  </si>
  <si>
    <t>-642.369781019867 79.2433599100762 -830.091625184049</t>
  </si>
  <si>
    <t>-604.003732691713 63.132836756577 -923.105005660661</t>
  </si>
  <si>
    <t>-635.816972633855 113.475640046545 -764.227153699491</t>
  </si>
  <si>
    <t>-556.823036328732 236.254027554063 -746.510022868144</t>
  </si>
  <si>
    <t>-460.501970861199 169.671269097768 -452.443470584618</t>
  </si>
  <si>
    <t>-308.962097696793 12.2159642267643 -311.42718816003</t>
  </si>
  <si>
    <t>-660.690138650958 54.99489766533 -762.052805210953</t>
  </si>
  <si>
    <t>-568.119835134685 217.216257913472 -242.762960512633</t>
  </si>
  <si>
    <t>-578.960305177162 198.590519126636 212.421938067002</t>
  </si>
  <si>
    <t>-627.467559226918 170.562206323787 678.653978114422</t>
  </si>
  <si>
    <t>-491.804033963424 99.4025792291707 765.113396697293</t>
  </si>
  <si>
    <t>-629.938285579034 31.333282574335 -208.303359637292</t>
  </si>
  <si>
    <t>-580.534600096938 -8.98274827300907 242.907856009221</t>
  </si>
  <si>
    <t>-765.000348853585 109.53262055353 658.39927966904</t>
  </si>
  <si>
    <t>-678.174896069037 -15.51171743481 746.5397929149</t>
  </si>
  <si>
    <t>9763-20170724T160638.027574800.bin</t>
  </si>
  <si>
    <t>-599.308353137441 124.255470221663 -225.808131107078</t>
  </si>
  <si>
    <t>-636.766687453928 115.19329676876 -340.62343665915</t>
  </si>
  <si>
    <t>-653.04923696471 106.47708421958 -460.412757670042</t>
  </si>
  <si>
    <t>-658.900649522036 98.5610839892117 -569.490465822338</t>
  </si>
  <si>
    <t>-655.94184691493 90.5648717193271 -678.67906544722</t>
  </si>
  <si>
    <t>-642.652140650656 79.2920343850087 -829.994365749769</t>
  </si>
  <si>
    <t>-604.248676501124 62.9824185761311 -922.957520134263</t>
  </si>
  <si>
    <t>-636.000069670912 113.479804827101 -764.116759159252</t>
  </si>
  <si>
    <t>-556.637783688351 235.984363081127 -746.249911443649</t>
  </si>
  <si>
    <t>-460.890933270948 167.848478924559 -452.351658944615</t>
  </si>
  <si>
    <t>-310.513053914776 6.78600447263466 -314.19441048839</t>
  </si>
  <si>
    <t>-661.064824799729 55.0799672264779 -761.967381158076</t>
  </si>
  <si>
    <t>-568.233554438743 217.242218534117 -242.747524699569</t>
  </si>
  <si>
    <t>-579.141924440656 198.782714307089 212.442469374928</t>
  </si>
  <si>
    <t>-627.40510238759 170.66085019278 678.616467417173</t>
  </si>
  <si>
    <t>-491.904860454264 99.2742113353272 765.144746571409</t>
  </si>
  <si>
    <t>-630.234383747479 31.3718382799898 -208.154606851433</t>
  </si>
  <si>
    <t>-579.983569702238 -9.24074973080701 242.936441620241</t>
  </si>
  <si>
    <t>-764.822349059677 109.625388098229 658.149487465717</t>
  </si>
  <si>
    <t>-678.133408173748 -15.447945249434 746.383258142741</t>
  </si>
  <si>
    <t>9763-20170724T160638.091744800.bin</t>
  </si>
  <si>
    <t>-599.503228451897 124.295322809138 -225.738332733443</t>
  </si>
  <si>
    <t>-637.016279246822 115.239679611113 -340.5363076763</t>
  </si>
  <si>
    <t>-653.394973390861 106.680802301487 -460.323910794838</t>
  </si>
  <si>
    <t>-659.348442353021 98.9564781371048 -569.409818586242</t>
  </si>
  <si>
    <t>-656.505553471139 91.195049994581 -678.618426670612</t>
  </si>
  <si>
    <t>-643.390157937984 80.2874125978929 -829.975649431182</t>
  </si>
  <si>
    <t>-604.903047002467 63.4618780965354 -922.812204559134</t>
  </si>
  <si>
    <t>-636.427670344753 114.215372405678 -763.995882864034</t>
  </si>
  <si>
    <t>-555.972162392588 235.939267966876 -745.563051765002</t>
  </si>
  <si>
    <t>-462.669571861786 164.556508504726 -451.649188391776</t>
  </si>
  <si>
    <t>-310.646774368053 1.90299954585976 -317.206068123343</t>
  </si>
  <si>
    <t>-661.958873862922 56.0121395908934 -762.013756592068</t>
  </si>
  <si>
    <t>-568.117074496851 217.212391289535 -242.839570169996</t>
  </si>
  <si>
    <t>-579.411209806786 199.099535610416 212.355013410669</t>
  </si>
  <si>
    <t>-627.268766902097 170.660842894178 678.519983826809</t>
  </si>
  <si>
    <t>-491.947913605188 99.1111144310289 765.194203409576</t>
  </si>
  <si>
    <t>-630.739417856063 31.4067811327816 -207.962177324037</t>
  </si>
  <si>
    <t>-578.914084512532 -9.63392455368967 242.91190722239</t>
  </si>
  <si>
    <t>-764.507438085912 109.800807847222 657.592923505929</t>
  </si>
  <si>
    <t>-678.153679736281 -15.3766370926321 746.007515168298</t>
  </si>
  <si>
    <t>9763-20170724T160638.124836200.bin</t>
  </si>
  <si>
    <t>-599.473156698248 124.301488344202 -225.715891975111</t>
  </si>
  <si>
    <t>-636.98669676784 115.24356108146 -340.513610790701</t>
  </si>
  <si>
    <t>-653.370773647512 106.745833677417 -460.304717888075</t>
  </si>
  <si>
    <t>-659.330919738029 99.1006773019744 -569.395990459215</t>
  </si>
  <si>
    <t>-656.49568210255 91.4423682139632 -678.611980162361</t>
  </si>
  <si>
    <t>-643.391817591239 80.7020836540651 -829.982293401634</t>
  </si>
  <si>
    <t>-604.766419447141 63.3960926648574 -922.672909465724</t>
  </si>
  <si>
    <t>-636.303406454012 114.504164119016 -763.951193843263</t>
  </si>
  <si>
    <t>-555.33784505469 235.809591609841 -745.275742533606</t>
  </si>
  <si>
    <t>-463.277747738231 163.048884442418 -451.308039044569</t>
  </si>
  <si>
    <t>-309.580106610187 1.06930672720159 -317.959984608457</t>
  </si>
  <si>
    <t>-662.076361865743 56.4044600848451 -762.059915004735</t>
  </si>
  <si>
    <t>-567.751375567603 217.135307283222 -242.922064965502</t>
  </si>
  <si>
    <t>-579.523026457536 199.312064219511 212.271809802315</t>
  </si>
  <si>
    <t>-627.159173933435 170.754168739983 678.446813903445</t>
  </si>
  <si>
    <t>-492.071449527297 98.8850578635531 765.220340239732</t>
  </si>
  <si>
    <t>-631.078237342375 31.5064698048461 -207.82606988997</t>
  </si>
  <si>
    <t>-578.422533228096 -9.93529198638453 242.915100539455</t>
  </si>
  <si>
    <t>-764.377211798899 109.884852224721 657.314834832847</t>
  </si>
  <si>
    <t>-678.188642886809 -15.354055674268 745.803566527426</t>
  </si>
  <si>
    <t>9763-20170724T160638.193026400.bin</t>
  </si>
  <si>
    <t>-599.23741915706 124.566170297576 -225.966278155105</t>
  </si>
  <si>
    <t>-636.871779673161 115.515461466306 -340.724763248887</t>
  </si>
  <si>
    <t>-653.583223733636 107.184977939255 -460.482489530689</t>
  </si>
  <si>
    <t>-659.921678417965 99.7585308097148 -569.567470592134</t>
  </si>
  <si>
    <t>-657.544425569285 92.3887732996643 -678.814332410071</t>
  </si>
  <si>
    <t>-645.156818368914 82.1238924523454 -830.277765467586</t>
  </si>
  <si>
    <t>-605.86512794714 63.321283819575 -922.395049264356</t>
  </si>
  <si>
    <t>-637.598552115971 115.648772677031 -764.157594365726</t>
  </si>
  <si>
    <t>-556.019674649594 236.546977862029 -745.252569218177</t>
  </si>
  <si>
    <t>-462.031421779314 163.021433172165 -452.086327012339</t>
  </si>
  <si>
    <t>-307.017442116376 2.68350532150316 -318.278806127579</t>
  </si>
  <si>
    <t>-663.677347017529 57.6827988011473 -762.362136464856</t>
  </si>
  <si>
    <t>-567.029029067544 217.540729329797 -243.469630569805</t>
  </si>
  <si>
    <t>-579.609342071681 200.152400321464 211.719341221261</t>
  </si>
  <si>
    <t>-626.465250559435 171.414547456464 677.816562200391</t>
  </si>
  <si>
    <t>-492.394725868245 98.5232585077081 765.312066795959</t>
  </si>
  <si>
    <t>-631.318396625522 31.7893098517238 -207.909254422023</t>
  </si>
  <si>
    <t>-578.11481341476 -10.0731448087136 242.728717940122</t>
  </si>
  <si>
    <t>-764.400013970278 110.025797984945 656.91265841055</t>
  </si>
  <si>
    <t>-678.22833517654 -15.2540785250201 745.359919199701</t>
  </si>
  <si>
    <t>9763-20170724T160638.226115300.bin</t>
  </si>
  <si>
    <t>-599.127706112339 124.645878672208 -226.178727088443</t>
  </si>
  <si>
    <t>-636.793818201022 115.618810258203 -340.928799133566</t>
  </si>
  <si>
    <t>-653.723759345768 107.332758033525 -460.658960092445</t>
  </si>
  <si>
    <t>-660.336288024443 99.9535848982214 -569.730753326494</t>
  </si>
  <si>
    <t>-658.308285732796 92.6381871311467 -678.988364570689</t>
  </si>
  <si>
    <t>-646.48266047897 82.4557068586905 -830.502349252555</t>
  </si>
  <si>
    <t>-606.777494521115 62.687753806131 -922.239572723902</t>
  </si>
  <si>
    <t>-638.599751752553 115.909028741409 -764.38383329106</t>
  </si>
  <si>
    <t>-556.794069739723 236.636157630879 -745.526664305114</t>
  </si>
  <si>
    <t>-461.162279736653 162.784228050832 -452.974727082972</t>
  </si>
  <si>
    <t>-305.628357548451 4.17795703671777 -317.714556370132</t>
  </si>
  <si>
    <t>-664.830592233985 58.0131478609985 -762.540177542406</t>
  </si>
  <si>
    <t>-566.715810314446 217.582614105983 -243.730969454577</t>
  </si>
  <si>
    <t>-579.65370686285 200.405586102765 211.45611419065</t>
  </si>
  <si>
    <t>-626.284789219863 171.574256075844 677.686642967359</t>
  </si>
  <si>
    <t>-492.53195808328 98.3469588595858 765.38758853466</t>
  </si>
  <si>
    <t>-631.514434383015 31.838224124692 -208.047894430893</t>
  </si>
  <si>
    <t>-578.22941575104 -10.1408244427403 242.569613346156</t>
  </si>
  <si>
    <t>-764.497374104149 110.064354572316 656.746860435085</t>
  </si>
  <si>
    <t>-678.230861789489 -15.1934506593284 745.132824461854</t>
  </si>
  <si>
    <t>9763-20170724T160638.289285700.bin</t>
  </si>
  <si>
    <t>-598.940598523688 124.598662117797 -226.527746940618</t>
  </si>
  <si>
    <t>-636.73024794242 115.71557238838 -341.248365640782</t>
  </si>
  <si>
    <t>-654.168280418525 107.614537098707 -460.918127373378</t>
  </si>
  <si>
    <t>-661.396964727652 100.415906164024 -569.96302354318</t>
  </si>
  <si>
    <t>-660.139793457147 93.2927643562489 -679.244944454557</t>
  </si>
  <si>
    <t>-649.54251664756 83.3887890545677 -830.868079915896</t>
  </si>
  <si>
    <t>-609.213257150242 61.8540064787076 -921.932875159898</t>
  </si>
  <si>
    <t>-640.963723181586 116.648240776005 -764.738601803967</t>
  </si>
  <si>
    <t>-558.729752847667 237.114996329248 -746.064027956301</t>
  </si>
  <si>
    <t>-460.00075879618 163.035041287048 -454.600505706164</t>
  </si>
  <si>
    <t>-304.441085311862 6.27368058219463 -317.235640378557</t>
  </si>
  <si>
    <t>-667.499230968157 58.893758350589 -762.820552435327</t>
  </si>
  <si>
    <t>-566.090117235115 217.32001408255 -244.008317389912</t>
  </si>
  <si>
    <t>-579.452455605069 200.329888012003 211.173456518321</t>
  </si>
  <si>
    <t>-626.177256743386 171.594548460052 677.555489728029</t>
  </si>
  <si>
    <t>-492.890285824766 97.741561829419 765.440826194888</t>
  </si>
  <si>
    <t>-631.680202689908 31.8448420611981 -208.417543063484</t>
  </si>
  <si>
    <t>-578.643468050276 -10.1038064617389 242.232090108979</t>
  </si>
  <si>
    <t>-764.677610084194 110.104374449494 656.477762470497</t>
  </si>
  <si>
    <t>-678.263356191485 -15.0914028532384 744.807325888219</t>
  </si>
  <si>
    <t>9763-20170724T160638.321370300.bin</t>
  </si>
  <si>
    <t>-598.746822887965 124.377468147443 -226.632422278711</t>
  </si>
  <si>
    <t>-636.631608184778 115.596472279772 -341.329544426903</t>
  </si>
  <si>
    <t>-654.287652982361 107.551434131592 -460.971184854926</t>
  </si>
  <si>
    <t>-661.763883651104 100.384201450685 -570.001355497091</t>
  </si>
  <si>
    <t>-660.803809979859 93.2737998627483 -679.287134750947</t>
  </si>
  <si>
    <t>-650.670194730337 83.3680529039536 -830.941920492378</t>
  </si>
  <si>
    <t>-610.15872743753 61.0685588691865 -921.741499235608</t>
  </si>
  <si>
    <t>-641.814512589981 116.594099084375 -764.83193181491</t>
  </si>
  <si>
    <t>-559.264132827174 236.872762456526 -746.382160082879</t>
  </si>
  <si>
    <t>-459.944969804266 163.396129188125 -454.96657287429</t>
  </si>
  <si>
    <t>-304.015999864444 7.66872844196496 -316.846286296523</t>
  </si>
  <si>
    <t>-668.49347665852 58.9080046501442 -762.846760664975</t>
  </si>
  <si>
    <t>-565.690536802706 216.921718318641 -244.057091474775</t>
  </si>
  <si>
    <t>-578.914837729933 199.723536273939 211.120906190149</t>
  </si>
  <si>
    <t>-626.241435012254 171.391620161733 677.545405205598</t>
  </si>
  <si>
    <t>-492.862967242607 97.7016874283211 765.428762466843</t>
  </si>
  <si>
    <t>-631.670635432242 31.8237736181929 -208.498063695486</t>
  </si>
  <si>
    <t>-578.713416664457 -10.4403493497516 242.131443005496</t>
  </si>
  <si>
    <t>-764.675497805245 110.06712693213 656.282176470667</t>
  </si>
  <si>
    <t>-678.285497889745 -15.0817398655447 744.701840978521</t>
  </si>
  <si>
    <t>9763-20170724T160638.391566600.bin</t>
  </si>
  <si>
    <t>-598.173348716423 123.837419192645 -226.617773217314</t>
  </si>
  <si>
    <t>-636.252150528154 115.346759884427 -341.272562479048</t>
  </si>
  <si>
    <t>-654.220516926862 107.358653418655 -460.871568350093</t>
  </si>
  <si>
    <t>-662.028560759401 100.147368322957 -569.875629273759</t>
  </si>
  <si>
    <t>-661.449650594172 92.8979325308724 -679.154836634493</t>
  </si>
  <si>
    <t>-651.897074968821 82.7000896910613 -830.828006641018</t>
  </si>
  <si>
    <t>-611.359414198612 59.336050732755 -921.347642861614</t>
  </si>
  <si>
    <t>-642.666750823319 115.997359141228 -764.805178847043</t>
  </si>
  <si>
    <t>-559.663686054378 236.0376671136 -746.842890239145</t>
  </si>
  <si>
    <t>-460.184835227973 163.16906752999 -455.329088456536</t>
  </si>
  <si>
    <t>-304.329529963699 8.15339778601788 -316.327892700172</t>
  </si>
  <si>
    <t>-669.580718967934 58.4274214610371 -762.629527259032</t>
  </si>
  <si>
    <t>-564.749592092959 216.036093967649 -243.89937382816</t>
  </si>
  <si>
    <t>-577.651588695555 198.348672841468 211.269103003322</t>
  </si>
  <si>
    <t>-626.497846262359 170.873616854121 677.651544543089</t>
  </si>
  <si>
    <t>-492.76507201502 97.6795793897252 765.41078637057</t>
  </si>
  <si>
    <t>-631.404354147361 31.6620320751517 -208.579110983666</t>
  </si>
  <si>
    <t>-578.209630523109 -11.0915975841826 241.976278339534</t>
  </si>
  <si>
    <t>-764.33062675666 110.11405109511 655.833083741923</t>
  </si>
  <si>
    <t>-678.26662871474 -15.017264392349 744.594909855507</t>
  </si>
  <si>
    <t>9763-20170724T160638.424652700.bin</t>
  </si>
  <si>
    <t>-597.896580444797 123.692613017885 -226.569905076292</t>
  </si>
  <si>
    <t>-636.050089641965 115.308606084298 -341.207582134309</t>
  </si>
  <si>
    <t>-654.149445381415 107.328777300898 -460.787306888212</t>
  </si>
  <si>
    <t>-662.099285669118 100.083329675375 -569.778859145812</t>
  </si>
  <si>
    <t>-661.685819873047 92.7569552905561 -679.053828301878</t>
  </si>
  <si>
    <t>-652.387471254925 82.407135956815 -830.732487716662</t>
  </si>
  <si>
    <t>-611.968949894114 58.726588412625 -921.223128875899</t>
  </si>
  <si>
    <t>-643.005737698608 115.751558054701 -764.754710889169</t>
  </si>
  <si>
    <t>-559.781283487461 235.683702800905 -746.989586456003</t>
  </si>
  <si>
    <t>-460.400259935462 163.046621915114 -455.384671822694</t>
  </si>
  <si>
    <t>-304.550402131427 8.36681239692075 -316.003681809158</t>
  </si>
  <si>
    <t>-669.997683957628 58.2216358971975 -762.483842833162</t>
  </si>
  <si>
    <t>-564.448484577281 215.797045631157 -243.76886612146</t>
  </si>
  <si>
    <t>-577.12251462677 197.822706045332 211.394861690267</t>
  </si>
  <si>
    <t>-626.639310350623 170.711848914375 677.748033015898</t>
  </si>
  <si>
    <t>-492.832563407178 97.5259400960877 765.40125521832</t>
  </si>
  <si>
    <t>-631.184481664108 31.6928710252741 -208.600803375765</t>
  </si>
  <si>
    <t>-577.842995855343 -11.286900556338 241.915758184141</t>
  </si>
  <si>
    <t>-764.119640313735 110.110099082425 655.63274632623</t>
  </si>
  <si>
    <t>-678.294050854567 -15.0303591759339 744.612220184548</t>
  </si>
  <si>
    <t>9763-20170724T160638.493843600.bin</t>
  </si>
  <si>
    <t>-597.419303694312 123.776195564916 -226.445304243877</t>
  </si>
  <si>
    <t>-635.57497168999 115.411306409545 -341.083739118743</t>
  </si>
  <si>
    <t>-653.82105657595 107.29641894571 -460.631947473194</t>
  </si>
  <si>
    <t>-661.964871881442 99.8570892743892 -569.59622730491</t>
  </si>
  <si>
    <t>-661.807284436163 92.2598964217316 -678.853200537731</t>
  </si>
  <si>
    <t>-652.929333589609 81.4486439422774 -830.524843690932</t>
  </si>
  <si>
    <t>-612.877511091009 57.3669267809782 -921.072784525572</t>
  </si>
  <si>
    <t>-643.285545170521 114.956568760844 -764.667856773027</t>
  </si>
  <si>
    <t>-559.931586695747 234.841538593238 -747.361841618948</t>
  </si>
  <si>
    <t>-460.421127936866 163.540234099522 -455.471500761621</t>
  </si>
  <si>
    <t>-304.99733983509 9.04728788531861 -315.409165637221</t>
  </si>
  <si>
    <t>-670.42953498867 57.5080319389167 -762.161885075286</t>
  </si>
  <si>
    <t>-564.066878506565 215.69901551942 -243.557559724025</t>
  </si>
  <si>
    <t>-576.618533653344 197.375381862901 211.595574033322</t>
  </si>
  <si>
    <t>-626.85165074674 170.447446048668 677.90799785739</t>
  </si>
  <si>
    <t>-492.657878210739 97.647730239451 765.290713347775</t>
  </si>
  <si>
    <t>-630.599741753322 31.951055189978 -208.616786540664</t>
  </si>
  <si>
    <t>-577.130407360293 -11.0256976791393 241.884848580878</t>
  </si>
  <si>
    <t>-763.781215189995 110.153375236236 655.472483424218</t>
  </si>
  <si>
    <t>-678.19717879631 -14.9149495053668 744.785360680571</t>
  </si>
  <si>
    <t>9763-20170724T160638.526930100.bin</t>
  </si>
  <si>
    <t>-597.183051562744 123.964556548948 -226.430361572447</t>
  </si>
  <si>
    <t>-635.281805263867 115.617735231115 -341.089003608234</t>
  </si>
  <si>
    <t>-653.583049889084 107.470058687336 -460.626664496723</t>
  </si>
  <si>
    <t>-661.824209884517 99.9759098132611 -569.57972900459</t>
  </si>
  <si>
    <t>-661.811764211026 92.2961845013842 -678.831204179811</t>
  </si>
  <si>
    <t>-653.185267082204 81.3389958354464 -830.506870567886</t>
  </si>
  <si>
    <t>-613.307622381983 57.1979982644471 -921.115699481953</t>
  </si>
  <si>
    <t>-643.418468730601 114.90368410283 -764.696987055812</t>
  </si>
  <si>
    <t>-560.023385117335 234.829141850795 -747.723164263324</t>
  </si>
  <si>
    <t>-461.077929036066 164.408619647514 -455.42710848578</t>
  </si>
  <si>
    <t>-305.741312290101 9.87319468731857 -315.315238987114</t>
  </si>
  <si>
    <t>-670.585940525757 57.4707859800067 -762.093076049904</t>
  </si>
  <si>
    <t>-564.003838173558 215.856871409121 -243.431843740116</t>
  </si>
  <si>
    <t>-576.623518012574 197.441553306827 211.715703061403</t>
  </si>
  <si>
    <t>-626.996070932361 170.398311036713 678.042831784141</t>
  </si>
  <si>
    <t>-492.625535861027 97.67954352008 765.221108686091</t>
  </si>
  <si>
    <t>-630.175251172186 32.2042498922883 -208.714163559324</t>
  </si>
  <si>
    <t>-576.790626009374 -10.5711868975247 241.816673138587</t>
  </si>
  <si>
    <t>-763.61051189661 110.185236613934 655.454820880437</t>
  </si>
  <si>
    <t>-678.259571000048 -14.9236294639106 744.933900472651</t>
  </si>
  <si>
    <t>9763-20170724T160638.589683300.bin</t>
  </si>
  <si>
    <t>-596.930585241885 124.758388652083 -226.323491293197</t>
  </si>
  <si>
    <t>-634.850445105199 116.438064464944 -341.043462882812</t>
  </si>
  <si>
    <t>-653.157900651982 108.091934894255 -460.566409758551</t>
  </si>
  <si>
    <t>-661.48479574371 100.327528201693 -569.493997329412</t>
  </si>
  <si>
    <t>-661.640455476065 92.2860857869007 -678.719283143664</t>
  </si>
  <si>
    <t>-653.334295612833 80.7309148410079 -830.368547181205</t>
  </si>
  <si>
    <t>-613.736375046497 56.5154887824042 -921.080146441887</t>
  </si>
  <si>
    <t>-643.498412705406 114.587372911505 -764.718605405977</t>
  </si>
  <si>
    <t>-560.574775959182 234.93701259101 -748.535285464447</t>
  </si>
  <si>
    <t>-463.099934998519 166.246522067033 -455.334977469064</t>
  </si>
  <si>
    <t>-307.463145639452 11.8304560581473 -315.424669545605</t>
  </si>
  <si>
    <t>-670.520609179861 57.1000715086197 -761.818365649417</t>
  </si>
  <si>
    <t>-564.069710035325 216.588914692964 -243.202867215921</t>
  </si>
  <si>
    <t>-576.790022409074 197.71775864774 211.923280503732</t>
  </si>
  <si>
    <t>-627.203245826234 170.25882007292 678.225545524003</t>
  </si>
  <si>
    <t>-492.513594165768 97.8045576202123 765.131175698033</t>
  </si>
  <si>
    <t>-629.614223336044 33.052505627888 -208.787525059863</t>
  </si>
  <si>
    <t>-576.059966136263 -9.73926770167122 241.721655172218</t>
  </si>
  <si>
    <t>-763.255255197881 110.183209731612 655.403847565278</t>
  </si>
  <si>
    <t>-678.228202938752 -14.8773814022229 745.257937253605</t>
  </si>
  <si>
    <t>9763-20170724T160638.622768700.bin</t>
  </si>
  <si>
    <t>-596.803165058933 125.298319596289 -226.267143883987</t>
  </si>
  <si>
    <t>-634.695119096893 116.976957396412 -340.996190279197</t>
  </si>
  <si>
    <t>-653.003224838286 108.502578668226 -460.509996713867</t>
  </si>
  <si>
    <t>-661.343961950798 100.574644471453 -569.424922405422</t>
  </si>
  <si>
    <t>-661.527506572251 92.3242563191116 -678.634480714561</t>
  </si>
  <si>
    <t>-653.275215233841 80.4335370975039 -830.260719775802</t>
  </si>
  <si>
    <t>-613.801570949296 56.2225010219902 -921.027830271057</t>
  </si>
  <si>
    <t>-643.506555200604 114.477162026128 -764.697669765797</t>
  </si>
  <si>
    <t>-561.002317179065 235.16578971651 -748.790819821435</t>
  </si>
  <si>
    <t>-463.966343853718 167.520890811319 -455.202146960753</t>
  </si>
  <si>
    <t>-308.218981291803 12.9611659758423 -315.573823281539</t>
  </si>
  <si>
    <t>-670.346567066857 56.9125537759558 -761.644050702974</t>
  </si>
  <si>
    <t>-564.167155460254 217.144035061869 -243.116246466238</t>
  </si>
  <si>
    <t>-576.770597049256 197.945543334189 211.999391107917</t>
  </si>
  <si>
    <t>-627.222245427188 170.273409047794 678.260919260706</t>
  </si>
  <si>
    <t>-492.412997440082 97.9529468060703 765.092532534422</t>
  </si>
  <si>
    <t>-629.2470480513 33.5658358575188 -208.774888257353</t>
  </si>
  <si>
    <t>-575.477189234223 -9.44042060643983 241.688131290254</t>
  </si>
  <si>
    <t>-763.063416544512 110.140188407608 655.307795707693</t>
  </si>
  <si>
    <t>-678.19524575088 -14.8546142745829 745.403374148933</t>
  </si>
  <si>
    <t>9763-20170724T160638.692545600.bin</t>
  </si>
  <si>
    <t>-596.499985147869 126.577618706901 -226.162350864417</t>
  </si>
  <si>
    <t>-634.259907360216 118.027951155228 -340.918050283482</t>
  </si>
  <si>
    <t>-652.426817238437 109.174151360183 -460.425939591222</t>
  </si>
  <si>
    <t>-660.638518895753 100.845242952501 -569.320679334931</t>
  </si>
  <si>
    <t>-660.693325699787 92.1366657196479 -678.494960265031</t>
  </si>
  <si>
    <t>-652.264180681468 79.5501799754211 -830.055167952592</t>
  </si>
  <si>
    <t>-612.853812405662 55.3852730072024 -920.862002047626</t>
  </si>
  <si>
    <t>-642.821889422843 114.008100255449 -764.660903845416</t>
  </si>
  <si>
    <t>-561.382497866949 235.461466106428 -749.201513411994</t>
  </si>
  <si>
    <t>-464.131738564272 169.844122765693 -455.223759398834</t>
  </si>
  <si>
    <t>-308.015247936622 15.5255512971755 -315.740922916691</t>
  </si>
  <si>
    <t>-669.165928081798 56.2302972349962 -761.327886515882</t>
  </si>
  <si>
    <t>-564.600034420577 218.695160147093 -242.999333923069</t>
  </si>
  <si>
    <t>-576.950169817938 198.910982778784 212.098169419811</t>
  </si>
  <si>
    <t>-627.136685066527 170.287241228117 678.228077509389</t>
  </si>
  <si>
    <t>-492.080938519048 98.390072332674 765.028144055987</t>
  </si>
  <si>
    <t>-628.186691560678 34.5508468379614 -208.6888799171</t>
  </si>
  <si>
    <t>-573.822769591312 -8.7095391617147 241.678518255158</t>
  </si>
  <si>
    <t>-762.716890426026 110.018511919573 655.015319510131</t>
  </si>
  <si>
    <t>-678.113965050778 -14.8167246031667 745.580314963409</t>
  </si>
  <si>
    <t>9763-20170724T160638.727648000.bin</t>
  </si>
  <si>
    <t>-596.324357316587 127.317291442514 -226.107310297878</t>
  </si>
  <si>
    <t>-634.062975237718 118.606799836138 -340.857934263746</t>
  </si>
  <si>
    <t>-652.188674784358 109.516971697941 -460.354415082832</t>
  </si>
  <si>
    <t>-660.355296001206 100.943302630717 -569.233392053414</t>
  </si>
  <si>
    <t>-660.358553297844 91.9562597483164 -678.385204384508</t>
  </si>
  <si>
    <t>-651.851475704314 78.9468154066544 -829.905309688668</t>
  </si>
  <si>
    <t>-612.45423812889 54.8176997503676 -920.727342629601</t>
  </si>
  <si>
    <t>-642.590367704595 113.65332749885 -764.616714328703</t>
  </si>
  <si>
    <t>-561.783056591827 235.572732088147 -749.384134644628</t>
  </si>
  <si>
    <t>-463.884296170737 170.605153423886 -455.477385774197</t>
  </si>
  <si>
    <t>-307.686289923614 16.7082082469781 -315.620376203951</t>
  </si>
  <si>
    <t>-668.640766989733 55.7529248123601 -761.108059363462</t>
  </si>
  <si>
    <t>-436.596435611879 0.062653233476567 -344.517108151515</t>
  </si>
  <si>
    <t>-564.995676445178 219.660858442594 -242.937424786214</t>
  </si>
  <si>
    <t>-577.123370643889 199.55695083895 212.152108364337</t>
  </si>
  <si>
    <t>-627.103091568273 170.307058778505 678.254170274893</t>
  </si>
  <si>
    <t>-491.896593586482 98.630428854485 765.001923483771</t>
  </si>
  <si>
    <t>-627.438547995623 35.1033073626465 -208.618973278853</t>
  </si>
  <si>
    <t>-572.626798385664 -8.19544042274356 241.6904610512</t>
  </si>
  <si>
    <t>-762.503767084786 109.988858100514 654.778712516934</t>
  </si>
  <si>
    <t>-678.062336797504 -14.7854801988958 745.577973470947</t>
  </si>
  <si>
    <t>9763-20170724T160638.793427000.bin</t>
  </si>
  <si>
    <t>-596.253971685949 129.080365950651 -225.905454528321</t>
  </si>
  <si>
    <t>-633.973508302746 120.017198602549 -340.635123355926</t>
  </si>
  <si>
    <t>-652.040521805067 110.272740156695 -460.08883908734</t>
  </si>
  <si>
    <t>-660.140882154183 100.973461767081 -568.913319681665</t>
  </si>
  <si>
    <t>-660.068402143091 91.1175564559114 -677.989875555556</t>
  </si>
  <si>
    <t>-651.449643179387 76.7437096471965 -829.380508840162</t>
  </si>
  <si>
    <t>-612.156975008804 52.6930209142547 -920.268612984331</t>
  </si>
  <si>
    <t>-642.447994713109 112.129737736539 -764.421138797074</t>
  </si>
  <si>
    <t>-562.457902610125 234.715327323446 -750.115106525988</t>
  </si>
  <si>
    <t>-462.787478165588 171.283676251804 -456.468305411675</t>
  </si>
  <si>
    <t>-307.209383130078 17.7095251682408 -315.569482451797</t>
  </si>
  <si>
    <t>-668.078415869697 54.0775827999755 -760.368629658661</t>
  </si>
  <si>
    <t>-566.196277290169 222.029609118893 -242.713701993954</t>
  </si>
  <si>
    <t>-577.749932021211 201.203221486579 212.358259662444</t>
  </si>
  <si>
    <t>-627.085769728765 170.398498607766 678.355828195109</t>
  </si>
  <si>
    <t>-491.559788330272 99.1093635431105 764.924191477424</t>
  </si>
  <si>
    <t>-626.150500823002 36.2021335773045 -208.369957888337</t>
  </si>
  <si>
    <t>-569.192723415393 -7.12992504855129 241.669873338641</t>
  </si>
  <si>
    <t>-761.79755093985 109.901820756932 653.845941259148</t>
  </si>
  <si>
    <t>-677.949703747252 -14.7721734148365 745.330686983588</t>
  </si>
  <si>
    <t>9763-20170724T160638.829520600.bin</t>
  </si>
  <si>
    <t>-596.238852559519 130.050328585829 -225.841569140269</t>
  </si>
  <si>
    <t>-634.002557819378 120.854410792172 -340.546293983542</t>
  </si>
  <si>
    <t>-652.07769399328 110.660285095383 -459.961135577136</t>
  </si>
  <si>
    <t>-660.174201477315 100.815832085879 -568.737864616938</t>
  </si>
  <si>
    <t>-660.089822538421 90.2692928868503 -677.749959176564</t>
  </si>
  <si>
    <t>-651.449506885907 74.7781433670475 -829.02903179459</t>
  </si>
  <si>
    <t>-612.403130242359 50.7483294849756 -920.028654858103</t>
  </si>
  <si>
    <t>-642.502037867515 110.662309200334 -764.335898756567</t>
  </si>
  <si>
    <t>-562.600432297276 233.392428765634 -750.881172433179</t>
  </si>
  <si>
    <t>-462.177104462268 171.139596870651 -457.238629844113</t>
  </si>
  <si>
    <t>-307.459493959597 17.0185520498158 -315.989958192569</t>
  </si>
  <si>
    <t>-668.043105248471 52.6026962875542 -759.849409970531</t>
  </si>
  <si>
    <t>-566.814718521708 223.272352180545 -242.637819771664</t>
  </si>
  <si>
    <t>-577.954802633766 202.068136941879 212.426898318506</t>
  </si>
  <si>
    <t>-626.978680461508 170.5755503619 678.338272057973</t>
  </si>
  <si>
    <t>-491.397943381129 99.3375082414132 764.862952604565</t>
  </si>
  <si>
    <t>-625.435030828905 36.8556168077655 -208.288119085908</t>
  </si>
  <si>
    <t>-566.762967189026 -6.71420420758295 241.508478601462</t>
  </si>
  <si>
    <t>-761.218182767871 109.78393531003 652.979950030954</t>
  </si>
  <si>
    <t>-677.848328958915 -14.7565840931054 745.081164725365</t>
  </si>
  <si>
    <t>9763-20170724T160638.896219600.bin</t>
  </si>
  <si>
    <t>-596.307449094761 132.372865311389 -225.561216258264</t>
  </si>
  <si>
    <t>-634.173955606467 123.003524992713 -340.217795562112</t>
  </si>
  <si>
    <t>-652.295267661888 111.557627728313 -459.512372534819</t>
  </si>
  <si>
    <t>-660.424665933587 100.126400473297 -568.131310810631</t>
  </si>
  <si>
    <t>-660.375045708155 87.5269304657945 -676.92517478147</t>
  </si>
  <si>
    <t>-651.796077231235 68.6874659715213 -827.827495783793</t>
  </si>
  <si>
    <t>-613.851196976098 44.6313916978891 -919.284899532608</t>
  </si>
  <si>
    <t>-642.85448895817 106.010035644661 -763.952575278952</t>
  </si>
  <si>
    <t>-562.856910442146 228.922584712241 -753.157231506082</t>
  </si>
  <si>
    <t>-460.823988094473 170.28291083189 -459.325949276692</t>
  </si>
  <si>
    <t>-308.175353172112 14.7701336295067 -317.353381473934</t>
  </si>
  <si>
    <t>-668.329477952477 48.0367034144454 -758.163163336688</t>
  </si>
  <si>
    <t>-568.05561232586 226.217796278179 -242.358773587268</t>
  </si>
  <si>
    <t>-578.286280095521 203.768207656304 212.667670843537</t>
  </si>
  <si>
    <t>-626.823483939831 170.819461303882 678.408091719075</t>
  </si>
  <si>
    <t>-490.981669549917 99.8838391335594 764.771543256433</t>
  </si>
  <si>
    <t>-624.303606111502 38.4983514383327 -207.982213999306</t>
  </si>
  <si>
    <t>-559.982401093486 -6.95334139425609 240.854700962524</t>
  </si>
  <si>
    <t>-759.311957269108 109.119733497311 650.022347377681</t>
  </si>
  <si>
    <t>-677.777223552911 -14.919752263281 744.414053756074</t>
  </si>
  <si>
    <t>9763-20170724T160638.923300900.bin</t>
  </si>
  <si>
    <t>-596.33936984355 133.900439006383 -225.368547001414</t>
  </si>
  <si>
    <t>-634.211472783348 124.351177791966 -340.008564732623</t>
  </si>
  <si>
    <t>-652.325621382438 112.130855865752 -459.227183636228</t>
  </si>
  <si>
    <t>-660.452335690494 99.7532124820684 -567.74271638818</t>
  </si>
  <si>
    <t>-660.410239024007 85.9579375339215 -676.391419673</t>
  </si>
  <si>
    <t>-651.859301052767 65.1936807298193 -827.042463344872</t>
  </si>
  <si>
    <t>-614.718717482268 41.1857108414081 -918.842046589296</t>
  </si>
  <si>
    <t>-642.923438797642 103.335989678317 -763.652864618495</t>
  </si>
  <si>
    <t>-562.867046625878 226.330159571274 -754.534472913143</t>
  </si>
  <si>
    <t>-459.630810192682 170.089020202946 -460.654607784329</t>
  </si>
  <si>
    <t>-307.816761113931 14.2956607131002 -318.095846092224</t>
  </si>
  <si>
    <t>-668.362193441942 45.4264658598127 -757.115228914333</t>
  </si>
  <si>
    <t>-568.619480259491 228.104326627122 -242.217736824055</t>
  </si>
  <si>
    <t>-578.500334769012 204.9729928769 212.782215333775</t>
  </si>
  <si>
    <t>-626.690667262559 171.019362422736 678.392148600681</t>
  </si>
  <si>
    <t>-490.812965952862 100.106999249495 764.718294275412</t>
  </si>
  <si>
    <t>-623.811777615613 39.7166535184811 -207.669500906188</t>
  </si>
  <si>
    <t>-555.825418615561 -7.39618308126865 240.455367681098</t>
  </si>
  <si>
    <t>-757.935553817648 108.787528853143 648.111417463555</t>
  </si>
  <si>
    <t>-677.670051884526 -14.9305101268199 744.001024108921</t>
  </si>
  <si>
    <t>9763-20170724T160638.993312100.bin</t>
  </si>
  <si>
    <t>-596.731691855513 137.425703519943 -224.900979240522</t>
  </si>
  <si>
    <t>-634.372621923605 127.219227744602 -339.560399247127</t>
  </si>
  <si>
    <t>-652.487149748629 113.463486179603 -458.611765528122</t>
  </si>
  <si>
    <t>-660.724643567317 99.3459271191962 -566.906110950796</t>
  </si>
  <si>
    <t>-660.914407553189 83.459567858082 -675.268651875127</t>
  </si>
  <si>
    <t>-652.820299962249 59.4252131544188 -825.458092067336</t>
  </si>
  <si>
    <t>-617.254268608752 35.4760952502309 -917.894416809344</t>
  </si>
  <si>
    <t>-643.808510310005 98.984743021972 -762.954047708136</t>
  </si>
  <si>
    <t>-564.029772804974 222.338418414423 -757.088414645434</t>
  </si>
  <si>
    <t>-457.588821738585 171.387830263803 -463.386883100391</t>
  </si>
  <si>
    <t>-306.585511422491 16.7158514638952 -318.761084165294</t>
  </si>
  <si>
    <t>-668.994863528727 41.1346185304387 -755.053854102167</t>
  </si>
  <si>
    <t>-569.841785807911 232.285381246059 -242.119237148414</t>
  </si>
  <si>
    <t>-579.232802991933 208.118747932956 212.837312376405</t>
  </si>
  <si>
    <t>-626.235962395968 171.516832716737 678.178446194583</t>
  </si>
  <si>
    <t>-490.337231828644 100.645018343194 764.50474570459</t>
  </si>
  <si>
    <t>-623.590242808044 42.5817227675334 -206.954656455101</t>
  </si>
  <si>
    <t>-547.810446831966 -8.43856034166538 239.48910726915</t>
  </si>
  <si>
    <t>-754.30727105279 109.219058582366 644.385579949262</t>
  </si>
  <si>
    <t>-677.97528246292 -14.7867376623958 743.07446376591</t>
  </si>
  <si>
    <t>9763-20170724T160639.026380200.bin</t>
  </si>
  <si>
    <t>-597.000177759335 139.066994518803 -224.771791165282</t>
  </si>
  <si>
    <t>-634.558510257131 128.443553078954 -339.42043612094</t>
  </si>
  <si>
    <t>-652.740326921618 114.008717017345 -458.381030446809</t>
  </si>
  <si>
    <t>-661.104723199704 99.1769881355899 -566.570301752877</t>
  </si>
  <si>
    <t>-661.48989911555 82.4792513581135 -674.810294775073</t>
  </si>
  <si>
    <t>-653.7406988224 57.2184621573924 -824.816379478756</t>
  </si>
  <si>
    <t>-618.763086423666 33.3291476175427 -917.492383030704</t>
  </si>
  <si>
    <t>-644.684121097986 97.3281296254606 -762.670537073776</t>
  </si>
  <si>
    <t>-565.224737730363 220.979510573857 -758.249103731099</t>
  </si>
  <si>
    <t>-457.422894785773 172.328064673739 -464.654062422629</t>
  </si>
  <si>
    <t>-306.270183047039 19.3138573938643 -318.429639766615</t>
  </si>
  <si>
    <t>-669.654844803905 39.4630161716275 -754.216211939647</t>
  </si>
  <si>
    <t>-411.250616013607 2.92842823536898 -351.406808328583</t>
  </si>
  <si>
    <t>-570.294215412419 234.276075923629 -242.182753946917</t>
  </si>
  <si>
    <t>-579.76008290812 209.72468002398 212.75159321239</t>
  </si>
  <si>
    <t>-626.003578334045 171.890915685872 678.033568072078</t>
  </si>
  <si>
    <t>-490.122058058726 100.93856501878 764.320778882069</t>
  </si>
  <si>
    <t>-623.828021981285 43.8620438870466 -206.700801908931</t>
  </si>
  <si>
    <t>-544.613086470567 -8.39606589213736 239.002838386916</t>
  </si>
  <si>
    <t>-752.304575596439 110.209922067623 643.047958715259</t>
  </si>
  <si>
    <t>-678.328474816482 -14.5291296065045 742.60303243208</t>
  </si>
  <si>
    <t>9763-20170724T160639.092562600.bin</t>
  </si>
  <si>
    <t>-597.887942759172 142.315877360523 -224.860280454673</t>
  </si>
  <si>
    <t>-635.364724120501 130.736690819278 -339.443113952781</t>
  </si>
  <si>
    <t>-653.595115161794 115.08407397784 -458.242159319835</t>
  </si>
  <si>
    <t>-662.061880797324 99.051026333128 -566.251909354819</t>
  </si>
  <si>
    <t>-662.611863963434 81.0525846117268 -674.282481635358</t>
  </si>
  <si>
    <t>-655.159342961855 53.8824064264529 -823.969753008151</t>
  </si>
  <si>
    <t>-620.852857030193 29.9439484958755 -916.883551168683</t>
  </si>
  <si>
    <t>-646.184171915172 94.8637633284582 -762.383241904843</t>
  </si>
  <si>
    <t>-567.447397351689 219.012771262096 -759.978624766626</t>
  </si>
  <si>
    <t>-457.671066972592 174.639699063457 -466.437650491569</t>
  </si>
  <si>
    <t>-305.931378100318 25.4405241759234 -316.915940214561</t>
  </si>
  <si>
    <t>-670.729580516818 36.94491036921 -753.092207749713</t>
  </si>
  <si>
    <t>-411.444442453116 11.5803203867611 -356.554452655362</t>
  </si>
  <si>
    <t>-571.355452771094 238.056130050591 -242.690815609341</t>
  </si>
  <si>
    <t>-580.44961702966 212.585533400339 212.200628409143</t>
  </si>
  <si>
    <t>-625.462936691835 172.709267552392 677.470732674806</t>
  </si>
  <si>
    <t>-489.615759095724 101.619411329057 763.698859205953</t>
  </si>
  <si>
    <t>-624.579541227607 46.8178335684715 -206.64608312633</t>
  </si>
  <si>
    <t>-541.511521076114 -6.05096132724339 238.283426725472</t>
  </si>
  <si>
    <t>-748.659067325018 113.867312932061 642.367506234015</t>
  </si>
  <si>
    <t>-679.491949828145 -13.7109265619597 741.781827533919</t>
  </si>
  <si>
    <t>9763-20170724T160639.125659900.bin</t>
  </si>
  <si>
    <t>-598.346946843265 143.722221155136 -225.184270928548</t>
  </si>
  <si>
    <t>-635.952430017916 131.731935263318 -339.682561620136</t>
  </si>
  <si>
    <t>-654.320410553016 115.693787691671 -458.409107200772</t>
  </si>
  <si>
    <t>-662.914388871211 99.32101643287 -566.357734967475</t>
  </si>
  <si>
    <t>-663.59451916345 80.9895287509089 -674.331521799823</t>
  </si>
  <si>
    <t>-656.326024387185 53.3617737674458 -823.944011598668</t>
  </si>
  <si>
    <t>-622.206052613717 29.422020597279 -916.926280104146</t>
  </si>
  <si>
    <t>-647.38529039486 94.5754502204697 -762.507730734707</t>
  </si>
  <si>
    <t>-569.02318996444 219.000343230032 -760.648648811873</t>
  </si>
  <si>
    <t>-458.524984774622 175.347467324848 -467.270462110413</t>
  </si>
  <si>
    <t>-307.50617911426 26.1850733495623 -316.984164648378</t>
  </si>
  <si>
    <t>-671.698921740304 36.5969503846106 -752.982520275282</t>
  </si>
  <si>
    <t>-411.653165508117 13.6703957103141 -357.64466433042</t>
  </si>
  <si>
    <t>-571.864525494225 239.567058921445 -243.047193542892</t>
  </si>
  <si>
    <t>-580.441949488438 213.631780293302 211.828008071781</t>
  </si>
  <si>
    <t>-625.284102902543 173.096769668751 677.207729331712</t>
  </si>
  <si>
    <t>-489.38515346383 101.975392742514 763.328197982432</t>
  </si>
  <si>
    <t>-624.999560129092 48.0552942447609 -206.890216718328</t>
  </si>
  <si>
    <t>-541.41534989251 -3.52174564861525 238.09424756454</t>
  </si>
  <si>
    <t>-747.31988520075 116.154114113364 643.022897939494</t>
  </si>
  <si>
    <t>-680.128826201836 -13.232822223466 741.449917112019</t>
  </si>
  <si>
    <t>9763-20170724T160639.192847700.bin</t>
  </si>
  <si>
    <t>-599.012589297163 146.092704071527 -225.653662103003</t>
  </si>
  <si>
    <t>-636.772122569794 133.456960252821 -340.031785021053</t>
  </si>
  <si>
    <t>-655.218828893433 116.998438351995 -458.688503223822</t>
  </si>
  <si>
    <t>-663.850783069682 100.325357263048 -566.588153011989</t>
  </si>
  <si>
    <t>-664.535719122299 81.7641925500791 -674.522687358584</t>
  </si>
  <si>
    <t>-657.239710837048 53.8831135497976 -824.086702219246</t>
  </si>
  <si>
    <t>-623.137940704682 30.0500355498634 -917.103194716475</t>
  </si>
  <si>
    <t>-648.479597121687 95.2679416018134 -762.73955754896</t>
  </si>
  <si>
    <t>-570.654248091489 220.008577166744 -761.424008454566</t>
  </si>
  <si>
    <t>-459.217646736436 175.146579756467 -468.583636887992</t>
  </si>
  <si>
    <t>-310.164975642829 24.0768960459995 -318.239746167726</t>
  </si>
  <si>
    <t>-672.456233522516 37.171436782819 -753.079067998665</t>
  </si>
  <si>
    <t>-412.760258148634 17.1375705470855 -358.244223987456</t>
  </si>
  <si>
    <t>-573.033502511015 242.128959880647 -243.443801128978</t>
  </si>
  <si>
    <t>-580.699636266047 214.943367598493 211.374732595641</t>
  </si>
  <si>
    <t>-625.353354769949 173.228371219617 676.88430949292</t>
  </si>
  <si>
    <t>-489.230171075773 102.255547534215 762.772928247027</t>
  </si>
  <si>
    <t>-624.783930805419 50.2617164698495 -207.315287195119</t>
  </si>
  <si>
    <t>-541.803765523292 3.02480062920222 238.263720246923</t>
  </si>
  <si>
    <t>-745.990348729054 119.79214995252 645.071814919341</t>
  </si>
  <si>
    <t>-681.073573639977 -12.571742787927 741.035953028187</t>
  </si>
  <si>
    <t>9763-20170724T160639.228950700.bin</t>
  </si>
  <si>
    <t>-598.986242022016 147.087509314672 -225.762134592576</t>
  </si>
  <si>
    <t>-636.78423212288 134.257271144807 -340.105880759241</t>
  </si>
  <si>
    <t>-655.254231657134 117.765324638436 -458.754249107394</t>
  </si>
  <si>
    <t>-663.899114340585 101.121636833546 -566.657585768834</t>
  </si>
  <si>
    <t>-664.588076048252 82.6452195150061 -674.606510798137</t>
  </si>
  <si>
    <t>-657.287914869268 54.9356926313228 -824.202349497595</t>
  </si>
  <si>
    <t>-623.196809963495 31.2728309233707 -917.265998992001</t>
  </si>
  <si>
    <t>-648.580467192422 96.2699560629883 -762.813643086382</t>
  </si>
  <si>
    <t>-570.880619756653 221.128015032114 -761.442204603827</t>
  </si>
  <si>
    <t>-459.446675726994 174.08653223095 -468.943057099305</t>
  </si>
  <si>
    <t>-311.228859384489 21.4037227089023 -319.405431622915</t>
  </si>
  <si>
    <t>-672.455584757878 38.1226090503837 -753.208119765214</t>
  </si>
  <si>
    <t>-413.132627600382 19.17172957917 -358.235908118955</t>
  </si>
  <si>
    <t>-573.395064284218 243.071359086848 -243.540677568655</t>
  </si>
  <si>
    <t>-580.797100324026 215.531700199881 211.260899198837</t>
  </si>
  <si>
    <t>-625.413261196597 173.166621929371 676.767729765894</t>
  </si>
  <si>
    <t>-489.224226173717 102.270964102402 762.615620101505</t>
  </si>
  <si>
    <t>-624.197014357081 51.3070746240153 -207.305966944315</t>
  </si>
  <si>
    <t>-541.540603080066 5.97982078941754 238.531457708686</t>
  </si>
  <si>
    <t>-746.124928051263 120.506581406715 645.837645496554</t>
  </si>
  <si>
    <t>-681.228469914508 -12.4763660540693 740.955976852351</t>
  </si>
  <si>
    <t>9763-20170724T160639.299139900.bin</t>
  </si>
  <si>
    <t>-599.047723823444 148.841209612536 -225.693873456016</t>
  </si>
  <si>
    <t>-636.720044923358 135.899468214059 -340.066596258283</t>
  </si>
  <si>
    <t>-654.902757320583 119.558328575596 -458.780245108499</t>
  </si>
  <si>
    <t>-663.219747202891 103.147322291178 -566.744826824754</t>
  </si>
  <si>
    <t>-663.512245131087 84.9934928970804 -674.750301994404</t>
  </si>
  <si>
    <t>-655.590190592398 57.8198151392651 -824.412719549933</t>
  </si>
  <si>
    <t>-621.307419336979 34.6187667540826 -917.522319709093</t>
  </si>
  <si>
    <t>-647.138100839623 98.9337190274659 -762.840734294504</t>
  </si>
  <si>
    <t>-569.214485281257 223.614123185692 -761.155595590321</t>
  </si>
  <si>
    <t>-458.697594591074 172.815762893288 -468.936865575121</t>
  </si>
  <si>
    <t>-310.894773525436 17.9817806237702 -321.211492668243</t>
  </si>
  <si>
    <t>-671.052947182893 40.7527658596323 -753.542853770048</t>
  </si>
  <si>
    <t>-414.094181540211 21.5013794890904 -358.689136433088</t>
  </si>
  <si>
    <t>-573.801747431789 244.598277443192 -243.520429276282</t>
  </si>
  <si>
    <t>-581.271621915835 216.564177487632 211.249831487863</t>
  </si>
  <si>
    <t>-625.523083585553 173.081359476731 676.661051102657</t>
  </si>
  <si>
    <t>-489.304781809603 102.196822977697 762.471693574126</t>
  </si>
  <si>
    <t>-624.157421249131 53.1218115116365 -207.054018853445</t>
  </si>
  <si>
    <t>-541.384917779882 8.64144549421826 238.847134009717</t>
  </si>
  <si>
    <t>-746.45853161664 120.929683016831 646.640985988207</t>
  </si>
  <si>
    <t>-681.111672854365 -12.336699845087 741.05168719282</t>
  </si>
  <si>
    <t>9763-20170724T160639.323203300.bin</t>
  </si>
  <si>
    <t>-599.417865536892 149.28160721171 -225.669026259093</t>
  </si>
  <si>
    <t>-637.003027185506 136.428163358684 -340.080244532315</t>
  </si>
  <si>
    <t>-654.985729838428 120.291859440134 -458.852433732121</t>
  </si>
  <si>
    <t>-663.074312600318 104.112131121511 -566.8692518109</t>
  </si>
  <si>
    <t>-663.090276706198 86.2351571103532 -674.92144933582</t>
  </si>
  <si>
    <t>-654.732957538404 59.4939533156378 -824.637979788757</t>
  </si>
  <si>
    <t>-620.279021291226 36.5334519748428 -917.74403833499</t>
  </si>
  <si>
    <t>-646.427691224433 100.417127199538 -762.919120757946</t>
  </si>
  <si>
    <t>-568.201369225679 224.927149920047 -760.831215279021</t>
  </si>
  <si>
    <t>-458.481948688955 172.109646292064 -468.670093755017</t>
  </si>
  <si>
    <t>-311.291394478229 16.0840613934324 -321.588348241568</t>
  </si>
  <si>
    <t>-670.433955047296 42.23506648219 -753.867024044353</t>
  </si>
  <si>
    <t>-414.970853610742 22.5415359305084 -358.288761983448</t>
  </si>
  <si>
    <t>-573.944491524469 244.961342244795 -243.5140414393</t>
  </si>
  <si>
    <t>-581.552766261915 216.912480651898 211.252924146329</t>
  </si>
  <si>
    <t>-625.505100074557 173.167653091427 676.611696348241</t>
  </si>
  <si>
    <t>-489.330544274078 102.184652222931 762.410347503652</t>
  </si>
  <si>
    <t>-624.837315580555 53.5126188930287 -206.991174029395</t>
  </si>
  <si>
    <t>-541.780075544604 8.45081412067839 238.798701349333</t>
  </si>
  <si>
    <t>-746.35806838379 121.071146682052 646.732423764565</t>
  </si>
  <si>
    <t>-681.054237425689 -12.2409088561872 741.108398003233</t>
  </si>
  <si>
    <t>9763-20170724T160639.390156500.bin</t>
  </si>
  <si>
    <t>-600.305185702229 149.202525362586 -225.772383613574</t>
  </si>
  <si>
    <t>-637.741073028153 136.669596248631 -340.268057260905</t>
  </si>
  <si>
    <t>-655.249102813228 120.951384444389 -459.167105627299</t>
  </si>
  <si>
    <t>-662.774408570096 105.187245048231 -567.286082689322</t>
  </si>
  <si>
    <t>-662.092649795096 87.7644720150049 -675.410280595517</t>
  </si>
  <si>
    <t>-652.627255471293 61.6946090912295 -825.179353048302</t>
  </si>
  <si>
    <t>-617.717448392699 39.044103306529 -918.191370251835</t>
  </si>
  <si>
    <t>-644.63672889631 102.283913477183 -763.198816139387</t>
  </si>
  <si>
    <t>-565.623878338303 226.281270777109 -760.19876798988</t>
  </si>
  <si>
    <t>-457.904053185799 170.480998385911 -467.847919934811</t>
  </si>
  <si>
    <t>-312.112319904055 13.5592792036134 -320.327165523048</t>
  </si>
  <si>
    <t>-668.994037277978 44.1755552289148 -754.623510760518</t>
  </si>
  <si>
    <t>-417.635439929221 21.5375434596995 -357.335425934664</t>
  </si>
  <si>
    <t>-574.136372686247 244.981462540801 -243.566658044748</t>
  </si>
  <si>
    <t>-581.922738737185 217.043894906079 211.204180105225</t>
  </si>
  <si>
    <t>-625.472812571418 173.404900376739 676.556957762139</t>
  </si>
  <si>
    <t>-489.37230217495 102.168502620963 762.263048225848</t>
  </si>
  <si>
    <t>-626.402442040364 53.3713512473191 -207.269889431831</t>
  </si>
  <si>
    <t>-543.323747408004 6.44246088490695 238.32332488777</t>
  </si>
  <si>
    <t>-746.157985492402 120.624314707114 646.366146887747</t>
  </si>
  <si>
    <t>-681.176703620445 -12.1931944481209 741.65757442441</t>
  </si>
  <si>
    <t>9763-20170724T160639.425250400.bin</t>
  </si>
  <si>
    <t>-600.692541136884 148.488089224458 -226.123651248045</t>
  </si>
  <si>
    <t>-638.052595571891 136.122094835755 -340.662398824254</t>
  </si>
  <si>
    <t>-655.324945239387 120.679852178719 -459.631889699987</t>
  </si>
  <si>
    <t>-662.570743972577 105.205713265525 -567.811942561315</t>
  </si>
  <si>
    <t>-661.542745944634 88.1122006702219 -675.985844739352</t>
  </si>
  <si>
    <t>-651.527034923882 62.5395412030664 -825.804855990991</t>
  </si>
  <si>
    <t>-616.374549406274 40.0756073602627 -918.77077193247</t>
  </si>
  <si>
    <t>-643.648408699997 102.876101629652 -763.645384607161</t>
  </si>
  <si>
    <t>-564.036123407757 226.46022187124 -759.966237160264</t>
  </si>
  <si>
    <t>-457.775848451571 169.49716135849 -467.30569109574</t>
  </si>
  <si>
    <t>-313.012001976119 12.2141396969851 -319.158739445226</t>
  </si>
  <si>
    <t>-668.268961769829 44.8331804990642 -755.383814718817</t>
  </si>
  <si>
    <t>-419.055895859465 20.0192158378611 -357.420390485107</t>
  </si>
  <si>
    <t>-574.049544048414 244.381837633259 -243.775774149348</t>
  </si>
  <si>
    <t>-582.122759444101 216.839599280779 211.014252266272</t>
  </si>
  <si>
    <t>-625.477089375168 173.572143376186 676.488581508668</t>
  </si>
  <si>
    <t>-489.371844629339 102.204363041628 762.077835073346</t>
  </si>
  <si>
    <t>-627.251171867515 52.4402232045491 -207.907825366274</t>
  </si>
  <si>
    <t>-544.685557631281 5.14545502372584 237.742061341607</t>
  </si>
  <si>
    <t>-746.197012801169 119.536744890373 645.894950542934</t>
  </si>
  <si>
    <t>-681.166590982582 -12.3219336765385 742.475716927573</t>
  </si>
  <si>
    <t>9763-20170724T160639.492432800.bin</t>
  </si>
  <si>
    <t>-601.784862539515 146.359594751541 -227.010848675306</t>
  </si>
  <si>
    <t>-638.887800157774 134.304579538382 -341.666360788456</t>
  </si>
  <si>
    <t>-655.63891173589 119.492858611339 -460.79053896994</t>
  </si>
  <si>
    <t>-662.303267658786 104.70927863168 -569.104290066835</t>
  </si>
  <si>
    <t>-660.582504786214 88.4234629675218 -677.394081532242</t>
  </si>
  <si>
    <t>-649.488248980568 64.0914538881145 -827.343623578357</t>
  </si>
  <si>
    <t>-613.857164075429 41.9933821310274 -920.214968208964</t>
  </si>
  <si>
    <t>-641.773477979056 103.794466663231 -764.757074581063</t>
  </si>
  <si>
    <t>-560.693708988593 226.363554209215 -759.444960963821</t>
  </si>
  <si>
    <t>-457.41168979677 166.825772556017 -466.231277994279</t>
  </si>
  <si>
    <t>-314.320670743275 9.00210123685838 -317.037669508101</t>
  </si>
  <si>
    <t>-667.020840218558 45.9206526093483 -757.234032077352</t>
  </si>
  <si>
    <t>-422.029563920535 16.9675201042007 -357.932552437454</t>
  </si>
  <si>
    <t>-574.12982265917 242.561890671795 -244.38190384276</t>
  </si>
  <si>
    <t>-582.853758052023 216.165699411188 210.463973384078</t>
  </si>
  <si>
    <t>-625.533433655751 173.931481039996 676.278354099057</t>
  </si>
  <si>
    <t>-489.424248445235 102.194989636936 761.55243704583</t>
  </si>
  <si>
    <t>-629.378914042737 50.1980457720119 -209.185350875406</t>
  </si>
  <si>
    <t>-548.178263604766 4.0395191997145 236.834297544502</t>
  </si>
  <si>
    <t>-746.323542255869 118.351632227975 646.677288787248</t>
  </si>
  <si>
    <t>-681.320710330287 -12.3342098174992 744.857485652288</t>
  </si>
  <si>
    <t>9763-20170724T160639.523516400.bin</t>
  </si>
  <si>
    <t>-602.446894854283 145.488936503967 -227.308201638238</t>
  </si>
  <si>
    <t>-639.490572587533 133.610550367817 -342.001130358461</t>
  </si>
  <si>
    <t>-656.050561365377 119.172729277139 -461.198050984253</t>
  </si>
  <si>
    <t>-662.485871329693 104.801434401023 -569.581186390348</t>
  </si>
  <si>
    <t>-660.478797178625 88.9994554057198 -677.937512106151</t>
  </si>
  <si>
    <t>-648.926028398728 65.412423248401 -827.971478718581</t>
  </si>
  <si>
    <t>-613.08187246717 43.5238157423162 -920.810419396957</t>
  </si>
  <si>
    <t>-641.252815332232 104.740847536721 -765.143899386916</t>
  </si>
  <si>
    <t>-559.426004676315 226.774218590621 -758.943480826176</t>
  </si>
  <si>
    <t>-457.820821350283 165.528815271383 -465.495607692924</t>
  </si>
  <si>
    <t>-314.854120668827 7.25805633149184 -316.657071912276</t>
  </si>
  <si>
    <t>-666.822631048116 46.9571745346943 -758.02842785342</t>
  </si>
  <si>
    <t>-423.964360255997 16.152594837353 -358.227112218256</t>
  </si>
  <si>
    <t>-574.240666517938 241.709810198071 -244.632931304574</t>
  </si>
  <si>
    <t>-583.216676626574 215.869617868845 210.240009069015</t>
  </si>
  <si>
    <t>-625.554143087336 174.100761063022 676.187845345432</t>
  </si>
  <si>
    <t>-489.484249834289 102.124205609655 761.32228089982</t>
  </si>
  <si>
    <t>-630.525817044628 49.5354192584114 -209.504195224677</t>
  </si>
  <si>
    <t>-550.19441737979 4.29971323697805 236.767294660684</t>
  </si>
  <si>
    <t>-746.288380909258 118.589919743413 647.675687068254</t>
  </si>
  <si>
    <t>-681.517331723752 -12.1219704206958 745.974329933182</t>
  </si>
  <si>
    <t>9763-20170724T160639.590703700.bin</t>
  </si>
  <si>
    <t>-604.116145098645 144.184128682933 -227.686341041971</t>
  </si>
  <si>
    <t>-641.023528231618 132.664065691838 -342.45973496693</t>
  </si>
  <si>
    <t>-657.184713081384 118.868021476134 -461.787301798261</t>
  </si>
  <si>
    <t>-663.148640161773 105.188155392559 -570.286870980992</t>
  </si>
  <si>
    <t>-660.55738494519 90.1887337680669 -678.744780931267</t>
  </si>
  <si>
    <t>-648.07484928701 67.8317616824006 -828.892580469751</t>
  </si>
  <si>
    <t>-611.812780925771 46.3396067004071 -921.661845013786</t>
  </si>
  <si>
    <t>-640.535774392448 106.533068456946 -765.660622769842</t>
  </si>
  <si>
    <t>-557.564365384705 227.681895897021 -757.833436346399</t>
  </si>
  <si>
    <t>-458.857451467765 163.533002183377 -464.016942586672</t>
  </si>
  <si>
    <t>-314.568401881444 5.06359105211527 -316.673230482867</t>
  </si>
  <si>
    <t>-666.660244238842 48.9149333247269 -759.253123851764</t>
  </si>
  <si>
    <t>-427.929863788749 14.2524740343447 -357.951747497477</t>
  </si>
  <si>
    <t>-574.530092505716 240.089419553631 -244.934165021226</t>
  </si>
  <si>
    <t>-584.017721530542 215.351369228989 209.989615635484</t>
  </si>
  <si>
    <t>-625.617527218355 174.309207865587 676.070671023576</t>
  </si>
  <si>
    <t>-489.721413035787 101.809973107279 761.038994511332</t>
  </si>
  <si>
    <t>-633.657924919868 48.5304289081389 -209.75973111529</t>
  </si>
  <si>
    <t>-554.648967931516 5.00670164661528 236.917967757821</t>
  </si>
  <si>
    <t>-745.983955169494 120.027165765304 650.169895809515</t>
  </si>
  <si>
    <t>-682.191522365157 -11.5688384112611 747.92734762369</t>
  </si>
  <si>
    <t>9763-20170724T160639.625815600.bin</t>
  </si>
  <si>
    <t>-605.082246195674 143.809426827931 -227.612157399424</t>
  </si>
  <si>
    <t>-641.935201939981 132.49848404284 -342.423836614512</t>
  </si>
  <si>
    <t>-657.957274433584 119.02344786094 -461.806864296296</t>
  </si>
  <si>
    <t>-663.759003603467 105.681059683383 -570.357116185096</t>
  </si>
  <si>
    <t>-660.968055687764 91.0681753467136 -678.862962860197</t>
  </si>
  <si>
    <t>-648.168150560857 69.3009514131415 -829.070704214835</t>
  </si>
  <si>
    <t>-611.707338744593 48.0313550495484 -921.813370704967</t>
  </si>
  <si>
    <t>-640.66667801185 107.711297488204 -765.657076719822</t>
  </si>
  <si>
    <t>-557.305860591906 228.55085517703 -757.208180439953</t>
  </si>
  <si>
    <t>-459.200498120543 163.352461002522 -463.421287403286</t>
  </si>
  <si>
    <t>-314.390684964354 4.60290833787508 -316.892152135398</t>
  </si>
  <si>
    <t>-666.996886199709 50.153083727374 -759.559812084031</t>
  </si>
  <si>
    <t>-430.157245234016 13.9815685188837 -357.743656534795</t>
  </si>
  <si>
    <t>-574.803539839918 239.555616816596 -244.927951066442</t>
  </si>
  <si>
    <t>-584.469931325439 215.140910484885 210.009577279549</t>
  </si>
  <si>
    <t>-625.648650918906 174.29915440766 676.045437224158</t>
  </si>
  <si>
    <t>-489.925528290952 101.514591333243 761.046302762987</t>
  </si>
  <si>
    <t>-635.269320687802 48.3933638721787 -209.576492650929</t>
  </si>
  <si>
    <t>-556.58789499486 5.06145511254317 237.177611525259</t>
  </si>
  <si>
    <t>-745.572229966825 121.201099034688 651.420779827917</t>
  </si>
  <si>
    <t>-682.590723140797 -11.2291531384626 748.575635117608</t>
  </si>
  <si>
    <t>9763-20170724T160639.693526300.bin</t>
  </si>
  <si>
    <t>-606.46203681782 143.242096434614 -227.110669770466</t>
  </si>
  <si>
    <t>-643.467563934375 132.369633908047 -341.915687189941</t>
  </si>
  <si>
    <t>-659.439720012697 119.511697834812 -461.373315538234</t>
  </si>
  <si>
    <t>-665.108979507945 106.796933492747 -570.005952500474</t>
  </si>
  <si>
    <t>-662.095700348589 92.8817693429526 -678.597447086481</t>
  </si>
  <si>
    <t>-648.891970582867 72.1571867836553 -828.917694402969</t>
  </si>
  <si>
    <t>-612.107424429191 51.2490453230134 -921.614763421357</t>
  </si>
  <si>
    <t>-641.373112792826 110.042466734017 -765.191046355591</t>
  </si>
  <si>
    <t>-557.27592792084 230.27479939105 -755.61078522211</t>
  </si>
  <si>
    <t>-459.813195782684 162.854711807249 -462.111667048403</t>
  </si>
  <si>
    <t>-312.965039629335 5.56491643591244 -316.037730917215</t>
  </si>
  <si>
    <t>-668.095273639788 52.6119226764522 -759.620310996195</t>
  </si>
  <si>
    <t>-434.093232210468 14.1834542639283 -356.558827729628</t>
  </si>
  <si>
    <t>-575.324199664399 238.658306964285 -244.6681708848</t>
  </si>
  <si>
    <t>-584.721335099251 214.648952581643 210.296482292455</t>
  </si>
  <si>
    <t>-625.626558219841 174.252981130874 676.110617183183</t>
  </si>
  <si>
    <t>-490.352199031395 100.895445730805 761.334002652331</t>
  </si>
  <si>
    <t>-637.36125892581 47.95801249431 -208.795173929215</t>
  </si>
  <si>
    <t>-557.586507323548 4.54998219293202 237.757640459953</t>
  </si>
  <si>
    <t>-745.245880478658 122.262292057083 652.510713677464</t>
  </si>
  <si>
    <t>-683.022839885087 -10.979802501615 749.042364497079</t>
  </si>
  <si>
    <t>9763-20170724T160639.727615900.bin</t>
  </si>
  <si>
    <t>-606.850545588042 143.14982107649 -226.759210022397</t>
  </si>
  <si>
    <t>-644.061124671943 132.564670766754 -341.524611828609</t>
  </si>
  <si>
    <t>-660.093655895359 120.017435134701 -461.007264388331</t>
  </si>
  <si>
    <t>-665.755415110531 107.591837047826 -569.673858107824</t>
  </si>
  <si>
    <t>-662.671523352238 93.9743011486764 -678.30111042212</t>
  </si>
  <si>
    <t>-649.303999009833 73.672089030943 -828.664394157513</t>
  </si>
  <si>
    <t>-612.392465294731 52.8901937776518 -921.339414544026</t>
  </si>
  <si>
    <t>-641.777415642815 111.34320131618 -764.811828408406</t>
  </si>
  <si>
    <t>-557.360075023568 231.338653332129 -754.689477758036</t>
  </si>
  <si>
    <t>-460.050559659438 162.397782746203 -461.493041916349</t>
  </si>
  <si>
    <t>-312.524667701564 5.19476862958982 -316.009627392521</t>
  </si>
  <si>
    <t>-668.660039661218 53.9671462774443 -759.454787452779</t>
  </si>
  <si>
    <t>-435.643344916043 14.6785898438238 -355.828015108442</t>
  </si>
  <si>
    <t>-575.44767754259 238.463662401483 -244.429403979685</t>
  </si>
  <si>
    <t>-584.721523678084 214.401265114793 210.535046224825</t>
  </si>
  <si>
    <t>-625.622718839337 174.235292245 676.220648803812</t>
  </si>
  <si>
    <t>-490.623782847157 100.529792105106 761.580456645288</t>
  </si>
  <si>
    <t>-638.083465274811 48.1180962506842 -208.337964962444</t>
  </si>
  <si>
    <t>-557.555973303143 3.70517345943495 237.980873162494</t>
  </si>
  <si>
    <t>-745.274462617586 122.384283147552 652.579584136135</t>
  </si>
  <si>
    <t>-683.043582652342 -10.9425566638279 748.989103788635</t>
  </si>
  <si>
    <t>9763-20170724T160639.790334200.bin</t>
  </si>
  <si>
    <t>-607.445364712596 142.832507848037 -226.099613565987</t>
  </si>
  <si>
    <t>-644.92338328963 132.481043957076 -340.799429326869</t>
  </si>
  <si>
    <t>-661.067711323212 120.422428037081 -460.317227931357</t>
  </si>
  <si>
    <t>-666.76058453678 108.53001144841 -569.041690703028</t>
  </si>
  <si>
    <t>-663.635243392289 95.530436750199 -677.74363538949</t>
  </si>
  <si>
    <t>-650.132878745146 76.1695887059302 -828.219038733984</t>
  </si>
  <si>
    <t>-613.057185298802 55.6722418414847 -920.891713439771</t>
  </si>
  <si>
    <t>-642.531251062504 113.379772576974 -764.105538846602</t>
  </si>
  <si>
    <t>-557.60270185298 232.885524662093 -752.927830889273</t>
  </si>
  <si>
    <t>-459.81251626968 161.006401219662 -460.598074103921</t>
  </si>
  <si>
    <t>-310.772743112734 4.78148755242864 -315.605019154336</t>
  </si>
  <si>
    <t>-669.683214255751 56.0926121543578 -759.171089943455</t>
  </si>
  <si>
    <t>-438.651187574514 15.6594691120708 -354.916149357891</t>
  </si>
  <si>
    <t>-575.810133356687 237.872889406831 -243.876693457268</t>
  </si>
  <si>
    <t>-584.740576615755 214.057328215854 211.107607745194</t>
  </si>
  <si>
    <t>-625.716158746343 174.068746474731 676.578616592628</t>
  </si>
  <si>
    <t>-490.983838003847 100.014656598613 762.05792810947</t>
  </si>
  <si>
    <t>-638.828208043751 47.9208626135717 -207.478433185446</t>
  </si>
  <si>
    <t>-556.94309823964 2.09733981874274 238.450595571286</t>
  </si>
  <si>
    <t>-745.333230824118 122.747181568588 652.314838792711</t>
  </si>
  <si>
    <t>-683.039148281676 -10.7689433883693 748.421004871932</t>
  </si>
  <si>
    <t>9763-20170724T160639.824403400.bin</t>
  </si>
  <si>
    <t>-607.555087906686 142.846987063693 -225.793551395107</t>
  </si>
  <si>
    <t>-645.102586536154 132.56402517241 -340.476789175596</t>
  </si>
  <si>
    <t>-661.265960853972 120.745623530272 -460.01603651031</t>
  </si>
  <si>
    <t>-666.952161612956 109.1338412055 -568.771286480415</t>
  </si>
  <si>
    <t>-663.79465679317 96.4746703773462 -677.51235507648</t>
  </si>
  <si>
    <t>-650.22043355107 77.6451753850954 -828.048692229753</t>
  </si>
  <si>
    <t>-613.086754739099 57.3496348467836 -920.742614821168</t>
  </si>
  <si>
    <t>-642.616149014373 114.613356104754 -763.795711160742</t>
  </si>
  <si>
    <t>-557.507046672317 233.94666939082 -752.11439474903</t>
  </si>
  <si>
    <t>-459.325974387108 160.583017714508 -460.284991264909</t>
  </si>
  <si>
    <t>-309.59548834056 5.1238146752903 -315.180571598816</t>
  </si>
  <si>
    <t>-669.836996359337 57.3400082034864 -759.086327243181</t>
  </si>
  <si>
    <t>-439.487063458066 15.8220736913579 -354.538418675663</t>
  </si>
  <si>
    <t>-576.09800492153 237.763935833597 -243.613014613716</t>
  </si>
  <si>
    <t>-585.043794576434 214.019493464641 211.374668455971</t>
  </si>
  <si>
    <t>-625.787574603801 173.850171115868 676.739999117914</t>
  </si>
  <si>
    <t>-491.165015671724 99.7241597875604 762.329754180043</t>
  </si>
  <si>
    <t>-638.756544050336 48.0966869447018 -207.177149770554</t>
  </si>
  <si>
    <t>-556.480886054973 1.32565382168764 238.581573506418</t>
  </si>
  <si>
    <t>-745.410659936241 122.842359874198 651.96859289748</t>
  </si>
  <si>
    <t>-683.030498595221 -10.7182525055516 747.957059103679</t>
  </si>
  <si>
    <t>9763-20170724T160639.893805500.bin</t>
  </si>
  <si>
    <t>-608.059872655635 143.184657732502 -225.44168246227</t>
  </si>
  <si>
    <t>-645.75704092324 133.052717543799 -340.089288644217</t>
  </si>
  <si>
    <t>-661.985485407853 121.60217792427 -459.655402480769</t>
  </si>
  <si>
    <t>-667.690782396451 110.406875946843 -568.453385660599</t>
  </si>
  <si>
    <t>-664.509918775917 98.2458104392533 -677.250560269928</t>
  </si>
  <si>
    <t>-650.857121072493 80.1913748653728 -827.874786108067</t>
  </si>
  <si>
    <t>-613.652366821614 60.2486160991002 -920.616825323985</t>
  </si>
  <si>
    <t>-643.291205083917 116.830504033106 -763.429037553002</t>
  </si>
  <si>
    <t>-558.338592232677 236.226654159262 -751.028049767429</t>
  </si>
  <si>
    <t>-458.880268099483 160.767941867473 -460.16689286312</t>
  </si>
  <si>
    <t>-308.112440724466 6.9526615954926 -314.386338497781</t>
  </si>
  <si>
    <t>-670.504932394491 59.5292897087284 -759.027485210229</t>
  </si>
  <si>
    <t>-441.122393896129 17.078719545256 -354.352140718509</t>
  </si>
  <si>
    <t>-576.816552664355 237.783337626947 -243.305469941623</t>
  </si>
  <si>
    <t>-585.662851612573 214.042807803477 211.684444767354</t>
  </si>
  <si>
    <t>-625.908532411475 173.333188213614 677.00453813116</t>
  </si>
  <si>
    <t>-491.393171826431 99.3060612965485 762.848043620654</t>
  </si>
  <si>
    <t>-639.175345229273 48.7065885424017 -206.804141422274</t>
  </si>
  <si>
    <t>-555.572416095198 0.386387265392159 238.542213593315</t>
  </si>
  <si>
    <t>-745.585615496509 123.204377998047 651.144521049019</t>
  </si>
  <si>
    <t>-682.928438947426 -10.5680572308036 746.65632108605</t>
  </si>
  <si>
    <t>9763-20170724T160639.920876300.bin</t>
  </si>
  <si>
    <t>-608.378792919128 143.335187258224 -225.350824714614</t>
  </si>
  <si>
    <t>-646.107980646555 133.247233459687 -339.991849170091</t>
  </si>
  <si>
    <t>-662.406774995266 121.940116349601 -459.562182778016</t>
  </si>
  <si>
    <t>-668.189308121225 110.914540751818 -568.373095560074</t>
  </si>
  <si>
    <t>-665.098121430135 98.9625153473896 -677.196187272453</t>
  </si>
  <si>
    <t>-651.581177317286 81.239350743467 -827.872014662392</t>
  </si>
  <si>
    <t>-614.386344860623 61.4856094428826 -920.658274758536</t>
  </si>
  <si>
    <t>-643.989167227687 117.75162445248 -763.357370165506</t>
  </si>
  <si>
    <t>-559.334545408833 237.33525628124 -750.791466807685</t>
  </si>
  <si>
    <t>-458.97316879891 161.925273809921 -460.228065331405</t>
  </si>
  <si>
    <t>-308.219549452633 8.86521343964205 -313.640239538767</t>
  </si>
  <si>
    <t>-671.134805280607 60.4110249588332 -759.047893971226</t>
  </si>
  <si>
    <t>-441.536923502983 17.1114116224123 -354.314506605155</t>
  </si>
  <si>
    <t>-577.284996915778 237.749607767228 -243.191082806155</t>
  </si>
  <si>
    <t>-586.072751153586 213.90867106787 211.79477774658</t>
  </si>
  <si>
    <t>-626.008046963514 172.865013411222 677.085246786462</t>
  </si>
  <si>
    <t>-491.492551441354 99.0786109032447 763.135611253703</t>
  </si>
  <si>
    <t>-639.315207232614 48.9470694253564 -206.832798998597</t>
  </si>
  <si>
    <t>-554.979862343072 0.195486766440581 238.328418393083</t>
  </si>
  <si>
    <t>-745.575798217436 123.277063993779 650.506175743558</t>
  </si>
  <si>
    <t>-682.836530462725 -10.5024201592441 745.954372082449</t>
  </si>
  <si>
    <t>9763-20170724T160639.993088100.bin</t>
  </si>
  <si>
    <t>-608.868855747982 143.453944232121 -225.47319836011</t>
  </si>
  <si>
    <t>-646.58001566001 133.468107672733 -340.129075050492</t>
  </si>
  <si>
    <t>-662.954987766848 122.197480198745 -459.692383821416</t>
  </si>
  <si>
    <t>-668.846439259335 111.17991737865 -568.498342342611</t>
  </si>
  <si>
    <t>-665.904292154603 99.2120347430146 -677.323903088922</t>
  </si>
  <si>
    <t>-652.635974758977 81.4429169265952 -828.016189974984</t>
  </si>
  <si>
    <t>-615.426683576521 61.7820542193892 -920.816585513993</t>
  </si>
  <si>
    <t>-644.998919578008 118.003212623052 -763.534103990678</t>
  </si>
  <si>
    <t>-561.05749599655 238.126465077741 -751.149254917448</t>
  </si>
  <si>
    <t>-460.206576194181 165.979156731951 -459.927650985921</t>
  </si>
  <si>
    <t>-310.630710046408 13.4245681940565 -311.616358585395</t>
  </si>
  <si>
    <t>-672.014574954611 60.6073025696455 -759.14498063474</t>
  </si>
  <si>
    <t>-441.360519145549 16.581802635008 -355.159466545839</t>
  </si>
  <si>
    <t>-578.170328259273 237.663879734184 -243.075582041908</t>
  </si>
  <si>
    <t>-587.212548630751 213.782208916935 211.903120326275</t>
  </si>
  <si>
    <t>-626.412701462875 172.186043595629 677.405042190804</t>
  </si>
  <si>
    <t>-491.589654024183 98.9268666578489 763.424508059036</t>
  </si>
  <si>
    <t>-639.454549741286 49.2498771495541 -207.241024768805</t>
  </si>
  <si>
    <t>-553.765811425538 -0.505037886719492 237.550584039172</t>
  </si>
  <si>
    <t>-745.065749963494 123.218184294614 648.944596204885</t>
  </si>
  <si>
    <t>-682.653066563135 -10.40846448716 744.820001262035</t>
  </si>
  <si>
    <t>9763-20170724T160640.026176300.bin</t>
  </si>
  <si>
    <t>-609.041112436908 143.339506169991 -225.612346982352</t>
  </si>
  <si>
    <t>-646.698627136711 133.270234516902 -340.278568914378</t>
  </si>
  <si>
    <t>-663.083521077612 121.915259742846 -459.832507562092</t>
  </si>
  <si>
    <t>-669.010465589907 110.822468154756 -568.628913767586</t>
  </si>
  <si>
    <t>-666.130500029353 98.7806403087834 -677.447930766562</t>
  </si>
  <si>
    <t>-652.976060955255 80.9104750228973 -828.138292373036</t>
  </si>
  <si>
    <t>-615.766485802596 61.214753093747 -920.931126880414</t>
  </si>
  <si>
    <t>-645.322091573147 117.528483785869 -763.691073047873</t>
  </si>
  <si>
    <t>-561.775579947834 237.920064750326 -751.429098197217</t>
  </si>
  <si>
    <t>-461.893814941285 168.27186341368 -459.26659698813</t>
  </si>
  <si>
    <t>-312.462964827541 15.8229664365695 -310.700757801211</t>
  </si>
  <si>
    <t>-672.270965030287 60.1063695260668 -759.233878073486</t>
  </si>
  <si>
    <t>-440.856475540567 15.7735446982692 -355.688224854964</t>
  </si>
  <si>
    <t>-578.448990888845 237.420201117335 -243.158923975625</t>
  </si>
  <si>
    <t>-587.402822310009 213.670676007868 211.828369996684</t>
  </si>
  <si>
    <t>-626.502213061145 172.070262994922 677.425833782293</t>
  </si>
  <si>
    <t>-491.56582762982 98.9430938073547 763.37988023577</t>
  </si>
  <si>
    <t>-639.507932560509 49.1445245987877 -207.469342660378</t>
  </si>
  <si>
    <t>-553.28765853444 -0.817880509445558 237.196229415424</t>
  </si>
  <si>
    <t>-744.808932694659 123.145944512541 648.330389907799</t>
  </si>
  <si>
    <t>-682.568649106571 -10.365170636783 744.478434793443</t>
  </si>
  <si>
    <t>9763-20170724T160640.094978000.bin</t>
  </si>
  <si>
    <t>-609.005297790361 142.536853650278 -226.156831424762</t>
  </si>
  <si>
    <t>-646.619786517605 132.292388059596 -340.821685003725</t>
  </si>
  <si>
    <t>-662.970049006173 120.705141099209 -460.358090099724</t>
  </si>
  <si>
    <t>-668.869834064694 109.388285457321 -569.13299224489</t>
  </si>
  <si>
    <t>-665.966805371093 97.1135199293444 -677.925258176741</t>
  </si>
  <si>
    <t>-652.784858390981 78.9145261702954 -828.573854100024</t>
  </si>
  <si>
    <t>-615.496369927864 59.0649183689443 -921.302399500103</t>
  </si>
  <si>
    <t>-645.284614830822 115.737690728034 -764.225482620223</t>
  </si>
  <si>
    <t>-562.704924373743 236.852411700558 -752.303413981647</t>
  </si>
  <si>
    <t>-466.859105213355 173.214627054725 -457.430527189068</t>
  </si>
  <si>
    <t>-318.758294320058 19.7575131448364 -308.571108445096</t>
  </si>
  <si>
    <t>-671.950412032407 58.1962240698974 -759.607632826431</t>
  </si>
  <si>
    <t>-439.778085920288 13.7091884740755 -356.454171497466</t>
  </si>
  <si>
    <t>-578.662516780009 236.834367579429 -243.521848741569</t>
  </si>
  <si>
    <t>-587.332319006002 213.162458348428 211.475007474647</t>
  </si>
  <si>
    <t>-626.65312252706 171.942599954555 677.304436533454</t>
  </si>
  <si>
    <t>-491.343103777452 99.2889931490261 763.072501571778</t>
  </si>
  <si>
    <t>-639.210081462164 48.117385585186 -208.321673090521</t>
  </si>
  <si>
    <t>-552.814527149187 -1.05174955907455 236.398376356248</t>
  </si>
  <si>
    <t>-744.269459394198 122.483391735676 647.160456046564</t>
  </si>
  <si>
    <t>-682.463893586193 -10.3324974793397 744.543841466002</t>
  </si>
  <si>
    <t>9763-20170724T160640.122052300.bin</t>
  </si>
  <si>
    <t>-608.791499371362 141.922964604007 -226.583303162061</t>
  </si>
  <si>
    <t>-646.367433739955 131.526142391286 -341.246884195044</t>
  </si>
  <si>
    <t>-662.719669811356 119.77471366539 -460.767116355329</t>
  </si>
  <si>
    <t>-668.637755515583 108.310837214612 -569.525571812387</t>
  </si>
  <si>
    <t>-665.769627446968 95.893150956023 -678.302499458731</t>
  </si>
  <si>
    <t>-652.652746417483 77.5028340746417 -828.933765798415</t>
  </si>
  <si>
    <t>-615.335428299534 57.5573196009627 -921.629821089108</t>
  </si>
  <si>
    <t>-645.218518112025 114.449889209755 -764.648790958836</t>
  </si>
  <si>
    <t>-563.224917497286 235.948149811964 -752.914272501405</t>
  </si>
  <si>
    <t>-469.538812145926 176.963934341895 -456.384382446062</t>
  </si>
  <si>
    <t>-323.158668357634 22.6671101735103 -306.693414745784</t>
  </si>
  <si>
    <t>-671.69460707814 56.8300653804777 -759.919462887443</t>
  </si>
  <si>
    <t>-439.358701486085 12.6811447766768 -356.706051962683</t>
  </si>
  <si>
    <t>-578.600262617614 236.339370998323 -243.852214625381</t>
  </si>
  <si>
    <t>-587.097381879487 212.766573635679 211.153049080626</t>
  </si>
  <si>
    <t>-626.65287433002 171.94923483839 677.111326566073</t>
  </si>
  <si>
    <t>-491.169264792838 99.5622379071651 762.830747207788</t>
  </si>
  <si>
    <t>-638.846210713183 47.4639899776244 -208.797081498277</t>
  </si>
  <si>
    <t>-552.67100232908 -0.965882304990828 236.046775256553</t>
  </si>
  <si>
    <t>-744.039082334465 122.258053344337 647.067874866844</t>
  </si>
  <si>
    <t>-682.414965516487 -10.3199933592966 744.889332669806</t>
  </si>
  <si>
    <t>9763-20170724T160640.193307500.bin</t>
  </si>
  <si>
    <t>-608.585080829036 141.37278031818 -226.901720064669</t>
  </si>
  <si>
    <t>-646.125335314081 130.70040397163 -341.551757000415</t>
  </si>
  <si>
    <t>-662.350958595511 118.593231460978 -461.053678001525</t>
  </si>
  <si>
    <t>-668.11820241752 106.782594790275 -569.783158841326</t>
  </si>
  <si>
    <t>-665.063918514832 93.9966474931241 -678.512394140732</t>
  </si>
  <si>
    <t>-651.652765923185 75.0757318355643 -829.051919906623</t>
  </si>
  <si>
    <t>-614.091572865939 54.9162031247229 -921.603066486704</t>
  </si>
  <si>
    <t>-644.534777429181 112.333793454389 -764.910715515101</t>
  </si>
  <si>
    <t>-563.402034770966 234.502885377299 -754.072620472341</t>
  </si>
  <si>
    <t>-477.287756487012 187.458115551583 -453.145318273355</t>
  </si>
  <si>
    <t>-332.763810840505 32.7225091423481 -302.109560887606</t>
  </si>
  <si>
    <t>-670.638775420757 54.5615322048488 -759.97501814538</t>
  </si>
  <si>
    <t>-437.611796324103 10.0611349633496 -356.47489853444</t>
  </si>
  <si>
    <t>-578.764037309342 236.044791519074 -244.237611174887</t>
  </si>
  <si>
    <t>-587.058230128488 212.564790493712 210.776257045281</t>
  </si>
  <si>
    <t>-626.627886948639 171.927253891842 676.78491144419</t>
  </si>
  <si>
    <t>-491.003162689021 99.8174351291093 762.514865900832</t>
  </si>
  <si>
    <t>-638.301163028571 46.9847007454741 -208.929661995728</t>
  </si>
  <si>
    <t>-552.595196165467 0.360688742493721 236.197701599345</t>
  </si>
  <si>
    <t>-744.05284762719 122.78733036356 647.855003817339</t>
  </si>
  <si>
    <t>-682.338250641312 -10.055721189523 745.259023278527</t>
  </si>
  <si>
    <t>9763-20170724T160640.223387100.bin</t>
  </si>
  <si>
    <t>-608.695993411066 141.389685193888 -226.949084551571</t>
  </si>
  <si>
    <t>-646.271388580437 130.569394543872 -341.573756235538</t>
  </si>
  <si>
    <t>-662.431775178834 118.284653505834 -461.06641324018</t>
  </si>
  <si>
    <t>-668.098217098258 106.304355324537 -569.782689877167</t>
  </si>
  <si>
    <t>-664.902160171191 93.3403070818888 -678.486751015918</t>
  </si>
  <si>
    <t>-651.252197442964 74.1642867230496 -828.972434760555</t>
  </si>
  <si>
    <t>-613.550150831272 53.8849988403269 -921.440174897264</t>
  </si>
  <si>
    <t>-644.320892990866 111.568046067661 -764.895707968538</t>
  </si>
  <si>
    <t>-563.5877749437 234.03351281323 -754.387126764011</t>
  </si>
  <si>
    <t>-483.085565777711 192.050876827708 -451.166049345075</t>
  </si>
  <si>
    <t>-335.905677185554 41.2545795700044 -298.717225059962</t>
  </si>
  <si>
    <t>-670.262913464133 53.7300692389138 -759.878661602425</t>
  </si>
  <si>
    <t>-436.849507632606 9.11730694888229 -356.205052433002</t>
  </si>
  <si>
    <t>-579.026741460103 236.080536788074 -244.40182405801</t>
  </si>
  <si>
    <t>-586.963783373939 212.609257532434 210.618839401492</t>
  </si>
  <si>
    <t>-626.507904537751 172.078815903663 676.599779954601</t>
  </si>
  <si>
    <t>-490.947872512308 99.9351459568729 762.403531736992</t>
  </si>
  <si>
    <t>-638.234923850443 47.0081972455071 -208.801266502916</t>
  </si>
  <si>
    <t>-552.677240553244 1.08303422503423 236.427296704671</t>
  </si>
  <si>
    <t>-744.117156338096 123.150531881352 648.210422419357</t>
  </si>
  <si>
    <t>-682.265467700614 -9.91774449717673 745.219252293051</t>
  </si>
  <si>
    <t>9763-20170724T160640.289218000.bin</t>
  </si>
  <si>
    <t>-608.867425650112 141.68691637079 -226.901294617667</t>
  </si>
  <si>
    <t>-646.678108613822 130.614439433625 -341.424534263539</t>
  </si>
  <si>
    <t>-662.81368972165 117.951398190369 -460.881087767836</t>
  </si>
  <si>
    <t>-668.348155369752 105.599503177429 -569.562481375835</t>
  </si>
  <si>
    <t>-664.910050287489 92.2466419025736 -678.21211532673</t>
  </si>
  <si>
    <t>-650.809506123931 72.5240213187622 -828.585593859093</t>
  </si>
  <si>
    <t>-612.718368851859 52.0111594471091 -920.842156913543</t>
  </si>
  <si>
    <t>-644.36838811759 110.288671465147 -764.669403239969</t>
  </si>
  <si>
    <t>-565.353308435977 233.875863900314 -754.801635863402</t>
  </si>
  <si>
    <t>-488.583621605074 201.170745558173 -449.477236493591</t>
  </si>
  <si>
    <t>-336.064629516987 60.0980244796251 -293.021203573069</t>
  </si>
  <si>
    <t>-669.728668997314 52.2127410436206 -759.430454782467</t>
  </si>
  <si>
    <t>-435.606940306558 7.55805448685692 -355.06691255621</t>
  </si>
  <si>
    <t>-579.539336205946 236.377007216623 -244.565991462715</t>
  </si>
  <si>
    <t>-586.498153986526 212.660518769774 210.457938166666</t>
  </si>
  <si>
    <t>-626.34998681383 172.386557735178 676.405860055072</t>
  </si>
  <si>
    <t>-490.984521783761 99.9882028703837 762.302223209065</t>
  </si>
  <si>
    <t>-638.061860802475 47.2391668280586 -208.45380071513</t>
  </si>
  <si>
    <t>-552.821103512963 2.18007332574552 236.923957145783</t>
  </si>
  <si>
    <t>-744.23902053719 123.963597976702 648.899756115909</t>
  </si>
  <si>
    <t>-682.168971965551 -9.70415104294875 744.940092210826</t>
  </si>
  <si>
    <t>9763-20170724T160640.326316900.bin</t>
  </si>
  <si>
    <t>-608.943933124623 142.0232056924 -226.869748839376</t>
  </si>
  <si>
    <t>-646.883074698356 130.866391488428 -341.342272475313</t>
  </si>
  <si>
    <t>-663.077863147124 118.058255635733 -460.775254418487</t>
  </si>
  <si>
    <t>-668.635452200867 105.562319489794 -569.439005929224</t>
  </si>
  <si>
    <t>-665.18963103234 92.0586619098813 -678.069711221629</t>
  </si>
  <si>
    <t>-651.045724731758 72.1255744802183 -828.411465307958</t>
  </si>
  <si>
    <t>-612.716313626638 51.5270738776317 -920.550127552892</t>
  </si>
  <si>
    <t>-644.786428287434 110.048299878845 -764.570854118993</t>
  </si>
  <si>
    <t>-566.659546664391 234.241797200157 -754.995970472723</t>
  </si>
  <si>
    <t>-489.072663988487 203.67940815349 -449.656278128424</t>
  </si>
  <si>
    <t>-331.780296331665 69.6589357001717 -291.733240018559</t>
  </si>
  <si>
    <t>-669.821425802353 51.8424779345605 -759.208878365184</t>
  </si>
  <si>
    <t>-435.431106783073 7.77585476793024 -354.559592399848</t>
  </si>
  <si>
    <t>-579.890396281504 236.758572237312 -244.583810194485</t>
  </si>
  <si>
    <t>-586.419078423675 212.839722935025 210.435894200089</t>
  </si>
  <si>
    <t>-626.318834434872 172.663350901887 676.402863446639</t>
  </si>
  <si>
    <t>-491.067179501111 99.9957867448234 762.251153261983</t>
  </si>
  <si>
    <t>-637.834523811912 47.5767658318243 -208.360022926489</t>
  </si>
  <si>
    <t>-552.838488987659 2.60014283186752 237.072839867711</t>
  </si>
  <si>
    <t>-744.426640431749 124.197366445432 649.091406368347</t>
  </si>
  <si>
    <t>-682.11190696844 -9.62933916726456 744.751171257822</t>
  </si>
  <si>
    <t>9763-20170724T160640.391235500.bin</t>
  </si>
  <si>
    <t>-609.192186490436 142.68202214508 -226.664989831995</t>
  </si>
  <si>
    <t>-647.2185453142 131.33254612474 -341.089503889192</t>
  </si>
  <si>
    <t>-663.537761851088 118.370816315429 -460.489096939326</t>
  </si>
  <si>
    <t>-669.220936336744 105.759106045719 -569.132927041488</t>
  </si>
  <si>
    <t>-665.912104269863 92.1663344667193 -677.756792306981</t>
  </si>
  <si>
    <t>-651.968951220991 72.1401883564481 -828.104898997752</t>
  </si>
  <si>
    <t>-613.30185558947 51.4876029364077 -920.090195513184</t>
  </si>
  <si>
    <t>-645.8242726757 110.184696753829 -764.325690339187</t>
  </si>
  <si>
    <t>-568.59441800714 234.962039402363 -754.949853770372</t>
  </si>
  <si>
    <t>-489.726342796602 200.633441488284 -450.339327085521</t>
  </si>
  <si>
    <t>-320.199179160942 82.9902298114675 -292.027294701402</t>
  </si>
  <si>
    <t>-670.45236520652 51.8176840338513 -758.83532221625</t>
  </si>
  <si>
    <t>-434.738564404251 8.58858155692633 -353.910987010996</t>
  </si>
  <si>
    <t>-580.687230424305 237.354041194343 -244.403115357658</t>
  </si>
  <si>
    <t>-586.823797120454 213.67546052535 210.634714951453</t>
  </si>
  <si>
    <t>-626.417299799376 173.458215625983 676.671940676524</t>
  </si>
  <si>
    <t>-491.2711569553 100.013784056128 762.02384919373</t>
  </si>
  <si>
    <t>-637.63206733449 48.0821085484999 -208.067322017681</t>
  </si>
  <si>
    <t>-552.532333996345 2.72753627238399 237.307426394663</t>
  </si>
  <si>
    <t>-744.464494691571 124.483068555387 649.049130668819</t>
  </si>
  <si>
    <t>-681.986784870707 -9.49792910596352 744.386085282874</t>
  </si>
  <si>
    <t>9763-20170724T160640.424323700.bin</t>
  </si>
  <si>
    <t>-609.097975380029 142.679491766666 -226.434609653696</t>
  </si>
  <si>
    <t>-647.059594506941 131.207433900092 -340.868412238101</t>
  </si>
  <si>
    <t>-663.361866586248 118.185761623299 -460.263712969259</t>
  </si>
  <si>
    <t>-669.049124597551 105.545961911357 -568.904148853322</t>
  </si>
  <si>
    <t>-665.763511834893 91.9509145113884 -677.528491213711</t>
  </si>
  <si>
    <t>-651.87168183675 71.9486080850522 -827.884427934919</t>
  </si>
  <si>
    <t>-613.103252452774 51.288390679525 -919.825428337241</t>
  </si>
  <si>
    <t>-645.762572124483 110.006360395236 -764.109675697289</t>
  </si>
  <si>
    <t>-568.689576041935 234.880564662012 -754.712762076111</t>
  </si>
  <si>
    <t>-488.008057515065 198.350455336955 -450.834070675706</t>
  </si>
  <si>
    <t>-315.547482671857 85.49144798354 -292.20801117337</t>
  </si>
  <si>
    <t>-670.274148262392 51.5917136812734 -758.603400196564</t>
  </si>
  <si>
    <t>-434.068173030815 8.7396771375852 -353.971700542404</t>
  </si>
  <si>
    <t>-580.839104230521 237.222252436208 -244.236366655274</t>
  </si>
  <si>
    <t>-587.057451057969 213.756314825187 210.811409374636</t>
  </si>
  <si>
    <t>-626.51072926565 173.49438167169 676.775251714296</t>
  </si>
  <si>
    <t>-491.262852576823 100.072275366698 761.985119770476</t>
  </si>
  <si>
    <t>-637.134467524268 48.0993282234053 -207.83624673791</t>
  </si>
  <si>
    <t>-552.07102855787 2.4828178757341 237.518673615179</t>
  </si>
  <si>
    <t>-744.403993673225 124.528294342217 648.890528663167</t>
  </si>
  <si>
    <t>-681.945464454818 -9.45409348613225 744.238171923639</t>
  </si>
  <si>
    <t>9763-20170724T160640.496523900.bin</t>
  </si>
  <si>
    <t>-608.427046417552 141.809282583663 -226.153227378777</t>
  </si>
  <si>
    <t>-646.343830131983 130.154742016304 -340.583530912522</t>
  </si>
  <si>
    <t>-662.673961567508 116.967115521194 -459.956701497883</t>
  </si>
  <si>
    <t>-668.416090502625 104.191390652585 -568.578461895436</t>
  </si>
  <si>
    <t>-665.214248502771 90.4786588916645 -677.190406380276</t>
  </si>
  <si>
    <t>-651.467828786539 70.3352925749266 -827.540873051668</t>
  </si>
  <si>
    <t>-612.681816748234 49.5575889965726 -919.448096999838</t>
  </si>
  <si>
    <t>-645.360457208106 108.478375158314 -763.817137824287</t>
  </si>
  <si>
    <t>-568.308245385829 233.368460744687 -754.605356646856</t>
  </si>
  <si>
    <t>-484.876070370855 194.152345080591 -451.80613391107</t>
  </si>
  <si>
    <t>-308.744581881105 85.8902182301656 -294.011677671731</t>
  </si>
  <si>
    <t>-669.740041542598 50.0177033974903 -758.213795777594</t>
  </si>
  <si>
    <t>-432.972215597009 8.16701320482002 -354.050875362005</t>
  </si>
  <si>
    <t>-580.414837251715 236.059391433638 -244.179795824669</t>
  </si>
  <si>
    <t>-586.844154127288 213.049934311294 210.888155833006</t>
  </si>
  <si>
    <t>-626.561009370617 173.076086132574 676.73624769047</t>
  </si>
  <si>
    <t>-491.25821902455 99.9810121380885 762.139879793728</t>
  </si>
  <si>
    <t>-636.352089866259 47.4451787957425 -207.480705701541</t>
  </si>
  <si>
    <t>-550.975191667674 1.475272895839 237.777931462871</t>
  </si>
  <si>
    <t>-744.053243411425 124.608233639466 648.370811812572</t>
  </si>
  <si>
    <t>-681.855782753502 -9.36441203255004 743.902490137611</t>
  </si>
  <si>
    <t>9763-20170724T160640.526603500.bin</t>
  </si>
  <si>
    <t>-607.85184977935 141.143662829061 -226.176137189153</t>
  </si>
  <si>
    <t>-645.755372617208 129.499877432757 -340.611931713446</t>
  </si>
  <si>
    <t>-662.105651367481 116.263123777045 -459.977089941374</t>
  </si>
  <si>
    <t>-667.88036765628 103.423904476834 -568.589441653123</t>
  </si>
  <si>
    <t>-664.725403003089 89.6320309405419 -677.192806674429</t>
  </si>
  <si>
    <t>-651.05881301589 69.3652877262762 -827.534050922515</t>
  </si>
  <si>
    <t>-612.279809881268 48.4908162247327 -919.422173187273</t>
  </si>
  <si>
    <t>-644.924354335772 107.563444738244 -763.845717767981</t>
  </si>
  <si>
    <t>-567.690694284226 232.374999884655 -754.794018536625</t>
  </si>
  <si>
    <t>-483.7768901104 192.054162923446 -452.273126149659</t>
  </si>
  <si>
    <t>-308.206766866585 82.8921906632436 -294.473008466308</t>
  </si>
  <si>
    <t>-669.287329823645 49.101969070934 -758.179646610095</t>
  </si>
  <si>
    <t>-432.361838426692 7.89184770645966 -354.349923794378</t>
  </si>
  <si>
    <t>-579.798999554381 235.255899789125 -244.266982165534</t>
  </si>
  <si>
    <t>-586.350098358977 212.337698986218 210.803913445204</t>
  </si>
  <si>
    <t>-626.562751472044 172.741674595792 676.678273008003</t>
  </si>
  <si>
    <t>-491.302205688953 99.8308401162392 762.305987777162</t>
  </si>
  <si>
    <t>-635.774537109735 47.0053722059306 -207.489783633786</t>
  </si>
  <si>
    <t>-550.354239718597 0.671933734748109 237.722818520876</t>
  </si>
  <si>
    <t>-743.807023687282 124.57837671929 647.963236769588</t>
  </si>
  <si>
    <t>-681.754350138326 -9.32100307349401 743.691674871167</t>
  </si>
  <si>
    <t>9763-20170724T160640.590644500.bin</t>
  </si>
  <si>
    <t>-606.445840944925 139.765021357718 -226.373783050998</t>
  </si>
  <si>
    <t>-644.403392055582 128.231229584326 -340.802799648665</t>
  </si>
  <si>
    <t>-660.864742233132 115.040870210328 -460.157756301692</t>
  </si>
  <si>
    <t>-666.762937667475 102.226063824126 -568.766389319127</t>
  </si>
  <si>
    <t>-663.753669962563 88.4464127057329 -677.375469283784</t>
  </si>
  <si>
    <t>-650.311629595622 68.1886375047516 -827.73816525638</t>
  </si>
  <si>
    <t>-611.527449062481 47.1956571317978 -919.597062057788</t>
  </si>
  <si>
    <t>-644.088520555244 106.385527142798 -764.057786072129</t>
  </si>
  <si>
    <t>-566.351731898834 230.895404745992 -755.0836246055</t>
  </si>
  <si>
    <t>-482.587943949658 186.891509729631 -453.034865828323</t>
  </si>
  <si>
    <t>-310.024418391991 73.3068179187592 -295.040049002081</t>
  </si>
  <si>
    <t>-668.430222315258 47.9184902800239 -758.356889973882</t>
  </si>
  <si>
    <t>-430.755216714787 7.61577839050506 -355.061423378453</t>
  </si>
  <si>
    <t>-578.37083730579 233.671903365186 -244.442428324782</t>
  </si>
  <si>
    <t>-585.202354130566 210.861044789757 210.62971953984</t>
  </si>
  <si>
    <t>-626.588307850212 171.982565378687 676.523963570197</t>
  </si>
  <si>
    <t>-491.481494654713 99.4328769281146 762.699385337361</t>
  </si>
  <si>
    <t>-634.456453638626 45.9610179841038 -207.67816156857</t>
  </si>
  <si>
    <t>-549.135231790858 -1.03074772300329 237.484452671899</t>
  </si>
  <si>
    <t>-743.276238974566 124.363506436513 647.013691618082</t>
  </si>
  <si>
    <t>-681.75646942538 -9.35169073313705 743.341635789082</t>
  </si>
  <si>
    <t>9763-20170724T160640.623732400.bin</t>
  </si>
  <si>
    <t>-605.890875928328 139.036082772306 -226.434943220207</t>
  </si>
  <si>
    <t>-643.844958421788 127.494444215902 -340.86419491557</t>
  </si>
  <si>
    <t>-660.327687796918 114.313445857158 -460.217411237887</t>
  </si>
  <si>
    <t>-666.255078491296 101.515692291861 -568.826417846822</t>
  </si>
  <si>
    <t>-663.284443787535 87.7626801036795 -677.439807621234</t>
  </si>
  <si>
    <t>-649.905462538619 67.5526490498039 -827.814661257073</t>
  </si>
  <si>
    <t>-611.107116572517 46.5033061280812 -919.654716469297</t>
  </si>
  <si>
    <t>-643.653647508025 105.728628612348 -764.124389271689</t>
  </si>
  <si>
    <t>-565.792484328314 230.136839110504 -755.099065217877</t>
  </si>
  <si>
    <t>-481.440611088885 184.225168275983 -453.498223297383</t>
  </si>
  <si>
    <t>-309.617900816396 68.8439685017004 -295.998507323924</t>
  </si>
  <si>
    <t>-667.996790742723 47.2613592951777 -758.43247853578</t>
  </si>
  <si>
    <t>-429.828896435055 7.14967184459852 -355.547678469192</t>
  </si>
  <si>
    <t>-577.844534040358 232.804376907395 -244.50916151011</t>
  </si>
  <si>
    <t>-584.666565353695 210.146497896892 210.570771910976</t>
  </si>
  <si>
    <t>-626.633111285469 171.706809268197 676.517652643472</t>
  </si>
  <si>
    <t>-491.50514727841 99.3654968373601 762.834976906149</t>
  </si>
  <si>
    <t>-633.817412330878 45.3435045703561 -207.706309369241</t>
  </si>
  <si>
    <t>-548.538417628426 -1.90264048084919 237.437477041846</t>
  </si>
  <si>
    <t>-743.047726729224 124.241706242987 646.542513305977</t>
  </si>
  <si>
    <t>-681.680009486741 -9.33372075587317 743.160973269616</t>
  </si>
  <si>
    <t>9763-20170724T160640.692453300.bin</t>
  </si>
  <si>
    <t>-605.401564750964 138.276652331613 -226.469667216149</t>
  </si>
  <si>
    <t>-643.410010017186 126.731591289301 -340.880563515757</t>
  </si>
  <si>
    <t>-659.922963692952 113.553928162458 -460.229872798649</t>
  </si>
  <si>
    <t>-665.867038461312 100.762636526935 -568.838820718124</t>
  </si>
  <si>
    <t>-662.902092445285 87.0200347511861 -677.45360984957</t>
  </si>
  <si>
    <t>-649.519462575024 66.8289688265456 -827.830642312992</t>
  </si>
  <si>
    <t>-610.664260392519 45.7047126757363 -919.629436012271</t>
  </si>
  <si>
    <t>-643.276163014157 104.999692519736 -764.136523396172</t>
  </si>
  <si>
    <t>-565.334841344699 229.367017408251 -755.176780735711</t>
  </si>
  <si>
    <t>-480.007414096328 181.311798350457 -454.184854238078</t>
  </si>
  <si>
    <t>-308.292169224737 65.6186061645828 -296.796803161133</t>
  </si>
  <si>
    <t>-667.605510479538 46.5261484774721 -758.450561872067</t>
  </si>
  <si>
    <t>-429.113478862766 6.6517829207246 -355.91081574806</t>
  </si>
  <si>
    <t>-577.429698001416 232.002129361235 -244.531440856671</t>
  </si>
  <si>
    <t>-584.128486617586 209.411423401655 210.553664802201</t>
  </si>
  <si>
    <t>-626.688687953275 171.479936452271 676.515748055677</t>
  </si>
  <si>
    <t>-491.635041049323 99.1598256154562 762.967038489209</t>
  </si>
  <si>
    <t>-633.289362881442 44.6027225481087 -207.707043145893</t>
  </si>
  <si>
    <t>-547.903370101964 -2.63469381801042 237.41715221237</t>
  </si>
  <si>
    <t>-742.811686938898 124.147822160573 646.106510274044</t>
  </si>
  <si>
    <t>-681.635843937211 -9.31929380443717 742.995901066208</t>
  </si>
  <si>
    <t>9763-20170724T160640.725541500.bin</t>
  </si>
  <si>
    <t>-604.511707010968 136.948188911674 -226.601568882187</t>
  </si>
  <si>
    <t>-642.644467419872 125.415696954695 -340.972445790373</t>
  </si>
  <si>
    <t>-659.257011695621 112.247269351075 -460.308970459953</t>
  </si>
  <si>
    <t>-665.279247601203 99.467005547865 -568.914845543482</t>
  </si>
  <si>
    <t>-662.37963252318 85.7407311719869 -677.533615133503</t>
  </si>
  <si>
    <t>-649.073445873715 65.5804860713324 -827.921435726154</t>
  </si>
  <si>
    <t>-610.129679406939 44.3174893194091 -919.650660399772</t>
  </si>
  <si>
    <t>-642.793428126408 103.736407734015 -764.222129425612</t>
  </si>
  <si>
    <t>-564.651928141619 228.000677286612 -755.460278458154</t>
  </si>
  <si>
    <t>-477.456699269386 174.923890991237 -455.850446277792</t>
  </si>
  <si>
    <t>-305.197653710723 59.8589368459407 -298.596066903498</t>
  </si>
  <si>
    <t>-667.128600694046 45.2651460162115 -758.536875342683</t>
  </si>
  <si>
    <t>-428.464134250144 5.76699214078144 -356.356645181943</t>
  </si>
  <si>
    <t>-576.587800736063 230.561023443212 -244.675838903479</t>
  </si>
  <si>
    <t>-582.977137913313 208.05705310203 210.417962412439</t>
  </si>
  <si>
    <t>-626.687369998184 171.231039231688 676.42261285019</t>
  </si>
  <si>
    <t>-491.702596460957 99.0480433060084 763.095780955605</t>
  </si>
  <si>
    <t>-632.332032800821 43.4910516206944 -207.818859722687</t>
  </si>
  <si>
    <t>-546.826420711764 -3.82299638713994 237.274191834331</t>
  </si>
  <si>
    <t>-742.298637658661 123.966459886872 645.253106681907</t>
  </si>
  <si>
    <t>-681.550834365776 -9.30146726562248 742.684484370572</t>
  </si>
  <si>
    <t>9763-20170724T160640.790230900.bin</t>
  </si>
  <si>
    <t>-603.394527644126 135.465085773221 -226.778508230293</t>
  </si>
  <si>
    <t>-641.533045722828 123.979759793477 -341.152290275327</t>
  </si>
  <si>
    <t>-658.333376569073 110.936460218272 -460.476022099824</t>
  </si>
  <si>
    <t>-664.599880906342 98.2937957267927 -569.084296173515</t>
  </si>
  <si>
    <t>-662.017870818696 84.7255551625285 -677.730891804548</t>
  </si>
  <si>
    <t>-649.227761154052 64.8022041630759 -828.195166017206</t>
  </si>
  <si>
    <t>-610.187184769599 43.3913529848385 -919.848778241505</t>
  </si>
  <si>
    <t>-642.62522099381 102.815777924227 -764.443296930355</t>
  </si>
  <si>
    <t>-563.766423878766 226.642645865067 -755.881914069296</t>
  </si>
  <si>
    <t>-476.769271692198 167.576981553603 -457.337227209727</t>
  </si>
  <si>
    <t>-309.480513147845 46.6655535787327 -299.10642574279</t>
  </si>
  <si>
    <t>-667.148705560123 44.41962104401 -758.795570915207</t>
  </si>
  <si>
    <t>-428.527165903331 5.05953440226949 -356.773114470701</t>
  </si>
  <si>
    <t>-575.520817860376 228.913975310407 -244.79387319863</t>
  </si>
  <si>
    <t>-581.870779611945 206.733032868669 210.316385552606</t>
  </si>
  <si>
    <t>-626.743567166448 170.987385545494 676.359369390116</t>
  </si>
  <si>
    <t>-491.800971058289 98.8914558299027 763.170569052896</t>
  </si>
  <si>
    <t>-631.164954152697 42.1219146926801 -208.085790562662</t>
  </si>
  <si>
    <t>-546.049795602856 -4.94450173116252 237.108327762121</t>
  </si>
  <si>
    <t>-741.835343307363 123.796786778531 644.584657120079</t>
  </si>
  <si>
    <t>-681.495862810439 -9.28420192998078 742.52399380564</t>
  </si>
  <si>
    <t>9763-20170724T160640.827330800.bin</t>
  </si>
  <si>
    <t>-602.813012207776 134.591259134964 -226.826795882614</t>
  </si>
  <si>
    <t>-640.982644647431 123.15547698407 -341.195018765027</t>
  </si>
  <si>
    <t>-657.924271353376 110.175211271613 -460.505944208379</t>
  </si>
  <si>
    <t>-664.363710752142 97.5920588758349 -569.110850135517</t>
  </si>
  <si>
    <t>-661.999180499937 84.0843600561736 -677.769895975755</t>
  </si>
  <si>
    <t>-649.556681070239 64.2447378744118 -828.274406467847</t>
  </si>
  <si>
    <t>-610.466071062116 42.6924632724781 -919.873532272539</t>
  </si>
  <si>
    <t>-642.746467755047 102.198087460902 -764.508530443061</t>
  </si>
  <si>
    <t>-563.558949048434 225.842025375555 -756.032241964245</t>
  </si>
  <si>
    <t>-476.702591035208 164.244907823182 -457.958434148282</t>
  </si>
  <si>
    <t>-313.069267304261 38.4418433659096 -299.718862531454</t>
  </si>
  <si>
    <t>-667.377770933623 43.8481764270462 -758.853156513975</t>
  </si>
  <si>
    <t>-428.868349007238 4.38380830822121 -356.742864005303</t>
  </si>
  <si>
    <t>-574.932804299303 227.957517446396 -244.847762661135</t>
  </si>
  <si>
    <t>-581.354905287386 205.996113960243 210.272180952384</t>
  </si>
  <si>
    <t>-626.763080793092 170.81010735039 676.321149775143</t>
  </si>
  <si>
    <t>-491.83203146735 98.8119273247801 763.231376080531</t>
  </si>
  <si>
    <t>-630.623475390314 41.2609993486408 -208.169832046955</t>
  </si>
  <si>
    <t>-545.672648349449 -5.47860335967334 237.090105089807</t>
  </si>
  <si>
    <t>-741.624048033834 123.730616202896 644.300682810327</t>
  </si>
  <si>
    <t>-681.526067901248 -9.28659116704489 742.47487966212</t>
  </si>
  <si>
    <t>9763-20170724T160640.892060800.bin</t>
  </si>
  <si>
    <t>-601.61666495842 132.752496477953 -226.915591199317</t>
  </si>
  <si>
    <t>-639.842645961176 121.426951943794 -341.275983585565</t>
  </si>
  <si>
    <t>-656.913497627728 108.509449479451 -460.5751287344</t>
  </si>
  <si>
    <t>-663.50043492698 95.9574824170588 -569.174908935135</t>
  </si>
  <si>
    <t>-661.314266432559 82.4522919751607 -677.83804682585</t>
  </si>
  <si>
    <t>-649.151587425913 62.5835741130359 -828.361515068347</t>
  </si>
  <si>
    <t>-609.780171902272 40.6028583954721 -919.738357098618</t>
  </si>
  <si>
    <t>-642.068516253512 100.48567533695 -764.595003063212</t>
  </si>
  <si>
    <t>-562.238734850085 223.663607945514 -756.100823682693</t>
  </si>
  <si>
    <t>-474.261099449925 160.343043519525 -458.717867557978</t>
  </si>
  <si>
    <t>-314.361626726283 26.8834805784497 -302.952753394641</t>
  </si>
  <si>
    <t>-666.997888593022 42.2640320843514 -758.924159020708</t>
  </si>
  <si>
    <t>-429.147623606711 2.64033811206673 -357.102782735024</t>
  </si>
  <si>
    <t>-573.554187497791 225.73400731157 -244.897613132303</t>
  </si>
  <si>
    <t>-580.147385679914 204.196112797398 210.240085042708</t>
  </si>
  <si>
    <t>-626.921457950739 170.255473080289 676.348470939948</t>
  </si>
  <si>
    <t>-491.978497821893 98.4892359515038 763.431850938386</t>
  </si>
  <si>
    <t>-629.517536602022 39.9316369905998 -208.258801356701</t>
  </si>
  <si>
    <t>-545.281280190188 -7.03050842704442 237.113459874557</t>
  </si>
  <si>
    <t>-741.250660276381 123.600198463404 643.842139740418</t>
  </si>
  <si>
    <t>-681.467165451729 -9.26387965516483 742.414880063338</t>
  </si>
  <si>
    <t>9763-20170724T160640.933152700.bin</t>
  </si>
  <si>
    <t>-600.831344142136 131.941793149435 -226.912977981037</t>
  </si>
  <si>
    <t>-639.117294298097 120.730514395429 -341.264656426972</t>
  </si>
  <si>
    <t>-656.229624457399 107.879606823682 -460.565077573136</t>
  </si>
  <si>
    <t>-662.846537504126 95.3662492542046 -569.167318694193</t>
  </si>
  <si>
    <t>-660.683126966925 81.8770748739878 -677.832984700688</t>
  </si>
  <si>
    <t>-648.54515042666 62.0059842636631 -828.358097658102</t>
  </si>
  <si>
    <t>-608.983177531702 39.7702672174187 -919.590832779222</t>
  </si>
  <si>
    <t>-641.376144092036 99.8778071240952 -764.583097336898</t>
  </si>
  <si>
    <t>-561.108506936992 222.766823141056 -755.841072921096</t>
  </si>
  <si>
    <t>-472.432889279298 159.316901576316 -458.693042980347</t>
  </si>
  <si>
    <t>-313.775238897689 21.3611959003163 -305.59826010504</t>
  </si>
  <si>
    <t>-666.455409232519 41.7189678129494 -758.927853474276</t>
  </si>
  <si>
    <t>-429.124270148571 1.9971117224045 -356.881287847756</t>
  </si>
  <si>
    <t>-572.718720665438 224.606702000769 -244.809849796272</t>
  </si>
  <si>
    <t>-579.448683504928 203.168432028682 210.330561763476</t>
  </si>
  <si>
    <t>-627.125303553482 169.742660429008 676.447163908549</t>
  </si>
  <si>
    <t>-492.143417236192 98.1755277604041 763.634020831196</t>
  </si>
  <si>
    <t>-628.760290497914 39.3604615199918 -208.297525617776</t>
  </si>
  <si>
    <t>-545.119306461652 -7.9052663266873 237.154812924549</t>
  </si>
  <si>
    <t>-741.114067642911 123.453212475079 643.603709842117</t>
  </si>
  <si>
    <t>-681.498462910195 -9.30080946684984 742.426122798754</t>
  </si>
  <si>
    <t>9763-20170724T160640.992315900.bin</t>
  </si>
  <si>
    <t>-599.740930331747 130.251657416973 -226.682501754203</t>
  </si>
  <si>
    <t>-638.154392275889 119.444239111974 -341.030236888076</t>
  </si>
  <si>
    <t>-655.263043376221 106.712928542446 -460.34409161486</t>
  </si>
  <si>
    <t>-661.825156535291 94.1931166660274 -568.949067465221</t>
  </si>
  <si>
    <t>-659.557109903991 80.5854173996443 -677.597657813039</t>
  </si>
  <si>
    <t>-647.224424370086 60.4348869564039 -828.069848200678</t>
  </si>
  <si>
    <t>-607.265341351549 37.5255930199703 -918.962184931449</t>
  </si>
  <si>
    <t>-640.001322179561 98.3675073766758 -764.337075933869</t>
  </si>
  <si>
    <t>-559.093044808555 220.838848450021 -755.268187992246</t>
  </si>
  <si>
    <t>-468.86673239495 156.243469756261 -458.834626502618</t>
  </si>
  <si>
    <t>-308.544787916286 17.6953580397399 -308.025804878705</t>
  </si>
  <si>
    <t>-665.36120854789 40.3342188309732 -758.644057426786</t>
  </si>
  <si>
    <t>-429.27772415068 0.911420337378331 -356.29752936775</t>
  </si>
  <si>
    <t>-571.410659344221 222.638339628651 -244.53235266313</t>
  </si>
  <si>
    <t>-577.87283958419 200.796838404464 210.59272321322</t>
  </si>
  <si>
    <t>-627.512317816442 168.719936875508 676.706168167285</t>
  </si>
  <si>
    <t>-492.500951319014 97.5013074927192 764.132427538493</t>
  </si>
  <si>
    <t>-627.982587121023 37.9368214221308 -208.178272726603</t>
  </si>
  <si>
    <t>-544.633877930318 -9.93252782535455 237.264437085349</t>
  </si>
  <si>
    <t>-740.810025207677 123.019050333498 643.009380271793</t>
  </si>
  <si>
    <t>-681.521369833595 -9.38166545053923 742.500163075488</t>
  </si>
  <si>
    <t>9763-20170724T160641.022395900.bin</t>
  </si>
  <si>
    <t>-599.226173037968 129.463236865027 -226.608910318814</t>
  </si>
  <si>
    <t>-637.676944509611 118.787462928192 -340.956600596228</t>
  </si>
  <si>
    <t>-654.786959814311 106.082000342762 -460.27287137803</t>
  </si>
  <si>
    <t>-661.336828038688 93.5393176098582 -568.876006232472</t>
  </si>
  <si>
    <t>-659.044185797147 79.8610923280648 -677.515303816283</t>
  </si>
  <si>
    <t>-646.665903805452 59.561495309481 -827.963577985759</t>
  </si>
  <si>
    <t>-606.553470146715 36.2654658216311 -918.690064245562</t>
  </si>
  <si>
    <t>-639.365673847699 97.5162099311349 -764.252856020983</t>
  </si>
  <si>
    <t>-557.979248520417 219.638733412378 -755.095759412739</t>
  </si>
  <si>
    <t>-467.422006120021 154.547332399488 -458.871681850218</t>
  </si>
  <si>
    <t>-306.504425797772 16.2674938447526 -308.451389864588</t>
  </si>
  <si>
    <t>-664.920154307415 39.5706530327695 -758.536974644398</t>
  </si>
  <si>
    <t>-429.256900560379 0.0782420867415112 -355.973075284856</t>
  </si>
  <si>
    <t>-570.765202799952 221.576577516736 -244.330564356976</t>
  </si>
  <si>
    <t>-577.021967068231 199.698973062391 210.795607095785</t>
  </si>
  <si>
    <t>-627.735946312471 168.338627223164 676.894298715642</t>
  </si>
  <si>
    <t>-492.66907537664 97.2195212061929 764.315816768557</t>
  </si>
  <si>
    <t>-627.547474936427 37.4129862093173 -208.149837908988</t>
  </si>
  <si>
    <t>-544.449529754256 -10.9273506847096 237.288940197017</t>
  </si>
  <si>
    <t>-740.55776121803 122.862487876611 642.729235607765</t>
  </si>
  <si>
    <t>-681.523814775744 -9.3994177046493 742.555606128618</t>
  </si>
  <si>
    <t>9763-20170724T160641.094452900.bin</t>
  </si>
  <si>
    <t>-598.449591906429 128.123892482673 -226.134601620991</t>
  </si>
  <si>
    <t>-636.846732983432 117.820685308227 -340.53425283275</t>
  </si>
  <si>
    <t>-653.868769044272 105.150046635845 -459.866910434156</t>
  </si>
  <si>
    <t>-660.33097957266 92.4941024519296 -568.462034985069</t>
  </si>
  <si>
    <t>-657.946750414533 78.5546235423046 -677.066265782857</t>
  </si>
  <si>
    <t>-645.441049181651 57.7353008195046 -827.432995950057</t>
  </si>
  <si>
    <t>-605.136346754735 33.5853934891711 -917.850410197601</t>
  </si>
  <si>
    <t>-637.969910136198 95.8130206301209 -763.815553800122</t>
  </si>
  <si>
    <t>-555.519543235053 217.247164468969 -754.775718740896</t>
  </si>
  <si>
    <t>-464.478849337463 151.629330334045 -458.816050827792</t>
  </si>
  <si>
    <t>-303.906475590499 13.5724969529824 -307.823075207687</t>
  </si>
  <si>
    <t>-663.978901089757 38.0814580507733 -757.985160788649</t>
  </si>
  <si>
    <t>-569.895525956991 219.955148402526 -243.624937753756</t>
  </si>
  <si>
    <t>-576.178845997499 197.746516188891 211.484890150925</t>
  </si>
  <si>
    <t>-628.483834147283 167.359258613123 677.599536783526</t>
  </si>
  <si>
    <t>-492.973570574301 96.6808506107818 764.691683187074</t>
  </si>
  <si>
    <t>-626.89188167152 36.4142927152925 -207.90253715941</t>
  </si>
  <si>
    <t>-544.402136143789 -12.8425906809605 237.548711676635</t>
  </si>
  <si>
    <t>-740.317144304128 122.480173138722 642.416308150557</t>
  </si>
  <si>
    <t>-681.550200775123 -9.46403588666908 742.818901276973</t>
  </si>
  <si>
    <t>9763-20170724T160641.122528700.bin</t>
  </si>
  <si>
    <t>-598.178053171983 127.642465578873 -225.86311098088</t>
  </si>
  <si>
    <t>-636.506393542621 117.500894703121 -340.300451625761</t>
  </si>
  <si>
    <t>-653.461258068376 104.815888747257 -459.641092506798</t>
  </si>
  <si>
    <t>-659.866645662925 92.0761853872814 -568.229804425326</t>
  </si>
  <si>
    <t>-657.431207724049 77.9835902226694 -676.813026418467</t>
  </si>
  <si>
    <t>-644.861780137543 56.8804842877939 -827.134980148016</t>
  </si>
  <si>
    <t>-604.521340674513 32.3182531104585 -917.425183858421</t>
  </si>
  <si>
    <t>-637.306201687929 95.0293846627235 -763.570243390227</t>
  </si>
  <si>
    <t>-554.33332559111 216.110433263246 -754.596738321409</t>
  </si>
  <si>
    <t>-463.827022246617 150.493870753772 -458.47303294187</t>
  </si>
  <si>
    <t>-304.058402567663 11.5471459290079 -307.443687876544</t>
  </si>
  <si>
    <t>-663.540523712631 37.4065233299943 -757.674272897339</t>
  </si>
  <si>
    <t>-569.324203012984 219.32759794271 -243.295110379737</t>
  </si>
  <si>
    <t>-575.939492077883 197.212308769494 211.814508505543</t>
  </si>
  <si>
    <t>-628.743565970226 167.069153007279 677.865913952233</t>
  </si>
  <si>
    <t>-493.115066127168 96.4520701825254 764.823635681317</t>
  </si>
  <si>
    <t>-626.941743446722 36.0258554862153 -207.68397082897</t>
  </si>
  <si>
    <t>-544.580642965085 -13.5577335777998 237.754884924111</t>
  </si>
  <si>
    <t>-740.220380364485 122.398648528634 642.415787715008</t>
  </si>
  <si>
    <t>-681.592576462539 -9.46803906917035 743.001388011657</t>
  </si>
  <si>
    <t>9763-20170724T160641.190732000.bin</t>
  </si>
  <si>
    <t>-597.638410399245 126.87211759838 -225.509996903326</t>
  </si>
  <si>
    <t>-635.8096656953 116.940338205753 -340.018244364936</t>
  </si>
  <si>
    <t>-652.591833590812 104.130488619007 -459.369935942323</t>
  </si>
  <si>
    <t>-658.841208185594 91.1430451778324 -567.938380293243</t>
  </si>
  <si>
    <t>-656.253371362264 76.6704241628531 -676.468166842381</t>
  </si>
  <si>
    <t>-643.479516708178 54.9033533318054 -826.678178376632</t>
  </si>
  <si>
    <t>-603.142573072554 29.5320320685018 -916.745931898683</t>
  </si>
  <si>
    <t>-635.799886828521 93.2393395235658 -763.240737003824</t>
  </si>
  <si>
    <t>-551.955909994476 213.715774086011 -754.45579673127</t>
  </si>
  <si>
    <t>-462.670228093875 148.564867108585 -457.859122602284</t>
  </si>
  <si>
    <t>-304.364386077219 8.31117167972388 -306.497875403199</t>
  </si>
  <si>
    <t>-662.463234286813 35.8298580208293 -757.188977886354</t>
  </si>
  <si>
    <t>-568.074247524801 218.390512684965 -243.022675822739</t>
  </si>
  <si>
    <t>-575.382001472508 196.529491577522 212.088743253915</t>
  </si>
  <si>
    <t>-628.791018302256 166.893299576061 677.986020408604</t>
  </si>
  <si>
    <t>-493.319333690397 96.0606935723072 765.012916186088</t>
  </si>
  <si>
    <t>-627.014926783594 35.4362746679637 -207.384476723272</t>
  </si>
  <si>
    <t>-545.152816204071 -14.567622830953 238.099425354521</t>
  </si>
  <si>
    <t>-740.258620009796 122.368761944992 642.622445851081</t>
  </si>
  <si>
    <t>-681.695080668952 -9.47002959032739 743.2820450428</t>
  </si>
  <si>
    <t>9763-20170724T160641.225824400.bin</t>
  </si>
  <si>
    <t>-597.301759069961 126.630109334786 -225.439000430615</t>
  </si>
  <si>
    <t>-635.407456996476 116.814274799693 -339.97900459162</t>
  </si>
  <si>
    <t>-652.088654894374 103.974073035289 -459.341669485023</t>
  </si>
  <si>
    <t>-658.235009497036 90.9007822666497 -567.905631010373</t>
  </si>
  <si>
    <t>-655.533709819474 76.2857998249369 -676.41354772429</t>
  </si>
  <si>
    <t>-642.593269768122 54.2630386989442 -826.571944295443</t>
  </si>
  <si>
    <t>-602.215501018141 28.5377316444703 -916.521053557125</t>
  </si>
  <si>
    <t>-634.906560636688 92.6722059216731 -763.179666748757</t>
  </si>
  <si>
    <t>-550.660142983915 212.866619549443 -754.386142633217</t>
  </si>
  <si>
    <t>-461.895859563292 147.953384702543 -457.580950889933</t>
  </si>
  <si>
    <t>-304.230393154202 7.17156438127654 -306.041727092488</t>
  </si>
  <si>
    <t>-661.731312907236 35.3428345032657 -757.083292722732</t>
  </si>
  <si>
    <t>-567.439255860023 218.103851155685 -242.98618333484</t>
  </si>
  <si>
    <t>-575.039051590803 196.286271920486 212.122467230641</t>
  </si>
  <si>
    <t>-628.735022583393 166.905705158896 677.997338313036</t>
  </si>
  <si>
    <t>-493.380075886929 95.9378878742202 765.095696117078</t>
  </si>
  <si>
    <t>-626.954231904108 35.2884227897232 -207.307480206048</t>
  </si>
  <si>
    <t>-545.365345523539 -14.9442315468341 238.200778139053</t>
  </si>
  <si>
    <t>-740.317593945261 122.367893620062 642.702693140719</t>
  </si>
  <si>
    <t>-681.782928438393 -9.48404729186268 743.361896452187</t>
  </si>
  <si>
    <t>9763-20170724T160641.308720600.bin</t>
  </si>
  <si>
    <t>-596.677771472535 126.248462148915 -225.379766913834</t>
  </si>
  <si>
    <t>-634.574965338355 116.471039177478 -339.992261724135</t>
  </si>
  <si>
    <t>-651.021313676724 103.46627959117 -459.369623203452</t>
  </si>
  <si>
    <t>-656.950110160128 90.1609395378105 -567.9175612834</t>
  </si>
  <si>
    <t>-654.0292477264 75.2311829879623 -676.37695981372</t>
  </si>
  <si>
    <t>-640.784782582979 52.6851461094309 -826.431184191905</t>
  </si>
  <si>
    <t>-600.337952041699 26.224886686523 -916.135675162027</t>
  </si>
  <si>
    <t>-633.099431499491 91.2574759092981 -763.137899291779</t>
  </si>
  <si>
    <t>-548.319873925643 211.095241574199 -754.516187878545</t>
  </si>
  <si>
    <t>-460.347980449136 146.981539776654 -457.301583506228</t>
  </si>
  <si>
    <t>-303.290439691266 4.98765256951765 -306.262687261017</t>
  </si>
  <si>
    <t>-660.19061783594 34.064711681257 -756.935728275137</t>
  </si>
  <si>
    <t>-566.327992183793 217.685456331792 -243.014066614458</t>
  </si>
  <si>
    <t>-574.450616480435 196.190317749903 212.100888320493</t>
  </si>
  <si>
    <t>-628.466453139209 167.007169704 677.878155982099</t>
  </si>
  <si>
    <t>-493.395823311552 95.82435466216 765.242011923034</t>
  </si>
  <si>
    <t>-626.818284203585 34.919048428068 -207.13063242561</t>
  </si>
  <si>
    <t>-545.317111022884 -15.5624106932005 238.365566278718</t>
  </si>
  <si>
    <t>-740.374054973608 122.397211724347 642.696176533153</t>
  </si>
  <si>
    <t>-681.889998584014 -9.48820355107068 743.340921164009</t>
  </si>
  <si>
    <t>9763-20170724T160641.326771000.bin</t>
  </si>
  <si>
    <t>-596.525706671512 126.21493034589 -225.369355748216</t>
  </si>
  <si>
    <t>-634.398650096041 116.432599182559 -339.989420254152</t>
  </si>
  <si>
    <t>-650.791612351584 103.383889914356 -459.369284803058</t>
  </si>
  <si>
    <t>-656.660879061208 90.0227857256493 -567.913665334724</t>
  </si>
  <si>
    <t>-653.670109792735 75.0209144200248 -676.361283624628</t>
  </si>
  <si>
    <t>-640.318386325158 52.3577300098261 -826.388294378266</t>
  </si>
  <si>
    <t>-599.831815552597 25.7749856532985 -916.03852376362</t>
  </si>
  <si>
    <t>-632.664198467082 90.9730484158338 -763.117451337761</t>
  </si>
  <si>
    <t>-547.827155828552 210.770940378167 -754.524632494363</t>
  </si>
  <si>
    <t>-459.973212764496 146.916706046409 -457.219138772427</t>
  </si>
  <si>
    <t>-302.955563243516 4.60980866981959 -306.433652489147</t>
  </si>
  <si>
    <t>-659.787899927869 33.7980653941022 -756.894418349331</t>
  </si>
  <si>
    <t>-566.154241384317 217.675106302657 -243.017258336094</t>
  </si>
  <si>
    <t>-574.374004897129 196.209697325649 212.097371680206</t>
  </si>
  <si>
    <t>-628.432703115554 167.037374957991 677.877713105962</t>
  </si>
  <si>
    <t>-493.400923624493 95.8194541647626 765.2730516976</t>
  </si>
  <si>
    <t>-626.68584244581 34.8622457448446 -207.096913789509</t>
  </si>
  <si>
    <t>-545.182586921375 -15.5767715554721 238.403735296817</t>
  </si>
  <si>
    <t>-740.360108557087 122.423148755662 642.666786364987</t>
  </si>
  <si>
    <t>-681.947040997284 -9.49781035800902 743.306097454218</t>
  </si>
  <si>
    <t>9763-20170724T160641.392497900.bin</t>
  </si>
  <si>
    <t>-596.163224375983 126.161199983454 -225.324751130603</t>
  </si>
  <si>
    <t>-633.965886032937 116.284145215693 -339.959865144934</t>
  </si>
  <si>
    <t>-650.150914895281 103.047249162812 -459.347532956085</t>
  </si>
  <si>
    <t>-655.777636819115 89.4787397410394 -567.879075290303</t>
  </si>
  <si>
    <t>-652.491996390354 74.2325987213894 -676.283872019462</t>
  </si>
  <si>
    <t>-638.678463464375 51.1923310678426 -826.211638679247</t>
  </si>
  <si>
    <t>-598.000244140963 24.2301014002121 -915.661733732349</t>
  </si>
  <si>
    <t>-631.21178934162 89.9633022891292 -763.013673410048</t>
  </si>
  <si>
    <t>-546.336500666618 209.747620946683 -754.496634492918</t>
  </si>
  <si>
    <t>-458.701767136817 146.40189750733 -457.017876970669</t>
  </si>
  <si>
    <t>-302.325682770931 2.33703326192176 -307.23834136267</t>
  </si>
  <si>
    <t>-658.369177411447 32.8106525470866 -756.732827750245</t>
  </si>
  <si>
    <t>-565.702851659793 217.716995434377 -243.058184396905</t>
  </si>
  <si>
    <t>-574.098194484022 196.312633709682 212.056142160687</t>
  </si>
  <si>
    <t>-628.22654825514 167.049126104688 677.7435131746</t>
  </si>
  <si>
    <t>-493.311295974542 95.8911523752449 765.367296675376</t>
  </si>
  <si>
    <t>-626.491083301142 34.7320216800345 -206.911953481223</t>
  </si>
  <si>
    <t>-544.43677404791 -15.5579085975078 238.504343755883</t>
  </si>
  <si>
    <t>-740.307560195036 122.513518473242 642.466017132259</t>
  </si>
  <si>
    <t>-681.939306416208 -9.46018778511302 743.062264593449</t>
  </si>
  <si>
    <t>9763-20170724T160641.422572600.bin</t>
  </si>
  <si>
    <t>-596.025039036558 126.294871149451 -225.331193431285</t>
  </si>
  <si>
    <t>-633.826606396714 116.343990185826 -339.960205991605</t>
  </si>
  <si>
    <t>-649.907366885173 103.006281466416 -459.350644493652</t>
  </si>
  <si>
    <t>-655.398237353706 89.3341285619049 -567.876095329571</t>
  </si>
  <si>
    <t>-651.936014154445 73.9713722447245 -676.259046142992</t>
  </si>
  <si>
    <t>-637.836614529878 50.7545021901649 -826.132866034003</t>
  </si>
  <si>
    <t>-597.027992332705 23.6725076462556 -915.487337759372</t>
  </si>
  <si>
    <t>-630.494992709894 89.6018034517231 -762.967338323521</t>
  </si>
  <si>
    <t>-545.689006238256 209.421479696627 -754.425526552144</t>
  </si>
  <si>
    <t>-458.23403384188 146.027488301068 -456.90412122926</t>
  </si>
  <si>
    <t>-301.699919273403 1.65955476606746 -307.582232337038</t>
  </si>
  <si>
    <t>-657.65548171307 32.4525042286218 -756.669360740728</t>
  </si>
  <si>
    <t>-565.580122886935 217.938919047743 -243.126476355134</t>
  </si>
  <si>
    <t>-573.945537136515 196.476631713932 211.98565271145</t>
  </si>
  <si>
    <t>-628.082830429122 167.092692149435 677.660163463887</t>
  </si>
  <si>
    <t>-493.254694449553 95.9294523787955 765.413710714977</t>
  </si>
  <si>
    <t>-626.311101455627 34.8067567704211 -206.870278119178</t>
  </si>
  <si>
    <t>-543.943038341644 -15.4207392701765 238.495166738986</t>
  </si>
  <si>
    <t>-740.236240173912 122.567392805499 642.289903863247</t>
  </si>
  <si>
    <t>-681.938710379831 -9.43508525528318 742.889401342158</t>
  </si>
  <si>
    <t>9763-20170724T160641.492763600.bin</t>
  </si>
  <si>
    <t>-595.766227195601 126.690251736453 -225.355875947686</t>
  </si>
  <si>
    <t>-633.456986018588 116.521019633668 -340.002245898406</t>
  </si>
  <si>
    <t>-649.331747623087 102.984139395744 -459.397952643701</t>
  </si>
  <si>
    <t>-654.598636489073 89.137984042573 -567.912442610422</t>
  </si>
  <si>
    <t>-650.876577628972 73.6054001509972 -676.262450700845</t>
  </si>
  <si>
    <t>-636.380479596758 50.1557356934877 -826.062221272569</t>
  </si>
  <si>
    <t>-595.33464510087 22.9369206909732 -915.266227260207</t>
  </si>
  <si>
    <t>-629.245805042003 89.1194349256937 -762.944475197815</t>
  </si>
  <si>
    <t>-544.622153565977 209.085095378798 -754.373220493684</t>
  </si>
  <si>
    <t>-457.062431187096 145.015087369038 -457.027497866134</t>
  </si>
  <si>
    <t>-656.343340598246 31.9435026059627 -756.616402271686</t>
  </si>
  <si>
    <t>-565.459790861496 218.463790915337 -243.19719295394</t>
  </si>
  <si>
    <t>-573.978880368811 196.983883244729 211.91126701853</t>
  </si>
  <si>
    <t>-627.963012314233 167.11770320597 677.600636624018</t>
  </si>
  <si>
    <t>-493.225028538801 95.9302847581043 765.472897696529</t>
  </si>
  <si>
    <t>-625.92143887353 35.0412246006056 -206.835247156899</t>
  </si>
  <si>
    <t>-542.865034593603 -15.0745958477503 238.414898857555</t>
  </si>
  <si>
    <t>-740.031350802439 122.624751959708 641.896779059506</t>
  </si>
  <si>
    <t>-681.973413896536 -9.42994111694998 742.566192866331</t>
  </si>
  <si>
    <t>9763-20170724T160641.525853500.bin</t>
  </si>
  <si>
    <t>-595.642200727205 126.760093174041 -225.386717498743</t>
  </si>
  <si>
    <t>-633.291989994498 116.483334473647 -340.037025674497</t>
  </si>
  <si>
    <t>-649.093503341764 102.860733663619 -459.432588361385</t>
  </si>
  <si>
    <t>-654.281703024574 88.9433771123786 -567.941736324618</t>
  </si>
  <si>
    <t>-650.468974493793 73.3444596092929 -676.279120273835</t>
  </si>
  <si>
    <t>-635.835521324733 49.8058394871282 -826.051584386532</t>
  </si>
  <si>
    <t>-594.668197571345 22.5217342966728 -915.179679147229</t>
  </si>
  <si>
    <t>-628.776737723824 88.815187910662 -762.953438231709</t>
  </si>
  <si>
    <t>-544.251599583484 208.833601140474 -754.354615358052</t>
  </si>
  <si>
    <t>-456.416756845871 144.41577252132 -457.165185121195</t>
  </si>
  <si>
    <t>-655.844001638589 31.6267117566758 -756.610233298436</t>
  </si>
  <si>
    <t>-428.971736627975 0.208517948728286 -350.30100843407</t>
  </si>
  <si>
    <t>-565.466405470914 218.62760914368 -243.241158588741</t>
  </si>
  <si>
    <t>-574.083220885666 197.215743791222 211.868627472008</t>
  </si>
  <si>
    <t>-627.898820771323 167.097708608836 677.542212575848</t>
  </si>
  <si>
    <t>-493.190117947336 95.9410480828656 765.484274644409</t>
  </si>
  <si>
    <t>-625.687790082434 34.9361843680854 -206.854348179043</t>
  </si>
  <si>
    <t>-542.386572852172 -14.8344972797299 238.388836719616</t>
  </si>
  <si>
    <t>-739.958387305585 122.650944100853 641.728859378588</t>
  </si>
  <si>
    <t>-681.99253039799 -9.42409918654403 742.424709359727</t>
  </si>
  <si>
    <t>9763-20170724T160641.592041600.bin</t>
  </si>
  <si>
    <t>-595.435873834076 127.080230839591 -225.470957965018</t>
  </si>
  <si>
    <t>-633.004166131404 116.648077412185 -340.133943518017</t>
  </si>
  <si>
    <t>-648.675605107817 102.852286707988 -459.526768849458</t>
  </si>
  <si>
    <t>-653.727698589278 88.7694469031371 -568.02111588224</t>
  </si>
  <si>
    <t>-649.762185320303 72.994211676963 -676.327400559504</t>
  </si>
  <si>
    <t>-634.900180328216 49.1985731791635 -826.036698258429</t>
  </si>
  <si>
    <t>-593.549400932936 21.7679740991334 -915.034816255177</t>
  </si>
  <si>
    <t>-627.973420527811 88.3324051378893 -763.001122890944</t>
  </si>
  <si>
    <t>-543.694720863898 208.534838320726 -754.537834243784</t>
  </si>
  <si>
    <t>-454.883784667412 144.017183306431 -457.660113365506</t>
  </si>
  <si>
    <t>-654.978957428798 31.1223231441345 -756.588804515291</t>
  </si>
  <si>
    <t>-428.911286734941 1.38560125872323 -349.652650841022</t>
  </si>
  <si>
    <t>-565.445599272622 219.125328081607 -243.373956833688</t>
  </si>
  <si>
    <t>-574.184792172063 197.702530956951 211.732980308264</t>
  </si>
  <si>
    <t>-627.730966749873 167.205137690959 677.407755984527</t>
  </si>
  <si>
    <t>-493.160336212892 95.9733800030731 765.500253561744</t>
  </si>
  <si>
    <t>-625.329004029465 35.1746039727734 -206.885351151517</t>
  </si>
  <si>
    <t>-541.670790246908 -14.4788703556883 238.303949957857</t>
  </si>
  <si>
    <t>-739.880710157224 122.697394101531 641.433166228729</t>
  </si>
  <si>
    <t>-682.017487793232 -9.39399579908331 742.16658993633</t>
  </si>
  <si>
    <t>9763-20170724T160641.627155200.bin</t>
  </si>
  <si>
    <t>-595.304893667024 127.29718000963 -225.547969491402</t>
  </si>
  <si>
    <t>-632.828662478706 116.807582088169 -340.220210954858</t>
  </si>
  <si>
    <t>-648.439974698293 102.955259708548 -459.614490288255</t>
  </si>
  <si>
    <t>-653.432104015959 88.8204658642182 -568.10465487731</t>
  </si>
  <si>
    <t>-649.401540438513 72.9917280993113 -676.40091015428</t>
  </si>
  <si>
    <t>-634.444615828279 49.119205481258 -826.088555429902</t>
  </si>
  <si>
    <t>-593.014403570991 21.6359104223009 -915.033425423428</t>
  </si>
  <si>
    <t>-627.566537701387 88.2892959255209 -763.070124784067</t>
  </si>
  <si>
    <t>-543.335906131057 208.519569835273 -754.62294153439</t>
  </si>
  <si>
    <t>-454.104301355025 143.972043602845 -457.878072904276</t>
  </si>
  <si>
    <t>-654.558696096537 31.0747444935707 -756.642525589378</t>
  </si>
  <si>
    <t>-428.863914441469 2.08680098646255 -349.501958711219</t>
  </si>
  <si>
    <t>-565.357564571161 219.3042189642 -243.452265177649</t>
  </si>
  <si>
    <t>-574.156107059712 197.875535604893 211.653285137838</t>
  </si>
  <si>
    <t>-627.654393452094 167.196162572242 677.335068168732</t>
  </si>
  <si>
    <t>-493.085350342616 96.0567947385832 765.504638437619</t>
  </si>
  <si>
    <t>-625.120559661049 35.4176865618078 -206.98104117896</t>
  </si>
  <si>
    <t>-541.546872087927 -14.3165205465975 238.21507815891</t>
  </si>
  <si>
    <t>-739.850161715284 122.748926316848 641.335157655292</t>
  </si>
  <si>
    <t>-682.064112096687 -9.37963250728399 742.064148115961</t>
  </si>
  <si>
    <t>9763-20170724T160641.697325400.bin</t>
  </si>
  <si>
    <t>-595.055483801604 127.555105744943 -225.72908631209</t>
  </si>
  <si>
    <t>-632.503157512969 117.05160108527 -340.424967845037</t>
  </si>
  <si>
    <t>-648.014520419651 103.152294034861 -459.826724264371</t>
  </si>
  <si>
    <t>-652.908120488532 88.9606322146262 -568.314056190489</t>
  </si>
  <si>
    <t>-648.771930646563 73.0601714532509 -676.595756937918</t>
  </si>
  <si>
    <t>-633.66205298013 49.072000888201 -826.249513565553</t>
  </si>
  <si>
    <t>-592.139608382794 21.5120245758606 -915.127679521556</t>
  </si>
  <si>
    <t>-626.849640691038 88.2914008639855 -763.254672741137</t>
  </si>
  <si>
    <t>-542.569920833287 208.504099079943 -754.81268549352</t>
  </si>
  <si>
    <t>-452.942182804899 143.812340813922 -458.218646051756</t>
  </si>
  <si>
    <t>-653.845787913378 31.0806245885685 -756.809920964587</t>
  </si>
  <si>
    <t>-428.407380224121 3.09618843020121 -349.520071189452</t>
  </si>
  <si>
    <t>-565.133041449361 219.552009405052 -243.562927161233</t>
  </si>
  <si>
    <t>-574.037299320442 198.015291404599 211.535514548194</t>
  </si>
  <si>
    <t>-627.586141404872 167.210297591889 677.266765105279</t>
  </si>
  <si>
    <t>-493.085501585028 96.0142081959575 765.49492091193</t>
  </si>
  <si>
    <t>-624.888634246402 35.6201034286482 -207.201977912018</t>
  </si>
  <si>
    <t>-541.530431187536 -14.0765300685484 238.038752074574</t>
  </si>
  <si>
    <t>-739.947059234737 122.737008474869 641.206206787581</t>
  </si>
  <si>
    <t>-682.109199317961 -9.36756686800777 741.936867720022</t>
  </si>
  <si>
    <t>9763-20170724T160641.724395800.bin</t>
  </si>
  <si>
    <t>-594.956911834525 127.605637470037 -225.762537914762</t>
  </si>
  <si>
    <t>-632.374602538858 117.125634784151 -340.470365171251</t>
  </si>
  <si>
    <t>-647.852085899652 103.235611443147 -459.877686221125</t>
  </si>
  <si>
    <t>-652.714189733298 89.0452531365022 -568.366517068888</t>
  </si>
  <si>
    <t>-648.546192109399 73.1382336819472 -676.645992436755</t>
  </si>
  <si>
    <t>-633.39227753534 49.1321194437512 -826.292541459638</t>
  </si>
  <si>
    <t>-591.876615774119 21.5193004372718 -915.157328827377</t>
  </si>
  <si>
    <t>-626.584426866772 88.3527711109691 -763.297938340921</t>
  </si>
  <si>
    <t>-542.233373972872 208.512465796859 -754.82183935836</t>
  </si>
  <si>
    <t>-452.526478768746 143.517756166803 -458.317860551549</t>
  </si>
  <si>
    <t>-653.610366215268 31.1554232601816 -756.859193334851</t>
  </si>
  <si>
    <t>-428.255902210083 3.46112809478223 -349.63543918864</t>
  </si>
  <si>
    <t>-564.989581026757 219.642362260118 -243.579431504586</t>
  </si>
  <si>
    <t>-573.952899677747 198.061519104731 211.515675525835</t>
  </si>
  <si>
    <t>-627.544410704386 167.268769918412 677.234922558012</t>
  </si>
  <si>
    <t>-493.109717483331 95.9799771895966 765.488696272483</t>
  </si>
  <si>
    <t>-624.814683274015 35.6437114301077 -207.257187439396</t>
  </si>
  <si>
    <t>-541.510565030259 -14.1062163978634 237.987710886152</t>
  </si>
  <si>
    <t>-739.989521652313 122.700351809046 641.125731301377</t>
  </si>
  <si>
    <t>-682.096063755348 -9.35465016187595 741.889557656702</t>
  </si>
  <si>
    <t>9763-20170724T160641.795594200.bin</t>
  </si>
  <si>
    <t>-594.731051340292 127.6195516 -225.831371569697</t>
  </si>
  <si>
    <t>-632.095025227385 117.23336763614 -340.565358755515</t>
  </si>
  <si>
    <t>-647.522777714803 103.401710878687 -459.985739056312</t>
  </si>
  <si>
    <t>-652.343443051162 89.2461151954892 -568.481020659614</t>
  </si>
  <si>
    <t>-648.13825631748 73.3544658488672 -676.761315457286</t>
  </si>
  <si>
    <t>-632.93827798198 49.3476953307331 -826.402982439504</t>
  </si>
  <si>
    <t>-591.479546921874 21.6153609797527 -915.257242540898</t>
  </si>
  <si>
    <t>-626.101513184219 88.5468119776381 -763.397989811628</t>
  </si>
  <si>
    <t>-541.555589052013 208.548251012817 -754.800700686098</t>
  </si>
  <si>
    <t>-451.564520497229 142.850173061697 -458.537997305359</t>
  </si>
  <si>
    <t>-653.225982452887 31.393203468959 -756.984238279366</t>
  </si>
  <si>
    <t>-427.977288736196 3.48888711645441 -349.731501285372</t>
  </si>
  <si>
    <t>-564.670386902504 219.605240163578 -243.59981974237</t>
  </si>
  <si>
    <t>-573.822998618404 198.002568792183 211.490521868838</t>
  </si>
  <si>
    <t>-627.472625083545 167.224664408982 677.162900738701</t>
  </si>
  <si>
    <t>-493.025380776744 96.0478197207865 765.487948541348</t>
  </si>
  <si>
    <t>-624.664063351874 35.6991399690983 -207.365091786487</t>
  </si>
  <si>
    <t>-541.259006717933 -14.3972713911419 237.822120084975</t>
  </si>
  <si>
    <t>-739.901869057823 122.618487536687 640.819458454929</t>
  </si>
  <si>
    <t>-682.213541321431 -9.37483902429494 741.781504440173</t>
  </si>
  <si>
    <t>9763-20170724T160641.825674600.bin</t>
  </si>
  <si>
    <t>-594.561526450275 127.642548239997 -225.827837733227</t>
  </si>
  <si>
    <t>-631.919151675166 117.288847428719 -340.56674953954</t>
  </si>
  <si>
    <t>-647.336814044581 103.496211106609 -459.992955691862</t>
  </si>
  <si>
    <t>-652.146915628946 89.376569295147 -568.493393929257</t>
  </si>
  <si>
    <t>-647.930256368361 73.5199808639211 -676.778366592198</t>
  </si>
  <si>
    <t>-632.713389190804 49.5602384113947 -826.425925930654</t>
  </si>
  <si>
    <t>-591.297532080518 21.7828492698266 -915.286140704264</t>
  </si>
  <si>
    <t>-625.851327887798 88.7245688436026 -763.402274299811</t>
  </si>
  <si>
    <t>-541.154284065536 208.630718663262 -754.746604509062</t>
  </si>
  <si>
    <t>-451.130139133516 142.40266200285 -458.611894195257</t>
  </si>
  <si>
    <t>-653.041444178697 31.5987745963769 -757.020752086388</t>
  </si>
  <si>
    <t>-427.923295827849 3.2487634880415 -349.707121730361</t>
  </si>
  <si>
    <t>-564.447226234355 219.617406291239 -243.60376037186</t>
  </si>
  <si>
    <t>-573.632153376242 197.987177756255 211.484534445082</t>
  </si>
  <si>
    <t>-627.418458545553 167.257760840808 677.139635452375</t>
  </si>
  <si>
    <t>-493.03015282201 96.0262551798653 765.510254428024</t>
  </si>
  <si>
    <t>-624.523245830794 35.736519273466 -207.362555401604</t>
  </si>
  <si>
    <t>-541.049111950874 -14.5983943115234 237.784751884297</t>
  </si>
  <si>
    <t>-739.824543213423 122.602106068143 640.647080232807</t>
  </si>
  <si>
    <t>-682.261652757956 -9.37470877085252 741.702225920961</t>
  </si>
  <si>
    <t>9763-20170724T160641.894198400.bin</t>
  </si>
  <si>
    <t>-594.110838243885 127.631646382475 -225.783389899394</t>
  </si>
  <si>
    <t>-631.462379530867 117.349148153915 -340.530789197707</t>
  </si>
  <si>
    <t>-646.893874921185 103.627282371614 -459.963249082514</t>
  </si>
  <si>
    <t>-651.725371519389 89.569074924563 -568.470915074887</t>
  </si>
  <si>
    <t>-647.538702175411 73.7709484488553 -676.765430588038</t>
  </si>
  <si>
    <t>-632.372585840614 49.8883435610487 -826.430449388955</t>
  </si>
  <si>
    <t>-591.04399788428 22.0616787105246 -915.315979673717</t>
  </si>
  <si>
    <t>-625.419238611799 88.9883439323553 -763.37689433691</t>
  </si>
  <si>
    <t>-540.490182025143 208.700946149783 -754.533881934156</t>
  </si>
  <si>
    <t>-449.943516520188 142.015181344195 -458.661492559739</t>
  </si>
  <si>
    <t>-652.74685871904 31.9231533476436 -757.040064063888</t>
  </si>
  <si>
    <t>-427.830935278609 2.77274274217098 -349.573614813554</t>
  </si>
  <si>
    <t>-563.823073979819 219.543416277754 -243.567682387261</t>
  </si>
  <si>
    <t>-573.312527834358 197.990800242744 211.518117988859</t>
  </si>
  <si>
    <t>-627.340718720598 167.276339477465 677.112036889229</t>
  </si>
  <si>
    <t>-493.039409151854 95.9589887304414 765.545683309006</t>
  </si>
  <si>
    <t>-624.271147654881 35.7924703921885 -207.325262846723</t>
  </si>
  <si>
    <t>-540.638502155014 -15.0465601098338 237.734977126313</t>
  </si>
  <si>
    <t>-739.706216286763 122.599524111908 640.31690711474</t>
  </si>
  <si>
    <t>-682.300921182851 -9.34830518588319 741.499495130538</t>
  </si>
  <si>
    <t>9763-20170724T160641.923278700.bin</t>
  </si>
  <si>
    <t>-593.87192864535 127.686650303593 -225.755510053621</t>
  </si>
  <si>
    <t>-631.234173392009 117.420374439289 -340.500793199943</t>
  </si>
  <si>
    <t>-646.672568495169 103.731816059258 -459.93626872203</t>
  </si>
  <si>
    <t>-651.50808692673 89.7111217704332 -568.448375395296</t>
  </si>
  <si>
    <t>-647.323336038677 73.9576947853416 -676.74977978165</t>
  </si>
  <si>
    <t>-632.156941551909 50.1454295795402 -826.425933397941</t>
  </si>
  <si>
    <t>-590.855384469682 22.3267094674525 -915.326230112739</t>
  </si>
  <si>
    <t>-625.16827884957 89.1994106327736 -763.347686147731</t>
  </si>
  <si>
    <t>-540.06104733165 208.791165629234 -754.427065544218</t>
  </si>
  <si>
    <t>-449.547217618446 141.56044844209 -458.667782445911</t>
  </si>
  <si>
    <t>-652.566876081796 32.1638869909125 -757.050030681805</t>
  </si>
  <si>
    <t>-427.704038698733 2.46785522120399 -349.5169683888</t>
  </si>
  <si>
    <t>-563.500348845763 219.554294499212 -243.558331786567</t>
  </si>
  <si>
    <t>-573.084439997085 198.008546403148 211.525781633954</t>
  </si>
  <si>
    <t>-627.310687963604 167.3038869044 677.119868086045</t>
  </si>
  <si>
    <t>-493.021476737412 95.9695089083355 765.558137676917</t>
  </si>
  <si>
    <t>-624.124112444523 35.8958151575716 -207.257537720069</t>
  </si>
  <si>
    <t>-540.457693771025 -15.3038861466378 237.755039930119</t>
  </si>
  <si>
    <t>-739.675371287634 122.610373303202 640.171482329644</t>
  </si>
  <si>
    <t>-682.341923196311 -9.3405720661035 741.390714926378</t>
  </si>
  <si>
    <t>9763-20170724T160641.992468600.bin</t>
  </si>
  <si>
    <t>-593.527023088038 127.571820576069 -225.678254401179</t>
  </si>
  <si>
    <t>-630.934803653263 117.388578857648 -340.416031684488</t>
  </si>
  <si>
    <t>-646.420888640844 103.80104378857 -459.85682770858</t>
  </si>
  <si>
    <t>-651.2995918969 89.8792183958735 -568.379857859944</t>
  </si>
  <si>
    <t>-647.157040958325 74.2332219504149 -676.698293842606</t>
  </si>
  <si>
    <t>-632.047995975543 50.5791498130618 -826.405384482703</t>
  </si>
  <si>
    <t>-590.827583330386 22.7950628477161 -915.354274281061</t>
  </si>
  <si>
    <t>-624.968432136066 89.5354993026872 -763.276980598401</t>
  </si>
  <si>
    <t>-539.619236984655 208.930218275047 -754.147287322232</t>
  </si>
  <si>
    <t>-448.731234102964 141.11316188268 -458.636991941833</t>
  </si>
  <si>
    <t>-652.498151442556 32.5551614282508 -757.052331651705</t>
  </si>
  <si>
    <t>-427.885280825694 2.25889122267654 -349.257750677117</t>
  </si>
  <si>
    <t>-562.879737754535 219.400373077867 -243.494398538403</t>
  </si>
  <si>
    <t>-572.70081437615 197.868215781179 211.58538475398</t>
  </si>
  <si>
    <t>-627.305600834214 167.254350547985 677.151261638875</t>
  </si>
  <si>
    <t>-492.979369906503 95.9578754822664 765.563870774678</t>
  </si>
  <si>
    <t>-624.086927272781 35.8124515518871 -207.187525255493</t>
  </si>
  <si>
    <t>-540.102518840795 -15.7373232033806 237.724742182452</t>
  </si>
  <si>
    <t>-739.558674130921 122.605798730059 639.850013303014</t>
  </si>
  <si>
    <t>-682.394573493772 -9.31997370338809 741.197795218565</t>
  </si>
  <si>
    <t>9763-20170724T160642.023550800.bin</t>
  </si>
  <si>
    <t>-593.422173973572 127.563651101137 -225.684223367973</t>
  </si>
  <si>
    <t>-630.852564226815 117.411650388635 -340.417391481157</t>
  </si>
  <si>
    <t>-646.344143631594 103.860838878455 -459.861702186439</t>
  </si>
  <si>
    <t>-651.220657752734 89.972616810508 -568.389050235344</t>
  </si>
  <si>
    <t>-647.068834611356 74.3597055095117 -676.712038965571</t>
  </si>
  <si>
    <t>-631.939890258142 50.7500367020373 -826.424085632369</t>
  </si>
  <si>
    <t>-590.736549231143 22.9722059332314 -915.382794850985</t>
  </si>
  <si>
    <t>-624.83393372627 89.6714781393659 -763.277058074271</t>
  </si>
  <si>
    <t>-539.326736314142 208.952102601388 -754.074103809155</t>
  </si>
  <si>
    <t>-448.533443606791 140.675610625734 -458.6401859666</t>
  </si>
  <si>
    <t>-652.434066707371 32.7216366813968 -757.08514827088</t>
  </si>
  <si>
    <t>-427.964081488457 1.94978226634271 -349.147995691707</t>
  </si>
  <si>
    <t>-562.674370306223 219.377750044848 -243.489109644935</t>
  </si>
  <si>
    <t>-572.536900781768 197.82169088483 211.588612576243</t>
  </si>
  <si>
    <t>-627.279109937139 167.31598217582 677.139782375183</t>
  </si>
  <si>
    <t>-493.042402757066 95.8660108451761 765.564425210889</t>
  </si>
  <si>
    <t>-624.08507121124 35.8578768121608 -207.190348487347</t>
  </si>
  <si>
    <t>-539.899806167445 -15.9628145701599 237.652481840477</t>
  </si>
  <si>
    <t>-739.45006046768 122.600218363442 639.668886168109</t>
  </si>
  <si>
    <t>-682.482149543058 -9.3331008227467 741.11733662074</t>
  </si>
  <si>
    <t>9763-20170724T160642.092453600.bin</t>
  </si>
  <si>
    <t>-593.361963430871 127.64789404046 -225.734323945336</t>
  </si>
  <si>
    <t>-630.8162758571 117.620794454694 -340.470682719825</t>
  </si>
  <si>
    <t>-646.316080482653 104.171510456223 -459.925370663699</t>
  </si>
  <si>
    <t>-651.19411390637 90.3621932130566 -568.462778002903</t>
  </si>
  <si>
    <t>-647.038202049078 74.8138424601245 -676.794816537942</t>
  </si>
  <si>
    <t>-631.898381586511 51.2774743828697 -826.517340994302</t>
  </si>
  <si>
    <t>-590.735297485306 23.5032443038151 -915.495868777425</t>
  </si>
  <si>
    <t>-624.742688835675 90.1426733724365 -763.341232681439</t>
  </si>
  <si>
    <t>-538.975630261783 209.236013897003 -753.97319914672</t>
  </si>
  <si>
    <t>-448.056998688095 140.422186079237 -458.702818835588</t>
  </si>
  <si>
    <t>-652.451917680786 33.2404563869397 -757.198233865664</t>
  </si>
  <si>
    <t>-428.095414675177 1.75119975602615 -348.995240248025</t>
  </si>
  <si>
    <t>-562.485570983721 219.428026028079 -243.475185862602</t>
  </si>
  <si>
    <t>-572.387501477006 197.776755221916 211.597196013425</t>
  </si>
  <si>
    <t>-627.273919547706 167.293984735372 677.154868482137</t>
  </si>
  <si>
    <t>-492.997534359806 95.8930175364076 765.55883048677</t>
  </si>
  <si>
    <t>-624.096042187992 36.0078254554712 -207.302550214611</t>
  </si>
  <si>
    <t>-539.74770018722 -16.2397433511696 237.459414917968</t>
  </si>
  <si>
    <t>-739.335682938595 122.551134222843 639.369004297941</t>
  </si>
  <si>
    <t>-682.508605009539 -9.30061065875657 741.002147960499</t>
  </si>
  <si>
    <t>9763-20170724T160642.126548200.bin</t>
  </si>
  <si>
    <t>-593.407768389454 127.68147015661 -225.74478374024</t>
  </si>
  <si>
    <t>-630.842246023879 117.641487333485 -340.486530510789</t>
  </si>
  <si>
    <t>-646.302398577586 104.158521319675 -459.942514830988</t>
  </si>
  <si>
    <t>-651.137363272874 90.3082951521478 -568.476640805293</t>
  </si>
  <si>
    <t>-646.932012611424 74.7073627660491 -676.799104365989</t>
  </si>
  <si>
    <t>-631.717567084328 51.0849296979859 -826.500509305643</t>
  </si>
  <si>
    <t>-590.572794477312 23.2927329445663 -915.4818684307</t>
  </si>
  <si>
    <t>-624.56999908068 89.97555128462 -763.33915509241</t>
  </si>
  <si>
    <t>-538.76491693118 209.017499734131 -753.936129609124</t>
  </si>
  <si>
    <t>-447.590953956458 140.407207896949 -458.696989696898</t>
  </si>
  <si>
    <t>-652.328950814092 33.0987380061949 -757.185508865809</t>
  </si>
  <si>
    <t>-428.113188294685 1.34537695315089 -348.882935258392</t>
  </si>
  <si>
    <t>-562.492074339001 219.410003769194 -243.467248877193</t>
  </si>
  <si>
    <t>-572.385732978677 197.724039101995 211.60367492433</t>
  </si>
  <si>
    <t>-627.283968918063 167.248811541614 677.162385649376</t>
  </si>
  <si>
    <t>-492.96928633199 95.9078244134712 765.556630512175</t>
  </si>
  <si>
    <t>-624.199746043824 36.0340410187232 -207.325224567956</t>
  </si>
  <si>
    <t>-539.800632173722 -16.2852657361718 237.418634939722</t>
  </si>
  <si>
    <t>-739.36528682844 122.535500039636 639.313850519543</t>
  </si>
  <si>
    <t>-682.529785232268 -9.28591754880927 740.981716561957</t>
  </si>
  <si>
    <t>9763-20170724T160642.193355400.bin</t>
  </si>
  <si>
    <t>-593.604426047101 127.764782139983 -225.904829337541</t>
  </si>
  <si>
    <t>-630.971553022183 117.762530247343 -340.671904301505</t>
  </si>
  <si>
    <t>-646.37822786038 104.305518002351 -460.137721723926</t>
  </si>
  <si>
    <t>-651.172244720934 90.470229736288 -568.675598082744</t>
  </si>
  <si>
    <t>-646.934130347333 74.8737926510919 -676.99748351158</t>
  </si>
  <si>
    <t>-631.683612916843 51.2447173598066 -826.694122045996</t>
  </si>
  <si>
    <t>-590.579349106817 23.4810625381517 -915.703230674834</t>
  </si>
  <si>
    <t>-624.527907319435 90.1271648604231 -763.528698473582</t>
  </si>
  <si>
    <t>-538.646801942911 209.122735290938 -754.025542516285</t>
  </si>
  <si>
    <t>-447.096509535595 140.478848451991 -458.910650300694</t>
  </si>
  <si>
    <t>-652.335033378102 33.2725941635001 -757.387351834619</t>
  </si>
  <si>
    <t>-428.393234739134 1.35722080393361 -348.919867716415</t>
  </si>
  <si>
    <t>-562.626720295752 219.527798297022 -243.61527482946</t>
  </si>
  <si>
    <t>-572.484230999828 197.687718886247 211.448984567563</t>
  </si>
  <si>
    <t>-627.127085419125 167.240823071657 676.999729434528</t>
  </si>
  <si>
    <t>-492.931252977445 95.89675804169 765.571813190322</t>
  </si>
  <si>
    <t>-624.412878566772 36.1596723430514 -207.57931836885</t>
  </si>
  <si>
    <t>-540.246461246287 -15.9958573143588 237.227931834861</t>
  </si>
  <si>
    <t>-739.578093648667 122.579832476015 639.365900018179</t>
  </si>
  <si>
    <t>-682.683444828918 -9.28788460742339 740.940620989426</t>
  </si>
  <si>
    <t>9763-20170724T160642.227453900.bin</t>
  </si>
  <si>
    <t>-593.750398726272 127.916535916638 -226.026591943006</t>
  </si>
  <si>
    <t>-631.098829103312 117.919810835007 -340.800075467409</t>
  </si>
  <si>
    <t>-646.485856116362 104.465168836775 -460.268836557353</t>
  </si>
  <si>
    <t>-651.261775517805 90.6307966601375 -568.807489831172</t>
  </si>
  <si>
    <t>-647.005713724052 75.0335715790552 -677.128639157887</t>
  </si>
  <si>
    <t>-631.730373245586 51.4017453785575 -826.822290299436</t>
  </si>
  <si>
    <t>-590.629109314207 23.6426753472772 -915.834216196583</t>
  </si>
  <si>
    <t>-624.582418112997 90.2840364788906 -763.655859001542</t>
  </si>
  <si>
    <t>-538.731817918114 209.268152675907 -754.063753603518</t>
  </si>
  <si>
    <t>-446.882427974796 140.714688442062 -459.020900055707</t>
  </si>
  <si>
    <t>-652.396069008114 33.4321305828194 -757.518992306328</t>
  </si>
  <si>
    <t>-428.655880917974 1.33774940309399 -348.850957005988</t>
  </si>
  <si>
    <t>-562.743527609567 219.647785583122 -243.681932989967</t>
  </si>
  <si>
    <t>-572.614765478716 197.807378807144 211.382019882403</t>
  </si>
  <si>
    <t>-627.108156508877 167.227129382189 676.982923120845</t>
  </si>
  <si>
    <t>-492.885403170082 95.9507836909265 765.568749018077</t>
  </si>
  <si>
    <t>-624.647674938012 36.3195756339649 -207.692189325187</t>
  </si>
  <si>
    <t>-540.577142144758 -15.7670010330035 237.141286439898</t>
  </si>
  <si>
    <t>-739.741846717317 122.609704759594 639.452509722107</t>
  </si>
  <si>
    <t>-682.628520823699 -9.2419428340088 740.925239971452</t>
  </si>
  <si>
    <t>9763-20170724T160642.291635500.bin</t>
  </si>
  <si>
    <t>-594.249984012552 128.349383975356 -226.265469372057</t>
  </si>
  <si>
    <t>-631.604714589883 118.388593920972 -341.040037639195</t>
  </si>
  <si>
    <t>-646.934851732061 104.988861610741 -460.52226810505</t>
  </si>
  <si>
    <t>-651.633513103999 91.2089433053679 -569.071303725309</t>
  </si>
  <si>
    <t>-647.274696680029 75.6695602630023 -677.396600337154</t>
  </si>
  <si>
    <t>-631.830950198476 52.1201332740245 -827.086051613669</t>
  </si>
  <si>
    <t>-590.672483174609 24.3860678346941 -916.07932722425</t>
  </si>
  <si>
    <t>-624.747752909636 90.9647108704128 -763.889190447928</t>
  </si>
  <si>
    <t>-538.846738470383 209.923003584692 -754.132538588855</t>
  </si>
  <si>
    <t>-445.889004805993 141.089308157694 -459.502288747433</t>
  </si>
  <si>
    <t>-652.580856356702 34.1153926377181 -757.817196304095</t>
  </si>
  <si>
    <t>-429.275698354503 2.38037867377011 -349.03374732698</t>
  </si>
  <si>
    <t>-563.195509680066 220.16265704458 -243.95935888646</t>
  </si>
  <si>
    <t>-572.739803125662 198.105057812705 211.101098779298</t>
  </si>
  <si>
    <t>-626.778888269639 167.395930396258 676.645479330958</t>
  </si>
  <si>
    <t>-492.87046838872 95.9486493763757 765.568689715456</t>
  </si>
  <si>
    <t>-625.143335578799 36.6622880790694 -207.935601264483</t>
  </si>
  <si>
    <t>-541.052719107201 -15.4010074254809 236.896787654304</t>
  </si>
  <si>
    <t>-739.954619800026 122.68935441479 639.483765069093</t>
  </si>
  <si>
    <t>-682.786761118216 -9.24847779561037 740.813665445099</t>
  </si>
  <si>
    <t>9763-20170724T160642.326724100.bin</t>
  </si>
  <si>
    <t>-594.481148044232 128.574160637377 -226.373819714344</t>
  </si>
  <si>
    <t>-631.89085274608 118.659250374937 -341.134635873402</t>
  </si>
  <si>
    <t>-647.244663089834 105.29200661602 -460.617443161923</t>
  </si>
  <si>
    <t>-651.951493739575 91.5348697284405 -569.168826551736</t>
  </si>
  <si>
    <t>-647.587848608428 76.0109206600184 -677.496257022998</t>
  </si>
  <si>
    <t>-632.124107716292 52.4748745904085 -827.185756162268</t>
  </si>
  <si>
    <t>-590.947293384579 24.7477920202475 -916.172634652125</t>
  </si>
  <si>
    <t>-625.040851299498 91.3098517708429 -763.9829201808</t>
  </si>
  <si>
    <t>-539.150122259203 210.265428362549 -754.17293817603</t>
  </si>
  <si>
    <t>-445.838113886102 141.18356279786 -459.712854124625</t>
  </si>
  <si>
    <t>-652.891753114968 34.4679289614967 -757.922702772354</t>
  </si>
  <si>
    <t>-429.980288909059 3.17140692186194 -348.943888569249</t>
  </si>
  <si>
    <t>-563.402451497197 220.393414239682 -244.050802071183</t>
  </si>
  <si>
    <t>-572.803352605176 198.274106140036 211.009694814092</t>
  </si>
  <si>
    <t>-626.710000551249 167.449728995389 676.611198318459</t>
  </si>
  <si>
    <t>-492.840175936896 96.0027987403698 765.592722401428</t>
  </si>
  <si>
    <t>-625.43660867093 36.8572640665723 -208.035494619312</t>
  </si>
  <si>
    <t>-541.203412496154 -15.295821319623 236.759404731204</t>
  </si>
  <si>
    <t>-740.05004276399 122.680958109336 639.43160502048</t>
  </si>
  <si>
    <t>-682.740337762845 -9.22255186356438 740.726024849507</t>
  </si>
  <si>
    <t>9763-20170724T160642.394471800.bin</t>
  </si>
  <si>
    <t>-594.948421321726 128.988273789612 -226.443659214906</t>
  </si>
  <si>
    <t>-632.347419650894 119.129893895768 -341.212644023017</t>
  </si>
  <si>
    <t>-647.637989290537 105.806549789054 -460.708385097406</t>
  </si>
  <si>
    <t>-652.267103642989 92.0803927664181 -569.26727235237</t>
  </si>
  <si>
    <t>-647.805913992759 76.5772062050717 -677.593608701991</t>
  </si>
  <si>
    <t>-632.187062450557 53.0579474877391 -827.269632985028</t>
  </si>
  <si>
    <t>-590.959446242788 25.3396771816901 -916.235776049598</t>
  </si>
  <si>
    <t>-625.12467754751 91.8647742631283 -764.047053313806</t>
  </si>
  <si>
    <t>-539.060384584588 210.686327228448 -754.082128374107</t>
  </si>
  <si>
    <t>-445.339617637905 141.692321158493 -459.731329885314</t>
  </si>
  <si>
    <t>-653.071031579548 35.0643591429878 -758.038151391361</t>
  </si>
  <si>
    <t>-430.931548773051 4.03623764654049 -348.783067147273</t>
  </si>
  <si>
    <t>-563.768676171565 220.831870492726 -244.030809417971</t>
  </si>
  <si>
    <t>-573.228078623225 198.717454411562 211.028740967057</t>
  </si>
  <si>
    <t>-626.765494209458 167.483519058428 676.691294997373</t>
  </si>
  <si>
    <t>-492.840436053445 96.0232990037853 765.579041195965</t>
  </si>
  <si>
    <t>-625.977259000771 37.2179132199531 -208.122907763023</t>
  </si>
  <si>
    <t>-541.331187481443 -15.2287628173415 236.55910628318</t>
  </si>
  <si>
    <t>-740.060172721568 122.734005788946 639.289101830141</t>
  </si>
  <si>
    <t>-682.751720509463 -9.18048400845146 740.570046096307</t>
  </si>
  <si>
    <t>9763-20170724T160642.429574500.bin</t>
  </si>
  <si>
    <t>-595.191992242155 129.144274493812 -226.4126876154</t>
  </si>
  <si>
    <t>-632.578542478494 119.271522696807 -341.184444526363</t>
  </si>
  <si>
    <t>-647.881914274589 105.960476624568 -460.680038483826</t>
  </si>
  <si>
    <t>-652.533121992708 92.2531843474849 -569.240324808115</t>
  </si>
  <si>
    <t>-648.104695802383 76.7745632765648 -677.571614171207</t>
  </si>
  <si>
    <t>-632.542560996147 53.2934702588993 -827.259417361525</t>
  </si>
  <si>
    <t>-591.328372450389 25.5552199745455 -916.225458743067</t>
  </si>
  <si>
    <t>-625.427209052126 92.0702230290665 -764.024636570861</t>
  </si>
  <si>
    <t>-539.283222444904 210.833843521333 -754.040677811609</t>
  </si>
  <si>
    <t>-445.183278039566 142.01142371949 -459.770607362739</t>
  </si>
  <si>
    <t>-653.429526111178 35.2959163308863 -758.029811351746</t>
  </si>
  <si>
    <t>-431.850703081571 4.649873672186 -348.61393646492</t>
  </si>
  <si>
    <t>-564.027878013261 220.996116115213 -244.000592542408</t>
  </si>
  <si>
    <t>-573.460813540077 198.90791502 211.060630857735</t>
  </si>
  <si>
    <t>-626.790105933448 167.446326327661 676.715719917283</t>
  </si>
  <si>
    <t>-492.817970313614 96.0153924409919 765.556030870387</t>
  </si>
  <si>
    <t>-626.212962289473 37.3688410561085 -208.102533727259</t>
  </si>
  <si>
    <t>-541.398974298401 -15.2731701885291 236.524377392314</t>
  </si>
  <si>
    <t>-740.103163828606 122.716750994104 639.226696893407</t>
  </si>
  <si>
    <t>-682.767103823272 -9.17620252122447 740.520010651908</t>
  </si>
  <si>
    <t>9763-20170724T160642.489229600.bin</t>
  </si>
  <si>
    <t>-595.712373659017 129.302507935365 -226.431661392066</t>
  </si>
  <si>
    <t>-633.027837379932 119.480641904214 -341.231030892453</t>
  </si>
  <si>
    <t>-648.255801639111 106.218975547076 -460.741705910569</t>
  </si>
  <si>
    <t>-652.838867465071 92.5500156962626 -569.309707582282</t>
  </si>
  <si>
    <t>-648.343579682761 77.1001600780176 -677.642202765899</t>
  </si>
  <si>
    <t>-632.691138603039 53.646086567762 -827.325024043589</t>
  </si>
  <si>
    <t>-591.455123679825 25.8581724849971 -916.265446371233</t>
  </si>
  <si>
    <t>-625.556653733302 92.3842889878558 -764.068589002867</t>
  </si>
  <si>
    <t>-539.22435942628 210.998940549094 -754.032103274981</t>
  </si>
  <si>
    <t>-445.149649572231 142.562362679039 -459.664150531678</t>
  </si>
  <si>
    <t>-284.522379261323 0.98966277502609 -312.022264177706</t>
  </si>
  <si>
    <t>-653.677065712601 35.663284537304 -758.121399298623</t>
  </si>
  <si>
    <t>-433.070045689676 4.62963689089202 -348.239235922058</t>
  </si>
  <si>
    <t>-564.514370359082 221.019527877591 -243.933215283503</t>
  </si>
  <si>
    <t>-574.093911641292 199.028616195792 211.129778386629</t>
  </si>
  <si>
    <t>-626.959436449562 167.345607241414 676.889956443578</t>
  </si>
  <si>
    <t>-492.796409795471 96.0096804273753 765.518268135737</t>
  </si>
  <si>
    <t>-626.797711553564 37.6086412581055 -208.229990787825</t>
  </si>
  <si>
    <t>-541.753653878617 -15.1231522765092 236.34232262809</t>
  </si>
  <si>
    <t>-740.197965455989 122.719443941976 639.221788164088</t>
  </si>
  <si>
    <t>-682.844836548154 -9.16355837450055 740.518332721967</t>
  </si>
  <si>
    <t>9763-20170724T160642.526320000.bin</t>
  </si>
  <si>
    <t>-596.147351521811 129.208227314879 -226.381599310593</t>
  </si>
  <si>
    <t>-633.411396941777 119.384378012595 -341.197562088649</t>
  </si>
  <si>
    <t>-648.617544239032 106.13198026148 -460.712035879267</t>
  </si>
  <si>
    <t>-653.193872449235 92.4738693164941 -569.281515274971</t>
  </si>
  <si>
    <t>-648.705090063813 77.0361810188847 -677.616157254738</t>
  </si>
  <si>
    <t>-633.07566076705 53.5991590807023 -827.30396668118</t>
  </si>
  <si>
    <t>-591.84099486781 25.7528142673675 -916.226787534564</t>
  </si>
  <si>
    <t>-625.904204074124 92.3170915522546 -764.039409468835</t>
  </si>
  <si>
    <t>-539.487297134544 210.88402707262 -753.975025440605</t>
  </si>
  <si>
    <t>-445.521873360546 142.412525280593 -459.580164429877</t>
  </si>
  <si>
    <t>-284.74276531578 1.11732147310227 -311.837829107202</t>
  </si>
  <si>
    <t>-654.078249107949 35.6214774899424 -758.104161093286</t>
  </si>
  <si>
    <t>-433.809308466 4.92360976793498 -348.288635680297</t>
  </si>
  <si>
    <t>-564.930334543437 220.746164663011 -243.862340423628</t>
  </si>
  <si>
    <t>-574.36822687869 198.697393962506 211.200781582261</t>
  </si>
  <si>
    <t>-627.129668787867 167.116518957815 677.025595209693</t>
  </si>
  <si>
    <t>-492.728033447266 96.0519426481021 765.510294025356</t>
  </si>
  <si>
    <t>-627.239955815487 37.6597282595596 -208.221832790932</t>
  </si>
  <si>
    <t>-541.981831164535 -15.1142592479646 236.304505037297</t>
  </si>
  <si>
    <t>-740.24654121922 122.732206896787 639.278842740314</t>
  </si>
  <si>
    <t>-682.903647619028 -9.16540115894713 740.562153760605</t>
  </si>
  <si>
    <t>9763-20170724T160642.597024400.bin</t>
  </si>
  <si>
    <t>-597.309998809029 129.153673452087 -226.375074288555</t>
  </si>
  <si>
    <t>-634.545122427564 119.410825439883 -341.207220651396</t>
  </si>
  <si>
    <t>-649.662429088813 106.213977412683 -460.738983867039</t>
  </si>
  <si>
    <t>-654.13548322969 92.5900957597833 -569.317306048959</t>
  </si>
  <si>
    <t>-649.521968563602 77.1675938005801 -677.648857621629</t>
  </si>
  <si>
    <t>-633.698664414531 53.7292014508989 -827.316039481583</t>
  </si>
  <si>
    <t>-592.415737896067 25.8334141761172 -916.200974797155</t>
  </si>
  <si>
    <t>-626.560504286482 92.4244815675627 -764.033760078953</t>
  </si>
  <si>
    <t>-540.046124174985 210.898469630975 -753.877899633996</t>
  </si>
  <si>
    <t>-446.514471279561 142.731858811515 -459.274214467271</t>
  </si>
  <si>
    <t>-285.228748090764 2.18889530252659 -311.366590828735</t>
  </si>
  <si>
    <t>-654.839381421707 35.7755457635521 -758.152069281159</t>
  </si>
  <si>
    <t>-435.393780804684 5.28691754026613 -348.333897484056</t>
  </si>
  <si>
    <t>-566.037912888944 220.539726678156 -243.79917248005</t>
  </si>
  <si>
    <t>-574.932431164271 198.257375677967 211.263432830896</t>
  </si>
  <si>
    <t>-627.244628699073 166.824232922477 677.090446160232</t>
  </si>
  <si>
    <t>-492.635180851893 96.0760624347047 765.512756856171</t>
  </si>
  <si>
    <t>-628.421812039617 37.9209180087387 -208.273782827081</t>
  </si>
  <si>
    <t>-542.639183099632 -15.1150327882976 236.120457453244</t>
  </si>
  <si>
    <t>-740.387785464343 122.716878240426 639.407738612917</t>
  </si>
  <si>
    <t>-682.914867263663 -9.14841958626926 740.65947908353</t>
  </si>
  <si>
    <t>9763-20170724T160642.625097300.bin</t>
  </si>
  <si>
    <t>-598.06019362553 129.23432921122 -226.4279870091</t>
  </si>
  <si>
    <t>-635.274132493613 119.53387573534 -341.270644516654</t>
  </si>
  <si>
    <t>-650.331756435953 106.358420980052 -460.812468502086</t>
  </si>
  <si>
    <t>-654.736181214489 92.7429063760706 -569.394492652587</t>
  </si>
  <si>
    <t>-650.040212285693 77.3166857723365 -677.721870275193</t>
  </si>
  <si>
    <t>-634.088758337739 53.859811734704 -827.372674574438</t>
  </si>
  <si>
    <t>-592.763170680785 25.95334878528 -916.234281546213</t>
  </si>
  <si>
    <t>-626.9853049536 92.55347015916 -764.085477408297</t>
  </si>
  <si>
    <t>-540.42023042926 210.987700802472 -753.892908169648</t>
  </si>
  <si>
    <t>-447.028882073066 143.26930427402 -459.141436235119</t>
  </si>
  <si>
    <t>-285.351473085125 3.52109056287759 -310.908787688287</t>
  </si>
  <si>
    <t>-655.308283257084 35.9240010330791 -758.228134511987</t>
  </si>
  <si>
    <t>-436.344902567267 5.34164419467379 -348.248483582947</t>
  </si>
  <si>
    <t>-566.762836547766 220.600557102582 -243.804222699544</t>
  </si>
  <si>
    <t>-575.462492021011 198.242629653909 211.25855021862</t>
  </si>
  <si>
    <t>-627.287000432101 166.698501355205 677.119890529679</t>
  </si>
  <si>
    <t>-492.570758353755 96.1437359667716 765.534041169199</t>
  </si>
  <si>
    <t>-629.223534414841 38.0003748015795 -208.362253212229</t>
  </si>
  <si>
    <t>-543.126880207908 -14.9896868562437 235.976702952105</t>
  </si>
  <si>
    <t>-740.517409971802 122.692456801986 639.503598978845</t>
  </si>
  <si>
    <t>-682.900270460166 -9.14417808790245 740.710712301867</t>
  </si>
  <si>
    <t>9763-20170724T160642.689447200.bin</t>
  </si>
  <si>
    <t>-600.021580139388 129.70057744984 -226.66535113449</t>
  </si>
  <si>
    <t>-637.142427110849 120.122376930357 -341.548273420789</t>
  </si>
  <si>
    <t>-652.05373514442 107.016388994071 -461.116088326995</t>
  </si>
  <si>
    <t>-656.305802795261 93.4421960400332 -569.709454393327</t>
  </si>
  <si>
    <t>-651.438717965733 78.0361166741675 -678.032062255065</t>
  </si>
  <si>
    <t>-635.23157552366 54.5852884803023 -827.656271638025</t>
  </si>
  <si>
    <t>-593.741283421417 26.6956315400571 -916.446581208353</t>
  </si>
  <si>
    <t>-628.223066508988 93.2699770724719 -764.353197609836</t>
  </si>
  <si>
    <t>-541.628818762682 211.666875643564 -754.036966883625</t>
  </si>
  <si>
    <t>-448.309038739688 144.797489718432 -459.069132570836</t>
  </si>
  <si>
    <t>-286.115905773261 6.11042449331126 -310.403903153817</t>
  </si>
  <si>
    <t>-656.582416067158 36.6531196257508 -758.551339386083</t>
  </si>
  <si>
    <t>-439.196248387915 6.96828261717906 -347.959470652009</t>
  </si>
  <si>
    <t>-568.575744755025 221.157411754443 -243.992966866052</t>
  </si>
  <si>
    <t>-576.957477650364 198.757880458902 211.073702433611</t>
  </si>
  <si>
    <t>-627.174150388777 166.676551941995 677.026145408661</t>
  </si>
  <si>
    <t>-492.601556028519 96.0318918203579 765.587157321683</t>
  </si>
  <si>
    <t>-631.343766009437 38.4305619561521 -208.689282047669</t>
  </si>
  <si>
    <t>-544.582204283509 -14.5166071828667 235.52544931087</t>
  </si>
  <si>
    <t>-740.911090411002 122.685518617893 639.774410412228</t>
  </si>
  <si>
    <t>-682.964542552132 -9.14362977219912 740.803106801445</t>
  </si>
  <si>
    <t>9763-20170724T160642.722535400.bin</t>
  </si>
  <si>
    <t>-601.134033059274 130.045648956302 -226.79715980793</t>
  </si>
  <si>
    <t>-638.204311509156 120.50692620951 -341.69979600433</t>
  </si>
  <si>
    <t>-653.00461562893 107.419736386508 -461.283433594778</t>
  </si>
  <si>
    <t>-657.132194104861 93.8556657307713 -569.882862902984</t>
  </si>
  <si>
    <t>-652.117214856474 78.4538509759645 -678.199502004234</t>
  </si>
  <si>
    <t>-635.680884153289 55.0040588446304 -827.798756172768</t>
  </si>
  <si>
    <t>-594.081277430509 27.11041745744 -916.536462683477</t>
  </si>
  <si>
    <t>-628.775535492966 93.6914172820234 -764.48578922265</t>
  </si>
  <si>
    <t>-542.209160572868 212.100676526523 -754.10913971539</t>
  </si>
  <si>
    <t>-448.946978656119 145.592385425418 -459.04132157037</t>
  </si>
  <si>
    <t>-286.455439744915 7.35696130023121 -310.281472651336</t>
  </si>
  <si>
    <t>-657.131303872281 37.0683796884891 -758.725569038342</t>
  </si>
  <si>
    <t>-440.857116324257 8.21122958160163 -347.571466649436</t>
  </si>
  <si>
    <t>-569.590660707041 221.512767974388 -244.114322871595</t>
  </si>
  <si>
    <t>-577.904736257608 199.208749427227 210.958280396671</t>
  </si>
  <si>
    <t>-627.109737788074 166.715317237666 676.986194706476</t>
  </si>
  <si>
    <t>-492.557532359001 96.0825418300776 765.587697665551</t>
  </si>
  <si>
    <t>-632.544747020901 38.7373625547721 -208.833007694111</t>
  </si>
  <si>
    <t>-545.410154192208 -14.3013800278948 235.297676938091</t>
  </si>
  <si>
    <t>-741.10800132347 122.724138156429 639.908271852852</t>
  </si>
  <si>
    <t>-683.023177983528 -9.13197790468394 740.82221712737</t>
  </si>
  <si>
    <t>9763-20170724T160642.793734800.bin</t>
  </si>
  <si>
    <t>-603.734064809076 131.001566402638 -227.101075031</t>
  </si>
  <si>
    <t>-640.716049475498 121.506591108276 -342.035843888266</t>
  </si>
  <si>
    <t>-655.220899528948 108.460736324762 -461.660137933761</t>
  </si>
  <si>
    <t>-658.997797685888 94.9306947200187 -570.276561402812</t>
  </si>
  <si>
    <t>-653.550827090075 79.5583905570679 -678.576393401702</t>
  </si>
  <si>
    <t>-636.432774591505 56.143912268215 -828.104907223173</t>
  </si>
  <si>
    <t>-594.44581609847 28.2822837132512 -916.670115276677</t>
  </si>
  <si>
    <t>-629.828184181429 94.8220740863476 -764.754204488432</t>
  </si>
  <si>
    <t>-543.279954006993 213.227976320197 -754.111217167215</t>
  </si>
  <si>
    <t>-449.350636034831 146.39319970169 -459.328882720218</t>
  </si>
  <si>
    <t>-286.334948857652 8.91721770497679 -310.438622491965</t>
  </si>
  <si>
    <t>-658.185836992069 38.1860455462913 -759.132032572837</t>
  </si>
  <si>
    <t>-444.164642448957 10.1209932042916 -345.963887697212</t>
  </si>
  <si>
    <t>-572.060990863108 222.769602915226 -244.410078539671</t>
  </si>
  <si>
    <t>-580.165451627276 200.766027468383 210.680915792998</t>
  </si>
  <si>
    <t>-626.834730540514 167.110446295667 676.790517342406</t>
  </si>
  <si>
    <t>-492.568417609878 96.1517265356847 765.565142913811</t>
  </si>
  <si>
    <t>-635.195370193612 39.4336618257755 -209.119531506976</t>
  </si>
  <si>
    <t>-547.027813927687 -13.8624557174021 234.776505200024</t>
  </si>
  <si>
    <t>-741.621921104502 122.748318874822 640.097044072483</t>
  </si>
  <si>
    <t>-683.062659139962 -9.10223666124693 740.743762165218</t>
  </si>
  <si>
    <t>9763-20170724T160642.826823400.bin</t>
  </si>
  <si>
    <t>-605.203070755513 131.637931463942 -227.226375255225</t>
  </si>
  <si>
    <t>-642.159037054058 122.12404369119 -342.16776171196</t>
  </si>
  <si>
    <t>-656.569617904026 109.060516202462 -461.801638291103</t>
  </si>
  <si>
    <t>-660.233600122111 95.5145115141338 -570.419907092621</t>
  </si>
  <si>
    <t>-654.646814019296 80.1258585141034 -678.710419009736</t>
  </si>
  <si>
    <t>-637.307391355948 56.688132330848 -828.209690535705</t>
  </si>
  <si>
    <t>-595.114424259431 28.8195807893899 -916.674652977511</t>
  </si>
  <si>
    <t>-630.804926639594 95.3800955274057 -764.856978009778</t>
  </si>
  <si>
    <t>-544.301573780981 213.839047983068 -754.12293703577</t>
  </si>
  <si>
    <t>-450.036907233689 146.643038700707 -459.529950461481</t>
  </si>
  <si>
    <t>-286.721564564183 9.62660283298237 -310.544452104589</t>
  </si>
  <si>
    <t>-659.154205765798 38.7370569578682 -759.264739763968</t>
  </si>
  <si>
    <t>-446.379325344526 11.5868710728275 -345.351700487911</t>
  </si>
  <si>
    <t>-573.532958260885 223.561186922402 -244.528373668941</t>
  </si>
  <si>
    <t>-581.612621547857 201.815572424974 210.575555583185</t>
  </si>
  <si>
    <t>-626.766742270273 167.286587138714 676.752341847119</t>
  </si>
  <si>
    <t>-492.583085908884 96.1937700070037 765.544594240202</t>
  </si>
  <si>
    <t>-636.733341695254 39.8582038144664 -209.207377541889</t>
  </si>
  <si>
    <t>-547.751200276605 -13.5311897961121 234.514938865987</t>
  </si>
  <si>
    <t>-741.881286437692 122.741427712373 640.139920805216</t>
  </si>
  <si>
    <t>-683.076112106335 -9.09576874524896 740.660655162843</t>
  </si>
  <si>
    <t>9763-20170724T160642.895028800.bin</t>
  </si>
  <si>
    <t>-608.251748603828 133.331353462338 -227.543919541937</t>
  </si>
  <si>
    <t>-645.039284363031 123.781758756579 -342.536565262842</t>
  </si>
  <si>
    <t>-659.208974250853 110.627860037934 -462.189115486401</t>
  </si>
  <si>
    <t>-662.627849995485 96.9828277641057 -570.803023854131</t>
  </si>
  <si>
    <t>-656.770098519767 81.4811456746575 -679.06310161125</t>
  </si>
  <si>
    <t>-639.028707717633 57.8748212847554 -828.488731133428</t>
  </si>
  <si>
    <t>-596.392489615307 30.0053656335647 -916.740681025502</t>
  </si>
  <si>
    <t>-632.70645783112 96.6431002712866 -765.164329042053</t>
  </si>
  <si>
    <t>-546.375106717323 215.1743396446 -754.379002837696</t>
  </si>
  <si>
    <t>-451.336095074579 148.530211245519 -459.909507437159</t>
  </si>
  <si>
    <t>-287.702401322449 12.3714712052629 -310.487750921293</t>
  </si>
  <si>
    <t>-661.050951317327 39.9967205681012 -759.58060695389</t>
  </si>
  <si>
    <t>-449.579130633084 12.8539957660987 -345.37431211083</t>
  </si>
  <si>
    <t>-576.512113770073 225.728881060749 -244.885400039385</t>
  </si>
  <si>
    <t>-585.053608382774 204.668198872765 210.242321176454</t>
  </si>
  <si>
    <t>-626.407937194286 168.160866818198 676.548560674838</t>
  </si>
  <si>
    <t>-492.808651827309 95.996490084905 765.35760705167</t>
  </si>
  <si>
    <t>-639.937486038571 41.0942014241925 -209.509972151101</t>
  </si>
  <si>
    <t>-549.437082699771 -12.6256452751945 233.865144414362</t>
  </si>
  <si>
    <t>-742.324823408766 122.87562006026 640.228811832324</t>
  </si>
  <si>
    <t>-683.150376924193 -9.03714588801495 740.433229552488</t>
  </si>
  <si>
    <t>9763-20170724T160642.927114500.bin</t>
  </si>
  <si>
    <t>-609.528494280524 134.235573267225 -227.647166386809</t>
  </si>
  <si>
    <t>-646.279791453813 124.670756687096 -342.649931451694</t>
  </si>
  <si>
    <t>-660.407951455397 111.461509573671 -462.301482025561</t>
  </si>
  <si>
    <t>-663.787466955877 97.7552811311828 -570.908796202874</t>
  </si>
  <si>
    <t>-657.888341850434 82.1848054106233 -679.156788680445</t>
  </si>
  <si>
    <t>-640.0875580051 58.4775546119142 -828.559181829748</t>
  </si>
  <si>
    <t>-597.328283863802 30.578060781605 -916.742244879363</t>
  </si>
  <si>
    <t>-633.77803737646 97.282711123308 -765.256128186469</t>
  </si>
  <si>
    <t>-547.425291997768 215.832561023336 -754.491064135565</t>
  </si>
  <si>
    <t>-452.242653995682 149.574361814883 -459.980660713975</t>
  </si>
  <si>
    <t>-288.597845183877 13.6331366140987 -310.373266908043</t>
  </si>
  <si>
    <t>-662.149557082339 40.6519786642264 -759.650339834978</t>
  </si>
  <si>
    <t>-451.016279178927 13.8300460374699 -345.687585740753</t>
  </si>
  <si>
    <t>-577.590017883791 226.788956094774 -245.046500508074</t>
  </si>
  <si>
    <t>-586.561256293284 206.251093521278 210.096730496746</t>
  </si>
  <si>
    <t>-626.269242911105 168.726192703021 676.532662576856</t>
  </si>
  <si>
    <t>-492.94996497517 95.8627113104637 765.191527885973</t>
  </si>
  <si>
    <t>-641.443926695541 41.7478821406819 -209.572074636038</t>
  </si>
  <si>
    <t>-550.343563221202 -12.1171985579151 233.662586890486</t>
  </si>
  <si>
    <t>-742.604969015905 123.001461293884 640.353662660129</t>
  </si>
  <si>
    <t>-683.221590888773 -8.98981301004164 740.330838277333</t>
  </si>
  <si>
    <t>9763-20170724T160642.990297500.bin</t>
  </si>
  <si>
    <t>-611.365498554812 135.330970000839 -227.657674059957</t>
  </si>
  <si>
    <t>-648.132602176898 125.72503895519 -342.652102059213</t>
  </si>
  <si>
    <t>-662.278357962489 112.430965005117 -462.292169939109</t>
  </si>
  <si>
    <t>-665.67394453401 98.6379983998759 -570.888008040012</t>
  </si>
  <si>
    <t>-659.790194611517 82.9759550707226 -679.12357559169</t>
  </si>
  <si>
    <t>-642.008840678874 59.1413299279027 -828.508129489662</t>
  </si>
  <si>
    <t>-599.235552108421 31.1483344352489 -916.654700207174</t>
  </si>
  <si>
    <t>-635.644567125268 97.977896359622 -765.22987062451</t>
  </si>
  <si>
    <t>-549.130568034236 216.406552353726 -754.603958921925</t>
  </si>
  <si>
    <t>-453.82206176551 150.548110068867 -460.04478930112</t>
  </si>
  <si>
    <t>-290.172520333715 14.9550474051621 -310.126800911977</t>
  </si>
  <si>
    <t>-664.108517896881 41.3969185979311 -759.590300023085</t>
  </si>
  <si>
    <t>-453.13090380821 14.8112632842863 -346.179889175899</t>
  </si>
  <si>
    <t>-578.948615169777 227.894250456616 -245.196330960803</t>
  </si>
  <si>
    <t>-588.171517735937 207.882282444485 209.965275809661</t>
  </si>
  <si>
    <t>-626.104112099334 169.470724968739 676.467213409424</t>
  </si>
  <si>
    <t>-492.988248391857 95.8987978701505 764.84620815295</t>
  </si>
  <si>
    <t>-643.61305600296 42.6905402114883 -209.465227081878</t>
  </si>
  <si>
    <t>-551.7155410577 -11.6169158985958 233.550780443893</t>
  </si>
  <si>
    <t>-743.130141362202 123.29960062972 640.618536057099</t>
  </si>
  <si>
    <t>-683.32234043495 -8.86424864479591 740.113635314702</t>
  </si>
  <si>
    <t>9763-20170724T160643.023394500.bin</t>
  </si>
  <si>
    <t>-611.868879792459 135.559664851269 -227.683238324022</t>
  </si>
  <si>
    <t>-648.744323822817 125.980248710474 -342.645265540635</t>
  </si>
  <si>
    <t>-663.004067224116 112.681719282411 -462.271222787625</t>
  </si>
  <si>
    <t>-666.503674268374 98.874369895718 -570.861975409527</t>
  </si>
  <si>
    <t>-660.724200485925 83.1890066658314 -679.099805605609</t>
  </si>
  <si>
    <t>-643.087388875219 59.3139453565723 -828.49506051933</t>
  </si>
  <si>
    <t>-600.407650048328 31.2529696632075 -916.665293221447</t>
  </si>
  <si>
    <t>-636.635605737234 98.1547856163002 -765.228272108339</t>
  </si>
  <si>
    <t>-550.062015142142 216.545596879946 -754.691244879368</t>
  </si>
  <si>
    <t>-454.485582854202 150.581699652255 -460.242350311583</t>
  </si>
  <si>
    <t>-290.893888097597 15.1485603822905 -310.116948373819</t>
  </si>
  <si>
    <t>-665.146813310111 41.6008705056195 -759.556188157155</t>
  </si>
  <si>
    <t>-453.790189761863 14.9876123047068 -346.413461252401</t>
  </si>
  <si>
    <t>-579.29318230012 228.107667707372 -245.258777634252</t>
  </si>
  <si>
    <t>-588.214869955065 207.995175378539 209.904471363091</t>
  </si>
  <si>
    <t>-626.052177915394 169.62151351157 676.418664033441</t>
  </si>
  <si>
    <t>-493.026154490372 95.8134353092432 764.736037732703</t>
  </si>
  <si>
    <t>-644.261196943531 42.9571418050532 -209.439374361836</t>
  </si>
  <si>
    <t>-552.037001839317 -11.6037715171192 233.477631559685</t>
  </si>
  <si>
    <t>-743.268207599543 123.373073262631 640.612082492124</t>
  </si>
  <si>
    <t>-683.308184803437 -8.80583149981385 739.995447763251</t>
  </si>
  <si>
    <t>9763-20170724T160643.092186700.bin</t>
  </si>
  <si>
    <t>-612.201821714121 135.576371072623 -227.738234531904</t>
  </si>
  <si>
    <t>-649.318881882537 126.084829708069 -342.629574828168</t>
  </si>
  <si>
    <t>-663.892835537915 112.784532466206 -462.217629778868</t>
  </si>
  <si>
    <t>-667.704307860814 98.9396014676256 -570.793146532429</t>
  </si>
  <si>
    <t>-662.263446972675 83.1808287533643 -679.037756920767</t>
  </si>
  <si>
    <t>-645.123781150123 59.1668201817338 -828.468573833471</t>
  </si>
  <si>
    <t>-602.745333061764 30.9618877514281 -916.738270685513</t>
  </si>
  <si>
    <t>-638.425315048297 98.049071202159 -765.252835477578</t>
  </si>
  <si>
    <t>-551.68349970397 216.352780270097 -754.989458261652</t>
  </si>
  <si>
    <t>-455.525988014428 150.046011459604 -460.807001150753</t>
  </si>
  <si>
    <t>-292.110116116735 15.2761018051879 -309.895147449463</t>
  </si>
  <si>
    <t>-666.989764023898 41.5355030762987 -759.447187360119</t>
  </si>
  <si>
    <t>-454.513540992413 16.2224825008282 -346.824828189052</t>
  </si>
  <si>
    <t>-579.515384318137 228.06142236988 -245.314273865035</t>
  </si>
  <si>
    <t>-587.931405408752 207.550451640084 209.840728173157</t>
  </si>
  <si>
    <t>-626.016210848024 169.536347097003 676.305392061544</t>
  </si>
  <si>
    <t>-492.956573641527 95.8056947989674 764.636783528114</t>
  </si>
  <si>
    <t>-644.768735057488 43.1250191848833 -209.464347225562</t>
  </si>
  <si>
    <t>-551.777578909729 -11.7502609947601 233.253438536335</t>
  </si>
  <si>
    <t>-743.160813131747 123.429897380542 640.331622692124</t>
  </si>
  <si>
    <t>-683.306076539894 -8.72467139209448 739.810777783338</t>
  </si>
  <si>
    <t>9763-20170724T160643.121249400.bin</t>
  </si>
  <si>
    <t>-612.238170344624 135.647480030214 -227.729781122588</t>
  </si>
  <si>
    <t>-649.436944572493 126.137987988711 -342.593269498502</t>
  </si>
  <si>
    <t>-664.145628449877 112.795233311369 -462.159940973288</t>
  </si>
  <si>
    <t>-668.100376992664 98.9015507680499 -570.724129559164</t>
  </si>
  <si>
    <t>-662.823313793804 83.0840023651165 -678.968301569759</t>
  </si>
  <si>
    <t>-645.932106451355 58.9775679988791 -828.412616641569</t>
  </si>
  <si>
    <t>-603.725620597887 30.7175135745831 -916.746923760029</t>
  </si>
  <si>
    <t>-639.132874162244 97.9008949468487 -765.232924799039</t>
  </si>
  <si>
    <t>-552.374423079995 216.193710689116 -755.153989953439</t>
  </si>
  <si>
    <t>-455.372387717881 149.933697904313 -461.238360190887</t>
  </si>
  <si>
    <t>-292.246701055921 15.3733843322068 -309.826405344943</t>
  </si>
  <si>
    <t>-667.67903977832 41.3869031553911 -759.343233661722</t>
  </si>
  <si>
    <t>-454.482113638082 16.1074193935804 -347.020073422626</t>
  </si>
  <si>
    <t>-579.602803804957 228.191364412337 -245.340049426788</t>
  </si>
  <si>
    <t>-587.86469626732 207.526700684583 209.810875337074</t>
  </si>
  <si>
    <t>-625.983773029197 169.545698638384 676.263771620127</t>
  </si>
  <si>
    <t>-492.952171689999 95.7899402904977 764.61644778993</t>
  </si>
  <si>
    <t>-644.736720063539 43.2183639819539 -209.418872197656</t>
  </si>
  <si>
    <t>-551.283808591279 -11.7826223141469 233.186025445457</t>
  </si>
  <si>
    <t>-743.024158045159 123.394597321656 640.098558613405</t>
  </si>
  <si>
    <t>-683.332631847574 -8.70844718821854 739.744033622359</t>
  </si>
  <si>
    <t>9763-20170724T160643.190434000.bin</t>
  </si>
  <si>
    <t>-612.167907542531 136.069518505446 -227.680715502879</t>
  </si>
  <si>
    <t>-649.609594974026 126.494961382731 -342.459841362557</t>
  </si>
  <si>
    <t>-664.631742591737 113.092905667449 -461.981000874061</t>
  </si>
  <si>
    <t>-668.895587643165 99.1477161580069 -570.52677804285</t>
  </si>
  <si>
    <t>-663.95181123166 83.2796067948386 -678.779329404073</t>
  </si>
  <si>
    <t>-647.546748853691 59.1036164982481 -828.266416475089</t>
  </si>
  <si>
    <t>-605.663746494624 30.8247736727915 -916.74865238687</t>
  </si>
  <si>
    <t>-640.585955194354 98.0775061518441 -765.135634653152</t>
  </si>
  <si>
    <t>-554.015699857378 216.531975433627 -755.349015418953</t>
  </si>
  <si>
    <t>-454.444630342924 150.392309779917 -462.266509839507</t>
  </si>
  <si>
    <t>-291.530400506872 16.50225763919 -310.035018289403</t>
  </si>
  <si>
    <t>-669.025021593987 41.523960187892 -759.110288970227</t>
  </si>
  <si>
    <t>-454.32727256371 17.4877317068435 -349.154831660402</t>
  </si>
  <si>
    <t>-579.803534406592 228.742362539017 -245.360292952838</t>
  </si>
  <si>
    <t>-587.679438512509 207.779785468278 209.783867327851</t>
  </si>
  <si>
    <t>-625.919388179953 169.682170894773 676.222437003419</t>
  </si>
  <si>
    <t>-492.976207711798 95.7573776864367 764.566932596369</t>
  </si>
  <si>
    <t>-644.422936337635 43.561369747551 -209.281512769907</t>
  </si>
  <si>
    <t>-549.910245453341 -11.8382592434821 233.048546273381</t>
  </si>
  <si>
    <t>-742.595274788731 123.314259208841 639.514718498035</t>
  </si>
  <si>
    <t>-683.316508398338 -8.65183487302374 739.587215942293</t>
  </si>
  <si>
    <t>9763-20170724T160643.225529600.bin</t>
  </si>
  <si>
    <t>-612.040504411728 136.332792792125 -227.638384495492</t>
  </si>
  <si>
    <t>-649.582385140745 126.70875966287 -342.380728980321</t>
  </si>
  <si>
    <t>-664.722758134551 113.27118639692 -461.882839509101</t>
  </si>
  <si>
    <t>-669.099477398249 99.2998909261012 -570.420858558898</t>
  </si>
  <si>
    <t>-664.273490907204 83.4119408011964 -678.675896198795</t>
  </si>
  <si>
    <t>-648.036515958851 59.2148068604927 -828.177853237051</t>
  </si>
  <si>
    <t>-606.28516904757 30.9589844397251 -916.729603817707</t>
  </si>
  <si>
    <t>-641.030859645765 98.2102480578862 -765.065415242303</t>
  </si>
  <si>
    <t>-554.555908210552 216.729740971109 -755.39996746974</t>
  </si>
  <si>
    <t>-453.530822436261 150.62518787366 -462.807634176773</t>
  </si>
  <si>
    <t>-290.69983175708 16.9092186484941 -310.334098923621</t>
  </si>
  <si>
    <t>-669.410891568086 41.6323199488641 -758.990465423951</t>
  </si>
  <si>
    <t>-453.780793768117 17.2358099865821 -349.921268226251</t>
  </si>
  <si>
    <t>-579.791895999593 229.030302335638 -245.358565286375</t>
  </si>
  <si>
    <t>-587.454561723671 207.861833027964 209.779688037414</t>
  </si>
  <si>
    <t>-625.913437283529 169.700704831899 676.224342414392</t>
  </si>
  <si>
    <t>-492.920162757715 95.8211972490662 764.531269262076</t>
  </si>
  <si>
    <t>-644.231836006724 43.7593104598598 -209.218491951654</t>
  </si>
  <si>
    <t>-549.262410598387 -11.7656838401276 232.998051914667</t>
  </si>
  <si>
    <t>-742.407021442663 123.274735004112 639.267644817193</t>
  </si>
  <si>
    <t>-683.24954545891 -8.60284397878195 739.528290050631</t>
  </si>
  <si>
    <t>9763-20170724T160643.290359100.bin</t>
  </si>
  <si>
    <t>-611.588495189937 136.682795691269 -227.618554672029</t>
  </si>
  <si>
    <t>-649.331013864339 126.989540446909 -342.289091936604</t>
  </si>
  <si>
    <t>-664.749485932052 113.525778413137 -461.752866183443</t>
  </si>
  <si>
    <t>-669.406324026309 99.5473921978971 -570.278236100778</t>
  </si>
  <si>
    <t>-664.887239618052 83.6677096718763 -678.547676607958</t>
  </si>
  <si>
    <t>-649.102728079703 59.4968445312907 -828.102397456912</t>
  </si>
  <si>
    <t>-607.610997032104 31.291822535283 -916.792323051174</t>
  </si>
  <si>
    <t>-641.961696758906 98.5079108564344 -765.014742410907</t>
  </si>
  <si>
    <t>-555.691177802338 217.226083669465 -755.572303532581</t>
  </si>
  <si>
    <t>-452.22675317885 150.696772481671 -463.930143325801</t>
  </si>
  <si>
    <t>-289.721658747758 17.3887541165373 -310.753370853506</t>
  </si>
  <si>
    <t>-670.212060304389 41.8755132811164 -758.843416162667</t>
  </si>
  <si>
    <t>-452.698124785648 17.7887215715948 -351.435472171598</t>
  </si>
  <si>
    <t>-579.580889840151 229.414193237005 -245.318129206024</t>
  </si>
  <si>
    <t>-586.78776103534 207.740256833896 209.803769162998</t>
  </si>
  <si>
    <t>-625.934851181475 169.579834769884 676.198939349138</t>
  </si>
  <si>
    <t>-492.833296754285 95.8754685885219 764.489053906097</t>
  </si>
  <si>
    <t>-643.443746245129 44.0181282607434 -209.215876998869</t>
  </si>
  <si>
    <t>-548.114571716604 -11.3826737346019 232.938818964709</t>
  </si>
  <si>
    <t>-742.083563512371 123.277089431027 638.927480147271</t>
  </si>
  <si>
    <t>-683.20099968106 -8.51154134655167 739.466660971677</t>
  </si>
  <si>
    <t>9763-20170724T160643.325453300.bin</t>
  </si>
  <si>
    <t>-611.270228391019 136.736526224475 -227.592133775158</t>
  </si>
  <si>
    <t>-649.057392566139 126.99275102901 -342.243749798839</t>
  </si>
  <si>
    <t>-664.572077981288 113.49800494582 -461.691431970263</t>
  </si>
  <si>
    <t>-669.336771413027 99.4975832419241 -570.209318509749</t>
  </si>
  <si>
    <t>-664.945896914212 83.6005479973496 -678.48143065862</t>
  </si>
  <si>
    <t>-649.359988643455 59.4093733928107 -828.053763155904</t>
  </si>
  <si>
    <t>-608.010458228425 31.238946915932 -916.821059293558</t>
  </si>
  <si>
    <t>-642.161587856563 98.4416609711361 -764.9857361611</t>
  </si>
  <si>
    <t>-555.983221978514 217.215305156932 -755.683650273389</t>
  </si>
  <si>
    <t>-451.560947784219 150.379194653414 -464.453318156559</t>
  </si>
  <si>
    <t>-289.443691343898 17.0075146223157 -310.92140937652</t>
  </si>
  <si>
    <t>-670.350943496584 41.7847839882786 -758.759618569679</t>
  </si>
  <si>
    <t>-452.035073249942 17.1665921386686 -351.769432615805</t>
  </si>
  <si>
    <t>-579.415478438644 229.429716405315 -245.301317987291</t>
  </si>
  <si>
    <t>-586.464680284466 207.529487770386 209.812348088242</t>
  </si>
  <si>
    <t>-625.963925363475 169.405711727291 676.180434128993</t>
  </si>
  <si>
    <t>-492.758393965532 95.9244241892582 764.499771515296</t>
  </si>
  <si>
    <t>-642.947746389163 44.103593527537 -209.183062413499</t>
  </si>
  <si>
    <t>-547.54456291276 -11.2487725656256 232.961694918244</t>
  </si>
  <si>
    <t>-741.948496820508 123.285788718747 638.795433990241</t>
  </si>
  <si>
    <t>-683.161212795006 -8.45921329591374 739.447311729747</t>
  </si>
  <si>
    <t>9763-20170724T160643.387504100.bin</t>
  </si>
  <si>
    <t>-610.704638058404 136.852002672023 -227.604635992496</t>
  </si>
  <si>
    <t>-648.565454691947 127.036708683476 -342.22584680777</t>
  </si>
  <si>
    <t>-664.233403403443 113.520935624101 -461.651165808403</t>
  </si>
  <si>
    <t>-669.168335344885 99.5173525139994 -570.161193898119</t>
  </si>
  <si>
    <t>-664.978842043999 83.6293630066407 -678.442618028167</t>
  </si>
  <si>
    <t>-649.704550269156 59.4600865066545 -828.050536569505</t>
  </si>
  <si>
    <t>-608.599121843541 31.3637162814659 -916.954551735687</t>
  </si>
  <si>
    <t>-642.41305251179 98.501431888363 -764.998812756254</t>
  </si>
  <si>
    <t>-556.281703135205 217.334218749685 -755.804535943133</t>
  </si>
  <si>
    <t>-451.37660192456 149.629883615253 -464.948519131897</t>
  </si>
  <si>
    <t>-289.653857518991 16.2594636223137 -310.999902421645</t>
  </si>
  <si>
    <t>-670.512838074162 41.8070639653083 -758.708443178334</t>
  </si>
  <si>
    <t>-451.48105877116 18.0081828813729 -352.928760119781</t>
  </si>
  <si>
    <t>-579.185949398039 229.557664764654 -245.306352744662</t>
  </si>
  <si>
    <t>-585.975306007417 207.34496425039 209.796087329463</t>
  </si>
  <si>
    <t>-625.960929007442 169.2161539457 676.13335832184</t>
  </si>
  <si>
    <t>-492.65168137026 96.0003040956449 764.516608650385</t>
  </si>
  <si>
    <t>-642.098302309112 44.2284676866079 -209.196060291656</t>
  </si>
  <si>
    <t>-546.422154193612 -11.0800615877424 232.895203238775</t>
  </si>
  <si>
    <t>-741.589930712295 123.307283127102 638.474514100504</t>
  </si>
  <si>
    <t>-683.202993847362 -8.41261981577554 739.391946332286</t>
  </si>
  <si>
    <t>9763-20170724T160643.424601900.bin</t>
  </si>
  <si>
    <t>-610.488494358661 136.899273657625 -227.568013368183</t>
  </si>
  <si>
    <t>-648.354345996965 127.044196482491 -342.184167255473</t>
  </si>
  <si>
    <t>-664.056333065694 113.52164456533 -461.604221587577</t>
  </si>
  <si>
    <t>-669.033701878562 99.5238221831248 -570.112907459896</t>
  </si>
  <si>
    <t>-664.898087712602 83.6522744448584 -678.398837176068</t>
  </si>
  <si>
    <t>-649.710130756414 59.516012783585 -828.020917205196</t>
  </si>
  <si>
    <t>-608.690062070423 31.4654770512343 -916.978783220064</t>
  </si>
  <si>
    <t>-642.403312239157 98.5533478423881 -764.96853120601</t>
  </si>
  <si>
    <t>-556.311278722802 217.401277785112 -755.813570057759</t>
  </si>
  <si>
    <t>-451.285309355096 149.389463603957 -465.072908342977</t>
  </si>
  <si>
    <t>-289.794027871135 15.7180824622014 -311.142456437638</t>
  </si>
  <si>
    <t>-670.457364851819 41.8377533503181 -758.667145528595</t>
  </si>
  <si>
    <t>-451.019402795841 18.1251636518014 -352.997841557679</t>
  </si>
  <si>
    <t>-579.072262457919 229.635005249253 -245.284233814593</t>
  </si>
  <si>
    <t>-585.766699749471 207.311239357168 209.814057640586</t>
  </si>
  <si>
    <t>-625.962444119848 169.137227199622 676.1194697616</t>
  </si>
  <si>
    <t>-492.641896131242 95.9808485867309 764.534906583763</t>
  </si>
  <si>
    <t>-641.780752739055 44.2213513255645 -209.157560255857</t>
  </si>
  <si>
    <t>-545.942987783471 -11.0257879772576 232.906458516308</t>
  </si>
  <si>
    <t>-741.478299086588 123.295012966988 638.334436601951</t>
  </si>
  <si>
    <t>-683.111206425235 -8.35178397663003 739.358820068623</t>
  </si>
  <si>
    <t>9763-20170724T160643.489810400.bin</t>
  </si>
  <si>
    <t>-610.121871847202 137.117261743792 -227.540205521788</t>
  </si>
  <si>
    <t>-648.020417671108 127.205797951289 -342.140767087463</t>
  </si>
  <si>
    <t>-663.761973432457 113.662269168334 -461.553184185328</t>
  </si>
  <si>
    <t>-668.776677883071 99.661686811889 -570.05976499391</t>
  </si>
  <si>
    <t>-664.679198255109 83.8043027284355 -678.349228663745</t>
  </si>
  <si>
    <t>-649.544272841131 59.7060061489958 -827.982844928958</t>
  </si>
  <si>
    <t>-608.637449734394 31.7166646736423 -917.012045169408</t>
  </si>
  <si>
    <t>-642.265982332483 98.7514890711491 -764.932104620939</t>
  </si>
  <si>
    <t>-556.337271684559 217.725876142533 -755.756196490499</t>
  </si>
  <si>
    <t>-451.166312427771 149.680745446344 -465.075746722979</t>
  </si>
  <si>
    <t>-289.876650752607 15.7784731304585 -311.134568057387</t>
  </si>
  <si>
    <t>-670.215956348129 41.9861108007597 -758.617134643997</t>
  </si>
  <si>
    <t>-450.342361721921 19.4276099334679 -353.036800181583</t>
  </si>
  <si>
    <t>-578.836618604655 229.912817431381 -245.273347397461</t>
  </si>
  <si>
    <t>-585.476391858069 207.402022977643 209.816664526809</t>
  </si>
  <si>
    <t>-625.930137940425 169.059479474173 676.075635137781</t>
  </si>
  <si>
    <t>-492.561972220632 96.0610180519409 764.549787806611</t>
  </si>
  <si>
    <t>-641.323742847225 44.3939641854047 -209.095881798462</t>
  </si>
  <si>
    <t>-545.376955871631 -10.8230702240053 232.948197721209</t>
  </si>
  <si>
    <t>-741.340008569529 123.430011891033 638.220759518274</t>
  </si>
  <si>
    <t>-683.143037144116 -8.25823044539061 739.289116289067</t>
  </si>
  <si>
    <t>9763-20170724T160643.522896500.bin</t>
  </si>
  <si>
    <t>-610.053170510602 137.185806855934 -227.51318434923</t>
  </si>
  <si>
    <t>-647.929931859006 127.245064335468 -342.118374153593</t>
  </si>
  <si>
    <t>-663.637628708889 113.685201709337 -461.533408337987</t>
  </si>
  <si>
    <t>-668.61622569702 99.6787529724199 -570.040985438356</t>
  </si>
  <si>
    <t>-664.476587083215 83.8266248820507 -678.32960693486</t>
  </si>
  <si>
    <t>-649.276421144781 59.7489791923806 -827.959897941536</t>
  </si>
  <si>
    <t>-608.364233276535 31.7893279210557 -916.996119501378</t>
  </si>
  <si>
    <t>-642.063781685745 98.8037258553452 -764.907334133787</t>
  </si>
  <si>
    <t>-556.278220716422 217.876538588638 -755.737746010912</t>
  </si>
  <si>
    <t>-450.884946440112 149.80464664031 -465.144195476794</t>
  </si>
  <si>
    <t>-289.641650757917 15.8250031876264 -311.22174483927</t>
  </si>
  <si>
    <t>-669.940280124386 42.0014346136741 -758.598917694918</t>
  </si>
  <si>
    <t>-449.82243051835 19.8098150508745 -352.63165485286</t>
  </si>
  <si>
    <t>-578.728745531834 229.999204723614 -245.256255596507</t>
  </si>
  <si>
    <t>-585.420994384791 207.425215773172 209.829801802822</t>
  </si>
  <si>
    <t>-625.934016404081 168.973320207466 676.065220612421</t>
  </si>
  <si>
    <t>-492.524580111308 96.0722099937207 764.557352509754</t>
  </si>
  <si>
    <t>-641.2786180114 44.4355681716136 -209.068723104959</t>
  </si>
  <si>
    <t>-545.356563825873 -10.6888809572899 232.992287602589</t>
  </si>
  <si>
    <t>-741.361974387168 123.536110148944 638.253712778208</t>
  </si>
  <si>
    <t>-683.156168054759 -8.20400920296697 739.249428392232</t>
  </si>
  <si>
    <t>9763-20170724T160643.590103600.bin</t>
  </si>
  <si>
    <t>-610.002523789867 137.458908708727 -227.52766905728</t>
  </si>
  <si>
    <t>-647.787345310056 127.43357898988 -342.155815843873</t>
  </si>
  <si>
    <t>-663.341387016011 113.7401166176 -461.575767821963</t>
  </si>
  <si>
    <t>-668.156745860592 99.5981307606196 -570.073033267031</t>
  </si>
  <si>
    <t>-663.830589021523 83.5985334428406 -678.332805022133</t>
  </si>
  <si>
    <t>-648.347989574802 59.3062861707665 -827.899304608565</t>
  </si>
  <si>
    <t>-607.464716516769 31.4478353320096 -916.980482831672</t>
  </si>
  <si>
    <t>-641.301477032467 98.4737059910617 -764.897934949491</t>
  </si>
  <si>
    <t>-555.798246269445 217.737223293734 -755.734377695296</t>
  </si>
  <si>
    <t>-450.167421330103 150.193240924927 -465.103734794806</t>
  </si>
  <si>
    <t>-288.873668906561 16.2208364372946 -311.227942264166</t>
  </si>
  <si>
    <t>-669.095581244188 41.6360693564857 -758.543639695813</t>
  </si>
  <si>
    <t>-450.326807479605 19.8612697931908 -352.165537949392</t>
  </si>
  <si>
    <t>-578.589337262482 230.301602020442 -245.294900182455</t>
  </si>
  <si>
    <t>-585.483965416297 207.646863022219 209.78413331568</t>
  </si>
  <si>
    <t>-625.920890050366 168.854362305471 676.002085232851</t>
  </si>
  <si>
    <t>-492.500604677462 96.0537834940399 764.560624287704</t>
  </si>
  <si>
    <t>-641.303841676787 44.7369404104459 -209.073243990244</t>
  </si>
  <si>
    <t>-545.671466720873 -10.2651286075663 233.065766331284</t>
  </si>
  <si>
    <t>-741.556934538246 123.779249010332 638.479005856799</t>
  </si>
  <si>
    <t>-683.197783283113 -8.09881042139091 739.205822080936</t>
  </si>
  <si>
    <t>9763-20170724T160643.628195100.bin</t>
  </si>
  <si>
    <t>-610.030090596146 137.652510154608 -227.559472619122</t>
  </si>
  <si>
    <t>-647.726084291543 127.579317224975 -342.212585971977</t>
  </si>
  <si>
    <t>-663.173282118999 113.843691476015 -461.641595459229</t>
  </si>
  <si>
    <t>-667.885970741608 99.6647958543058 -570.138737240894</t>
  </si>
  <si>
    <t>-663.451870949829 83.628867175169 -678.388564839944</t>
  </si>
  <si>
    <t>-647.814719783859 59.2859859127975 -827.930882730239</t>
  </si>
  <si>
    <t>-607.038074104019 31.6129784423642 -917.118671093837</t>
  </si>
  <si>
    <t>-640.832881849115 98.4743398062342 -764.935339458835</t>
  </si>
  <si>
    <t>-555.251276479014 217.700309404722 -755.785089214319</t>
  </si>
  <si>
    <t>-449.800131733058 150.430717621818 -465.025720837056</t>
  </si>
  <si>
    <t>-288.539473947613 16.4064398485764 -311.16033457808</t>
  </si>
  <si>
    <t>-668.6345476001 41.6394767742613 -758.590744369865</t>
  </si>
  <si>
    <t>-449.891093419566 19.744689033568 -351.703365263768</t>
  </si>
  <si>
    <t>-578.577582790856 230.519695503198 -245.323116389131</t>
  </si>
  <si>
    <t>-585.631316519524 207.851742077659 209.752757839716</t>
  </si>
  <si>
    <t>-625.90896280549 168.872763809994 675.975881926195</t>
  </si>
  <si>
    <t>-492.541898614026 96.0057809775233 764.559951610721</t>
  </si>
  <si>
    <t>-641.326282036696 44.9138831202019 -209.122047549739</t>
  </si>
  <si>
    <t>-545.86967409211 -9.9595910321284 233.070914765735</t>
  </si>
  <si>
    <t>-741.704688596697 123.851538126406 638.593481959146</t>
  </si>
  <si>
    <t>-683.129093834314 -8.02400673993657 739.197937980002</t>
  </si>
  <si>
    <t>9763-20170724T160643.689896100.bin</t>
  </si>
  <si>
    <t>-610.242846262707 138.046829629404 -227.621838837869</t>
  </si>
  <si>
    <t>-647.803870551975 127.985789136158 -342.320345897124</t>
  </si>
  <si>
    <t>-663.073677912735 114.049409972858 -461.74894247701</t>
  </si>
  <si>
    <t>-667.61395713007 99.6010709420352 -570.217673658351</t>
  </si>
  <si>
    <t>-662.999315280789 83.2072254984582 -678.406425350264</t>
  </si>
  <si>
    <t>-647.106598482158 58.2746839482638 -827.824640523392</t>
  </si>
  <si>
    <t>-606.651380603747 30.9048776297277 -917.251984080535</t>
  </si>
  <si>
    <t>-640.194785211517 97.6936845090286 -764.965336292731</t>
  </si>
  <si>
    <t>-554.646510084044 216.954324693405 -756.166038624363</t>
  </si>
  <si>
    <t>-449.914581203244 150.614895645986 -464.933360199988</t>
  </si>
  <si>
    <t>-288.809626742951 16.6048253874098 -310.892681763275</t>
  </si>
  <si>
    <t>-668.082513043491 40.9193991539692 -758.458055867431</t>
  </si>
  <si>
    <t>-450.529820740459 19.7452055739461 -350.982060747607</t>
  </si>
  <si>
    <t>-578.736748212407 230.879799591874 -245.354691718906</t>
  </si>
  <si>
    <t>-586.073061354222 208.184168057637 209.715359943442</t>
  </si>
  <si>
    <t>-625.939485458923 168.760553242636 675.955175175849</t>
  </si>
  <si>
    <t>-492.579981567596 95.939292477723 764.588221772423</t>
  </si>
  <si>
    <t>-641.634446618128 45.3327509719979 -209.212835420086</t>
  </si>
  <si>
    <t>-546.100986944752 -9.53670751406776 232.964025727901</t>
  </si>
  <si>
    <t>-741.789982316626 123.961655449023 638.688403433952</t>
  </si>
  <si>
    <t>-683.136202006508 -7.94176075344785 739.210603564259</t>
  </si>
  <si>
    <t>9763-20170724T160643.726990000.bin</t>
  </si>
  <si>
    <t>-610.356617874679 138.264260065425 -227.623293513532</t>
  </si>
  <si>
    <t>-647.859626767992 128.21908456043 -342.342175704248</t>
  </si>
  <si>
    <t>-663.056348240959 114.250152415657 -461.776319012039</t>
  </si>
  <si>
    <t>-667.525689118088 99.752758312891 -570.241444165931</t>
  </si>
  <si>
    <t>-662.836582923732 83.2899346287552 -678.416574357689</t>
  </si>
  <si>
    <t>-646.837555896221 58.2410757977161 -827.803897610957</t>
  </si>
  <si>
    <t>-606.508224325396 31.0856651641668 -917.35340215097</t>
  </si>
  <si>
    <t>-639.948851081969 97.6989111628659 -764.966482203093</t>
  </si>
  <si>
    <t>-554.253338660048 216.874470911547 -756.329332238545</t>
  </si>
  <si>
    <t>-450.01032065407 150.786335123701 -464.86419023807</t>
  </si>
  <si>
    <t>-288.942023557445 16.7609502289624 -310.798520436799</t>
  </si>
  <si>
    <t>-667.884437814063 40.94989095029 -758.442873602197</t>
  </si>
  <si>
    <t>-450.32588954721 19.8987887697465 -350.420883727451</t>
  </si>
  <si>
    <t>-578.756258666305 231.091861495284 -245.338293896008</t>
  </si>
  <si>
    <t>-586.371441448976 208.487560153412 209.73169735947</t>
  </si>
  <si>
    <t>-625.946074837639 168.783115171713 675.949600848776</t>
  </si>
  <si>
    <t>-492.649960018633 95.8672175613651 764.60018500426</t>
  </si>
  <si>
    <t>-641.835829285686 45.5812514499075 -209.207405443118</t>
  </si>
  <si>
    <t>-546.144006051186 -9.49028002826049 232.910024909026</t>
  </si>
  <si>
    <t>-741.765636519763 124.009247241382 638.678586589293</t>
  </si>
  <si>
    <t>-683.137095387331 -7.90265185787962 739.20450643833</t>
  </si>
  <si>
    <t>9763-20170724T160643.796212300.bin</t>
  </si>
  <si>
    <t>-610.541623335233 138.61991016109 -227.576455432313</t>
  </si>
  <si>
    <t>-647.865651584885 128.54208513977 -342.350827788207</t>
  </si>
  <si>
    <t>-662.960685800613 114.424739162647 -461.780380488863</t>
  </si>
  <si>
    <t>-667.373607007361 99.7495239867014 -570.223953639235</t>
  </si>
  <si>
    <t>-662.664934302722 83.0677659334999 -678.364610659632</t>
  </si>
  <si>
    <t>-646.677929627923 57.6739339385128 -827.694952889486</t>
  </si>
  <si>
    <t>-606.486592437247 30.7177185344085 -917.366679517761</t>
  </si>
  <si>
    <t>-639.754669022209 97.2628897172533 -764.94392944284</t>
  </si>
  <si>
    <t>-554.106534046906 216.492358971486 -756.603951164854</t>
  </si>
  <si>
    <t>-450.299899148407 150.688335197516 -464.918756709579</t>
  </si>
  <si>
    <t>-289.421684845838 16.4818362262381 -310.812089166228</t>
  </si>
  <si>
    <t>-667.748666869184 40.5569846519033 -758.297884276687</t>
  </si>
  <si>
    <t>-450.87429122599 20.2846870019339 -349.466192757465</t>
  </si>
  <si>
    <t>-578.79432307876 231.403520171672 -245.318425338927</t>
  </si>
  <si>
    <t>-587.177821598053 209.17946345557 209.756728774939</t>
  </si>
  <si>
    <t>-625.972863491544 168.76801637209 675.969102862111</t>
  </si>
  <si>
    <t>-492.774690739471 95.6659973092903 764.613615521725</t>
  </si>
  <si>
    <t>-642.198423109955 45.8819961301112 -209.151433266909</t>
  </si>
  <si>
    <t>-546.279049869276 -9.63335840304785 232.861239022887</t>
  </si>
  <si>
    <t>-741.784577438658 124.013673287789 638.626281758503</t>
  </si>
  <si>
    <t>-683.121728091242 -7.82986316096253 739.221814064735</t>
  </si>
  <si>
    <t>9763-20170724T160643.824289500.bin</t>
  </si>
  <si>
    <t>-610.621620258372 138.749666996947 -227.50186965115</t>
  </si>
  <si>
    <t>-647.889462925857 128.648691981692 -342.292607320096</t>
  </si>
  <si>
    <t>-662.942809879603 114.518131087965 -461.725737694922</t>
  </si>
  <si>
    <t>-667.324133809922 99.8373434118471 -570.169790170792</t>
  </si>
  <si>
    <t>-662.589879788113 83.1576542475366 -678.309681035734</t>
  </si>
  <si>
    <t>-646.57327817777 57.7757692188522 -827.638905484502</t>
  </si>
  <si>
    <t>-606.408116985173 30.9965347461759 -917.37537289529</t>
  </si>
  <si>
    <t>-639.657337655644 97.3572888146844 -764.882313113686</t>
  </si>
  <si>
    <t>-553.906403366688 216.505912159309 -756.596491169854</t>
  </si>
  <si>
    <t>-450.323819347717 150.953574712988 -464.775090584029</t>
  </si>
  <si>
    <t>-289.446169277759 16.761795933437 -310.655078387545</t>
  </si>
  <si>
    <t>-667.662997240717 40.6555413771384 -758.248424432577</t>
  </si>
  <si>
    <t>-450.47984660166 20.305065273895 -348.880441437347</t>
  </si>
  <si>
    <t>-578.76571144978 231.577512684195 -245.294715706574</t>
  </si>
  <si>
    <t>-587.525213883002 209.486609232769 209.780002043144</t>
  </si>
  <si>
    <t>-625.993619161977 168.777442281754 675.990681895671</t>
  </si>
  <si>
    <t>-492.827359071295 95.5970689251085 764.61849593402</t>
  </si>
  <si>
    <t>-642.363835944064 46.0000754533226 -209.04908044589</t>
  </si>
  <si>
    <t>-546.339693151376 -9.72006753863161 232.915019270717</t>
  </si>
  <si>
    <t>-741.794482348028 124.06272918493 638.632593168357</t>
  </si>
  <si>
    <t>-683.12062662246 -7.77925577461883 739.223705394387</t>
  </si>
  <si>
    <t>9763-20170724T160643.890470500.bin</t>
  </si>
  <si>
    <t>-610.703155485571 138.935644456671 -227.385594819344</t>
  </si>
  <si>
    <t>-647.946115787532 128.762682063683 -342.177949282868</t>
  </si>
  <si>
    <t>-663.031497243003 114.553407392337 -461.597775498488</t>
  </si>
  <si>
    <t>-667.464487624241 99.8051074194698 -570.030554902224</t>
  </si>
  <si>
    <t>-662.803374167133 83.0655424216859 -678.164351273656</t>
  </si>
  <si>
    <t>-646.909589707633 57.6114150736792 -827.494607099582</t>
  </si>
  <si>
    <t>-606.780804387506 31.0522944512813 -917.312517585519</t>
  </si>
  <si>
    <t>-639.951061923045 97.2274192122127 -764.764414365351</t>
  </si>
  <si>
    <t>-554.409412258526 216.53451505946 -756.532328943786</t>
  </si>
  <si>
    <t>-450.959687929186 151.091308532716 -464.639306777004</t>
  </si>
  <si>
    <t>-290.051202841931 16.7063382262322 -310.719942698821</t>
  </si>
  <si>
    <t>-667.933263440946 40.5205761254754 -758.076728174327</t>
  </si>
  <si>
    <t>-450.911682784845 20.6774910258671 -348.447909319114</t>
  </si>
  <si>
    <t>-578.755208408425 231.788401839665 -245.251114152513</t>
  </si>
  <si>
    <t>-588.051932043424 209.938377374257 209.824521296531</t>
  </si>
  <si>
    <t>-626.031366956696 168.765308069698 676.028302380342</t>
  </si>
  <si>
    <t>-492.853879927454 95.5358553671251 764.598699116344</t>
  </si>
  <si>
    <t>-642.564650403741 46.1482389107175 -208.839377600919</t>
  </si>
  <si>
    <t>-546.3511559929 -9.67973544986103 233.069910740297</t>
  </si>
  <si>
    <t>-741.839259962771 124.2031695227 638.701090425632</t>
  </si>
  <si>
    <t>-683.158825709199 -7.69118680119527 739.219717315255</t>
  </si>
  <si>
    <t>9763-20170724T160643.923567200.bin</t>
  </si>
  <si>
    <t>-610.735228719532 139.031072698795 -227.314228106559</t>
  </si>
  <si>
    <t>-647.987518199551 128.814848583063 -342.099702319234</t>
  </si>
  <si>
    <t>-663.074738122645 114.618507797926 -461.520757488205</t>
  </si>
  <si>
    <t>-667.505023215201 99.9063613080627 -569.958668167116</t>
  </si>
  <si>
    <t>-662.836118250487 83.2281007663805 -678.101564239692</t>
  </si>
  <si>
    <t>-646.925047732091 57.8864582897193 -827.448976558188</t>
  </si>
  <si>
    <t>-606.782785123932 31.514058569458 -917.315901460344</t>
  </si>
  <si>
    <t>-639.980202559417 97.4583083547725 -764.689492698159</t>
  </si>
  <si>
    <t>-554.34981640278 216.699244448759 -756.427125742716</t>
  </si>
  <si>
    <t>-451.188891187321 151.388205672596 -464.402369581005</t>
  </si>
  <si>
    <t>-290.056630450263 17.1834150299171 -310.559735013697</t>
  </si>
  <si>
    <t>-667.950211924351 40.7403827987346 -758.04521411392</t>
  </si>
  <si>
    <t>-450.57704359497 20.6927283394966 -348.245790846676</t>
  </si>
  <si>
    <t>-578.77880791907 231.902523126568 -245.221674921649</t>
  </si>
  <si>
    <t>-588.342298977744 210.148633345645 209.85299340733</t>
  </si>
  <si>
    <t>-626.066899306741 168.753279518805 676.060848717592</t>
  </si>
  <si>
    <t>-492.89567387133 95.4621886154291 764.589661480064</t>
  </si>
  <si>
    <t>-642.597483819083 46.2491759585146 -208.72462231503</t>
  </si>
  <si>
    <t>-546.279356327211 -9.58790782802112 233.16076692405</t>
  </si>
  <si>
    <t>-741.864803290422 124.279347301234 638.734929662833</t>
  </si>
  <si>
    <t>-683.17892702085 -7.64885858227058 739.20591972509</t>
  </si>
  <si>
    <t>9763-20170724T160643.992265500.bin</t>
  </si>
  <si>
    <t>-610.883081596579 139.238275842124 -227.223950351112</t>
  </si>
  <si>
    <t>-648.127965916799 128.964742756855 -342.006695924981</t>
  </si>
  <si>
    <t>-663.252223646594 114.749575242114 -461.420743509345</t>
  </si>
  <si>
    <t>-667.733830300473 100.036329814516 -569.856467514725</t>
  </si>
  <si>
    <t>-663.133344307027 83.3730914391829 -678.004548271458</t>
  </si>
  <si>
    <t>-647.334259013831 58.0691199075668 -827.370226701147</t>
  </si>
  <si>
    <t>-607.190136969502 31.8834957827908 -917.291015188002</t>
  </si>
  <si>
    <t>-640.332051040194 97.6204600963399 -764.604060410589</t>
  </si>
  <si>
    <t>-554.784182672937 216.913177165565 -756.272996710637</t>
  </si>
  <si>
    <t>-451.98703937593 151.319083172833 -464.183289894755</t>
  </si>
  <si>
    <t>-289.970576139316 18.5171902111026 -310.05232928895</t>
  </si>
  <si>
    <t>-668.31755573256 40.9103721941433 -757.957110273603</t>
  </si>
  <si>
    <t>-450.963973588586 20.1751143297179 -348.165141656852</t>
  </si>
  <si>
    <t>-578.916277764499 232.164072240316 -245.158622542313</t>
  </si>
  <si>
    <t>-588.986302978253 210.630920206204 209.915649809649</t>
  </si>
  <si>
    <t>-626.111704011186 168.834567656146 676.115487767001</t>
  </si>
  <si>
    <t>-493.016329882496 95.3122929242611 764.566701314679</t>
  </si>
  <si>
    <t>-642.713491344655 46.4281903315034 -208.592494484031</t>
  </si>
  <si>
    <t>-546.218902320019 -9.38134052230748 233.257893366703</t>
  </si>
  <si>
    <t>-741.870091739107 124.422403982647 638.778753507204</t>
  </si>
  <si>
    <t>-683.099696097461 -7.51525966138024 739.187965638367</t>
  </si>
  <si>
    <t>9763-20170724T160644.026356200.bin</t>
  </si>
  <si>
    <t>-610.887906905582 139.316969694792 -227.1736536597</t>
  </si>
  <si>
    <t>-648.084125704247 128.987388161121 -341.967116859749</t>
  </si>
  <si>
    <t>-663.201818613006 114.785699314289 -461.383799958953</t>
  </si>
  <si>
    <t>-667.694475197747 100.112314619991 -569.824387281362</t>
  </si>
  <si>
    <t>-663.121434360025 83.5161305931547 -677.984020104051</t>
  </si>
  <si>
    <t>-647.376634444264 58.3331826206984 -827.375803257755</t>
  </si>
  <si>
    <t>-607.242838259962 32.2479969360527 -917.330327777535</t>
  </si>
  <si>
    <t>-640.335953536743 97.8260851424964 -764.577298888534</t>
  </si>
  <si>
    <t>-554.607870885655 217.000757243885 -756.182573127999</t>
  </si>
  <si>
    <t>-452.061311740659 151.181496273429 -464.055521219026</t>
  </si>
  <si>
    <t>-289.406889071454 19.5797581173056 -309.567332765756</t>
  </si>
  <si>
    <t>-668.350575666541 41.1255266290582 -757.971838630509</t>
  </si>
  <si>
    <t>-450.398266125824 19.861459269968 -348.230156307627</t>
  </si>
  <si>
    <t>-578.901364031389 232.202307255148 -245.139550631475</t>
  </si>
  <si>
    <t>-589.361923098931 210.890818852021 209.936236679333</t>
  </si>
  <si>
    <t>-626.145618819831 168.79848654096 676.143341514957</t>
  </si>
  <si>
    <t>-492.991366823889 95.3217255201766 764.54372452745</t>
  </si>
  <si>
    <t>-642.718472060011 46.5040927497441 -208.513533826072</t>
  </si>
  <si>
    <t>-546.191169495034 -9.34328349010229 233.324966521165</t>
  </si>
  <si>
    <t>-741.830395798076 124.528804655945 638.807345508966</t>
  </si>
  <si>
    <t>-683.140774119827 -7.46814985011088 739.185856964779</t>
  </si>
  <si>
    <t>9763-20170724T160644.096057400.bin</t>
  </si>
  <si>
    <t>-611.032860888281 139.542389914466 -227.060707497631</t>
  </si>
  <si>
    <t>-648.146967938362 129.125033600184 -341.872979921186</t>
  </si>
  <si>
    <t>-663.321028943584 114.882263464938 -461.277404726424</t>
  </si>
  <si>
    <t>-667.92220163207 100.190867942436 -569.711072557649</t>
  </si>
  <si>
    <t>-663.51378579829 83.5966957126648 -677.877831108749</t>
  </si>
  <si>
    <t>-648.055170461891 58.4366199746662 -827.303424755872</t>
  </si>
  <si>
    <t>-608.023309191577 32.3865081453869 -917.3135240601</t>
  </si>
  <si>
    <t>-640.851271422665 97.8996671588484 -764.504518827081</t>
  </si>
  <si>
    <t>-555.005777631038 216.970914883196 -756.084124487159</t>
  </si>
  <si>
    <t>-452.575079754141 150.365899562998 -464.094510325151</t>
  </si>
  <si>
    <t>-289.797004666467 19.1358647154354 -309.42043922143</t>
  </si>
  <si>
    <t>-668.938991875044 41.2386719162637 -757.869857217284</t>
  </si>
  <si>
    <t>-450.683079354025 19.1499469241821 -348.695591255438</t>
  </si>
  <si>
    <t>-578.971439147909 232.497002864265 -245.112406920687</t>
  </si>
  <si>
    <t>-590.161293701607 211.607835390649 209.965786065365</t>
  </si>
  <si>
    <t>-626.164991254683 168.92498577689 676.187420241401</t>
  </si>
  <si>
    <t>-493.15409740601 95.0815826391579 764.498031281888</t>
  </si>
  <si>
    <t>-642.994269352469 46.6840692851927 -208.320864511544</t>
  </si>
  <si>
    <t>-546.35595082689 -9.23333736438394 233.484432245289</t>
  </si>
  <si>
    <t>-741.914110036262 124.696117651091 638.948374536334</t>
  </si>
  <si>
    <t>-683.107786868853 -7.33895318267605 739.20841109695</t>
  </si>
  <si>
    <t>9763-20170724T160644.123124300.bin</t>
  </si>
  <si>
    <t>-611.144510149522 139.549395097281 -227.028020273005</t>
  </si>
  <si>
    <t>-648.189147990553 129.093668835206 -341.859255333566</t>
  </si>
  <si>
    <t>-663.356535739716 114.858601675755 -461.265445358292</t>
  </si>
  <si>
    <t>-667.977483473497 100.193460880088 -569.701751121719</t>
  </si>
  <si>
    <t>-663.614202198185 83.6449636963735 -677.877455537353</t>
  </si>
  <si>
    <t>-648.24387399486 58.5685681986429 -827.326198901959</t>
  </si>
  <si>
    <t>-608.245639002001 32.5560010941042 -917.36206435712</t>
  </si>
  <si>
    <t>-640.986626837244 97.9886223757862 -764.506603650532</t>
  </si>
  <si>
    <t>-554.993498877814 216.978659848387 -756.057129666998</t>
  </si>
  <si>
    <t>-452.693161556085 150.343268410079 -464.028863379629</t>
  </si>
  <si>
    <t>-290.001566175591 18.9745344931232 -309.381617785548</t>
  </si>
  <si>
    <t>-669.102918532167 41.3395543066108 -757.892860924451</t>
  </si>
  <si>
    <t>-450.291430705485 19.1934328973305 -348.622245402915</t>
  </si>
  <si>
    <t>-578.993388059655 232.429367359341 -245.103513237996</t>
  </si>
  <si>
    <t>-590.432665089769 211.746566038259 209.977807519339</t>
  </si>
  <si>
    <t>-626.203543725313 168.864035227389 676.207727203389</t>
  </si>
  <si>
    <t>-493.11509180542 95.0990715564221 764.467043907644</t>
  </si>
  <si>
    <t>-643.169857574137 46.705122539116 -208.289218393382</t>
  </si>
  <si>
    <t>-546.484656283053 -9.16539781888582 233.511768301119</t>
  </si>
  <si>
    <t>-741.943513995803 124.763598523663 639.006309947012</t>
  </si>
  <si>
    <t>-683.112346314389 -7.27992349956048 739.24055737194</t>
  </si>
  <si>
    <t>9763-20170724T160644.188300700.bin</t>
  </si>
  <si>
    <t>-611.331586896049 139.375486695609 -227.00770772964</t>
  </si>
  <si>
    <t>-648.348124175828 128.913659766461 -341.847350994574</t>
  </si>
  <si>
    <t>-663.547113344883 114.639542522755 -461.245007887231</t>
  </si>
  <si>
    <t>-668.22122043316 99.9291617369684 -569.672853570934</t>
  </si>
  <si>
    <t>-663.935814377643 83.3269226364448 -677.843425244182</t>
  </si>
  <si>
    <t>-648.6983463494 58.1692204118913 -827.292139050968</t>
  </si>
  <si>
    <t>-608.774499774322 32.1255018928771 -917.35201329528</t>
  </si>
  <si>
    <t>-641.379219227831 97.6206739934617 -764.499297893585</t>
  </si>
  <si>
    <t>-555.429215804945 216.629949706999 -756.179031795187</t>
  </si>
  <si>
    <t>-453.256264208006 150.420979931723 -464.009129388391</t>
  </si>
  <si>
    <t>-290.95677131665 18.2250018710713 -309.655066869384</t>
  </si>
  <si>
    <t>-669.501697590802 40.9807589091395 -757.832047086926</t>
  </si>
  <si>
    <t>-450.844699465632 18.6604597524479 -348.109485453863</t>
  </si>
  <si>
    <t>-579.068126697343 232.168710889378 -245.092827949046</t>
  </si>
  <si>
    <t>-590.539412305943 211.507885778245 209.988586054955</t>
  </si>
  <si>
    <t>-626.295785038071 168.674030340132 676.241834822167</t>
  </si>
  <si>
    <t>-493.115081621152 94.9945642111411 764.433371911172</t>
  </si>
  <si>
    <t>-643.500055998199 46.6616568348702 -208.247784594764</t>
  </si>
  <si>
    <t>-546.767738164181 -9.30324357801464 233.530950788995</t>
  </si>
  <si>
    <t>-742.016561649447 124.835409092412 639.115117503183</t>
  </si>
  <si>
    <t>-683.059155458899 -7.17410785089442 739.320092195984</t>
  </si>
  <si>
    <t>9763-20170724T160644.227404200.bin</t>
  </si>
  <si>
    <t>-611.338438759943 139.249015633815 -227.002670334677</t>
  </si>
  <si>
    <t>-648.383203577022 128.801796771397 -341.83459736741</t>
  </si>
  <si>
    <t>-663.636111206618 114.554941014265 -461.228592105263</t>
  </si>
  <si>
    <t>-668.368897514777 99.8750323047379 -569.658185811159</t>
  </si>
  <si>
    <t>-664.151294527407 83.3097483509384 -677.836942745364</t>
  </si>
  <si>
    <t>-649.017035957591 58.2103031784914 -827.305831493105</t>
  </si>
  <si>
    <t>-609.115827568791 32.1771546629898 -917.378857029983</t>
  </si>
  <si>
    <t>-641.660628075455 97.6401611550114 -764.503991328823</t>
  </si>
  <si>
    <t>-555.689853334823 216.667220416957 -756.199424725315</t>
  </si>
  <si>
    <t>-453.64934028437 150.66627277941 -463.936137736681</t>
  </si>
  <si>
    <t>-291.28764156691 18.4752094954956 -309.643382323733</t>
  </si>
  <si>
    <t>-669.766309484794 40.9919210259245 -757.837124216649</t>
  </si>
  <si>
    <t>-450.625529750847 19.2638791189345 -347.770096173278</t>
  </si>
  <si>
    <t>-579.050782571215 232.01953823957 -245.089548000008</t>
  </si>
  <si>
    <t>-590.459116229692 211.352516349503 209.993299746896</t>
  </si>
  <si>
    <t>-626.292963942521 168.684613529038 676.233749928804</t>
  </si>
  <si>
    <t>-493.137954014665 94.9632966189688 764.429119380666</t>
  </si>
  <si>
    <t>-643.489912596421 46.588780952588 -208.255157012747</t>
  </si>
  <si>
    <t>-546.852103659775 -9.28715682030156 233.555437533306</t>
  </si>
  <si>
    <t>-741.997846114144 124.934438737111 639.181093631337</t>
  </si>
  <si>
    <t>-683.075933718698 -7.11220322326085 739.357959759402</t>
  </si>
  <si>
    <t>9763-20170724T160644.292584800.bin</t>
  </si>
  <si>
    <t>-611.337746379106 139.150400950774 -226.930643865614</t>
  </si>
  <si>
    <t>-648.442712326502 128.643064015806 -341.737495822885</t>
  </si>
  <si>
    <t>-663.715965598512 114.277974875703 -461.114819911839</t>
  </si>
  <si>
    <t>-668.450010111609 99.4728309466079 -569.527139370504</t>
  </si>
  <si>
    <t>-664.216560183089 82.7668483974155 -677.683710649885</t>
  </si>
  <si>
    <t>-649.042380862069 57.4587762636179 -827.113468747144</t>
  </si>
  <si>
    <t>-609.135134151727 31.3859907190417 -917.172419904295</t>
  </si>
  <si>
    <t>-641.735116717291 96.9915064405948 -764.37045876673</t>
  </si>
  <si>
    <t>-556.022704118276 216.164874937406 -756.187871029584</t>
  </si>
  <si>
    <t>-454.181187689921 150.92116238767 -463.685156284329</t>
  </si>
  <si>
    <t>-291.846885253558 18.787749533537 -309.314288466392</t>
  </si>
  <si>
    <t>-669.777973480323 40.3219782556707 -757.620351309546</t>
  </si>
  <si>
    <t>-450.725786924889 18.336095794298 -347.628849049628</t>
  </si>
  <si>
    <t>-578.984598477555 231.854032142063 -245.092951875993</t>
  </si>
  <si>
    <t>-590.383880617582 211.251422949817 209.99307765046</t>
  </si>
  <si>
    <t>-626.301809909735 168.613775554187 676.217865891317</t>
  </si>
  <si>
    <t>-493.182697641145 94.8488937070717 764.430957584023</t>
  </si>
  <si>
    <t>-643.580251010721 46.5467350232468 -208.074666518393</t>
  </si>
  <si>
    <t>-547.069454304638 -9.31173078587858 233.765964207486</t>
  </si>
  <si>
    <t>-742.104533336981 125.140937035972 639.412825756334</t>
  </si>
  <si>
    <t>-683.03211487859 -6.97575116700114 739.408487589566</t>
  </si>
  <si>
    <t>9763-20170724T160644.326674400.bin</t>
  </si>
  <si>
    <t>-611.400608343915 139.10781108972 -226.908164067752</t>
  </si>
  <si>
    <t>-648.545689882241 128.575739303708 -341.699875979976</t>
  </si>
  <si>
    <t>-663.839132156994 114.219804169689 -461.075618454186</t>
  </si>
  <si>
    <t>-668.582304128298 99.4361563846817 -569.490587368317</t>
  </si>
  <si>
    <t>-664.348419718646 82.764556424554 -677.652411706119</t>
  </si>
  <si>
    <t>-649.163580690843 57.5171388057461 -827.091353860014</t>
  </si>
  <si>
    <t>-609.201317854217 31.4972636637847 -917.141178779584</t>
  </si>
  <si>
    <t>-641.85169177024 97.020229600005 -764.330187831122</t>
  </si>
  <si>
    <t>-556.056963250122 216.165293926619 -756.081486181206</t>
  </si>
  <si>
    <t>-454.544450174827 151.067445047081 -463.432160481906</t>
  </si>
  <si>
    <t>-292.173663305618 18.9428171944191 -309.091983278738</t>
  </si>
  <si>
    <t>-669.913050352997 40.3565234845676 -757.608410757568</t>
  </si>
  <si>
    <t>-450.166958829298 17.6013600982667 -347.856718875506</t>
  </si>
  <si>
    <t>-579.026004385159 231.819384594735 -245.110574756791</t>
  </si>
  <si>
    <t>-590.400819172964 211.250257545534 209.977570062679</t>
  </si>
  <si>
    <t>-626.296907488154 168.583527883304 676.205245072089</t>
  </si>
  <si>
    <t>-493.169039527621 94.8472507460417 764.429073360885</t>
  </si>
  <si>
    <t>-643.630578078198 46.5223711237538 -208.018736751182</t>
  </si>
  <si>
    <t>-547.1637201883 -9.19970217554624 233.848751145549</t>
  </si>
  <si>
    <t>-742.179352788326 125.237093763931 639.514548915404</t>
  </si>
  <si>
    <t>-683.056661400426 -6.92497603173615 739.420594978152</t>
  </si>
  <si>
    <t>9763-20170724T160644.393857900.bin</t>
  </si>
  <si>
    <t>-611.546144501211 138.967773068522 -226.891534989577</t>
  </si>
  <si>
    <t>-648.686294200091 128.357208064824 -341.677654333378</t>
  </si>
  <si>
    <t>-664.039361291434 113.88887985456 -461.032197330466</t>
  </si>
  <si>
    <t>-668.863112530566 98.9931949613206 -569.428175604789</t>
  </si>
  <si>
    <t>-664.736137028855 82.2010617441822 -677.575624384631</t>
  </si>
  <si>
    <t>-649.72649602796 56.7790743392243 -827.002594696545</t>
  </si>
  <si>
    <t>-609.789255290519 30.6862361575679 -917.042311042488</t>
  </si>
  <si>
    <t>-642.343681625317 96.3567006618821 -764.296676099754</t>
  </si>
  <si>
    <t>-556.602939664471 215.531915586607 -756.14591298816</t>
  </si>
  <si>
    <t>-455.450054346957 150.807002001745 -463.289204822638</t>
  </si>
  <si>
    <t>-293.116899596778 18.7897981293424 -308.817768558856</t>
  </si>
  <si>
    <t>-670.391889704368 39.698357096519 -757.474812174107</t>
  </si>
  <si>
    <t>-449.821978780627 16.9142010931139 -348.819795226161</t>
  </si>
  <si>
    <t>-579.123814106389 231.566623358698 -245.157800822208</t>
  </si>
  <si>
    <t>-590.454513075186 211.063383359131 209.93440272134</t>
  </si>
  <si>
    <t>-626.310569197664 168.506505430625 676.186037759521</t>
  </si>
  <si>
    <t>-493.185320801687 94.7810735403073 764.42283875506</t>
  </si>
  <si>
    <t>-643.881509403015 46.4662028771863 -207.949828260464</t>
  </si>
  <si>
    <t>-547.475951308211 -9.09409280091268 233.951406971661</t>
  </si>
  <si>
    <t>-742.238104244808 125.464057779308 639.725886167293</t>
  </si>
  <si>
    <t>-683.057457371043 -6.81022613541177 739.448943325294</t>
  </si>
  <si>
    <t>9763-20170724T160644.432963200.bin</t>
  </si>
  <si>
    <t>-611.696482953134 138.893885988364 -226.86517342169</t>
  </si>
  <si>
    <t>-648.898986706786 128.268122679102 -341.629682675302</t>
  </si>
  <si>
    <t>-664.293012258679 113.797067725091 -460.978573757023</t>
  </si>
  <si>
    <t>-669.144267481813 98.9033922431258 -569.373762209294</t>
  </si>
  <si>
    <t>-665.034765185738 82.1176599302721 -677.522711590759</t>
  </si>
  <si>
    <t>-650.038942132344 56.7087763989466 -826.953306579729</t>
  </si>
  <si>
    <t>-610.100968661831 30.6048485159527 -916.989478913816</t>
  </si>
  <si>
    <t>-642.658199914526 96.2845441969698 -764.246048393389</t>
  </si>
  <si>
    <t>-556.880918230323 215.431855404878 -756.10858771954</t>
  </si>
  <si>
    <t>-455.57512386168 150.697215396382 -463.306957225817</t>
  </si>
  <si>
    <t>-293.239728398049 18.6552236944588 -308.859063820823</t>
  </si>
  <si>
    <t>-670.690056668493 39.6182941113216 -757.423707539853</t>
  </si>
  <si>
    <t>-449.887109664015 16.4334458485246 -348.94861287033</t>
  </si>
  <si>
    <t>-579.298138599398 231.557740609642 -245.174829246193</t>
  </si>
  <si>
    <t>-590.469484148092 211.01651434223 209.919697748539</t>
  </si>
  <si>
    <t>-626.30514455901 168.553057595137 676.185612854212</t>
  </si>
  <si>
    <t>-493.225267050983 94.7446473706266 764.421519474997</t>
  </si>
  <si>
    <t>-643.967723623484 46.3788859556453 -207.905036337145</t>
  </si>
  <si>
    <t>-547.61702633091 -8.99547724155218 234.031453004611</t>
  </si>
  <si>
    <t>-742.307967180057 125.56440316298 639.843415974124</t>
  </si>
  <si>
    <t>-683.07484386283 -6.75992594345234 739.468761530751</t>
  </si>
  <si>
    <t>9763-20170724T160644.493832700.bin</t>
  </si>
  <si>
    <t>-611.95578022697 138.634204811904 -226.856065871517</t>
  </si>
  <si>
    <t>-649.218397338177 127.916728680422 -341.592471467683</t>
  </si>
  <si>
    <t>-664.705754769515 113.430467220605 -460.927589041655</t>
  </si>
  <si>
    <t>-669.65368457415 98.5514791859814 -569.320246722055</t>
  </si>
  <si>
    <t>-665.652305103217 81.8069792625524 -677.47962016277</t>
  </si>
  <si>
    <t>-650.817756635162 56.4812420996068 -826.940575966457</t>
  </si>
  <si>
    <t>-610.923614304197 30.3372550954316 -916.984624198873</t>
  </si>
  <si>
    <t>-643.36043744885 96.0178918881179 -764.217811068879</t>
  </si>
  <si>
    <t>-557.588127817412 215.191406990623 -756.230366092601</t>
  </si>
  <si>
    <t>-455.151680404566 151.122374516554 -463.675828061944</t>
  </si>
  <si>
    <t>-292.823013286343 19.1255580717461 -309.182129176859</t>
  </si>
  <si>
    <t>-671.40280724679 39.3562113542803 -757.39985730041</t>
  </si>
  <si>
    <t>-450.223973627139 15.8692975174181 -348.741753063283</t>
  </si>
  <si>
    <t>-579.652674458205 231.219975159816 -245.181441683181</t>
  </si>
  <si>
    <t>-590.705042166195 210.930353659427 209.927160844666</t>
  </si>
  <si>
    <t>-626.354621983977 168.517191847192 676.212493149125</t>
  </si>
  <si>
    <t>-493.206711667567 94.7616827182035 764.389992034223</t>
  </si>
  <si>
    <t>-644.153376726964 46.1092646778518 -207.830326712648</t>
  </si>
  <si>
    <t>-547.90004842273 -8.96612568323667 234.164823109775</t>
  </si>
  <si>
    <t>-742.430809078714 125.686796537092 640.024555875578</t>
  </si>
  <si>
    <t>-683.068032210993 -6.66401539092431 739.537505378104</t>
  </si>
  <si>
    <t>9763-20170724T160644.526921300.bin</t>
  </si>
  <si>
    <t>-612.076248153989 138.4673406859 -226.827317557989</t>
  </si>
  <si>
    <t>-649.362196280061 127.750343292858 -341.556138543407</t>
  </si>
  <si>
    <t>-664.894001655199 113.246881135273 -460.883296212285</t>
  </si>
  <si>
    <t>-669.890474760955 98.3466334378304 -569.270928507497</t>
  </si>
  <si>
    <t>-665.945880971104 81.5758182603408 -677.428286208152</t>
  </si>
  <si>
    <t>-651.198327957478 56.2091729596298 -826.890823850452</t>
  </si>
  <si>
    <t>-611.333240924319 30.0387103145351 -916.940174816001</t>
  </si>
  <si>
    <t>-643.702863283081 95.7623502785025 -764.182868708261</t>
  </si>
  <si>
    <t>-557.963942789288 214.973911403713 -756.323964761625</t>
  </si>
  <si>
    <t>-455.393834551958 151.32095157943 -463.725485285314</t>
  </si>
  <si>
    <t>-292.910195525505 19.4170359812747 -309.315343917139</t>
  </si>
  <si>
    <t>-671.744374884223 39.1040117253788 -757.333748135748</t>
  </si>
  <si>
    <t>-450.322242201052 15.8534448954438 -348.555638029127</t>
  </si>
  <si>
    <t>-579.74552930714 231.019425518947 -245.193216774341</t>
  </si>
  <si>
    <t>-590.795712808465 210.853735675868 209.920897758452</t>
  </si>
  <si>
    <t>-626.36758025578 168.528368109633 676.218980708368</t>
  </si>
  <si>
    <t>-493.251687358774 94.7087351816042 764.391153262627</t>
  </si>
  <si>
    <t>-644.254926681566 46.0228689686483 -207.784654866115</t>
  </si>
  <si>
    <t>-547.899703969327 -9.07051968106089 234.185992188252</t>
  </si>
  <si>
    <t>-742.436658382469 125.68593397641 640.015297009296</t>
  </si>
  <si>
    <t>-683.04070931047 -6.62266274750527 739.564627891132</t>
  </si>
  <si>
    <t>9763-20170724T160644.591840600.bin</t>
  </si>
  <si>
    <t>-612.235564086958 138.082441173952 -226.796593048677</t>
  </si>
  <si>
    <t>-649.640635378231 127.425685792 -341.492299107257</t>
  </si>
  <si>
    <t>-665.254397725464 112.868561694492 -460.802209606044</t>
  </si>
  <si>
    <t>-670.309067126384 97.8789122079352 -569.174873941565</t>
  </si>
  <si>
    <t>-666.406332745575 80.9818072179412 -677.314123849136</t>
  </si>
  <si>
    <t>-651.700064768597 55.4045870756374 -826.744786793585</t>
  </si>
  <si>
    <t>-611.830779525951 29.1669700409186 -916.772607358112</t>
  </si>
  <si>
    <t>-644.174230138787 95.0399001655555 -764.09243586663</t>
  </si>
  <si>
    <t>-558.429585338951 214.275561739059 -756.615403321279</t>
  </si>
  <si>
    <t>-457.079728196471 152.134470027458 -463.267720931032</t>
  </si>
  <si>
    <t>-294.518590046578 20.0414510724966 -309.101010911346</t>
  </si>
  <si>
    <t>-672.239997076651 38.4035748910123 -757.160288500625</t>
  </si>
  <si>
    <t>-450.892974636497 15.1060420989843 -347.803667141545</t>
  </si>
  <si>
    <t>-579.778379315554 230.497764708077 -245.207680051251</t>
  </si>
  <si>
    <t>-590.738543044374 210.539431654114 209.917837006896</t>
  </si>
  <si>
    <t>-626.433756276225 168.353020770899 676.243778670608</t>
  </si>
  <si>
    <t>-493.368547319307 94.4668359650477 764.436694741009</t>
  </si>
  <si>
    <t>-644.585654839587 45.740753054271 -207.688870659058</t>
  </si>
  <si>
    <t>-547.882185737212 -9.57149140781121 234.178366350328</t>
  </si>
  <si>
    <t>-742.284561475784 125.65174012916 639.874279668517</t>
  </si>
  <si>
    <t>-683.010488011984 -6.55279450633066 739.634258582821</t>
  </si>
  <si>
    <t>9763-20170724T160644.622925900.bin</t>
  </si>
  <si>
    <t>-612.287862439943 137.744180485863 -226.7670200301</t>
  </si>
  <si>
    <t>-649.711010215138 127.128278821905 -341.460587067154</t>
  </si>
  <si>
    <t>-665.326935987604 112.540213386263 -460.766612095203</t>
  </si>
  <si>
    <t>-670.377124778719 97.49721517888 -569.13202157642</t>
  </si>
  <si>
    <t>-666.463639135925 80.5238039335745 -677.258910232553</t>
  </si>
  <si>
    <t>-651.73614027383 54.8188380000588 -826.665570415033</t>
  </si>
  <si>
    <t>-611.832308222052 28.5169232889957 -916.659306482703</t>
  </si>
  <si>
    <t>-644.223778564749 94.5097788827643 -764.046851258572</t>
  </si>
  <si>
    <t>-558.536480008418 213.776766138659 -756.727903853605</t>
  </si>
  <si>
    <t>-458.010773139005 152.727431354591 -462.867725104328</t>
  </si>
  <si>
    <t>-295.563101194092 20.4122467885952 -308.772021944089</t>
  </si>
  <si>
    <t>-672.281358770131 37.8752801211904 -757.068850068425</t>
  </si>
  <si>
    <t>-451.101810721237 14.8226746962791 -347.271648516086</t>
  </si>
  <si>
    <t>-579.734714721612 230.099187870929 -245.17565033449</t>
  </si>
  <si>
    <t>-590.728463440115 210.24203273328 209.953457536649</t>
  </si>
  <si>
    <t>-626.503599532709 168.203032147327 676.28053291855</t>
  </si>
  <si>
    <t>-493.453099496265 94.3201275673055 764.498403108876</t>
  </si>
  <si>
    <t>-644.746798875424 45.4154419321244 -207.676947770504</t>
  </si>
  <si>
    <t>-547.85587233217 -9.91390583227235 234.147074558864</t>
  </si>
  <si>
    <t>-742.230040270647 125.567840994692 639.779839235773</t>
  </si>
  <si>
    <t>-682.997338317825 -6.53345260805258 739.701076374138</t>
  </si>
  <si>
    <t>9763-20170724T160644.688624500.bin</t>
  </si>
  <si>
    <t>-612.486945581486 137.207832175922 -226.647025938168</t>
  </si>
  <si>
    <t>-650.01518311165 126.703651477458 -341.316433813746</t>
  </si>
  <si>
    <t>-665.663073521559 112.075759420651 -460.61328315523</t>
  </si>
  <si>
    <t>-670.710826632921 96.9460327326917 -568.966641656556</t>
  </si>
  <si>
    <t>-666.763384445481 79.8417659144102 -677.071729017556</t>
  </si>
  <si>
    <t>-651.95551272229 53.9157522230162 -826.432427052162</t>
  </si>
  <si>
    <t>-611.961670813645 27.4719847898282 -916.344594878744</t>
  </si>
  <si>
    <t>-644.526612187184 93.7228624915404 -763.877283890214</t>
  </si>
  <si>
    <t>-559.165529408954 213.233268180864 -756.642316686709</t>
  </si>
  <si>
    <t>-459.246165487639 153.163410467792 -462.373722408257</t>
  </si>
  <si>
    <t>-297.338121366812 19.9063265518466 -308.521951203978</t>
  </si>
  <si>
    <t>-672.488389254107 37.0516463115114 -756.812541699971</t>
  </si>
  <si>
    <t>-451.092179487375 14.805766803308 -347.125077086733</t>
  </si>
  <si>
    <t>-579.924727120922 229.619547191322 -245.071164026096</t>
  </si>
  <si>
    <t>-590.80835504169 209.76285233028 210.060499225899</t>
  </si>
  <si>
    <t>-626.655827180966 167.951504708113 676.417839063298</t>
  </si>
  <si>
    <t>-493.743356365695 93.8869699572929 764.691442897316</t>
  </si>
  <si>
    <t>-644.945164725209 44.9395941756013 -207.513126484538</t>
  </si>
  <si>
    <t>-547.815035952563 -10.6446444456319 234.226348782475</t>
  </si>
  <si>
    <t>-742.170135025704 125.438387298217 639.617504220919</t>
  </si>
  <si>
    <t>-683.061528953677 -6.49928069545035 739.827953738031</t>
  </si>
  <si>
    <t>9763-20170724T160644.720709900.bin</t>
  </si>
  <si>
    <t>-612.688082496529 136.98590510597 -226.568479979449</t>
  </si>
  <si>
    <t>-650.254876459799 126.483397160229 -341.225585128966</t>
  </si>
  <si>
    <t>-665.952373063584 111.8641391233 -460.516879904309</t>
  </si>
  <si>
    <t>-671.048655633366 96.7468068525914 -568.869822690411</t>
  </si>
  <si>
    <t>-667.152569241855 79.6608398636176 -676.979671349762</t>
  </si>
  <si>
    <t>-652.418661762476 53.7669670147959 -826.353231258306</t>
  </si>
  <si>
    <t>-612.404279597112 27.2912719938017 -916.246765853357</t>
  </si>
  <si>
    <t>-644.9611883394 93.5617426165597 -763.793653778783</t>
  </si>
  <si>
    <t>-559.62533762801 213.092675312673 -756.52751636179</t>
  </si>
  <si>
    <t>-459.961736716319 152.838896589481 -462.210062636136</t>
  </si>
  <si>
    <t>-297.930803956141 19.5610195663955 -308.505640721648</t>
  </si>
  <si>
    <t>-672.914660492023 36.886745097142 -756.726421486497</t>
  </si>
  <si>
    <t>-450.690923351275 13.9072217956546 -347.064502425244</t>
  </si>
  <si>
    <t>-580.098256368466 229.326328269032 -245.018966573597</t>
  </si>
  <si>
    <t>-590.922799636115 209.612844898541 210.120392661485</t>
  </si>
  <si>
    <t>-626.697988920467 167.863871810112 676.466269187713</t>
  </si>
  <si>
    <t>-493.885084705942 93.6536279966572 764.767349731296</t>
  </si>
  <si>
    <t>-645.174430102658 44.7607972850392 -207.389260249906</t>
  </si>
  <si>
    <t>-547.84358783547 -10.956536555819 234.289331046246</t>
  </si>
  <si>
    <t>-742.135903644245 125.462796719365 639.581791659533</t>
  </si>
  <si>
    <t>-683.091844157849 -6.45918723078398 739.850851587913</t>
  </si>
  <si>
    <t>9763-20170724T160644.787960700.bin</t>
  </si>
  <si>
    <t>-613.021052532982 136.639246758858 -226.482038116735</t>
  </si>
  <si>
    <t>-650.715908378249 126.169267027345 -341.100030016056</t>
  </si>
  <si>
    <t>-666.561909787571 111.530872091207 -460.369418397338</t>
  </si>
  <si>
    <t>-671.799324047708 96.3786164696512 -568.710712440697</t>
  </si>
  <si>
    <t>-668.050360805475 79.2421989246548 -676.817731896785</t>
  </si>
  <si>
    <t>-653.526098712474 53.2641621735997 -826.197062113074</t>
  </si>
  <si>
    <t>-613.549993094457 26.712462411906 -916.085448888747</t>
  </si>
  <si>
    <t>-645.966328488194 93.0872482593152 -763.668019207882</t>
  </si>
  <si>
    <t>-560.574832507829 212.587103320661 -756.512175275818</t>
  </si>
  <si>
    <t>-461.11535104015 151.59688100902 -462.277252499193</t>
  </si>
  <si>
    <t>-298.958934788494 18.3897742288254 -308.643821142078</t>
  </si>
  <si>
    <t>-673.938937451596 36.430034064482 -756.534696713512</t>
  </si>
  <si>
    <t>-450.752266634124 13.2277545490692 -346.938496586861</t>
  </si>
  <si>
    <t>-580.450377515228 228.918578824839 -245.001473589669</t>
  </si>
  <si>
    <t>-591.091464836356 209.257377873376 210.144555196909</t>
  </si>
  <si>
    <t>-626.736194279137 167.755041097643 676.534375538581</t>
  </si>
  <si>
    <t>-494.011820804096 93.4445036415068 764.884219539691</t>
  </si>
  <si>
    <t>-645.4712321182 44.4409662314763 -207.307791629883</t>
  </si>
  <si>
    <t>-547.936107094084 -11.1616498372889 234.34021239064</t>
  </si>
  <si>
    <t>-742.136514672865 125.51610842408 639.530218734514</t>
  </si>
  <si>
    <t>-683.046801732928 -6.34500527301179 739.852519137015</t>
  </si>
  <si>
    <t>9763-20170724T160644.828069200.bin</t>
  </si>
  <si>
    <t>-613.133044877722 136.410162546931 -226.492814448002</t>
  </si>
  <si>
    <t>-650.86611457251 125.919717668047 -341.096264620778</t>
  </si>
  <si>
    <t>-666.7685351629 111.242669273945 -460.353452191768</t>
  </si>
  <si>
    <t>-672.064177792923 96.0492610177416 -568.686086631646</t>
  </si>
  <si>
    <t>-668.380205611847 78.8664844879042 -676.787992877649</t>
  </si>
  <si>
    <t>-653.952780866191 52.8195225267634 -826.164822544899</t>
  </si>
  <si>
    <t>-614.006534951289 26.2407609729437 -916.058225274228</t>
  </si>
  <si>
    <t>-646.343585250021 92.667335558594 -763.657414947825</t>
  </si>
  <si>
    <t>-560.938099063145 212.150621456315 -756.562868139044</t>
  </si>
  <si>
    <t>-461.406163648625 151.086248894539 -462.367887063736</t>
  </si>
  <si>
    <t>-299.173451786402 17.9622055348875 -308.742937041634</t>
  </si>
  <si>
    <t>-674.32932078252 36.0216955544067 -756.483107823037</t>
  </si>
  <si>
    <t>-450.751116159224 12.4266027295155 -347.02417688179</t>
  </si>
  <si>
    <t>-580.476489734605 228.627483497547 -245.026321616622</t>
  </si>
  <si>
    <t>-591.06904080775 209.128201512542 210.127803774343</t>
  </si>
  <si>
    <t>-626.720279560368 167.755653597354 676.529551054796</t>
  </si>
  <si>
    <t>-494.059131794709 93.3497130284734 764.894095355437</t>
  </si>
  <si>
    <t>-645.676737072319 44.2584534834948 -207.274895716935</t>
  </si>
  <si>
    <t>-547.990420419625 -11.2700730615763 234.348972332942</t>
  </si>
  <si>
    <t>-742.131882504085 125.549362557386 639.518859669789</t>
  </si>
  <si>
    <t>-683.073479431024 -6.31285266371538 739.858240921161</t>
  </si>
  <si>
    <t>9763-20170724T160644.890236700.bin</t>
  </si>
  <si>
    <t>-613.200810040564 135.975652921949 -226.483138118008</t>
  </si>
  <si>
    <t>-650.931118035545 125.406492320541 -341.080364645253</t>
  </si>
  <si>
    <t>-666.881993333507 110.674004729434 -460.324242478204</t>
  </si>
  <si>
    <t>-672.242638939175 95.4378155587233 -568.647574299703</t>
  </si>
  <si>
    <t>-668.644881816202 78.218013382123 -676.74666373059</t>
  </si>
  <si>
    <t>-654.359298220031 52.1238735755019 -826.128748248999</t>
  </si>
  <si>
    <t>-614.470542206074 25.5101754223738 -916.03749425191</t>
  </si>
  <si>
    <t>-646.669256192357 91.9812785107802 -763.637473169462</t>
  </si>
  <si>
    <t>-561.064297273327 211.339544331018 -756.591318358312</t>
  </si>
  <si>
    <t>-461.395691942024 150.161838982116 -462.466156708501</t>
  </si>
  <si>
    <t>-299.025866337973 17.3275638852094 -308.735411206895</t>
  </si>
  <si>
    <t>-674.691119943019 35.3582593262429 -756.426168055089</t>
  </si>
  <si>
    <t>-451.035250957317 11.7322596027293 -348.08238893268</t>
  </si>
  <si>
    <t>-580.588545823032 228.203425617012 -245.063614359827</t>
  </si>
  <si>
    <t>-591.23119948685 208.910893192975 210.098210831245</t>
  </si>
  <si>
    <t>-626.731885332562 167.749210338111 676.552175218926</t>
  </si>
  <si>
    <t>-494.131600745835 93.2117374813417 764.897204811861</t>
  </si>
  <si>
    <t>-645.664095264562 43.8122020018156 -207.246605020669</t>
  </si>
  <si>
    <t>-547.968772157165 -11.3598270505711 234.41992806131</t>
  </si>
  <si>
    <t>-742.187025837773 125.579814135293 639.521356571809</t>
  </si>
  <si>
    <t>-683.034362319732 -6.21790578836385 739.889870382738</t>
  </si>
  <si>
    <t>9763-20170724T160644.923325600.bin</t>
  </si>
  <si>
    <t>-613.235056036663 135.763368879154 -226.477370062004</t>
  </si>
  <si>
    <t>-650.9790898045 125.16704610754 -341.067589192598</t>
  </si>
  <si>
    <t>-666.976618440636 110.430598609363 -460.304730744692</t>
  </si>
  <si>
    <t>-672.392526632369 95.1997739016024 -568.626140331675</t>
  </si>
  <si>
    <t>-668.862860159167 77.9936520215972 -676.729537892973</t>
  </si>
  <si>
    <t>-654.684664427215 51.9268230976752 -826.126741724811</t>
  </si>
  <si>
    <t>-614.837722269336 25.3003086963622 -916.050208231515</t>
  </si>
  <si>
    <t>-646.946454188279 91.7711797241541 -763.632921426877</t>
  </si>
  <si>
    <t>-561.263188148808 211.069421531644 -756.628357324487</t>
  </si>
  <si>
    <t>-461.431273867093 149.956811978515 -462.544824131832</t>
  </si>
  <si>
    <t>-298.972321264772 17.2872238411403 -308.766109617781</t>
  </si>
  <si>
    <t>-674.969727557862 35.1499499598303 -756.413180240654</t>
  </si>
  <si>
    <t>-451.110946476507 11.6195993799397 -348.126599209566</t>
  </si>
  <si>
    <t>-580.674496685593 227.976067186379 -245.066912275191</t>
  </si>
  <si>
    <t>-591.277677114308 208.798765819885 210.100617252752</t>
  </si>
  <si>
    <t>-626.753139301084 167.711479659145 676.568416713906</t>
  </si>
  <si>
    <t>-494.151461241459 93.1619976814154 764.901230215449</t>
  </si>
  <si>
    <t>-645.650193673603 43.6541003628049 -207.196252511301</t>
  </si>
  <si>
    <t>-547.840356245183 -11.4332253401974 234.455536498554</t>
  </si>
  <si>
    <t>-742.142404559184 125.59569054155 639.47951766724</t>
  </si>
  <si>
    <t>-683.075696444247 -6.19326529192199 739.910124702248</t>
  </si>
  <si>
    <t>9763-20170724T160644.987508000.bin</t>
  </si>
  <si>
    <t>-613.418133296499 135.391660757313 -226.434346822132</t>
  </si>
  <si>
    <t>-651.253199081547 124.801342111412 -340.995079421455</t>
  </si>
  <si>
    <t>-667.349955391959 110.028884519367 -460.214312518184</t>
  </si>
  <si>
    <t>-672.85776965242 94.7528497918518 -568.524809220421</t>
  </si>
  <si>
    <t>-669.421012284746 77.4920515839217 -676.622403725907</t>
  </si>
  <si>
    <t>-655.372169087711 51.3419014040103 -826.017329944445</t>
  </si>
  <si>
    <t>-615.571625114146 24.6183144459678 -915.932529087757</t>
  </si>
  <si>
    <t>-647.60541967831 91.2332132057272 -763.557053713129</t>
  </si>
  <si>
    <t>-561.952973827403 210.54989332808 -756.65926003561</t>
  </si>
  <si>
    <t>-461.730822244888 149.337471257295 -462.729389289065</t>
  </si>
  <si>
    <t>-299.053552630483 17.024678838907 -308.87403362123</t>
  </si>
  <si>
    <t>-675.571276579022 34.5918459796412 -756.272360650312</t>
  </si>
  <si>
    <t>-451.425758176882 11.8192801957362 -348.38536231027</t>
  </si>
  <si>
    <t>-580.87480834107 227.593719743018 -245.060353437564</t>
  </si>
  <si>
    <t>-591.286289343568 208.531050256662 210.116434028085</t>
  </si>
  <si>
    <t>-626.792881948581 167.567606649365 676.594462654907</t>
  </si>
  <si>
    <t>-494.191099781134 93.0280307133605 764.935486008347</t>
  </si>
  <si>
    <t>-645.840643031052 43.2635564552779 -207.111642251318</t>
  </si>
  <si>
    <t>-547.608440620339 -11.6447885135976 234.468664337989</t>
  </si>
  <si>
    <t>-741.960998674272 125.642217350634 639.343905583492</t>
  </si>
  <si>
    <t>-683.062704734012 -6.10645619906404 739.926218528411</t>
  </si>
  <si>
    <t>9763-20170724T160645.025611800.bin</t>
  </si>
  <si>
    <t>-613.505612033446 135.243615690685 -226.419428763324</t>
  </si>
  <si>
    <t>-651.396562394522 124.666058085481 -340.962819863275</t>
  </si>
  <si>
    <t>-667.530952958572 109.897905950629 -460.177544140319</t>
  </si>
  <si>
    <t>-673.063999569017 94.6254852884747 -568.487247389014</t>
  </si>
  <si>
    <t>-669.643037348536 77.3698565152879 -676.586126706439</t>
  </si>
  <si>
    <t>-655.606031552069 51.2299208380091 -825.983943184377</t>
  </si>
  <si>
    <t>-615.797052259089 24.4897189123917 -915.890478789519</t>
  </si>
  <si>
    <t>-647.855403391946 91.1269797625566 -763.525198835143</t>
  </si>
  <si>
    <t>-562.171964108855 210.428720945072 -756.627879090169</t>
  </si>
  <si>
    <t>-461.728294714864 149.182787972714 -462.780682968523</t>
  </si>
  <si>
    <t>-298.954251183773 16.9133307743305 -308.99036858436</t>
  </si>
  <si>
    <t>-675.778493070596 34.465141117691 -756.234902629991</t>
  </si>
  <si>
    <t>-451.580779637238 12.1293544077323 -348.578728585524</t>
  </si>
  <si>
    <t>-580.974245793982 227.442475808019 -245.053919735327</t>
  </si>
  <si>
    <t>-591.264842237632 208.402854874128 210.126511558161</t>
  </si>
  <si>
    <t>-626.816253858429 167.487818774698 676.609903420651</t>
  </si>
  <si>
    <t>-494.233002905152 92.9355070414545 764.967995940808</t>
  </si>
  <si>
    <t>-645.903062626905 43.165184241542 -207.080363089936</t>
  </si>
  <si>
    <t>-547.55281397103 -11.7642245979257 234.471041386622</t>
  </si>
  <si>
    <t>-741.926838633206 125.632858926796 639.283056366234</t>
  </si>
  <si>
    <t>-683.053679873401 -6.06874870577349 739.941664200669</t>
  </si>
  <si>
    <t>9763-20170724T160645.088781400.bin</t>
  </si>
  <si>
    <t>-613.605562440498 135.110378915722 -226.390996489035</t>
  </si>
  <si>
    <t>-651.503728725752 124.548459402233 -340.933356486019</t>
  </si>
  <si>
    <t>-667.707205997437 109.735982676025 -460.133221793415</t>
  </si>
  <si>
    <t>-673.328349444698 94.4022319891726 -568.429796837941</t>
  </si>
  <si>
    <t>-670.020744178801 77.0660567596365 -676.519327793257</t>
  </si>
  <si>
    <t>-656.166940835947 50.7959676849941 -825.911230826579</t>
  </si>
  <si>
    <t>-616.362088535777 23.9579796901412 -915.790554456577</t>
  </si>
  <si>
    <t>-648.343963447973 90.7492317900617 -763.497806044025</t>
  </si>
  <si>
    <t>-562.718015568012 210.104667520052 -756.729666781239</t>
  </si>
  <si>
    <t>-461.639367573594 148.825079190764 -463.107268413892</t>
  </si>
  <si>
    <t>-298.900045871104 16.6481865326746 -309.200706555032</t>
  </si>
  <si>
    <t>-676.2497183981 34.0900544456379 -756.122287170735</t>
  </si>
  <si>
    <t>-452.196051479011 12.5358729108702 -349.291443386029</t>
  </si>
  <si>
    <t>-581.122378681867 227.175959929315 -245.019511668927</t>
  </si>
  <si>
    <t>-591.337986391271 208.224427950866 210.16641210393</t>
  </si>
  <si>
    <t>-626.887415877405 167.297544833459 676.679484849516</t>
  </si>
  <si>
    <t>-494.298234320849 92.7650555316129 765.045381639121</t>
  </si>
  <si>
    <t>-645.969713985196 43.1276269288442 -207.064654791202</t>
  </si>
  <si>
    <t>-547.750005708081 -11.9694525067675 234.494915574271</t>
  </si>
  <si>
    <t>-741.926824978694 125.671363426043 639.273883953755</t>
  </si>
  <si>
    <t>-683.166135962337 -6.01818943112767 740.013911056445</t>
  </si>
  <si>
    <t>9763-20170724T160645.124878200.bin</t>
  </si>
  <si>
    <t>-613.67080392388 134.925924896843 -226.38488585674</t>
  </si>
  <si>
    <t>-651.555164107263 124.360195431991 -340.93160615149</t>
  </si>
  <si>
    <t>-667.812997078572 109.542621206451 -460.123460818021</t>
  </si>
  <si>
    <t>-673.51150057006 94.2040421488307 -568.415137759971</t>
  </si>
  <si>
    <t>-670.309200314528 76.8629048772857 -676.507221383086</t>
  </si>
  <si>
    <t>-656.630013943654 50.5860379734886 -825.914116926488</t>
  </si>
  <si>
    <t>-616.85307223255 23.7233461646313 -915.798337818149</t>
  </si>
  <si>
    <t>-648.728483779249 90.5395254701184 -763.510528933346</t>
  </si>
  <si>
    <t>-563.055604450482 209.865224883646 -756.826875555334</t>
  </si>
  <si>
    <t>-461.757252190207 148.527403878631 -463.292471806848</t>
  </si>
  <si>
    <t>-299.071370416554 16.5193273596969 -309.184487806852</t>
  </si>
  <si>
    <t>-676.636745787519 33.8859800520422 -756.101704488587</t>
  </si>
  <si>
    <t>-452.206352739415 12.5430533655456 -349.517049506916</t>
  </si>
  <si>
    <t>-581.186003603219 226.95060361028 -245.011664830399</t>
  </si>
  <si>
    <t>-591.434046710555 208.113952615048 210.178147060145</t>
  </si>
  <si>
    <t>-626.922057001272 167.192582339498 676.70602153946</t>
  </si>
  <si>
    <t>-494.283827535952 92.7447660068794 765.069672320392</t>
  </si>
  <si>
    <t>-646.050006116596 42.9469527690142 -207.062264686062</t>
  </si>
  <si>
    <t>-547.922060755908 -12.0399330830364 234.531421853389</t>
  </si>
  <si>
    <t>-742.023484310602 125.68029831256 639.335659761104</t>
  </si>
  <si>
    <t>-683.129154413299 -5.96520209972732 740.055195964183</t>
  </si>
  <si>
    <t>9763-20170724T160645.190062000.bin</t>
  </si>
  <si>
    <t>-613.829295853775 134.562452260751 -226.336630405925</t>
  </si>
  <si>
    <t>-651.766812667674 124.066266359594 -340.872072502598</t>
  </si>
  <si>
    <t>-668.166821164092 109.259887379051 -460.045792577027</t>
  </si>
  <si>
    <t>-674.030452218271 93.907967140035 -568.326975343254</t>
  </si>
  <si>
    <t>-671.029711202042 76.530045912509 -676.418815422454</t>
  </si>
  <si>
    <t>-657.667745043293 50.1779877745871 -825.841136950341</t>
  </si>
  <si>
    <t>-617.991458838294 23.1762007829998 -915.728097380414</t>
  </si>
  <si>
    <t>-649.588964814777 90.1417985048761 -763.466842403406</t>
  </si>
  <si>
    <t>-563.795657272251 209.392530579048 -756.972626321874</t>
  </si>
  <si>
    <t>-462.160447684 148.068691521937 -463.551622714326</t>
  </si>
  <si>
    <t>-299.618986005383 16.2111593459217 -309.162839127284</t>
  </si>
  <si>
    <t>-677.571061102113 33.5340803099923 -755.985813858521</t>
  </si>
  <si>
    <t>-452.900808957987 11.9883974664326 -349.569168444178</t>
  </si>
  <si>
    <t>-581.274762022301 226.519550388447 -244.98557795292</t>
  </si>
  <si>
    <t>-591.38523452957 207.789332298784 210.211734719232</t>
  </si>
  <si>
    <t>-626.960396751402 167.050326770025 676.751436324025</t>
  </si>
  <si>
    <t>-494.345865735129 92.5722219347197 765.125130914579</t>
  </si>
  <si>
    <t>-646.27586007997 42.6769073729695 -206.998419196689</t>
  </si>
  <si>
    <t>-548.248729362416 -12.2707637574263 234.622513332513</t>
  </si>
  <si>
    <t>-742.127897676774 125.772291447562 639.427064163749</t>
  </si>
  <si>
    <t>-683.136851173966 -5.87229747838387 740.09119142358</t>
  </si>
  <si>
    <t>9763-20170724T160645.229168300.bin</t>
  </si>
  <si>
    <t>-613.844809296799 134.38378141625 -226.273140712576</t>
  </si>
  <si>
    <t>-651.799566671174 123.913644236108 -340.805256306209</t>
  </si>
  <si>
    <t>-668.264642561815 109.132183543174 -459.973034734417</t>
  </si>
  <si>
    <t>-674.206776589326 93.8019864619948 -568.252982171655</t>
  </si>
  <si>
    <t>-671.303544441826 76.4453528451327 -676.350976132595</t>
  </si>
  <si>
    <t>-658.096528336 50.1221035799374 -825.792045392225</t>
  </si>
  <si>
    <t>-618.448721709723 23.009731947443 -915.658327879085</t>
  </si>
  <si>
    <t>-649.916521899014 90.0567079909658 -763.412266630421</t>
  </si>
  <si>
    <t>-563.957025407407 209.181282579774 -757.007526443</t>
  </si>
  <si>
    <t>-462.244443531397 147.897198837659 -463.604980850139</t>
  </si>
  <si>
    <t>-299.756519907953 16.0686968986363 -309.135006543773</t>
  </si>
  <si>
    <t>-677.963874397809 33.4820032715454 -755.925731825286</t>
  </si>
  <si>
    <t>-453.211590545531 11.9095551272419 -350.018595574027</t>
  </si>
  <si>
    <t>-581.200913741743 226.246982081334 -244.95694598824</t>
  </si>
  <si>
    <t>-591.291290294499 207.62777447056 210.245446061304</t>
  </si>
  <si>
    <t>-626.975241415561 166.950860174122 676.770312601024</t>
  </si>
  <si>
    <t>-494.343313157648 92.5277631965569 765.164213215213</t>
  </si>
  <si>
    <t>-646.355787770298 42.5784244430267 -206.927305404244</t>
  </si>
  <si>
    <t>-548.293839726665 -12.5177266558412 234.667383763111</t>
  </si>
  <si>
    <t>-742.07698694486 125.8503685186 639.405067281839</t>
  </si>
  <si>
    <t>-683.178838336369 -5.82848083150157 740.07882096698</t>
  </si>
  <si>
    <t>9763-20170724T160645.291011400.bin</t>
  </si>
  <si>
    <t>-613.800606633536 133.857868140387 -226.220182784696</t>
  </si>
  <si>
    <t>-651.905823396189 123.477165589185 -340.710615004742</t>
  </si>
  <si>
    <t>-668.651959698315 108.810740056618 -459.85354229837</t>
  </si>
  <si>
    <t>-674.89990697182 93.5943026369891 -568.132178769686</t>
  </si>
  <si>
    <t>-672.352130981936 76.3612174322898 -676.25876664117</t>
  </si>
  <si>
    <t>-659.68849305828 50.2195224943594 -825.778871829691</t>
  </si>
  <si>
    <t>-619.971108199192 22.6534942235899 -915.476331293728</t>
  </si>
  <si>
    <t>-651.205927696282 90.0424311417955 -763.368084878111</t>
  </si>
  <si>
    <t>-565.004270885745 209.009156045531 -757.050791739169</t>
  </si>
  <si>
    <t>-462.988146904738 147.376185422087 -463.826887336028</t>
  </si>
  <si>
    <t>-300.571221944146 15.6270590833351 -309.214639749549</t>
  </si>
  <si>
    <t>-679.377555832872 33.5304403527223 -755.873729132036</t>
  </si>
  <si>
    <t>-453.692693909322 11.5299584860531 -350.004491592144</t>
  </si>
  <si>
    <t>-580.935338761559 225.615085547731 -244.944935152247</t>
  </si>
  <si>
    <t>-590.784156456055 207.103256584806 210.267104588809</t>
  </si>
  <si>
    <t>-626.967696673517 166.8334024437 676.790709002634</t>
  </si>
  <si>
    <t>-494.383401825176 92.3899744004564 765.238956999897</t>
  </si>
  <si>
    <t>-646.555723092424 42.1763377604925 -206.819783835034</t>
  </si>
  <si>
    <t>-548.269423795164 -13.1987605372999 234.690242656663</t>
  </si>
  <si>
    <t>-742.014009472663 125.841774963126 639.243400978422</t>
  </si>
  <si>
    <t>-683.212455363128 -5.78091954328124 740.046998725021</t>
  </si>
  <si>
    <t>9763-20170724T160645.323096800.bin</t>
  </si>
  <si>
    <t>-613.64805215407 133.566434893064 -226.183821619847</t>
  </si>
  <si>
    <t>-651.880157184099 123.241548090387 -340.636849729219</t>
  </si>
  <si>
    <t>-668.81448217886 108.656215479348 -459.763084965857</t>
  </si>
  <si>
    <t>-675.25616589464 93.5214217831692 -568.041832155443</t>
  </si>
  <si>
    <t>-672.924858249081 76.3768165365514 -676.187452309195</t>
  </si>
  <si>
    <t>-660.584408903915 50.3641780120918 -825.757084546507</t>
  </si>
  <si>
    <t>-620.743365507454 22.4743383771329 -915.299455359489</t>
  </si>
  <si>
    <t>-651.938129417915 90.1193704118446 -763.325684475103</t>
  </si>
  <si>
    <t>-565.629812049756 209.009241568869 -757.043719788459</t>
  </si>
  <si>
    <t>-463.451205212789 147.061801695297 -463.942563014161</t>
  </si>
  <si>
    <t>-301.047532362725 15.3067137622463 -309.321398511616</t>
  </si>
  <si>
    <t>-680.151258210719 33.6285085560971 -755.828683860887</t>
  </si>
  <si>
    <t>-454.177924059461 11.631259459858 -349.916822914042</t>
  </si>
  <si>
    <t>-580.748013727215 225.277488817961 -244.936641489717</t>
  </si>
  <si>
    <t>-590.105551156331 206.60768538902 210.279193568646</t>
  </si>
  <si>
    <t>-626.973596146002 166.788416250745 676.804032928552</t>
  </si>
  <si>
    <t>-494.444360490668 92.2842556887224 765.283676476057</t>
  </si>
  <si>
    <t>-646.394898601717 41.9342666594127 -206.791025741712</t>
  </si>
  <si>
    <t>-548.115276925006 -13.5257001293878 234.709820880754</t>
  </si>
  <si>
    <t>-741.960016576797 125.796813324579 639.118628614567</t>
  </si>
  <si>
    <t>-683.241346576269 -5.76899529245952 740.044796265019</t>
  </si>
  <si>
    <t>9763-20170724T160645.394150200.bin</t>
  </si>
  <si>
    <t>-613.175327374806 132.978529993755 -226.179145594854</t>
  </si>
  <si>
    <t>-652.089223367796 122.927421773055 -340.426752611326</t>
  </si>
  <si>
    <t>-669.564597886066 108.603099551223 -459.506487713792</t>
  </si>
  <si>
    <t>-676.430815132608 93.6900232122928 -567.789986273818</t>
  </si>
  <si>
    <t>-674.457044403702 76.7480031765194 -675.974609774983</t>
  </si>
  <si>
    <t>-662.543265045997 50.9924629944555 -825.623213334067</t>
  </si>
  <si>
    <t>-622.448806936923 22.4391192196083 -914.842769733014</t>
  </si>
  <si>
    <t>-653.678790917687 90.6211726217944 -763.141979185049</t>
  </si>
  <si>
    <t>-567.248261975015 209.414983184819 -756.868659786455</t>
  </si>
  <si>
    <t>-464.774553143898 146.952417981387 -463.980033738958</t>
  </si>
  <si>
    <t>-302.29292954599 15.2325829907254 -309.410715188631</t>
  </si>
  <si>
    <t>-681.950670759868 34.1558401670802 -755.674705088075</t>
  </si>
  <si>
    <t>-455.226963577414 10.876865213608 -350.089373944365</t>
  </si>
  <si>
    <t>-580.462838845142 224.778744524007 -244.909261439685</t>
  </si>
  <si>
    <t>-587.48932576473 204.857149466688 210.295449898567</t>
  </si>
  <si>
    <t>-626.999863506783 166.582364326599 676.800947187852</t>
  </si>
  <si>
    <t>-494.531897766036 92.0829473353335 765.376271533499</t>
  </si>
  <si>
    <t>-645.815505141418 41.2982816637657 -206.837225891965</t>
  </si>
  <si>
    <t>-547.461157942781 -13.9475042301597 234.673802728337</t>
  </si>
  <si>
    <t>-741.756583718164 125.62180143324 638.784528925445</t>
  </si>
  <si>
    <t>-683.230035790741 -5.73695279669801 740.091177826243</t>
  </si>
  <si>
    <t>9763-20170724T160645.424201300.bin</t>
  </si>
  <si>
    <t>-612.845112151736 132.722967368821 -226.191043068332</t>
  </si>
  <si>
    <t>-652.205739427009 122.862072970883 -340.301959313023</t>
  </si>
  <si>
    <t>-669.992013706892 108.716872868868 -459.357120761802</t>
  </si>
  <si>
    <t>-677.079011049275 93.9551431894945 -567.647107003566</t>
  </si>
  <si>
    <t>-675.264298951625 77.1507855045118 -675.856046555082</t>
  </si>
  <si>
    <t>-663.50693157302 51.570013384395 -825.546947658465</t>
  </si>
  <si>
    <t>-623.364188886875 22.7594955626598 -914.662091047517</t>
  </si>
  <si>
    <t>-654.559651902952 91.1173306794456 -763.025933648</t>
  </si>
  <si>
    <t>-568.04948813719 209.845718389147 -756.675237286131</t>
  </si>
  <si>
    <t>-465.429239358298 147.057100607507 -463.907663740043</t>
  </si>
  <si>
    <t>-302.856841533906 15.4302593883897 -309.35466137245</t>
  </si>
  <si>
    <t>-682.858760792464 34.6600809680053 -755.600668823845</t>
  </si>
  <si>
    <t>-455.892090632989 10.8749903417411 -350.522067071842</t>
  </si>
  <si>
    <t>-580.283860849175 224.440593845052 -244.848369051797</t>
  </si>
  <si>
    <t>-585.694004208079 203.55200916973 210.335260067851</t>
  </si>
  <si>
    <t>-627.032155457532 166.434672448554 676.806559210301</t>
  </si>
  <si>
    <t>-494.566845187462 91.9858182676219 765.428326783633</t>
  </si>
  <si>
    <t>-645.328481083393 41.1780853925688 -206.90488590175</t>
  </si>
  <si>
    <t>-547.007841724811 -14.1354315260633 234.605186401842</t>
  </si>
  <si>
    <t>-741.505773911584 125.530817042001 638.561557488437</t>
  </si>
  <si>
    <t>-683.224098365586 -5.72670924667796 740.14018075064</t>
  </si>
  <si>
    <t>9763-20170724T160645.493466300.bin</t>
  </si>
  <si>
    <t>-611.570857094451 132.214717137206 -226.257249732361</t>
  </si>
  <si>
    <t>-651.7561081121 122.809966746475 -340.118953764898</t>
  </si>
  <si>
    <t>-670.204431388272 109.082420323038 -459.122323819924</t>
  </si>
  <si>
    <t>-677.814279794595 94.6728996887771 -567.424264614505</t>
  </si>
  <si>
    <t>-676.443606016862 78.1901058207641 -675.689194832508</t>
  </si>
  <si>
    <t>-665.219978016711 53.0201214189212 -825.490722804647</t>
  </si>
  <si>
    <t>-625.262965824073 23.8735868387387 -914.579932732905</t>
  </si>
  <si>
    <t>-656.016025761782 92.3795996283807 -762.888443011599</t>
  </si>
  <si>
    <t>-569.388866038091 211.020475176892 -756.370233146122</t>
  </si>
  <si>
    <t>-466.053430210131 147.306533801226 -464.054443120473</t>
  </si>
  <si>
    <t>-303.373640240321 15.9473290241897 -309.386735571024</t>
  </si>
  <si>
    <t>-684.356216432609 35.9344292257802 -755.527771034265</t>
  </si>
  <si>
    <t>-456.325388623757 10.5233859550224 -352.810377197899</t>
  </si>
  <si>
    <t>-579.427307733257 223.565246424223 -244.659118682747</t>
  </si>
  <si>
    <t>-581.928030062664 200.66702566017 210.453091806731</t>
  </si>
  <si>
    <t>-627.147746852086 166.03258722044 676.847820808822</t>
  </si>
  <si>
    <t>-494.559078589865 91.8838825243092 765.536792802562</t>
  </si>
  <si>
    <t>-643.507339152296 41.0272555733634 -207.216898757011</t>
  </si>
  <si>
    <t>-546.166838638945 -14.748975167078 234.452102007928</t>
  </si>
  <si>
    <t>-740.918511465237 125.203680804149 638.096983457443</t>
  </si>
  <si>
    <t>-683.140434393861 -5.72573923749314 740.384306856374</t>
  </si>
  <si>
    <t>9763-20170724T160645.522546000.bin</t>
  </si>
  <si>
    <t>-610.824621514447 131.733563999061 -226.308966478213</t>
  </si>
  <si>
    <t>-651.3528040274 122.588764044116 -340.07022101859</t>
  </si>
  <si>
    <t>-670.151305526216 109.136464620965 -459.050235915858</t>
  </si>
  <si>
    <t>-678.077096781466 94.9757647670729 -567.362361612081</t>
  </si>
  <si>
    <t>-677.019939125614 78.7382985693766 -675.66777718048</t>
  </si>
  <si>
    <t>-666.228139867168 53.9026631957731 -825.556824219298</t>
  </si>
  <si>
    <t>-626.503978697036 24.7343879564824 -914.743053720709</t>
  </si>
  <si>
    <t>-656.813642877256 93.1080196775881 -762.889106574967</t>
  </si>
  <si>
    <t>-570.053683761155 211.650172242954 -756.290899083641</t>
  </si>
  <si>
    <t>-466.14232994581 147.300901495897 -464.318653803278</t>
  </si>
  <si>
    <t>-303.479289487407 16.1029646941752 -309.496562015251</t>
  </si>
  <si>
    <t>-685.192641827225 36.6753779004425 -755.581877188443</t>
  </si>
  <si>
    <t>-456.152460184124 9.59136458379658 -354.278168129481</t>
  </si>
  <si>
    <t>-578.890259405329 222.963446058897 -244.5524970779</t>
  </si>
  <si>
    <t>-580.273329471596 199.288287203912 210.524659452117</t>
  </si>
  <si>
    <t>-627.211629664322 165.80692128881 676.881510259493</t>
  </si>
  <si>
    <t>-494.551054539763 91.80995467452 765.5896160693</t>
  </si>
  <si>
    <t>-642.640178213871 40.529088604256 -207.373102864432</t>
  </si>
  <si>
    <t>-545.708211217694 -15.1584278875584 234.396894156803</t>
  </si>
  <si>
    <t>-740.621448606649 124.984903437688 637.868413752743</t>
  </si>
  <si>
    <t>-683.143639452671 -5.75262186855025 740.569423573276</t>
  </si>
  <si>
    <t>9763-20170724T160645.595500400.bin</t>
  </si>
  <si>
    <t>-609.631366597628 130.426451645109 -226.204818335708</t>
  </si>
  <si>
    <t>-650.634269516117 121.762190989262 -339.833597772373</t>
  </si>
  <si>
    <t>-670.041740861895 108.867994742265 -458.777490073525</t>
  </si>
  <si>
    <t>-678.568216183707 95.2322912723719 -567.111254902316</t>
  </si>
  <si>
    <t>-678.158317063176 79.5342276047361 -675.500568064359</t>
  </si>
  <si>
    <t>-668.311436521859 55.4573837780513 -825.578430525228</t>
  </si>
  <si>
    <t>-629.371560537326 26.5683134844144 -915.200295614468</t>
  </si>
  <si>
    <t>-658.428794223295 94.3098464479274 -762.763408231166</t>
  </si>
  <si>
    <t>-571.320416408436 212.592892860935 -756.093098420571</t>
  </si>
  <si>
    <t>-466.410931687819 146.921298095614 -464.772964502445</t>
  </si>
  <si>
    <t>-304.003205784316 15.6033153445185 -309.784583819679</t>
  </si>
  <si>
    <t>-686.907980898496 37.9114031554259 -755.584002375397</t>
  </si>
  <si>
    <t>-455.720614202519 8.66035144362581 -357.883426683604</t>
  </si>
  <si>
    <t>-577.908858044088 221.500531769931 -244.247823072327</t>
  </si>
  <si>
    <t>-577.834619692822 196.702092026536 210.771622529546</t>
  </si>
  <si>
    <t>-627.356084093539 165.367663247419 677.023853157489</t>
  </si>
  <si>
    <t>-494.446960112767 91.8023451773977 765.718939163856</t>
  </si>
  <si>
    <t>-641.257572174469 39.374937370106 -207.418836121376</t>
  </si>
  <si>
    <t>-544.455404652493 -16.7790850843865 234.320594923959</t>
  </si>
  <si>
    <t>-739.930317271379 124.384144765176 637.176899253538</t>
  </si>
  <si>
    <t>-683.231147194845 -5.85131693062726 740.943110324478</t>
  </si>
  <si>
    <t>9763-20170724T160645.626581200.bin</t>
  </si>
  <si>
    <t>-609.168221176917 129.81338735172 -226.094117591182</t>
  </si>
  <si>
    <t>-650.365455254549 121.385028611216 -339.670305052583</t>
  </si>
  <si>
    <t>-670.017067452382 108.741717510696 -458.601161366315</t>
  </si>
  <si>
    <t>-678.781986652105 95.3383296569452 -566.944850371077</t>
  </si>
  <si>
    <t>-678.626525559935 79.8777614366741 -675.369068965999</t>
  </si>
  <si>
    <t>-669.148178465862 56.1361138757452 -825.523976030429</t>
  </si>
  <si>
    <t>-630.716368269067 27.5788647873017 -915.470964904892</t>
  </si>
  <si>
    <t>-659.096038618814 94.8408369754861 -762.644558839211</t>
  </si>
  <si>
    <t>-571.905644680605 213.055184053043 -755.926809671657</t>
  </si>
  <si>
    <t>-466.59112520816 146.76403540075 -464.893196261476</t>
  </si>
  <si>
    <t>-304.285854613054 15.310751836183 -309.912349921692</t>
  </si>
  <si>
    <t>-687.588135771605 38.4411890796478 -755.525518669482</t>
  </si>
  <si>
    <t>-455.691941092238 8.75020072716438 -359.790571012127</t>
  </si>
  <si>
    <t>-577.428689322321 220.863308720344 -244.075914634969</t>
  </si>
  <si>
    <t>-576.936022690716 195.684783220888 210.922366317402</t>
  </si>
  <si>
    <t>-627.390826333281 165.195117667268 677.094913547046</t>
  </si>
  <si>
    <t>-494.359714440101 91.8590849706709 765.796990131582</t>
  </si>
  <si>
    <t>-640.804251087953 38.8270833591162 -207.346710361174</t>
  </si>
  <si>
    <t>-543.900829843837 -17.8745513503588 234.300590874254</t>
  </si>
  <si>
    <t>-739.60242942349 124.036319851544 636.764977601296</t>
  </si>
  <si>
    <t>-683.214174860242 -5.88535591117716 741.092451249328</t>
  </si>
  <si>
    <t>9763-20170724T160645.689324800.bin</t>
  </si>
  <si>
    <t>-608.263995658396 128.74917137773 -225.821832566304</t>
  </si>
  <si>
    <t>-649.726533017237 120.643064669972 -339.325079487963</t>
  </si>
  <si>
    <t>-669.783406517248 108.445111505363 -458.234564325515</t>
  </si>
  <si>
    <t>-678.967152404485 95.4955284567809 -566.598888733619</t>
  </si>
  <si>
    <t>-679.278906010485 80.5407006346529 -675.093536253577</t>
  </si>
  <si>
    <t>-670.495494254173 57.5569874103683 -825.40858541792</t>
  </si>
  <si>
    <t>-633.18726206514 30.0241906679346 -916.144663953729</t>
  </si>
  <si>
    <t>-660.137312329657 95.936909764368 -762.379939630976</t>
  </si>
  <si>
    <t>-572.862375594773 214.085255295544 -755.548805246689</t>
  </si>
  <si>
    <t>-466.856369838694 146.762919363112 -465.003516066302</t>
  </si>
  <si>
    <t>-304.719582580525 15.157953301961 -309.975081256315</t>
  </si>
  <si>
    <t>-688.626473113719 39.5162036111446 -755.417857319442</t>
  </si>
  <si>
    <t>-455.707747409778 8.53526400566898 -362.950241086459</t>
  </si>
  <si>
    <t>-576.415605449778 219.744369920975 -243.775002380957</t>
  </si>
  <si>
    <t>-575.461833438892 194.165920891833 211.200312784582</t>
  </si>
  <si>
    <t>-627.409364916042 165.026078988574 677.228550879215</t>
  </si>
  <si>
    <t>-494.305346896088 91.8100825021077 765.920452301433</t>
  </si>
  <si>
    <t>-639.961692183741 37.8095791231201 -207.188077906185</t>
  </si>
  <si>
    <t>-542.77843544847 -20.0628545599282 234.245821676893</t>
  </si>
  <si>
    <t>-738.901486202033 123.507568280425 635.927234448651</t>
  </si>
  <si>
    <t>-683.368654392703 -5.96622929610112 741.265478187387</t>
  </si>
  <si>
    <t>9763-20170724T160645.726423400.bin</t>
  </si>
  <si>
    <t>-607.901232657845 128.288519959413 -225.733643007236</t>
  </si>
  <si>
    <t>-649.488939107162 120.315402564428 -339.200269146472</t>
  </si>
  <si>
    <t>-669.678016459288 108.30324851241 -458.106493509851</t>
  </si>
  <si>
    <t>-678.98166628164 95.5431596906878 -566.483105721808</t>
  </si>
  <si>
    <t>-679.412025377226 80.7995947221016 -675.006257025072</t>
  </si>
  <si>
    <t>-670.790962062433 58.1318852517982 -825.378695746247</t>
  </si>
  <si>
    <t>-633.934990615257 31.1408803490149 -916.461635619386</t>
  </si>
  <si>
    <t>-660.35798801562 96.3758540103015 -762.279823374804</t>
  </si>
  <si>
    <t>-573.028821326502 214.47182392077 -755.351682569092</t>
  </si>
  <si>
    <t>-466.858091724415 146.822566315193 -464.94235525966</t>
  </si>
  <si>
    <t>-304.741809230506 15.1156550316327 -309.979014522449</t>
  </si>
  <si>
    <t>-688.853178944678 39.9472675016716 -755.407263311176</t>
  </si>
  <si>
    <t>-455.343448232285 8.12095548375032 -364.688073236897</t>
  </si>
  <si>
    <t>-576.019398124161 219.282613706975 -243.673170558772</t>
  </si>
  <si>
    <t>-574.889294667766 193.548043022005 211.292952278144</t>
  </si>
  <si>
    <t>-627.452207871685 164.90781332945 677.277057714948</t>
  </si>
  <si>
    <t>-494.261270749889 91.830887012035 765.953129509378</t>
  </si>
  <si>
    <t>-639.64382323947 37.3598929935304 -207.140739824238</t>
  </si>
  <si>
    <t>-542.396342297022 -20.9332600750454 234.223723439449</t>
  </si>
  <si>
    <t>-738.611882484289 123.367806754942 635.604031844515</t>
  </si>
  <si>
    <t>-683.418944313212 -5.95789403956951 741.302319405825</t>
  </si>
  <si>
    <t>9763-20170724T160645.792614600.bin</t>
  </si>
  <si>
    <t>-607.461484570877 127.558828126417 -225.481335037896</t>
  </si>
  <si>
    <t>-649.313287498872 119.748738841689 -338.86231766482</t>
  </si>
  <si>
    <t>-669.694569673293 107.976164122636 -457.759732800034</t>
  </si>
  <si>
    <t>-679.137754710617 95.4629825579307 -566.152891682605</t>
  </si>
  <si>
    <t>-679.671032156829 80.9964111897975 -674.712930788341</t>
  </si>
  <si>
    <t>-671.153167584207 58.7448478884344 -825.153379658677</t>
  </si>
  <si>
    <t>-634.842352207395 32.6651214562389 -916.719444337659</t>
  </si>
  <si>
    <t>-660.67980293459 96.8155920115996 -761.95651071669</t>
  </si>
  <si>
    <t>-573.354373845522 214.897598754078 -754.723422990157</t>
  </si>
  <si>
    <t>-466.877621916153 146.341528203882 -464.638894104228</t>
  </si>
  <si>
    <t>-304.647586111917 14.6112365328515 -309.814578509217</t>
  </si>
  <si>
    <t>-689.1643783093 40.3652802349548 -755.219778855022</t>
  </si>
  <si>
    <t>-455.593366258628 7.70607680500893 -367.840424358042</t>
  </si>
  <si>
    <t>-575.526751499806 218.526189971034 -243.406785765851</t>
  </si>
  <si>
    <t>-573.725171081959 192.33582637897 211.53111736143</t>
  </si>
  <si>
    <t>-627.606609619338 164.717920009652 677.44911609898</t>
  </si>
  <si>
    <t>-494.184974811601 91.8982276819356 765.989937384015</t>
  </si>
  <si>
    <t>-639.213584840636 36.6654350933243 -206.93777107385</t>
  </si>
  <si>
    <t>-541.59211055113 -21.9280209444905 234.304210895922</t>
  </si>
  <si>
    <t>-738.226028741637 123.210732982491 635.151446429226</t>
  </si>
  <si>
    <t>-683.582187499929 -5.96543341752863 741.316764079524</t>
  </si>
  <si>
    <t>9763-20170724T160645.824689000.bin</t>
  </si>
  <si>
    <t>-607.277150214695 127.388808211339 -225.437929822541</t>
  </si>
  <si>
    <t>-649.183829360445 119.614072706772 -338.800997002234</t>
  </si>
  <si>
    <t>-669.62419529055 107.963053523384 -457.700292492643</t>
  </si>
  <si>
    <t>-679.120882681866 95.5931406250115 -566.105220410759</t>
  </si>
  <si>
    <t>-679.706911114443 81.3018792993921 -674.688344587037</t>
  </si>
  <si>
    <t>-671.260425261247 59.3264941100908 -825.173361207446</t>
  </si>
  <si>
    <t>-635.055654639828 33.628587150268 -916.889215243043</t>
  </si>
  <si>
    <t>-660.756931124383 97.2811284039039 -761.911542908164</t>
  </si>
  <si>
    <t>-573.394295640712 215.327026406396 -754.504765619787</t>
  </si>
  <si>
    <t>-466.686295002738 146.36564437017 -464.601327784303</t>
  </si>
  <si>
    <t>-304.455771551143 14.5394660222735 -309.859237785564</t>
  </si>
  <si>
    <t>-689.238529247328 40.8187152907151 -755.265033716344</t>
  </si>
  <si>
    <t>-455.532962558175 7.80236587766012 -369.195231810339</t>
  </si>
  <si>
    <t>-575.361716884659 218.392889602001 -243.332690741623</t>
  </si>
  <si>
    <t>-573.244935894779 191.906137625193 211.586711161098</t>
  </si>
  <si>
    <t>-627.566705735886 164.702910594361 677.434755152356</t>
  </si>
  <si>
    <t>-494.123824068886 91.9348020795996 765.985978996043</t>
  </si>
  <si>
    <t>-638.994551940239 36.5147095227121 -206.923173546433</t>
  </si>
  <si>
    <t>-541.295420442534 -22.0938735207862 234.299725352808</t>
  </si>
  <si>
    <t>-738.081330364146 123.224642400461 635.020219428622</t>
  </si>
  <si>
    <t>-683.653913557621 -5.94993129374393 741.2986823974</t>
  </si>
  <si>
    <t>9763-20170724T160645.889518400.bin</t>
  </si>
  <si>
    <t>-607.029141651423 127.335164514599 -225.429769288295</t>
  </si>
  <si>
    <t>-648.928086963119 119.536861511927 -338.794119727764</t>
  </si>
  <si>
    <t>-669.413747580608 107.961299065544 -457.692819306832</t>
  </si>
  <si>
    <t>-678.972261403015 95.6999947081463 -566.104713831715</t>
  </si>
  <si>
    <t>-679.639620430423 81.5579916376737 -674.706844831394</t>
  </si>
  <si>
    <t>-671.325388231625 59.8318555894552 -825.235355221397</t>
  </si>
  <si>
    <t>-635.130297905944 34.5988626133087 -917.084157376092</t>
  </si>
  <si>
    <t>-660.779350639642 97.688109751093 -761.92191663886</t>
  </si>
  <si>
    <t>-573.462117596316 215.752495661749 -754.209773121549</t>
  </si>
  <si>
    <t>-466.171195716153 145.953711967022 -464.722410204555</t>
  </si>
  <si>
    <t>-303.81122109879 14.1879118994038 -310.064513459154</t>
  </si>
  <si>
    <t>-689.229084395907 41.2017918947195 -755.340448951394</t>
  </si>
  <si>
    <t>-455.230789191638 7.62440542863033 -372.075269128984</t>
  </si>
  <si>
    <t>-575.095735814393 218.328171755329 -243.295503298163</t>
  </si>
  <si>
    <t>-573.157359545449 191.803184381307 211.62239105582</t>
  </si>
  <si>
    <t>-627.588382497638 164.617789785822 677.481087071447</t>
  </si>
  <si>
    <t>-494.043105020295 91.9918416138523 765.994618896741</t>
  </si>
  <si>
    <t>-638.806125524279 36.4429876120803 -206.939552861899</t>
  </si>
  <si>
    <t>-541.065682944004 -22.1298265336268 234.278830067155</t>
  </si>
  <si>
    <t>-737.986449859726 123.294005886869 634.927087592011</t>
  </si>
  <si>
    <t>-683.704746388875 -5.89540902731369 741.26199981404</t>
  </si>
  <si>
    <t>9763-20170724T160645.921603800.bin</t>
  </si>
  <si>
    <t>-607.00317208519 127.474101903079 -225.418062765654</t>
  </si>
  <si>
    <t>-648.877691829092 119.621669997474 -338.787687803537</t>
  </si>
  <si>
    <t>-669.352982826006 108.062101891087 -457.689705984313</t>
  </si>
  <si>
    <t>-678.9074186663 95.843123725429 -566.106808257962</t>
  </si>
  <si>
    <t>-679.575742892015 81.7705444199339 -674.717931188018</t>
  </si>
  <si>
    <t>-671.267413847704 60.1687307771099 -825.264665117385</t>
  </si>
  <si>
    <t>-635.036148259695 35.1152367108373 -917.148314586785</t>
  </si>
  <si>
    <t>-660.716517685563 97.971489221856 -761.920033791765</t>
  </si>
  <si>
    <t>-573.373593757925 215.999794781906 -754.067643206211</t>
  </si>
  <si>
    <t>-465.835605364707 145.860555250468 -464.754343735517</t>
  </si>
  <si>
    <t>-303.479523072637 14.0653695554379 -310.117219679761</t>
  </si>
  <si>
    <t>-689.170740285676 41.4821468667183 -755.384764258678</t>
  </si>
  <si>
    <t>-454.891926435412 7.15017499841952 -373.91069382985</t>
  </si>
  <si>
    <t>-575.009956654196 218.526294467444 -243.311584475351</t>
  </si>
  <si>
    <t>-573.314808458668 192.111015410805 211.613657912818</t>
  </si>
  <si>
    <t>-627.526094286858 164.659191016002 677.460160694594</t>
  </si>
  <si>
    <t>-494.033251204037 91.9635995888268 765.995613117521</t>
  </si>
  <si>
    <t>-638.840384522426 36.5031911525964 -206.885149400204</t>
  </si>
  <si>
    <t>-541.040709861935 -22.0324638501891 234.32512506782</t>
  </si>
  <si>
    <t>-738.012404604781 123.380701317543 634.95766046238</t>
  </si>
  <si>
    <t>-683.792913012165 -5.88549422236315 741.230906533393</t>
  </si>
  <si>
    <t>9763-20170724T160645.991803600.bin</t>
  </si>
  <si>
    <t>-607.080195098462 127.942866356112 -225.450823562845</t>
  </si>
  <si>
    <t>-648.850500023347 120.023671562487 -338.854166306176</t>
  </si>
  <si>
    <t>-669.224243522218 108.476317311548 -457.774937076779</t>
  </si>
  <si>
    <t>-678.688264337726 96.3009885189399 -566.204816934117</t>
  </si>
  <si>
    <t>-679.267269765004 82.3051059477978 -674.826309191861</t>
  </si>
  <si>
    <t>-670.83564992039 60.8444211132378 -825.386416806252</t>
  </si>
  <si>
    <t>-634.437958856814 36.0008447802563 -917.261334982662</t>
  </si>
  <si>
    <t>-660.336120156653 98.5877018463902 -761.997730122112</t>
  </si>
  <si>
    <t>-572.938487353852 216.564265655283 -753.904313737583</t>
  </si>
  <si>
    <t>-465.359341517605 145.951699270842 -464.72128360888</t>
  </si>
  <si>
    <t>-302.932085810975 14.0803027815177 -310.224072576211</t>
  </si>
  <si>
    <t>-688.796559018833 42.0926133722994 -755.538832869794</t>
  </si>
  <si>
    <t>-453.897606005807 6.49723886322295 -378.419655829701</t>
  </si>
  <si>
    <t>-574.97929871772 219.033270941988 -243.382457298543</t>
  </si>
  <si>
    <t>-573.678050889028 192.748766512461 211.551645911396</t>
  </si>
  <si>
    <t>-627.448526733726 164.665667067093 677.441714099568</t>
  </si>
  <si>
    <t>-493.962579809505 91.9965047175003 766.009245305831</t>
  </si>
  <si>
    <t>-639.022576917102 36.9356545389551 -206.870341361464</t>
  </si>
  <si>
    <t>-541.170001163761 -21.7862738478784 234.303411803483</t>
  </si>
  <si>
    <t>-738.148769904412 123.539183070361 635.007199888632</t>
  </si>
  <si>
    <t>-683.880898403979 -5.84117530043864 741.116769664998</t>
  </si>
  <si>
    <t>9763-20170724T160646.027899900.bin</t>
  </si>
  <si>
    <t>-607.188034286537 128.219521642675 -225.484598812257</t>
  </si>
  <si>
    <t>-648.915855710085 120.275382359476 -338.90189046841</t>
  </si>
  <si>
    <t>-669.237563841878 108.716926516845 -457.830439708476</t>
  </si>
  <si>
    <t>-678.65046659762 96.5397279932536 -566.264625917605</t>
  </si>
  <si>
    <t>-679.174169314774 82.5515382920537 -674.887383120929</t>
  </si>
  <si>
    <t>-670.661186920807 61.1127352551364 -825.446102862218</t>
  </si>
  <si>
    <t>-634.165591111825 36.3038845300709 -917.291445620775</t>
  </si>
  <si>
    <t>-660.209657464674 98.8533331724459 -762.047853840731</t>
  </si>
  <si>
    <t>-572.820229698942 216.83968800556 -753.905639489954</t>
  </si>
  <si>
    <t>-465.285079154083 145.907747154942 -464.784507037081</t>
  </si>
  <si>
    <t>-302.858748629397 14.0230332506819 -310.29769051077</t>
  </si>
  <si>
    <t>-688.646238835377 42.3440739103871 -755.609115454691</t>
  </si>
  <si>
    <t>-453.616705359611 6.49785245290695 -380.913795678315</t>
  </si>
  <si>
    <t>-574.972110590257 219.304946605124 -243.426789197038</t>
  </si>
  <si>
    <t>-573.773904300073 192.994078147023 211.506121082185</t>
  </si>
  <si>
    <t>-627.377998496459 164.709515933175 677.392934010167</t>
  </si>
  <si>
    <t>-493.965459960173 91.9668260388655 766.010662282444</t>
  </si>
  <si>
    <t>-639.258987363383 37.2271035492697 -206.883001978775</t>
  </si>
  <si>
    <t>-541.528581529017 -21.616483960433 234.301655508309</t>
  </si>
  <si>
    <t>-738.289813742722 123.696796024136 635.151736583261</t>
  </si>
  <si>
    <t>-683.945110078287 -5.80938243539072 741.068272788397</t>
  </si>
  <si>
    <t>9763-20170724T160646.088068800.bin</t>
  </si>
  <si>
    <t>-607.606886790156 128.704479402789 -225.509598170065</t>
  </si>
  <si>
    <t>-649.256073094815 120.647016312417 -338.947825116797</t>
  </si>
  <si>
    <t>-669.489687709365 109.016107653982 -457.884403793374</t>
  </si>
  <si>
    <t>-678.817637874451 96.8000857660597 -566.321465960726</t>
  </si>
  <si>
    <t>-679.250090672855 82.805248595479 -674.943706129384</t>
  </si>
  <si>
    <t>-670.60242716501 61.3957893419599 -825.498929084503</t>
  </si>
  <si>
    <t>-633.939851482301 36.5566487639978 -917.269582794809</t>
  </si>
  <si>
    <t>-660.28111817782 99.1599370849392 -762.09340584897</t>
  </si>
  <si>
    <t>-573.077000176405 217.269518491954 -753.8966528238</t>
  </si>
  <si>
    <t>-464.964183598849 146.085166753704 -465.053088307141</t>
  </si>
  <si>
    <t>-302.728804738916 13.8907146719762 -310.63047836817</t>
  </si>
  <si>
    <t>-688.576403568699 42.5776631479016 -755.672483984462</t>
  </si>
  <si>
    <t>-453.933885240799 7.49504733855292 -385.711548357096</t>
  </si>
  <si>
    <t>-575.126639680503 219.786231482263 -243.519398691445</t>
  </si>
  <si>
    <t>-574.113047333779 193.48559842703 211.414519888532</t>
  </si>
  <si>
    <t>-627.278750096117 164.738531631188 677.316159170481</t>
  </si>
  <si>
    <t>-493.855414427998 92.0967403785241 766.000395313412</t>
  </si>
  <si>
    <t>-639.99786774925 37.6873373928636 -206.836590798238</t>
  </si>
  <si>
    <t>-543.04732998407 -20.9203512856463 234.551486146953</t>
  </si>
  <si>
    <t>-739.026366980997 124.274709424266 635.94159832986</t>
  </si>
  <si>
    <t>-684.09148658197 -5.69348468628527 740.98415323817</t>
  </si>
  <si>
    <t>9763-20170724T160646.126166700.bin</t>
  </si>
  <si>
    <t>-607.88168584224 128.946447245927 -225.520075993362</t>
  </si>
  <si>
    <t>-649.491278850725 120.796087021325 -338.966215647452</t>
  </si>
  <si>
    <t>-669.688046767382 109.104598643908 -457.903091679032</t>
  </si>
  <si>
    <t>-678.98331792618 96.8516290426255 -566.338805401602</t>
  </si>
  <si>
    <t>-679.38286074573 82.840698745088 -674.959114672263</t>
  </si>
  <si>
    <t>-670.688676353625 61.4327796879702 -825.511846622574</t>
  </si>
  <si>
    <t>-633.973576170341 36.5674887986718 -917.254495985342</t>
  </si>
  <si>
    <t>-660.424113016972 99.2141943604977 -762.1074500627</t>
  </si>
  <si>
    <t>-573.384100247437 217.450061648836 -753.854652544482</t>
  </si>
  <si>
    <t>-464.938867946146 146.222205311009 -465.146388377171</t>
  </si>
  <si>
    <t>-302.698824893257 13.9255976072259 -310.816260151895</t>
  </si>
  <si>
    <t>-688.647157071333 42.595922570626 -755.686340985161</t>
  </si>
  <si>
    <t>-454.29911251289 8.29853603739912 -387.583496733894</t>
  </si>
  <si>
    <t>-575.230478869995 220.077103486223 -243.576081014823</t>
  </si>
  <si>
    <t>-574.395700538089 193.850359698223 211.362526332342</t>
  </si>
  <si>
    <t>-627.187324134103 164.849258755218 677.272522721914</t>
  </si>
  <si>
    <t>-493.847046914189 92.0940563263189 765.988691062758</t>
  </si>
  <si>
    <t>-640.447323733887 37.878528921723 -206.807287015853</t>
  </si>
  <si>
    <t>-544.133011042363 -20.3104659459809 234.775338622216</t>
  </si>
  <si>
    <t>-739.580356172105 124.700977276436 636.56732043698</t>
  </si>
  <si>
    <t>-684.150692363545 -5.60252180144084 740.932418072192</t>
  </si>
  <si>
    <t>9763-20170724T160646.189339100.bin</t>
  </si>
  <si>
    <t>-608.561263961198 129.575345473918 -225.61443699731</t>
  </si>
  <si>
    <t>-650.057439060938 121.219245230461 -339.087130128423</t>
  </si>
  <si>
    <t>-670.128653762318 109.392806698973 -458.031818833307</t>
  </si>
  <si>
    <t>-679.305056159332 97.0530661362229 -566.467857318222</t>
  </si>
  <si>
    <t>-679.579915845062 82.994143987205 -675.08231033389</t>
  </si>
  <si>
    <t>-670.705367296356 61.5634580631927 -825.621239880011</t>
  </si>
  <si>
    <t>-633.856857069813 36.6698886676429 -917.302738021925</t>
  </si>
  <si>
    <t>-660.545019739563 99.3682659701153 -762.214017205254</t>
  </si>
  <si>
    <t>-573.593990977148 217.651887380256 -753.919933815556</t>
  </si>
  <si>
    <t>-465.024607862507 146.418001671561 -465.259967993519</t>
  </si>
  <si>
    <t>-302.806734471121 14.0782132185548 -310.943405793995</t>
  </si>
  <si>
    <t>-688.71908681995 42.7235432681446 -755.810956960555</t>
  </si>
  <si>
    <t>-454.595015355008 8.93206920413536 -388.827662230217</t>
  </si>
  <si>
    <t>-575.521248406775 220.690339341295 -243.78242906827</t>
  </si>
  <si>
    <t>-575.324999396525 194.776230676802 211.174828850656</t>
  </si>
  <si>
    <t>-627.083381456681 164.933593038886 677.133631549002</t>
  </si>
  <si>
    <t>-493.833292791854 92.1084401508233 765.927901778615</t>
  </si>
  <si>
    <t>-641.482528062822 38.5442483782017 -206.789504261592</t>
  </si>
  <si>
    <t>-546.585520362116 -18.5288007126826 235.245480506957</t>
  </si>
  <si>
    <t>-740.843877268059 125.568608096638 638.027965365389</t>
  </si>
  <si>
    <t>-684.262651309618 -5.45150892836205 740.866688721026</t>
  </si>
  <si>
    <t>9763-20170724T160646.223429100.bin</t>
  </si>
  <si>
    <t>-608.922293862317 130.012267135407 -225.732164384551</t>
  </si>
  <si>
    <t>-650.357091307868 121.613868895525 -339.224235698887</t>
  </si>
  <si>
    <t>-670.391180409543 109.735018560778 -458.169919625773</t>
  </si>
  <si>
    <t>-679.544245324508 97.3484134497094 -566.602574984168</t>
  </si>
  <si>
    <t>-679.805829672687 83.2458938220075 -675.21154031604</t>
  </si>
  <si>
    <t>-670.922992905919 61.7603233655159 -825.742210932145</t>
  </si>
  <si>
    <t>-634.031977639914 36.8312427839905 -917.39683663834</t>
  </si>
  <si>
    <t>-660.77504988138 99.5925696616659 -762.349153296018</t>
  </si>
  <si>
    <t>-573.833117275682 217.912545739523 -754.074088916701</t>
  </si>
  <si>
    <t>-465.324496275342 146.852527414004 -465.34843385897</t>
  </si>
  <si>
    <t>-303.154569279282 14.4672774675603 -311.020533797078</t>
  </si>
  <si>
    <t>-688.93155838274 42.9416393784404 -755.924806804548</t>
  </si>
  <si>
    <t>-454.392266747354 10.0597424675875 -388.899418833583</t>
  </si>
  <si>
    <t>-575.673190953241 221.127930668903 -243.928066359241</t>
  </si>
  <si>
    <t>-575.874816026378 195.343694561364 211.036502718259</t>
  </si>
  <si>
    <t>-627.012894059807 165.061353716644 677.030862149028</t>
  </si>
  <si>
    <t>-493.89294806668 92.0631214592645 765.87818912374</t>
  </si>
  <si>
    <t>-641.988937842563 39.0584270416309 -206.891758522915</t>
  </si>
  <si>
    <t>-547.703912523998 -17.5915303178256 235.328451066451</t>
  </si>
  <si>
    <t>-741.335388734002 125.926284770374 638.64806247189</t>
  </si>
  <si>
    <t>-684.328383990682 -5.40222526574689 740.856423431279</t>
  </si>
  <si>
    <t>9763-20170724T160646.293622200.bin</t>
  </si>
  <si>
    <t>-609.792675344093 131.03238743187 -225.88365727442</t>
  </si>
  <si>
    <t>-651.049403616606 122.583180973542 -339.436669397122</t>
  </si>
  <si>
    <t>-670.940717462933 110.545740164893 -458.390435028035</t>
  </si>
  <si>
    <t>-679.981543800907 97.9801210375165 -566.812012392614</t>
  </si>
  <si>
    <t>-680.148641789873 83.6679562528132 -675.393747730227</t>
  </si>
  <si>
    <t>-671.153420284847 61.8636220210315 -825.871691157081</t>
  </si>
  <si>
    <t>-634.20130636106 36.797797264006 -917.464511719986</t>
  </si>
  <si>
    <t>-661.058840694358 99.8328354515772 -762.552321605152</t>
  </si>
  <si>
    <t>-574.156375427802 218.172376069986 -754.47404486794</t>
  </si>
  <si>
    <t>-465.996952785163 147.185585517159 -465.599422171303</t>
  </si>
  <si>
    <t>-303.948748207558 14.7167170184148 -311.215255419064</t>
  </si>
  <si>
    <t>-689.208270843154 43.1898220968494 -756.027371900112</t>
  </si>
  <si>
    <t>-454.736677768044 11.1046308006016 -386.989516484205</t>
  </si>
  <si>
    <t>-576.136400780174 222.083203966993 -244.181273842533</t>
  </si>
  <si>
    <t>-576.8620569016 196.431231221527 210.790252291144</t>
  </si>
  <si>
    <t>-626.873764433808 165.278223154713 676.853684709349</t>
  </si>
  <si>
    <t>-494.035999704536 91.882252934472 765.795600689568</t>
  </si>
  <si>
    <t>-643.244441652009 40.0935361432773 -206.957645676051</t>
  </si>
  <si>
    <t>-549.478617067342 -16.3242539783841 235.402656579908</t>
  </si>
  <si>
    <t>-741.991097303678 126.45088896274 639.573014509092</t>
  </si>
  <si>
    <t>-684.340183090296 -5.30268808646838 740.86903699271</t>
  </si>
  <si>
    <t>9763-20170724T160646.328715000.bin</t>
  </si>
  <si>
    <t>-610.168892327853 131.375331788615 -225.935941950058</t>
  </si>
  <si>
    <t>-651.361381753769 122.910417945797 -339.51121953892</t>
  </si>
  <si>
    <t>-671.181314848458 110.828064567331 -458.472247670939</t>
  </si>
  <si>
    <t>-680.156011442972 98.2103984486323 -566.893276835718</t>
  </si>
  <si>
    <t>-680.255669816836 83.8356382373254 -675.466677001263</t>
  </si>
  <si>
    <t>-671.166002817568 61.933690174159 -825.925011184106</t>
  </si>
  <si>
    <t>-634.16198074487 36.7954746102157 -917.476947638849</t>
  </si>
  <si>
    <t>-661.111009371944 99.9440832477935 -762.62383521625</t>
  </si>
  <si>
    <t>-574.166954313335 218.270200418558 -754.628789772294</t>
  </si>
  <si>
    <t>-466.118704623593 147.416926363754 -465.67962224824</t>
  </si>
  <si>
    <t>-304.13553725881 14.9349142000176 -311.238735815313</t>
  </si>
  <si>
    <t>-689.264671703529 43.3053057300506 -756.079902954744</t>
  </si>
  <si>
    <t>-455.278252354097 12.5944214687106 -384.501881300961</t>
  </si>
  <si>
    <t>-576.454461060576 222.406297217132 -244.252700135117</t>
  </si>
  <si>
    <t>-577.229540898905 196.835030940847 210.723286737389</t>
  </si>
  <si>
    <t>-626.821427987331 165.384470035244 676.800244669736</t>
  </si>
  <si>
    <t>-493.999474636299 91.9694997001238 765.750112663272</t>
  </si>
  <si>
    <t>-643.646209810388 40.4144167471434 -206.994142619258</t>
  </si>
  <si>
    <t>-549.905438780791 -16.0156721617805 235.369901114881</t>
  </si>
  <si>
    <t>-742.130143409968 126.587292897171 639.789643134037</t>
  </si>
  <si>
    <t>-684.381431945015 -5.28714737640667 740.872344025712</t>
  </si>
  <si>
    <t>9763-20170724T160646.388509100.bin</t>
  </si>
  <si>
    <t>-610.778029751608 131.822110506262 -225.837715779521</t>
  </si>
  <si>
    <t>-651.870740503196 123.263821006667 -339.442057681035</t>
  </si>
  <si>
    <t>-671.545224588238 110.982496759135 -458.406976278863</t>
  </si>
  <si>
    <t>-680.372148661227 98.1413253458518 -566.813784072375</t>
  </si>
  <si>
    <t>-680.309883758235 83.4987855398995 -675.351605698759</t>
  </si>
  <si>
    <t>-670.982413702443 61.1783548347753 -825.733624899511</t>
  </si>
  <si>
    <t>-633.890914009227 35.8345697214286 -917.193552118787</t>
  </si>
  <si>
    <t>-661.026994662881 99.3643984283385 -762.522694180142</t>
  </si>
  <si>
    <t>-574.107541437336 217.698998908937 -754.726151472539</t>
  </si>
  <si>
    <t>-465.971539701787 147.214583912397 -465.719655987557</t>
  </si>
  <si>
    <t>-304.163505591679 14.5980644603837 -311.210475026365</t>
  </si>
  <si>
    <t>-689.192043636928 42.7445351850174 -755.865808208272</t>
  </si>
  <si>
    <t>-455.985501973174 12.0265881497098 -378.533976720072</t>
  </si>
  <si>
    <t>-577.083061199556 222.920849807493 -244.218249514514</t>
  </si>
  <si>
    <t>-577.829063712741 197.411446935095 210.7611979788</t>
  </si>
  <si>
    <t>-626.816054823306 165.489071380757 676.806728045958</t>
  </si>
  <si>
    <t>-494.056267253231 91.9280861215216 765.728767357136</t>
  </si>
  <si>
    <t>-644.318124170624 40.7717928148538 -206.765266123276</t>
  </si>
  <si>
    <t>-550.0840271906 -15.9296271959231 235.45932333807</t>
  </si>
  <si>
    <t>-742.253507811846 126.697486057256 639.93404769074</t>
  </si>
  <si>
    <t>-684.378113229485 -5.25113199916973 740.847470066502</t>
  </si>
  <si>
    <t>9763-20170724T160646.425609000.bin</t>
  </si>
  <si>
    <t>-611.027626873615 131.856566173263 -225.780107644576</t>
  </si>
  <si>
    <t>-652.135003092027 123.254157134927 -339.375773535837</t>
  </si>
  <si>
    <t>-671.78639190184 110.905619794958 -458.337536877938</t>
  </si>
  <si>
    <t>-680.577468278445 97.990860102102 -566.738547036731</t>
  </si>
  <si>
    <t>-680.465165297427 83.2598639407099 -675.264350492706</t>
  </si>
  <si>
    <t>-671.054600337765 60.7989502074156 -825.620307872499</t>
  </si>
  <si>
    <t>-633.886296563952 35.365809332932 -917.024167568871</t>
  </si>
  <si>
    <t>-661.1055756759 99.030164260352 -762.435670109349</t>
  </si>
  <si>
    <t>-574.038738808701 217.289454300089 -754.705850878979</t>
  </si>
  <si>
    <t>-466.011043542445 147.103814930273 -465.586181662908</t>
  </si>
  <si>
    <t>-304.278192599562 14.3302634326933 -311.133096870213</t>
  </si>
  <si>
    <t>-689.331419699712 42.4442175039608 -755.749263936308</t>
  </si>
  <si>
    <t>-456.276866598514 11.5234489336879 -375.128683232074</t>
  </si>
  <si>
    <t>-577.366330955281 222.924141682478 -244.179841337868</t>
  </si>
  <si>
    <t>-578.060909577677 197.53581064355 210.806521947364</t>
  </si>
  <si>
    <t>-626.86194959034 165.388011723686 676.843505181038</t>
  </si>
  <si>
    <t>-493.948685404938 92.0454764693623 765.716743543371</t>
  </si>
  <si>
    <t>-644.549680617793 40.8155212559461 -206.681146163497</t>
  </si>
  <si>
    <t>-550.156879258968 -15.9058384257426 235.506983986994</t>
  </si>
  <si>
    <t>-742.266992578422 126.804258410479 640.010795543951</t>
  </si>
  <si>
    <t>-684.373994017411 -5.2188081991535 740.816701924005</t>
  </si>
  <si>
    <t>9763-20170724T160646.494362700.bin</t>
  </si>
  <si>
    <t>-611.571322442146 131.89076898172 -225.687352942271</t>
  </si>
  <si>
    <t>-652.713169936415 123.194504313077 -339.263456276317</t>
  </si>
  <si>
    <t>-672.299422861375 110.654470529686 -458.215978632132</t>
  </si>
  <si>
    <t>-680.990919001707 97.5297273729884 -566.599825204413</t>
  </si>
  <si>
    <t>-680.739096084452 82.5538852533759 -675.09165987102</t>
  </si>
  <si>
    <t>-671.093995877525 59.7186464195227 -825.376664588091</t>
  </si>
  <si>
    <t>-633.76001454052 34.0833474383894 -916.65626483705</t>
  </si>
  <si>
    <t>-661.23761311213 98.1044005862364 -762.271002656606</t>
  </si>
  <si>
    <t>-574.146794206455 216.324366228648 -754.678148683138</t>
  </si>
  <si>
    <t>-466.289583350844 146.37991687622 -465.436473502993</t>
  </si>
  <si>
    <t>-304.6578989751 13.2699540430829 -311.16725319228</t>
  </si>
  <si>
    <t>-689.485670353675 41.5406918136946 -755.48930623527</t>
  </si>
  <si>
    <t>-457.312089790316 12.3992595187779 -370.441072012728</t>
  </si>
  <si>
    <t>-577.817718167126 222.932498184157 -244.205447801068</t>
  </si>
  <si>
    <t>-578.392754021143 197.607986300103 210.784649436988</t>
  </si>
  <si>
    <t>-626.850036444783 165.439269557787 676.818164989848</t>
  </si>
  <si>
    <t>-493.98350050871 92.0503855141542 765.7229966555</t>
  </si>
  <si>
    <t>-645.188969205292 40.9164845301559 -206.512394829786</t>
  </si>
  <si>
    <t>-550.531952988849 -15.6512497123779 235.638988427389</t>
  </si>
  <si>
    <t>-742.39147447819 127.052780140968 640.253058788117</t>
  </si>
  <si>
    <t>-684.398199784258 -5.14527817547196 740.771515487542</t>
  </si>
  <si>
    <t>9763-20170724T160646.525448700.bin</t>
  </si>
  <si>
    <t>-611.92066307707 131.918877413395 -225.681330455581</t>
  </si>
  <si>
    <t>-653.081852615059 123.199126666814 -339.248609351848</t>
  </si>
  <si>
    <t>-672.653501767866 110.61121268679 -458.198396058727</t>
  </si>
  <si>
    <t>-681.317185629219 97.4370013916086 -566.57846358097</t>
  </si>
  <si>
    <t>-681.022478504005 82.4080459397267 -675.062924882627</t>
  </si>
  <si>
    <t>-671.302277339241 59.496927571138 -825.3313517019</t>
  </si>
  <si>
    <t>-633.893288847602 33.812315814964 -916.566551118524</t>
  </si>
  <si>
    <t>-661.492558134191 97.9218896001446 -762.242488286099</t>
  </si>
  <si>
    <t>-574.46096149471 216.214588192113 -754.673410199929</t>
  </si>
  <si>
    <t>-466.597520876133 146.289578742338 -465.42937274508</t>
  </si>
  <si>
    <t>-304.856624105872 13.287673169533 -311.181268241314</t>
  </si>
  <si>
    <t>-689.713669803351 41.3470120816255 -755.442156133009</t>
  </si>
  <si>
    <t>-457.691403703919 12.9135410883516 -367.823863073414</t>
  </si>
  <si>
    <t>-578.109721777181 222.962723327452 -244.231414869686</t>
  </si>
  <si>
    <t>-578.546737826509 197.614361529392 210.757496372286</t>
  </si>
  <si>
    <t>-626.884951329188 165.362790852186 676.831232689797</t>
  </si>
  <si>
    <t>-493.972538484631 92.0477237116593 765.72838961032</t>
  </si>
  <si>
    <t>-645.600045203325 41.0208533859252 -206.458976004912</t>
  </si>
  <si>
    <t>-550.833398281984 -15.5858862351704 235.663931738244</t>
  </si>
  <si>
    <t>-742.509604432352 127.117152069897 640.375719159955</t>
  </si>
  <si>
    <t>-684.397785230356 -5.12377192408076 740.769295996024</t>
  </si>
  <si>
    <t>9763-20170724T160646.593270100.bin</t>
  </si>
  <si>
    <t>-612.775372685376 131.811054547268 -225.750120770086</t>
  </si>
  <si>
    <t>-653.887782569672 122.973345487116 -339.32587683725</t>
  </si>
  <si>
    <t>-673.392252553976 110.17545634233 -458.264454493817</t>
  </si>
  <si>
    <t>-681.988649339979 96.7779151666984 -566.62236095738</t>
  </si>
  <si>
    <t>-681.621294801862 81.4938611142027 -675.070999575287</t>
  </si>
  <si>
    <t>-671.795136008508 58.1974625415858 -825.273365784456</t>
  </si>
  <si>
    <t>-634.291814172476 32.3712196099652 -916.429719246145</t>
  </si>
  <si>
    <t>-662.074218317572 96.8053807337124 -762.282388902776</t>
  </si>
  <si>
    <t>-575.257349912524 215.249927211639 -754.939826106356</t>
  </si>
  <si>
    <t>-467.294750644698 145.691574069084 -465.644303643716</t>
  </si>
  <si>
    <t>-305.528981233949 12.8011081088989 -311.326480043091</t>
  </si>
  <si>
    <t>-690.211560107488 40.2054524252715 -755.344474904868</t>
  </si>
  <si>
    <t>-459.780837671126 14.2120064594083 -364.212540192921</t>
  </si>
  <si>
    <t>-579.003050352203 222.904803001203 -244.315835342365</t>
  </si>
  <si>
    <t>-579.28422282569 197.705930660763 210.681575058221</t>
  </si>
  <si>
    <t>-626.922993634617 165.3548737902 676.818192788309</t>
  </si>
  <si>
    <t>-494.106898409123 91.8937096881648 765.738716154735</t>
  </si>
  <si>
    <t>-646.418169075435 40.7829307075294 -206.539980616144</t>
  </si>
  <si>
    <t>-551.476390704884 -15.2413808486485 235.619464575598</t>
  </si>
  <si>
    <t>-742.777542231595 127.134919545337 640.614256770442</t>
  </si>
  <si>
    <t>-684.441858274763 -5.11623879145009 740.864319248021</t>
  </si>
  <si>
    <t>9763-20170724T160646.625358600.bin</t>
  </si>
  <si>
    <t>-613.255720963486 131.739429453395 -225.812410520726</t>
  </si>
  <si>
    <t>-654.376412157661 122.910040114883 -339.385819969716</t>
  </si>
  <si>
    <t>-673.878009549461 110.095344076158 -458.322865896836</t>
  </si>
  <si>
    <t>-682.467591508599 96.6712317014665 -566.678162564892</t>
  </si>
  <si>
    <t>-682.089677818794 81.3483961487561 -675.121336157396</t>
  </si>
  <si>
    <t>-672.245175647344 57.9850762645763 -825.311957690824</t>
  </si>
  <si>
    <t>-634.696958285693 32.1344548476216 -916.443015831675</t>
  </si>
  <si>
    <t>-662.544742077284 96.6272994443011 -762.338940952821</t>
  </si>
  <si>
    <t>-575.722133817255 215.079891627745 -755.074604532827</t>
  </si>
  <si>
    <t>-467.655892086859 145.7739632975 -465.757098739947</t>
  </si>
  <si>
    <t>-305.92871631813 12.8508164883424 -311.426865552838</t>
  </si>
  <si>
    <t>-690.657296448888 40.0180492939824 -755.375640935168</t>
  </si>
  <si>
    <t>-460.076007868226 14.0128744235194 -363.048128981328</t>
  </si>
  <si>
    <t>-579.573176044425 222.8740585985 -244.36456209713</t>
  </si>
  <si>
    <t>-579.695956358935 197.743161116414 210.636589486297</t>
  </si>
  <si>
    <t>-626.955498723774 165.308522947098 676.827920810046</t>
  </si>
  <si>
    <t>-494.124134510116 91.8757068537884 765.749002638576</t>
  </si>
  <si>
    <t>-646.77767687754 40.7790661511433 -206.605764484144</t>
  </si>
  <si>
    <t>-551.763869371542 -15.1765125061688 235.546981195618</t>
  </si>
  <si>
    <t>-742.853491011059 127.109735516954 640.680204341273</t>
  </si>
  <si>
    <t>-684.450114111603 -5.10793087656862 740.935147803919</t>
  </si>
  <si>
    <t>9763-20170724T160646.689531100.bin</t>
  </si>
  <si>
    <t>-614.168112172002 131.700100350701 -225.945185761202</t>
  </si>
  <si>
    <t>-655.296793605351 122.860699749716 -339.515078176033</t>
  </si>
  <si>
    <t>-674.827016662482 109.961443755449 -458.438307614402</t>
  </si>
  <si>
    <t>-683.452285158287 96.4287165672363 -566.777243300985</t>
  </si>
  <si>
    <t>-683.12040751477 80.9643937750184 -675.200448162878</t>
  </si>
  <si>
    <t>-673.352176273507 57.3684374237444 -825.359755373689</t>
  </si>
  <si>
    <t>-635.780291801783 31.3440702390424 -916.431562194896</t>
  </si>
  <si>
    <t>-663.623608581557 96.1099044278508 -762.452090319919</t>
  </si>
  <si>
    <t>-576.872061122209 214.618307698736 -755.387987881119</t>
  </si>
  <si>
    <t>-468.571355185031 145.546374916331 -466.102347826686</t>
  </si>
  <si>
    <t>-306.797201208829 12.7932895505501 -311.675031213771</t>
  </si>
  <si>
    <t>-691.724980308586 39.5079787913276 -755.385750236346</t>
  </si>
  <si>
    <t>-460.680141098569 13.6952580564141 -362.527486187883</t>
  </si>
  <si>
    <t>-580.633466058835 222.765717961579 -244.445949630509</t>
  </si>
  <si>
    <t>-580.412777887223 197.714237152383 210.559649840914</t>
  </si>
  <si>
    <t>-627.004320044104 165.312670907198 676.83924652559</t>
  </si>
  <si>
    <t>-494.272677597087 91.7088454092432 765.76784441561</t>
  </si>
  <si>
    <t>-647.527162162492 40.7257231938509 -206.759345868871</t>
  </si>
  <si>
    <t>-552.472302999876 -15.0750773419593 235.404070439512</t>
  </si>
  <si>
    <t>-742.95113207766 127.086888819591 640.819886622733</t>
  </si>
  <si>
    <t>-684.408058296726 -5.06475630808018 741.080375667649</t>
  </si>
  <si>
    <t>9763-20170724T160646.723621800.bin</t>
  </si>
  <si>
    <t>-614.574160855127 131.566310887954 -225.976237237926</t>
  </si>
  <si>
    <t>-655.737354251714 122.75645909463 -339.535870578087</t>
  </si>
  <si>
    <t>-675.299641522089 109.8602149805 -458.454265524082</t>
  </si>
  <si>
    <t>-683.952567392955 96.3200438383303 -566.789975990387</t>
  </si>
  <si>
    <t>-683.647198945071 80.8381944684791 -675.210849243581</t>
  </si>
  <si>
    <t>-673.91415303236 57.2082829469641 -825.366998440755</t>
  </si>
  <si>
    <t>-636.359533020895 31.1165204331412 -916.426660056388</t>
  </si>
  <si>
    <t>-664.166313852966 95.961741884335 -762.469829660468</t>
  </si>
  <si>
    <t>-577.376491103796 214.461907401361 -755.45280366918</t>
  </si>
  <si>
    <t>-468.963564410735 145.528971002277 -466.176066449539</t>
  </si>
  <si>
    <t>-307.136589768495 12.7996037683126 -311.783796902978</t>
  </si>
  <si>
    <t>-692.275175974925 39.3657774819308 -755.385290559283</t>
  </si>
  <si>
    <t>-460.819266377302 13.4842836447888 -362.237313057532</t>
  </si>
  <si>
    <t>-581.032811914092 222.581394627551 -244.483576909224</t>
  </si>
  <si>
    <t>-580.617253341667 197.611540225101 210.526355101302</t>
  </si>
  <si>
    <t>-627.011410994002 165.350829348113 676.849490346632</t>
  </si>
  <si>
    <t>-494.345354924332 91.6292391320922 765.778417273552</t>
  </si>
  <si>
    <t>-647.972164886186 40.5951300711197 -206.785570970967</t>
  </si>
  <si>
    <t>-552.800795679012 -15.1431397098745 235.360762645058</t>
  </si>
  <si>
    <t>-742.991363652541 127.068009756304 640.880079524012</t>
  </si>
  <si>
    <t>-684.424544276117 -5.05524958660135 741.164073926112</t>
  </si>
  <si>
    <t>9763-20170724T160646.791830400.bin</t>
  </si>
  <si>
    <t>-615.371646972317 131.339668075382 -225.98547946973</t>
  </si>
  <si>
    <t>-656.617399384097 122.556994121051 -339.517233420898</t>
  </si>
  <si>
    <t>-676.246885942624 109.642779608593 -458.422456161625</t>
  </si>
  <si>
    <t>-684.953502809251 96.0702156831874 -566.750001600004</t>
  </si>
  <si>
    <t>-684.693993523371 80.5418710142162 -675.164105389339</t>
  </si>
  <si>
    <t>-675.016445609826 56.8339663099644 -825.311768479169</t>
  </si>
  <si>
    <t>-637.547456346027 30.6251638525994 -916.373033791699</t>
  </si>
  <si>
    <t>-665.230809466082 95.613119971923 -762.436096668844</t>
  </si>
  <si>
    <t>-578.398911400135 214.067174073329 -755.486737030606</t>
  </si>
  <si>
    <t>-469.839456991281 145.03916545146 -466.287451617954</t>
  </si>
  <si>
    <t>-307.729863709834 12.774738236199 -311.792638164724</t>
  </si>
  <si>
    <t>-693.366140445469 39.0348052938698 -755.316119737427</t>
  </si>
  <si>
    <t>-462.016452176864 12.8712198394626 -361.759111361146</t>
  </si>
  <si>
    <t>-581.78175997813 222.3048043385 -244.540213417854</t>
  </si>
  <si>
    <t>-581.124247032917 197.49591089308 210.478227673288</t>
  </si>
  <si>
    <t>-627.015161014357 165.382654506786 676.841192864226</t>
  </si>
  <si>
    <t>-494.441795984721 91.521937927188 765.792937349075</t>
  </si>
  <si>
    <t>-648.827781320546 40.4491905863883 -206.744963309413</t>
  </si>
  <si>
    <t>-553.613677828589 -15.5175733099725 235.36324151981</t>
  </si>
  <si>
    <t>-743.158118791312 127.045201311278 641.059838230881</t>
  </si>
  <si>
    <t>-684.348926916751 -4.99665569131867 741.309283729155</t>
  </si>
  <si>
    <t>9763-20170724T160646.830933500.bin</t>
  </si>
  <si>
    <t>-615.733079091047 131.172761123593 -225.998221228038</t>
  </si>
  <si>
    <t>-657.009384976968 122.394070608418 -339.519108135752</t>
  </si>
  <si>
    <t>-676.679902873782 109.514935805585 -458.421432070901</t>
  </si>
  <si>
    <t>-685.426794567417 95.9876810947733 -566.751364290381</t>
  </si>
  <si>
    <t>-685.210477816566 80.5182140115814 -675.174071019529</t>
  </si>
  <si>
    <t>-675.595059227635 56.9069029785203 -825.34073711985</t>
  </si>
  <si>
    <t>-638.180745178216 30.7053637554097 -916.426782567932</t>
  </si>
  <si>
    <t>-665.768040938031 95.6382106013084 -762.442251037862</t>
  </si>
  <si>
    <t>-578.860370419466 214.052566755609 -755.447285853953</t>
  </si>
  <si>
    <t>-470.197728243 144.834291434476 -466.332488059041</t>
  </si>
  <si>
    <t>-307.938721270052 12.667652099595 -311.910771809617</t>
  </si>
  <si>
    <t>-693.931159284936 39.0701062070798 -755.351120242966</t>
  </si>
  <si>
    <t>-462.84439664312 13.2115516005872 -361.637078816515</t>
  </si>
  <si>
    <t>-582.118328156435 222.159115655158 -244.589285780069</t>
  </si>
  <si>
    <t>-581.464787884156 197.547559307249 210.439810427657</t>
  </si>
  <si>
    <t>-626.993191954188 165.469183153679 676.834586330299</t>
  </si>
  <si>
    <t>-494.533747914898 91.4155011959874 765.795551022833</t>
  </si>
  <si>
    <t>-649.224012456134 40.2336256229271 -206.725794504523</t>
  </si>
  <si>
    <t>-553.948960251603 -15.628187583302 235.38260579409</t>
  </si>
  <si>
    <t>-743.272968197965 127.025071753332 641.133436206116</t>
  </si>
  <si>
    <t>-684.408782781802 -5.0043738196955 741.366808632628</t>
  </si>
  <si>
    <t>9763-20170724T160646.894825700.bin</t>
  </si>
  <si>
    <t>-616.357645427983 130.828783142723 -225.970016059906</t>
  </si>
  <si>
    <t>-657.689854512807 122.010327566999 -339.467635655468</t>
  </si>
  <si>
    <t>-677.460105814832 109.09352349645 -458.34930497417</t>
  </si>
  <si>
    <t>-686.31457332308 95.534886308451 -566.666525974896</t>
  </si>
  <si>
    <t>-686.22215087514 80.0384302085126 -675.08558866132</t>
  </si>
  <si>
    <t>-676.79507753618 56.3951416873647 -825.259310247494</t>
  </si>
  <si>
    <t>-639.536455940046 30.1830580622266 -916.405880191384</t>
  </si>
  <si>
    <t>-666.842177423099 95.1171531671737 -762.374770341789</t>
  </si>
  <si>
    <t>-579.771897794332 213.408895588996 -755.458979257022</t>
  </si>
  <si>
    <t>-470.779830443835 143.970500740769 -466.521005869981</t>
  </si>
  <si>
    <t>-308.344412116782 11.9608271913344 -312.150460802201</t>
  </si>
  <si>
    <t>-695.090414624324 38.595900243361 -755.249431023779</t>
  </si>
  <si>
    <t>-464.439045652945 13.3411881228305 -361.575603316471</t>
  </si>
  <si>
    <t>-582.60754819421 221.78426723817 -244.681433885542</t>
  </si>
  <si>
    <t>-582.198892377079 197.741528511054 210.37843763148</t>
  </si>
  <si>
    <t>-626.955338396674 165.69162581916 676.839921615384</t>
  </si>
  <si>
    <t>-494.743920263514 91.1950890996845 765.800127755125</t>
  </si>
  <si>
    <t>-649.970589964935 39.9036108518301 -206.592684108518</t>
  </si>
  <si>
    <t>-554.543021727192 -15.9703171984947 235.481236992631</t>
  </si>
  <si>
    <t>-743.398620514021 127.05566707565 641.260177427801</t>
  </si>
  <si>
    <t>-684.403825768531 -4.95996390763662 741.43495781297</t>
  </si>
  <si>
    <t>9763-20170724T160646.922900000.bin</t>
  </si>
  <si>
    <t>-616.586072442975 130.655782039956 -225.983346777452</t>
  </si>
  <si>
    <t>-657.952191199373 121.833701141439 -339.468330135132</t>
  </si>
  <si>
    <t>-677.799750742579 108.916438839495 -458.337023708478</t>
  </si>
  <si>
    <t>-686.741363664883 95.3593545357874 -566.647205563523</t>
  </si>
  <si>
    <t>-686.753081645619 79.8664614697707 -675.066870466166</t>
  </si>
  <si>
    <t>-677.487723113357 56.2304916063149 -825.251858819518</t>
  </si>
  <si>
    <t>-640.313256423617 30.0325363892239 -916.436885957402</t>
  </si>
  <si>
    <t>-667.44042882689 94.9367104320925 -762.372553188693</t>
  </si>
  <si>
    <t>-580.273114165105 213.166270017033 -755.484292771639</t>
  </si>
  <si>
    <t>-471.177371467553 143.601057029358 -466.615756321277</t>
  </si>
  <si>
    <t>-308.620795610715 11.7385752201267 -312.247051196207</t>
  </si>
  <si>
    <t>-695.734193698804 38.4407508029092 -755.226691500715</t>
  </si>
  <si>
    <t>-464.637065867993 13.0547157043434 -361.419960431237</t>
  </si>
  <si>
    <t>-582.761092342593 221.572100699272 -244.727336914566</t>
  </si>
  <si>
    <t>-582.42059675715 197.746306966381 210.343976470151</t>
  </si>
  <si>
    <t>-626.966104840171 165.722286049538 676.854959436413</t>
  </si>
  <si>
    <t>-494.854555334884 91.0392203045681 765.807099996396</t>
  </si>
  <si>
    <t>-650.233707950482 39.8511339928971 -206.558750255517</t>
  </si>
  <si>
    <t>-554.714204432131 -16.1735122621794 235.476234339179</t>
  </si>
  <si>
    <t>-743.406938706014 127.041252606581 641.256635270343</t>
  </si>
  <si>
    <t>-684.418291963844 -4.95356121558621 741.462541937812</t>
  </si>
  <si>
    <t>9763-20170724T160646.988078500.bin</t>
  </si>
  <si>
    <t>-616.872882653651 130.266905478375 -226.045082053708</t>
  </si>
  <si>
    <t>-658.312322321037 121.490461289438 -339.506869243493</t>
  </si>
  <si>
    <t>-678.293812559129 108.591634619225 -458.355205087857</t>
  </si>
  <si>
    <t>-687.381961065214 95.0358481167946 -566.65333398253</t>
  </si>
  <si>
    <t>-687.565526040294 79.5268389486403 -675.070510492725</t>
  </si>
  <si>
    <t>-678.565577636596 55.8478585998803 -825.264845944088</t>
  </si>
  <si>
    <t>-641.553730201769 29.6356731600645 -916.511898276531</t>
  </si>
  <si>
    <t>-668.350105940515 94.544396504516 -762.406697523347</t>
  </si>
  <si>
    <t>-580.998663334615 212.624738023505 -755.627770221455</t>
  </si>
  <si>
    <t>-471.660722697604 142.801755204988 -466.913153036573</t>
  </si>
  <si>
    <t>-308.887247068868 11.3279640470275 -312.441411644211</t>
  </si>
  <si>
    <t>-696.745435222426 38.1057665133264 -755.210302727144</t>
  </si>
  <si>
    <t>-465.645809527472 11.5245614977009 -362.150576926432</t>
  </si>
  <si>
    <t>-583.15338628717 221.074517244177 -244.784320907678</t>
  </si>
  <si>
    <t>-582.564965252672 197.374007105949 210.293292619339</t>
  </si>
  <si>
    <t>-626.998060003929 165.711479627315 676.87696554454</t>
  </si>
  <si>
    <t>-494.83781367313 91.0972799749127 765.814616312511</t>
  </si>
  <si>
    <t>-650.424146845509 39.5448074615845 -206.634481984471</t>
  </si>
  <si>
    <t>-554.950650994227 -16.6728799045763 235.385868722786</t>
  </si>
  <si>
    <t>-743.352177038621 126.937570343469 641.159248312616</t>
  </si>
  <si>
    <t>-684.416774671915 -4.9513828852962 741.535732982903</t>
  </si>
  <si>
    <t>9763-20170724T160647.026181300.bin</t>
  </si>
  <si>
    <t>-616.966399082329 130.180261536526 -226.113435517549</t>
  </si>
  <si>
    <t>-658.454519399048 121.455116052564 -339.561272981282</t>
  </si>
  <si>
    <t>-678.512071806796 108.619216851923 -458.40359997691</t>
  </si>
  <si>
    <t>-687.680120564723 95.121887411425 -566.702318923129</t>
  </si>
  <si>
    <t>-687.954907402947 79.6706802849781 -675.127615664552</t>
  </si>
  <si>
    <t>-679.092980932185 56.070118085652 -825.342379248858</t>
  </si>
  <si>
    <t>-642.152185235252 29.8622018076562 -916.619431084247</t>
  </si>
  <si>
    <t>-668.799828344979 94.7241183267356 -762.470756289077</t>
  </si>
  <si>
    <t>-581.331451798597 212.740388639108 -755.711700553967</t>
  </si>
  <si>
    <t>-471.763583525741 142.761724120541 -467.121909880707</t>
  </si>
  <si>
    <t>-308.935150308639 11.4679375156752 -312.555072789038</t>
  </si>
  <si>
    <t>-697.228385190376 38.301156202368 -755.283235238197</t>
  </si>
  <si>
    <t>-465.596600631688 10.605701272623 -361.921668307167</t>
  </si>
  <si>
    <t>-583.377132298 220.904927730127 -244.806573337805</t>
  </si>
  <si>
    <t>-582.553753576073 197.167166292033 210.26868790859</t>
  </si>
  <si>
    <t>-627.008490653367 165.703561535161 676.884457096153</t>
  </si>
  <si>
    <t>-494.884246052605 91.033671075121 765.828822276267</t>
  </si>
  <si>
    <t>-650.366309957427 39.6321162125159 -206.738639626514</t>
  </si>
  <si>
    <t>-555.053937092287 -16.80946133828 235.288041705383</t>
  </si>
  <si>
    <t>-743.331451524056 126.82752404679 641.077867761604</t>
  </si>
  <si>
    <t>-684.433132500647 -4.96707134078383 741.599908669222</t>
  </si>
  <si>
    <t>9763-20170724T160647.090023700.bin</t>
  </si>
  <si>
    <t>-617.095818633816 130.024011353464 -226.2341221698</t>
  </si>
  <si>
    <t>-658.661401452412 121.372142262769 -339.659171312684</t>
  </si>
  <si>
    <t>-678.890710450618 108.57174523343 -458.476203502419</t>
  </si>
  <si>
    <t>-688.253194114246 95.0886592877077 -566.760167807423</t>
  </si>
  <si>
    <t>-688.761143179254 79.6327256574789 -675.183799680918</t>
  </si>
  <si>
    <t>-680.263522428203 56.0040551844702 -825.415203900527</t>
  </si>
  <si>
    <t>-643.54330120749 29.7184749078169 -916.759015591787</t>
  </si>
  <si>
    <t>-669.80385366917 94.6629544915893 -762.574077438477</t>
  </si>
  <si>
    <t>-582.309412637176 212.654449791494 -755.942151691367</t>
  </si>
  <si>
    <t>-472.25247444527 142.341925922818 -467.619713241183</t>
  </si>
  <si>
    <t>-309.398023247211 11.2228170774733 -312.932080776863</t>
  </si>
  <si>
    <t>-698.243078319795 38.2550381013082 -755.310798609061</t>
  </si>
  <si>
    <t>-466.459727709382 10.6587063654104 -362.480616034609</t>
  </si>
  <si>
    <t>-583.770315244575 220.542728436121 -244.84972593078</t>
  </si>
  <si>
    <t>-582.595051676443 196.81308642511 210.225137308504</t>
  </si>
  <si>
    <t>-627.033089968902 165.629782160845 676.894838096485</t>
  </si>
  <si>
    <t>-494.971724756765 90.876106968557 765.862191070941</t>
  </si>
  <si>
    <t>-650.340298561725 39.556416688471 -206.931479854844</t>
  </si>
  <si>
    <t>-555.293493634743 -17.0230181236757 235.134726333904</t>
  </si>
  <si>
    <t>-743.238188118479 126.677668444653 641.007417413357</t>
  </si>
  <si>
    <t>-684.349344668765 -4.94662432483665 741.757856341759</t>
  </si>
  <si>
    <t>9763-20170724T160647.127121500.bin</t>
  </si>
  <si>
    <t>-617.214690963231 130.072345319419 -226.261815885603</t>
  </si>
  <si>
    <t>-658.831639293437 121.455664125883 -339.670778740686</t>
  </si>
  <si>
    <t>-679.148859571979 108.69982633511 -458.477518562896</t>
  </si>
  <si>
    <t>-688.604921444061 95.261798175939 -566.758946429848</t>
  </si>
  <si>
    <t>-689.220058516676 79.8559123165517 -675.189218252096</t>
  </si>
  <si>
    <t>-680.884457070254 56.3027563660548 -825.44160736697</t>
  </si>
  <si>
    <t>-644.254973980395 30.0508879462946 -916.831455162771</t>
  </si>
  <si>
    <t>-670.363216912444 94.9331996219721 -762.593262824934</t>
  </si>
  <si>
    <t>-582.844984275507 212.903045041631 -755.979478343336</t>
  </si>
  <si>
    <t>-472.448974197927 142.55547000529 -467.795222815397</t>
  </si>
  <si>
    <t>-309.569817569836 11.4901636478687 -313.088018811172</t>
  </si>
  <si>
    <t>-698.782097743717 38.5155056208989 -755.32593546306</t>
  </si>
  <si>
    <t>-466.148030426585 10.0032133949005 -362.733307726098</t>
  </si>
  <si>
    <t>-583.930928507725 220.496046583879 -244.882927337238</t>
  </si>
  <si>
    <t>-582.658567570919 196.786570689693 210.192754754534</t>
  </si>
  <si>
    <t>-626.994692123014 165.737180612974 676.886170572805</t>
  </si>
  <si>
    <t>-494.982325775298 90.9259280977444 765.877865482174</t>
  </si>
  <si>
    <t>-650.41350257337 39.7746207775983 -206.966260232077</t>
  </si>
  <si>
    <t>-555.491268547505 -17.0980627126075 235.089098467812</t>
  </si>
  <si>
    <t>-743.239779474794 126.653636922899 641.042194043033</t>
  </si>
  <si>
    <t>-684.351700473835 -4.94391697796937 741.828061824767</t>
  </si>
  <si>
    <t>9763-20170724T160647.193819800.bin</t>
  </si>
  <si>
    <t>-617.319767067412 130.36360732422 -226.407717845501</t>
  </si>
  <si>
    <t>-658.991553519552 121.856440819272 -339.804731175303</t>
  </si>
  <si>
    <t>-679.424278418784 109.137775963179 -458.595879974906</t>
  </si>
  <si>
    <t>-689.010333040924 95.7032554710856 -566.866131239117</t>
  </si>
  <si>
    <t>-689.780880967772 80.2709759889369 -675.29179446826</t>
  </si>
  <si>
    <t>-681.687734658084 56.6497811772324 -825.546757461525</t>
  </si>
  <si>
    <t>-645.189819809419 30.3950629213005 -916.988386061512</t>
  </si>
  <si>
    <t>-671.034002520894 95.2934947849753 -762.72890233843</t>
  </si>
  <si>
    <t>-583.416136581977 213.2012843917 -756.251239284575</t>
  </si>
  <si>
    <t>-472.627071481465 142.834064581716 -468.222701732434</t>
  </si>
  <si>
    <t>-309.709036293964 11.9182270448821 -313.429846685166</t>
  </si>
  <si>
    <t>-699.503347664579 38.909420876937 -755.39831997798</t>
  </si>
  <si>
    <t>-465.147942160774 7.19006785917964 -363.320991574617</t>
  </si>
  <si>
    <t>-584.136995408878 220.669094996299 -244.959124733456</t>
  </si>
  <si>
    <t>-582.784163681734 196.825123354116 210.109453615514</t>
  </si>
  <si>
    <t>-626.95804215652 165.899933944832 676.893837421805</t>
  </si>
  <si>
    <t>-495.105335411607 90.8331775138311 765.907069686151</t>
  </si>
  <si>
    <t>-650.393688528483 40.0804197452749 -207.219696487921</t>
  </si>
  <si>
    <t>-556.172347920085 -17.0037113626336 234.958294930011</t>
  </si>
  <si>
    <t>-743.37442731093 126.553946497319 641.179287570564</t>
  </si>
  <si>
    <t>-684.40499380986 -4.96383104991537 742.021730594705</t>
  </si>
  <si>
    <t>9763-20170724T160647.227915100.bin</t>
  </si>
  <si>
    <t>-617.382348476966 130.53249663426 -226.472149719383</t>
  </si>
  <si>
    <t>-659.088288371111 122.119757509901 -339.863738131944</t>
  </si>
  <si>
    <t>-679.585217767793 109.454566078583 -458.649305987495</t>
  </si>
  <si>
    <t>-689.241590012493 96.0521735996281 -566.917395770726</t>
  </si>
  <si>
    <t>-690.09460060109 80.6361793214114 -675.344607086074</t>
  </si>
  <si>
    <t>-682.128776563015 57.021134359409 -825.607367189718</t>
  </si>
  <si>
    <t>-645.689897785496 30.7665601694473 -917.072594483396</t>
  </si>
  <si>
    <t>-671.398154399566 95.6506771794309 -762.793807753074</t>
  </si>
  <si>
    <t>-583.638187568983 213.464279963883 -756.371837371449</t>
  </si>
  <si>
    <t>-472.638543384228 143.140856722102 -468.413672992891</t>
  </si>
  <si>
    <t>-309.729048147502 12.2491689294136 -313.591541246645</t>
  </si>
  <si>
    <t>-699.908597282751 39.2895196854545 -755.447687036891</t>
  </si>
  <si>
    <t>-465.063757427718 6.3513308487743 -363.784607180966</t>
  </si>
  <si>
    <t>-584.172271475801 220.820301137825 -244.972335317724</t>
  </si>
  <si>
    <t>-582.823087037764 196.885021162225 210.091390826048</t>
  </si>
  <si>
    <t>-626.954531550837 165.963361748523 676.911073874269</t>
  </si>
  <si>
    <t>-495.171067979085 90.770694436387 765.920604342347</t>
  </si>
  <si>
    <t>-650.514057042133 40.3008530689287 -207.297662635834</t>
  </si>
  <si>
    <t>-556.565356595795 -16.8370673136365 234.931427311865</t>
  </si>
  <si>
    <t>-743.453821397242 126.571254643345 641.318894526123</t>
  </si>
  <si>
    <t>-684.516075491473 -4.98563266967449 742.128807008425</t>
  </si>
  <si>
    <t>9763-20170724T160647.289606600.bin</t>
  </si>
  <si>
    <t>-617.489320822011 130.857233742319 -226.480554639707</t>
  </si>
  <si>
    <t>-659.158216997266 122.556936917106 -339.893959774834</t>
  </si>
  <si>
    <t>-679.735087252322 109.945447209868 -458.671447493625</t>
  </si>
  <si>
    <t>-689.512947149429 96.5698339640969 -566.931913959074</t>
  </si>
  <si>
    <t>-690.536673094409 81.1602315687292 -675.358692067685</t>
  </si>
  <si>
    <t>-682.858687586963 57.5340894403712 -825.634582255828</t>
  </si>
  <si>
    <t>-646.612938785182 31.2476525158165 -917.167424682558</t>
  </si>
  <si>
    <t>-671.966469766983 96.1479732377425 -762.839482665835</t>
  </si>
  <si>
    <t>-584.079622752367 213.878494563915 -756.556760488655</t>
  </si>
  <si>
    <t>-472.725886606558 143.410116625219 -468.77078650644</t>
  </si>
  <si>
    <t>-309.882618542111 12.3803538174545 -313.995629982415</t>
  </si>
  <si>
    <t>-700.54551624921 39.8277938598028 -755.444925389882</t>
  </si>
  <si>
    <t>-465.408491058446 7.02053551472773 -365.662057443388</t>
  </si>
  <si>
    <t>-584.106302420815 221.049612319623 -244.950059685598</t>
  </si>
  <si>
    <t>-582.96048222604 196.998178732538 210.108029977039</t>
  </si>
  <si>
    <t>-626.948533834705 165.99422781285 676.929911774547</t>
  </si>
  <si>
    <t>-495.259049638345 90.6331284925673 765.936050651866</t>
  </si>
  <si>
    <t>-650.723788596766 40.6708675207342 -207.34750634116</t>
  </si>
  <si>
    <t>-557.254991251897 -16.6671397412306 234.95736342596</t>
  </si>
  <si>
    <t>-743.704989805689 126.541376334159 641.5864164307</t>
  </si>
  <si>
    <t>-684.476192517975 -4.94961018327217 742.311676647517</t>
  </si>
  <si>
    <t>9763-20170724T160647.322687700.bin</t>
  </si>
  <si>
    <t>-617.45380437524 131.029683976437 -226.461141697208</t>
  </si>
  <si>
    <t>-659.114638227247 122.790394398927 -339.88199929529</t>
  </si>
  <si>
    <t>-679.728370193158 110.208760854397 -458.656362024998</t>
  </si>
  <si>
    <t>-689.55839046033 96.8482262621535 -566.91402998828</t>
  </si>
  <si>
    <t>-690.653292347602 81.4420751627613 -675.3404823665</t>
  </si>
  <si>
    <t>-683.093544467634 57.809387550966 -825.62136701726</t>
  </si>
  <si>
    <t>-646.93656236413 31.5232715793222 -917.189480434608</t>
  </si>
  <si>
    <t>-672.135875516398 96.4181343774596 -762.834415924018</t>
  </si>
  <si>
    <t>-584.175614028895 214.090412855643 -756.594745331593</t>
  </si>
  <si>
    <t>-472.777112558202 143.604641242496 -468.830437377522</t>
  </si>
  <si>
    <t>-309.919025708759 12.480469645089 -314.150872315416</t>
  </si>
  <si>
    <t>-700.741114267114 40.1141113480244 -755.41905576501</t>
  </si>
  <si>
    <t>-464.927411447 7.0731865236246 -365.55027431276</t>
  </si>
  <si>
    <t>-583.992649003359 221.218141132632 -244.905485098329</t>
  </si>
  <si>
    <t>-582.954180737572 197.069076960051 210.147742780467</t>
  </si>
  <si>
    <t>-626.961364946513 166.029442658288 676.968025700009</t>
  </si>
  <si>
    <t>-495.334203445429 90.5324301502556 765.951157654048</t>
  </si>
  <si>
    <t>-650.763206366223 40.8444390985771 -207.340713940175</t>
  </si>
  <si>
    <t>-557.44014969763 -16.5945295176291 234.981854092995</t>
  </si>
  <si>
    <t>-743.773713776434 126.545070804749 641.685922738338</t>
  </si>
  <si>
    <t>-684.55501711869 -4.96611584490256 742.390731322726</t>
  </si>
  <si>
    <t>9763-20170724T160647.392884300.bin</t>
  </si>
  <si>
    <t>-617.286176125854 131.36053092407 -226.310314454784</t>
  </si>
  <si>
    <t>-658.965594455362 123.218756040637 -339.731375949485</t>
  </si>
  <si>
    <t>-679.677785933958 110.65082926733 -458.48992603177</t>
  </si>
  <si>
    <t>-689.630787898469 97.2681866055889 -566.73371559721</t>
  </si>
  <si>
    <t>-690.883104535572 81.8052685565722 -675.150471540766</t>
  </si>
  <si>
    <t>-683.578018877145 58.0575451063769 -825.42575844164</t>
  </si>
  <si>
    <t>-647.57734784164 31.7113311491839 -917.03801456286</t>
  </si>
  <si>
    <t>-672.469993193629 96.692798259578 -762.681484792054</t>
  </si>
  <si>
    <t>-584.398898805868 214.283798847496 -756.622331657636</t>
  </si>
  <si>
    <t>-472.980062113266 143.538208296931 -468.929732186772</t>
  </si>
  <si>
    <t>-310.38013260717 12.3954068701373 -313.994618817875</t>
  </si>
  <si>
    <t>-701.150576579694 40.4375760964147 -755.185754212868</t>
  </si>
  <si>
    <t>-464.881224297832 7.03389590512029 -365.420683920125</t>
  </si>
  <si>
    <t>-583.646796371807 221.523392904008 -244.764598053994</t>
  </si>
  <si>
    <t>-582.768932742527 197.168676419914 210.277941563266</t>
  </si>
  <si>
    <t>-626.983522083556 165.940807230924 677.006648246353</t>
  </si>
  <si>
    <t>-495.358084388016 90.4262647972544 765.977456538625</t>
  </si>
  <si>
    <t>-650.765920542221 41.1919880170149 -207.18733568154</t>
  </si>
  <si>
    <t>-557.415892001525 -16.4914053365651 235.097737791327</t>
  </si>
  <si>
    <t>-743.841510845476 126.586946327174 641.8200956545</t>
  </si>
  <si>
    <t>-684.557749177765 -4.93748519308451 742.469385240807</t>
  </si>
  <si>
    <t>9763-20170724T160647.420959700.bin</t>
  </si>
  <si>
    <t>-617.062398277182 131.659464905409 -226.227014521927</t>
  </si>
  <si>
    <t>-658.757861158135 123.551655843878 -339.644740216688</t>
  </si>
  <si>
    <t>-679.482920604283 111.008160127349 -458.403559257444</t>
  </si>
  <si>
    <t>-689.446543456671 97.6429284700071 -566.648502374196</t>
  </si>
  <si>
    <t>-690.708202664504 82.1929803646599 -675.066959026337</t>
  </si>
  <si>
    <t>-683.4147452508 58.4586487019501 -825.34497669725</t>
  </si>
  <si>
    <t>-647.436718122834 32.1099015475265 -916.965421149044</t>
  </si>
  <si>
    <t>-672.271729806511 97.0734490815082 -762.594217690929</t>
  </si>
  <si>
    <t>-584.077448554666 214.557228386405 -756.51989050288</t>
  </si>
  <si>
    <t>-472.67921060866 143.970852198178 -468.780119397104</t>
  </si>
  <si>
    <t>-310.105128028469 12.8887246423317 -313.766532845761</t>
  </si>
  <si>
    <t>-701.011901390493 40.8473982061546 -755.10896866032</t>
  </si>
  <si>
    <t>-464.504114481468 6.4661867689606 -364.649772013416</t>
  </si>
  <si>
    <t>-583.33373865436 221.813572658118 -244.688419321026</t>
  </si>
  <si>
    <t>-582.615765651861 197.316951341453 210.346799205769</t>
  </si>
  <si>
    <t>-626.98496854863 165.920029074616 677.030122633686</t>
  </si>
  <si>
    <t>-495.348829617211 90.4235866071306 766.000479772543</t>
  </si>
  <si>
    <t>-650.597637596964 41.5190515158715 -207.076086739558</t>
  </si>
  <si>
    <t>-557.18651716778 -16.4338729988947 235.160771802065</t>
  </si>
  <si>
    <t>-743.79596945673 126.632712490944 641.812591461985</t>
  </si>
  <si>
    <t>-684.570073949679 -4.92318866922301 742.454854786222</t>
  </si>
  <si>
    <t>9763-20170724T160647.490151000.bin</t>
  </si>
  <si>
    <t>-616.591506047959 132.454286717938 -225.966827069399</t>
  </si>
  <si>
    <t>-658.288800231115 124.350738675273 -339.384104070157</t>
  </si>
  <si>
    <t>-679.022510777776 111.763520751836 -458.137032761611</t>
  </si>
  <si>
    <t>-688.99735134007 98.3398111283664 -566.373558545028</t>
  </si>
  <si>
    <t>-690.273603915124 82.8134963787359 -674.780843947041</t>
  </si>
  <si>
    <t>-683.004472849166 58.9546464972132 -825.040310091571</t>
  </si>
  <si>
    <t>-647.061876252305 32.5167172924275 -916.649153244543</t>
  </si>
  <si>
    <t>-671.783258644112 97.5876065285722 -762.314841650708</t>
  </si>
  <si>
    <t>-583.356945137994 214.918162912364 -756.21836842372</t>
  </si>
  <si>
    <t>-472.107985906548 144.28901847433 -468.431406394076</t>
  </si>
  <si>
    <t>-309.433299003934 13.8364403665491 -312.992819747591</t>
  </si>
  <si>
    <t>-700.65842898709 41.4352745691863 -754.79551887469</t>
  </si>
  <si>
    <t>-464.17322482282 5.43594237567891 -363.916536553594</t>
  </si>
  <si>
    <t>-582.639184661134 222.639120781738 -244.565209659992</t>
  </si>
  <si>
    <t>-582.266424061269 197.753202492544 210.449361451331</t>
  </si>
  <si>
    <t>-626.907665722983 165.933285158437 677.018193919145</t>
  </si>
  <si>
    <t>-495.297091985762 90.4398299765071 766.028891320697</t>
  </si>
  <si>
    <t>-650.414309307576 42.2868307749386 -206.721252465628</t>
  </si>
  <si>
    <t>-556.518438140289 -16.1403588376011 235.350615856863</t>
  </si>
  <si>
    <t>-743.651631166114 126.782509015522 641.778156654112</t>
  </si>
  <si>
    <t>-684.620236688542 -4.89525103442611 742.375240194519</t>
  </si>
  <si>
    <t>9763-20170724T160647.521231400.bin</t>
  </si>
  <si>
    <t>-616.361951140403 132.847368135359 -225.887554612401</t>
  </si>
  <si>
    <t>-658.06964606527 124.752994486033 -339.301759804831</t>
  </si>
  <si>
    <t>-678.811874106719 112.187191745275 -458.055280209236</t>
  </si>
  <si>
    <t>-688.793516745828 98.7865575899343 -566.294086532856</t>
  </si>
  <si>
    <t>-690.075786403701 83.2862469221104 -674.705095391379</t>
  </si>
  <si>
    <t>-682.814342544324 59.4657911460904 -824.971094906304</t>
  </si>
  <si>
    <t>-646.869440423675 33.0173975186588 -916.575853363263</t>
  </si>
  <si>
    <t>-671.534429973847 98.0551948799268 -762.229264501937</t>
  </si>
  <si>
    <t>-582.850367522209 215.176219555331 -756.115667371376</t>
  </si>
  <si>
    <t>-471.688130943937 144.699125764108 -468.25791095103</t>
  </si>
  <si>
    <t>-309.086830245987 14.3957544327857 -312.617459570241</t>
  </si>
  <si>
    <t>-700.520068810874 41.9561521467658 -754.736950430965</t>
  </si>
  <si>
    <t>-463.858991596796 4.95691607851086 -363.819788161743</t>
  </si>
  <si>
    <t>-582.244676922008 223.052058240811 -244.53800372817</t>
  </si>
  <si>
    <t>-582.105257095456 198.056555610841 210.470718355459</t>
  </si>
  <si>
    <t>-626.8242729138 166.044466843533 676.982555030313</t>
  </si>
  <si>
    <t>-495.336640729634 90.3719340185064 766.022910336082</t>
  </si>
  <si>
    <t>-650.351818785671 42.6697638789519 -206.572421510117</t>
  </si>
  <si>
    <t>-556.274906366593 -15.9405753555636 235.436684560896</t>
  </si>
  <si>
    <t>-743.63800156892 126.933327918201 641.813203459437</t>
  </si>
  <si>
    <t>-684.658611367079 -4.86906077617095 742.277494270105</t>
  </si>
  <si>
    <t>9763-20170724T160647.588963200.bin</t>
  </si>
  <si>
    <t>-615.856263791382 133.883613064021 -225.740346632701</t>
  </si>
  <si>
    <t>-657.538581923485 125.756997259646 -339.161432505356</t>
  </si>
  <si>
    <t>-678.363741631825 113.164457659638 -457.897718076242</t>
  </si>
  <si>
    <t>-688.465144277098 99.7452023919973 -566.12321024369</t>
  </si>
  <si>
    <t>-689.911028968801 84.2343778291913 -674.530566762038</t>
  </si>
  <si>
    <t>-682.921318168737 60.4096394163264 -824.808714948023</t>
  </si>
  <si>
    <t>-647.092637578444 33.852854266386 -916.427659238629</t>
  </si>
  <si>
    <t>-671.430063498053 98.951699627801 -762.076168129622</t>
  </si>
  <si>
    <t>-582.391142763136 215.826994022511 -755.977157946424</t>
  </si>
  <si>
    <t>-471.280419057417 145.00884350004 -468.183195192561</t>
  </si>
  <si>
    <t>-307.636464536312 16.9288232502788 -311.791869802842</t>
  </si>
  <si>
    <t>-700.597939435655 42.9511097712646 -754.554476013517</t>
  </si>
  <si>
    <t>-463.537774075596 6.34703500490718 -363.68912948018</t>
  </si>
  <si>
    <t>-581.206589688048 224.027462596034 -244.553614899486</t>
  </si>
  <si>
    <t>-581.675477997824 198.85288825681 210.444935434106</t>
  </si>
  <si>
    <t>-626.596789720093 166.377486835002 676.859560300606</t>
  </si>
  <si>
    <t>-495.280395684825 90.4645268376744 765.947956026897</t>
  </si>
  <si>
    <t>-650.429370676885 43.8273542915422 -206.244012173138</t>
  </si>
  <si>
    <t>-556.415267383974 -15.5315296297488 235.678592626965</t>
  </si>
  <si>
    <t>-743.786660573817 127.457538904472 642.104944666286</t>
  </si>
  <si>
    <t>-684.777421883012 -4.7641639713429 741.999106915887</t>
  </si>
  <si>
    <t>9763-20170724T160647.628068500.bin</t>
  </si>
  <si>
    <t>-615.518347116043 134.437624318881 -225.659564579322</t>
  </si>
  <si>
    <t>-657.141662516516 126.278971844776 -339.100073969983</t>
  </si>
  <si>
    <t>-677.969990145573 113.660121082363 -457.833040728009</t>
  </si>
  <si>
    <t>-688.100243289857 100.222420336712 -566.053409057933</t>
  </si>
  <si>
    <t>-689.600430209203 84.7007333132146 -674.458480764063</t>
  </si>
  <si>
    <t>-682.712038145368 60.8703429032371 -824.740403695249</t>
  </si>
  <si>
    <t>-646.953888927811 34.2875120009596 -916.379462030795</t>
  </si>
  <si>
    <t>-671.131787294383 99.3910340507098 -762.011178044935</t>
  </si>
  <si>
    <t>-581.927305528496 216.116388379649 -755.953146215273</t>
  </si>
  <si>
    <t>-470.885051875716 145.276985360339 -468.137944953875</t>
  </si>
  <si>
    <t>-305.856862742668 20.2147823531789 -310.762064972586</t>
  </si>
  <si>
    <t>-700.388143433657 43.438003773186 -754.47961347019</t>
  </si>
  <si>
    <t>-463.428310667661 6.94667934071208 -363.541304486788</t>
  </si>
  <si>
    <t>-580.472389664204 224.58197096457 -244.544056158307</t>
  </si>
  <si>
    <t>-581.509375873691 199.467978296888 210.456982441089</t>
  </si>
  <si>
    <t>-626.516271105731 166.522527571244 676.813756774601</t>
  </si>
  <si>
    <t>-495.307881831018 90.4361203962849 765.913278211817</t>
  </si>
  <si>
    <t>-650.460583418451 44.3794114777077 -206.084978290417</t>
  </si>
  <si>
    <t>-556.883801527274 -15.2544263036473 235.893402924176</t>
  </si>
  <si>
    <t>-744.052581543147 127.834785607172 642.45160930978</t>
  </si>
  <si>
    <t>-684.903898732166 -4.70588967038657 741.83932024092</t>
  </si>
  <si>
    <t>9763-20170724T160647.696264700.bin</t>
  </si>
  <si>
    <t>-614.95004044443 135.538942854116 -225.457791760867</t>
  </si>
  <si>
    <t>-656.436699671008 127.280194404857 -338.941196838153</t>
  </si>
  <si>
    <t>-677.282796519702 114.618654759548 -457.666391507847</t>
  </si>
  <si>
    <t>-687.493080730359 101.172500646732 -565.87825883645</t>
  </si>
  <si>
    <t>-689.136133161931 85.6768105015879 -674.284959985413</t>
  </si>
  <si>
    <t>-682.509557987253 61.9220654728695 -824.590737251715</t>
  </si>
  <si>
    <t>-646.903980686591 35.3018964958478 -916.278167819584</t>
  </si>
  <si>
    <t>-670.731727761981 100.36640498636 -761.85127895777</t>
  </si>
  <si>
    <t>-581.058310115545 216.748625787453 -755.810908575236</t>
  </si>
  <si>
    <t>-470.264908306714 145.519302205229 -467.9960645286</t>
  </si>
  <si>
    <t>-296.223563468863 34.6288892368184 -309.708375329736</t>
  </si>
  <si>
    <t>-700.151506078459 44.4991904783446 -754.318909126001</t>
  </si>
  <si>
    <t>-463.073628505161 8.27330374351004 -362.597393850918</t>
  </si>
  <si>
    <t>-579.031363289841 225.632173151952 -244.531099060168</t>
  </si>
  <si>
    <t>-581.54827825558 200.855665864528 210.482623503442</t>
  </si>
  <si>
    <t>-626.402812995217 166.753502678514 676.710402524551</t>
  </si>
  <si>
    <t>-495.523089366541 90.1642463430487 765.862467219772</t>
  </si>
  <si>
    <t>-650.825886051974 45.4759359704321 -205.729262105949</t>
  </si>
  <si>
    <t>-558.679989282777 -14.2462377487036 236.537694799108</t>
  </si>
  <si>
    <t>-745.019172421641 128.819827221783 643.656482903401</t>
  </si>
  <si>
    <t>-685.104501431574 -4.50289351343577 741.527842085946</t>
  </si>
  <si>
    <t>9763-20170724T160647.722341800.bin</t>
  </si>
  <si>
    <t>-614.89957310103 136.066445807352 -225.419100649889</t>
  </si>
  <si>
    <t>-656.298912443671 127.762343309739 -338.930901928886</t>
  </si>
  <si>
    <t>-677.121254779822 115.039678209343 -457.65384607785</t>
  </si>
  <si>
    <t>-687.336678576598 101.536766856993 -565.858161370356</t>
  </si>
  <si>
    <t>-689.011236670158 85.9858541361284 -674.256548832869</t>
  </si>
  <si>
    <t>-682.455226598737 62.1585434038304 -824.553812550081</t>
  </si>
  <si>
    <t>-646.913187543029 35.506575611676 -916.256696009954</t>
  </si>
  <si>
    <t>-670.610974554431 100.614313057221 -761.833937415152</t>
  </si>
  <si>
    <t>-580.75591120784 216.866432099879 -755.825572866177</t>
  </si>
  <si>
    <t>-470.420822473116 144.640606362349 -468.0829162561</t>
  </si>
  <si>
    <t>-294.242943722064 36.8333273274141 -310.029209586307</t>
  </si>
  <si>
    <t>-700.10112498272 44.7884875714303 -754.270062439613</t>
  </si>
  <si>
    <t>-463.007126054863 8.04679491260094 -361.83006706309</t>
  </si>
  <si>
    <t>-578.47731897299 226.151075955657 -244.560682680897</t>
  </si>
  <si>
    <t>-581.699340807605 201.453012953147 210.452854099055</t>
  </si>
  <si>
    <t>-626.380405663635 166.76841781788 676.642941621375</t>
  </si>
  <si>
    <t>-495.509900850563 90.1965088165923 765.823428531536</t>
  </si>
  <si>
    <t>-651.26641028172 46.0275241069644 -205.62433586377</t>
  </si>
  <si>
    <t>-559.946414105009 -13.4597932077218 236.845597358091</t>
  </si>
  <si>
    <t>-745.603302400946 129.380050430862 644.425215638628</t>
  </si>
  <si>
    <t>-685.225741429887 -4.3921655460274 741.394598125238</t>
  </si>
  <si>
    <t>9763-20170724T160647.793528600.bin</t>
  </si>
  <si>
    <t>-614.949344687922 137.274345161706 -225.370485770967</t>
  </si>
  <si>
    <t>-656.146116491612 128.892528408639 -338.950391382295</t>
  </si>
  <si>
    <t>-676.809989734824 116.086115705867 -457.691978834128</t>
  </si>
  <si>
    <t>-686.902425925105 102.508499021401 -565.898401353002</t>
  </si>
  <si>
    <t>-688.474799443414 86.8865133701206 -674.288116771155</t>
  </si>
  <si>
    <t>-681.798596809057 62.9662090900549 -824.565317528163</t>
  </si>
  <si>
    <t>-646.220488680915 36.2729173816313 -916.242183573694</t>
  </si>
  <si>
    <t>-669.888747996884 101.40125103336 -761.84515141806</t>
  </si>
  <si>
    <t>-579.448656303266 217.185882085749 -755.84178481817</t>
  </si>
  <si>
    <t>-469.736876590437 144.293759828121 -468.028826651962</t>
  </si>
  <si>
    <t>-284.945613257231 47.3474914895282 -312.80109693652</t>
  </si>
  <si>
    <t>-699.616496948369 45.6991222720956 -754.299452653655</t>
  </si>
  <si>
    <t>-463.094167783876 6.29792352408845 -360.883245753321</t>
  </si>
  <si>
    <t>-577.571996070257 227.193567908123 -244.631084181837</t>
  </si>
  <si>
    <t>-581.935340332966 202.597376928226 210.378304717812</t>
  </si>
  <si>
    <t>-626.356818866997 166.905019583264 676.511576830682</t>
  </si>
  <si>
    <t>-495.623974037997 90.1522671263401 765.73852914504</t>
  </si>
  <si>
    <t>-652.190298773957 47.5026608803612 -205.443081978227</t>
  </si>
  <si>
    <t>-562.732531852044 -11.6248071741882 237.455179064225</t>
  </si>
  <si>
    <t>-746.353240280946 130.958194610321 646.177343007486</t>
  </si>
  <si>
    <t>-685.535086100198 -4.05862453822147 741.12527820865</t>
  </si>
  <si>
    <t>9763-20170724T160647.826617500.bin</t>
  </si>
  <si>
    <t>-615.084982161879 137.941978213217 -225.384182827388</t>
  </si>
  <si>
    <t>-656.177382319082 129.553260767163 -339.00135007205</t>
  </si>
  <si>
    <t>-676.763418280947 116.725469835058 -457.754054686285</t>
  </si>
  <si>
    <t>-686.797770055342 103.123698419046 -565.963016778764</t>
  </si>
  <si>
    <t>-688.324541254671 87.4739755221278 -674.349372187052</t>
  </si>
  <si>
    <t>-681.598353654325 63.5119026478149 -824.617647567577</t>
  </si>
  <si>
    <t>-645.966457670855 36.760404673814 -916.256729447992</t>
  </si>
  <si>
    <t>-669.641831308487 101.929376421108 -761.895628939666</t>
  </si>
  <si>
    <t>-578.823119191643 217.431113184249 -755.882213926822</t>
  </si>
  <si>
    <t>-469.551821681336 144.261892363972 -467.972080401847</t>
  </si>
  <si>
    <t>-281.549598358686 50.9488755237726 -314.382095700849</t>
  </si>
  <si>
    <t>-699.507213442841 46.2992858366183 -754.361541280603</t>
  </si>
  <si>
    <t>-463.05636662474 5.59735137912526 -360.238108958207</t>
  </si>
  <si>
    <t>-577.269779018168 227.740534749983 -244.66794826486</t>
  </si>
  <si>
    <t>-582.166780139955 203.233464160063 210.340990212339</t>
  </si>
  <si>
    <t>-626.35125429211 166.984140216102 676.449650840467</t>
  </si>
  <si>
    <t>-495.74879448196 90.0381955407361 765.70115852363</t>
  </si>
  <si>
    <t>-652.77774418818 48.3013117181099 -205.422380841685</t>
  </si>
  <si>
    <t>-564.260135888053 -10.4414500372225 237.715967338638</t>
  </si>
  <si>
    <t>-746.615422769537 131.893924205896 647.166524042291</t>
  </si>
  <si>
    <t>-685.742441665232 -3.86448244337157 741.015587621854</t>
  </si>
  <si>
    <t>9763-20170724T160647.888786700.bin</t>
  </si>
  <si>
    <t>-615.570762468641 139.136041078374 -225.470094497621</t>
  </si>
  <si>
    <t>-656.416061453211 130.765425358927 -339.177527352922</t>
  </si>
  <si>
    <t>-676.832424711236 117.804126174799 -457.94511963691</t>
  </si>
  <si>
    <t>-686.749393851586 104.023860694388 -566.142218725578</t>
  </si>
  <si>
    <t>-688.196399224215 88.14111167634 -674.495738283918</t>
  </si>
  <si>
    <t>-681.399609213085 63.8010517965131 -824.700194589754</t>
  </si>
  <si>
    <t>-645.662632782558 36.7973912003688 -916.224263548151</t>
  </si>
  <si>
    <t>-669.327870585147 102.300508116034 -762.050547648439</t>
  </si>
  <si>
    <t>-577.875056567905 217.318180259855 -756.230866561998</t>
  </si>
  <si>
    <t>-469.688587253736 143.748414377165 -468.013291118429</t>
  </si>
  <si>
    <t>-276.886229139188 55.7848701345363 -317.242835667274</t>
  </si>
  <si>
    <t>-699.486161403288 46.8409471263276 -754.428160117607</t>
  </si>
  <si>
    <t>-463.659403452498 4.75739192340279 -358.401813049708</t>
  </si>
  <si>
    <t>-576.789985239787 228.565044645321 -244.814071510322</t>
  </si>
  <si>
    <t>-582.509392169104 204.237150739441 210.194793534297</t>
  </si>
  <si>
    <t>-626.321063071102 167.139893263918 676.276557789326</t>
  </si>
  <si>
    <t>-495.928053569723 89.9262378575065 765.603072219567</t>
  </si>
  <si>
    <t>-654.201711416629 49.7808557494277 -205.490543117023</t>
  </si>
  <si>
    <t>-567.549285398895 -8.02910279714774 238.138856586752</t>
  </si>
  <si>
    <t>-746.920606506394 133.77820468466 649.138655461694</t>
  </si>
  <si>
    <t>-686.129991530619 -3.42732417714092 740.913587961053</t>
  </si>
  <si>
    <t>9763-20170724T160647.928893800.bin</t>
  </si>
  <si>
    <t>-615.765708196295 139.402371195599 -225.598990891998</t>
  </si>
  <si>
    <t>-656.485647739391 131.072021983707 -339.354367245077</t>
  </si>
  <si>
    <t>-676.756371364311 118.015787221654 -458.136460343193</t>
  </si>
  <si>
    <t>-686.535926204243 104.096458562622 -566.328246225392</t>
  </si>
  <si>
    <t>-687.841199091466 88.0231136765644 -674.655674272125</t>
  </si>
  <si>
    <t>-680.844603628577 63.3657162355109 -824.799130054374</t>
  </si>
  <si>
    <t>-644.986293573644 36.1835751478443 -916.22277087631</t>
  </si>
  <si>
    <t>-668.788678196209 101.961974555659 -762.20590868925</t>
  </si>
  <si>
    <t>-577.10349488781 216.769350898664 -756.4997873262</t>
  </si>
  <si>
    <t>-469.139712159454 144.102317864026 -467.970000305051</t>
  </si>
  <si>
    <t>-275.591344266749 56.6609274340346 -317.852930440597</t>
  </si>
  <si>
    <t>-699.0921516473 46.5896421429334 -754.524496407418</t>
  </si>
  <si>
    <t>-463.939803404084 4.32081783749004 -357.483325925612</t>
  </si>
  <si>
    <t>-576.559016900483 228.646467872646 -244.92798382229</t>
  </si>
  <si>
    <t>-582.484891424976 204.355258406372 210.080174747121</t>
  </si>
  <si>
    <t>-626.328148068849 167.175226802912 676.171836803332</t>
  </si>
  <si>
    <t>-496.003772155857 89.890773067885 765.537269844209</t>
  </si>
  <si>
    <t>-654.7722622619 50.1647709845593 -205.66349497489</t>
  </si>
  <si>
    <t>-568.999089361509 -7.23790354336234 238.189567125147</t>
  </si>
  <si>
    <t>-747.032243271324 134.270430865249 649.790990254627</t>
  </si>
  <si>
    <t>-686.285938594806 -3.35267164952643 740.968202430008</t>
  </si>
  <si>
    <t>9763-20170724T160647.991706600.bin</t>
  </si>
  <si>
    <t>-615.961909614508 139.433875147725 -225.955049164204</t>
  </si>
  <si>
    <t>-656.474638836254 131.27188202696 -339.796672953539</t>
  </si>
  <si>
    <t>-676.462481621735 118.06103196718 -458.609678884086</t>
  </si>
  <si>
    <t>-685.959599416942 103.875625186712 -566.792009241048</t>
  </si>
  <si>
    <t>-686.958779571596 87.4138135615706 -675.064079719848</t>
  </si>
  <si>
    <t>-679.515110213533 62.0931187192023 -825.075620073377</t>
  </si>
  <si>
    <t>-643.375855524597 34.5350101572362 -916.276063718523</t>
  </si>
  <si>
    <t>-667.574584627752 100.928242621615 -762.608333644894</t>
  </si>
  <si>
    <t>-575.567851796684 215.536477892366 -757.264866805729</t>
  </si>
  <si>
    <t>-468.326198130627 145.075639100434 -467.919555246765</t>
  </si>
  <si>
    <t>-277.681145082525 54.5516627842796 -315.926243722483</t>
  </si>
  <si>
    <t>-698.042790459744 45.6652824480054 -754.792246114832</t>
  </si>
  <si>
    <t>-464.606464371528 6.34071263138094 -356.308422615867</t>
  </si>
  <si>
    <t>-576.321684264419 228.67344099348 -245.156494828853</t>
  </si>
  <si>
    <t>-582.250783749 204.101832334227 209.836628982946</t>
  </si>
  <si>
    <t>-626.392935223194 167.032468744465 675.967892252209</t>
  </si>
  <si>
    <t>-496.046823097784 89.8772743706652 765.41332295338</t>
  </si>
  <si>
    <t>-655.354032964163 50.326480274874 -206.203282780579</t>
  </si>
  <si>
    <t>-570.34432166793 -7.63006287364669 237.724677164321</t>
  </si>
  <si>
    <t>-747.547503523716 133.309622318383 649.787991512076</t>
  </si>
  <si>
    <t>-686.322354837722 -3.53990330302713 741.805389155907</t>
  </si>
  <si>
    <t>9763-20170724T160648.025797600.bin</t>
  </si>
  <si>
    <t>-615.989038667987 139.376446052751 -226.145378924575</t>
  </si>
  <si>
    <t>-656.392883367572 131.321595835312 -340.033254061454</t>
  </si>
  <si>
    <t>-676.279934217633 118.028810976912 -458.854012941963</t>
  </si>
  <si>
    <t>-685.691539617126 103.695688097173 -567.024362390339</t>
  </si>
  <si>
    <t>-686.612458468411 87.014517836539 -675.263755919734</t>
  </si>
  <si>
    <t>-679.069151659034 61.3162252874313 -825.206025657075</t>
  </si>
  <si>
    <t>-642.80686559603 33.5483083614465 -916.293728496762</t>
  </si>
  <si>
    <t>-667.170010676072 100.308320064396 -762.828729044299</t>
  </si>
  <si>
    <t>-575.261478491316 214.982799749998 -757.78621291531</t>
  </si>
  <si>
    <t>-468.191109770376 145.473882144923 -468.147325863707</t>
  </si>
  <si>
    <t>-279.857599623857 52.3439482717408 -314.85232619046</t>
  </si>
  <si>
    <t>-697.64381403157 45.0653309048898 -754.893684648279</t>
  </si>
  <si>
    <t>-464.937729829205 7.53372021045925 -356.595258600932</t>
  </si>
  <si>
    <t>-576.277691606883 228.636020065944 -245.222241071667</t>
  </si>
  <si>
    <t>-582.260150557644 203.962504880446 209.764605254437</t>
  </si>
  <si>
    <t>-626.442011563925 166.942081234456 675.895771160928</t>
  </si>
  <si>
    <t>-495.971881514376 90.0211112284396 765.362077540743</t>
  </si>
  <si>
    <t>-655.545917828284 50.254136073406 -206.469047377495</t>
  </si>
  <si>
    <t>-570.906027108412 -8.46712130491233 237.429107344034</t>
  </si>
  <si>
    <t>-747.464823960888 132.872208160008 649.733422518825</t>
  </si>
  <si>
    <t>-686.317864825617 -3.63803356609355 742.304989156394</t>
  </si>
  <si>
    <t>9763-20170724T160648.093635600.bin</t>
  </si>
  <si>
    <t>-616.187868134367 139.067726615412 -226.075791104972</t>
  </si>
  <si>
    <t>-656.555564357118 131.081228837253 -339.981381913299</t>
  </si>
  <si>
    <t>-676.415398840389 117.679500529396 -458.79444537439</t>
  </si>
  <si>
    <t>-685.807829821276 103.178138621864 -566.944130195243</t>
  </si>
  <si>
    <t>-686.716222593873 86.260481317667 -675.146665507413</t>
  </si>
  <si>
    <t>-679.163848472379 60.1637781726399 -825.019901591958</t>
  </si>
  <si>
    <t>-642.722508783996 32.1347950604347 -915.955983170486</t>
  </si>
  <si>
    <t>-667.31966218407 99.3487278975194 -762.752912160547</t>
  </si>
  <si>
    <t>-575.734899838324 214.313918818702 -758.076877249708</t>
  </si>
  <si>
    <t>-468.371031099434 146.620474155753 -468.116980633322</t>
  </si>
  <si>
    <t>-282.479822770085 50.3503192403875 -313.784308791523</t>
  </si>
  <si>
    <t>-697.69141606824 44.072796958902 -754.658372865425</t>
  </si>
  <si>
    <t>-465.130369488169 9.72445069557466 -357.29164508003</t>
  </si>
  <si>
    <t>-576.521601914589 228.496753905961 -245.120881838404</t>
  </si>
  <si>
    <t>-582.235624956214 203.69378810092 209.862493922966</t>
  </si>
  <si>
    <t>-626.561301575145 166.88343313527 675.918186361081</t>
  </si>
  <si>
    <t>-496.050081609863 90.0571245183176 765.405909655551</t>
  </si>
  <si>
    <t>-655.740729764495 49.8026319074045 -206.238256192777</t>
  </si>
  <si>
    <t>-571.206824116777 -9.34019308839856 237.624104483181</t>
  </si>
  <si>
    <t>-747.412918928026 132.957773948512 650.208134123511</t>
  </si>
  <si>
    <t>-686.205976779675 -3.55750099013699 742.732803192872</t>
  </si>
  <si>
    <t>9763-20170724T160648.127722800.bin</t>
  </si>
  <si>
    <t>-616.248707816952 139.080254618256 -225.828203650645</t>
  </si>
  <si>
    <t>-656.6354069226 131.07884894217 -339.725985462145</t>
  </si>
  <si>
    <t>-676.476493126896 117.622129820266 -458.536040145466</t>
  </si>
  <si>
    <t>-685.836174391282 103.056462212253 -566.679801326419</t>
  </si>
  <si>
    <t>-686.696192368888 86.0607966011148 -674.87063759002</t>
  </si>
  <si>
    <t>-679.060346944646 59.8426944329485 -824.718290888582</t>
  </si>
  <si>
    <t>-642.512540553211 31.7196681429771 -915.582732543119</t>
  </si>
  <si>
    <t>-667.295740006751 99.101840587216 -762.482954425385</t>
  </si>
  <si>
    <t>-575.99246667599 214.247797851526 -757.872361568071</t>
  </si>
  <si>
    <t>-468.446366412761 146.995918522567 -467.877318620758</t>
  </si>
  <si>
    <t>-284.575273257817 48.0663311854951 -312.808127214353</t>
  </si>
  <si>
    <t>-697.582176364799 43.7849757343977 -754.347755824475</t>
  </si>
  <si>
    <t>-465.457864936187 10.5061467802886 -358.022719145368</t>
  </si>
  <si>
    <t>-576.70998377629 228.473765770094 -244.945983386893</t>
  </si>
  <si>
    <t>-582.322784285787 203.667789058523 210.038449614063</t>
  </si>
  <si>
    <t>-626.641186244772 166.835468368186 676.002727129544</t>
  </si>
  <si>
    <t>-496.011053460297 90.2011546393194 765.481539569684</t>
  </si>
  <si>
    <t>-655.6204551359 49.9570361558733 -205.863923388437</t>
  </si>
  <si>
    <t>-571.075530091536 -9.27904283538101 237.98395650295</t>
  </si>
  <si>
    <t>-747.436017178325 133.302927111054 650.518812475158</t>
  </si>
  <si>
    <t>-686.25165623852 -3.49535759874607 742.639440429646</t>
  </si>
  <si>
    <t>9763-20170724T160648.191473200.bin</t>
  </si>
  <si>
    <t>-616.427323866174 139.440613388266 -225.42169699561</t>
  </si>
  <si>
    <t>-656.802015898295 131.275137488088 -339.311983250803</t>
  </si>
  <si>
    <t>-676.611842952444 117.826674437262 -458.128219001576</t>
  </si>
  <si>
    <t>-685.93368549206 103.338350911267 -566.285698080703</t>
  </si>
  <si>
    <t>-686.745396830526 86.4889471220674 -674.49975350212</t>
  </si>
  <si>
    <t>-679.03065207415 60.5448850302068 -824.391064386243</t>
  </si>
  <si>
    <t>-642.031060193797 32.1571275189581 -914.989800083656</t>
  </si>
  <si>
    <t>-667.382215716953 99.7339682348224 -762.089722932487</t>
  </si>
  <si>
    <t>-576.430602543351 215.181043729418 -757.367529006201</t>
  </si>
  <si>
    <t>-468.291428726696 148.189857775919 -467.532506720199</t>
  </si>
  <si>
    <t>-286.648488927446 46.942668319135 -311.337502408469</t>
  </si>
  <si>
    <t>-697.506084152006 44.3147803226086 -754.047876621431</t>
  </si>
  <si>
    <t>-465.482426958624 11.6948873696072 -359.678822429435</t>
  </si>
  <si>
    <t>-577.218548719443 228.757830082502 -244.675879084516</t>
  </si>
  <si>
    <t>-582.841090778439 204.231311868204 210.323698177016</t>
  </si>
  <si>
    <t>-626.768512491045 166.827661580304 676.174067723826</t>
  </si>
  <si>
    <t>-496.273754029302 89.9655501178977 765.655051249205</t>
  </si>
  <si>
    <t>-655.494316410714 50.2974165576904 -205.368244622333</t>
  </si>
  <si>
    <t>-570.301514302619 -8.41511431022082 238.425277794258</t>
  </si>
  <si>
    <t>-747.431021922266 133.783320432683 650.65982018815</t>
  </si>
  <si>
    <t>-686.092514677882 -3.37036842472503 742.147315521888</t>
  </si>
  <si>
    <t>9763-20170724T160648.226560300.bin</t>
  </si>
  <si>
    <t>-616.524521798011 139.48755218225 -225.360310857542</t>
  </si>
  <si>
    <t>-656.896978439853 131.250221928087 -339.246355295173</t>
  </si>
  <si>
    <t>-676.795127293541 117.902185038684 -458.059024139692</t>
  </si>
  <si>
    <t>-686.233362480248 103.571677847627 -566.227407301599</t>
  </si>
  <si>
    <t>-687.196836967584 86.9449165384256 -674.474583849459</t>
  </si>
  <si>
    <t>-679.728315533376 61.3755521141584 -824.442801501446</t>
  </si>
  <si>
    <t>-642.437589974611 32.7903883177803 -914.859953835093</t>
  </si>
  <si>
    <t>-668.026849503965 100.4345275092 -762.069760469661</t>
  </si>
  <si>
    <t>-577.242894869861 216.012551773493 -757.245082879948</t>
  </si>
  <si>
    <t>-468.762736400915 148.601931754686 -467.634961109392</t>
  </si>
  <si>
    <t>-287.66887277775 46.7391738461774 -311.202678245024</t>
  </si>
  <si>
    <t>-698.038890971253 44.9439640066421 -754.103265748617</t>
  </si>
  <si>
    <t>-464.977036387112 12.1477610846823 -360.513444599526</t>
  </si>
  <si>
    <t>-577.623349834363 228.843560487044 -244.616909633484</t>
  </si>
  <si>
    <t>-583.18078166873 204.378599478621 210.386709362389</t>
  </si>
  <si>
    <t>-626.824787334899 166.856253442258 676.237091055448</t>
  </si>
  <si>
    <t>-496.322618766099 89.994552482621 765.707592050787</t>
  </si>
  <si>
    <t>-655.262752682059 50.2292496321036 -205.429958902353</t>
  </si>
  <si>
    <t>-569.594333752195 -7.86051282776089 238.353978103784</t>
  </si>
  <si>
    <t>-747.179213192969 133.884496371649 650.431404974406</t>
  </si>
  <si>
    <t>-686.047921810938 -3.36402163102935 741.915401639427</t>
  </si>
  <si>
    <t>9763-20170724T160648.294748400.bin</t>
  </si>
  <si>
    <t>-616.433144742732 139.232964872348 -225.438783593467</t>
  </si>
  <si>
    <t>-656.914558620119 130.997522007729 -339.286245240269</t>
  </si>
  <si>
    <t>-677.09078493482 117.886455664032 -458.078487886402</t>
  </si>
  <si>
    <t>-686.846929181531 103.862835084035 -566.258893485327</t>
  </si>
  <si>
    <t>-688.192782740448 87.632048359897 -674.562121960565</t>
  </si>
  <si>
    <t>-681.319778264726 62.7028487496739 -824.66640002909</t>
  </si>
  <si>
    <t>-643.599135237487 33.6326922305318 -914.750125909493</t>
  </si>
  <si>
    <t>-669.529981021198 101.577836829794 -762.195308675889</t>
  </si>
  <si>
    <t>-579.419904107089 217.687416837804 -757.24068958445</t>
  </si>
  <si>
    <t>-470.571999796502 149.247478202245 -468.010246984734</t>
  </si>
  <si>
    <t>-290.568233606045 46.4367255698194 -310.941135331745</t>
  </si>
  <si>
    <t>-699.191869781978 45.8885247776052 -754.304618716752</t>
  </si>
  <si>
    <t>-463.501986959422 13.0603761910531 -360.879400581749</t>
  </si>
  <si>
    <t>-578.448244006437 228.68421395516 -244.552428684799</t>
  </si>
  <si>
    <t>-583.380152208899 204.049256129802 210.449244331775</t>
  </si>
  <si>
    <t>-627.032512223321 166.660791488678 676.394768713202</t>
  </si>
  <si>
    <t>-496.237583086762 90.2013554032267 765.782435821661</t>
  </si>
  <si>
    <t>-654.262326063478 49.8043003445034 -205.695117040439</t>
  </si>
  <si>
    <t>-567.427533796672 -7.68005041336028 237.940915598877</t>
  </si>
  <si>
    <t>-746.583150309785 133.516658918474 649.445788219479</t>
  </si>
  <si>
    <t>-685.783737559196 -3.42118924408805 741.614006649254</t>
  </si>
  <si>
    <t>9763-20170724T160648.325830600.bin</t>
  </si>
  <si>
    <t>-616.334017920764 138.9700347022 -225.436256258869</t>
  </si>
  <si>
    <t>-656.942905400135 130.745592572241 -339.239029160072</t>
  </si>
  <si>
    <t>-677.236930774419 117.723489546005 -458.020896905961</t>
  </si>
  <si>
    <t>-687.093630968392 103.810361923862 -566.206595265657</t>
  </si>
  <si>
    <t>-688.532799663041 87.7190752885688 -674.529395387956</t>
  </si>
  <si>
    <t>-681.781326274811 63.0125457546749 -824.676159958578</t>
  </si>
  <si>
    <t>-643.942086658709 33.7740527996511 -914.655455543087</t>
  </si>
  <si>
    <t>-670.035088907738 101.843077036053 -762.16898358924</t>
  </si>
  <si>
    <t>-580.353784647857 218.255629791099 -757.165358938767</t>
  </si>
  <si>
    <t>-471.186563345017 149.902537188004 -468.034698430003</t>
  </si>
  <si>
    <t>-291.29622993877 46.905995221206 -310.957454170326</t>
  </si>
  <si>
    <t>-699.502316224037 46.0456190628533 -754.312634249209</t>
  </si>
  <si>
    <t>-463.352129104815 13.2187223272724 -361.511748656897</t>
  </si>
  <si>
    <t>-578.839136875107 228.529171330696 -244.491244131681</t>
  </si>
  <si>
    <t>-583.261163439284 203.722822289442 210.506387615312</t>
  </si>
  <si>
    <t>-627.113315115983 166.573024747793 676.453150821746</t>
  </si>
  <si>
    <t>-496.190038933981 90.3063231159138 765.817535260051</t>
  </si>
  <si>
    <t>-653.671155620725 49.4297695347577 -205.732533283365</t>
  </si>
  <si>
    <t>-565.988462515673 -8.17873827705603 237.720571753763</t>
  </si>
  <si>
    <t>-746.112887824833 133.199278547001 648.693738594069</t>
  </si>
  <si>
    <t>-685.768031972085 -3.50461022329046 741.505546576851</t>
  </si>
  <si>
    <t>9763-20170724T160648.406625100.bin</t>
  </si>
  <si>
    <t>-615.941035049628 137.878980763601 -225.398061520894</t>
  </si>
  <si>
    <t>-656.838883713197 129.524723153664 -339.087868494142</t>
  </si>
  <si>
    <t>-677.392514682824 116.698035164331 -457.84649740959</t>
  </si>
  <si>
    <t>-687.466543489242 103.085118170895 -566.050257746484</t>
  </si>
  <si>
    <t>-689.103672667041 87.4102405299595 -674.431287622559</t>
  </si>
  <si>
    <t>-682.604665049544 63.3979601770425 -824.701639762694</t>
  </si>
  <si>
    <t>-644.46924985545 33.9947942594795 -914.502159969908</t>
  </si>
  <si>
    <t>-670.953532961654 102.040656110635 -762.060585929075</t>
  </si>
  <si>
    <t>-582.187092395876 219.16592569373 -756.906160671427</t>
  </si>
  <si>
    <t>-472.286143822131 151.299721728941 -467.938748850496</t>
  </si>
  <si>
    <t>-292.996559418852 47.7062866790852 -310.567528303482</t>
  </si>
  <si>
    <t>-700.006988937317 46.0046766251721 -754.362910412124</t>
  </si>
  <si>
    <t>-462.937801522083 12.8222479528388 -362.900371281592</t>
  </si>
  <si>
    <t>-579.722373011241 227.779580409277 -244.350813178054</t>
  </si>
  <si>
    <t>-582.54926617251 202.508419558541 210.633950474811</t>
  </si>
  <si>
    <t>-627.29563474915 166.267568147851 676.567716756659</t>
  </si>
  <si>
    <t>-495.91114400627 90.7472392950058 765.889094519311</t>
  </si>
  <si>
    <t>-652.064413638251 47.9695230216057 -205.7282262166</t>
  </si>
  <si>
    <t>-562.000476347333 -10.5597853072327 237.126737190888</t>
  </si>
  <si>
    <t>-744.539667604894 132.273332581309 646.402118953995</t>
  </si>
  <si>
    <t>-685.541331558208 -3.64878089293984 741.20657348871</t>
  </si>
  <si>
    <t>9763-20170724T160648.425675300.bin</t>
  </si>
  <si>
    <t>-615.850558796391 137.586768442238 -225.366781948992</t>
  </si>
  <si>
    <t>-656.803307172101 129.19203927619 -339.033828151924</t>
  </si>
  <si>
    <t>-677.415439341034 116.390752321624 -457.785046108975</t>
  </si>
  <si>
    <t>-687.542833126258 102.825559359542 -565.989817326353</t>
  </si>
  <si>
    <t>-689.233613352727 87.2212823406744 -674.380226149143</t>
  </si>
  <si>
    <t>-682.808741133245 63.3299242177225 -824.673176764048</t>
  </si>
  <si>
    <t>-644.632943332023 33.9128086294143 -914.45191962069</t>
  </si>
  <si>
    <t>-671.154331295012 101.936035344323 -762.010084825646</t>
  </si>
  <si>
    <t>-582.526207406777 219.162859626691 -756.847074375595</t>
  </si>
  <si>
    <t>-472.464709021545 151.344341879944 -467.92968881907</t>
  </si>
  <si>
    <t>-293.164703369799 47.80409987646 -310.535328200656</t>
  </si>
  <si>
    <t>-700.14876942675 45.866177706481 -754.336248012409</t>
  </si>
  <si>
    <t>-463.001709437673 12.6599233582065 -363.108114688455</t>
  </si>
  <si>
    <t>-579.842873867733 227.563003601004 -244.329219527029</t>
  </si>
  <si>
    <t>-582.431467649816 202.278387781198 210.656159592055</t>
  </si>
  <si>
    <t>-627.328618819931 166.186441077742 676.580601376354</t>
  </si>
  <si>
    <t>-495.913152677541 90.718825449421 765.900959655657</t>
  </si>
  <si>
    <t>-651.774668941086 47.6089860467025 -205.694788571821</t>
  </si>
  <si>
    <t>-561.23322689383 -11.0553408321048 237.044825559464</t>
  </si>
  <si>
    <t>-744.275652919776 132.081382875526 645.974710551199</t>
  </si>
  <si>
    <t>-685.524308716428 -3.68935330904515 741.148711626764</t>
  </si>
  <si>
    <t>9763-20170724T160648.493423700.bin</t>
  </si>
  <si>
    <t>-615.475235769288 136.397566633714 -225.290385952487</t>
  </si>
  <si>
    <t>-656.685740216857 127.807034362716 -338.849443860085</t>
  </si>
  <si>
    <t>-677.601386389975 115.083931472794 -457.555921489147</t>
  </si>
  <si>
    <t>-688.017566205555 101.693965691177 -565.755123851198</t>
  </si>
  <si>
    <t>-690.008982959559 86.3643943584759 -674.179732200817</t>
  </si>
  <si>
    <t>-684.012206063057 62.9533062917205 -824.565849490062</t>
  </si>
  <si>
    <t>-645.814832255471 33.5414859447201 -914.337167215559</t>
  </si>
  <si>
    <t>-672.257611781412 101.398170055999 -761.822415362639</t>
  </si>
  <si>
    <t>-584.018804028956 218.909369001423 -756.651155099661</t>
  </si>
  <si>
    <t>-473.212763382128 151.179441000265 -467.997635821924</t>
  </si>
  <si>
    <t>-294.294729100222 47.1675011216862 -310.47981279606</t>
  </si>
  <si>
    <t>-701.073593777626 45.2257810271749 -754.226841738605</t>
  </si>
  <si>
    <t>-462.772115659167 11.093442341831 -363.451892534191</t>
  </si>
  <si>
    <t>-580.142796008962 226.672545381856 -244.305309773228</t>
  </si>
  <si>
    <t>-582.013641891812 201.494288731293 210.689352793842</t>
  </si>
  <si>
    <t>-627.405230583698 166.054667981033 676.619980527143</t>
  </si>
  <si>
    <t>-495.768376581203 90.9561144095076 765.925391700803</t>
  </si>
  <si>
    <t>-650.753334750699 46.1602813179227 -205.601458583149</t>
  </si>
  <si>
    <t>-558.787879870001 -12.2836888854638 236.87372129229</t>
  </si>
  <si>
    <t>-743.3856623666 131.663312526157 644.72233892127</t>
  </si>
  <si>
    <t>-685.390287535932 -3.70216773593665 740.931696570309</t>
  </si>
  <si>
    <t>9763-20170724T160648.524507200.bin</t>
  </si>
  <si>
    <t>-615.385909610873 135.787658053017 -225.340563863457</t>
  </si>
  <si>
    <t>-656.709369028223 127.117628474397 -338.852559089214</t>
  </si>
  <si>
    <t>-677.784321085187 114.457147904973 -457.537649200261</t>
  </si>
  <si>
    <t>-688.361546948117 101.178616759287 -565.734922028819</t>
  </si>
  <si>
    <t>-690.529507427336 86.0133477329473 -674.179242912313</t>
  </si>
  <si>
    <t>-684.79282933794 62.8836045182118 -824.618976742706</t>
  </si>
  <si>
    <t>-646.632248357031 33.5265250515868 -914.423822818849</t>
  </si>
  <si>
    <t>-672.953808095402 101.223108615091 -761.826925995907</t>
  </si>
  <si>
    <t>-584.811339698312 218.798941255946 -756.616123270047</t>
  </si>
  <si>
    <t>-473.708735503905 150.840544932183 -468.130256726813</t>
  </si>
  <si>
    <t>-294.788749400272 46.863270911859 -310.591722107383</t>
  </si>
  <si>
    <t>-701.708417533461 45.0125310123201 -754.281070533935</t>
  </si>
  <si>
    <t>-462.502311155567 11.2890573328968 -363.993307266599</t>
  </si>
  <si>
    <t>-580.277075529886 226.161308842296 -244.358024925065</t>
  </si>
  <si>
    <t>-581.77146315628 200.981087502252 210.638131868322</t>
  </si>
  <si>
    <t>-627.452130036733 165.980602170211 676.6219230646</t>
  </si>
  <si>
    <t>-495.75451161496 90.9907389791094 765.929077117144</t>
  </si>
  <si>
    <t>-650.419285958114 45.4607325441891 -205.671194959828</t>
  </si>
  <si>
    <t>-558.012741905439 -12.4561768441085 236.781509054433</t>
  </si>
  <si>
    <t>-743.131636348591 131.524606545552 644.32756429653</t>
  </si>
  <si>
    <t>-685.397774458003 -3.72148409637384 740.861557028389</t>
  </si>
  <si>
    <t>9763-20170724T160648.595537100.bin</t>
  </si>
  <si>
    <t>-615.218672828717 134.766313430136 -225.495399135426</t>
  </si>
  <si>
    <t>-656.692323385915 126.046761452874 -338.948949276357</t>
  </si>
  <si>
    <t>-677.986294177902 113.480107517214 -457.604973700226</t>
  </si>
  <si>
    <t>-688.786971989729 100.343503052746 -565.797414582597</t>
  </si>
  <si>
    <t>-691.202039252006 85.375893100334 -674.263950823516</t>
  </si>
  <si>
    <t>-685.831088218815 62.5781021910132 -824.767796924653</t>
  </si>
  <si>
    <t>-647.84387918354 33.3304275340931 -914.681906796599</t>
  </si>
  <si>
    <t>-673.896220982585 100.807186966614 -761.92667196352</t>
  </si>
  <si>
    <t>-586.023493855161 218.591681991099 -756.701518863197</t>
  </si>
  <si>
    <t>-474.574242635405 150.073957047942 -468.48193168108</t>
  </si>
  <si>
    <t>-295.531829976337 46.55477965757 -310.780717968573</t>
  </si>
  <si>
    <t>-702.518850017972 44.523730872879 -754.422502707745</t>
  </si>
  <si>
    <t>-463.305538668824 12.1212799232428 -366.04455378625</t>
  </si>
  <si>
    <t>-580.52700583056 225.188376644971 -244.478511130512</t>
  </si>
  <si>
    <t>-581.234924028791 199.847156242342 210.51046708929</t>
  </si>
  <si>
    <t>-627.55214460713 165.772889532233 676.599553803145</t>
  </si>
  <si>
    <t>-495.67321002982 91.1209768504471 765.922282712295</t>
  </si>
  <si>
    <t>-649.765489797846 44.4711788147652 -205.866472513296</t>
  </si>
  <si>
    <t>-556.733334715052 -12.8511604306761 236.532506607458</t>
  </si>
  <si>
    <t>-742.664795498061 131.212300605882 643.599014953883</t>
  </si>
  <si>
    <t>-685.41451848268 -3.77141250389991 740.785909568407</t>
  </si>
  <si>
    <t>9763-20170724T160648.622609300.bin</t>
  </si>
  <si>
    <t>-615.171415173046 134.27839205635 -225.56522894758</t>
  </si>
  <si>
    <t>-656.735555380957 125.581217110602 -338.987267584442</t>
  </si>
  <si>
    <t>-678.127985811519 113.090199673443 -457.633511900638</t>
  </si>
  <si>
    <t>-689.019816416082 100.040512219099 -565.827455318802</t>
  </si>
  <si>
    <t>-691.52770550204 85.1762549883492 -674.305978043607</t>
  </si>
  <si>
    <t>-686.287146631453 62.5373091940048 -824.838591338383</t>
  </si>
  <si>
    <t>-648.387922007803 33.3319381051679 -914.803441800992</t>
  </si>
  <si>
    <t>-674.297687812126 100.699941471321 -761.967328581813</t>
  </si>
  <si>
    <t>-586.402860374038 218.470306283009 -756.803815532084</t>
  </si>
  <si>
    <t>-474.775387596311 150.163423860876 -468.603056034728</t>
  </si>
  <si>
    <t>-295.773570347689 46.6832805997665 -310.830267292666</t>
  </si>
  <si>
    <t>-702.914274923337 44.4086198970519 -754.497877881252</t>
  </si>
  <si>
    <t>-463.09671136347 10.4827233817484 -366.797230439513</t>
  </si>
  <si>
    <t>-580.670810422283 224.697791938824 -244.508305370541</t>
  </si>
  <si>
    <t>-580.990356777493 199.284197347231 210.477116216285</t>
  </si>
  <si>
    <t>-627.610554890689 165.686245509886 676.609169945503</t>
  </si>
  <si>
    <t>-495.659443144678 91.1533886218592 765.924741718409</t>
  </si>
  <si>
    <t>-649.522577559034 43.9633289866986 -205.95493169048</t>
  </si>
  <si>
    <t>-556.080022333633 -13.2181028463924 236.375745262045</t>
  </si>
  <si>
    <t>-742.414013757581 130.96074239434 643.166132157986</t>
  </si>
  <si>
    <t>-685.374434992975 -3.8041251276145 740.779721569377</t>
  </si>
  <si>
    <t>9763-20170724T160648.691821700.bin</t>
  </si>
  <si>
    <t>-615.230284767687 133.22539767385 -225.718599550233</t>
  </si>
  <si>
    <t>-656.943594328358 124.654024717273 -339.095428085739</t>
  </si>
  <si>
    <t>-678.557516914643 112.278752415437 -457.713544090921</t>
  </si>
  <si>
    <t>-689.679567204626 99.3208499854884 -565.895085955</t>
  </si>
  <si>
    <t>-692.448019877505 84.5301956101578 -674.377419235779</t>
  </si>
  <si>
    <t>-687.601640262215 61.9696570495494 -824.934949552744</t>
  </si>
  <si>
    <t>-649.933400225391 32.6008650919182 -914.943576167065</t>
  </si>
  <si>
    <t>-675.390847781872 100.071537701388 -762.069326755895</t>
  </si>
  <si>
    <t>-587.362181265784 217.771368691377 -757.088619155053</t>
  </si>
  <si>
    <t>-475.647118827426 149.518799365928 -468.909107159988</t>
  </si>
  <si>
    <t>-296.668258989926 46.5067982260448 -310.804226460217</t>
  </si>
  <si>
    <t>-704.101160217881 43.8324713451882 -754.566353986324</t>
  </si>
  <si>
    <t>-464.020401476856 10.3900767741211 -371.24564161202</t>
  </si>
  <si>
    <t>-581.060869898966 223.612184574238 -244.53720600965</t>
  </si>
  <si>
    <t>-580.775471950401 198.188680540344 210.447662398082</t>
  </si>
  <si>
    <t>-627.736816796025 165.488201467185 676.652039269102</t>
  </si>
  <si>
    <t>-495.677656153641 91.118028038964 765.943497535544</t>
  </si>
  <si>
    <t>-649.297787722562 42.9446964240797 -206.186680176045</t>
  </si>
  <si>
    <t>-554.703644061572 -14.531992552784 235.860860468088</t>
  </si>
  <si>
    <t>-741.712362099338 130.254302117507 642.045331938291</t>
  </si>
  <si>
    <t>-685.215487540016 -3.89403026584137 740.817018114803</t>
  </si>
  <si>
    <t>9763-20170724T160648.723905700.bin</t>
  </si>
  <si>
    <t>-615.193504572212 132.699627002941 -225.766796106151</t>
  </si>
  <si>
    <t>-656.958193163401 124.221963224025 -339.132021044008</t>
  </si>
  <si>
    <t>-678.660644158227 111.919381191292 -457.741487307464</t>
  </si>
  <si>
    <t>-689.878673955738 99.0146527167478 -565.919385148147</t>
  </si>
  <si>
    <t>-692.759301153333 84.2625190420933 -674.404115119272</t>
  </si>
  <si>
    <t>-688.085753612565 61.738512935869 -824.972503824795</t>
  </si>
  <si>
    <t>-650.555076586708 32.3203741407885 -915.022525271045</t>
  </si>
  <si>
    <t>-675.776605215281 99.812062856071 -762.109015306016</t>
  </si>
  <si>
    <t>-587.603449846014 217.368183633326 -757.227104423017</t>
  </si>
  <si>
    <t>-475.64785692101 149.297701799997 -469.097829751368</t>
  </si>
  <si>
    <t>-296.823569924512 46.4272627665389 -310.726114984146</t>
  </si>
  <si>
    <t>-704.530646193533 43.5973792135223 -754.592280766935</t>
  </si>
  <si>
    <t>-463.432909961995 9.04428222323759 -371.947220719415</t>
  </si>
  <si>
    <t>-581.150073376026 223.081081671727 -244.534074828372</t>
  </si>
  <si>
    <t>-580.716783798995 197.758936870154 210.456224860825</t>
  </si>
  <si>
    <t>-627.785062397272 165.442743272059 676.688472825142</t>
  </si>
  <si>
    <t>-495.740720951358 91.0307678054048 765.967073014152</t>
  </si>
  <si>
    <t>-649.061299152339 42.4119361114081 -206.314260013414</t>
  </si>
  <si>
    <t>-553.952020098452 -15.2919329776655 235.593147179899</t>
  </si>
  <si>
    <t>-741.254980343284 129.89749146092 641.423183738993</t>
  </si>
  <si>
    <t>-685.231754089694 -3.95963157460506 740.857392502175</t>
  </si>
  <si>
    <t>9763-20170724T160648.788606400.bin</t>
  </si>
  <si>
    <t>-614.991709790579 132.028109289916 -226.014950879628</t>
  </si>
  <si>
    <t>-656.847596401331 123.70935025167 -339.358203742937</t>
  </si>
  <si>
    <t>-678.789616839449 111.469818661197 -457.93017058574</t>
  </si>
  <si>
    <t>-690.287751304653 98.5742682283071 -566.079811213985</t>
  </si>
  <si>
    <t>-693.513428465115 83.7782359884645 -674.548846818997</t>
  </si>
  <si>
    <t>-689.388143325673 61.1331148153924 -825.115036720208</t>
  </si>
  <si>
    <t>-652.270253597199 31.4722884627356 -915.256505576889</t>
  </si>
  <si>
    <t>-676.781190299128 99.2228714785053 -762.320385926168</t>
  </si>
  <si>
    <t>-588.494373843087 216.714278118794 -757.640144298642</t>
  </si>
  <si>
    <t>-476.343742113302 148.672632004413 -469.579845832722</t>
  </si>
  <si>
    <t>-297.695781743132 46.1732024796859 -310.769219866009</t>
  </si>
  <si>
    <t>-705.645680524784 43.0829278422191 -754.667828216021</t>
  </si>
  <si>
    <t>-463.956791121622 8.36525674982795 -374.808398513699</t>
  </si>
  <si>
    <t>-581.372054287602 222.334641433307 -244.58849121473</t>
  </si>
  <si>
    <t>-580.640149243516 197.146259042055 210.409001652538</t>
  </si>
  <si>
    <t>-627.858140064246 165.460360702598 676.754115189617</t>
  </si>
  <si>
    <t>-495.886660880612 90.8781598903088 765.998347846306</t>
  </si>
  <si>
    <t>-648.484335852758 41.9257843160888 -206.742611327773</t>
  </si>
  <si>
    <t>-553.216087274881 -16.7037494476826 235.008646800398</t>
  </si>
  <si>
    <t>-740.517056439967 129.208640767755 640.444493900678</t>
  </si>
  <si>
    <t>-685.098899086726 -4.03021622373876 741.041402882932</t>
  </si>
  <si>
    <t>9763-20170724T160648.827710200.bin</t>
  </si>
  <si>
    <t>-614.832382975918 131.739009666655 -226.073023908831</t>
  </si>
  <si>
    <t>-656.6951423698 123.498583499752 -339.419476162751</t>
  </si>
  <si>
    <t>-678.665669581418 111.303294180284 -457.990671691558</t>
  </si>
  <si>
    <t>-690.199397276438 98.4314919653941 -566.139281807047</t>
  </si>
  <si>
    <t>-693.470919365735 83.6417991294343 -674.607725503559</t>
  </si>
  <si>
    <t>-689.420630973839 60.986080350214 -825.174457194026</t>
  </si>
  <si>
    <t>-652.452902120944 31.3013727453201 -915.369720469032</t>
  </si>
  <si>
    <t>-676.758906012853 99.068401716572 -762.386426001495</t>
  </si>
  <si>
    <t>-588.316643091066 216.425645464738 -757.809506846201</t>
  </si>
  <si>
    <t>-476.016634240956 148.533870556688 -469.772015326017</t>
  </si>
  <si>
    <t>-297.702998263142 45.854539201883 -310.701930567202</t>
  </si>
  <si>
    <t>-705.666664349628 42.9526016039217 -754.720361133605</t>
  </si>
  <si>
    <t>-463.76602681515 6.58890050062746 -374.1958597144</t>
  </si>
  <si>
    <t>-581.341214001138 221.919112188793 -244.606304720176</t>
  </si>
  <si>
    <t>-580.658819218346 196.859897057221 210.398378672275</t>
  </si>
  <si>
    <t>-627.928505594166 165.320607766911 676.798434496569</t>
  </si>
  <si>
    <t>-495.856931438247 90.873212267865 766.007138437715</t>
  </si>
  <si>
    <t>-648.158027926306 41.6024075461132 -206.913201730001</t>
  </si>
  <si>
    <t>-553.052446095492 -17.198132469402 234.850480821708</t>
  </si>
  <si>
    <t>-740.286030319859 128.979978233275 640.163415117314</t>
  </si>
  <si>
    <t>-685.144694815802 -4.06867719226489 741.163385553655</t>
  </si>
  <si>
    <t>9763-20170724T160648.893134200.bin</t>
  </si>
  <si>
    <t>-614.696455031765 131.231533236602 -226.176814165849</t>
  </si>
  <si>
    <t>-656.602645454808 123.150877765434 -339.51868486106</t>
  </si>
  <si>
    <t>-678.68517177424 111.070674195189 -458.080956766296</t>
  </si>
  <si>
    <t>-690.34884393544 98.2836284654368 -566.225629218931</t>
  </si>
  <si>
    <t>-693.779018019034 83.5591025293581 -674.698184045807</t>
  </si>
  <si>
    <t>-689.97909782288 60.9730193275084 -825.281814716166</t>
  </si>
  <si>
    <t>-653.276443215776 31.1826813915991 -915.550397238369</t>
  </si>
  <si>
    <t>-677.14995687889 98.9945641401991 -762.49094107491</t>
  </si>
  <si>
    <t>-588.466642144958 216.196191198717 -757.983035391465</t>
  </si>
  <si>
    <t>-476.297262120107 148.421435555755 -469.867228488112</t>
  </si>
  <si>
    <t>-298.197592707676 45.7519421440768 -310.551287569647</t>
  </si>
  <si>
    <t>-706.170967758698 42.9387164317839 -754.815540308005</t>
  </si>
  <si>
    <t>-464.792992806305 5.69912434665821 -370.155636521539</t>
  </si>
  <si>
    <t>-581.297148322261 221.340844084115 -244.614376299907</t>
  </si>
  <si>
    <t>-580.637463349359 196.491166163453 210.401807824088</t>
  </si>
  <si>
    <t>-627.973259461895 165.393772644009 676.883502276836</t>
  </si>
  <si>
    <t>-496.074111948091 90.5756350314668 766.037128880018</t>
  </si>
  <si>
    <t>-648.024687642361 41.1497105978267 -207.033389319467</t>
  </si>
  <si>
    <t>-552.850776580575 -18.0438157196659 234.663029885787</t>
  </si>
  <si>
    <t>-740.055999504917 128.547347662573 639.753714779534</t>
  </si>
  <si>
    <t>-685.143123698457 -4.11772561411999 741.380719959526</t>
  </si>
  <si>
    <t>9763-20170724T160648.925223000.bin</t>
  </si>
  <si>
    <t>-614.61665432197 130.960929432629 -226.143489814719</t>
  </si>
  <si>
    <t>-656.536249387583 122.947054469362 -339.48511729469</t>
  </si>
  <si>
    <t>-678.622100118238 110.876296702636 -458.047747991978</t>
  </si>
  <si>
    <t>-690.284405795784 98.077659362177 -566.191329948037</t>
  </si>
  <si>
    <t>-693.708882058603 83.3232687455256 -674.659933735705</t>
  </si>
  <si>
    <t>-689.896148406199 60.6788863639385 -825.234402790743</t>
  </si>
  <si>
    <t>-653.284624071455 30.8547195898734 -915.52903172388</t>
  </si>
  <si>
    <t>-677.066853422984 98.7220484958516 -762.456646917823</t>
  </si>
  <si>
    <t>-588.330318302371 215.895547683959 -757.98241441151</t>
  </si>
  <si>
    <t>-476.350019486739 148.01375912773 -469.818045299324</t>
  </si>
  <si>
    <t>-298.520391351062 44.9972440228337 -310.424572498647</t>
  </si>
  <si>
    <t>-706.099447729469 42.6746314699469 -754.762964397315</t>
  </si>
  <si>
    <t>-465.669731254579 6.85784971625912 -368.857312596754</t>
  </si>
  <si>
    <t>-581.14591479377 220.988465270999 -244.589065821413</t>
  </si>
  <si>
    <t>-580.50528344735 196.229486070181 210.432045529097</t>
  </si>
  <si>
    <t>-627.982938688142 165.40587926185 676.913906961739</t>
  </si>
  <si>
    <t>-496.106707561511 90.5270032577334 766.050417001282</t>
  </si>
  <si>
    <t>-647.936502787099 40.9434635079817 -207.014269317585</t>
  </si>
  <si>
    <t>-552.734220968259 -18.4986309334624 234.642630516365</t>
  </si>
  <si>
    <t>-739.873179906317 128.443018612303 639.579262796085</t>
  </si>
  <si>
    <t>-685.229277607096 -4.14579084826823 741.450652985709</t>
  </si>
  <si>
    <t>9763-20170724T160648.990395200.bin</t>
  </si>
  <si>
    <t>-614.438063361718 130.311531515479 -226.025929935792</t>
  </si>
  <si>
    <t>-656.390228319707 122.361421661078 -339.359973124066</t>
  </si>
  <si>
    <t>-678.46964085444 110.299186422666 -457.924625196662</t>
  </si>
  <si>
    <t>-690.110005337536 97.4875836580145 -566.069023861308</t>
  </si>
  <si>
    <t>-693.496081148606 82.7014294354228 -674.534528601476</t>
  </si>
  <si>
    <t>-689.612916236106 59.9948029350983 -825.097965429482</t>
  </si>
  <si>
    <t>-653.131098359744 30.2332373323698 -915.465587011028</t>
  </si>
  <si>
    <t>-676.780380116627 98.047495111872 -762.326542336104</t>
  </si>
  <si>
    <t>-587.866553750257 215.071818030895 -757.817964393526</t>
  </si>
  <si>
    <t>-476.314471553117 147.538055413681 -469.405942804518</t>
  </si>
  <si>
    <t>-298.937107076798 43.6895778134947 -310.048443634433</t>
  </si>
  <si>
    <t>-705.881793702731 42.0360868672722 -754.629990160433</t>
  </si>
  <si>
    <t>-466.464424099116 8.19371293843756 -368.580039131372</t>
  </si>
  <si>
    <t>-580.842753859855 220.303067066593 -244.525868332393</t>
  </si>
  <si>
    <t>-580.165368222238 195.72853423295 210.505278449429</t>
  </si>
  <si>
    <t>-628.003423355804 165.289675678394 676.939543777112</t>
  </si>
  <si>
    <t>-496.074703034878 90.5128912029934 766.084096367924</t>
  </si>
  <si>
    <t>-647.936989659077 40.2997327394314 -206.856013094953</t>
  </si>
  <si>
    <t>-552.512041535248 -19.4271628239521 234.714409857673</t>
  </si>
  <si>
    <t>-739.684437292329 128.266852229109 639.330238693556</t>
  </si>
  <si>
    <t>-685.206837457373 -4.138382915085 741.528773600549</t>
  </si>
  <si>
    <t>9763-20170724T160649.024486300.bin</t>
  </si>
  <si>
    <t>-614.376828695019 129.970903751922 -225.984443796712</t>
  </si>
  <si>
    <t>-656.308174846489 122.006856645429 -339.325227626882</t>
  </si>
  <si>
    <t>-678.375125076032 109.911969452621 -457.888907151275</t>
  </si>
  <si>
    <t>-690.007882753112 97.0634794387649 -566.029616588473</t>
  </si>
  <si>
    <t>-693.390635073152 82.2326767898214 -674.489138065551</t>
  </si>
  <si>
    <t>-689.507804250873 59.4555722214436 -825.041923469889</t>
  </si>
  <si>
    <t>-653.131196129765 29.7930296418015 -915.48452717544</t>
  </si>
  <si>
    <t>-676.652009812118 97.526047943611 -762.286042411007</t>
  </si>
  <si>
    <t>-587.603071716239 214.476121270045 -757.784038445558</t>
  </si>
  <si>
    <t>-476.437937511096 146.893855673543 -469.234031080511</t>
  </si>
  <si>
    <t>-299.063391188369 42.9790330973799 -309.916599766283</t>
  </si>
  <si>
    <t>-705.799524917155 41.5415848947705 -754.567888509808</t>
  </si>
  <si>
    <t>-466.169946151348 9.05367331109824 -368.97554448545</t>
  </si>
  <si>
    <t>-580.690332900921 219.933920152068 -244.509720129711</t>
  </si>
  <si>
    <t>-580.022272038726 195.440170129924 210.525706182439</t>
  </si>
  <si>
    <t>-628.008779441007 165.247507814529 676.945601771012</t>
  </si>
  <si>
    <t>-496.031400047768 90.5534721891258 766.087534596217</t>
  </si>
  <si>
    <t>-647.95320488096 39.9847291252213 -206.801327721349</t>
  </si>
  <si>
    <t>-552.39058318433 -19.6984790067929 234.745257438457</t>
  </si>
  <si>
    <t>-739.604990635216 128.249133988054 639.261016259917</t>
  </si>
  <si>
    <t>-685.309073391835 -4.15625071636191 741.556065317053</t>
  </si>
  <si>
    <t>9763-20170724T160649.087658700.bin</t>
  </si>
  <si>
    <t>-614.128253332118 129.607609398 -225.928424029728</t>
  </si>
  <si>
    <t>-656.03695024165 121.620296152548 -339.275906904194</t>
  </si>
  <si>
    <t>-678.049591647684 109.360666029663 -457.832697309925</t>
  </si>
  <si>
    <t>-689.621640604369 96.3090660757102 -565.955785778331</t>
  </si>
  <si>
    <t>-692.93262748723 81.2237520668909 -674.382278255738</t>
  </si>
  <si>
    <t>-688.939759341818 58.0413266666176 -824.870366904899</t>
  </si>
  <si>
    <t>-653.161525004693 28.938472412784 -915.732503962245</t>
  </si>
  <si>
    <t>-676.124568153215 96.2779997779417 -762.207294008036</t>
  </si>
  <si>
    <t>-587.121251096491 213.237765909782 -757.796057147006</t>
  </si>
  <si>
    <t>-476.436045709683 145.940569301414 -468.994931253476</t>
  </si>
  <si>
    <t>-299.080591322531 41.784580020764 -309.813897364353</t>
  </si>
  <si>
    <t>-705.288257298661 40.3198236447406 -754.360804269334</t>
  </si>
  <si>
    <t>-465.995726441722 11.3225083820635 -370.874624053808</t>
  </si>
  <si>
    <t>-580.268611430354 219.521194014331 -244.49739738654</t>
  </si>
  <si>
    <t>-579.727735996016 195.087095914118 210.541383408167</t>
  </si>
  <si>
    <t>-628.032963810781 165.14173480657 676.947761355786</t>
  </si>
  <si>
    <t>-495.966435968754 90.6061671665291 766.09030201914</t>
  </si>
  <si>
    <t>-647.849896670579 39.7524951032799 -206.698590946502</t>
  </si>
  <si>
    <t>-552.307514834157 -19.9697360681732 234.847027187752</t>
  </si>
  <si>
    <t>-739.6642030404 128.210736873792 639.258219041338</t>
  </si>
  <si>
    <t>-685.329514728657 -4.15348794328429 741.585959257563</t>
  </si>
  <si>
    <t>9763-20170724T160649.126763300.bin</t>
  </si>
  <si>
    <t>-613.898953392219 129.672828472634 -225.931064153412</t>
  </si>
  <si>
    <t>-655.777398860628 121.641011245753 -339.286703785493</t>
  </si>
  <si>
    <t>-677.740631148358 109.297560328175 -457.843907504719</t>
  </si>
  <si>
    <t>-689.260445093787 96.1565787199879 -565.961751944165</t>
  </si>
  <si>
    <t>-692.512060229994 80.9694493431898 -674.375981907393</t>
  </si>
  <si>
    <t>-688.42895467425 57.634524527781 -824.83796496596</t>
  </si>
  <si>
    <t>-653.060890919648 29.0136675000354 -916.01325237683</t>
  </si>
  <si>
    <t>-675.673505628789 95.9457567064371 -762.208346681725</t>
  </si>
  <si>
    <t>-586.747539163156 212.969436696584 -757.861089835317</t>
  </si>
  <si>
    <t>-476.200663423381 145.878744866348 -468.959005598662</t>
  </si>
  <si>
    <t>-298.668793993192 42.0575142935113 -309.755776120468</t>
  </si>
  <si>
    <t>-704.797658020473 39.973296353269 -754.317927079384</t>
  </si>
  <si>
    <t>-465.689155056735 11.1687119877708 -371.821765926633</t>
  </si>
  <si>
    <t>-579.995456886848 219.65746640487 -244.513567684318</t>
  </si>
  <si>
    <t>-579.582190704647 195.193007251033 210.523876582251</t>
  </si>
  <si>
    <t>-627.951875666287 165.236039029094 676.926673483346</t>
  </si>
  <si>
    <t>-495.980905171425 90.5538134681078 766.088027927389</t>
  </si>
  <si>
    <t>-647.641873080635 39.8021015950624 -206.69448615088</t>
  </si>
  <si>
    <t>-552.19449706671 -19.8672763370607 234.878819501501</t>
  </si>
  <si>
    <t>-739.642157942241 128.265087846601 639.282192308604</t>
  </si>
  <si>
    <t>-685.36612331983 -4.14253401077735 741.584947417374</t>
  </si>
  <si>
    <t>9763-20170724T160649.192606500.bin</t>
  </si>
  <si>
    <t>-613.255705034357 129.873980696308 -225.988996704692</t>
  </si>
  <si>
    <t>-654.979196729201 121.664917928065 -339.389098162426</t>
  </si>
  <si>
    <t>-676.750526093276 109.180220704917 -457.966909036104</t>
  </si>
  <si>
    <t>-688.082098960387 95.9303028601421 -566.091359697039</t>
  </si>
  <si>
    <t>-691.130696829948 80.6552399470415 -674.498929725055</t>
  </si>
  <si>
    <t>-686.750524537544 57.2214070012271 -824.937355727045</t>
  </si>
  <si>
    <t>-651.990862144834 29.7047991876757 -916.684650917451</t>
  </si>
  <si>
    <t>-674.233711216915 95.6315535398019 -762.320262991838</t>
  </si>
  <si>
    <t>-585.69801480617 212.965818040173 -757.942148420199</t>
  </si>
  <si>
    <t>-475.093675590248 146.262693777421 -468.972237907027</t>
  </si>
  <si>
    <t>-297.305090837388 42.9772958377318 -309.707121099011</t>
  </si>
  <si>
    <t>-703.143566530211 39.5486949890449 -754.425839353579</t>
  </si>
  <si>
    <t>-464.997742795163 10.6463046308359 -372.199715945541</t>
  </si>
  <si>
    <t>-579.571603079816 219.845443080983 -244.53956489486</t>
  </si>
  <si>
    <t>-579.411307478241 195.357949411686 210.496712443907</t>
  </si>
  <si>
    <t>-627.97701734444 165.160579615774 676.909142599557</t>
  </si>
  <si>
    <t>-495.944422940319 90.5783404304332 766.062863607126</t>
  </si>
  <si>
    <t>-646.744667552678 40.0022981479838 -206.770555033197</t>
  </si>
  <si>
    <t>-551.743752566793 -19.3176783305673 234.946114496603</t>
  </si>
  <si>
    <t>-739.706085244014 128.239186441188 639.343949716036</t>
  </si>
  <si>
    <t>-685.365254989059 -4.14819717740806 741.638368311207</t>
  </si>
  <si>
    <t>9763-20170724T160649.226688000.bin</t>
  </si>
  <si>
    <t>-612.940006119735 129.948663009289 -226.003806065832</t>
  </si>
  <si>
    <t>-654.618553772695 121.668796868956 -339.415234542214</t>
  </si>
  <si>
    <t>-676.35776718763 109.149500261763 -457.995277878006</t>
  </si>
  <si>
    <t>-687.665373558911 95.8833525494078 -566.120169780836</t>
  </si>
  <si>
    <t>-690.69566356826 80.6060282379403 -674.528079962826</t>
  </si>
  <si>
    <t>-686.295689555875 57.1834524102317 -824.967594878239</t>
  </si>
  <si>
    <t>-651.751687894372 30.2079301139772 -916.956739619568</t>
  </si>
  <si>
    <t>-673.851625269791 95.6211452395328 -762.352908917738</t>
  </si>
  <si>
    <t>-585.594012995388 213.170513303048 -757.979247774234</t>
  </si>
  <si>
    <t>-474.83672927857 146.613357094375 -469.03449501738</t>
  </si>
  <si>
    <t>-297.058451604198 43.2578566184936 -309.803227957658</t>
  </si>
  <si>
    <t>-702.633516468955 39.4732203240001 -754.452693387009</t>
  </si>
  <si>
    <t>-463.442137939265 8.94791610884454 -371.76811616806</t>
  </si>
  <si>
    <t>-579.484354964667 219.993981226694 -244.542940812799</t>
  </si>
  <si>
    <t>-579.364315811487 195.437074068682 210.48959557755</t>
  </si>
  <si>
    <t>-627.967155269942 165.145896354432 676.895892152964</t>
  </si>
  <si>
    <t>-495.846548431702 90.7183671388066 766.048540717806</t>
  </si>
  <si>
    <t>-646.227781791328 40.0202217724261 -206.816727890581</t>
  </si>
  <si>
    <t>-551.304764879108 -18.9874433800926 234.958512494594</t>
  </si>
  <si>
    <t>-739.651432179743 128.231386184183 639.334609374199</t>
  </si>
  <si>
    <t>-685.40023903167 -4.16343697075581 741.667079358307</t>
  </si>
  <si>
    <t>9763-20170724T160649.294525900.bin</t>
  </si>
  <si>
    <t>-612.371254707131 130.229427251117 -225.948794529128</t>
  </si>
  <si>
    <t>-654.037396926473 121.804033710167 -339.354049308234</t>
  </si>
  <si>
    <t>-675.817273182822 109.241974674502 -457.922219909101</t>
  </si>
  <si>
    <t>-687.182410880338 95.9804166306158 -566.041548133959</t>
  </si>
  <si>
    <t>-690.290198186363 80.7508897224923 -674.454026266325</t>
  </si>
  <si>
    <t>-686.017422397922 57.4400139538984 -824.914426919789</t>
  </si>
  <si>
    <t>-651.677284293771 31.3612441045177 -917.238087961649</t>
  </si>
  <si>
    <t>-673.670906903921 95.9055214271318 -762.297622285322</t>
  </si>
  <si>
    <t>-585.979527572821 213.857342591355 -757.847167233411</t>
  </si>
  <si>
    <t>-474.727352910061 146.965280920838 -469.169822381687</t>
  </si>
  <si>
    <t>-296.922156012912 43.5339926599008 -310.017918820723</t>
  </si>
  <si>
    <t>-702.145190369433 39.6030511987756 -754.383123017563</t>
  </si>
  <si>
    <t>-460.300869611536 5.80566792567788 -372.323250751246</t>
  </si>
  <si>
    <t>-579.377711208189 220.385495023776 -244.442718628845</t>
  </si>
  <si>
    <t>-579.17013273535 195.543485135206 210.574292103055</t>
  </si>
  <si>
    <t>-628.076790616664 164.964192290744 676.929534380229</t>
  </si>
  <si>
    <t>-495.664145087523 91.0026745749594 766.036745194737</t>
  </si>
  <si>
    <t>-645.236335687738 40.1291389676253 -206.764166141487</t>
  </si>
  <si>
    <t>-550.09010581946 -18.4293153525566 235.022792601459</t>
  </si>
  <si>
    <t>-739.389034172372 128.213343003611 639.179798163121</t>
  </si>
  <si>
    <t>-685.363265705685 -4.16484306518373 741.65289345064</t>
  </si>
  <si>
    <t>9763-20170724T160649.336637300.bin</t>
  </si>
  <si>
    <t>-611.948029224995 130.393787132694 -225.872721793885</t>
  </si>
  <si>
    <t>-653.655025098862 121.903607570821 -339.25816756599</t>
  </si>
  <si>
    <t>-675.473124728056 109.349777470699 -457.820194006423</t>
  </si>
  <si>
    <t>-686.869846977955 96.1275843196702 -565.941090108838</t>
  </si>
  <si>
    <t>-690.005196442746 80.9701172051944 -674.362672608405</t>
  </si>
  <si>
    <t>-685.765777247897 57.7938883833169 -824.844988076577</t>
  </si>
  <si>
    <t>-651.427773803402 32.1078848902509 -917.27945100215</t>
  </si>
  <si>
    <t>-673.49587080763 96.2477129660119 -762.205794522483</t>
  </si>
  <si>
    <t>-586.133345340446 214.430541040841 -757.660540006072</t>
  </si>
  <si>
    <t>-474.551346798627 147.206523747199 -469.187726436708</t>
  </si>
  <si>
    <t>-296.694492302297 43.7319206759155 -310.121730778002</t>
  </si>
  <si>
    <t>-701.787342070286 39.8495458422562 -754.316728696692</t>
  </si>
  <si>
    <t>-458.735034655278 4.36090196035298 -374.936723166618</t>
  </si>
  <si>
    <t>-579.149906128622 220.639605775175 -244.372454926186</t>
  </si>
  <si>
    <t>-578.914581461908 195.641648663065 210.636091543492</t>
  </si>
  <si>
    <t>-628.029400432811 165.027275551124 676.92936243187</t>
  </si>
  <si>
    <t>-495.638107439733 91.034222688816 766.042110677713</t>
  </si>
  <si>
    <t>-644.601524464993 40.2008962677353 -206.691393385773</t>
  </si>
  <si>
    <t>-549.329043531769 -18.3280184480429 235.072288803021</t>
  </si>
  <si>
    <t>-739.214740084547 128.157488499322 639.022314433391</t>
  </si>
  <si>
    <t>-685.373926534318 -4.18640356436572 741.636942760318</t>
  </si>
  <si>
    <t>9763-20170724T160649.396800900.bin</t>
  </si>
  <si>
    <t>-611.077167732811 130.753107653796 -225.761213200042</t>
  </si>
  <si>
    <t>-652.884566156104 122.149303836991 -339.100973415718</t>
  </si>
  <si>
    <t>-674.770522925156 109.811004057012 -457.673221199631</t>
  </si>
  <si>
    <t>-686.20963384944 96.9181694985582 -565.829266897743</t>
  </si>
  <si>
    <t>-689.365241691299 82.2238560974754 -674.314230383986</t>
  </si>
  <si>
    <t>-685.127609297441 59.8304035419455 -824.915048175849</t>
  </si>
  <si>
    <t>-650.683469681736 34.9396901568362 -917.527315895585</t>
  </si>
  <si>
    <t>-672.998082496904 98.0264616623253 -762.091037334329</t>
  </si>
  <si>
    <t>-586.064825466543 216.537513166823 -757.04836060078</t>
  </si>
  <si>
    <t>-473.856133587039 148.174897792515 -469.086720223558</t>
  </si>
  <si>
    <t>-295.355913846925 45.3349530667911 -310.329940924333</t>
  </si>
  <si>
    <t>-701.007149831375 41.4511956001404 -754.466662264083</t>
  </si>
  <si>
    <t>-454.903643771307 3.97096932399654 -379.872576383826</t>
  </si>
  <si>
    <t>-578.650842140304 221.14177442212 -244.255535112728</t>
  </si>
  <si>
    <t>-578.40481786532 195.862096974917 210.737339020662</t>
  </si>
  <si>
    <t>-628.036972921936 164.983319698982 676.95067671222</t>
  </si>
  <si>
    <t>-495.524522870476 91.2029548070029 766.059706444044</t>
  </si>
  <si>
    <t>-643.413151307242 40.4184324627063 -206.541455871402</t>
  </si>
  <si>
    <t>-547.923456962699 -18.184216291043 235.165608990824</t>
  </si>
  <si>
    <t>-738.85136695812 128.127852157958 638.740259312326</t>
  </si>
  <si>
    <t>-685.347352636276 -4.19312157760874 741.560555702916</t>
  </si>
  <si>
    <t>9763-20170724T160649.424875900.bin</t>
  </si>
  <si>
    <t>-610.662400571076 130.912271804274 -225.679281009287</t>
  </si>
  <si>
    <t>-652.507763206089 122.246463343729 -339.000317440501</t>
  </si>
  <si>
    <t>-674.416751816431 109.933078113886 -457.57078029886</t>
  </si>
  <si>
    <t>-685.868960647884 97.0989638245771 -565.732566880143</t>
  </si>
  <si>
    <t>-689.028723805195 82.5000988449333 -674.230345036732</t>
  </si>
  <si>
    <t>-684.786872518876 60.2775489592659 -824.85625315538</t>
  </si>
  <si>
    <t>-650.294054637176 35.6156280582193 -917.511606223236</t>
  </si>
  <si>
    <t>-672.721113798048 98.4321059971137 -761.994668060454</t>
  </si>
  <si>
    <t>-586.057690305924 217.134027532204 -756.71263440763</t>
  </si>
  <si>
    <t>-473.488538246755 148.257060414273 -469.014333339256</t>
  </si>
  <si>
    <t>-295.229239978168 44.928444092958 -310.304283551196</t>
  </si>
  <si>
    <t>-700.606376811117 41.7886016214231 -754.423169628611</t>
  </si>
  <si>
    <t>-453.312418140356 3.21317364648007 -380.077555199524</t>
  </si>
  <si>
    <t>-578.362380707517 221.331833199808 -244.194013381058</t>
  </si>
  <si>
    <t>-578.146027141701 195.885873074301 210.789600561296</t>
  </si>
  <si>
    <t>-628.024465009813 164.980166842846 676.95021735075</t>
  </si>
  <si>
    <t>-495.455411009868 91.307189797179 766.063908576105</t>
  </si>
  <si>
    <t>-642.840000160433 40.4991590856998 -206.490328484436</t>
  </si>
  <si>
    <t>-547.353942399955 -17.9905437528807 235.232494454509</t>
  </si>
  <si>
    <t>-738.715028319484 128.170903541449 638.665931238236</t>
  </si>
  <si>
    <t>-685.37838150372 -4.19014648875577 741.521446061905</t>
  </si>
  <si>
    <t>9763-20170724T160649.502112100.bin</t>
  </si>
  <si>
    <t>-609.875175710124 131.122781850776 -225.480516496785</t>
  </si>
  <si>
    <t>-651.756815560123 122.311712985264 -338.777068018651</t>
  </si>
  <si>
    <t>-673.698213727328 110.051711099013 -457.346968524995</t>
  </si>
  <si>
    <t>-685.174859118176 97.3495601451648 -565.521874690458</t>
  </si>
  <si>
    <t>-688.352092778277 82.967573996656 -674.047917838784</t>
  </si>
  <si>
    <t>-684.124879261046 61.1362801689927 -824.731494002294</t>
  </si>
  <si>
    <t>-649.584977238927 36.9528546048111 -917.495352556332</t>
  </si>
  <si>
    <t>-672.123843687264 99.1612814872358 -761.779079949155</t>
  </si>
  <si>
    <t>-585.738310221022 218.023641203124 -756.107481759754</t>
  </si>
  <si>
    <t>-472.823254948916 148.445823945434 -468.7133986222</t>
  </si>
  <si>
    <t>-294.742295269015 44.4201639844089 -310.258796092341</t>
  </si>
  <si>
    <t>-699.866794932235 42.430547370589 -754.338104083902</t>
  </si>
  <si>
    <t>-450.96575440485 1.69946795720693 -378.048697559806</t>
  </si>
  <si>
    <t>-577.627853377427 221.691350607539 -244.092346388599</t>
  </si>
  <si>
    <t>-577.662291746001 196.104432031074 210.883495332836</t>
  </si>
  <si>
    <t>-627.982494205186 165.038361952552 676.952583905627</t>
  </si>
  <si>
    <t>-495.271177994319 91.6227655488585 766.06694311583</t>
  </si>
  <si>
    <t>-641.997778944455 40.5339670561982 -206.222974217451</t>
  </si>
  <si>
    <t>-546.605555025603 -17.6430064730637 235.561348740805</t>
  </si>
  <si>
    <t>-738.604575348921 128.37513607766 638.708875509645</t>
  </si>
  <si>
    <t>-685.363637235179 -4.13658291647039 741.419904339148</t>
  </si>
  <si>
    <t>9763-20170724T160649.526178300.bin</t>
  </si>
  <si>
    <t>-609.429444052882 131.124848144571 -225.422894303698</t>
  </si>
  <si>
    <t>-651.29449477006 122.266193101612 -338.721857245804</t>
  </si>
  <si>
    <t>-673.197140464221 110.005424279127 -457.298957832634</t>
  </si>
  <si>
    <t>-684.62856155232 97.325283227706 -565.48099098512</t>
  </si>
  <si>
    <t>-687.74977061835 82.9899894011455 -674.015018880573</t>
  </si>
  <si>
    <t>-683.432656606911 61.2512834690517 -824.709372635966</t>
  </si>
  <si>
    <t>-648.84045277498 37.2539383656701 -917.502204893846</t>
  </si>
  <si>
    <t>-671.503536482989 99.2539218225022 -761.729952242299</t>
  </si>
  <si>
    <t>-585.243174300078 218.196728058741 -755.900040976236</t>
  </si>
  <si>
    <t>-472.426451601804 148.191595291264 -468.571263531506</t>
  </si>
  <si>
    <t>-294.570992875917 43.6112165014092 -310.228416992229</t>
  </si>
  <si>
    <t>-699.182190856332 42.4860080710305 -754.333689743623</t>
  </si>
  <si>
    <t>-450.681343035387 1.00815519943444 -375.195549030973</t>
  </si>
  <si>
    <t>-577.115687559642 221.742346922578 -244.076299490522</t>
  </si>
  <si>
    <t>-577.409130600321 196.195720393959 210.901560910989</t>
  </si>
  <si>
    <t>-627.921848207795 165.100591158565 676.929274465365</t>
  </si>
  <si>
    <t>-495.284332585467 91.5876041675904 766.0732266554</t>
  </si>
  <si>
    <t>-641.586623481476 40.4575653716399 -206.139563664989</t>
  </si>
  <si>
    <t>-546.207098584531 -17.5982547667713 235.663443838092</t>
  </si>
  <si>
    <t>-738.589170967115 128.398112133941 638.664799123484</t>
  </si>
  <si>
    <t>-685.366749238386 -4.13149652133893 741.362330129783</t>
  </si>
  <si>
    <t>9763-20170724T160649.590391000.bin</t>
  </si>
  <si>
    <t>-608.66992925519 131.165068427421 -225.20629754356</t>
  </si>
  <si>
    <t>-650.563550918835 122.294918089978 -338.493840484289</t>
  </si>
  <si>
    <t>-672.356678071074 110.054485629747 -457.093102825101</t>
  </si>
  <si>
    <t>-683.630146046784 97.4114228825433 -565.29622215312</t>
  </si>
  <si>
    <t>-686.533181272963 83.1358745955329 -673.844097168934</t>
  </si>
  <si>
    <t>-681.849484243574 61.5074006712819 -824.543321489269</t>
  </si>
  <si>
    <t>-647.085638238306 37.8214505720116 -917.351952450012</t>
  </si>
  <si>
    <t>-670.105510790872 99.4791144597539 -761.510370015907</t>
  </si>
  <si>
    <t>-583.842880485334 218.424371968159 -755.557805779898</t>
  </si>
  <si>
    <t>-471.085428970849 148.154492334552 -468.270344110873</t>
  </si>
  <si>
    <t>-293.067310881429 43.4528953737133 -310.190712320811</t>
  </si>
  <si>
    <t>-697.738212055571 42.6755771845662 -754.216742670498</t>
  </si>
  <si>
    <t>-576.136790559284 221.979769550946 -243.97249336411</t>
  </si>
  <si>
    <t>-576.741652334877 196.354638851134 211.000754424751</t>
  </si>
  <si>
    <t>-627.869615796707 165.234045732672 676.936241531685</t>
  </si>
  <si>
    <t>-495.321396008453 91.5340442809236 766.058593123986</t>
  </si>
  <si>
    <t>-641.034938310276 40.4418513327976 -205.765889234267</t>
  </si>
  <si>
    <t>-545.342156451336 -18.0693503594512 235.909304398488</t>
  </si>
  <si>
    <t>-738.4088461099 128.415137637917 638.404556591103</t>
  </si>
  <si>
    <t>-685.372986619285 -4.12701210982345 741.18244666703</t>
  </si>
  <si>
    <t>9763-20170724T160649.627490600.bin</t>
  </si>
  <si>
    <t>-608.32005275018 131.148201796506 -225.124948210497</t>
  </si>
  <si>
    <t>-650.224310270052 122.289810879835 -338.409413143057</t>
  </si>
  <si>
    <t>-672.033858005139 110.074905578085 -457.008236157623</t>
  </si>
  <si>
    <t>-683.324214491088 97.4606712923858 -565.213057480645</t>
  </si>
  <si>
    <t>-686.24582005012 83.2200171699089 -673.764800881306</t>
  </si>
  <si>
    <t>-681.589878761949 61.645949649602 -824.472814027561</t>
  </si>
  <si>
    <t>-646.778425974121 38.0264603047926 -917.28057678152</t>
  </si>
  <si>
    <t>-669.805529488372 99.5811857392 -761.425598964121</t>
  </si>
  <si>
    <t>-583.478960995126 218.483180771476 -755.49425046445</t>
  </si>
  <si>
    <t>-470.572605540129 148.338462135714 -468.234596309695</t>
  </si>
  <si>
    <t>-292.708109739162 43.3605947721862 -310.165333539327</t>
  </si>
  <si>
    <t>-697.494420183117 42.802460325712 -754.152973085122</t>
  </si>
  <si>
    <t>-575.695575345507 221.9303528635 -243.900199886398</t>
  </si>
  <si>
    <t>-576.536571120773 196.365150969564 211.076170580569</t>
  </si>
  <si>
    <t>-627.879188801368 165.202008115828 676.94673554905</t>
  </si>
  <si>
    <t>-495.279501824974 91.5749913939728 766.052841236663</t>
  </si>
  <si>
    <t>-640.840393595414 40.4260835653361 -205.638086179724</t>
  </si>
  <si>
    <t>-544.980199901707 -18.3051070551539 235.97162770708</t>
  </si>
  <si>
    <t>-738.249004970989 128.480266415448 638.261974138986</t>
  </si>
  <si>
    <t>-685.462093009704 -4.12435852288763 741.087387832795</t>
  </si>
  <si>
    <t>9763-20170724T160649.691675700.bin</t>
  </si>
  <si>
    <t>-607.944895177258 130.884077785016 -225.071190713062</t>
  </si>
  <si>
    <t>-649.828946007576 122.046843317511 -338.36475887779</t>
  </si>
  <si>
    <t>-671.731224374841 109.787821261006 -456.942159304661</t>
  </si>
  <si>
    <t>-683.152949398039 97.1101713601004 -565.12556952544</t>
  </si>
  <si>
    <t>-686.253547952079 82.7846238780178 -673.66141080115</t>
  </si>
  <si>
    <t>-681.895270711079 61.0722026793158 -824.358333294778</t>
  </si>
  <si>
    <t>-647.048231766388 37.4033463511701 -917.140231954594</t>
  </si>
  <si>
    <t>-669.926138082581 99.03666554745 -761.363373357559</t>
  </si>
  <si>
    <t>-583.482877763855 217.864635062587 -755.635405420937</t>
  </si>
  <si>
    <t>-470.538208164834 148.171091274404 -468.281195716649</t>
  </si>
  <si>
    <t>-293.201125944177 42.2209451827027 -310.26787981042</t>
  </si>
  <si>
    <t>-697.721083712991 42.322036418745 -753.995870888319</t>
  </si>
  <si>
    <t>-574.937837255748 221.537452204875 -243.893504597862</t>
  </si>
  <si>
    <t>-576.168664654044 196.11944201132 211.090145202054</t>
  </si>
  <si>
    <t>-627.89507949386 165.106251825891 676.953179321453</t>
  </si>
  <si>
    <t>-495.139014091818 91.6972642108497 766.006286506439</t>
  </si>
  <si>
    <t>-640.894717705637 40.295094088867 -205.566340396361</t>
  </si>
  <si>
    <t>-545.176794082155 -18.7550402317293 236.031694646895</t>
  </si>
  <si>
    <t>-738.194932207343 128.688822523047 638.264065338961</t>
  </si>
  <si>
    <t>-685.540108846679 -4.0726450657146 740.954746183516</t>
  </si>
  <si>
    <t>9763-20170724T160649.724792900.bin</t>
  </si>
  <si>
    <t>-607.833101921422 130.811512783428 -225.109857741261</t>
  </si>
  <si>
    <t>-649.658125844544 122.00691630995 -338.427789101843</t>
  </si>
  <si>
    <t>-671.602405180673 109.710385237481 -456.993398283689</t>
  </si>
  <si>
    <t>-683.10575479155 96.9694944872836 -565.16080528031</t>
  </si>
  <si>
    <t>-686.332473018324 82.5510220716769 -673.68056317018</t>
  </si>
  <si>
    <t>-682.196226525888 60.6781104891784 -824.360677826115</t>
  </si>
  <si>
    <t>-647.367192100641 36.9057890388785 -917.122804913889</t>
  </si>
  <si>
    <t>-670.093163577505 98.6898364486494 -761.419813100345</t>
  </si>
  <si>
    <t>-583.552408335589 217.441991089572 -755.898176692038</t>
  </si>
  <si>
    <t>-470.708952431046 147.957126407563 -468.453522235068</t>
  </si>
  <si>
    <t>-293.53646353569 41.9939273993014 -310.26454893099</t>
  </si>
  <si>
    <t>-697.959663410118 42.0224918053088 -753.958962255846</t>
  </si>
  <si>
    <t>-574.611373615477 221.480327629866 -243.900462980762</t>
  </si>
  <si>
    <t>-575.990047592046 196.039929820589 211.081446425451</t>
  </si>
  <si>
    <t>-627.88280724404 165.176515398772 676.931570223918</t>
  </si>
  <si>
    <t>-495.220349253968 91.5949893464804 765.981762520258</t>
  </si>
  <si>
    <t>-640.945443823444 40.2489007046136 -205.662468046976</t>
  </si>
  <si>
    <t>-545.587187979845 -18.7462426205482 236.020711829634</t>
  </si>
  <si>
    <t>-738.304400250144 128.811836426679 638.39201687881</t>
  </si>
  <si>
    <t>-685.64457891228 -4.06102850918955 740.935887524334</t>
  </si>
  <si>
    <t>9763-20170724T160649.787936800.bin</t>
  </si>
  <si>
    <t>-607.698822022597 130.871024543838 -225.289377691653</t>
  </si>
  <si>
    <t>-649.457500420842 122.131360871592 -338.636870525626</t>
  </si>
  <si>
    <t>-671.489671617112 109.86979112985 -457.189754451571</t>
  </si>
  <si>
    <t>-683.137297590083 97.1496939402518 -565.344197191213</t>
  </si>
  <si>
    <t>-686.573638522011 82.7415591859506 -673.85883760785</t>
  </si>
  <si>
    <t>-682.795907714222 60.8731440713923 -824.549138120242</t>
  </si>
  <si>
    <t>-648.04437265029 36.9499030033903 -917.301329653815</t>
  </si>
  <si>
    <t>-670.519524201738 98.871764822246 -761.633925246433</t>
  </si>
  <si>
    <t>-583.927811706213 217.594030415006 -756.315060846674</t>
  </si>
  <si>
    <t>-470.976256105668 148.127771327441 -468.908359864496</t>
  </si>
  <si>
    <t>-294.279616981841 42.0627584614115 -310.25602299516</t>
  </si>
  <si>
    <t>-698.415257426313 42.2268232372796 -754.112853236118</t>
  </si>
  <si>
    <t>-452.865504712475 1.33854535467322 -374.374292078282</t>
  </si>
  <si>
    <t>-574.232464732708 221.513562036994 -243.994176437126</t>
  </si>
  <si>
    <t>-575.648210257181 195.897105651465 210.977748221348</t>
  </si>
  <si>
    <t>-627.821857878223 165.236032239579 676.820819415585</t>
  </si>
  <si>
    <t>-495.181453765124 91.6576408107317 765.906465391153</t>
  </si>
  <si>
    <t>-641.064422244174 40.4200350916769 -205.898847865953</t>
  </si>
  <si>
    <t>-546.888545605037 -18.4721370318109 236.051673374334</t>
  </si>
  <si>
    <t>-738.866759594135 129.026936473643 638.904182083001</t>
  </si>
  <si>
    <t>-685.687119800928 -4.00745294683725 740.96921538644</t>
  </si>
  <si>
    <t>9763-20170724T160649.821021800.bin</t>
  </si>
  <si>
    <t>-607.666218952337 130.960937152106 -225.313604867045</t>
  </si>
  <si>
    <t>-649.392667534709 122.199688846227 -338.671227092542</t>
  </si>
  <si>
    <t>-671.445676094984 109.953419901515 -457.221923718167</t>
  </si>
  <si>
    <t>-683.133615324741 97.2654514156354 -565.375742145234</t>
  </si>
  <si>
    <t>-686.631075505764 82.9097074815086 -673.895512756105</t>
  </si>
  <si>
    <t>-682.959124136456 61.1367831633017 -824.601920119461</t>
  </si>
  <si>
    <t>-648.274811253276 37.200239181197 -917.375996402885</t>
  </si>
  <si>
    <t>-670.666822821602 99.1090826354596 -761.674158414428</t>
  </si>
  <si>
    <t>-584.177176049939 217.901499178696 -756.31397561042</t>
  </si>
  <si>
    <t>-471.041175388468 148.11270238719 -469.057961281807</t>
  </si>
  <si>
    <t>-294.340329236066 42.2640573926292 -310.265902216736</t>
  </si>
  <si>
    <t>-698.500845563863 42.4322088426852 -754.16399331608</t>
  </si>
  <si>
    <t>-452.008006560105 2.05783927319339 -377.078766222845</t>
  </si>
  <si>
    <t>-574.098409514274 221.5730331922 -244.023526901029</t>
  </si>
  <si>
    <t>-575.598728597602 195.904802718872 210.945224926805</t>
  </si>
  <si>
    <t>-627.826183112307 165.21437392801 676.785975105189</t>
  </si>
  <si>
    <t>-495.189416655282 91.6413006369964 765.881451081674</t>
  </si>
  <si>
    <t>-641.076637772911 40.4796309180897 -205.948748354276</t>
  </si>
  <si>
    <t>-547.47219816045 -18.1131439397384 236.162942563029</t>
  </si>
  <si>
    <t>-739.200324763999 129.140939180063 639.222875493032</t>
  </si>
  <si>
    <t>-685.773104032176 -3.99788086848866 741.022172124087</t>
  </si>
  <si>
    <t>9763-20170724T160649.891252200.bin</t>
  </si>
  <si>
    <t>-607.628519592462 131.164281823078 -225.35507444192</t>
  </si>
  <si>
    <t>-649.368854326221 122.388540862476 -338.706481682201</t>
  </si>
  <si>
    <t>-671.515644495933 110.108879559699 -457.236225164881</t>
  </si>
  <si>
    <t>-683.32169966487 97.3834482448551 -565.372905843229</t>
  </si>
  <si>
    <t>-686.970382583437 82.9833471214095 -673.881666615937</t>
  </si>
  <si>
    <t>-683.543209661332 61.1411757660919 -824.584061579794</t>
  </si>
  <si>
    <t>-648.979932271141 37.1481116601462 -917.388572244064</t>
  </si>
  <si>
    <t>-671.170021527132 99.1525245182957 -761.695512075883</t>
  </si>
  <si>
    <t>-584.843897874232 218.067985130362 -756.271284204178</t>
  </si>
  <si>
    <t>-471.656898090339 147.883707803617 -469.13189995992</t>
  </si>
  <si>
    <t>-294.943277534808 42.6036666184832 -309.976506175281</t>
  </si>
  <si>
    <t>-698.949276850198 42.4587424238609 -754.110362512469</t>
  </si>
  <si>
    <t>-449.730592134135 1.09624273780059 -381.555995271127</t>
  </si>
  <si>
    <t>-574.030066743183 221.799730308592 -244.06052825941</t>
  </si>
  <si>
    <t>-575.620597018965 196.050750083937 210.90332819563</t>
  </si>
  <si>
    <t>-627.832234459627 165.26772343524 676.742372768108</t>
  </si>
  <si>
    <t>-495.222958016718 91.6651736625868 765.854426410297</t>
  </si>
  <si>
    <t>-641.093669165241 40.6307068888161 -205.9740172133</t>
  </si>
  <si>
    <t>-547.79023694162 -17.4949283685435 236.262939786642</t>
  </si>
  <si>
    <t>-739.548615369345 129.215714750075 639.557412626037</t>
  </si>
  <si>
    <t>-685.700223826945 -3.97333604312371 741.068719683974</t>
  </si>
  <si>
    <t>9763-20170724T160649.926342300.bin</t>
  </si>
  <si>
    <t>-607.560860413382 131.28777169598 -225.349945701902</t>
  </si>
  <si>
    <t>-649.314203877687 122.501548226828 -338.695755237378</t>
  </si>
  <si>
    <t>-671.459860059702 110.213650288517 -457.224848545318</t>
  </si>
  <si>
    <t>-683.25940925239 97.4778742074272 -565.3610152954</t>
  </si>
  <si>
    <t>-686.89669994282 83.0619757202669 -673.868077956072</t>
  </si>
  <si>
    <t>-683.449264581491 61.1899205810246 -824.565564164328</t>
  </si>
  <si>
    <t>-648.873810271853 37.191762219752 -917.364389081547</t>
  </si>
  <si>
    <t>-671.073790571942 99.2084836575943 -761.68203571734</t>
  </si>
  <si>
    <t>-584.623706512739 218.014139620424 -756.278763378863</t>
  </si>
  <si>
    <t>-471.535275027268 147.767657327398 -469.115722636168</t>
  </si>
  <si>
    <t>-294.274171631977 43.9267200670449 -309.624099976646</t>
  </si>
  <si>
    <t>-698.87558609333 42.5266740591335 -754.091259209892</t>
  </si>
  <si>
    <t>-449.25697803817 0.713237919836729 -383.981770570188</t>
  </si>
  <si>
    <t>-574.027694969654 221.951588198033 -244.039026821255</t>
  </si>
  <si>
    <t>-575.659505501437 196.13419346917 210.920794619429</t>
  </si>
  <si>
    <t>-627.867169254899 165.243430629509 676.745538146497</t>
  </si>
  <si>
    <t>-495.243671032681 91.6660727177389 765.857201488036</t>
  </si>
  <si>
    <t>-640.875216108594 40.7473094047048 -205.980220688654</t>
  </si>
  <si>
    <t>-547.493246295394 -17.3654653346307 236.241826487208</t>
  </si>
  <si>
    <t>-739.478029426752 129.150550794398 639.486695169186</t>
  </si>
  <si>
    <t>-685.659655759643 -3.9866199586852 741.08204761975</t>
  </si>
  <si>
    <t>9763-20170724T160649.991520800.bin</t>
  </si>
  <si>
    <t>-607.178720806838 131.540247537185 -225.235857001916</t>
  </si>
  <si>
    <t>-648.966643808468 122.733218958151 -338.567304594066</t>
  </si>
  <si>
    <t>-671.091594315353 110.420311197524 -457.09761049511</t>
  </si>
  <si>
    <t>-682.851059983663 97.6497560677528 -565.233962286104</t>
  </si>
  <si>
    <t>-686.428128401502 83.1809318704768 -673.736094714433</t>
  </si>
  <si>
    <t>-682.877684687145 61.2109531439121 -824.41695130986</t>
  </si>
  <si>
    <t>-648.249386857891 37.0906742080356 -917.16430284051</t>
  </si>
  <si>
    <t>-670.480323208915 99.2393462645023 -761.543469044101</t>
  </si>
  <si>
    <t>-583.835290786356 217.925064325994 -756.119766685245</t>
  </si>
  <si>
    <t>-470.896130293595 147.8010703857 -468.867995994464</t>
  </si>
  <si>
    <t>-293.886852509627 43.9182088403018 -309.124020859117</t>
  </si>
  <si>
    <t>-698.417025830556 42.6245599268732 -753.947048929507</t>
  </si>
  <si>
    <t>-573.916332101178 222.193674149957 -243.941064185883</t>
  </si>
  <si>
    <t>-575.636576045979 196.362554277713 211.017722786174</t>
  </si>
  <si>
    <t>-627.916834467367 165.349377550066 676.81017627525</t>
  </si>
  <si>
    <t>-495.445707848245 91.4949648998756 765.919304772738</t>
  </si>
  <si>
    <t>-640.311494251219 40.9860038881345 -205.852835866128</t>
  </si>
  <si>
    <t>-546.319084415891 -17.3365730637295 236.212311152648</t>
  </si>
  <si>
    <t>-739.025921542587 128.985080823291 639.138052885664</t>
  </si>
  <si>
    <t>-685.581829745994 -4.00316734988951 741.125225535156</t>
  </si>
  <si>
    <t>9763-20170724T160650.024608600.bin</t>
  </si>
  <si>
    <t>-606.932160422134 131.537893413505 -225.157788521849</t>
  </si>
  <si>
    <t>-648.7201611489 122.739172032912 -338.489924919767</t>
  </si>
  <si>
    <t>-670.840150639829 110.406100887902 -457.019056670196</t>
  </si>
  <si>
    <t>-682.594104421031 97.6019877234928 -565.151971667873</t>
  </si>
  <si>
    <t>-686.165401782548 83.0822074344976 -673.647441467288</t>
  </si>
  <si>
    <t>-682.607349261324 61.0215632988034 -824.314987742848</t>
  </si>
  <si>
    <t>-647.966433514317 36.7685086979313 -917.022884480234</t>
  </si>
  <si>
    <t>-670.157219928595 99.0608336854821 -761.45852095617</t>
  </si>
  <si>
    <t>-583.328166506887 217.618356852295 -756.083326255757</t>
  </si>
  <si>
    <t>-470.742609113021 147.861787640497 -468.603356112012</t>
  </si>
  <si>
    <t>-293.56781618918 43.8849675827389 -309.104178540236</t>
  </si>
  <si>
    <t>-698.206158432621 42.5045642280472 -753.839936401206</t>
  </si>
  <si>
    <t>-573.701797031423 222.150527123623 -243.887638490992</t>
  </si>
  <si>
    <t>-575.619022970543 196.396959026958 211.074794317512</t>
  </si>
  <si>
    <t>-627.954608770508 165.35289118835 676.854158560352</t>
  </si>
  <si>
    <t>-495.542893765898 91.3904341369951 765.962011863234</t>
  </si>
  <si>
    <t>-640.003783212544 40.9388621538121 -205.799575012511</t>
  </si>
  <si>
    <t>-545.807873441542 -17.4255120095111 236.216718170626</t>
  </si>
  <si>
    <t>-738.762399208929 128.913621236519 638.948798956458</t>
  </si>
  <si>
    <t>-685.584150581037 -4.013179485313 741.154729437217</t>
  </si>
  <si>
    <t>9763-20170724T160650.089801900.bin</t>
  </si>
  <si>
    <t>-606.458952690629 131.063541386799 -225.153885459416</t>
  </si>
  <si>
    <t>-648.285757582869 122.429808995027 -338.484234076514</t>
  </si>
  <si>
    <t>-670.510344371237 110.200060804276 -457.004535866357</t>
  </si>
  <si>
    <t>-682.387651861263 97.4582693454195 -565.13148527989</t>
  </si>
  <si>
    <t>-686.111823126872 82.9669522611443 -673.62572920825</t>
  </si>
  <si>
    <t>-682.797789469264 60.9077191619772 -824.298834139675</t>
  </si>
  <si>
    <t>-648.12938106191 36.1917132429239 -916.874330897969</t>
  </si>
  <si>
    <t>-670.096718625761 98.8738889721296 -761.448496056919</t>
  </si>
  <si>
    <t>-582.75074263675 217.053440453392 -756.176949368903</t>
  </si>
  <si>
    <t>-471.713999883174 147.523109605741 -468.040653695708</t>
  </si>
  <si>
    <t>-295.154047018702 42.3751079140352 -308.627510771889</t>
  </si>
  <si>
    <t>-698.431514034476 42.4626757213757 -753.812834334363</t>
  </si>
  <si>
    <t>-573.049365791102 221.563351619247 -243.830185070967</t>
  </si>
  <si>
    <t>-575.218070205593 195.919894982709 211.137308415275</t>
  </si>
  <si>
    <t>-628.027213948848 165.271079683582 676.931634916449</t>
  </si>
  <si>
    <t>-495.664410465492 91.1970030815062 766.019369502893</t>
  </si>
  <si>
    <t>-639.804616124473 40.5543506391246 -205.798735984938</t>
  </si>
  <si>
    <t>-545.377144992864 -18.2001648338592 236.116418997447</t>
  </si>
  <si>
    <t>-738.502518992219 128.641980114897 638.612779620046</t>
  </si>
  <si>
    <t>-685.553374288973 -4.04998383652764 741.241946404791</t>
  </si>
  <si>
    <t>9763-20170724T160650.126899400.bin</t>
  </si>
  <si>
    <t>-606.239171672155 130.711988988608 -225.107898135697</t>
  </si>
  <si>
    <t>-648.059952420394 122.201568574149 -338.449775887535</t>
  </si>
  <si>
    <t>-670.292620948941 110.052243521989 -456.976890196258</t>
  </si>
  <si>
    <t>-682.184151671574 97.3623745756377 -565.108397773794</t>
  </si>
  <si>
    <t>-685.930289576424 82.9003977381947 -673.605644922459</t>
  </si>
  <si>
    <t>-682.655519798592 60.8569220075083 -824.282038889295</t>
  </si>
  <si>
    <t>-647.969693102049 35.804853672232 -916.760503652464</t>
  </si>
  <si>
    <t>-669.851069864576 98.7737969980333 -761.422869066279</t>
  </si>
  <si>
    <t>-582.172957698262 216.706583894631 -756.206753884481</t>
  </si>
  <si>
    <t>-472.238151285074 147.321857084405 -467.613128073584</t>
  </si>
  <si>
    <t>-296.374571417984 40.789747711174 -308.349204455874</t>
  </si>
  <si>
    <t>-698.357861506144 42.4472472700684 -753.80195790972</t>
  </si>
  <si>
    <t>-572.697221086931 221.15380761523 -243.761993478412</t>
  </si>
  <si>
    <t>-574.964076849413 195.493256545959 211.203971001032</t>
  </si>
  <si>
    <t>-628.140340093578 165.132615898444 676.980906713614</t>
  </si>
  <si>
    <t>-495.726480170409 91.1036133197249 766.030247051295</t>
  </si>
  <si>
    <t>-639.665174696988 40.2800945740048 -205.812674587946</t>
  </si>
  <si>
    <t>-545.342924222931 -18.7743231525183 236.085010130617</t>
  </si>
  <si>
    <t>-738.380694011413 128.519055550209 638.450427755009</t>
  </si>
  <si>
    <t>-685.604954633171 -4.06854084007546 741.30350162912</t>
  </si>
  <si>
    <t>9763-20170724T160650.191751400.bin</t>
  </si>
  <si>
    <t>-605.765237596534 129.965316849763 -225.049294232773</t>
  </si>
  <si>
    <t>-647.584192343679 121.68740902551 -338.409130050789</t>
  </si>
  <si>
    <t>-669.904004863882 109.703381989545 -456.936745897055</t>
  </si>
  <si>
    <t>-681.912471633359 97.1342588061675 -565.06931437059</t>
  </si>
  <si>
    <t>-685.81382370583 82.7646734913401 -673.573534468607</t>
  </si>
  <si>
    <t>-682.794853018548 60.81974514015 -824.269542708143</t>
  </si>
  <si>
    <t>-648.089909218162 34.7879180775938 -916.469887500747</t>
  </si>
  <si>
    <t>-669.748193572383 98.6281953030593 -761.394807693773</t>
  </si>
  <si>
    <t>-581.584382722085 216.218812566407 -756.291287078498</t>
  </si>
  <si>
    <t>-474.264805318896 147.469346564864 -466.56345360289</t>
  </si>
  <si>
    <t>-300.285085480959 36.9650312368458 -307.93848570076</t>
  </si>
  <si>
    <t>-698.513074761215 42.4312422256473 -753.787590974303</t>
  </si>
  <si>
    <t>-571.863107514795 220.316645820199 -243.637891588006</t>
  </si>
  <si>
    <t>-574.5221151862 194.855954895532 211.337202076984</t>
  </si>
  <si>
    <t>-628.225228931528 165.081365726012 677.056836773769</t>
  </si>
  <si>
    <t>-495.863329550163 90.8869995182183 766.04578930816</t>
  </si>
  <si>
    <t>-639.582748165734 39.7072867032334 -205.735715626769</t>
  </si>
  <si>
    <t>-545.386092474748 -20.1184847760437 236.084999581301</t>
  </si>
  <si>
    <t>-738.294516836473 128.149760805852 638.111361672205</t>
  </si>
  <si>
    <t>-685.70064177775 -4.14205018913935 741.437399551222</t>
  </si>
  <si>
    <t>9763-20170724T160650.224838500.bin</t>
  </si>
  <si>
    <t>-605.493691980428 129.565203663975 -225.027999904755</t>
  </si>
  <si>
    <t>-647.267397835854 121.35483656688 -338.409515004357</t>
  </si>
  <si>
    <t>-669.635786266798 109.446671435314 -456.935574908122</t>
  </si>
  <si>
    <t>-681.727307173146 96.9498588034339 -565.06737306782</t>
  </si>
  <si>
    <t>-685.751176041288 82.6560940601455 -673.576982666916</t>
  </si>
  <si>
    <t>-682.942991769717 60.8204736672042 -824.2930967303</t>
  </si>
  <si>
    <t>-648.199853917178 34.2422181446898 -916.32284544925</t>
  </si>
  <si>
    <t>-669.767584264044 98.5629451533405 -761.405488437686</t>
  </si>
  <si>
    <t>-581.585328786344 216.120421917998 -756.267348203904</t>
  </si>
  <si>
    <t>-475.276446557002 147.538830239491 -466.127458043949</t>
  </si>
  <si>
    <t>-301.82058171958 35.3803312709606 -308.090752314228</t>
  </si>
  <si>
    <t>-698.603380707379 42.4012702136456 -753.80606292986</t>
  </si>
  <si>
    <t>-571.456143519041 219.88528548354 -243.618122678758</t>
  </si>
  <si>
    <t>-574.381395618855 194.580750899926 211.36411155134</t>
  </si>
  <si>
    <t>-628.221755742785 165.07154214781 677.064347187277</t>
  </si>
  <si>
    <t>-495.911917917064 90.7860603332169 766.054707728659</t>
  </si>
  <si>
    <t>-639.371620168329 39.3345368534542 -205.762644797908</t>
  </si>
  <si>
    <t>-545.331433453614 -20.7464902408879 236.056756883286</t>
  </si>
  <si>
    <t>-738.207707487344 127.984839014305 637.917658766379</t>
  </si>
  <si>
    <t>-685.723311301942 -4.16179629347494 741.484907840731</t>
  </si>
  <si>
    <t>9763-20170724T160650.288706700.bin</t>
  </si>
  <si>
    <t>-604.781905582186 128.835677918344 -225.046425000663</t>
  </si>
  <si>
    <t>-646.518400793217 120.80772770084 -338.454586509057</t>
  </si>
  <si>
    <t>-668.922673627475 109.012732994549 -456.98520979155</t>
  </si>
  <si>
    <t>-681.079519057196 96.5840157359144 -565.117487339204</t>
  </si>
  <si>
    <t>-685.202869334731 82.3211413473193 -673.627429441959</t>
  </si>
  <si>
    <t>-682.569677660966 60.4868471634186 -824.34686915516</t>
  </si>
  <si>
    <t>-647.739702040812 32.8842017849095 -916.041738636582</t>
  </si>
  <si>
    <t>-669.255563783011 98.1957108043448 -761.468418774027</t>
  </si>
  <si>
    <t>-581.11613263182 215.802220250119 -756.353437930565</t>
  </si>
  <si>
    <t>-476.989178647877 148.987163193836 -465.012501098566</t>
  </si>
  <si>
    <t>-308.206562718183 27.3754538412313 -308.919418862229</t>
  </si>
  <si>
    <t>-698.213952124977 42.1000362477389 -753.847871461359</t>
  </si>
  <si>
    <t>-570.757824701722 219.110804555992 -243.541633323411</t>
  </si>
  <si>
    <t>-573.92187112889 193.895974628246 211.443883826583</t>
  </si>
  <si>
    <t>-628.342396186757 164.914621722672 677.142242878478</t>
  </si>
  <si>
    <t>-495.882749405882 90.8205841205286 766.069344935927</t>
  </si>
  <si>
    <t>-638.653752161631 38.6615934413783 -205.91975096021</t>
  </si>
  <si>
    <t>-544.723284874005 -21.6422560280409 235.892612990753</t>
  </si>
  <si>
    <t>-737.86229441404 127.686470207364 637.415473520225</t>
  </si>
  <si>
    <t>-685.832769400042 -4.2119971418108 741.527097345599</t>
  </si>
  <si>
    <t>9763-20170724T160650.332825800.bin</t>
  </si>
  <si>
    <t>-604.483712460422 128.52036613531 -225.011820807148</t>
  </si>
  <si>
    <t>-646.210002656979 120.542249575509 -338.427236877457</t>
  </si>
  <si>
    <t>-668.590607183723 108.749357401886 -456.962526132667</t>
  </si>
  <si>
    <t>-680.721594667617 96.3001185733297 -565.095328425405</t>
  </si>
  <si>
    <t>-684.815684509021 81.9923479015654 -673.600554058965</t>
  </si>
  <si>
    <t>-682.139270427707 60.0686983327971 -824.306249324137</t>
  </si>
  <si>
    <t>-647.215672033168 32.028431888275 -915.832549973039</t>
  </si>
  <si>
    <t>-668.816755485015 97.8015188082625 -761.443949981079</t>
  </si>
  <si>
    <t>-580.730148943317 215.434224353575 -756.512256369409</t>
  </si>
  <si>
    <t>-478.143323213905 150.518020592334 -464.197283688478</t>
  </si>
  <si>
    <t>-314.9275338143 19.5467220935907 -309.765482905873</t>
  </si>
  <si>
    <t>-697.830274681645 41.736911027052 -753.80329658859</t>
  </si>
  <si>
    <t>-570.492732676751 218.740056471428 -243.453325267513</t>
  </si>
  <si>
    <t>-573.72171315267 193.524855354206 211.531781915149</t>
  </si>
  <si>
    <t>-628.498626973486 164.719174405531 677.217832553309</t>
  </si>
  <si>
    <t>-495.84216456785 90.8876379730264 766.06982834953</t>
  </si>
  <si>
    <t>-638.3437106512 38.3656605597641 -205.918106414721</t>
  </si>
  <si>
    <t>-544.178938179283 -22.0126979751626 235.83419064366</t>
  </si>
  <si>
    <t>-737.695320095254 127.473076019267 637.115748969484</t>
  </si>
  <si>
    <t>-685.713955323813 -4.20816959415606 741.526017504046</t>
  </si>
  <si>
    <t>9763-20170724T160650.390731600.bin</t>
  </si>
  <si>
    <t>-603.654305771308 128.240637889889 -224.930974832082</t>
  </si>
  <si>
    <t>-645.388566912112 120.313882379184 -338.347121852042</t>
  </si>
  <si>
    <t>-667.618608066909 108.413974899173 -456.899965786331</t>
  </si>
  <si>
    <t>-679.549410393 95.8026774759087 -565.036295561483</t>
  </si>
  <si>
    <t>-683.380923612813 81.2670441427845 -673.520819592143</t>
  </si>
  <si>
    <t>-680.276795501918 58.95809016405 -824.161677767424</t>
  </si>
  <si>
    <t>-645.23460666756 30.2912029094089 -915.448224115476</t>
  </si>
  <si>
    <t>-667.134319820927 96.8525059151355 -761.358733788754</t>
  </si>
  <si>
    <t>-579.299421571197 214.653849737703 -756.795014232623</t>
  </si>
  <si>
    <t>-480.496639742016 153.543865110727 -462.363778363865</t>
  </si>
  <si>
    <t>-329.196626886354 5.53515444277059 -311.222204479949</t>
  </si>
  <si>
    <t>-696.166211946634 40.8057414456807 -753.656783415719</t>
  </si>
  <si>
    <t>-569.792005782725 218.33714596279 -243.271690435806</t>
  </si>
  <si>
    <t>-573.119558420824 193.055210834937 211.708960096552</t>
  </si>
  <si>
    <t>-628.675601828931 164.580956050386 677.339659920811</t>
  </si>
  <si>
    <t>-495.896880338241 90.8168714508824 766.064935185314</t>
  </si>
  <si>
    <t>-637.363638690808 38.2261839268147 -205.885779966765</t>
  </si>
  <si>
    <t>-543.049242219173 -22.6141162910142 235.771277693027</t>
  </si>
  <si>
    <t>-737.127450882215 127.277759080377 636.592217436091</t>
  </si>
  <si>
    <t>-685.79565033118 -4.24246912728267 741.525406389676</t>
  </si>
  <si>
    <t>9763-20170724T160650.424823400.bin</t>
  </si>
  <si>
    <t>-603.292037031719 128.191654615752 -224.872427805916</t>
  </si>
  <si>
    <t>-645.002495006356 120.277452716359 -338.298143528814</t>
  </si>
  <si>
    <t>-667.140219416512 108.361973550834 -456.866662121472</t>
  </si>
  <si>
    <t>-678.959619973961 95.7255434222946 -565.012380063709</t>
  </si>
  <si>
    <t>-682.651922524315 81.1542974417796 -673.496989279836</t>
  </si>
  <si>
    <t>-679.326161090483 58.7850567790338 -824.124204612903</t>
  </si>
  <si>
    <t>-644.213261962769 29.9755451960518 -915.338508363705</t>
  </si>
  <si>
    <t>-666.298914755228 96.7160005561782 -761.319347776574</t>
  </si>
  <si>
    <t>-578.528947838398 214.616483861965 -756.818336325607</t>
  </si>
  <si>
    <t>-481.639968216929 154.244891374246 -461.59979032059</t>
  </si>
  <si>
    <t>-334.412348101172 3.00597938381065 -309.636418022513</t>
  </si>
  <si>
    <t>-695.296457807664 40.6495531156304 -753.633267604258</t>
  </si>
  <si>
    <t>-569.464158733746 218.300810705447 -243.201925088513</t>
  </si>
  <si>
    <t>-572.764273117825 192.868293764343 211.77050750378</t>
  </si>
  <si>
    <t>-628.701822928244 164.545260550991 677.355047847157</t>
  </si>
  <si>
    <t>-495.824625205468 90.9275679325335 766.054528730862</t>
  </si>
  <si>
    <t>-636.949622167023 38.1469519504515 -205.884811484897</t>
  </si>
  <si>
    <t>-542.584000119641 -22.7794150448035 235.749342886023</t>
  </si>
  <si>
    <t>-736.97219286729 127.168943938467 636.397471607915</t>
  </si>
  <si>
    <t>-685.7518840338 -4.24418294060433 741.519298949657</t>
  </si>
  <si>
    <t>9763-20170724T160650.490718400.bin</t>
  </si>
  <si>
    <t>-602.711120297128 128.197915128751 -224.797394733722</t>
  </si>
  <si>
    <t>-644.362021824147 120.236133940108 -338.241685168569</t>
  </si>
  <si>
    <t>-666.297286246654 108.240632398601 -456.839883105227</t>
  </si>
  <si>
    <t>-677.8758905753 95.5155114240483 -565.001135693407</t>
  </si>
  <si>
    <t>-681.27090252054 80.8373187992597 -673.480937517254</t>
  </si>
  <si>
    <t>-677.47509463328 58.2987044838715 -824.071814552695</t>
  </si>
  <si>
    <t>-642.189085544222 29.231490419003 -915.13767036272</t>
  </si>
  <si>
    <t>-664.688056294443 96.3225397504491 -761.27378314262</t>
  </si>
  <si>
    <t>-577.110265811626 214.33763452462 -756.754314931592</t>
  </si>
  <si>
    <t>-482.560850961989 155.140437959823 -460.541038137943</t>
  </si>
  <si>
    <t>-343.797613037074 2.46229108185776 -302.186456782771</t>
  </si>
  <si>
    <t>-693.621231637868 40.220094355082 -753.606300891517</t>
  </si>
  <si>
    <t>-569.129079419575 218.326977496394 -243.065272456056</t>
  </si>
  <si>
    <t>-572.116010331208 192.487871581121 211.886471296704</t>
  </si>
  <si>
    <t>-628.863549237374 164.324256725622 677.414722257456</t>
  </si>
  <si>
    <t>-495.70088330881 91.1381655309438 766.043199513085</t>
  </si>
  <si>
    <t>-636.153342530033 38.157107983267 -205.863827664947</t>
  </si>
  <si>
    <t>-541.882376307936 -22.8666815175798 235.777173234423</t>
  </si>
  <si>
    <t>-736.809920824149 127.049700654703 636.191784779785</t>
  </si>
  <si>
    <t>-685.784689540078 -4.26313642016726 741.533484974657</t>
  </si>
  <si>
    <t>9763-20170724T160650.521801200.bin</t>
  </si>
  <si>
    <t>-602.333465325831 128.295573265838 -224.748402242559</t>
  </si>
  <si>
    <t>-643.955781566179 120.303882535961 -338.201086407358</t>
  </si>
  <si>
    <t>-665.769538441019 108.319584690196 -456.822741705469</t>
  </si>
  <si>
    <t>-677.199427505256 95.6204319621256 -565.00289809979</t>
  </si>
  <si>
    <t>-680.407077647652 80.9831280658634 -673.494032609426</t>
  </si>
  <si>
    <t>-676.310844813572 58.5165201942789 -824.087757124061</t>
  </si>
  <si>
    <t>-640.914153001796 29.4099496541689 -915.09799490924</t>
  </si>
  <si>
    <t>-663.681501075852 96.5265406597578 -761.249423137164</t>
  </si>
  <si>
    <t>-576.195970976529 214.625798706773 -756.494197905659</t>
  </si>
  <si>
    <t>-482.541763237803 155.977725734534 -459.887582973583</t>
  </si>
  <si>
    <t>-346.101959557873 3.89123929453808 -298.965454842367</t>
  </si>
  <si>
    <t>-692.5651093045 40.388042407468 -753.660011246584</t>
  </si>
  <si>
    <t>-568.853012420695 218.420229134803 -242.986170436074</t>
  </si>
  <si>
    <t>-571.82213149331 192.465586297546 211.959096575753</t>
  </si>
  <si>
    <t>-628.879699458774 164.31831128683 677.432224000531</t>
  </si>
  <si>
    <t>-495.649865997208 91.228086412714 766.03886754021</t>
  </si>
  <si>
    <t>-635.612532969476 38.2596381791168 -205.835866691524</t>
  </si>
  <si>
    <t>-541.48399695711 -22.7284204958294 235.840394999648</t>
  </si>
  <si>
    <t>-736.743532170844 127.05275604633 636.137234324614</t>
  </si>
  <si>
    <t>-685.914782460919 -4.29928693454417 741.525026605227</t>
  </si>
  <si>
    <t>9763-20170724T160650.588015000.bin</t>
  </si>
  <si>
    <t>-601.612052856663 128.668648406317 -224.619056107179</t>
  </si>
  <si>
    <t>-643.134939110818 120.573992349956 -338.100985929665</t>
  </si>
  <si>
    <t>-664.697726296477 108.629493266028 -456.772579907645</t>
  </si>
  <si>
    <t>-675.837019536091 96.0244278989533 -564.99389989276</t>
  </si>
  <si>
    <t>-678.68988021245 81.539124809276 -673.515315315189</t>
  </si>
  <si>
    <t>-674.03323532225 59.344542656924 -824.133185684348</t>
  </si>
  <si>
    <t>-638.425602136211 30.2728157788865 -915.07222714134</t>
  </si>
  <si>
    <t>-661.713243845112 97.2787359673891 -761.187622837539</t>
  </si>
  <si>
    <t>-574.600000181782 215.630260474318 -755.926070798279</t>
  </si>
  <si>
    <t>-483.353332296966 157.932049645636 -458.384190313388</t>
  </si>
  <si>
    <t>-348.37866480876 5.1141619163252 -296.920292669129</t>
  </si>
  <si>
    <t>-690.473996418867 41.0512641769028 -753.791300939122</t>
  </si>
  <si>
    <t>-568.328357874077 218.90917803931 -242.829807767522</t>
  </si>
  <si>
    <t>-571.524573701412 192.858938633247 212.108500747536</t>
  </si>
  <si>
    <t>-628.961791672974 164.304800099693 677.525110950841</t>
  </si>
  <si>
    <t>-495.580970885138 91.3761572655947 766.037686866469</t>
  </si>
  <si>
    <t>-634.735464612403 38.5649272733071 -205.68214199461</t>
  </si>
  <si>
    <t>-540.717117615147 -22.4684867020455 236.011356403284</t>
  </si>
  <si>
    <t>-736.599542746023 127.155803012289 636.08362507652</t>
  </si>
  <si>
    <t>-685.845474404133 -4.26327719968231 741.423858624553</t>
  </si>
  <si>
    <t>9763-20170724T160650.620099300.bin</t>
  </si>
  <si>
    <t>-601.22290436784 128.847890893235 -224.558955863909</t>
  </si>
  <si>
    <t>-642.67079496647 120.669996118068 -338.062244976744</t>
  </si>
  <si>
    <t>-664.142789742202 108.758427361553 -456.753576738012</t>
  </si>
  <si>
    <t>-675.192354279513 96.2318282304755 -564.9933875278</t>
  </si>
  <si>
    <t>-677.94699929316 81.8742138457769 -673.5341810336</t>
  </si>
  <si>
    <t>-673.144669023195 59.9082080336443 -824.180927056444</t>
  </si>
  <si>
    <t>-637.463798969151 30.901951411226 -915.11227429209</t>
  </si>
  <si>
    <t>-660.949530853564 97.7784635815083 -761.172626424859</t>
  </si>
  <si>
    <t>-574.190642912847 216.395815293862 -755.585067110448</t>
  </si>
  <si>
    <t>-483.524617862041 158.297178683047 -457.943723350727</t>
  </si>
  <si>
    <t>-348.237855507608 5.11440770288982 -297.087842017865</t>
  </si>
  <si>
    <t>-689.589521317865 41.4765651142454 -753.876207899329</t>
  </si>
  <si>
    <t>-568.069689238138 219.15248207984 -242.806726448186</t>
  </si>
  <si>
    <t>-571.383712944398 193.1159849928 212.131575469912</t>
  </si>
  <si>
    <t>-628.929472676147 164.308469738632 677.497416931125</t>
  </si>
  <si>
    <t>-495.515814673259 91.4721053704402 766.036514687053</t>
  </si>
  <si>
    <t>-634.198579360385 38.6666703371309 -205.646877082692</t>
  </si>
  <si>
    <t>-540.307971858549 -22.2497155515616 236.089952801794</t>
  </si>
  <si>
    <t>-736.522048103877 127.229192998073 636.047037783315</t>
  </si>
  <si>
    <t>-685.856325388652 -4.25711263130074 741.345952442992</t>
  </si>
  <si>
    <t>9763-20170724T160650.693300200.bin</t>
  </si>
  <si>
    <t>-600.377415135459 129.071235962479 -224.507447438683</t>
  </si>
  <si>
    <t>-641.69224549722 120.689283114505 -338.04424867929</t>
  </si>
  <si>
    <t>-662.939418139436 108.790756043225 -456.777476659329</t>
  </si>
  <si>
    <t>-673.746128143942 96.3640267737485 -565.05325856967</t>
  </si>
  <si>
    <t>-676.217810860361 82.1928992489245 -673.62547521625</t>
  </si>
  <si>
    <t>-670.979708533154 60.5755394161768 -824.308055347143</t>
  </si>
  <si>
    <t>-635.097438061434 31.8078076849033 -915.235890656091</t>
  </si>
  <si>
    <t>-659.123964887462 98.3770102049455 -761.193847285782</t>
  </si>
  <si>
    <t>-573.19797697133 217.534520200583 -755.106899989496</t>
  </si>
  <si>
    <t>-482.463915790416 159.873024372929 -457.401142296938</t>
  </si>
  <si>
    <t>-344.560070822037 9.46595698311285 -296.148911635898</t>
  </si>
  <si>
    <t>-687.470913962511 41.9040104750586 -754.07747736377</t>
  </si>
  <si>
    <t>-567.654715540608 219.586603923105 -242.700907417865</t>
  </si>
  <si>
    <t>-571.217808508844 193.556587485082 212.235798354465</t>
  </si>
  <si>
    <t>-628.954902837901 164.350058711726 677.570896757363</t>
  </si>
  <si>
    <t>-495.331083086808 91.8203431769136 766.044779556407</t>
  </si>
  <si>
    <t>-632.961791096678 38.6390421063243 -205.641646230953</t>
  </si>
  <si>
    <t>-539.366525199058 -21.5735085428751 236.254243464115</t>
  </si>
  <si>
    <t>-736.531697053809 127.301595800275 636.005776371596</t>
  </si>
  <si>
    <t>-685.866343839798 -4.24717192268804 741.226727027208</t>
  </si>
  <si>
    <t>9763-20170724T160650.722376700.bin</t>
  </si>
  <si>
    <t>-600.008490736222 129.170538425819 -224.462893995943</t>
  </si>
  <si>
    <t>-641.24337779638 120.723815694339 -338.024121898109</t>
  </si>
  <si>
    <t>-662.396897901781 108.851877682652 -456.776544072385</t>
  </si>
  <si>
    <t>-673.113044691025 96.4861731335841 -565.068343081775</t>
  </si>
  <si>
    <t>-675.487885067804 82.4127614379531 -673.655370504465</t>
  </si>
  <si>
    <t>-670.108177435411 60.9692751342589 -824.357895254127</t>
  </si>
  <si>
    <t>-634.130844059037 32.3593189667695 -915.297913373692</t>
  </si>
  <si>
    <t>-658.389411541932 98.7359681578823 -761.197243341529</t>
  </si>
  <si>
    <t>-572.884477892733 218.220513755341 -754.910887338397</t>
  </si>
  <si>
    <t>-482.146361966818 160.205414726015 -457.275323760788</t>
  </si>
  <si>
    <t>-341.794891539513 13.2742356023507 -294.933785552223</t>
  </si>
  <si>
    <t>-686.587482323461 42.1789405251643 -754.156233354555</t>
  </si>
  <si>
    <t>-567.534389259616 219.714466421119 -242.601080445635</t>
  </si>
  <si>
    <t>-571.267245241839 193.678628260099 212.333940884692</t>
  </si>
  <si>
    <t>-629.131742553543 164.185364581893 677.670212405195</t>
  </si>
  <si>
    <t>-495.221511610154 92.0349540578879 766.021075765877</t>
  </si>
  <si>
    <t>-632.357464249097 38.7153954684863 -205.676172982445</t>
  </si>
  <si>
    <t>-538.884218769785 -21.2288081438762 236.282124388961</t>
  </si>
  <si>
    <t>-736.504092382828 127.282034711013 635.943480931535</t>
  </si>
  <si>
    <t>-685.851146606119 -4.25544442095861 741.184569991997</t>
  </si>
  <si>
    <t>9763-20170724T160650.790152600.bin</t>
  </si>
  <si>
    <t>-599.263788395831 129.459415906149 -224.344218878751</t>
  </si>
  <si>
    <t>-640.370915857451 120.900722669837 -337.943221012801</t>
  </si>
  <si>
    <t>-661.312328653403 109.117324967305 -456.742114916482</t>
  </si>
  <si>
    <t>-671.799648333979 96.9170695243554 -565.075027805737</t>
  </si>
  <si>
    <t>-673.907501011506 83.0956840168838 -673.700018288903</t>
  </si>
  <si>
    <t>-668.115614233807 62.0943100959448 -824.449608965612</t>
  </si>
  <si>
    <t>-631.840728063265 33.9060748478064 -915.403110766965</t>
  </si>
  <si>
    <t>-656.749926452901 99.7622443546657 -761.165467477831</t>
  </si>
  <si>
    <t>-572.020001552083 219.746377290903 -754.486564814886</t>
  </si>
  <si>
    <t>-481.186419753452 162.653323715945 -456.70176061443</t>
  </si>
  <si>
    <t>-335.22342637677 21.8443315101938 -293.883724178279</t>
  </si>
  <si>
    <t>-684.60676638207 43.0112829574259 -754.329702250227</t>
  </si>
  <si>
    <t>-567.161316859302 220.042418260683 -242.351980005505</t>
  </si>
  <si>
    <t>-571.061643915388 193.799997995457 212.569744434683</t>
  </si>
  <si>
    <t>-629.347663593658 164.168212928689 677.866250916438</t>
  </si>
  <si>
    <t>-495.216334803051 92.116790199761 765.962180198845</t>
  </si>
  <si>
    <t>-631.233581622026 38.9545517475319 -205.655976730052</t>
  </si>
  <si>
    <t>-537.812800726345 -20.7782587062459 236.342001078531</t>
  </si>
  <si>
    <t>-736.211664270857 127.25764595084 635.784980409755</t>
  </si>
  <si>
    <t>-685.80958760198 -4.26341456848309 741.16694011097</t>
  </si>
  <si>
    <t>9763-20170724T160650.823229500.bin</t>
  </si>
  <si>
    <t>-598.866488371286 129.636919438053 -224.290470076563</t>
  </si>
  <si>
    <t>-639.940403991206 121.051679463988 -337.899636961803</t>
  </si>
  <si>
    <t>-660.8524011209 109.316726961294 -456.708438788992</t>
  </si>
  <si>
    <t>-671.31312187507 97.1952121009858 -565.052756023125</t>
  </si>
  <si>
    <t>-673.393525766469 83.4893904935329 -673.692889652444</t>
  </si>
  <si>
    <t>-667.561843789885 62.6885178821985 -824.468681080246</t>
  </si>
  <si>
    <t>-631.192844702645 34.6736162576958 -915.438133376297</t>
  </si>
  <si>
    <t>-656.326293270176 100.326185639273 -761.143332141191</t>
  </si>
  <si>
    <t>-572.081629453855 220.683001383115 -754.292604147398</t>
  </si>
  <si>
    <t>-481.072046050441 163.584504762163 -456.562567284912</t>
  </si>
  <si>
    <t>-332.478630896405 25.0104863886572 -294.20708760557</t>
  </si>
  <si>
    <t>-683.958066504364 43.4583323792206 -754.366703966927</t>
  </si>
  <si>
    <t>-566.942056930118 220.281999393712 -242.25827622793</t>
  </si>
  <si>
    <t>-570.788780840394 193.817234163546 212.651058475356</t>
  </si>
  <si>
    <t>-629.399354284099 164.093096438443 677.854098961735</t>
  </si>
  <si>
    <t>-495.170074736278 92.2069592549326 765.935843017032</t>
  </si>
  <si>
    <t>-630.63573655413 39.0542923592593 -205.687915578638</t>
  </si>
  <si>
    <t>-537.232984404513 -20.5755708328666 236.327789105256</t>
  </si>
  <si>
    <t>-736.063687039498 127.175830759715 635.662604014632</t>
  </si>
  <si>
    <t>-685.778211037172 -4.28095710505431 741.180299912354</t>
  </si>
  <si>
    <t>9763-20170724T160650.883397300.bin</t>
  </si>
  <si>
    <t>-598.127628617643 130.013398015478 -224.2622495906</t>
  </si>
  <si>
    <t>-639.190145353439 121.402754559107 -337.873577158658</t>
  </si>
  <si>
    <t>-660.017730393998 109.621074847641 -456.692618339182</t>
  </si>
  <si>
    <t>-670.371900595293 97.4507090666361 -565.041665415846</t>
  </si>
  <si>
    <t>-672.315812950898 83.6901335553441 -673.677412139978</t>
  </si>
  <si>
    <t>-666.263381408997 62.8083959866376 -824.433284969364</t>
  </si>
  <si>
    <t>-629.700422507744 34.8577424368505 -915.34473877001</t>
  </si>
  <si>
    <t>-655.25922479254 100.545291730614 -761.12646479733</t>
  </si>
  <si>
    <t>-571.789201928959 221.386864475653 -754.154083127002</t>
  </si>
  <si>
    <t>-480.277352502716 164.906884512154 -456.459872750555</t>
  </si>
  <si>
    <t>-329.186422225913 28.2556920952616 -294.781087209315</t>
  </si>
  <si>
    <t>-682.623573161297 43.5505305657628 -754.33054714656</t>
  </si>
  <si>
    <t>-566.535700314022 220.793829419092 -242.141040830158</t>
  </si>
  <si>
    <t>-570.160986339646 193.804614991219 212.739331793732</t>
  </si>
  <si>
    <t>-629.391898795269 164.139934897145 677.884729390976</t>
  </si>
  <si>
    <t>-495.152654970979 92.2372431531869 765.937729967579</t>
  </si>
  <si>
    <t>-629.583034389052 39.3082272769891 -205.717519876196</t>
  </si>
  <si>
    <t>-536.180804354127 -20.395606382471 236.288279442718</t>
  </si>
  <si>
    <t>-735.824350799851 126.99917024039 635.414878637347</t>
  </si>
  <si>
    <t>-685.767996363994 -4.32571340726395 741.205559635926</t>
  </si>
  <si>
    <t>9763-20170724T160650.926519600.bin</t>
  </si>
  <si>
    <t>-597.380689866006 130.372559199544 -224.089592700368</t>
  </si>
  <si>
    <t>-638.426948833398 121.731415655933 -337.704592487241</t>
  </si>
  <si>
    <t>-659.124911915028 109.97508261742 -456.548819458565</t>
  </si>
  <si>
    <t>-669.314834905991 97.8456594442398 -564.918045166731</t>
  </si>
  <si>
    <t>-671.048033356627 84.1407316554357 -673.564345958041</t>
  </si>
  <si>
    <t>-664.655353908604 63.3489207487501 -824.318419650163</t>
  </si>
  <si>
    <t>-627.873338586475 35.4873944571341 -915.168960727086</t>
  </si>
  <si>
    <t>-653.846680730233 101.072596119092 -760.970113158123</t>
  </si>
  <si>
    <t>-570.505912818839 222.025761427672 -753.913100394294</t>
  </si>
  <si>
    <t>-479.314858582667 166.347849516704 -455.969580825202</t>
  </si>
  <si>
    <t>-326.177589061526 31.4382712268427 -294.754132025755</t>
  </si>
  <si>
    <t>-681.121107900358 44.0247550692986 -754.258636243265</t>
  </si>
  <si>
    <t>-566.136277005766 221.141637944668 -241.877034716859</t>
  </si>
  <si>
    <t>-569.579404419468 193.729369261434 212.979382126497</t>
  </si>
  <si>
    <t>-629.654078372984 163.979948415139 678.098860587924</t>
  </si>
  <si>
    <t>-495.001302763984 92.5635183410011 765.915895886386</t>
  </si>
  <si>
    <t>-628.472018983979 39.6467562182227 -205.627213033312</t>
  </si>
  <si>
    <t>-535.063421806502 -20.1933759150722 236.358843271577</t>
  </si>
  <si>
    <t>-735.50489475125 126.89083103207 635.177912628355</t>
  </si>
  <si>
    <t>-685.796586788735 -4.36380599830795 741.219489061121</t>
  </si>
  <si>
    <t>9763-20170724T160650.991497100.bin</t>
  </si>
  <si>
    <t>-596.45422153464 130.73841588231 -223.749691953102</t>
  </si>
  <si>
    <t>-637.390049636059 122.008166932438 -337.397531404133</t>
  </si>
  <si>
    <t>-657.985075324205 110.247507345148 -456.259300475806</t>
  </si>
  <si>
    <t>-668.087597670349 98.1339957366113 -564.638444216956</t>
  </si>
  <si>
    <t>-669.740533637709 84.4563195199762 -673.289436660958</t>
  </si>
  <si>
    <t>-663.245768549283 63.7058617645096 -824.044910289908</t>
  </si>
  <si>
    <t>-626.293361647702 35.7685268984935 -914.802909319689</t>
  </si>
  <si>
    <t>-652.413022199285 101.380816947442 -760.671819375108</t>
  </si>
  <si>
    <t>-568.841391228751 222.170264099143 -753.420576796437</t>
  </si>
  <si>
    <t>-478.637251394601 166.359024683215 -455.201552638115</t>
  </si>
  <si>
    <t>-324.125089329266 33.1407400277831 -293.891551556641</t>
  </si>
  <si>
    <t>-679.825992751682 44.3937627160358 -754.008912343965</t>
  </si>
  <si>
    <t>-565.555897481101 221.438763376887 -241.377173130734</t>
  </si>
  <si>
    <t>-569.109404969693 193.67780360545 213.45728007909</t>
  </si>
  <si>
    <t>-630.090881614595 163.914219910163 678.507524948776</t>
  </si>
  <si>
    <t>-494.935942972131 92.8292277826051 765.820606920962</t>
  </si>
  <si>
    <t>-627.243506022331 40.0730229626015 -205.398063593383</t>
  </si>
  <si>
    <t>-533.732184630444 -19.7676669394507 236.566150805943</t>
  </si>
  <si>
    <t>-734.97832227263 126.891406575483 635.083868693107</t>
  </si>
  <si>
    <t>-685.713991763665 -4.35198775866957 741.346383956934</t>
  </si>
  <si>
    <t>9763-20170724T160651.027594600.bin</t>
  </si>
  <si>
    <t>-596.034313091674 130.927638436406 -223.537756091599</t>
  </si>
  <si>
    <t>-636.935372354127 122.185378982164 -337.197330281701</t>
  </si>
  <si>
    <t>-657.52479751844 110.417484359709 -456.059240607548</t>
  </si>
  <si>
    <t>-667.635736462552 98.2915397570785 -564.436198380022</t>
  </si>
  <si>
    <t>-669.311987411121 84.5903784521665 -673.083847919433</t>
  </si>
  <si>
    <t>-662.866187026922 63.7914333640006 -823.834960743583</t>
  </si>
  <si>
    <t>-625.92862031866 35.7770195041774 -914.575164725915</t>
  </si>
  <si>
    <t>-651.956702975744 101.460351851113 -760.471246010104</t>
  </si>
  <si>
    <t>-568.213269731209 222.120487122271 -753.150152050869</t>
  </si>
  <si>
    <t>-478.190586946339 166.278009614392 -454.882360967542</t>
  </si>
  <si>
    <t>-323.048789135175 34.3684409929824 -293.101785849927</t>
  </si>
  <si>
    <t>-679.479900976337 44.5281716589739 -753.793120114537</t>
  </si>
  <si>
    <t>-565.238164950961 221.683898699049 -241.162543218965</t>
  </si>
  <si>
    <t>-568.929300772272 193.75456528492 213.660425184464</t>
  </si>
  <si>
    <t>-630.217318279068 163.896721969001 678.633726558685</t>
  </si>
  <si>
    <t>-494.907826626891 92.8996608175426 765.778869114661</t>
  </si>
  <si>
    <t>-626.702831196175 40.2665800923985 -205.254231990166</t>
  </si>
  <si>
    <t>-533.135464533945 -19.5200832219905 236.705483328715</t>
  </si>
  <si>
    <t>-734.720521772883 126.950118195495 635.11304446527</t>
  </si>
  <si>
    <t>-685.74874982807 -4.35244067361418 741.437637969841</t>
  </si>
  <si>
    <t>9763-20170724T160651.092771700.bin</t>
  </si>
  <si>
    <t>-595.349237255273 131.354283558839 -223.290359935532</t>
  </si>
  <si>
    <t>-636.17748345269 122.69099396177 -336.982141346114</t>
  </si>
  <si>
    <t>-656.730882513351 111.00336442634 -455.858266265471</t>
  </si>
  <si>
    <t>-666.8282643113 98.9317672795978 -564.242644832843</t>
  </si>
  <si>
    <t>-668.512800668125 85.2556779128902 -672.893304906373</t>
  </si>
  <si>
    <t>-662.103606961161 64.4516226054161 -823.645090930461</t>
  </si>
  <si>
    <t>-625.202114060193 36.2371181620288 -914.337974701419</t>
  </si>
  <si>
    <t>-651.022381253852 102.048719463593 -760.268640770629</t>
  </si>
  <si>
    <t>-566.69005040238 222.281851293046 -752.76074422919</t>
  </si>
  <si>
    <t>-477.299426169835 165.844495440339 -454.414803566589</t>
  </si>
  <si>
    <t>-320.457380600378 36.3031763327081 -292.360107263154</t>
  </si>
  <si>
    <t>-678.856538524177 45.2648652109197 -753.615648157952</t>
  </si>
  <si>
    <t>-564.691776455799 222.07430411503 -240.800858332539</t>
  </si>
  <si>
    <t>-568.561529997827 193.826440198585 214.001000365865</t>
  </si>
  <si>
    <t>-630.46051748545 163.906407587694 678.917048428499</t>
  </si>
  <si>
    <t>-494.908190650311 92.9716408343802 765.734865235185</t>
  </si>
  <si>
    <t>-625.859351074065 40.6993495661343 -205.108249319423</t>
  </si>
  <si>
    <t>-532.210441556774 -19.2438156938265 236.812911642827</t>
  </si>
  <si>
    <t>-734.35518514934 126.862127170431 635.07091928679</t>
  </si>
  <si>
    <t>-685.812599104252 -4.41182568625732 741.627408282366</t>
  </si>
  <si>
    <t>9763-20170724T160651.160455500.bin</t>
  </si>
  <si>
    <t>-594.974849184058 131.863879365889 -223.030039519258</t>
  </si>
  <si>
    <t>-635.723525426947 123.321867953452 -336.759390161221</t>
  </si>
  <si>
    <t>-656.245800693742 111.797826004787 -455.656846251109</t>
  </si>
  <si>
    <t>-666.336985843151 99.8810625411704 -564.059027647488</t>
  </si>
  <si>
    <t>-668.038151120667 86.3612835524834 -672.729050459461</t>
  </si>
  <si>
    <t>-661.677217910088 65.7702151867645 -823.51220692755</t>
  </si>
  <si>
    <t>-624.881007190902 37.39319563044 -914.197077982207</t>
  </si>
  <si>
    <t>-650.446490513689 103.215700467725 -760.072156996503</t>
  </si>
  <si>
    <t>-565.677089463564 223.140414660032 -752.300394899886</t>
  </si>
  <si>
    <t>-476.397812765584 166.201460477008 -454.016392117164</t>
  </si>
  <si>
    <t>-316.396267426105 40.5769264714872 -291.966848106915</t>
  </si>
  <si>
    <t>-678.536938793004 46.5465943019362 -753.518452534837</t>
  </si>
  <si>
    <t>-564.216380733632 222.531978164337 -240.445421465622</t>
  </si>
  <si>
    <t>-568.350204241028 194.077593810825 214.341321542659</t>
  </si>
  <si>
    <t>-630.647592635095 163.999791771504 679.189271774493</t>
  </si>
  <si>
    <t>-494.922933321529 93.0301725339905 765.708879537113</t>
  </si>
  <si>
    <t>-625.605808427626 41.2747499528559 -204.927968253461</t>
  </si>
  <si>
    <t>-531.872638324267 -19.4670291198154 236.866364770062</t>
  </si>
  <si>
    <t>-734.045116713302 126.738288789945 635.045941442331</t>
  </si>
  <si>
    <t>-685.858196502516 -4.44566595104629 741.874308364876</t>
  </si>
  <si>
    <t>9763-20170724T160651.191047500.bin</t>
  </si>
  <si>
    <t>-594.950452688955 132.024801490397 -222.977273131481</t>
  </si>
  <si>
    <t>-635.642152098521 123.566528496422 -336.73338462032</t>
  </si>
  <si>
    <t>-656.146325525234 112.114387446475 -455.640925905942</t>
  </si>
  <si>
    <t>-666.238787184664 100.253625001882 -564.048950509198</t>
  </si>
  <si>
    <t>-667.959793464571 86.7784894891392 -672.724134938305</t>
  </si>
  <si>
    <t>-661.646164741832 66.2358848057313 -823.515862981503</t>
  </si>
  <si>
    <t>-624.918735998047 37.7779984542276 -914.203442993799</t>
  </si>
  <si>
    <t>-650.342676705191 103.635328570321 -760.061836686558</t>
  </si>
  <si>
    <t>-565.390633756798 223.410014713223 -752.19712618745</t>
  </si>
  <si>
    <t>-476.132920755243 166.445542029042 -453.911502590499</t>
  </si>
  <si>
    <t>-314.603827770233 42.840368198473 -291.824612309911</t>
  </si>
  <si>
    <t>-678.536777122107 47.015429068879 -753.528803844562</t>
  </si>
  <si>
    <t>-564.120765104258 222.687121778222 -240.331773834979</t>
  </si>
  <si>
    <t>-568.369156898028 194.133843511622 214.447702401991</t>
  </si>
  <si>
    <t>-630.706161165155 164.005397818115 679.259992349588</t>
  </si>
  <si>
    <t>-494.901788490596 93.0891504571111 765.698213130708</t>
  </si>
  <si>
    <t>-625.666989883762 41.4342524020628 -204.952633195708</t>
  </si>
  <si>
    <t>-532.019362499901 -19.5447490581039 236.82708233235</t>
  </si>
  <si>
    <t>-733.966198819104 126.708169803714 635.111363126134</t>
  </si>
  <si>
    <t>-685.927177867019 -4.46015942164149 742.025530306756</t>
  </si>
  <si>
    <t>9763-20170724T160651.225130100.bin</t>
  </si>
  <si>
    <t>-595.095240482792 132.19873784871 -222.951901644375</t>
  </si>
  <si>
    <t>-635.720766330464 123.817652174513 -336.73737903299</t>
  </si>
  <si>
    <t>-656.187934836213 112.444659121878 -455.658775300325</t>
  </si>
  <si>
    <t>-666.260078741685 100.653499831979 -564.076295530042</t>
  </si>
  <si>
    <t>-667.974448503492 87.2444902447166 -672.759923917848</t>
  </si>
  <si>
    <t>-661.666571764374 66.7883667316826 -823.563581023671</t>
  </si>
  <si>
    <t>-625.00159202388 38.3092275401534 -914.269719605949</t>
  </si>
  <si>
    <t>-650.332595874854 104.137680493154 -760.085326577594</t>
  </si>
  <si>
    <t>-565.164145167933 223.751731270919 -752.155590626993</t>
  </si>
  <si>
    <t>-476.264030626843 166.568290960585 -453.805086424462</t>
  </si>
  <si>
    <t>-312.144123144714 46.9702129485588 -291.315068682763</t>
  </si>
  <si>
    <t>-678.582607273684 47.5414702748112 -753.589894164671</t>
  </si>
  <si>
    <t>-564.173226601799 222.91525418176 -240.26788264401</t>
  </si>
  <si>
    <t>-568.404345503659 194.153876802121 214.498598288018</t>
  </si>
  <si>
    <t>-630.709847488564 164.055418464415 679.295103849194</t>
  </si>
  <si>
    <t>-494.842238760374 93.2133861124537 765.694793758145</t>
  </si>
  <si>
    <t>-625.915421944917 41.5618560215016 -205.004431503703</t>
  </si>
  <si>
    <t>-532.235569519522 -19.5118481148193 236.755454743443</t>
  </si>
  <si>
    <t>-734.001502098054 126.655515696122 635.20342562999</t>
  </si>
  <si>
    <t>-685.972939093478 -4.48290823239449 742.1589950485</t>
  </si>
  <si>
    <t>9763-20170724T160651.289881300.bin</t>
  </si>
  <si>
    <t>-595.606934268842 132.6611858557 -223.056068391843</t>
  </si>
  <si>
    <t>-636.095141070849 124.356353138778 -336.896039474911</t>
  </si>
  <si>
    <t>-656.552864726314 113.108960018602 -455.830972976359</t>
  </si>
  <si>
    <t>-666.671612572967 101.442378624167 -564.257847745453</t>
  </si>
  <si>
    <t>-668.488992478731 88.1634311207629 -672.955591363819</t>
  </si>
  <si>
    <t>-662.383579251699 67.8888998810578 -823.792161677959</t>
  </si>
  <si>
    <t>-625.930180456457 39.4037762928056 -914.581663787503</t>
  </si>
  <si>
    <t>-650.894769017877 105.127847064511 -760.27691435934</t>
  </si>
  <si>
    <t>-565.328470536794 224.409092560885 -752.035895577507</t>
  </si>
  <si>
    <t>-476.441241299443 166.806727171601 -453.762073773785</t>
  </si>
  <si>
    <t>-306.082079725386 56.9503406372214 -290.816049226124</t>
  </si>
  <si>
    <t>-679.275226035353 48.5917431302946 -753.826408375636</t>
  </si>
  <si>
    <t>-564.495357323878 223.534378182233 -240.250359078045</t>
  </si>
  <si>
    <t>-568.606253253962 194.575918554215 214.504697333678</t>
  </si>
  <si>
    <t>-630.600873840502 164.347623940761 679.277992510978</t>
  </si>
  <si>
    <t>-494.727330807236 93.4922212359456 765.657397206867</t>
  </si>
  <si>
    <t>-626.586027144961 41.8976004903998 -205.24773049133</t>
  </si>
  <si>
    <t>-532.887685681773 -18.9483936181589 236.53961170816</t>
  </si>
  <si>
    <t>-734.225973511084 126.575732836878 635.511568010633</t>
  </si>
  <si>
    <t>-685.969366734656 -4.51199082213475 742.426534569402</t>
  </si>
  <si>
    <t>9763-20170724T160651.326980800.bin</t>
  </si>
  <si>
    <t>-595.865273730916 132.970891663105 -223.162060302008</t>
  </si>
  <si>
    <t>-636.28624694039 124.692552516944 -337.027936427259</t>
  </si>
  <si>
    <t>-656.692397108619 113.546118724697 -455.981309688543</t>
  </si>
  <si>
    <t>-666.771407702195 101.996404254561 -564.424277527617</t>
  </si>
  <si>
    <t>-668.555771694962 88.8575298712281 -673.139667681705</t>
  </si>
  <si>
    <t>-662.411901308743 68.7988904662375 -824.003500796139</t>
  </si>
  <si>
    <t>-626.017698592116 40.4090834800295 -914.846532321806</t>
  </si>
  <si>
    <t>-650.927330533253 105.940972971027 -760.430759138313</t>
  </si>
  <si>
    <t>-565.136708351679 225.060896705062 -751.919099498338</t>
  </si>
  <si>
    <t>-476.09516693815 167.361126515874 -453.710237726064</t>
  </si>
  <si>
    <t>-300.457570488453 64.5699637010036 -291.761239565735</t>
  </si>
  <si>
    <t>-679.333440695205 49.4074268930156 -754.071055082274</t>
  </si>
  <si>
    <t>-564.736128793097 223.931086417606 -240.289078974559</t>
  </si>
  <si>
    <t>-568.797144947836 194.865645653379 214.459637471352</t>
  </si>
  <si>
    <t>-630.554732539898 164.411809134107 679.225452129185</t>
  </si>
  <si>
    <t>-494.621916574103 93.6640724524782 765.599882409138</t>
  </si>
  <si>
    <t>-626.828952827237 42.1366616280291 -205.391756556946</t>
  </si>
  <si>
    <t>-533.124153237351 -18.5664753537471 236.413865130573</t>
  </si>
  <si>
    <t>-734.359256447921 126.555480313713 635.666773391398</t>
  </si>
  <si>
    <t>-685.977564226275 -4.52364159339822 742.535819935435</t>
  </si>
  <si>
    <t>9763-20170724T160651.393197500.bin</t>
  </si>
  <si>
    <t>-596.652526874571 133.715751495736 -223.282552879008</t>
  </si>
  <si>
    <t>-636.877224253834 125.249876167662 -337.204041272208</t>
  </si>
  <si>
    <t>-657.163163176627 114.138951860563 -456.181297775714</t>
  </si>
  <si>
    <t>-667.16420251934 102.706444314276 -564.643902236418</t>
  </si>
  <si>
    <t>-668.901131328665 89.765277289144 -673.383859177695</t>
  </si>
  <si>
    <t>-662.72208199128 70.0615440011406 -824.293018109257</t>
  </si>
  <si>
    <t>-626.442271551041 41.9271570074943 -915.261202096653</t>
  </si>
  <si>
    <t>-651.286733779855 107.070900814885 -760.634065895415</t>
  </si>
  <si>
    <t>-565.641164943512 226.276160885516 -751.992719118444</t>
  </si>
  <si>
    <t>-475.767956247893 168.534390480198 -454.041593123271</t>
  </si>
  <si>
    <t>-292.218072546337 74.0219284470709 -295.868107633954</t>
  </si>
  <si>
    <t>-679.625495191526 50.4887847503962 -754.406752035822</t>
  </si>
  <si>
    <t>-565.476154339333 224.932508034404 -240.441371456606</t>
  </si>
  <si>
    <t>-569.351335110839 195.965987398906 214.315236491179</t>
  </si>
  <si>
    <t>-630.387607637106 164.616647223146 679.025605204631</t>
  </si>
  <si>
    <t>-494.399165980607 94.0346900541033 765.448094631627</t>
  </si>
  <si>
    <t>-627.718939185671 42.5348197618227 -205.526403486037</t>
  </si>
  <si>
    <t>-533.411105945958 -17.5330477616687 236.237751135736</t>
  </si>
  <si>
    <t>-734.558240290989 126.582772692579 635.987661324526</t>
  </si>
  <si>
    <t>-685.893481372649 -4.51816000127519 742.701350417376</t>
  </si>
  <si>
    <t>9763-20170724T160651.425281800.bin</t>
  </si>
  <si>
    <t>-597.26230296948 133.698342745734 -223.471888756917</t>
  </si>
  <si>
    <t>-637.479438410898 125.143732410135 -337.389336995392</t>
  </si>
  <si>
    <t>-657.793945981781 114.139515311324 -456.371743451497</t>
  </si>
  <si>
    <t>-667.832822192925 102.880974362153 -564.849002097922</t>
  </si>
  <si>
    <t>-669.617862324994 90.1894373287794 -673.617563798618</t>
  </si>
  <si>
    <t>-663.514425352374 70.9099141341915 -824.584530826149</t>
  </si>
  <si>
    <t>-627.258864760137 43.0234770219831 -915.638682213424</t>
  </si>
  <si>
    <t>-652.099599710057 107.765927505371 -760.83302543555</t>
  </si>
  <si>
    <t>-566.661949365376 227.112067980887 -751.985031948773</t>
  </si>
  <si>
    <t>-476.104859050721 169.219053203607 -454.270248733837</t>
  </si>
  <si>
    <t>-287.307128811189 79.6061097656361 -299.457571932685</t>
  </si>
  <si>
    <t>-680.330256949532 51.1152717454704 -754.739649269007</t>
  </si>
  <si>
    <t>-565.986726625352 225.035830281292 -240.607064506371</t>
  </si>
  <si>
    <t>-569.71354686453 196.168165063335 214.157157632142</t>
  </si>
  <si>
    <t>-630.292982403547 164.684781526689 678.887748172776</t>
  </si>
  <si>
    <t>-494.200318184493 94.3312099997256 765.332396147534</t>
  </si>
  <si>
    <t>-628.561208376964 42.2885794957169 -205.749863120479</t>
  </si>
  <si>
    <t>-533.398797049198 -16.6262042729152 235.986276580924</t>
  </si>
  <si>
    <t>-734.545096750172 126.635899381154 636.167817589975</t>
  </si>
  <si>
    <t>-685.829283884357 -4.50284348340165 742.811651587849</t>
  </si>
  <si>
    <t>9763-20170724T160651.490106200.bin</t>
  </si>
  <si>
    <t>-598.759498668218 133.506502307379 -223.938008411884</t>
  </si>
  <si>
    <t>-638.974010322663 124.750650812402 -337.841166551496</t>
  </si>
  <si>
    <t>-659.299513491642 113.930598495966 -456.838436604766</t>
  </si>
  <si>
    <t>-669.347896257999 102.990831047816 -565.347581264792</t>
  </si>
  <si>
    <t>-671.138753456332 90.7660500646678 -674.169364566362</t>
  </si>
  <si>
    <t>-665.036073197035 72.2859856919647 -825.236461270908</t>
  </si>
  <si>
    <t>-628.705155564141 45.0642576006812 -916.461588376483</t>
  </si>
  <si>
    <t>-653.793014109302 108.887123764026 -761.307787298239</t>
  </si>
  <si>
    <t>-569.308707637977 228.890710021231 -752.243986932209</t>
  </si>
  <si>
    <t>-476.65254979077 170.703452472882 -455.233397236468</t>
  </si>
  <si>
    <t>-279.299338066449 88.331736856102 -307.217608949357</t>
  </si>
  <si>
    <t>-681.679637970512 52.0385420510306 -755.480136033812</t>
  </si>
  <si>
    <t>-567.490773969177 225.555049209966 -240.936355015453</t>
  </si>
  <si>
    <t>-570.668542387161 196.617999716721 213.827603258173</t>
  </si>
  <si>
    <t>-630.226959725224 164.874294372049 678.655558510955</t>
  </si>
  <si>
    <t>-493.9660840882 94.8038633845827 765.06520070558</t>
  </si>
  <si>
    <t>-629.890943433296 41.6276088149539 -206.348446470784</t>
  </si>
  <si>
    <t>-533.107922911868 -13.835054440279 235.482478706529</t>
  </si>
  <si>
    <t>-734.527987554918 126.775887584856 636.738130141639</t>
  </si>
  <si>
    <t>-685.497361283599 -4.40102259897117 743.190643596159</t>
  </si>
  <si>
    <t>9763-20170724T160651.521187300.bin</t>
  </si>
  <si>
    <t>-599.216386037398 133.47511796723 -224.05708183193</t>
  </si>
  <si>
    <t>-639.452988154998 124.549703492068 -337.93926184718</t>
  </si>
  <si>
    <t>-659.789431299234 113.829160712433 -456.943710486599</t>
  </si>
  <si>
    <t>-669.838761198233 103.082772372673 -565.471838057715</t>
  </si>
  <si>
    <t>-671.619337894598 91.1503104057147 -674.326408237485</t>
  </si>
  <si>
    <t>-665.488965157693 73.1752034136355 -825.4532285499</t>
  </si>
  <si>
    <t>-629.143766646267 46.4316541153703 -916.814053215718</t>
  </si>
  <si>
    <t>-654.358848945955 109.610945903443 -761.410517156193</t>
  </si>
  <si>
    <t>-570.405356022667 229.990599034926 -752.19219825434</t>
  </si>
  <si>
    <t>-476.055157592519 172.37422456784 -455.60393280317</t>
  </si>
  <si>
    <t>-274.587814327278 93.0393004309292 -311.524376459087</t>
  </si>
  <si>
    <t>-682.044090580396 52.6463014560375 -755.758122961039</t>
  </si>
  <si>
    <t>-568.249590174293 225.761742374884 -241.023810435765</t>
  </si>
  <si>
    <t>-571.162067688806 196.953333670764 213.750096662761</t>
  </si>
  <si>
    <t>-630.253007974119 164.94457827648 678.592379434534</t>
  </si>
  <si>
    <t>-493.878678544051 95.0299784609215 764.949189241968</t>
  </si>
  <si>
    <t>-629.901930904567 41.397885861734 -206.450951366354</t>
  </si>
  <si>
    <t>-532.595046831103 -12.3445636130696 235.477532563936</t>
  </si>
  <si>
    <t>-734.559521078185 126.765235875052 637.013116738281</t>
  </si>
  <si>
    <t>-685.409575318561 -4.38640410853509 743.441772257516</t>
  </si>
  <si>
    <t>9763-20170724T160651.590965000.bin</t>
  </si>
  <si>
    <t>-599.586372283717 133.688009995933 -224.047395860971</t>
  </si>
  <si>
    <t>-639.986813924314 124.42022611888 -337.844261309116</t>
  </si>
  <si>
    <t>-660.22266147286 113.953890587529 -456.888487332832</t>
  </si>
  <si>
    <t>-670.060207584496 103.664598593871 -565.480503094602</t>
  </si>
  <si>
    <t>-671.502802094398 92.4055035094191 -674.411705319778</t>
  </si>
  <si>
    <t>-664.767524549945 75.5820352866335 -825.645201693231</t>
  </si>
  <si>
    <t>-628.450391009172 50.2772917870423 -917.426018223084</t>
  </si>
  <si>
    <t>-654.103610713563 111.627649185375 -761.303112518538</t>
  </si>
  <si>
    <t>-571.054018044469 232.575687107129 -751.63102007178</t>
  </si>
  <si>
    <t>-473.674280925844 176.264522841453 -455.772322805871</t>
  </si>
  <si>
    <t>-266.137989284604 101.127417551791 -318.203603874161</t>
  </si>
  <si>
    <t>-681.391807084236 54.4240680639771 -756.155058965301</t>
  </si>
  <si>
    <t>-569.608059084347 226.426839108209 -241.028499904188</t>
  </si>
  <si>
    <t>-572.10952739065 197.605427741856 213.746941035299</t>
  </si>
  <si>
    <t>-630.405090366119 165.00327005648 678.62037628068</t>
  </si>
  <si>
    <t>-493.834021647533 95.2994811722988 764.836573318196</t>
  </si>
  <si>
    <t>-629.284420369991 41.1251979379733 -206.265922334603</t>
  </si>
  <si>
    <t>-530.069666754727 -10.2981918380979 235.514235404014</t>
  </si>
  <si>
    <t>-734.235558230844 126.377598851449 636.899204352944</t>
  </si>
  <si>
    <t>-685.142307514943 -4.42340120400968 743.784439271578</t>
  </si>
  <si>
    <t>9763-20170724T160651.625054300.bin</t>
  </si>
  <si>
    <t>-599.588611482294 133.917406057911 -223.875021914358</t>
  </si>
  <si>
    <t>-640.17828642102 124.586830373259 -337.599352724716</t>
  </si>
  <si>
    <t>-660.377662826129 114.296159597082 -456.665147236617</t>
  </si>
  <si>
    <t>-670.0823998701 104.257799275185 -565.292487885039</t>
  </si>
  <si>
    <t>-671.289776773475 93.3378176631963 -674.260958501416</t>
  </si>
  <si>
    <t>-664.11920756718 77.0746911299427 -825.53592888066</t>
  </si>
  <si>
    <t>-627.861201451995 52.6193676074688 -917.570003392447</t>
  </si>
  <si>
    <t>-653.743730382474 112.92965450211 -761.040309017921</t>
  </si>
  <si>
    <t>-570.992406537981 234.08203214006 -751.062461413735</t>
  </si>
  <si>
    <t>-472.515428672325 178.148842713419 -455.495205252106</t>
  </si>
  <si>
    <t>-262.726297511158 104.134264359853 -320.764335827689</t>
  </si>
  <si>
    <t>-680.840294581922 55.6114665950583 -756.162630870902</t>
  </si>
  <si>
    <t>-570.091493247141 226.700855656877 -240.895626981182</t>
  </si>
  <si>
    <t>-572.355017112864 197.842151875397 213.878702309587</t>
  </si>
  <si>
    <t>-630.522518726325 164.988892173703 678.722453260477</t>
  </si>
  <si>
    <t>-493.878406274966 95.3303121695164 764.859413819137</t>
  </si>
  <si>
    <t>-628.827439004251 41.3179082484355 -206.02879263467</t>
  </si>
  <si>
    <t>-528.214314552573 -9.7147056291999 235.480367642543</t>
  </si>
  <si>
    <t>-733.66358715292 126.169607569879 636.512055618464</t>
  </si>
  <si>
    <t>-685.00391608818 -4.44633455799476 743.820990983762</t>
  </si>
  <si>
    <t>9763-20170724T160651.689413000.bin</t>
  </si>
  <si>
    <t>-599.568538864902 134.256939328508 -223.367491208138</t>
  </si>
  <si>
    <t>-640.644994461179 124.917131375655 -336.916179443174</t>
  </si>
  <si>
    <t>-660.984188208899 114.984157889844 -455.988508556051</t>
  </si>
  <si>
    <t>-670.659288930397 105.418066934487 -564.6610362776</t>
  </si>
  <si>
    <t>-671.6747640101 95.1183527239286 -673.691918659779</t>
  </si>
  <si>
    <t>-664.064516708865 79.8708539714669 -825.051153594575</t>
  </si>
  <si>
    <t>-628.021186884915 57.090326688992 -917.597928942203</t>
  </si>
  <si>
    <t>-654.064256274744 115.378540739382 -760.304610905171</t>
  </si>
  <si>
    <t>-571.910877175487 236.909320393797 -749.776288346608</t>
  </si>
  <si>
    <t>-472.641350624794 180.611469298831 -454.54366190051</t>
  </si>
  <si>
    <t>-259.187662438459 109.153971563818 -324.261522912134</t>
  </si>
  <si>
    <t>-680.799375986484 57.8562555880503 -755.854150160238</t>
  </si>
  <si>
    <t>-570.843584029005 227.167527428176 -240.504421583055</t>
  </si>
  <si>
    <t>-572.419562742478 197.949738729366 214.249823075168</t>
  </si>
  <si>
    <t>-630.725718797745 164.930617130642 678.964456755404</t>
  </si>
  <si>
    <t>-493.975046554333 95.3232558203254 764.973641879358</t>
  </si>
  <si>
    <t>-628.191427932366 41.3969396377984 -205.412594314525</t>
  </si>
  <si>
    <t>-523.814641796902 -9.68631273261872 235.216159266754</t>
  </si>
  <si>
    <t>-731.882106993411 125.58439563522 635.05833727627</t>
  </si>
  <si>
    <t>-684.740053467323 -4.51148173671254 743.668660682332</t>
  </si>
  <si>
    <t>9763-20170724T160651.722497000.bin</t>
  </si>
  <si>
    <t>-599.496093518077 134.30386241215 -223.118192034528</t>
  </si>
  <si>
    <t>-640.761600597829 124.990577818446 -336.600503252758</t>
  </si>
  <si>
    <t>-661.241889398616 115.233663468323 -455.663158740909</t>
  </si>
  <si>
    <t>-671.019780573371 105.889524867172 -564.345943555832</t>
  </si>
  <si>
    <t>-672.110482278348 95.8754618861267 -673.402674593935</t>
  </si>
  <si>
    <t>-664.574036387903 81.0918548890543 -824.811586033912</t>
  </si>
  <si>
    <t>-628.636380849041 59.0233045557543 -917.571693801843</t>
  </si>
  <si>
    <t>-654.615495537554 116.434363609349 -759.968283872569</t>
  </si>
  <si>
    <t>-572.817261597755 238.173713134196 -749.258779523362</t>
  </si>
  <si>
    <t>-473.31710368985 181.096339010784 -454.253557472769</t>
  </si>
  <si>
    <t>-258.671458591573 110.492768247022 -325.473086525703</t>
  </si>
  <si>
    <t>-681.201911359906 58.8318644512005 -755.667311856494</t>
  </si>
  <si>
    <t>-571.079390690341 227.341630433852 -240.299871779895</t>
  </si>
  <si>
    <t>-572.438173688498 198.002947170996 214.447352292106</t>
  </si>
  <si>
    <t>-630.79320051202 164.937743870605 679.0879513725</t>
  </si>
  <si>
    <t>-494.004257145747 95.3492951587332 765.051558473797</t>
  </si>
  <si>
    <t>-627.796969495574 41.341897962672 -205.155380163525</t>
  </si>
  <si>
    <t>-521.734101403054 -10.1874047990689 235.018544440415</t>
  </si>
  <si>
    <t>-730.951554407723 125.22372278428 634.175387282176</t>
  </si>
  <si>
    <t>-684.679570906955 -4.55373008966103 743.538253708684</t>
  </si>
  <si>
    <t>9763-20170724T160651.788682200.bin</t>
  </si>
  <si>
    <t>-599.215358750474 134.117376699161 -222.791055232585</t>
  </si>
  <si>
    <t>-640.864551416981 124.906187490262 -336.141309279891</t>
  </si>
  <si>
    <t>-661.654882992946 115.565001680362 -455.183608789227</t>
  </si>
  <si>
    <t>-671.672619651629 106.726202359947 -563.886843711598</t>
  </si>
  <si>
    <t>-672.957182777904 97.3474380713064 -672.99788336605</t>
  </si>
  <si>
    <t>-665.637243614667 83.5831870017264 -824.513550859707</t>
  </si>
  <si>
    <t>-629.80860137713 62.7650855324628 -917.604240190396</t>
  </si>
  <si>
    <t>-655.739835271962 118.558227099508 -759.461941466734</t>
  </si>
  <si>
    <t>-574.436731084573 240.583252873738 -748.293338647439</t>
  </si>
  <si>
    <t>-474.148725897069 182.649111235394 -453.722242223521</t>
  </si>
  <si>
    <t>-259.630727164086 111.403189505042 -325.082664559339</t>
  </si>
  <si>
    <t>-682.012397655375 60.7885895115674 -755.483205621162</t>
  </si>
  <si>
    <t>-571.431937032594 227.440547917606 -239.985247920474</t>
  </si>
  <si>
    <t>-572.400710317497 197.870418672569 214.748011475693</t>
  </si>
  <si>
    <t>-630.908401900325 164.946542151564 679.309572833876</t>
  </si>
  <si>
    <t>-494.092257653159 95.3240819257528 765.202332146682</t>
  </si>
  <si>
    <t>-626.847276835213 40.8104133543993 -204.925790687749</t>
  </si>
  <si>
    <t>-518.079943488249 -11.7917783403152 234.460483209372</t>
  </si>
  <si>
    <t>-729.45198677127 124.038042574311 632.154287065771</t>
  </si>
  <si>
    <t>-684.674618192039 -4.73087732237491 743.316602967107</t>
  </si>
  <si>
    <t>9763-20170724T160651.821775000.bin</t>
  </si>
  <si>
    <t>-599.222909341673 133.923927997939 -222.700908618863</t>
  </si>
  <si>
    <t>-641.042810407486 124.743828944726 -335.990852968182</t>
  </si>
  <si>
    <t>-662.00398871599 115.555449855347 -455.015151648873</t>
  </si>
  <si>
    <t>-672.17225348426 106.905271208108 -563.719441928972</t>
  </si>
  <si>
    <t>-673.600854306381 97.7662368377778 -672.849139334702</t>
  </si>
  <si>
    <t>-666.472549693077 84.3884148430966 -824.408474916671</t>
  </si>
  <si>
    <t>-630.751756247767 64.0403357357291 -917.644446010993</t>
  </si>
  <si>
    <t>-656.5563167416 119.225751136242 -759.285862380677</t>
  </si>
  <si>
    <t>-575.514125228703 241.443206331896 -747.932500861937</t>
  </si>
  <si>
    <t>-474.885138334932 182.825658027347 -453.612971791049</t>
  </si>
  <si>
    <t>-262.582590933952 109.815966843798 -322.314609685624</t>
  </si>
  <si>
    <t>-682.697038244441 61.3894426536315 -755.410416530122</t>
  </si>
  <si>
    <t>-571.707585241198 227.349285313894 -239.881141392343</t>
  </si>
  <si>
    <t>-572.34413147573 197.646782663861 214.844046146964</t>
  </si>
  <si>
    <t>-630.956352402495 164.950571039812 679.400556052277</t>
  </si>
  <si>
    <t>-494.123876102194 95.322701467393 765.262856444182</t>
  </si>
  <si>
    <t>-626.627810170934 40.5012283045082 -204.857673330536</t>
  </si>
  <si>
    <t>-516.494058377766 -12.7251845003543 234.112933019211</t>
  </si>
  <si>
    <t>-728.796733063675 123.387322759667 631.123917541362</t>
  </si>
  <si>
    <t>-684.647577564987 -4.80560812399312 743.199451626611</t>
  </si>
  <si>
    <t>9763-20170724T160651.904022300.bin</t>
  </si>
  <si>
    <t>-599.31358568366 133.317188370945 -222.489271172959</t>
  </si>
  <si>
    <t>-641.511728735994 124.22403372008 -335.645940155481</t>
  </si>
  <si>
    <t>-662.83310931262 115.224362448886 -454.620595475075</t>
  </si>
  <si>
    <t>-673.31338797847 106.790061609591 -563.312166762554</t>
  </si>
  <si>
    <t>-675.037128923549 97.9140749667265 -672.459354519006</t>
  </si>
  <si>
    <t>-668.298292345977 84.9532278356889 -824.072685543484</t>
  </si>
  <si>
    <t>-632.820067204742 65.3493629240179 -917.560633848554</t>
  </si>
  <si>
    <t>-658.279442525477 119.64027848785 -758.885722601594</t>
  </si>
  <si>
    <t>-577.526204469129 241.978705168185 -747.454474622669</t>
  </si>
  <si>
    <t>-476.04405405352 182.886132362457 -453.523125353136</t>
  </si>
  <si>
    <t>-271.548961638906 103.022640480502 -314.075492618839</t>
  </si>
  <si>
    <t>-684.280608819128 61.7357075405789 -755.09131611684</t>
  </si>
  <si>
    <t>-572.004980097796 226.885350781051 -239.705231390893</t>
  </si>
  <si>
    <t>-572.258471715031 197.227206881204 215.023143553149</t>
  </si>
  <si>
    <t>-631.023131081827 165.02720880854 679.548628680488</t>
  </si>
  <si>
    <t>-494.231160574423 95.2469180924575 765.351758001279</t>
  </si>
  <si>
    <t>-626.521348599747 39.7875131507201 -204.596186609929</t>
  </si>
  <si>
    <t>-513.384949482867 -14.4285162136343 233.488851229391</t>
  </si>
  <si>
    <t>-727.49367345489 122.325685440809 629.208890726629</t>
  </si>
  <si>
    <t>-684.549186248824 -4.87599295004247 742.870794148516</t>
  </si>
  <si>
    <t>9763-20170724T160651.925081600.bin</t>
  </si>
  <si>
    <t>-599.445426898194 133.042447840342 -222.434521889669</t>
  </si>
  <si>
    <t>-641.772454335281 124.003776285777 -335.547392149561</t>
  </si>
  <si>
    <t>-663.258604175707 115.122523373072 -454.501342426848</t>
  </si>
  <si>
    <t>-673.900186780706 106.821707139286 -563.187603660772</t>
  </si>
  <si>
    <t>-675.796069344604 98.1059035556541 -672.344904900142</t>
  </si>
  <si>
    <t>-669.306345052158 85.3956122321947 -823.990225211923</t>
  </si>
  <si>
    <t>-633.932272853313 66.1272035042696 -917.587188271429</t>
  </si>
  <si>
    <t>-659.16369430748 119.967456253201 -758.761157059412</t>
  </si>
  <si>
    <t>-578.25802474082 242.23146295512 -747.316191116014</t>
  </si>
  <si>
    <t>-476.632380681339 182.879464357825 -453.48664361231</t>
  </si>
  <si>
    <t>-278.575933239166 97.1749382993278 -308.330286770295</t>
  </si>
  <si>
    <t>-685.192075179575 62.0714953246465 -755.022457514813</t>
  </si>
  <si>
    <t>-572.093213197855 226.610771527602 -239.668626457958</t>
  </si>
  <si>
    <t>-572.189079978836 196.980868374021 215.061737402342</t>
  </si>
  <si>
    <t>-631.065765382552 164.97881634125 679.602944244136</t>
  </si>
  <si>
    <t>-494.261067787301 95.1915940276388 765.380123793957</t>
  </si>
  <si>
    <t>-626.685950301349 39.5066563818527 -204.539532377356</t>
  </si>
  <si>
    <t>-512.167642788796 -15.1325101162097 233.133612431379</t>
  </si>
  <si>
    <t>-726.814517607864 122.022313192601 628.389606019914</t>
  </si>
  <si>
    <t>-684.53659173541 -4.85808030833232 742.658776280767</t>
  </si>
  <si>
    <t>9763-20170724T160651.993274300.bin</t>
  </si>
  <si>
    <t>-599.811152222213 132.491161807806 -222.491062167267</t>
  </si>
  <si>
    <t>-642.326896513474 123.598713917339 -335.544765592213</t>
  </si>
  <si>
    <t>-664.278737053072 114.730915543328 -454.414594850481</t>
  </si>
  <si>
    <t>-675.456864586574 106.38985128659 -563.043982259357</t>
  </si>
  <si>
    <t>-678.004588908429 97.5828452488313 -672.180556419482</t>
  </si>
  <si>
    <t>-672.539455000588 84.6940735450537 -823.851329186162</t>
  </si>
  <si>
    <t>-637.511676075338 65.6583931645389 -917.625878138108</t>
  </si>
  <si>
    <t>-661.868766448467 119.30356797132 -758.726547018369</t>
  </si>
  <si>
    <t>-580.772517221802 241.460665063513 -747.308967102595</t>
  </si>
  <si>
    <t>-478.588004867055 181.319014780584 -453.834118244714</t>
  </si>
  <si>
    <t>-289.495305517904 86.6320481371804 -302.439282331775</t>
  </si>
  <si>
    <t>-688.046392272684 61.4904108628691 -754.756908228883</t>
  </si>
  <si>
    <t>-572.257333440271 226.034741895543 -239.675526119006</t>
  </si>
  <si>
    <t>-571.98267705949 196.372131170164 215.05264697207</t>
  </si>
  <si>
    <t>-631.140810555058 164.943863141885 679.649244289388</t>
  </si>
  <si>
    <t>-494.38635773789 95.0282321663451 765.402007958598</t>
  </si>
  <si>
    <t>-627.236481582004 39.0300861406897 -204.681242205884</t>
  </si>
  <si>
    <t>-510.557566050954 -16.2892521460301 232.335360958299</t>
  </si>
  <si>
    <t>-725.677815007441 121.524256398341 627.028804672376</t>
  </si>
  <si>
    <t>-684.676295769225 -4.84184617026722 742.328317200272</t>
  </si>
  <si>
    <t>9763-20170724T160652.027359000.bin</t>
  </si>
  <si>
    <t>-600.051542125777 132.164183918157 -222.480300429867</t>
  </si>
  <si>
    <t>-642.656806007678 123.334873155973 -335.505170736577</t>
  </si>
  <si>
    <t>-664.796117780061 114.375355728745 -454.333465670271</t>
  </si>
  <si>
    <t>-676.186292430966 105.891012493545 -562.929708900395</t>
  </si>
  <si>
    <t>-678.989286839425 96.8825119183759 -672.043525140191</t>
  </si>
  <si>
    <t>-673.924226872243 83.6549208857355 -823.699011330511</t>
  </si>
  <si>
    <t>-639.028912076355 64.6702130437925 -917.533221487579</t>
  </si>
  <si>
    <t>-663.059179241222 118.399561527869 -758.678399260342</t>
  </si>
  <si>
    <t>-581.930362481043 240.519464912938 -747.470712223206</t>
  </si>
  <si>
    <t>-479.52508203203 180.444361454828 -454.059206176797</t>
  </si>
  <si>
    <t>-296.069393493871 79.1168804218755 -300.050191877419</t>
  </si>
  <si>
    <t>-689.271553624469 60.6158592824986 -754.513875104391</t>
  </si>
  <si>
    <t>-572.372843751594 225.73440086328 -239.680408009371</t>
  </si>
  <si>
    <t>-571.817692694294 196.039474263772 215.045411677409</t>
  </si>
  <si>
    <t>-631.165692298272 164.943452423405 679.651704464457</t>
  </si>
  <si>
    <t>-494.431476853096 94.9832134166968 765.400337517308</t>
  </si>
  <si>
    <t>-627.617050262769 38.6582124211902 -204.693382112394</t>
  </si>
  <si>
    <t>-509.983153653545 -16.9460633523825 232.030941396687</t>
  </si>
  <si>
    <t>-725.246419774084 121.330742991131 626.478673655292</t>
  </si>
  <si>
    <t>-684.713407579372 -4.82856822063513 742.169774695544</t>
  </si>
  <si>
    <t>9763-20170724T160652.094575300.bin</t>
  </si>
  <si>
    <t>-600.283064571551 131.341069250512 -222.575275025027</t>
  </si>
  <si>
    <t>-643.112235579694 122.495536302495 -335.514218225333</t>
  </si>
  <si>
    <t>-665.624440619713 113.369795134329 -454.259814173414</t>
  </si>
  <si>
    <t>-677.413483777099 104.67646794619 -562.796820588646</t>
  </si>
  <si>
    <t>-680.677342243677 95.401228054473 -671.875558922549</t>
  </si>
  <si>
    <t>-676.316995389382 81.7437853101765 -823.514742959868</t>
  </si>
  <si>
    <t>-641.689834765166 62.9247677725245 -917.481814902146</t>
  </si>
  <si>
    <t>-665.153306858784 116.673911300018 -758.644348792438</t>
  </si>
  <si>
    <t>-584.277717973251 238.95445094053 -747.555870888567</t>
  </si>
  <si>
    <t>-481.516179203237 178.492367179121 -454.348476535606</t>
  </si>
  <si>
    <t>-309.433418971496 62.5161553647602 -297.571277140676</t>
  </si>
  <si>
    <t>-691.339348080464 58.8996163233132 -754.193848711098</t>
  </si>
  <si>
    <t>-572.656069876925 225.032179692896 -239.72209552048</t>
  </si>
  <si>
    <t>-571.237612497787 195.124635521477 214.987851063933</t>
  </si>
  <si>
    <t>-631.229141056227 164.845703905101 679.619179978631</t>
  </si>
  <si>
    <t>-494.409718289516 95.0358074590383 765.354405428455</t>
  </si>
  <si>
    <t>-627.737871622204 37.7047264303046 -204.743285382258</t>
  </si>
  <si>
    <t>-509.076201865593 -17.893608839533 231.7036112853</t>
  </si>
  <si>
    <t>-724.964185362753 120.808224184404 625.627719765622</t>
  </si>
  <si>
    <t>-684.839387984232 -4.86552660139955 741.987614919333</t>
  </si>
  <si>
    <t>9763-20170724T160652.121646800.bin</t>
  </si>
  <si>
    <t>-600.120413999472 130.978794292522 -222.556597501029</t>
  </si>
  <si>
    <t>-642.959539088568 122.096405554768 -335.488794997786</t>
  </si>
  <si>
    <t>-665.514915817932 112.945027552981 -454.224314793036</t>
  </si>
  <si>
    <t>-677.356446270158 104.236388310403 -562.754348305863</t>
  </si>
  <si>
    <t>-680.685757856369 94.955631063081 -671.830664854709</t>
  </si>
  <si>
    <t>-676.429410184075 81.3022777849458 -823.473279061784</t>
  </si>
  <si>
    <t>-641.811798864448 62.6915174528465 -917.485176765653</t>
  </si>
  <si>
    <t>-665.284750209348 116.259179352279 -758.613869944669</t>
  </si>
  <si>
    <t>-584.632279793996 238.669170176514 -747.462964229225</t>
  </si>
  <si>
    <t>-481.904300296344 177.834550206969 -454.320810757626</t>
  </si>
  <si>
    <t>-312.328196011074 58.176532243579 -297.579103340236</t>
  </si>
  <si>
    <t>-691.340642791645 58.4277828891841 -754.138299758408</t>
  </si>
  <si>
    <t>-572.663805839498 224.765642556345 -239.706277041492</t>
  </si>
  <si>
    <t>-570.90938251342 194.722019278248 214.993663696137</t>
  </si>
  <si>
    <t>-631.256996801163 164.7941895164 679.611002599802</t>
  </si>
  <si>
    <t>-494.417261100992 95.0248278860158 765.346834890482</t>
  </si>
  <si>
    <t>-627.29606039812 37.3570747010394 -204.674056463238</t>
  </si>
  <si>
    <t>-508.137741608725 -18.4735919339666 231.607820422816</t>
  </si>
  <si>
    <t>-725.038786410408 120.213872064726 625.02021532781</t>
  </si>
  <si>
    <t>-684.826338526747 -4.9523733292192 741.895615746355</t>
  </si>
  <si>
    <t>9763-20170724T160652.193162900.bin</t>
  </si>
  <si>
    <t>-598.693968399625 130.429140253208 -222.124702395993</t>
  </si>
  <si>
    <t>-641.568668476127 121.442942435254 -335.035284156644</t>
  </si>
  <si>
    <t>-664.195215928763 112.28858219252 -453.756759238396</t>
  </si>
  <si>
    <t>-676.113578655629 103.620214511146 -562.281792267469</t>
  </si>
  <si>
    <t>-679.530803585632 94.4233552701683 -671.362461012598</t>
  </si>
  <si>
    <t>-675.407020573227 80.9323464057425 -823.023222165647</t>
  </si>
  <si>
    <t>-640.80425505227 62.6948575937331 -917.113723305877</t>
  </si>
  <si>
    <t>-664.299691634767 115.861407920617 -758.142402168224</t>
  </si>
  <si>
    <t>-584.118457228411 238.577685290555 -746.740710915355</t>
  </si>
  <si>
    <t>-481.266312502239 177.100234381468 -453.776217416074</t>
  </si>
  <si>
    <t>-314.731617675285 51.3803887231884 -298.525610881903</t>
  </si>
  <si>
    <t>-690.163682781094 57.9419375595778 -753.693502205404</t>
  </si>
  <si>
    <t>-571.962156198659 224.313959076172 -239.425127964066</t>
  </si>
  <si>
    <t>-569.933717908762 194.560238455186 215.292615934943</t>
  </si>
  <si>
    <t>-631.226163460417 164.811713738429 679.684936630854</t>
  </si>
  <si>
    <t>-494.447812410029 94.9534772078107 765.446354461871</t>
  </si>
  <si>
    <t>-624.932379085023 36.6542983350296 -203.926316322173</t>
  </si>
  <si>
    <t>-502.899800190416 -20.129561032559 231.437117959178</t>
  </si>
  <si>
    <t>-724.569003121456 118.055894051015 622.394306212542</t>
  </si>
  <si>
    <t>-684.491616308989 -5.34423548912559 741.178638344736</t>
  </si>
  <si>
    <t>9763-20170724T160652.225240500.bin</t>
  </si>
  <si>
    <t>-597.725018307109 130.250508872625 -221.805188647299</t>
  </si>
  <si>
    <t>-640.560094678938 121.263672056627 -334.730762558273</t>
  </si>
  <si>
    <t>-663.123841807999 112.209739392823 -453.471911980297</t>
  </si>
  <si>
    <t>-674.974686572656 103.673939370087 -562.014758639225</t>
  </si>
  <si>
    <t>-678.312773026321 94.6518821448983 -671.112478836747</t>
  </si>
  <si>
    <t>-674.0658819218 81.4484909863274 -822.795192835224</t>
  </si>
  <si>
    <t>-639.384453246742 63.4560319201769 -916.903954508097</t>
  </si>
  <si>
    <t>-663.040087998027 116.267145708586 -757.84126234802</t>
  </si>
  <si>
    <t>-582.793669487552 238.91290865202 -746.236940109285</t>
  </si>
  <si>
    <t>-479.943134107967 177.176451630034 -453.326547138503</t>
  </si>
  <si>
    <t>-315.27133782378 47.4954466360232 -299.352217914297</t>
  </si>
  <si>
    <t>-688.849884313879 58.3140525431795 -753.519281873782</t>
  </si>
  <si>
    <t>-571.418374877047 224.208004239267 -239.218561824891</t>
  </si>
  <si>
    <t>-569.680970139804 194.805129837272 215.523267910837</t>
  </si>
  <si>
    <t>-631.191622344332 164.879483378489 679.794634664893</t>
  </si>
  <si>
    <t>-494.52833228906 94.8044114888544 765.562581093146</t>
  </si>
  <si>
    <t>-623.618269103436 36.364909454516 -203.503080818009</t>
  </si>
  <si>
    <t>-498.257181528632 -21.1933391235805 230.811710256033</t>
  </si>
  <si>
    <t>-723.162316108495 116.307534961074 619.920110971769</t>
  </si>
  <si>
    <t>-683.979013308697 -5.61017243323295 740.519635781506</t>
  </si>
  <si>
    <t>9763-20170724T160652.293425800.bin</t>
  </si>
  <si>
    <t>-595.67079097107 130.006290237015 -221.811931936065</t>
  </si>
  <si>
    <t>-638.538251010316 121.134887912579 -334.734366136257</t>
  </si>
  <si>
    <t>-661.053437167345 112.230169390177 -453.496127690254</t>
  </si>
  <si>
    <t>-672.825688262172 103.842558664146 -562.05902252427</t>
  </si>
  <si>
    <t>-676.050227641043 94.9813830446656 -671.173312675232</t>
  </si>
  <si>
    <t>-671.609032040334 82.0146202996718 -822.870792036885</t>
  </si>
  <si>
    <t>-636.854651007549 64.2705777914471 -916.999896633436</t>
  </si>
  <si>
    <t>-660.703650800289 116.748269664067 -757.85119882049</t>
  </si>
  <si>
    <t>-580.526938040123 239.445457179836 -745.913852249646</t>
  </si>
  <si>
    <t>-478.174416992939 176.63795365721 -453.056556112466</t>
  </si>
  <si>
    <t>-317.516154882573 38.9062996122234 -301.858137157164</t>
  </si>
  <si>
    <t>-686.444644002237 58.7556958500345 -753.647586056961</t>
  </si>
  <si>
    <t>-570.578383141726 224.553213935799 -239.299042863471</t>
  </si>
  <si>
    <t>-569.569562578898 195.902609144503 215.492949706923</t>
  </si>
  <si>
    <t>-630.740261728775 165.04124322758 679.55097129976</t>
  </si>
  <si>
    <t>-494.842269737021 94.1320022904224 765.847733719581</t>
  </si>
  <si>
    <t>-620.559652650912 35.7590201753478 -203.581236711938</t>
  </si>
  <si>
    <t>-486.895720096993 -24.0695661064026 227.941787946021</t>
  </si>
  <si>
    <t>-717.422394474227 111.633950269138 613.276906682304</t>
  </si>
  <si>
    <t>-682.472566709066 -6.16971513111525 739.151176557529</t>
  </si>
  <si>
    <t>9763-20170724T160652.330525700.bin</t>
  </si>
  <si>
    <t>-594.921329186828 129.947352256255 -221.570265165242</t>
  </si>
  <si>
    <t>-637.921959128262 121.010628750854 -334.436906984888</t>
  </si>
  <si>
    <t>-660.407887146388 112.116946489244 -453.204969737769</t>
  </si>
  <si>
    <t>-672.083412797629 103.770529854617 -561.78153580526</t>
  </si>
  <si>
    <t>-675.139317775443 94.9821583219702 -670.906672478685</t>
  </si>
  <si>
    <t>-670.388480253728 82.1494816753 -822.606148899281</t>
  </si>
  <si>
    <t>-635.567616581662 64.6075793522839 -916.748498128692</t>
  </si>
  <si>
    <t>-659.644665750651 116.838255813329 -757.53558505782</t>
  </si>
  <si>
    <t>-579.513209336174 239.516694183915 -745.417937099196</t>
  </si>
  <si>
    <t>-477.594385890004 176.367261198737 -452.483012986928</t>
  </si>
  <si>
    <t>-318.073382748926 35.5527597532541 -302.929004966903</t>
  </si>
  <si>
    <t>-685.33645582 58.8168719568764 -753.432077176907</t>
  </si>
  <si>
    <t>-570.180957401751 224.624360304276 -239.326518316126</t>
  </si>
  <si>
    <t>-569.727976328083 196.553106888864 215.502520519851</t>
  </si>
  <si>
    <t>-630.469104243615 165.005831405678 679.511639940675</t>
  </si>
  <si>
    <t>-494.880844017274 93.8967957775776 766.130615976895</t>
  </si>
  <si>
    <t>-619.711300566652 35.4257937566256 -203.038818305405</t>
  </si>
  <si>
    <t>-483.126871392268 -24.8207485062646 227.510517674731</t>
  </si>
  <si>
    <t>-717.350761197367 110.879405824411 611.354893098001</t>
  </si>
  <si>
    <t>-681.323057391754 -6.28581799582867 737.520716412112</t>
  </si>
  <si>
    <t>9763-20170724T160652.388193800.bin</t>
  </si>
  <si>
    <t>-596.577455159989 133.193857215784 -222.409164501564</t>
  </si>
  <si>
    <t>-639.989832271262 123.996530483282 -335.09719889748</t>
  </si>
  <si>
    <t>-662.471949908175 115.044769079915 -453.861655512524</t>
  </si>
  <si>
    <t>-673.962364500198 106.730670015397 -562.46038486382</t>
  </si>
  <si>
    <t>-676.647720031464 98.0600746319003 -671.604643520283</t>
  </si>
  <si>
    <t>-671.186904583413 85.4812742658808 -823.301526190784</t>
  </si>
  <si>
    <t>-636.060135993602 68.3322130067002 -917.402575309168</t>
  </si>
  <si>
    <t>-660.799555667842 120.08372976272 -758.127207083663</t>
  </si>
  <si>
    <t>-580.903812188242 242.865091812211 -745.432516225715</t>
  </si>
  <si>
    <t>-480.011418234907 179.255742192737 -452.241813123682</t>
  </si>
  <si>
    <t>-322.774489137964 32.1873794881285 -306.332742423933</t>
  </si>
  <si>
    <t>-686.406632376968 62.0104017190063 -754.233465738995</t>
  </si>
  <si>
    <t>-570.940317140099 226.165215917918 -240.035315597681</t>
  </si>
  <si>
    <t>-571.72628912938 199.038067000204 214.850438731555</t>
  </si>
  <si>
    <t>-630.389520587602 164.945224105806 679.443429191209</t>
  </si>
  <si>
    <t>-495.232824817705 93.2283647539464 766.235548431748</t>
  </si>
  <si>
    <t>-622.93878787558 40.4622061913224 -204.169393065088</t>
  </si>
  <si>
    <t>-484.504136874072 -13.9536421926014 226.565336269458</t>
  </si>
  <si>
    <t>-719.367388749308 109.925669856651 614.667626675588</t>
  </si>
  <si>
    <t>-662.565301510092 -4.52272457771414 735.575038202983</t>
  </si>
  <si>
    <t>9763-20170724T160652.420280200.bin</t>
  </si>
  <si>
    <t>-597.52489957725 133.857744441742 -222.979101503456</t>
  </si>
  <si>
    <t>-640.938870085374 124.524826486221 -335.655217460125</t>
  </si>
  <si>
    <t>-663.406774198308 115.540320561429 -454.419860089555</t>
  </si>
  <si>
    <t>-674.87609778909 107.240575668238 -563.02199827172</t>
  </si>
  <si>
    <t>-677.530871091274 98.6296303895413 -672.171714085539</t>
  </si>
  <si>
    <t>-672.016786197352 86.1817676506289 -823.877564395943</t>
  </si>
  <si>
    <t>-636.733551688984 69.2215347438457 -917.954235451184</t>
  </si>
  <si>
    <t>-661.678312539494 120.739193442839 -758.671603438233</t>
  </si>
  <si>
    <t>-581.877956543068 243.608362013394 -745.858551324662</t>
  </si>
  <si>
    <t>-481.383356174994 179.645541659794 -452.608176256036</t>
  </si>
  <si>
    <t>-325.465135609448 29.5202795323739 -308.406964177457</t>
  </si>
  <si>
    <t>-687.234868258783 62.6399439699258 -754.833243057469</t>
  </si>
  <si>
    <t>-445.625408713335 0.0424153770657085 -382.057363143384</t>
  </si>
  <si>
    <t>-571.535570786116 226.362070722596 -240.396983582227</t>
  </si>
  <si>
    <t>-572.628120776982 199.291449181346 214.491627782886</t>
  </si>
  <si>
    <t>-630.615965148609 164.772430338131 679.485654749228</t>
  </si>
  <si>
    <t>-495.383058740952 93.0059226509186 766.117879836027</t>
  </si>
  <si>
    <t>-623.691911178708 41.5115754413093 -205.068864177088</t>
  </si>
  <si>
    <t>-486.304944116484 -8.54970073139407 226.528594631118</t>
  </si>
  <si>
    <t>-714.521019934781 101.549687360472 622.324236171009</t>
  </si>
  <si>
    <t>-645.693324495782 -11.5924821793351 738.104678896983</t>
  </si>
  <si>
    <t>9763-20170724T160652.491959900.bin</t>
  </si>
  <si>
    <t>-598.661758213839 132.620450814528 -223.377125616506</t>
  </si>
  <si>
    <t>-642.31628216639 123.277199113212 -335.959545683429</t>
  </si>
  <si>
    <t>-664.942728565092 114.234699158356 -454.689619748291</t>
  </si>
  <si>
    <t>-676.519056316449 105.84955867645 -563.273838310413</t>
  </si>
  <si>
    <t>-679.244201244327 97.1117692079986 -672.411767379591</t>
  </si>
  <si>
    <t>-673.790844966837 84.4364461673604 -824.10090146808</t>
  </si>
  <si>
    <t>-638.253826141814 67.5967191012301 -918.103733197387</t>
  </si>
  <si>
    <t>-663.42106434093 119.089236221034 -758.950533860307</t>
  </si>
  <si>
    <t>-583.572311223053 241.935404605269 -746.355605115104</t>
  </si>
  <si>
    <t>-484.189476092788 177.834134880435 -452.756816374525</t>
  </si>
  <si>
    <t>-331.104368193526 21.551595791648 -312.105518739967</t>
  </si>
  <si>
    <t>-688.986592925844 61.0004271758064 -755.015713884847</t>
  </si>
  <si>
    <t>-572.946643704946 225.142185476923 -240.456083997602</t>
  </si>
  <si>
    <t>-574.235737364524 198.070667663863 214.431963919732</t>
  </si>
  <si>
    <t>-631.362955934124 164.14317372494 679.881137908965</t>
  </si>
  <si>
    <t>-495.541159576883 92.7797081102731 765.92304568705</t>
  </si>
  <si>
    <t>-624.007378479932 39.9590657572696 -205.691814974233</t>
  </si>
  <si>
    <t>-491.183509405391 -1.49608184156477 228.240154697366</t>
  </si>
  <si>
    <t>-702.73938608801 77.6488908496901 640.458964386701</t>
  </si>
  <si>
    <t>-613.221773072614 -32.8603752953707 743.985828452091</t>
  </si>
  <si>
    <t>9763-20170724T160652.523041000.bin</t>
  </si>
  <si>
    <t>-599.201569993952 131.522206126802 -223.258571617907</t>
  </si>
  <si>
    <t>-643.017325934712 122.178845725906 -335.778357675287</t>
  </si>
  <si>
    <t>-665.740557090043 113.095308490932 -454.486820486907</t>
  </si>
  <si>
    <t>-677.37626021105 104.647023425796 -563.059847596007</t>
  </si>
  <si>
    <t>-680.132739118704 95.8140833692717 -672.189105152663</t>
  </si>
  <si>
    <t>-674.694264291008 82.968191132042 -823.864636051421</t>
  </si>
  <si>
    <t>-639.08049142517 66.1161647477377 -917.836005322642</t>
  </si>
  <si>
    <t>-664.299445988065 117.686192616264 -758.752900900073</t>
  </si>
  <si>
    <t>-584.352932943991 240.480128227009 -746.353892329846</t>
  </si>
  <si>
    <t>-485.251405158971 176.320448296522 -452.672860838044</t>
  </si>
  <si>
    <t>-333.948883675505 15.8587505437877 -314.826377076361</t>
  </si>
  <si>
    <t>-689.901821957639 59.6179763425341 -754.752906629884</t>
  </si>
  <si>
    <t>-573.728189660904 224.237372745227 -240.289514638398</t>
  </si>
  <si>
    <t>-574.90516201552 197.172987536145 214.599328606392</t>
  </si>
  <si>
    <t>-631.689630004522 163.909410577952 680.116421480427</t>
  </si>
  <si>
    <t>-495.612091761974 92.7046461207847 765.885214662281</t>
  </si>
  <si>
    <t>-624.389702124899 38.594114258769 -205.503648379045</t>
  </si>
  <si>
    <t>-492.850126013747 0.18611838057268 229.099457831993</t>
  </si>
  <si>
    <t>-697.180908708792 66.5714015491869 647.072680087977</t>
  </si>
  <si>
    <t>-598.60618582995 -40.446781976204 745.934425169838</t>
  </si>
  <si>
    <t>9763-20170724T160652.589221300.bin</t>
  </si>
  <si>
    <t>-600.233623741646 129.304265525623 -222.947399652797</t>
  </si>
  <si>
    <t>-644.221611761957 119.789183247832 -335.385560497162</t>
  </si>
  <si>
    <t>-666.999317491357 110.531138652608 -454.070143454445</t>
  </si>
  <si>
    <t>-678.633011216469 101.9118442376 -562.629902474398</t>
  </si>
  <si>
    <t>-681.335943333534 92.8868552123799 -671.744857720688</t>
  </si>
  <si>
    <t>-675.770536810112 79.7448094991009 -823.390347769363</t>
  </si>
  <si>
    <t>-639.984948484792 62.7996121533135 -917.279797197472</t>
  </si>
  <si>
    <t>-665.453147870118 114.599870980638 -758.339610473578</t>
  </si>
  <si>
    <t>-585.546312031336 237.415580412487 -746.185575522248</t>
  </si>
  <si>
    <t>-487.122718885946 172.381686422937 -452.468677406896</t>
  </si>
  <si>
    <t>-338.362997722173 4.68091135070631 -320.601054722711</t>
  </si>
  <si>
    <t>-691.013026401905 56.519569360886 -754.244160842522</t>
  </si>
  <si>
    <t>-575.22837183873 222.191720078452 -240.12643162414</t>
  </si>
  <si>
    <t>-576.240193537418 195.77408599716 214.800782083996</t>
  </si>
  <si>
    <t>-631.991132373564 163.620183027014 680.24108627995</t>
  </si>
  <si>
    <t>-495.65446065532 92.6237383900448 765.770758772474</t>
  </si>
  <si>
    <t>-624.984043770578 36.9129957142659 -204.880601642764</t>
  </si>
  <si>
    <t>-495.79343720218 -3.54135635513057 230.241120642366</t>
  </si>
  <si>
    <t>-688.162515964949 49.7290270878207 655.590585531832</t>
  </si>
  <si>
    <t>-577.186014000579 -49.3368267287783 749.471804197398</t>
  </si>
  <si>
    <t>9763-20170724T160652.622318400.bin</t>
  </si>
  <si>
    <t>-600.462101938633 128.124432570576 -222.916172975712</t>
  </si>
  <si>
    <t>-644.361905366931 118.451898784593 -335.375380806495</t>
  </si>
  <si>
    <t>-667.071151432468 109.14189880212 -454.068907162669</t>
  </si>
  <si>
    <t>-678.650067625998 100.519834482453 -562.634300241793</t>
  </si>
  <si>
    <t>-681.304733578824 91.5364175743805 -671.753911793131</t>
  </si>
  <si>
    <t>-675.677990380478 78.4987907204552 -823.40604909052</t>
  </si>
  <si>
    <t>-639.840243879769 61.6097154227157 -917.285862095875</t>
  </si>
  <si>
    <t>-665.449379707122 113.336155343015 -758.331862113775</t>
  </si>
  <si>
    <t>-585.82749668686 236.315756184618 -746.035883525653</t>
  </si>
  <si>
    <t>-487.089363767162 170.6346627885 -452.56867999839</t>
  </si>
  <si>
    <t>-337.874629833902 2.73619133791271 -321.468920481907</t>
  </si>
  <si>
    <t>-690.885889325731 55.1989561292673 -754.277577005285</t>
  </si>
  <si>
    <t>-575.635047745234 221.014221986328 -240.215798228954</t>
  </si>
  <si>
    <t>-576.752252641147 195.130335046207 214.741898941881</t>
  </si>
  <si>
    <t>-631.93093583424 163.650905492372 680.190314937232</t>
  </si>
  <si>
    <t>-495.594162250714 92.7061841080399 765.762749363157</t>
  </si>
  <si>
    <t>-624.916425393347 35.5010866464406 -204.856988171807</t>
  </si>
  <si>
    <t>-498.551305151481 -8.22204334225785 230.777976974186</t>
  </si>
  <si>
    <t>-686.158353951174 42.73438803613 658.289522603984</t>
  </si>
  <si>
    <t>-572.791750716247 -52.2560439577337 753.517366916062</t>
  </si>
  <si>
    <t>9763-20170724T160652.693533700.bin</t>
  </si>
  <si>
    <t>-600.178958667595 126.026818216847 -223.440802437625</t>
  </si>
  <si>
    <t>-643.618977072099 116.388647747918 -336.081126658769</t>
  </si>
  <si>
    <t>-666.078267913068 107.179488675177 -454.830322760964</t>
  </si>
  <si>
    <t>-677.522503127674 98.6957321326593 -563.420781506373</t>
  </si>
  <si>
    <t>-680.135075493928 89.9086750934266 -672.557531612701</t>
  </si>
  <si>
    <t>-674.545167984749 77.2148063105728 -824.240110274057</t>
  </si>
  <si>
    <t>-638.561914419761 60.5802811294959 -918.109595721683</t>
  </si>
  <si>
    <t>-664.51876066847 111.997817735874 -759.105481755665</t>
  </si>
  <si>
    <t>-585.841647549567 235.560885272627 -746.459012428169</t>
  </si>
  <si>
    <t>-485.165812938741 169.316380818821 -453.777750217163</t>
  </si>
  <si>
    <t>-334.215789892761 5.10566894598242 -320.020562774499</t>
  </si>
  <si>
    <t>-689.518371941949 53.6649919210445 -755.145137012908</t>
  </si>
  <si>
    <t>-575.61570012069 218.708283830312 -240.648294975278</t>
  </si>
  <si>
    <t>-576.796326587799 193.583556366212 214.351793591707</t>
  </si>
  <si>
    <t>-631.685060296341 163.754666759025 679.994857207847</t>
  </si>
  <si>
    <t>-495.548229194109 92.7133783039274 765.805114302105</t>
  </si>
  <si>
    <t>-624.307862813464 33.852763072342 -205.836355891575</t>
  </si>
  <si>
    <t>-503.935395062249 -16.2800384292657 230.804038884684</t>
  </si>
  <si>
    <t>-687.658720259901 41.8990271830448 659.7256242218</t>
  </si>
  <si>
    <t>-572.82746084339 -52.5642971346585 753.71483720201</t>
  </si>
  <si>
    <t>9763-20170724T160652.727629000.bin</t>
  </si>
  <si>
    <t>-599.920979444335 125.840953773767 -223.679500791709</t>
  </si>
  <si>
    <t>-643.183759922008 116.293882973819 -336.395808270115</t>
  </si>
  <si>
    <t>-665.546439997157 107.1720599437 -455.169939061677</t>
  </si>
  <si>
    <t>-676.939037921536 98.7729931998972 -563.772455744469</t>
  </si>
  <si>
    <t>-679.536658109159 90.0801732536274 -672.917038279834</t>
  </si>
  <si>
    <t>-673.963684160776 77.5315957873452 -824.612468796047</t>
  </si>
  <si>
    <t>-637.92674373607 61.0133424728444 -918.481781402038</t>
  </si>
  <si>
    <t>-664.030602903176 112.294743913266 -759.45283480523</t>
  </si>
  <si>
    <t>-585.762751138642 236.170715476446 -746.692672853968</t>
  </si>
  <si>
    <t>-484.388989437294 169.781914027512 -454.28531251758</t>
  </si>
  <si>
    <t>-332.240709458193 7.97607761911968 -318.964107348369</t>
  </si>
  <si>
    <t>-688.828515977074 53.8731444242308 -755.530970554975</t>
  </si>
  <si>
    <t>-575.629113927271 217.890976662528 -240.73667631461</t>
  </si>
  <si>
    <t>-576.536273438552 193.016775476225 214.27767512392</t>
  </si>
  <si>
    <t>-631.676422865185 163.769804048643 680.046555759209</t>
  </si>
  <si>
    <t>-495.476076551838 92.8485867592958 765.855342979924</t>
  </si>
  <si>
    <t>-624.033843087675 34.2288152630911 -206.002339380106</t>
  </si>
  <si>
    <t>-507.266796728228 -17.4511166527011 231.435987928141</t>
  </si>
  <si>
    <t>-688.914467439246 42.5007051506823 661.092423636982</t>
  </si>
  <si>
    <t>-573.492680760065 -53.0431699777789 753.248214501683</t>
  </si>
  <si>
    <t>9763-20170724T160652.794814200.bin</t>
  </si>
  <si>
    <t>-600.125915184713 124.979580622891 -223.744047309699</t>
  </si>
  <si>
    <t>-643.171608208647 115.712686296188 -336.566904681476</t>
  </si>
  <si>
    <t>-665.344449034748 106.788074660641 -455.391459081859</t>
  </si>
  <si>
    <t>-676.581033896686 98.5435549334834 -564.022138161014</t>
  </si>
  <si>
    <t>-679.039663451737 89.9881070189413 -673.180673442413</t>
  </si>
  <si>
    <t>-673.292447592316 77.6181295181518 -824.884230980032</t>
  </si>
  <si>
    <t>-637.098099264361 61.3374568356489 -918.734664929421</t>
  </si>
  <si>
    <t>-663.545982308809 112.351237323192 -759.680444104022</t>
  </si>
  <si>
    <t>-585.85552860234 236.520908228097 -746.738544101833</t>
  </si>
  <si>
    <t>-482.997230098651 171.315138304808 -454.58360209871</t>
  </si>
  <si>
    <t>-328.493715895275 15.4075153585106 -315.071834158248</t>
  </si>
  <si>
    <t>-688.124833271793 53.8316964505325 -755.83996232367</t>
  </si>
  <si>
    <t>-575.990300060013 215.699033440096 -240.581902975297</t>
  </si>
  <si>
    <t>-576.352907923373 191.649422198849 214.477534328288</t>
  </si>
  <si>
    <t>-631.840809713239 163.753397480868 680.314336042871</t>
  </si>
  <si>
    <t>-495.483318861744 92.9356586252629 765.958903222604</t>
  </si>
  <si>
    <t>-624.21246029942 34.3508242820119 -206.133475836155</t>
  </si>
  <si>
    <t>-512.556301439476 -19.0645218002924 232.42939459861</t>
  </si>
  <si>
    <t>-691.246716413077 43.1746256234314 663.132524745659</t>
  </si>
  <si>
    <t>-574.358841444013 -53.6459676297695 752.051060261859</t>
  </si>
  <si>
    <t>9763-20170724T160652.823891700.bin</t>
  </si>
  <si>
    <t>-600.35160282214 124.133601807863 -223.723145337469</t>
  </si>
  <si>
    <t>-643.345780182635 114.987667733497 -336.575375204355</t>
  </si>
  <si>
    <t>-665.488785011167 106.194286129752 -455.415294248495</t>
  </si>
  <si>
    <t>-676.707974831263 98.0729947402369 -564.057042479803</t>
  </si>
  <si>
    <t>-679.158970860905 89.6457859112816 -673.225939420552</t>
  </si>
  <si>
    <t>-673.411052102548 77.4599139313887 -824.944279158479</t>
  </si>
  <si>
    <t>-637.159594769386 61.2407149414162 -918.783303245126</t>
  </si>
  <si>
    <t>-663.644364132406 112.105220867413 -759.696903000518</t>
  </si>
  <si>
    <t>-585.954910858059 236.279718927524 -746.53503761501</t>
  </si>
  <si>
    <t>-482.796655507582 171.486000633961 -454.393915973176</t>
  </si>
  <si>
    <t>-326.644888852814 19.0752776091842 -312.867878558251</t>
  </si>
  <si>
    <t>-688.264358693721 53.5982678757139 -755.930310090394</t>
  </si>
  <si>
    <t>-576.131255278475 214.208173372125 -240.497635789927</t>
  </si>
  <si>
    <t>-576.388133764011 190.700797560767 214.590321295171</t>
  </si>
  <si>
    <t>-631.922409867705 163.737509879906 680.441841080878</t>
  </si>
  <si>
    <t>-495.414439746746 93.1100959001978 766.003809920444</t>
  </si>
  <si>
    <t>-624.574736493241 34.0346496190655 -206.083713918224</t>
  </si>
  <si>
    <t>-514.016671317723 -19.7840844961822 232.707957976364</t>
  </si>
  <si>
    <t>-691.784558806409 43.512814537416 663.418321232959</t>
  </si>
  <si>
    <t>-574.65119640273 -53.9010469204973 751.360486368135</t>
  </si>
  <si>
    <t>9763-20170724T160652.891078800.bin</t>
  </si>
  <si>
    <t>-600.498717450156 121.708057755268 -223.742547090779</t>
  </si>
  <si>
    <t>-643.442889756316 112.78298146596 -336.631544815026</t>
  </si>
  <si>
    <t>-665.539024653716 104.27016062965 -455.50072151504</t>
  </si>
  <si>
    <t>-676.716990734564 96.4277098063146 -564.167089594654</t>
  </si>
  <si>
    <t>-679.127551185311 88.3056728333638 -673.359877655558</t>
  </si>
  <si>
    <t>-673.324048420052 76.5719622184013 -825.111846508765</t>
  </si>
  <si>
    <t>-636.986921844613 60.4184717029141 -918.929077049572</t>
  </si>
  <si>
    <t>-663.497444162992 110.987746339484 -759.751975222335</t>
  </si>
  <si>
    <t>-585.394531706345 234.862787064031 -746.176699162195</t>
  </si>
  <si>
    <t>-482.436395814675 169.624181991991 -454.064030841944</t>
  </si>
  <si>
    <t>-324.472208617851 20.4273810651075 -311.131625356908</t>
  </si>
  <si>
    <t>-688.286277832614 52.5399237378726 -756.180692353414</t>
  </si>
  <si>
    <t>-576.125448606609 211.109688287524 -240.46361724573</t>
  </si>
  <si>
    <t>-576.46361745598 188.994829359055 214.694107554265</t>
  </si>
  <si>
    <t>-632.130262461256 163.707313031451 680.69256164593</t>
  </si>
  <si>
    <t>-495.394293633464 93.2835693978745 766.058134683854</t>
  </si>
  <si>
    <t>-624.654457708189 32.2391407008902 -206.394597998607</t>
  </si>
  <si>
    <t>-514.814088144466 -21.140549625178 232.630871293531</t>
  </si>
  <si>
    <t>-692.048919548177 43.7656753351807 663.078797429267</t>
  </si>
  <si>
    <t>-574.994045086991 -54.3626212317611 750.328463364755</t>
  </si>
  <si>
    <t>9763-20170724T160652.923178600.bin</t>
  </si>
  <si>
    <t>-600.583320669526 120.357966288191 -223.774381586034</t>
  </si>
  <si>
    <t>-643.538468792793 111.508194321767 -336.665261766735</t>
  </si>
  <si>
    <t>-665.667269526963 103.102676241426 -455.535916538443</t>
  </si>
  <si>
    <t>-676.883317828971 95.3679459931261 -564.206149432078</t>
  </si>
  <si>
    <t>-679.340278056413 87.3630868776929 -673.406530160053</t>
  </si>
  <si>
    <t>-673.609198543542 75.8014458733728 -825.174464159712</t>
  </si>
  <si>
    <t>-637.270222235509 59.5789485871435 -918.978956241785</t>
  </si>
  <si>
    <t>-663.701511436558 110.122042071058 -759.776859659077</t>
  </si>
  <si>
    <t>-585.545062250209 233.920323994901 -745.901992251587</t>
  </si>
  <si>
    <t>-482.900585594359 167.990098264555 -453.834422066002</t>
  </si>
  <si>
    <t>-322.848328830715 22.3980861918462 -309.5143335662</t>
  </si>
  <si>
    <t>-688.588513029739 51.7122084362973 -756.266852519041</t>
  </si>
  <si>
    <t>-576.230113877573 209.566757892713 -240.458275998196</t>
  </si>
  <si>
    <t>-576.2966155052 188.011734122158 214.726383539597</t>
  </si>
  <si>
    <t>-632.22646507436 163.731880481388 680.803583601173</t>
  </si>
  <si>
    <t>-495.38849306532 93.3635350465331 766.051286385051</t>
  </si>
  <si>
    <t>-624.736509944596 31.0727761539001 -206.520443419317</t>
  </si>
  <si>
    <t>-514.88512749701 -21.6815600333327 232.577895030869</t>
  </si>
  <si>
    <t>-692.064143097853 43.8600305677257 662.890890599119</t>
  </si>
  <si>
    <t>-575.191505009865 -54.6251826939306 749.98257165563</t>
  </si>
  <si>
    <t>9763-20170724T160652.992873000.bin</t>
  </si>
  <si>
    <t>-600.784458800947 117.732095332156 -223.917800133215</t>
  </si>
  <si>
    <t>-643.849367584771 108.977167591904 -336.774171448266</t>
  </si>
  <si>
    <t>-666.007085526812 100.792067922279 -455.654817014046</t>
  </si>
  <si>
    <t>-677.21257250201 93.3097340386423 -564.343798614592</t>
  </si>
  <si>
    <t>-679.620262920342 85.6119323913545 -673.567447735305</t>
  </si>
  <si>
    <t>-673.779329511025 74.5348912200006 -825.367300547545</t>
  </si>
  <si>
    <t>-637.336407501852 58.386542889451 -919.144245976736</t>
  </si>
  <si>
    <t>-663.951118465443 108.660065177617 -759.855484116572</t>
  </si>
  <si>
    <t>-585.83370608366 232.440819302989 -745.505372783254</t>
  </si>
  <si>
    <t>-483.226594216006 165.429473495495 -453.670716865196</t>
  </si>
  <si>
    <t>-320.767367133339 22.1765634888986 -309.699666667485</t>
  </si>
  <si>
    <t>-688.77644362521 50.2121632573258 -756.545613699912</t>
  </si>
  <si>
    <t>-576.598550693501 206.750891609171 -240.424677589936</t>
  </si>
  <si>
    <t>-575.758847777604 185.894577238917 214.791716170217</t>
  </si>
  <si>
    <t>-632.445428087465 163.756331919389 680.988739746155</t>
  </si>
  <si>
    <t>-495.28905858923 93.6972197239656 765.979106063806</t>
  </si>
  <si>
    <t>-624.872446398727 28.6424162042824 -206.799936433544</t>
  </si>
  <si>
    <t>-514.721860504691 -22.5306933656041 232.410563915704</t>
  </si>
  <si>
    <t>-692.090481061169 43.8097673847769 662.50799929827</t>
  </si>
  <si>
    <t>-575.406779395505 -54.9876917278198 749.49932185364</t>
  </si>
  <si>
    <t>9763-20170724T160653.023953400.bin</t>
  </si>
  <si>
    <t>-600.981227187748 116.540669024724 -223.958996615325</t>
  </si>
  <si>
    <t>-644.124819322156 107.797648530686 -336.786212638001</t>
  </si>
  <si>
    <t>-666.331822522242 99.6244105896012 -455.658461299608</t>
  </si>
  <si>
    <t>-677.56852634394 92.1550680029075 -564.345203078474</t>
  </si>
  <si>
    <t>-679.993672251224 84.4735631983253 -673.569617552291</t>
  </si>
  <si>
    <t>-674.162595304976 73.4234242962148 -825.371737597568</t>
  </si>
  <si>
    <t>-637.659360068756 57.2536743331741 -919.121555486991</t>
  </si>
  <si>
    <t>-664.373745652828 107.555350161316 -759.857488799314</t>
  </si>
  <si>
    <t>-586.536354931108 231.480922428916 -745.400817413974</t>
  </si>
  <si>
    <t>-483.47452380194 164.448042811403 -453.731441108202</t>
  </si>
  <si>
    <t>-320.12266143693 22.062978145887 -309.909535297005</t>
  </si>
  <si>
    <t>-689.111516627558 49.0702715593202 -756.550503265029</t>
  </si>
  <si>
    <t>-576.862980553965 205.524800967426 -240.403039174012</t>
  </si>
  <si>
    <t>-575.480915156462 184.813244196614 214.81866545802</t>
  </si>
  <si>
    <t>-632.546533689262 163.706033740123 681.019723647243</t>
  </si>
  <si>
    <t>-495.213893204291 93.8972632279699 765.93141949429</t>
  </si>
  <si>
    <t>-624.975795642708 27.4994581854344 -206.874598455155</t>
  </si>
  <si>
    <t>-514.710435199246 -22.9910165323588 232.386091836314</t>
  </si>
  <si>
    <t>-692.163535985261 43.6426806928353 662.386623300204</t>
  </si>
  <si>
    <t>-575.410185769682 -55.1107036207807 749.334517324007</t>
  </si>
  <si>
    <t>9763-20170724T160653.089347000.bin</t>
  </si>
  <si>
    <t>-601.241267370466 114.848985832207 -224.04802115034</t>
  </si>
  <si>
    <t>-644.488077683635 106.050955105754 -336.831433944335</t>
  </si>
  <si>
    <t>-666.688989302806 97.8908293342772 -455.705681731772</t>
  </si>
  <si>
    <t>-677.872348278099 90.4662470333528 -564.401000542427</t>
  </si>
  <si>
    <t>-680.195318559787 82.8648479552594 -673.633140104227</t>
  </si>
  <si>
    <t>-674.170291870705 71.9659431240357 -825.438764865501</t>
  </si>
  <si>
    <t>-637.527198436129 55.9169329557308 -919.154753496591</t>
  </si>
  <si>
    <t>-664.576969293395 106.079280886779 -759.885829532179</t>
  </si>
  <si>
    <t>-587.262725287636 230.309525889225 -745.272187171412</t>
  </si>
  <si>
    <t>-483.898867977714 163.482466043197 -453.662496322072</t>
  </si>
  <si>
    <t>-317.501111960245 26.7840731057815 -307.829037600402</t>
  </si>
  <si>
    <t>-689.09520914964 47.4976790977871 -756.653190970173</t>
  </si>
  <si>
    <t>-577.29233314756 203.817090701925 -240.484045721294</t>
  </si>
  <si>
    <t>-574.891925555142 183.307877871185 214.742587239507</t>
  </si>
  <si>
    <t>-632.547967354289 163.773969901419 680.951923628624</t>
  </si>
  <si>
    <t>-494.999605959781 94.3827326277899 765.856677913972</t>
  </si>
  <si>
    <t>-624.949941441532 25.9580904588811 -206.970684598127</t>
  </si>
  <si>
    <t>-514.66954001983 -23.8463019249182 232.364550481863</t>
  </si>
  <si>
    <t>-692.314056212838 43.2982289711413 662.174447440495</t>
  </si>
  <si>
    <t>-575.446765848126 -55.3364080573281 749.104064018637</t>
  </si>
  <si>
    <t>9763-20170724T160653.153516400.bin</t>
  </si>
  <si>
    <t>-601.36394135945 114.084436999245 -224.172298589915</t>
  </si>
  <si>
    <t>-644.672705766121 105.15150562963 -336.921418578503</t>
  </si>
  <si>
    <t>-666.862935484773 96.8716548057246 -455.789451430593</t>
  </si>
  <si>
    <t>-678.005417475166 89.3517496367056 -564.482283187849</t>
  </si>
  <si>
    <t>-680.255537762078 81.6718507235703 -673.710531251999</t>
  </si>
  <si>
    <t>-674.095760779052 70.6847021369019 -825.504292921036</t>
  </si>
  <si>
    <t>-637.453103048164 54.6562326450221 -919.224066662077</t>
  </si>
  <si>
    <t>-664.669140710474 104.880756347396 -759.97039975656</t>
  </si>
  <si>
    <t>-587.94805839078 229.499484664102 -745.431652308054</t>
  </si>
  <si>
    <t>-483.182033460533 164.144938479931 -453.988643173197</t>
  </si>
  <si>
    <t>-307.582682577015 48.820760976135 -300.667824776632</t>
  </si>
  <si>
    <t>-688.973380074329 46.211613155167 -756.709990729333</t>
  </si>
  <si>
    <t>-577.593563487976 203.133981737474 -240.625087245569</t>
  </si>
  <si>
    <t>-574.577176190889 182.714271421724 214.601906592031</t>
  </si>
  <si>
    <t>-632.476369108549 163.966129363165 680.864915929985</t>
  </si>
  <si>
    <t>-494.837007810302 94.7884669740652 765.796512519825</t>
  </si>
  <si>
    <t>-624.95660974043 25.0756882856119 -207.051481290418</t>
  </si>
  <si>
    <t>-514.703421903644 -24.1142266861832 232.359751464573</t>
  </si>
  <si>
    <t>-692.441066308321 43.0699828278694 662.111530600699</t>
  </si>
  <si>
    <t>-575.54144119213 -55.585738146021 748.973687479677</t>
  </si>
  <si>
    <t>9763-20170724T160653.190654700.bin</t>
  </si>
  <si>
    <t>-601.500860767035 113.915679730035 -224.271952508916</t>
  </si>
  <si>
    <t>-644.760964738231 104.94427415586 -337.03667858433</t>
  </si>
  <si>
    <t>-666.994328159839 96.6163805563267 -455.893234364341</t>
  </si>
  <si>
    <t>-678.214602536162 89.0499875747971 -564.575004304375</t>
  </si>
  <si>
    <t>-680.581569023797 81.3207789791886 -673.797232627567</t>
  </si>
  <si>
    <t>-674.624613064674 70.2623929664765 -825.593775374681</t>
  </si>
  <si>
    <t>-638.037109369092 54.1883662389521 -919.327248563169</t>
  </si>
  <si>
    <t>-665.130872517694 104.497536755284 -760.090183865056</t>
  </si>
  <si>
    <t>-588.41010814149 229.10132047506 -745.630233867228</t>
  </si>
  <si>
    <t>-483.508781753616 163.28513163297 -454.339762653877</t>
  </si>
  <si>
    <t>-300.429802773873 62.7992119898825 -299.334289157084</t>
  </si>
  <si>
    <t>-689.389889803242 45.8132366671794 -756.766962068783</t>
  </si>
  <si>
    <t>-577.774022664019 203.043819280165 -240.721411924544</t>
  </si>
  <si>
    <t>-574.660823641729 182.651185743585 214.506119860963</t>
  </si>
  <si>
    <t>-632.373925977649 164.128120874297 680.785065769464</t>
  </si>
  <si>
    <t>-494.773383601652 94.9392900425714 765.770450380832</t>
  </si>
  <si>
    <t>-625.077071454637 24.8759942296924 -207.162806619222</t>
  </si>
  <si>
    <t>-514.834931477819 -24.1281286130939 232.272011702708</t>
  </si>
  <si>
    <t>-692.533476632159 42.9302281347045 662.115124474191</t>
  </si>
  <si>
    <t>-575.576021180225 -55.7015425399472 748.92664728831</t>
  </si>
  <si>
    <t>9763-20170724T160653.226757100.bin</t>
  </si>
  <si>
    <t>-601.74699303434 113.84281204473 -224.326879005925</t>
  </si>
  <si>
    <t>-644.915921557685 104.819834597502 -337.12242783837</t>
  </si>
  <si>
    <t>-667.131372707838 96.4478213358416 -455.979265546211</t>
  </si>
  <si>
    <t>-678.366823671435 88.8429135967367 -564.656754781812</t>
  </si>
  <si>
    <t>-680.780841054222 81.0753703435012 -673.875181384952</t>
  </si>
  <si>
    <t>-674.922384097767 69.9629992538953 -825.671851684303</t>
  </si>
  <si>
    <t>-638.379307664766 53.8581070594696 -919.417314175573</t>
  </si>
  <si>
    <t>-665.372688306827 104.215901266875 -760.185432827255</t>
  </si>
  <si>
    <t>-588.323478120572 228.634475705612 -745.821752600163</t>
  </si>
  <si>
    <t>-483.325847143696 161.982698361709 -454.756166643806</t>
  </si>
  <si>
    <t>-294.569688666342 71.0835021648174 -300.644090451864</t>
  </si>
  <si>
    <t>-689.65648346755 45.5438155706722 -756.827554867517</t>
  </si>
  <si>
    <t>-577.995372778885 202.950473078719 -240.807677369418</t>
  </si>
  <si>
    <t>-574.936889120645 182.667213041449 214.425144225485</t>
  </si>
  <si>
    <t>-632.334244024458 164.180965155965 680.726193441376</t>
  </si>
  <si>
    <t>-494.656037888817 95.2013898437024 765.755870936596</t>
  </si>
  <si>
    <t>-625.356977441513 24.773688335541 -207.185533399717</t>
  </si>
  <si>
    <t>-515.03850397729 -24.1441192293196 232.239684338826</t>
  </si>
  <si>
    <t>-692.661877310492 42.7486454690236 662.134727160699</t>
  </si>
  <si>
    <t>-575.59898584279 -55.822981061697 748.87240880756</t>
  </si>
  <si>
    <t>9763-20170724T160653.296613800.bin</t>
  </si>
  <si>
    <t>-602.120785715 114.020858092511 -224.480054295584</t>
  </si>
  <si>
    <t>-645.193609376612 104.911520296715 -337.305321233508</t>
  </si>
  <si>
    <t>-667.476677292643 96.4350052136169 -456.142094660237</t>
  </si>
  <si>
    <t>-678.842682672417 88.7272837543453 -564.798705620251</t>
  </si>
  <si>
    <t>-681.457239103663 80.8480916303597 -674.004589130073</t>
  </si>
  <si>
    <t>-675.949877830969 69.5709986113948 -825.802197593714</t>
  </si>
  <si>
    <t>-639.699226304836 53.3097033113681 -919.634178982879</t>
  </si>
  <si>
    <t>-666.166740883212 103.861250731183 -760.369810214295</t>
  </si>
  <si>
    <t>-588.440597018174 227.900324964351 -746.281376064896</t>
  </si>
  <si>
    <t>-482.610329295471 159.013773444421 -456.038754700063</t>
  </si>
  <si>
    <t>-288.884017610223 76.4949662143247 -303.386112838753</t>
  </si>
  <si>
    <t>-690.60672304231 45.2602359168138 -756.903133894035</t>
  </si>
  <si>
    <t>-578.101456494475 203.206355326627 -241.109499940456</t>
  </si>
  <si>
    <t>-575.588842616918 183.209107128755 214.139323314698</t>
  </si>
  <si>
    <t>-631.921894781734 164.692330891771 680.461918651849</t>
  </si>
  <si>
    <t>-494.599840246997 95.3713186769548 765.789268291724</t>
  </si>
  <si>
    <t>-625.986422603975 24.8354311408496 -207.20884824915</t>
  </si>
  <si>
    <t>-515.370226204572 -24.1284730693656 232.136409832455</t>
  </si>
  <si>
    <t>-692.906424908126 42.5192667995295 662.160876198131</t>
  </si>
  <si>
    <t>-575.589446894601 -55.9594988651661 748.660430444672</t>
  </si>
  <si>
    <t>9763-20170724T160653.324683500.bin</t>
  </si>
  <si>
    <t>-602.329783090922 114.30556817566 -224.630656632349</t>
  </si>
  <si>
    <t>-645.319856842701 105.15819035276 -337.484460818316</t>
  </si>
  <si>
    <t>-667.570058010654 96.6013292164957 -456.321643077865</t>
  </si>
  <si>
    <t>-678.929022320739 88.8014215569222 -564.972461985854</t>
  </si>
  <si>
    <t>-681.55959426532 80.8101320118876 -674.16979553876</t>
  </si>
  <si>
    <t>-676.099568767526 69.354934101166 -825.955781706456</t>
  </si>
  <si>
    <t>-639.979699774111 52.9328167454726 -919.810056860646</t>
  </si>
  <si>
    <t>-666.218335292793 103.689655947627 -760.561507485677</t>
  </si>
  <si>
    <t>-587.923944122644 227.374436169933 -746.612081699418</t>
  </si>
  <si>
    <t>-482.02666492447 157.389711963354 -456.656677200092</t>
  </si>
  <si>
    <t>-289.084962067719 74.1277403494846 -303.415137265631</t>
  </si>
  <si>
    <t>-690.812637958836 45.1572922918174 -757.028802359576</t>
  </si>
  <si>
    <t>-578.025079614564 203.525310446979 -241.361446196739</t>
  </si>
  <si>
    <t>-575.884236005911 183.618044996397 213.89310043762</t>
  </si>
  <si>
    <t>-631.612000415894 164.939472232805 680.211660350369</t>
  </si>
  <si>
    <t>-494.467597104004 95.6112136279557 765.818417809721</t>
  </si>
  <si>
    <t>-626.467946650297 25.1050752654419 -207.237642093686</t>
  </si>
  <si>
    <t>-515.545507219158 -24.0646988263723 232.007494799454</t>
  </si>
  <si>
    <t>-692.985640892156 42.5373241942689 662.13013810398</t>
  </si>
  <si>
    <t>-575.694947028111 -56.0950904556789 748.490130654586</t>
  </si>
  <si>
    <t>9763-20170724T160653.393872400.bin</t>
  </si>
  <si>
    <t>-602.947564594474 114.72653633635 -225.044659191146</t>
  </si>
  <si>
    <t>-645.759806166379 105.554085205785 -337.9641783097</t>
  </si>
  <si>
    <t>-668.002228774273 96.9104240269455 -456.796458861912</t>
  </si>
  <si>
    <t>-679.428235169113 89.0001708995708 -565.432222521949</t>
  </si>
  <si>
    <t>-682.201250201916 80.863737023361 -674.615415133646</t>
  </si>
  <si>
    <t>-677.018377002287 69.1674199358574 -826.392672806941</t>
  </si>
  <si>
    <t>-641.216490884308 52.4069733930717 -920.309072322458</t>
  </si>
  <si>
    <t>-666.81353925233 103.52023532777 -761.057554114663</t>
  </si>
  <si>
    <t>-587.224067550396 226.392502093316 -747.212108891414</t>
  </si>
  <si>
    <t>-479.931599756236 154.862782590899 -458.148176427464</t>
  </si>
  <si>
    <t>-290.358354691179 66.1495414061828 -303.765644788125</t>
  </si>
  <si>
    <t>-691.809708159913 45.1651496590832 -757.414212895485</t>
  </si>
  <si>
    <t>-577.974733385767 204.160340921585 -242.048199574016</t>
  </si>
  <si>
    <t>-576.242878889915 184.422908264936 213.21557580181</t>
  </si>
  <si>
    <t>-630.773157460089 165.473212460589 679.489992078149</t>
  </si>
  <si>
    <t>-494.333291382173 95.8260782762484 765.95927492846</t>
  </si>
  <si>
    <t>-627.760153611089 25.3281329600852 -207.50839683486</t>
  </si>
  <si>
    <t>-515.864527885556 -24.2387194616481 231.445095699268</t>
  </si>
  <si>
    <t>-693.115632510241 42.2987485746282 661.721163480398</t>
  </si>
  <si>
    <t>-575.694968318381 -56.2484666483526 748.001779577641</t>
  </si>
  <si>
    <t>9763-20170724T160653.426959500.bin</t>
  </si>
  <si>
    <t>-603.232892880784 115.083197000276 -225.417148152441</t>
  </si>
  <si>
    <t>-646.018422891898 105.859296491451 -338.342453704257</t>
  </si>
  <si>
    <t>-668.24343403372 97.1686084738706 -457.174683352005</t>
  </si>
  <si>
    <t>-679.657483784913 89.2158301441771 -565.808482680054</t>
  </si>
  <si>
    <t>-682.422805440543 81.0354010583146 -674.988548655272</t>
  </si>
  <si>
    <t>-677.233722419315 69.275419235873 -826.760681502565</t>
  </si>
  <si>
    <t>-641.530442646897 52.3637209095355 -920.687537165129</t>
  </si>
  <si>
    <t>-666.955596886378 103.62318851059 -761.434598262807</t>
  </si>
  <si>
    <t>-586.924091511755 226.184671244089 -747.562312418727</t>
  </si>
  <si>
    <t>-478.257009416096 153.073593909025 -459.408771818267</t>
  </si>
  <si>
    <t>-287.345241615409 65.8411764427931 -305.833940289701</t>
  </si>
  <si>
    <t>-692.103886175776 45.3344793780338 -757.777909666566</t>
  </si>
  <si>
    <t>-577.983868778974 204.651732579065 -242.489526360579</t>
  </si>
  <si>
    <t>-576.345647177408 184.812411929984 212.770172508035</t>
  </si>
  <si>
    <t>-630.302911760858 165.773928965659 679.091543214335</t>
  </si>
  <si>
    <t>-494.274583642687 95.9051146202046 766.029186002496</t>
  </si>
  <si>
    <t>-628.360016676254 25.559072198776 -207.736764190329</t>
  </si>
  <si>
    <t>-516.255442216921 -24.4629758498456 231.111798255153</t>
  </si>
  <si>
    <t>-693.274220128475 42.1300588155168 661.582006362443</t>
  </si>
  <si>
    <t>-575.733289600961 -56.3666804184522 747.756449460029</t>
  </si>
  <si>
    <t>9763-20170724T160653.488892500.bin</t>
  </si>
  <si>
    <t>-603.810544710051 115.729540490965 -225.854427125835</t>
  </si>
  <si>
    <t>-646.588058145175 106.414632979201 -338.775347491792</t>
  </si>
  <si>
    <t>-668.850539217247 97.6976274536746 -457.598538871656</t>
  </si>
  <si>
    <t>-680.31692807521 89.7484219814196 -566.227175490466</t>
  </si>
  <si>
    <t>-683.151998461988 81.6007666712376 -675.407925794324</t>
  </si>
  <si>
    <t>-678.077042839499 69.9177933114547 -827.189924447466</t>
  </si>
  <si>
    <t>-642.616730950122 52.8322104034942 -921.177231817924</t>
  </si>
  <si>
    <t>-667.614846500241 104.174526772966 -761.845080655007</t>
  </si>
  <si>
    <t>-587.020919920564 226.354009590175 -747.63246181501</t>
  </si>
  <si>
    <t>-473.501816785146 149.344290184765 -462.379827333075</t>
  </si>
  <si>
    <t>-279.090523738896 66.1237626258189 -310.984147495282</t>
  </si>
  <si>
    <t>-693.030210961566 45.9998251957547 -758.217153321153</t>
  </si>
  <si>
    <t>-577.957536380103 205.570273920031 -243.091214616259</t>
  </si>
  <si>
    <t>-576.560346321829 185.709138426133 212.168275453473</t>
  </si>
  <si>
    <t>-629.791873714015 166.221987593654 678.69466216477</t>
  </si>
  <si>
    <t>-494.253437837937 96.0069536256876 766.11713964527</t>
  </si>
  <si>
    <t>-629.518760787984 25.9486540957257 -207.908361714064</t>
  </si>
  <si>
    <t>-517.246645275616 -25.5639411221184 230.724844394134</t>
  </si>
  <si>
    <t>-693.75809301203 41.8769303467068 661.506386400916</t>
  </si>
  <si>
    <t>-575.887446630107 -56.598018247206 747.254303597137</t>
  </si>
  <si>
    <t>9763-20170724T160653.522983200.bin</t>
  </si>
  <si>
    <t>-604.07227271071 116.046037978737 -226.00237456948</t>
  </si>
  <si>
    <t>-646.822795549989 106.685937540257 -338.929793667875</t>
  </si>
  <si>
    <t>-669.084236555289 97.8982757093563 -457.747997622668</t>
  </si>
  <si>
    <t>-680.561194383151 89.8767277929448 -566.370222556252</t>
  </si>
  <si>
    <t>-683.418528390616 81.6497963246406 -675.54434981102</t>
  </si>
  <si>
    <t>-678.386980578396 69.8503356037243 -827.318811264075</t>
  </si>
  <si>
    <t>-643.005467177551 52.6790612706684 -921.320333564093</t>
  </si>
  <si>
    <t>-667.8416191157 104.12921681386 -761.998918026542</t>
  </si>
  <si>
    <t>-586.926928128537 226.109639479465 -747.83003542718</t>
  </si>
  <si>
    <t>-471.511896415615 148.056407374148 -463.623725879982</t>
  </si>
  <si>
    <t>-277.898058849451 63.8599861355412 -311.7465239363</t>
  </si>
  <si>
    <t>-693.384920445553 46.0132776763039 -758.327634999734</t>
  </si>
  <si>
    <t>-577.898901310543 205.997538998589 -243.336754514771</t>
  </si>
  <si>
    <t>-576.880575159172 186.219043437957 211.927419883841</t>
  </si>
  <si>
    <t>-629.544087036254 166.402744515964 678.423850054048</t>
  </si>
  <si>
    <t>-494.23439436704 96.0916613593356 766.123030588189</t>
  </si>
  <si>
    <t>-630.208264949417 26.1205898307178 -207.917178632594</t>
  </si>
  <si>
    <t>-517.786947532349 -26.3452264452319 230.564802224488</t>
  </si>
  <si>
    <t>-693.989001601764 41.7391746545395 661.422806716011</t>
  </si>
  <si>
    <t>-575.991732265511 -56.7609348916076 746.967441430257</t>
  </si>
  <si>
    <t>9763-20170724T160653.589167700.bin</t>
  </si>
  <si>
    <t>-604.406754155059 116.391704199727 -226.422483149524</t>
  </si>
  <si>
    <t>-647.017920405651 107.132872904948 -339.410881444526</t>
  </si>
  <si>
    <t>-669.306474133886 98.3368063706387 -458.223412133343</t>
  </si>
  <si>
    <t>-680.880818642314 90.2668260997264 -566.831766026222</t>
  </si>
  <si>
    <t>-683.910033309125 81.9535805390171 -675.994725698335</t>
  </si>
  <si>
    <t>-679.195159822404 69.9975798331914 -827.767007119689</t>
  </si>
  <si>
    <t>-643.977090715589 52.7024136732384 -921.807077906649</t>
  </si>
  <si>
    <t>-668.378847088179 104.284811530735 -762.49600559701</t>
  </si>
  <si>
    <t>-586.791894674791 225.825434114518 -748.519972016189</t>
  </si>
  <si>
    <t>-469.132039039381 147.056996607513 -465.433586543759</t>
  </si>
  <si>
    <t>-277.044280951152 61.3037060009383 -312.493346227558</t>
  </si>
  <si>
    <t>-694.18378470124 46.2907406828142 -758.728996634273</t>
  </si>
  <si>
    <t>-577.444942137364 206.60621751386 -243.830909294718</t>
  </si>
  <si>
    <t>-577.503245523844 187.183602435656 211.449673812025</t>
  </si>
  <si>
    <t>-629.02559364307 166.966941381683 678.061337103463</t>
  </si>
  <si>
    <t>-494.258511741015 96.1020881747559 766.149487764231</t>
  </si>
  <si>
    <t>-631.193752597575 26.3876683551746 -208.2880014397</t>
  </si>
  <si>
    <t>-518.831127248546 -27.5994575186535 230.024361186584</t>
  </si>
  <si>
    <t>-694.274271958014 41.3966854396958 661.041618569563</t>
  </si>
  <si>
    <t>-576.244226102528 -57.1701619312237 746.464074961268</t>
  </si>
  <si>
    <t>9763-20170724T160653.623257400.bin</t>
  </si>
  <si>
    <t>-604.493383426582 116.549603767239 -226.624237700721</t>
  </si>
  <si>
    <t>-646.955395833957 107.348359047763 -339.673440960038</t>
  </si>
  <si>
    <t>-669.169975227379 98.5499217144954 -458.499739285659</t>
  </si>
  <si>
    <t>-680.711500981477 90.4551485391735 -567.109489965778</t>
  </si>
  <si>
    <t>-683.742972803603 82.0962066112577 -676.269055957293</t>
  </si>
  <si>
    <t>-679.068477752015 70.0561008005939 -828.035918366342</t>
  </si>
  <si>
    <t>-643.916581118356 52.7022801461733 -922.089961305509</t>
  </si>
  <si>
    <t>-668.18114569784 104.355765906897 -762.783218968855</t>
  </si>
  <si>
    <t>-586.358494466284 225.736377052821 -748.84560360009</t>
  </si>
  <si>
    <t>-468.222177892894 147.231930791181 -465.884577092534</t>
  </si>
  <si>
    <t>-276.180011789124 61.2331596113395 -313.024843572629</t>
  </si>
  <si>
    <t>-694.092436407555 46.4111970668976 -758.984378740387</t>
  </si>
  <si>
    <t>-577.205221139656 206.79665280577 -244.005335997117</t>
  </si>
  <si>
    <t>-577.852631752941 187.561825461045 211.282756072903</t>
  </si>
  <si>
    <t>-628.903982819616 167.159089527115 677.951818956955</t>
  </si>
  <si>
    <t>-494.293896544019 96.1153200302592 766.135795756975</t>
  </si>
  <si>
    <t>-631.609949403299 26.4499539698384 -208.520257697545</t>
  </si>
  <si>
    <t>-519.327228095717 -28.0012937650361 229.755155488105</t>
  </si>
  <si>
    <t>-694.396848205005 41.2095466570788 660.893940820744</t>
  </si>
  <si>
    <t>-576.288332294289 -57.2898198316541 746.285765694973</t>
  </si>
  <si>
    <t>9763-20170724T160653.693481800.bin</t>
  </si>
  <si>
    <t>-604.759276754559 116.810506309091 -226.977229651412</t>
  </si>
  <si>
    <t>-647.061210768125 107.72794008297 -340.096014229897</t>
  </si>
  <si>
    <t>-669.17842090927 98.988635319386 -458.944752521902</t>
  </si>
  <si>
    <t>-680.661067811008 90.925228681936 -567.563313178238</t>
  </si>
  <si>
    <t>-683.663838879017 82.5777263369919 -676.724405673016</t>
  </si>
  <si>
    <t>-678.981859907435 70.5340966585791 -828.490832657599</t>
  </si>
  <si>
    <t>-643.972149953223 53.1231104915839 -922.587384169057</t>
  </si>
  <si>
    <t>-668.042308903596 104.810533840726 -763.234625809574</t>
  </si>
  <si>
    <t>-585.773629198973 225.88869011819 -749.236668560436</t>
  </si>
  <si>
    <t>-467.320275184851 147.622371483758 -466.342138898128</t>
  </si>
  <si>
    <t>-273.871949842474 62.4194878179333 -314.815666613596</t>
  </si>
  <si>
    <t>-694.064811296525 46.9153572872497 -759.443124198954</t>
  </si>
  <si>
    <t>-577.105006547315 207.21231836439 -244.300246084546</t>
  </si>
  <si>
    <t>-578.374193787514 188.123979267635 210.992800735502</t>
  </si>
  <si>
    <t>-628.704816091153 167.403220435265 677.713254112155</t>
  </si>
  <si>
    <t>-494.34385195317 96.128365485926 766.090491424765</t>
  </si>
  <si>
    <t>-632.291242178478 26.5151422408878 -208.934046494493</t>
  </si>
  <si>
    <t>-519.874722417262 -28.3911268753641 229.250298952474</t>
  </si>
  <si>
    <t>-694.435716155549 41.0194770769665 660.520367938155</t>
  </si>
  <si>
    <t>-576.414375420041 -57.5467347899221 745.955602199615</t>
  </si>
  <si>
    <t>9763-20170724T160653.726582700.bin</t>
  </si>
  <si>
    <t>-604.909980190215 116.987633520111 -227.124126968137</t>
  </si>
  <si>
    <t>-647.158039252387 107.929074048538 -340.265051295389</t>
  </si>
  <si>
    <t>-669.219342579801 99.1831227497594 -459.12364480994</t>
  </si>
  <si>
    <t>-680.651555544602 91.0980722632712 -567.745883002114</t>
  </si>
  <si>
    <t>-683.604823146914 82.7112031985503 -676.905300619028</t>
  </si>
  <si>
    <t>-678.855635760814 70.5927362332327 -828.663696407798</t>
  </si>
  <si>
    <t>-643.89157036713 53.1107879538934 -922.76400715068</t>
  </si>
  <si>
    <t>-667.923926623985 104.892024633274 -763.418280973813</t>
  </si>
  <si>
    <t>-585.551761783418 225.889113672773 -749.447130040444</t>
  </si>
  <si>
    <t>-467.043356485922 147.49081430013 -466.612026101435</t>
  </si>
  <si>
    <t>-273.577187418141 61.9971218908872 -315.27224645019</t>
  </si>
  <si>
    <t>-693.990161403625 47.0174440123635 -759.612436291033</t>
  </si>
  <si>
    <t>-577.200474225053 207.494509259958 -244.406186920759</t>
  </si>
  <si>
    <t>-578.444855450692 188.315982492294 210.883124277571</t>
  </si>
  <si>
    <t>-628.616639940519 167.523487503575 677.606842303398</t>
  </si>
  <si>
    <t>-494.325016635776 96.2295639298043 766.074057457517</t>
  </si>
  <si>
    <t>-632.450899187765 26.5797412626259 -209.145572251861</t>
  </si>
  <si>
    <t>-520.009375322162 -28.3027097758306 229.035302048775</t>
  </si>
  <si>
    <t>-694.506655902588 40.8875546208078 660.404817739341</t>
  </si>
  <si>
    <t>-576.367681250551 -57.5816135455057 745.7893162227</t>
  </si>
  <si>
    <t>9763-20170724T160653.790757300.bin</t>
  </si>
  <si>
    <t>-605.101579767456 117.427631819581 -227.406440922672</t>
  </si>
  <si>
    <t>-647.276764584487 108.355184649771 -340.573336862739</t>
  </si>
  <si>
    <t>-669.200355106001 99.635181338655 -459.4593684603</t>
  </si>
  <si>
    <t>-680.481073492821 91.5751184420333 -568.099239641981</t>
  </si>
  <si>
    <t>-683.256771852938 83.2054449146033 -677.264670843551</t>
  </si>
  <si>
    <t>-678.234729502091 71.0947240646717 -829.014951511656</t>
  </si>
  <si>
    <t>-643.270314143868 53.535409075794 -923.100678950576</t>
  </si>
  <si>
    <t>-667.342453895105 105.355955664635 -763.742792890161</t>
  </si>
  <si>
    <t>-584.570884443786 226.064206921419 -749.634617571146</t>
  </si>
  <si>
    <t>-465.421773091767 146.35637850038 -467.435538240522</t>
  </si>
  <si>
    <t>-270.216550405102 62.748564769711 -317.279835170599</t>
  </si>
  <si>
    <t>-693.571206851629 47.5507220278182 -759.997596165407</t>
  </si>
  <si>
    <t>-577.504998326141 208.167743923485 -244.643270171118</t>
  </si>
  <si>
    <t>-578.278037786247 188.599598453444 210.630346676855</t>
  </si>
  <si>
    <t>-628.327426443767 167.75198007873 677.292219344812</t>
  </si>
  <si>
    <t>-494.252834382447 96.4335536708973 766.06832988149</t>
  </si>
  <si>
    <t>-632.527798757619 26.7613802619589 -209.459675531807</t>
  </si>
  <si>
    <t>-519.731357748713 -27.8303857542362 228.666329375939</t>
  </si>
  <si>
    <t>-694.470604294809 40.7506138713952 659.968606670205</t>
  </si>
  <si>
    <t>-576.349562348815 -57.683515422505 745.418300583036</t>
  </si>
  <si>
    <t>9763-20170724T160653.824847300.bin</t>
  </si>
  <si>
    <t>-605.150332070114 117.696955460059 -227.538014042426</t>
  </si>
  <si>
    <t>-647.297804601318 108.610564160382 -340.714212773761</t>
  </si>
  <si>
    <t>-669.145884255418 99.8791462398817 -459.613234013223</t>
  </si>
  <si>
    <t>-680.338931919482 91.8031920697752 -568.26103447605</t>
  </si>
  <si>
    <t>-683.007858296854 83.4084230167325 -677.427140295022</t>
  </si>
  <si>
    <t>-677.818449808688 71.2495837105391 -829.167921458694</t>
  </si>
  <si>
    <t>-642.85107210254 53.6453104974098 -923.244224379988</t>
  </si>
  <si>
    <t>-666.952062765381 105.510709223709 -763.891434564353</t>
  </si>
  <si>
    <t>-583.94759210645 226.063848536451 -749.708559556223</t>
  </si>
  <si>
    <t>-464.245942606021 145.674429601234 -467.936972039542</t>
  </si>
  <si>
    <t>-268.441099884461 62.7959733001894 -318.158223851732</t>
  </si>
  <si>
    <t>-693.27714393783 47.748275616683 -760.163343540394</t>
  </si>
  <si>
    <t>-577.576158709198 208.457722833436 -244.7329007625</t>
  </si>
  <si>
    <t>-578.33939970252 188.853132864586 210.539308494831</t>
  </si>
  <si>
    <t>-628.240180117195 167.897399221688 677.224698159441</t>
  </si>
  <si>
    <t>-494.217744539035 96.5647036743737 766.068028572202</t>
  </si>
  <si>
    <t>-632.612863009233 27.0161551577137 -209.611922716612</t>
  </si>
  <si>
    <t>-519.581863523093 -27.4950575592486 228.46366096094</t>
  </si>
  <si>
    <t>-694.44846776964 40.6830913539677 659.793647578403</t>
  </si>
  <si>
    <t>-576.31865332639 -57.7400276961553 745.243923076944</t>
  </si>
  <si>
    <t>9763-20170724T160653.881003100.bin</t>
  </si>
  <si>
    <t>-605.035758461427 118.247200916402 -227.709276312908</t>
  </si>
  <si>
    <t>-647.087171911999 109.121309529715 -340.917923867446</t>
  </si>
  <si>
    <t>-668.852748946487 100.338488291554 -459.82834757726</t>
  </si>
  <si>
    <t>-679.977962759517 92.2052279978616 -568.478829890301</t>
  </si>
  <si>
    <t>-682.586907157523 83.7384158940299 -677.640996557936</t>
  </si>
  <si>
    <t>-677.322825022885 71.4611527989218 -829.369522264381</t>
  </si>
  <si>
    <t>-642.38907070467 53.7606051517948 -923.44034513129</t>
  </si>
  <si>
    <t>-666.434423276188 105.748636242402 -764.110575986551</t>
  </si>
  <si>
    <t>-583.131771876728 226.106162051607 -749.962179548913</t>
  </si>
  <si>
    <t>-462.27146248978 145.181210293078 -468.839051773768</t>
  </si>
  <si>
    <t>-264.839753866172 64.5025815359777 -319.997775040133</t>
  </si>
  <si>
    <t>-692.869611155126 48.0382861795388 -760.35803860812</t>
  </si>
  <si>
    <t>-577.463658819809 209.179979154856 -244.840357012414</t>
  </si>
  <si>
    <t>-578.389961024018 189.470019092788 210.426987849644</t>
  </si>
  <si>
    <t>-628.120954420595 168.153653027895 677.139287711047</t>
  </si>
  <si>
    <t>-494.258348443035 96.6058200045509 766.050609001878</t>
  </si>
  <si>
    <t>-632.43663201436 27.388153208349 -209.833464844346</t>
  </si>
  <si>
    <t>-519.400681663863 -26.879819759326 228.271012720871</t>
  </si>
  <si>
    <t>-694.487429237558 40.7067393083109 659.686851179481</t>
  </si>
  <si>
    <t>-576.224857763403 -57.702069442224 744.969797893706</t>
  </si>
  <si>
    <t>9763-20170724T160653.924116500.bin</t>
  </si>
  <si>
    <t>-604.935474551635 118.735399714548 -227.707409856986</t>
  </si>
  <si>
    <t>-646.948349210564 109.624239850604 -340.931509061779</t>
  </si>
  <si>
    <t>-668.723920866301 100.779103305911 -459.835541577765</t>
  </si>
  <si>
    <t>-679.880241427445 92.5493218933416 -568.475616324414</t>
  </si>
  <si>
    <t>-682.54364567415 83.9406599469846 -677.625208473977</t>
  </si>
  <si>
    <t>-677.381114317403 71.4140059103802 -829.337011054246</t>
  </si>
  <si>
    <t>-642.546133028388 53.5278026942874 -923.409258233912</t>
  </si>
  <si>
    <t>-666.394547508443 105.783905335201 -764.137877478659</t>
  </si>
  <si>
    <t>-582.881724947734 226.0168310082 -750.222628488815</t>
  </si>
  <si>
    <t>-460.35532781148 144.673872245809 -469.942790639635</t>
  </si>
  <si>
    <t>-262.520576398194 64.8157471534503 -321.194152299793</t>
  </si>
  <si>
    <t>-692.936342936697 48.1292491702104 -760.280586767939</t>
  </si>
  <si>
    <t>-577.476185092852 209.813665087066 -244.818612456146</t>
  </si>
  <si>
    <t>-578.316943795591 189.876946013114 210.439060875786</t>
  </si>
  <si>
    <t>-628.119511609975 168.267188687088 677.138305993459</t>
  </si>
  <si>
    <t>-494.236620782394 96.7440248316025 766.038958893938</t>
  </si>
  <si>
    <t>-632.27275593485 27.759885296492 -209.866470873796</t>
  </si>
  <si>
    <t>-519.279908763125 -26.4911012963803 228.251255173755</t>
  </si>
  <si>
    <t>-694.610295575424 40.8038349713547 659.67786944609</t>
  </si>
  <si>
    <t>-576.304046144609 -57.8291563992991 744.640654303528</t>
  </si>
  <si>
    <t>9763-20170724T160653.991311000.bin</t>
  </si>
  <si>
    <t>-604.680130060327 119.298719838037 -227.605581512431</t>
  </si>
  <si>
    <t>-646.730921971457 110.208600123484 -340.817384401973</t>
  </si>
  <si>
    <t>-668.597636797661 101.385666366765 -459.706311690497</t>
  </si>
  <si>
    <t>-679.858012126542 93.1634632481152 -568.336093363622</t>
  </si>
  <si>
    <t>-682.647741608255 84.541651318011 -677.481561282041</t>
  </si>
  <si>
    <t>-677.684354234902 71.9680792745614 -829.196011847859</t>
  </si>
  <si>
    <t>-643.035099730925 53.8414840799735 -923.290966767391</t>
  </si>
  <si>
    <t>-666.528212324252 106.319905992962 -764.016168922964</t>
  </si>
  <si>
    <t>-582.554847290536 226.245600806092 -750.161805781585</t>
  </si>
  <si>
    <t>-457.582107363894 143.656734419838 -471.330265614723</t>
  </si>
  <si>
    <t>-257.514562860228 66.567156014381 -324.11533307884</t>
  </si>
  <si>
    <t>-693.23269147444 48.7431991506799 -760.118075663542</t>
  </si>
  <si>
    <t>-577.38147599732 210.510176420647 -244.673858459215</t>
  </si>
  <si>
    <t>-578.217016798785 190.391457685475 210.575735262507</t>
  </si>
  <si>
    <t>-628.120196590231 168.439782454724 677.163356012332</t>
  </si>
  <si>
    <t>-494.215187025804 96.9312073593928 766.042387814252</t>
  </si>
  <si>
    <t>-631.817202414278 28.1468466313556 -209.788042728306</t>
  </si>
  <si>
    <t>-518.728277854599 -26.0511875654406 228.31141025314</t>
  </si>
  <si>
    <t>-694.710683986284 40.7876546530379 659.423908927316</t>
  </si>
  <si>
    <t>-576.300146384187 -57.9248619616317 744.148734722593</t>
  </si>
  <si>
    <t>9763-20170724T160654.027443700.bin</t>
  </si>
  <si>
    <t>-604.392429142711 119.643631398634 -227.571944283424</t>
  </si>
  <si>
    <t>-646.4617320505 110.489229341182 -340.771573314602</t>
  </si>
  <si>
    <t>-668.373866173582 101.653954474704 -459.651281397063</t>
  </si>
  <si>
    <t>-679.685393200292 93.4351195344991 -568.276059036455</t>
  </si>
  <si>
    <t>-682.53587086268 84.8273225406265 -677.420968209971</t>
  </si>
  <si>
    <t>-677.66675864019 72.2805015886534 -829.140719396835</t>
  </si>
  <si>
    <t>-643.130095133735 54.0183896939777 -923.250790998311</t>
  </si>
  <si>
    <t>-666.422077320523 106.598597115054 -763.958381740336</t>
  </si>
  <si>
    <t>-582.241228595344 226.352491805353 -750.059668283732</t>
  </si>
  <si>
    <t>-455.885823233106 143.115290267716 -472.045261985652</t>
  </si>
  <si>
    <t>-254.921094104226 66.8492301772262 -325.625499917683</t>
  </si>
  <si>
    <t>-693.220414297054 49.0654348665826 -760.060637679761</t>
  </si>
  <si>
    <t>-577.208045097379 210.958211079763 -244.652246832958</t>
  </si>
  <si>
    <t>-578.130405278373 190.788042615227 210.594916610734</t>
  </si>
  <si>
    <t>-628.08882889285 168.57144868657 677.159213683138</t>
  </si>
  <si>
    <t>-494.227954109264 96.9843393801905 766.04151013082</t>
  </si>
  <si>
    <t>-631.37864603537 28.3612833702928 -209.756552675369</t>
  </si>
  <si>
    <t>-518.259958174504 -25.7636338007831 228.344229514062</t>
  </si>
  <si>
    <t>-694.680657952104 40.8117769686737 659.248987435652</t>
  </si>
  <si>
    <t>-576.257849867628 -57.9118097892672 743.943735605184</t>
  </si>
  <si>
    <t>9763-20170724T160654.090242700.bin</t>
  </si>
  <si>
    <t>-603.755172850614 120.304486113909 -227.535264197156</t>
  </si>
  <si>
    <t>-645.812435697345 111.051680958873 -340.73150661788</t>
  </si>
  <si>
    <t>-667.76621392336 102.256873202771 -459.606471103043</t>
  </si>
  <si>
    <t>-679.13519696177 94.1164658624195 -568.231155677707</t>
  </si>
  <si>
    <t>-682.06204428694 85.6198881513185 -677.382831377712</t>
  </si>
  <si>
    <t>-677.318273996033 73.2533869579875 -829.121298527246</t>
  </si>
  <si>
    <t>-642.993948391572 54.8287094204895 -923.277407074839</t>
  </si>
  <si>
    <t>-665.949781543887 107.461684097679 -763.902730558478</t>
  </si>
  <si>
    <t>-581.306759598096 226.890286648541 -749.907149684308</t>
  </si>
  <si>
    <t>-452.306641783646 142.202819886904 -473.550080840757</t>
  </si>
  <si>
    <t>-249.173891411981 68.2986934482628 -328.921855327874</t>
  </si>
  <si>
    <t>-692.884766011376 49.988608998925 -760.060814236681</t>
  </si>
  <si>
    <t>-576.95516361774 211.82936733646 -244.605253673478</t>
  </si>
  <si>
    <t>-577.850826997941 191.383239142519 210.629630892099</t>
  </si>
  <si>
    <t>-628.114378814879 168.664553808325 677.167165145332</t>
  </si>
  <si>
    <t>-494.186508614609 97.174184809229 766.026398380024</t>
  </si>
  <si>
    <t>-630.38737812905 28.8469728270759 -209.818319429003</t>
  </si>
  <si>
    <t>-517.366312884369 -25.2460715724169 228.311609163427</t>
  </si>
  <si>
    <t>-694.609014126744 40.7577924522982 658.886542762263</t>
  </si>
  <si>
    <t>-576.295484630785 -58.0705834401388 743.611847945478</t>
  </si>
  <si>
    <t>9763-20170724T160654.122327000.bin</t>
  </si>
  <si>
    <t>-603.349228161578 120.763782203037 -227.563899142293</t>
  </si>
  <si>
    <t>-645.408536976243 111.452014412542 -340.754415413832</t>
  </si>
  <si>
    <t>-667.371872925604 102.618470532626 -459.62480140292</t>
  </si>
  <si>
    <t>-678.752124033179 94.4434214995181 -568.245680758836</t>
  </si>
  <si>
    <t>-681.6930818058 85.907550505794 -677.393949270574</t>
  </si>
  <si>
    <t>-676.972212700678 73.4771549406696 -829.127979313637</t>
  </si>
  <si>
    <t>-642.767291082702 54.9563812177864 -923.308603684468</t>
  </si>
  <si>
    <t>-665.573842203029 107.703640889512 -763.924094951959</t>
  </si>
  <si>
    <t>-580.839572732327 227.071126789652 -750.026367072287</t>
  </si>
  <si>
    <t>-450.352542553322 141.785236745995 -474.552872506554</t>
  </si>
  <si>
    <t>-246.836659944749 68.7310242714336 -330.031480648127</t>
  </si>
  <si>
    <t>-692.548300568733 50.2507523356278 -760.056611518306</t>
  </si>
  <si>
    <t>-576.801884681978 212.385777987127 -244.583873048464</t>
  </si>
  <si>
    <t>-577.621365278661 191.671235166709 210.639079634936</t>
  </si>
  <si>
    <t>-628.114521544324 168.738773230635 677.165411727073</t>
  </si>
  <si>
    <t>-494.218238775359 97.1763236396409 766.0142154229</t>
  </si>
  <si>
    <t>-629.752833284324 29.2000406889226 -209.868904511849</t>
  </si>
  <si>
    <t>-516.874099552085 -24.82674709818 228.305921620372</t>
  </si>
  <si>
    <t>-694.570830597435 40.7439304640081 658.745008058752</t>
  </si>
  <si>
    <t>-576.304316838184 -58.1259113785761 743.487530830545</t>
  </si>
  <si>
    <t>9763-20170724T160654.196238800.bin</t>
  </si>
  <si>
    <t>-602.606372806857 121.662288292803 -227.583994651866</t>
  </si>
  <si>
    <t>-644.565031114011 112.264787384303 -340.804830811152</t>
  </si>
  <si>
    <t>-666.585887724438 103.411505283001 -459.662950539526</t>
  </si>
  <si>
    <t>-678.083560347797 95.2335093117977 -568.271346636569</t>
  </si>
  <si>
    <t>-681.207474186367 86.702227831687 -677.414922605101</t>
  </si>
  <si>
    <t>-676.809309817001 74.2788851290948 -829.15910824242</t>
  </si>
  <si>
    <t>-642.82165390927 55.6103033119271 -923.389256525141</t>
  </si>
  <si>
    <t>-665.214505858181 108.475380314943 -763.974184633761</t>
  </si>
  <si>
    <t>-580.020797787445 227.565921625898 -750.302377043953</t>
  </si>
  <si>
    <t>-447.361313312164 140.952450224741 -476.2845540613</t>
  </si>
  <si>
    <t>-242.445036981172 71.1037409067574 -332.157681210167</t>
  </si>
  <si>
    <t>-692.296229309123 51.0762643259068 -760.059914038402</t>
  </si>
  <si>
    <t>-576.353087611128 213.392778551872 -244.523583142076</t>
  </si>
  <si>
    <t>-577.33906387237 192.344775543432 210.683759970908</t>
  </si>
  <si>
    <t>-628.134713785988 168.817526370345 677.140629065136</t>
  </si>
  <si>
    <t>-494.174383620062 97.3624597325972 765.979352950449</t>
  </si>
  <si>
    <t>-628.751790684986 29.9629395734212 -209.982926049405</t>
  </si>
  <si>
    <t>-515.939498094004 -23.8605490654518 228.233977024433</t>
  </si>
  <si>
    <t>-694.418905102695 40.758315600712 658.438324402141</t>
  </si>
  <si>
    <t>-576.308608526585 -58.2212019698848 743.270653684425</t>
  </si>
  <si>
    <t>9763-20170724T160654.224312100.bin</t>
  </si>
  <si>
    <t>-602.214724352088 122.197435121673 -227.602618887255</t>
  </si>
  <si>
    <t>-644.130283889687 112.768614745375 -340.836842197022</t>
  </si>
  <si>
    <t>-666.221261354102 103.858939141139 -459.677817292811</t>
  </si>
  <si>
    <t>-677.830225014158 95.6162666917794 -568.269382861884</t>
  </si>
  <si>
    <t>-681.11417390853 87.0042130606741 -677.40185172889</t>
  </si>
  <si>
    <t>-676.989197389267 74.4501271235592 -829.143074267519</t>
  </si>
  <si>
    <t>-643.123838053809 55.618195903251 -923.384632652166</t>
  </si>
  <si>
    <t>-665.230657844625 108.680962256774 -764.005518807028</t>
  </si>
  <si>
    <t>-579.754872617171 227.583623124937 -750.534348789286</t>
  </si>
  <si>
    <t>-446.36975353291 140.517736762797 -477.012597140861</t>
  </si>
  <si>
    <t>-240.883101866375 72.0675395495689 -333.027032730964</t>
  </si>
  <si>
    <t>-692.398208492109 51.3287338461807 -759.999101949462</t>
  </si>
  <si>
    <t>-575.976781628608 213.969815426083 -244.516730405604</t>
  </si>
  <si>
    <t>-577.200772780063 192.699793138913 210.679668923888</t>
  </si>
  <si>
    <t>-628.153920463529 168.860587566212 677.136629358431</t>
  </si>
  <si>
    <t>-494.182791935057 97.4063236883146 765.95966458938</t>
  </si>
  <si>
    <t>-628.327728917132 30.4613220898295 -210.03062014183</t>
  </si>
  <si>
    <t>-515.611455031873 -23.4824873172397 228.196179703166</t>
  </si>
  <si>
    <t>-694.390719914656 40.6632747899926 658.334370083956</t>
  </si>
  <si>
    <t>-576.177458541686 -58.164874385307 743.199748975976</t>
  </si>
  <si>
    <t>9763-20170724T160654.294106300.bin</t>
  </si>
  <si>
    <t>-601.36520751867 123.582610564561 -227.609365151166</t>
  </si>
  <si>
    <t>-643.216533335001 114.153766619277 -340.867397345547</t>
  </si>
  <si>
    <t>-665.452545160245 105.150431406374 -459.674138288643</t>
  </si>
  <si>
    <t>-677.282325610934 96.7783605461377 -568.232103375487</t>
  </si>
  <si>
    <t>-680.878543888316 87.9883120907193 -677.340518486465</t>
  </si>
  <si>
    <t>-677.283668385967 75.1328609293253 -829.0700340061</t>
  </si>
  <si>
    <t>-643.700337920571 55.8585294935485 -923.323071282529</t>
  </si>
  <si>
    <t>-665.21613387921 109.454620782062 -764.036886775351</t>
  </si>
  <si>
    <t>-579.157555439106 227.995061578474 -751.044581338872</t>
  </si>
  <si>
    <t>-445.070313675567 141.289124686997 -477.751884974458</t>
  </si>
  <si>
    <t>-236.11034291643 76.9149030083991 -336.919660493367</t>
  </si>
  <si>
    <t>-692.532454745582 52.1873652753352 -759.831856039333</t>
  </si>
  <si>
    <t>-575.245718257178 215.26457208267 -244.474794518329</t>
  </si>
  <si>
    <t>-576.757494894519 193.440696771529 210.69459852374</t>
  </si>
  <si>
    <t>-628.278683220857 168.741561880965 677.084965057756</t>
  </si>
  <si>
    <t>-494.202330487062 97.4860010974292 765.90885488991</t>
  </si>
  <si>
    <t>-627.310366927211 31.9838475726629 -210.124658109584</t>
  </si>
  <si>
    <t>-515.203068282212 -22.819736648471 228.151740709254</t>
  </si>
  <si>
    <t>-694.254629320797 40.7450762300587 658.22761250908</t>
  </si>
  <si>
    <t>-576.403501487724 -58.4646587527404 743.151404944784</t>
  </si>
  <si>
    <t>9763-20170724T160654.322181400.bin</t>
  </si>
  <si>
    <t>-600.836864470615 124.277509314424 -227.681994941252</t>
  </si>
  <si>
    <t>-642.701181323564 114.856875261 -340.935924911679</t>
  </si>
  <si>
    <t>-665.044878530685 105.767588642508 -459.71603400017</t>
  </si>
  <si>
    <t>-677.013155748276 97.2777202624914 -568.249545150586</t>
  </si>
  <si>
    <t>-680.790284202091 88.3286077199873 -677.338836481706</t>
  </si>
  <si>
    <t>-677.491945783807 75.2080249909052 -829.052373082248</t>
  </si>
  <si>
    <t>-644.100321776985 55.6064963286146 -923.306118879733</t>
  </si>
  <si>
    <t>-665.27715729179 109.633811180975 -764.101685652393</t>
  </si>
  <si>
    <t>-579.147678850345 228.16236712454 -751.470291384863</t>
  </si>
  <si>
    <t>-444.686400729532 142.44596371038 -478.049266002731</t>
  </si>
  <si>
    <t>-232.704213979828 80.2511563748049 -340.799732168444</t>
  </si>
  <si>
    <t>-692.625628241305 52.393059074087 -759.746017874907</t>
  </si>
  <si>
    <t>-455.54692686955 0.841377034348852 -388.154348279779</t>
  </si>
  <si>
    <t>-574.788478158913 215.959982285753 -244.479035545564</t>
  </si>
  <si>
    <t>-576.399025578303 193.797729962404 210.673478930626</t>
  </si>
  <si>
    <t>-628.239595066417 168.878425632819 677.060525817463</t>
  </si>
  <si>
    <t>-494.161177364258 97.6328678151531 765.889359771656</t>
  </si>
  <si>
    <t>-626.766042363319 32.6464722488483 -210.238355683827</t>
  </si>
  <si>
    <t>-515.145261908249 -22.5603638494413 228.111560757129</t>
  </si>
  <si>
    <t>-694.220795382166 40.7034037964011 658.215260012839</t>
  </si>
  <si>
    <t>-576.353345740998 -58.4654470386795 743.164150089809</t>
  </si>
  <si>
    <t>9763-20170724T160654.391881500.bin</t>
  </si>
  <si>
    <t>-599.44916717753 125.681443940043 -227.725965147773</t>
  </si>
  <si>
    <t>-640.998523815269 116.162358861548 -341.08764721255</t>
  </si>
  <si>
    <t>-663.463115965666 106.830993043435 -459.826099505741</t>
  </si>
  <si>
    <t>-675.728230470584 98.0646498843598 -568.304490725862</t>
  </si>
  <si>
    <t>-679.992930239665 88.7822129456822 -677.347959306989</t>
  </si>
  <si>
    <t>-677.57243450974 75.1392928422745 -829.03199915262</t>
  </si>
  <si>
    <t>-644.619909920174 54.7592285116225 -923.275221280876</t>
  </si>
  <si>
    <t>-664.938497586981 109.767563368236 -764.269388715372</t>
  </si>
  <si>
    <t>-578.82184639573 228.418064464798 -752.732089656101</t>
  </si>
  <si>
    <t>-444.89797790648 146.149453479402 -477.991408451143</t>
  </si>
  <si>
    <t>-231.178241824483 83.220658370057 -343.805233247726</t>
  </si>
  <si>
    <t>-692.348443357714 52.5840598467621 -759.563532304961</t>
  </si>
  <si>
    <t>-454.952526721599 3.03702648901799 -388.679445036656</t>
  </si>
  <si>
    <t>-573.50556594478 217.165395398418 -244.335441465182</t>
  </si>
  <si>
    <t>-575.433763558059 194.736680832972 210.802849235397</t>
  </si>
  <si>
    <t>-628.564699423501 168.756704195144 677.197664595719</t>
  </si>
  <si>
    <t>-494.07722110716 97.9836794766079 765.785503589129</t>
  </si>
  <si>
    <t>-625.117850506713 34.2335763046215 -210.446671336084</t>
  </si>
  <si>
    <t>-515.260705009552 -22.2646477912429 228.184127862401</t>
  </si>
  <si>
    <t>-694.124605567541 40.6117720751129 658.361761220054</t>
  </si>
  <si>
    <t>-576.450719194552 -58.6898599544945 743.423823075356</t>
  </si>
  <si>
    <t>9763-20170724T160654.424969300.bin</t>
  </si>
  <si>
    <t>-598.825217923213 126.086055310634 -227.541567557856</t>
  </si>
  <si>
    <t>-640.208925388894 116.626285599037 -340.968705156486</t>
  </si>
  <si>
    <t>-662.748154647048 107.202092653152 -459.68566669154</t>
  </si>
  <si>
    <t>-675.185369930844 98.2890913049976 -568.13259360648</t>
  </si>
  <si>
    <t>-679.730056665862 88.7963935987991 -677.146728443081</t>
  </si>
  <si>
    <t>-677.812659535811 74.79479055198 -828.805043440481</t>
  </si>
  <si>
    <t>-645.1145137753 53.9472270720948 -923.034562038924</t>
  </si>
  <si>
    <t>-664.896508306251 109.543929869051 -764.163130907804</t>
  </si>
  <si>
    <t>-578.785622031111 228.296752696429 -753.358160731921</t>
  </si>
  <si>
    <t>-447.475590062988 149.444866528554 -476.363132602476</t>
  </si>
  <si>
    <t>-237.175941318585 82.0582183445401 -338.976446169834</t>
  </si>
  <si>
    <t>-692.425596412053 52.436193106058 -759.238822532459</t>
  </si>
  <si>
    <t>-454.719936655491 3.5412728030542 -389.291727608931</t>
  </si>
  <si>
    <t>-572.996125571956 217.490437422074 -244.04045202519</t>
  </si>
  <si>
    <t>-575.211081725929 194.892126981137 211.088173613047</t>
  </si>
  <si>
    <t>-628.998599750971 168.550934007425 677.489496350811</t>
  </si>
  <si>
    <t>-493.998733813894 98.2790148796701 765.696080052256</t>
  </si>
  <si>
    <t>-624.543580753393 34.6460315214194 -210.382482831739</t>
  </si>
  <si>
    <t>-515.299734691762 -22.0356817368042 228.37789665778</t>
  </si>
  <si>
    <t>-694.107702129141 40.4924587875478 658.555785510965</t>
  </si>
  <si>
    <t>-576.41132792223 -58.7406453688936 743.666666574187</t>
  </si>
  <si>
    <t>9763-20170724T160654.492658500.bin</t>
  </si>
  <si>
    <t>-597.665546076899 126.468511347943 -226.755523563299</t>
  </si>
  <si>
    <t>-638.872785488751 117.192812599851 -340.261925692177</t>
  </si>
  <si>
    <t>-661.48885889083 107.504539508612 -458.943119830782</t>
  </si>
  <si>
    <t>-674.112460461652 98.1784087531689 -567.333739669966</t>
  </si>
  <si>
    <t>-678.966408471263 88.1044547768222 -676.282314258437</t>
  </si>
  <si>
    <t>-677.611545793719 73.1249233779604 -827.853480845499</t>
  </si>
  <si>
    <t>-645.362979357285 51.1656448658218 -921.985291271126</t>
  </si>
  <si>
    <t>-664.319273724746 108.224548670458 -763.477629360971</t>
  </si>
  <si>
    <t>-578.441639063911 227.218016365366 -753.978699317571</t>
  </si>
  <si>
    <t>-456.839327380868 157.949622211815 -470.075488813488</t>
  </si>
  <si>
    <t>-260.804854594402 75.9694677378461 -320.102858115511</t>
  </si>
  <si>
    <t>-692.102808904669 51.2812289940944 -758.098328368455</t>
  </si>
  <si>
    <t>-453.578469714302 2.59631538427311 -390.144386106137</t>
  </si>
  <si>
    <t>-571.487806974954 217.474090075691 -243.138400308268</t>
  </si>
  <si>
    <t>-574.373881563409 194.536719161723 211.969598459078</t>
  </si>
  <si>
    <t>-629.946870519834 168.274285877546 678.245068647867</t>
  </si>
  <si>
    <t>-494.058993383403 98.5002987115445 765.47801112147</t>
  </si>
  <si>
    <t>-623.834081015649 35.3096454894635 -209.640476835081</t>
  </si>
  <si>
    <t>-514.690791893991 -21.5766168228611 229.118391001804</t>
  </si>
  <si>
    <t>-693.880287572696 40.549777778996 659.011934742565</t>
  </si>
  <si>
    <t>-576.526483842965 -58.9771207565429 744.252738365854</t>
  </si>
  <si>
    <t>9763-20170724T160654.523740300.bin</t>
  </si>
  <si>
    <t>-596.89464965605 126.231324067581 -226.264548002536</t>
  </si>
  <si>
    <t>-638.099095801326 117.103527000275 -339.784005200049</t>
  </si>
  <si>
    <t>-660.812068170566 107.289677268156 -458.436388693636</t>
  </si>
  <si>
    <t>-673.570059709965 97.7485940816939 -566.792628919372</t>
  </si>
  <si>
    <t>-678.608176472511 87.3643663857695 -675.703734946614</t>
  </si>
  <si>
    <t>-677.563014159419 71.8601312029889 -827.22451298457</t>
  </si>
  <si>
    <t>-645.50761863177 49.3618320064591 -921.294995442908</t>
  </si>
  <si>
    <t>-664.109615350171 107.167958834584 -762.996095062993</t>
  </si>
  <si>
    <t>-578.403967279639 226.343259612896 -753.947420254308</t>
  </si>
  <si>
    <t>-463.533458767494 163.863975581944 -465.698624817016</t>
  </si>
  <si>
    <t>-274.366722651665 76.1846907290892 -310.230554001033</t>
  </si>
  <si>
    <t>-691.941316500169 50.2725862829595 -757.366298876</t>
  </si>
  <si>
    <t>-452.921313606174 0.518352161569055 -390.032193922045</t>
  </si>
  <si>
    <t>-570.406009926541 217.087817787659 -242.622515247299</t>
  </si>
  <si>
    <t>-573.499165756412 193.846691114883 212.468550970511</t>
  </si>
  <si>
    <t>-630.400862759209 168.153940715516 678.623281304556</t>
  </si>
  <si>
    <t>-494.144657531949 98.4985405018467 765.375102932563</t>
  </si>
  <si>
    <t>-623.290682601142 35.2868290102672 -209.186921704991</t>
  </si>
  <si>
    <t>-514.204294589878 -21.7228240635834 229.570043402953</t>
  </si>
  <si>
    <t>-693.761321587392 40.5373133216319 659.255773815528</t>
  </si>
  <si>
    <t>-576.464206206168 -58.9806194750445 744.585026929025</t>
  </si>
  <si>
    <t>9763-20170724T160654.594834300.bin</t>
  </si>
  <si>
    <t>-595.276025316372 125.55339926233 -225.449533358588</t>
  </si>
  <si>
    <t>-636.556051589979 116.733790010256 -338.966053549383</t>
  </si>
  <si>
    <t>-659.347120211001 106.785833251895 -457.592274426768</t>
  </si>
  <si>
    <t>-672.184275200075 96.9563148300256 -565.913171282715</t>
  </si>
  <si>
    <t>-677.314397751657 86.124376460275 -674.776410794515</t>
  </si>
  <si>
    <t>-676.414042124472 69.8394009742919 -826.21613291466</t>
  </si>
  <si>
    <t>-644.445980900667 46.5383683464597 -920.120893064839</t>
  </si>
  <si>
    <t>-662.913235525755 105.484602626482 -762.184300393747</t>
  </si>
  <si>
    <t>-577.49272643018 224.884608883887 -753.97969582783</t>
  </si>
  <si>
    <t>-477.772000125584 180.88772253154 -456.815973231212</t>
  </si>
  <si>
    <t>-297.386640977289 90.1246718246518 -292.909763095866</t>
  </si>
  <si>
    <t>-690.711550938669 48.6054610933604 -756.233264400211</t>
  </si>
  <si>
    <t>-568.474003046502 216.202369046254 -241.735127816663</t>
  </si>
  <si>
    <t>-571.549759422666 192.154446039364 213.314302063531</t>
  </si>
  <si>
    <t>-631.082274360603 167.812910925801 679.118231398138</t>
  </si>
  <si>
    <t>-494.145611178517 98.6991483175796 765.229512053479</t>
  </si>
  <si>
    <t>-621.971450001863 35.0563373294283 -208.47915473413</t>
  </si>
  <si>
    <t>-513.473469938131 -22.2091438850923 230.390448399405</t>
  </si>
  <si>
    <t>-693.563733200844 40.4689287310655 659.794886614639</t>
  </si>
  <si>
    <t>-576.567370257787 -59.2354166033979 745.319183806678</t>
  </si>
  <si>
    <t>9763-20170724T160654.623913200.bin</t>
  </si>
  <si>
    <t>-594.545476439264 125.262217520993 -225.077033540396</t>
  </si>
  <si>
    <t>-635.915723018474 116.564003905964 -338.569967053469</t>
  </si>
  <si>
    <t>-658.68509217314 106.537546670029 -457.193685801405</t>
  </si>
  <si>
    <t>-671.458885061649 96.5595509252501 -565.508651324303</t>
  </si>
  <si>
    <t>-676.483297528853 85.5042466993571 -674.354370385641</t>
  </si>
  <si>
    <t>-675.393929640508 68.8329487565445 -825.750701934464</t>
  </si>
  <si>
    <t>-643.356579847959 45.2163242802155 -919.55304488436</t>
  </si>
  <si>
    <t>-662.026266985459 104.667083473342 -761.796536524149</t>
  </si>
  <si>
    <t>-576.706138843674 224.183784664591 -753.725305911036</t>
  </si>
  <si>
    <t>-486.1823067234 189.017086452466 -452.469625098616</t>
  </si>
  <si>
    <t>-310.610894393638 97.7151192271403 -283.707396447297</t>
  </si>
  <si>
    <t>-689.725579211697 47.7519259139697 -755.728465362089</t>
  </si>
  <si>
    <t>-567.706714610258 215.842089410919 -241.374992868808</t>
  </si>
  <si>
    <t>-570.55802840673 191.349076708956 213.652046371666</t>
  </si>
  <si>
    <t>-631.248272253499 167.74616930204 679.262465802639</t>
  </si>
  <si>
    <t>-494.12426176794 98.8084647127421 765.216590176354</t>
  </si>
  <si>
    <t>-621.203529221577 34.8524296921446 -208.153282375969</t>
  </si>
  <si>
    <t>-513.011976453169 -22.3829449860959 230.79593638041</t>
  </si>
  <si>
    <t>-693.508920015774 40.4093973200472 660.052608660651</t>
  </si>
  <si>
    <t>-576.601407466028 -59.3363472326412 745.650103142806</t>
  </si>
  <si>
    <t>9763-20170724T160654.695639200.bin</t>
  </si>
  <si>
    <t>-593.59023683228 125.035503016856 -224.398059374277</t>
  </si>
  <si>
    <t>-635.31920586056 116.418632181535 -337.76583806546</t>
  </si>
  <si>
    <t>-658.038178706447 106.236411141862 -456.386049073347</t>
  </si>
  <si>
    <t>-670.596271106675 96.0270256536407 -564.704613508058</t>
  </si>
  <si>
    <t>-675.235267486924 84.6527295539879 -673.534508783427</t>
  </si>
  <si>
    <t>-673.435279984547 67.4502210727142 -824.864751542358</t>
  </si>
  <si>
    <t>-641.137791921281 43.4396171178676 -918.477552207099</t>
  </si>
  <si>
    <t>-660.57797126477 103.608573765407 -760.988516229904</t>
  </si>
  <si>
    <t>-575.988043665895 223.61734094398 -753.288164942262</t>
  </si>
  <si>
    <t>-502.34728654018 203.819374436704 -446.089024289863</t>
  </si>
  <si>
    <t>-333.000791348092 111.854862221049 -271.428300166566</t>
  </si>
  <si>
    <t>-687.88556030844 46.5149066216527 -754.823110882255</t>
  </si>
  <si>
    <t>-567.020176541774 215.805156711981 -240.729566390799</t>
  </si>
  <si>
    <t>-568.931336990779 190.281895538985 214.245786982249</t>
  </si>
  <si>
    <t>-631.539619091896 167.587903335029 679.561894446716</t>
  </si>
  <si>
    <t>-494.114411895484 98.9446537463293 765.270271058652</t>
  </si>
  <si>
    <t>-620.012114987637 34.4964300711908 -207.434075391817</t>
  </si>
  <si>
    <t>-511.766771579911 -22.4530420765595 231.538967734805</t>
  </si>
  <si>
    <t>-693.331133485759 40.3728828067817 660.366730398497</t>
  </si>
  <si>
    <t>-576.60161256561 -59.4606730107907 746.104646758071</t>
  </si>
  <si>
    <t>9763-20170724T160654.729726000.bin</t>
  </si>
  <si>
    <t>-593.383238124667 125.245916531657 -224.21689412453</t>
  </si>
  <si>
    <t>-635.306058066873 116.622316179766 -337.512490163078</t>
  </si>
  <si>
    <t>-657.991108695458 106.397114957018 -456.135403060566</t>
  </si>
  <si>
    <t>-670.42170010405 96.1387498326271 -564.464191321038</t>
  </si>
  <si>
    <t>-674.835416477448 84.7073694375579 -673.297510355671</t>
  </si>
  <si>
    <t>-672.62016042902 67.4196196342036 -824.612447575093</t>
  </si>
  <si>
    <t>-640.094855816312 43.3383258332428 -918.128117759187</t>
  </si>
  <si>
    <t>-660.126472559928 103.702015316629 -760.734354206042</t>
  </si>
  <si>
    <t>-576.487745195453 224.389749144008 -753.099079893656</t>
  </si>
  <si>
    <t>-508.192262189179 208.965208954505 -444.418020481685</t>
  </si>
  <si>
    <t>-338.445376562765 117.193623981126 -270.044795321855</t>
  </si>
  <si>
    <t>-687.074197154031 46.4358277111942 -754.586231033761</t>
  </si>
  <si>
    <t>-567.186545478343 216.192708841793 -240.495082971496</t>
  </si>
  <si>
    <t>-568.363286082315 190.048253417873 214.447596793567</t>
  </si>
  <si>
    <t>-631.644756110212 167.533134552482 679.675325727455</t>
  </si>
  <si>
    <t>-494.124902910144 98.9755767162503 765.300442350631</t>
  </si>
  <si>
    <t>-619.37637880304 34.6080875987705 -207.330236454918</t>
  </si>
  <si>
    <t>-511.338910693587 -22.2239770610561 231.709272202815</t>
  </si>
  <si>
    <t>-693.24711682879 40.3033760216363 660.45107936406</t>
  </si>
  <si>
    <t>-576.552416782414 -59.4989843035435 746.272671542363</t>
  </si>
  <si>
    <t>9763-20170724T160654.789390900.bin</t>
  </si>
  <si>
    <t>-593.301159229276 125.66046988542 -224.114360040727</t>
  </si>
  <si>
    <t>-635.388120604006 117.010381404875 -337.347187332269</t>
  </si>
  <si>
    <t>-658.090681215794 106.816242817042 -455.969513608036</t>
  </si>
  <si>
    <t>-670.472283102456 96.6147560127781 -564.309099622119</t>
  </si>
  <si>
    <t>-674.770296808285 85.2711125161297 -673.156300859005</t>
  </si>
  <si>
    <t>-672.323455916598 68.1396694880727 -824.485467462102</t>
  </si>
  <si>
    <t>-639.564216596685 44.0872221019029 -917.926932921248</t>
  </si>
  <si>
    <t>-660.146172299651 104.456401963098 -760.565755823243</t>
  </si>
  <si>
    <t>-577.766922709579 225.983340113018 -752.783433912864</t>
  </si>
  <si>
    <t>-511.801110397112 212.322695246119 -443.513115763019</t>
  </si>
  <si>
    <t>-341.248355397758 119.403003254778 -270.53997357047</t>
  </si>
  <si>
    <t>-686.665977413717 46.9832797573154 -754.488257524121</t>
  </si>
  <si>
    <t>-567.615887539517 216.80580670862 -240.298030648415</t>
  </si>
  <si>
    <t>-567.970134414905 190.02322636578 214.608761488612</t>
  </si>
  <si>
    <t>-631.751366340711 167.455761898616 679.774790193041</t>
  </si>
  <si>
    <t>-494.070049868521 99.1247973998029 765.321600426425</t>
  </si>
  <si>
    <t>-618.744524368414 34.8369917636128 -207.309458241134</t>
  </si>
  <si>
    <t>-511.037812646618 -21.6591390245362 231.854671777931</t>
  </si>
  <si>
    <t>-693.139871694821 40.3354922756619 660.544903757591</t>
  </si>
  <si>
    <t>-576.585830233983 -59.5627077370527 746.446089436135</t>
  </si>
  <si>
    <t>9763-20170724T160654.855568400.bin</t>
  </si>
  <si>
    <t>-593.127072959759 127.700846628349 -223.98093343834</t>
  </si>
  <si>
    <t>-635.191912150914 118.674218959497 -337.192573650418</t>
  </si>
  <si>
    <t>-657.922929177647 108.596922476656 -455.819323766404</t>
  </si>
  <si>
    <t>-670.340394122921 98.7182497635499 -564.184719682417</t>
  </si>
  <si>
    <t>-674.677788424599 87.9211127062063 -673.085916610198</t>
  </si>
  <si>
    <t>-672.281906181122 71.7892491031205 -824.525797146383</t>
  </si>
  <si>
    <t>-639.048955390534 48.1795837074603 -917.912885348363</t>
  </si>
  <si>
    <t>-660.681575801298 107.947779820493 -760.409421299867</t>
  </si>
  <si>
    <t>-581.397089459075 231.526160963481 -751.991979326387</t>
  </si>
  <si>
    <t>-511.414931093311 214.735738074916 -443.760358762475</t>
  </si>
  <si>
    <t>-329.023273260073 124.58017737548 -281.750052985132</t>
  </si>
  <si>
    <t>-686.002605392897 49.9062239229181 -754.627266844121</t>
  </si>
  <si>
    <t>-568.79128943405 219.315301759656 -240.037937924704</t>
  </si>
  <si>
    <t>-568.802087189695 191.932713706921 214.833380239102</t>
  </si>
  <si>
    <t>-631.692881132858 167.764125937652 679.916563002744</t>
  </si>
  <si>
    <t>-493.990963113203 99.415809420301 765.416279675095</t>
  </si>
  <si>
    <t>-617.312447474748 36.1158604871084 -207.295783803784</t>
  </si>
  <si>
    <t>-510.349548773696 -19.3874537932677 232.17659148182</t>
  </si>
  <si>
    <t>-693.165930211664 40.1432158625491 660.97724116843</t>
  </si>
  <si>
    <t>-576.437925315549 -59.5978563088574 746.824790532009</t>
  </si>
  <si>
    <t>9763-20170724T160654.892684200.bin</t>
  </si>
  <si>
    <t>-593.058665825414 128.464829357973 -223.923106318952</t>
  </si>
  <si>
    <t>-635.012995937036 119.254654037409 -337.160945953458</t>
  </si>
  <si>
    <t>-657.713337809871 109.130606705988 -455.789581542545</t>
  </si>
  <si>
    <t>-670.13471882004 99.2691562717193 -564.156116323477</t>
  </si>
  <si>
    <t>-674.506271139246 88.5506938689241 -673.063660640657</t>
  </si>
  <si>
    <t>-672.187693249712 72.5938191450859 -824.523316828378</t>
  </si>
  <si>
    <t>-638.892368956156 49.1444114174976 -917.928470511956</t>
  </si>
  <si>
    <t>-660.660670196461 108.723795520803 -760.377535599683</t>
  </si>
  <si>
    <t>-581.873388108846 232.568441939955 -751.764726649972</t>
  </si>
  <si>
    <t>-508.981686471449 213.701768561563 -444.328414504964</t>
  </si>
  <si>
    <t>-324.492084584663 122.917466138669 -285.067962414065</t>
  </si>
  <si>
    <t>-685.766410121911 50.5848159928914 -754.636813376954</t>
  </si>
  <si>
    <t>-568.906802062371 220.285089527814 -240.074192923675</t>
  </si>
  <si>
    <t>-569.69041199221 193.198135721524 214.814101962192</t>
  </si>
  <si>
    <t>-631.612100387328 167.914403063152 679.927971266889</t>
  </si>
  <si>
    <t>-494.002672050822 99.4342642377064 765.471092859253</t>
  </si>
  <si>
    <t>-617.028087610885 36.6211410663047 -207.17687472675</t>
  </si>
  <si>
    <t>-510.009494211132 -18.6450724744179 232.311835984216</t>
  </si>
  <si>
    <t>-693.162857732078 40.1850125299529 661.065275160253</t>
  </si>
  <si>
    <t>-576.430692409288 -59.6098417660762 746.844639008182</t>
  </si>
  <si>
    <t>9763-20170724T160654.924768900.bin</t>
  </si>
  <si>
    <t>-592.942945858559 129.14660823773 -223.888995338187</t>
  </si>
  <si>
    <t>-634.748545062883 119.774245446521 -337.168575699465</t>
  </si>
  <si>
    <t>-657.353560050622 109.606852773534 -455.811824387836</t>
  </si>
  <si>
    <t>-669.709954358607 99.7568790631856 -564.186774833</t>
  </si>
  <si>
    <t>-674.037324644851 89.1010565840777 -673.102279405009</t>
  </si>
  <si>
    <t>-671.677665300949 73.285668486029 -824.575988668166</t>
  </si>
  <si>
    <t>-638.306612527199 50.0182886495036 -917.999717223884</t>
  </si>
  <si>
    <t>-660.224793837147 109.379731117405 -760.396805281471</t>
  </si>
  <si>
    <t>-581.502100895808 233.261435618983 -751.630284191247</t>
  </si>
  <si>
    <t>-506.073682517316 212.991382723836 -444.896033950241</t>
  </si>
  <si>
    <t>-317.838645398735 123.44407893716 -289.361778552262</t>
  </si>
  <si>
    <t>-685.21870761072 51.1872237474906 -754.710366439183</t>
  </si>
  <si>
    <t>-442.431999018856 0.0119015720104017 -385.784521826367</t>
  </si>
  <si>
    <t>-568.857648902348 221.130897209289 -240.135534278089</t>
  </si>
  <si>
    <t>-570.511608950191 194.387064085826 214.770703396513</t>
  </si>
  <si>
    <t>-631.486540685438 168.134323183951 679.931769636687</t>
  </si>
  <si>
    <t>-493.98178376059 99.4996418799628 765.519373821448</t>
  </si>
  <si>
    <t>-616.822395263473 37.1053756996596 -207.073030207576</t>
  </si>
  <si>
    <t>-509.671568005219 -18.1544067680115 232.384267435285</t>
  </si>
  <si>
    <t>-693.138075081693 40.2319173040171 661.091029812377</t>
  </si>
  <si>
    <t>-576.441607036029 -59.647213812103 746.820843589029</t>
  </si>
  <si>
    <t>9763-20170724T160654.996057900.bin</t>
  </si>
  <si>
    <t>-592.538068656026 130.235231722809 -223.816395427186</t>
  </si>
  <si>
    <t>-634.085577604681 120.548323116604 -337.164331710112</t>
  </si>
  <si>
    <t>-656.487177512658 110.11713213784 -455.823154428332</t>
  </si>
  <si>
    <t>-668.683555260267 100.057708798228 -564.197116947307</t>
  </si>
  <si>
    <t>-672.874623221569 89.2266940775792 -673.100644953066</t>
  </si>
  <si>
    <t>-670.349939340414 73.2075034279353 -824.550342537425</t>
  </si>
  <si>
    <t>-636.853384104435 50.0910286983399 -917.966623379639</t>
  </si>
  <si>
    <t>-658.999644522397 109.401793372532 -760.409363971486</t>
  </si>
  <si>
    <t>-580.220504341871 233.260628941907 -751.658796564538</t>
  </si>
  <si>
    <t>-499.306649452996 210.598245650735 -446.493936350968</t>
  </si>
  <si>
    <t>-307.735317366343 119.670139944983 -295.913302848641</t>
  </si>
  <si>
    <t>-683.934395284159 51.1892379889089 -754.667688776324</t>
  </si>
  <si>
    <t>-440.514961840624 0.140952246879806 -387.179957299687</t>
  </si>
  <si>
    <t>-568.270939221766 222.503470509557 -240.35460965663</t>
  </si>
  <si>
    <t>-571.605256602481 196.303987904802 214.574207194372</t>
  </si>
  <si>
    <t>-631.141378673843 168.43814470191 679.699627923494</t>
  </si>
  <si>
    <t>-493.905800531977 99.665546300603 765.607914626825</t>
  </si>
  <si>
    <t>-616.623002466789 37.8363264666766 -206.70631208309</t>
  </si>
  <si>
    <t>-508.844045894246 -17.726495410707 232.559150163546</t>
  </si>
  <si>
    <t>-693.096737731047 40.3016000499067 661.018638101501</t>
  </si>
  <si>
    <t>-576.486620249385 -59.7353420489153 746.681948091025</t>
  </si>
  <si>
    <t>9763-20170724T160655.026143600.bin</t>
  </si>
  <si>
    <t>-592.233599787803 130.630401108512 -223.849082668241</t>
  </si>
  <si>
    <t>-633.676525154588 120.85634505943 -337.228052649285</t>
  </si>
  <si>
    <t>-655.986745941228 110.304032860807 -455.893220602261</t>
  </si>
  <si>
    <t>-668.107321666873 100.125997193197 -564.264614801147</t>
  </si>
  <si>
    <t>-672.230160732 89.1698797646125 -673.158187092479</t>
  </si>
  <si>
    <t>-669.61875594291 72.972640048466 -824.587508089003</t>
  </si>
  <si>
    <t>-636.027181040913 49.8770264902632 -917.974873870486</t>
  </si>
  <si>
    <t>-658.296074078854 109.238414286802 -760.482009196463</t>
  </si>
  <si>
    <t>-579.450701914806 233.027117818353 -751.751837369167</t>
  </si>
  <si>
    <t>-494.718554799565 210.293135426915 -447.630487847283</t>
  </si>
  <si>
    <t>-302.286586358965 118.219714181455 -298.853895165353</t>
  </si>
  <si>
    <t>-683.252258615084 51.0405506739935 -754.687527993447</t>
  </si>
  <si>
    <t>-567.787076025873 223.136721132975 -240.512333949836</t>
  </si>
  <si>
    <t>-571.687465812076 196.964146779971 214.413430103961</t>
  </si>
  <si>
    <t>-630.904248224678 168.697135426592 679.602379181507</t>
  </si>
  <si>
    <t>-493.927592589345 99.6086072417359 765.670281369377</t>
  </si>
  <si>
    <t>-616.531083630021 38.0390605263808 -206.641653170008</t>
  </si>
  <si>
    <t>-508.327411187972 -17.7485581336807 232.490808903986</t>
  </si>
  <si>
    <t>-692.981957144622 40.2512429202027 660.763659527248</t>
  </si>
  <si>
    <t>-576.540044176789 -59.8365184085801 746.596222006832</t>
  </si>
  <si>
    <t>9763-20170724T160655.092329500.bin</t>
  </si>
  <si>
    <t>-591.596200770897 131.081144357883 -223.782475509451</t>
  </si>
  <si>
    <t>-632.85021218265 121.172756132593 -337.218465886909</t>
  </si>
  <si>
    <t>-654.932915627461 110.395832301736 -455.906260485498</t>
  </si>
  <si>
    <t>-666.835023506129 99.9811757579782 -564.279267692536</t>
  </si>
  <si>
    <t>-670.728209518727 88.7572512599211 -673.15416697814</t>
  </si>
  <si>
    <t>-667.787453272922 72.1572222450684 -824.5337250876</t>
  </si>
  <si>
    <t>-633.912787063783 48.9393145747576 -917.788344247291</t>
  </si>
  <si>
    <t>-656.535079969478 108.564254785402 -760.49592877925</t>
  </si>
  <si>
    <t>-577.114395165842 232.045604180179 -751.973357738692</t>
  </si>
  <si>
    <t>-487.148304079838 208.730541446013 -449.40306737128</t>
  </si>
  <si>
    <t>-296.829871875799 112.739404322582 -300.384040255103</t>
  </si>
  <si>
    <t>-681.64208869792 50.44033555184 -754.609889934954</t>
  </si>
  <si>
    <t>-566.889991003715 223.891369227348 -240.553428086603</t>
  </si>
  <si>
    <t>-571.508473649653 197.705167341844 214.364893857976</t>
  </si>
  <si>
    <t>-630.803728771446 168.944526285333 679.603548822718</t>
  </si>
  <si>
    <t>-493.948875453117 99.6539276240067 765.702788270251</t>
  </si>
  <si>
    <t>-616.158097952296 38.2786718343068 -206.387521855072</t>
  </si>
  <si>
    <t>-506.951607579261 -18.0089431653621 232.43284139472</t>
  </si>
  <si>
    <t>-692.607125713323 40.1821017756658 660.223281820861</t>
  </si>
  <si>
    <t>-576.673478326465 -60.0877540941949 746.530009250518</t>
  </si>
  <si>
    <t>9763-20170724T160655.123402500.bin</t>
  </si>
  <si>
    <t>-591.293992789135 131.154364983058 -223.725973799327</t>
  </si>
  <si>
    <t>-632.498305411277 121.197960638322 -337.176029614337</t>
  </si>
  <si>
    <t>-654.475074697642 110.31906782711 -455.874077932988</t>
  </si>
  <si>
    <t>-666.25971358894 99.7891246410757 -564.248741939807</t>
  </si>
  <si>
    <t>-670.014482561673 88.4266402634551 -673.114099003222</t>
  </si>
  <si>
    <t>-666.860827457755 71.6091372056574 -824.465486377899</t>
  </si>
  <si>
    <t>-632.85947987602 48.2695751663764 -917.643488486651</t>
  </si>
  <si>
    <t>-655.654581049444 108.089377816887 -760.461220908411</t>
  </si>
  <si>
    <t>-575.870312034064 231.32968752954 -752.056410583312</t>
  </si>
  <si>
    <t>-484.707501295149 208.036890927479 -449.842974435312</t>
  </si>
  <si>
    <t>-296.04684105461 110.678790962732 -299.607728148718</t>
  </si>
  <si>
    <t>-680.857842576551 50.0113682861013 -754.533108452068</t>
  </si>
  <si>
    <t>-566.542027642024 224.077410271828 -240.542210066442</t>
  </si>
  <si>
    <t>-571.363609020259 197.919198334553 214.375622119384</t>
  </si>
  <si>
    <t>-630.742446888589 169.025982634573 679.553807198751</t>
  </si>
  <si>
    <t>-493.934688531417 99.6883550850298 765.689996655577</t>
  </si>
  <si>
    <t>-615.934436178713 38.2407114233508 -206.267342049141</t>
  </si>
  <si>
    <t>-506.083431571753 -18.077826497087 232.388242125984</t>
  </si>
  <si>
    <t>-692.311903129206 40.2396779720648 659.885031302785</t>
  </si>
  <si>
    <t>-576.680908570642 -60.1162610746683 746.497208436631</t>
  </si>
  <si>
    <t>9763-20170724T160655.191307400.bin</t>
  </si>
  <si>
    <t>-590.765013006046 131.302716085901 -223.68998210072</t>
  </si>
  <si>
    <t>-631.928147876009 121.30873375052 -337.151616801685</t>
  </si>
  <si>
    <t>-653.643888376829 110.283104257182 -455.884160881634</t>
  </si>
  <si>
    <t>-665.103744275433 99.5696892614455 -564.275835695788</t>
  </si>
  <si>
    <t>-668.447177359859 87.9690337208579 -673.129347317622</t>
  </si>
  <si>
    <t>-664.634519070249 70.7603584137453 -824.421636911037</t>
  </si>
  <si>
    <t>-630.344424866635 47.105700324611 -917.414243911443</t>
  </si>
  <si>
    <t>-653.624658798021 107.370703713107 -760.457670582869</t>
  </si>
  <si>
    <t>-573.258770931306 230.212813255399 -751.920388380294</t>
  </si>
  <si>
    <t>-480.977769941588 205.919400287745 -450.125283867394</t>
  </si>
  <si>
    <t>-293.766439931059 107.435313295443 -298.81478612469</t>
  </si>
  <si>
    <t>-679.018325660649 49.3786477154461 -754.501300062693</t>
  </si>
  <si>
    <t>-565.93292480961 224.426349829365 -240.53774019847</t>
  </si>
  <si>
    <t>-570.789698794672 198.022914218807 214.365498818258</t>
  </si>
  <si>
    <t>-630.657248905747 169.058643445381 679.444811960797</t>
  </si>
  <si>
    <t>-493.818844004632 99.8975092261303 765.674166791782</t>
  </si>
  <si>
    <t>-615.458456753231 38.3626488204766 -206.142471490472</t>
  </si>
  <si>
    <t>-504.458183578662 -17.9998824282559 232.217997747932</t>
  </si>
  <si>
    <t>-691.747922417891 40.3999883080603 659.246335663121</t>
  </si>
  <si>
    <t>-576.861806918765 -60.3320704376617 746.411366018018</t>
  </si>
  <si>
    <t>9763-20170724T160655.223399800.bin</t>
  </si>
  <si>
    <t>-590.520333013417 131.416442140172 -223.676627535907</t>
  </si>
  <si>
    <t>-631.684930250954 121.415155464234 -337.136933192627</t>
  </si>
  <si>
    <t>-653.266641242945 110.371983360106 -455.89242605931</t>
  </si>
  <si>
    <t>-664.549388216607 99.6350068802051 -564.30022189015</t>
  </si>
  <si>
    <t>-667.660312853814 88.0010076493354 -673.157011962146</t>
  </si>
  <si>
    <t>-663.467899745994 70.7339790446467 -824.43255620626</t>
  </si>
  <si>
    <t>-629.03336539077 46.9503520734174 -917.338847091888</t>
  </si>
  <si>
    <t>-652.594203988772 107.358457295412 -760.453425026972</t>
  </si>
  <si>
    <t>-571.950160645617 230.029964666302 -751.766527418961</t>
  </si>
  <si>
    <t>-479.757357473579 204.890579087301 -450.013911186075</t>
  </si>
  <si>
    <t>-291.996127270045 106.593242012133 -299.264417852441</t>
  </si>
  <si>
    <t>-678.051639020372 49.3897245287183 -754.542191044311</t>
  </si>
  <si>
    <t>-565.627447112181 224.646263815327 -240.559891989888</t>
  </si>
  <si>
    <t>-570.436335238954 198.098742054949 214.335477834915</t>
  </si>
  <si>
    <t>-630.537904623843 169.131076827076 679.356668506134</t>
  </si>
  <si>
    <t>-493.793877444531 99.904182806838 765.682935564925</t>
  </si>
  <si>
    <t>-615.292464330707 38.3606346153354 -206.099227861223</t>
  </si>
  <si>
    <t>-503.803138867278 -17.8772654768011 232.153078631529</t>
  </si>
  <si>
    <t>-691.63109641118 40.3188810849856 659.031745171087</t>
  </si>
  <si>
    <t>-576.703919592168 -60.2566549537771 746.32329205702</t>
  </si>
  <si>
    <t>9763-20170724T160655.298600400.bin</t>
  </si>
  <si>
    <t>-590.27635349772 131.630534075302 -223.86906918632</t>
  </si>
  <si>
    <t>-631.423672071629 121.598217971416 -337.332947630931</t>
  </si>
  <si>
    <t>-652.818370534895 110.484563640293 -456.115613704334</t>
  </si>
  <si>
    <t>-663.862641054973 99.6658790442941 -564.539888854376</t>
  </si>
  <si>
    <t>-666.666303954033 87.9314350975617 -673.394333575154</t>
  </si>
  <si>
    <t>-661.976761997226 70.5043822375701 -824.636913347946</t>
  </si>
  <si>
    <t>-627.273349446607 46.4569923100371 -917.375229027155</t>
  </si>
  <si>
    <t>-651.311978688325 107.196109679985 -760.661043175629</t>
  </si>
  <si>
    <t>-570.701569034887 229.859877421912 -751.736971744963</t>
  </si>
  <si>
    <t>-476.293279251888 203.374377308605 -450.785332035135</t>
  </si>
  <si>
    <t>-287.677236977088 104.842173451456 -301.261381673586</t>
  </si>
  <si>
    <t>-676.791387210121 49.2346545996595 -754.772433469335</t>
  </si>
  <si>
    <t>-565.274371377931 224.956286492928 -240.787627820053</t>
  </si>
  <si>
    <t>-570.218840859286 198.320294511843 214.101016107378</t>
  </si>
  <si>
    <t>-630.254151290573 169.162803665772 679.028659196814</t>
  </si>
  <si>
    <t>-493.719206932331 99.974930590932 765.716382851522</t>
  </si>
  <si>
    <t>-615.185617992031 38.4161281672893 -206.249711636296</t>
  </si>
  <si>
    <t>-502.965221442934 -17.0224450937662 231.917827212646</t>
  </si>
  <si>
    <t>-691.380518846136 40.5094914927301 658.661551892563</t>
  </si>
  <si>
    <t>-576.773563418525 -60.2640287581555 746.145581477817</t>
  </si>
  <si>
    <t>9763-20170724T160655.339707500.bin</t>
  </si>
  <si>
    <t>-590.25502049858 131.635436525212 -224.050945680773</t>
  </si>
  <si>
    <t>-631.406294995592 121.615356508521 -337.514556971452</t>
  </si>
  <si>
    <t>-652.77010642184 110.490618062716 -456.301697161562</t>
  </si>
  <si>
    <t>-663.772406860596 99.6518625840044 -564.728292868495</t>
  </si>
  <si>
    <t>-666.520315684836 87.8870146472168 -673.580766836236</t>
  </si>
  <si>
    <t>-661.739319360399 70.4067812713126 -824.814492055611</t>
  </si>
  <si>
    <t>-626.915507615626 46.2927097854697 -917.490142198269</t>
  </si>
  <si>
    <t>-651.128492876841 107.127420001202 -760.84636151099</t>
  </si>
  <si>
    <t>-570.597965805346 229.840289565056 -751.856552360267</t>
  </si>
  <si>
    <t>-474.444495090852 202.722407531225 -451.514566170863</t>
  </si>
  <si>
    <t>-285.49546564045 104.30056733502 -302.338499990926</t>
  </si>
  <si>
    <t>-676.581107726102 49.1549704957308 -754.950111325045</t>
  </si>
  <si>
    <t>-565.239581440994 225.051807193612 -240.943413061754</t>
  </si>
  <si>
    <t>-570.166645037169 198.353163314666 213.941814700808</t>
  </si>
  <si>
    <t>-630.167499464171 169.16932967562 678.944855396992</t>
  </si>
  <si>
    <t>-493.699450115542 99.9828774464283 765.73897255426</t>
  </si>
  <si>
    <t>-615.17813978725 38.3324444147268 -206.452705660671</t>
  </si>
  <si>
    <t>-502.858078683499 -16.6634929640736 231.745141066313</t>
  </si>
  <si>
    <t>-691.347720066531 40.4834668430969 658.529956030122</t>
  </si>
  <si>
    <t>-576.757579862834 -60.2631294204241 746.066995984286</t>
  </si>
  <si>
    <t>9763-20170724T160655.392862800.bin</t>
  </si>
  <si>
    <t>-590.357622804815 131.599314950918 -224.126324081929</t>
  </si>
  <si>
    <t>-631.507862176195 121.630972960021 -337.594716744844</t>
  </si>
  <si>
    <t>-652.771698076294 110.482666810499 -456.397604009687</t>
  </si>
  <si>
    <t>-663.644041157233 99.5876082894249 -564.831764789065</t>
  </si>
  <si>
    <t>-666.22392759766 87.7285274684668 -673.678279312371</t>
  </si>
  <si>
    <t>-661.171722816541 70.0752836648462 -824.882924755561</t>
  </si>
  <si>
    <t>-626.136985341609 45.9316480570433 -917.471388310532</t>
  </si>
  <si>
    <t>-650.694941044137 106.877323863861 -760.939343944372</t>
  </si>
  <si>
    <t>-570.182094314495 229.601934518775 -751.872473856803</t>
  </si>
  <si>
    <t>-470.542972788354 201.07870177164 -452.799469042031</t>
  </si>
  <si>
    <t>-281.673607624227 102.788234241646 -303.436278212109</t>
  </si>
  <si>
    <t>-676.119513242465 48.8951232959455 -755.019521542582</t>
  </si>
  <si>
    <t>-565.448325934515 225.120769016931 -240.900231815623</t>
  </si>
  <si>
    <t>-570.208233936382 198.329375779422 213.981358242038</t>
  </si>
  <si>
    <t>-630.318824644956 169.082261139121 679.042583394371</t>
  </si>
  <si>
    <t>-493.68317568512 100.07567968928 765.716076804267</t>
  </si>
  <si>
    <t>-615.144995169388 38.1865883079361 -206.652085330415</t>
  </si>
  <si>
    <t>-502.838696507297 -16.3502163947639 231.606632007999</t>
  </si>
  <si>
    <t>-691.379960317855 40.514876499298 658.476693549284</t>
  </si>
  <si>
    <t>-576.692740399944 -60.1846065962573 745.940773530396</t>
  </si>
  <si>
    <t>9763-20170724T160655.422943600.bin</t>
  </si>
  <si>
    <t>-590.438636814773 131.522661061536 -224.071833138802</t>
  </si>
  <si>
    <t>-631.579483621825 121.57992054019 -337.545882964165</t>
  </si>
  <si>
    <t>-652.787605901857 110.416277398405 -456.357429098389</t>
  </si>
  <si>
    <t>-663.591337593179 99.4898034613595 -564.795175308715</t>
  </si>
  <si>
    <t>-666.084874030807 87.5815171327806 -673.638252110319</t>
  </si>
  <si>
    <t>-660.895045454825 69.8409763452655 -824.827981271167</t>
  </si>
  <si>
    <t>-625.793063652661 45.6754524395342 -917.385393436209</t>
  </si>
  <si>
    <t>-650.473937718986 106.679044597601 -760.896041435939</t>
  </si>
  <si>
    <t>-569.909818906097 229.35918731199 -751.820835955751</t>
  </si>
  <si>
    <t>-469.012882469362 200.318577701507 -453.219737260109</t>
  </si>
  <si>
    <t>-279.639095306603 102.567300465005 -304.141594001436</t>
  </si>
  <si>
    <t>-675.908754890928 48.7022727618837 -754.966341265151</t>
  </si>
  <si>
    <t>-565.521828409492 225.020996818949 -240.815382410132</t>
  </si>
  <si>
    <t>-570.270491597651 198.269375101637 214.068631431245</t>
  </si>
  <si>
    <t>-630.436229446168 169.001874096684 679.116542776937</t>
  </si>
  <si>
    <t>-493.688865184919 100.084323625618 765.684685033976</t>
  </si>
  <si>
    <t>-615.193024257206 38.1083958385582 -206.622962362142</t>
  </si>
  <si>
    <t>-502.863950294451 -16.4196728803563 231.631019360831</t>
  </si>
  <si>
    <t>-691.380875035367 40.5104377239511 658.418248006369</t>
  </si>
  <si>
    <t>-576.675934762733 -60.1701804621689 745.88082062625</t>
  </si>
  <si>
    <t>9763-20170724T160655.491047400.bin</t>
  </si>
  <si>
    <t>-590.395563597996 131.393520179983 -223.902675241032</t>
  </si>
  <si>
    <t>-631.492809226427 121.475784509976 -337.394864755054</t>
  </si>
  <si>
    <t>-652.608092028353 110.288254076796 -456.220556818216</t>
  </si>
  <si>
    <t>-663.309263893226 99.3151082981965 -564.663801889442</t>
  </si>
  <si>
    <t>-665.682869807514 87.3322171061011 -673.501306316158</t>
  </si>
  <si>
    <t>-660.309883501555 69.4562115691297 -824.668836968783</t>
  </si>
  <si>
    <t>-625.09291610477 45.186942305349 -917.155280935191</t>
  </si>
  <si>
    <t>-649.925636663133 106.334047009404 -760.753807470635</t>
  </si>
  <si>
    <t>-569.138341146135 228.854785900243 -751.589040352073</t>
  </si>
  <si>
    <t>-466.021191231997 198.6227011138 -453.865922768857</t>
  </si>
  <si>
    <t>-276.43464471285 100.704451928278 -305.168066571136</t>
  </si>
  <si>
    <t>-675.448878895698 48.3975377309132 -754.809904472167</t>
  </si>
  <si>
    <t>-565.502979796326 224.865906591456 -240.61096147344</t>
  </si>
  <si>
    <t>-570.309979109199 198.20787497819 214.277937644492</t>
  </si>
  <si>
    <t>-630.562268603382 169.043847159783 679.253473885469</t>
  </si>
  <si>
    <t>-493.705369229848 100.109457616799 765.634912782029</t>
  </si>
  <si>
    <t>-615.118757344744 38.056748723405 -206.502970721296</t>
  </si>
  <si>
    <t>-502.808807451644 -16.6586910323458 231.732550239613</t>
  </si>
  <si>
    <t>-691.365654632279 40.6519022414736 658.431306978469</t>
  </si>
  <si>
    <t>-576.810362142808 -60.2779296112419 745.8027283438</t>
  </si>
  <si>
    <t>9763-20170724T160655.524135900.bin</t>
  </si>
  <si>
    <t>-590.474774224481 131.344521465003 -223.886309871046</t>
  </si>
  <si>
    <t>-631.556484547852 121.44130068981 -337.385322353946</t>
  </si>
  <si>
    <t>-652.627659007385 110.265306333469 -456.220045981383</t>
  </si>
  <si>
    <t>-663.277430368268 99.2971575550623 -564.668752355029</t>
  </si>
  <si>
    <t>-665.589015251265 87.310787746547 -673.507239399173</t>
  </si>
  <si>
    <t>-660.11937142804 69.4189376394877 -824.669452385311</t>
  </si>
  <si>
    <t>-624.853618495594 45.0883142106311 -917.121159437275</t>
  </si>
  <si>
    <t>-649.748238517426 106.291447153197 -760.749313933523</t>
  </si>
  <si>
    <t>-568.816515999772 228.717303838919 -751.530829472966</t>
  </si>
  <si>
    <t>-464.633700456269 197.926298382897 -454.236334943514</t>
  </si>
  <si>
    <t>-274.329860420022 100.453175586337 -306.163689005911</t>
  </si>
  <si>
    <t>-675.330770773553 48.3796360064396 -754.820436587014</t>
  </si>
  <si>
    <t>-565.586724793332 224.873494783726 -240.601683768182</t>
  </si>
  <si>
    <t>-570.391282280189 198.23050647013 214.288106778912</t>
  </si>
  <si>
    <t>-630.527504616463 169.026168246341 679.201267731609</t>
  </si>
  <si>
    <t>-493.688243236177 100.121546591057 765.634361918799</t>
  </si>
  <si>
    <t>-615.232940889465 37.9265808033274 -206.496597356661</t>
  </si>
  <si>
    <t>-502.907081855629 -16.632879948218 231.754292165004</t>
  </si>
  <si>
    <t>-691.48798402136 40.6256256533868 658.499360053899</t>
  </si>
  <si>
    <t>-576.657439357539 -60.1320097247124 745.708028533752</t>
  </si>
  <si>
    <t>9763-20170724T160655.592028500.bin</t>
  </si>
  <si>
    <t>-590.782124187936 131.421952963229 -223.915397825063</t>
  </si>
  <si>
    <t>-631.745381784036 121.504455673745 -337.455893706177</t>
  </si>
  <si>
    <t>-652.705927022218 110.310532787562 -456.308340513446</t>
  </si>
  <si>
    <t>-663.261105038292 99.3167927704653 -564.763759452673</t>
  </si>
  <si>
    <t>-665.484578292368 87.2913057024864 -673.599971875204</t>
  </si>
  <si>
    <t>-659.900921154856 69.3265288046259 -824.749238001582</t>
  </si>
  <si>
    <t>-624.554115196793 44.8626215954212 -917.134790032532</t>
  </si>
  <si>
    <t>-649.531462353385 106.209671521519 -760.835043146689</t>
  </si>
  <si>
    <t>-568.355991752574 228.472132643913 -751.571847995093</t>
  </si>
  <si>
    <t>-461.920189502 196.227667339613 -455.230968059336</t>
  </si>
  <si>
    <t>-270.969781206662 98.8439162437292 -307.933899801369</t>
  </si>
  <si>
    <t>-675.211517806301 48.3411643194245 -754.905770141327</t>
  </si>
  <si>
    <t>-565.858652378516 224.938701718687 -240.654131282002</t>
  </si>
  <si>
    <t>-570.592737255195 198.328034684634 214.238272439307</t>
  </si>
  <si>
    <t>-630.38834802407 169.103072935401 679.131146366032</t>
  </si>
  <si>
    <t>-493.647552517942 100.168716705902 765.696229573617</t>
  </si>
  <si>
    <t>-615.547720406291 38.0471034404109 -206.556412037372</t>
  </si>
  <si>
    <t>-503.285424506001 -16.3413219474987 231.731987701512</t>
  </si>
  <si>
    <t>-691.721667371448 40.798890232521 658.632273244649</t>
  </si>
  <si>
    <t>-576.74694873548 -60.1437551187912 745.436111520751</t>
  </si>
  <si>
    <t>9763-20170724T160655.627130500.bin</t>
  </si>
  <si>
    <t>-590.958916290831 131.527115591765 -223.984851855597</t>
  </si>
  <si>
    <t>-631.912332295836 121.623431685887 -337.530060819711</t>
  </si>
  <si>
    <t>-652.860750302416 110.417881957908 -456.383624994924</t>
  </si>
  <si>
    <t>-663.404662778916 99.3993609859633 -564.837610810659</t>
  </si>
  <si>
    <t>-665.617833377285 87.331749929966 -673.669367278111</t>
  </si>
  <si>
    <t>-660.021388078431 69.2885142267373 -824.808734402047</t>
  </si>
  <si>
    <t>-624.637027027567 44.7357088282608 -917.156407608945</t>
  </si>
  <si>
    <t>-649.623910142185 106.190254824394 -760.909779091431</t>
  </si>
  <si>
    <t>-568.259664811525 228.343557671003 -751.6905908226</t>
  </si>
  <si>
    <t>-460.793068431575 195.462855588446 -455.792088987116</t>
  </si>
  <si>
    <t>-269.240948160388 98.5018881870753 -308.998352936688</t>
  </si>
  <si>
    <t>-675.371361769006 48.3539294486282 -754.958532472538</t>
  </si>
  <si>
    <t>-566.035957103127 225.065557085717 -240.695201123777</t>
  </si>
  <si>
    <t>-570.67642434615 198.409046776459 214.195478134909</t>
  </si>
  <si>
    <t>-630.334799024743 169.153212336464 679.104325164072</t>
  </si>
  <si>
    <t>-493.668997611322 100.146589105936 765.730280834186</t>
  </si>
  <si>
    <t>-615.740543114763 38.0740873908455 -206.644168201828</t>
  </si>
  <si>
    <t>-503.502575884655 -16.1810153744443 231.667057351069</t>
  </si>
  <si>
    <t>-691.876945908414 40.7268361017009 658.645521301915</t>
  </si>
  <si>
    <t>-576.741562073312 -60.171323505969 745.28797819537</t>
  </si>
  <si>
    <t>9763-20170724T160655.693307600.bin</t>
  </si>
  <si>
    <t>-591.40726978521 131.694347973327 -224.094227131922</t>
  </si>
  <si>
    <t>-632.346765401459 121.845683371146 -337.649451789155</t>
  </si>
  <si>
    <t>-653.27213844793 110.542816756819 -456.497902238894</t>
  </si>
  <si>
    <t>-663.795119339736 99.3699819921055 -564.938100373976</t>
  </si>
  <si>
    <t>-665.989476090877 87.0797200624459 -673.745163315952</t>
  </si>
  <si>
    <t>-660.371688546509 68.6536996698194 -824.837566688197</t>
  </si>
  <si>
    <t>-624.903187078308 43.8504230499013 -917.085908842656</t>
  </si>
  <si>
    <t>-649.925747065168 105.692100709058 -761.025624554488</t>
  </si>
  <si>
    <t>-568.40148333528 227.746124687248 -752.099539999114</t>
  </si>
  <si>
    <t>-458.102411044967 194.220719223359 -457.317681503061</t>
  </si>
  <si>
    <t>-266.377801410338 97.8114628144017 -310.38582744597</t>
  </si>
  <si>
    <t>-675.788974181301 47.921245393112 -754.942052149677</t>
  </si>
  <si>
    <t>-566.3887650018 225.233836281688 -240.786619942852</t>
  </si>
  <si>
    <t>-570.775621916382 198.532090489455 214.103938162721</t>
  </si>
  <si>
    <t>-630.23572286806 169.223193675065 679.037628948873</t>
  </si>
  <si>
    <t>-493.671986559588 100.143532533877 765.766258972684</t>
  </si>
  <si>
    <t>-616.234300239896 38.2363642805053 -206.790445234491</t>
  </si>
  <si>
    <t>-503.808354345188 -16.1432504062793 231.457138358432</t>
  </si>
  <si>
    <t>-691.966650975941 40.7420841350995 658.487981900658</t>
  </si>
  <si>
    <t>-576.822980831113 -60.2605553153246 744.997605653195</t>
  </si>
  <si>
    <t>9763-20170724T160655.725392300.bin</t>
  </si>
  <si>
    <t>-591.587651926842 131.744552595398 -224.172660560511</t>
  </si>
  <si>
    <t>-632.541979274736 121.950194100603 -337.727165427678</t>
  </si>
  <si>
    <t>-653.480782344765 110.624563856955 -456.571047635087</t>
  </si>
  <si>
    <t>-664.016661277601 99.3983877077433 -565.004483472254</t>
  </si>
  <si>
    <t>-666.225928997835 87.0209813520075 -673.801444949624</t>
  </si>
  <si>
    <t>-660.631890358673 68.4380995166093 -824.875627033739</t>
  </si>
  <si>
    <t>-625.125174008938 43.4953561816969 -917.07168336436</t>
  </si>
  <si>
    <t>-650.139447375103 105.526739110711 -761.100502573919</t>
  </si>
  <si>
    <t>-568.477342548043 227.502547042581 -752.325286485368</t>
  </si>
  <si>
    <t>-456.646207214698 194.084378163113 -458.108953202675</t>
  </si>
  <si>
    <t>-264.275922672884 98.6478896741671 -311.386153341918</t>
  </si>
  <si>
    <t>-676.074626211793 47.794256639153 -754.959393792644</t>
  </si>
  <si>
    <t>-566.539680660943 225.276344475637 -240.840359254368</t>
  </si>
  <si>
    <t>-570.788746881443 198.540939326516 214.049565783852</t>
  </si>
  <si>
    <t>-630.194589155529 169.234574588367 678.985277347742</t>
  </si>
  <si>
    <t>-493.683676729131 100.124518247738 765.772848378738</t>
  </si>
  <si>
    <t>-616.459457881166 38.275510235633 -206.896978513623</t>
  </si>
  <si>
    <t>-503.951637513833 -16.2254076261243 231.314478746776</t>
  </si>
  <si>
    <t>-691.979366029447 40.7480605374071 658.389389923462</t>
  </si>
  <si>
    <t>-576.866166753673 -60.3049257444288 744.880761955408</t>
  </si>
  <si>
    <t>9763-20170724T160655.788565500.bin</t>
  </si>
  <si>
    <t>-592.104615180064 131.849266617392 -224.325885063869</t>
  </si>
  <si>
    <t>-633.085634282241 122.134201841416 -337.877605373664</t>
  </si>
  <si>
    <t>-654.052631513137 110.679902218018 -456.704043557463</t>
  </si>
  <si>
    <t>-664.618795615774 99.2523210294546 -565.113543784031</t>
  </si>
  <si>
    <t>-666.865146554105 86.5894312887465 -673.876948702703</t>
  </si>
  <si>
    <t>-661.332394277666 67.5222585694064 -824.892937100975</t>
  </si>
  <si>
    <t>-625.793161656544 42.139293101457 -916.956224229047</t>
  </si>
  <si>
    <t>-650.730548752369 104.778361787933 -761.233609556994</t>
  </si>
  <si>
    <t>-568.738493162023 226.560877126665 -752.854228877372</t>
  </si>
  <si>
    <t>-454.360651137328 193.215653705467 -459.610323841283</t>
  </si>
  <si>
    <t>-261.547145684388 98.5133156062034 -312.993509056797</t>
  </si>
  <si>
    <t>-676.830356096723 47.1394518056286 -754.912358602679</t>
  </si>
  <si>
    <t>-566.808503862522 225.358301128708 -240.971520082338</t>
  </si>
  <si>
    <t>-570.976600382395 198.627576362457 213.919493393622</t>
  </si>
  <si>
    <t>-630.147316106146 169.26098790498 678.914032347641</t>
  </si>
  <si>
    <t>-493.719015496991 100.077473317066 765.772978003765</t>
  </si>
  <si>
    <t>-617.274976412963 38.3893936678396 -207.039444785857</t>
  </si>
  <si>
    <t>-504.473364922222 -16.3935329025055 231.061294991089</t>
  </si>
  <si>
    <t>-692.072502355787 40.7403402521368 658.302327113265</t>
  </si>
  <si>
    <t>-576.910383890393 -60.3256748809461 744.71327954961</t>
  </si>
  <si>
    <t>9763-20170724T160655.834687800.bin</t>
  </si>
  <si>
    <t>-592.341791996516 131.815360993556 -224.405412237761</t>
  </si>
  <si>
    <t>-633.320087124275 122.157254152417 -337.962955629963</t>
  </si>
  <si>
    <t>-654.314865984479 110.684011542892 -456.782829006015</t>
  </si>
  <si>
    <t>-664.920318033673 99.208544771803 -565.183311820216</t>
  </si>
  <si>
    <t>-667.221267701799 86.4670078088091 -673.936413370313</t>
  </si>
  <si>
    <t>-661.781001004416 67.2588170670858 -824.937907938012</t>
  </si>
  <si>
    <t>-626.263213124484 41.6688834224683 -916.952141053617</t>
  </si>
  <si>
    <t>-651.099325703584 104.556217336337 -761.316099996239</t>
  </si>
  <si>
    <t>-568.915597386838 226.21200112285 -753.129703836342</t>
  </si>
  <si>
    <t>-453.382084645635 193.386225589323 -460.280480188869</t>
  </si>
  <si>
    <t>-260.229346919023 98.6832188756609 -314.111322892439</t>
  </si>
  <si>
    <t>-677.276998669467 46.9594442227399 -754.932555023198</t>
  </si>
  <si>
    <t>-566.895392575241 225.308971517409 -241.039427705064</t>
  </si>
  <si>
    <t>-570.999489896981 198.550180596574 213.85046227109</t>
  </si>
  <si>
    <t>-630.133832993143 169.254519681876 678.872872429151</t>
  </si>
  <si>
    <t>-493.764172303452 99.9996144808822 765.766970378925</t>
  </si>
  <si>
    <t>-617.627121953248 38.3392890046284 -207.149136481265</t>
  </si>
  <si>
    <t>-504.776960002871 -16.538211866987 230.927290633196</t>
  </si>
  <si>
    <t>-692.147352435375 40.6796285461626 658.278063365734</t>
  </si>
  <si>
    <t>-576.933833300791 -60.3642751139839 744.646413617266</t>
  </si>
  <si>
    <t>9763-20170724T160655.889687300.bin</t>
  </si>
  <si>
    <t>-592.721556049027 131.823029431352 -224.548049431024</t>
  </si>
  <si>
    <t>-633.710121692614 122.274468025935 -338.111145992416</t>
  </si>
  <si>
    <t>-654.764921141 110.689501009944 -456.909455842334</t>
  </si>
  <si>
    <t>-665.449276782317 99.025281197117 -565.282169437746</t>
  </si>
  <si>
    <t>-667.856060581818 86.009137166712 -674.000310703688</t>
  </si>
  <si>
    <t>-662.593080232095 66.3313794829319 -824.947615115467</t>
  </si>
  <si>
    <t>-627.205822412896 40.2593031404613 -916.876729027807</t>
  </si>
  <si>
    <t>-651.777166607977 103.79991552559 -761.449281522299</t>
  </si>
  <si>
    <t>-569.410561148094 225.373031162739 -753.751094820563</t>
  </si>
  <si>
    <t>-451.512305771578 193.194468587406 -461.773829955478</t>
  </si>
  <si>
    <t>-257.987965462028 98.8176994928547 -315.885623060589</t>
  </si>
  <si>
    <t>-678.066398814949 46.2764490568854 -754.867038485053</t>
  </si>
  <si>
    <t>-567.023002397522 225.253043018851 -241.140511877613</t>
  </si>
  <si>
    <t>-571.016635918564 198.414480501074 213.74563290283</t>
  </si>
  <si>
    <t>-630.100069497539 169.295111122463 678.802058819956</t>
  </si>
  <si>
    <t>-493.869121488146 99.8366659647263 765.751300849403</t>
  </si>
  <si>
    <t>-618.240898748081 38.458672068773 -207.311248846191</t>
  </si>
  <si>
    <t>-505.432107867919 -16.9157900211794 230.713327785097</t>
  </si>
  <si>
    <t>-692.266680989426 40.5743750952258 658.244284143291</t>
  </si>
  <si>
    <t>-576.9579785534 -60.4075901021015 744.557973214106</t>
  </si>
  <si>
    <t>9763-20170724T160655.926788300.bin</t>
  </si>
  <si>
    <t>-592.86668848532 131.868308275409 -224.629243768226</t>
  </si>
  <si>
    <t>-633.866316160507 122.374971959457 -338.192935417606</t>
  </si>
  <si>
    <t>-654.967414626823 110.741501520199 -456.97830235332</t>
  </si>
  <si>
    <t>-665.710193519262 98.9920449190518 -565.336141735496</t>
  </si>
  <si>
    <t>-668.193015293592 85.8500891823032 -674.037314038195</t>
  </si>
  <si>
    <t>-663.054880296246 65.9560081105446 -824.960679917182</t>
  </si>
  <si>
    <t>-627.76502715246 39.685649533531 -916.870797819965</t>
  </si>
  <si>
    <t>-652.156293413027 103.501910750934 -761.522227524617</t>
  </si>
  <si>
    <t>-569.660318468734 225.00115115276 -754.020048449294</t>
  </si>
  <si>
    <t>-451.087045786933 192.862477202174 -462.311950811498</t>
  </si>
  <si>
    <t>-257.53923674051 98.719640802572 -316.303572923797</t>
  </si>
  <si>
    <t>-678.500491375467 46.0150169201088 -754.841333920417</t>
  </si>
  <si>
    <t>-567.071849583036 225.281564723578 -241.194666106873</t>
  </si>
  <si>
    <t>-570.994006507493 198.384554031777 213.688636326189</t>
  </si>
  <si>
    <t>-630.094183100604 169.286256507502 678.764284771941</t>
  </si>
  <si>
    <t>-493.880926752913 99.82667851272 765.740344233011</t>
  </si>
  <si>
    <t>-618.493989812959 38.5073927910275 -207.404332962926</t>
  </si>
  <si>
    <t>-505.752754253583 -17.1095424159655 230.606897457298</t>
  </si>
  <si>
    <t>-692.338652358124 40.455461069057 658.230565331004</t>
  </si>
  <si>
    <t>-576.839887944409 -60.3172562077109 744.534719495362</t>
  </si>
  <si>
    <t>9763-20170724T160655.991507400.bin</t>
  </si>
  <si>
    <t>-593.172573444012 132.099119160856 -224.735435937721</t>
  </si>
  <si>
    <t>-634.253872565394 122.64661269486 -338.273017571002</t>
  </si>
  <si>
    <t>-655.490340448949 110.849946103442 -457.018269827793</t>
  </si>
  <si>
    <t>-666.381197036319 98.8683212574335 -565.335699428764</t>
  </si>
  <si>
    <t>-669.040310764279 85.4086848283332 -673.993999432427</t>
  </si>
  <si>
    <t>-664.178691567402 64.9834884624743 -824.855395134748</t>
  </si>
  <si>
    <t>-629.106547110697 38.3792373433068 -916.752931412951</t>
  </si>
  <si>
    <t>-653.101612293327 102.724545336436 -761.563809302853</t>
  </si>
  <si>
    <t>-570.445553118613 224.125574028014 -754.494170995328</t>
  </si>
  <si>
    <t>-450.571955057812 191.029222852578 -463.425267969277</t>
  </si>
  <si>
    <t>-256.557591561452 98.622453594136 -316.927957925017</t>
  </si>
  <si>
    <t>-679.558006879753 45.3174662140159 -754.644034456448</t>
  </si>
  <si>
    <t>-567.315656748402 225.577244606734 -241.297157972983</t>
  </si>
  <si>
    <t>-570.901041787019 198.353823024278 213.569577294492</t>
  </si>
  <si>
    <t>-630.009190699141 169.363419055927 678.6535917898</t>
  </si>
  <si>
    <t>-493.905147508056 99.7976731551303 765.715694610567</t>
  </si>
  <si>
    <t>-618.859067608291 38.7118770353879 -207.492785814053</t>
  </si>
  <si>
    <t>-506.045627232929 -17.0873667274925 230.476631290077</t>
  </si>
  <si>
    <t>-692.341069393597 40.4762616443747 658.212624276619</t>
  </si>
  <si>
    <t>-577.037328448895 -60.5082049296091 744.530022305068</t>
  </si>
  <si>
    <t>9763-20170724T160656.024597000.bin</t>
  </si>
  <si>
    <t>-593.31850418611 132.166415793844 -224.768817234581</t>
  </si>
  <si>
    <t>-634.454608148305 122.715708572666 -338.286628234634</t>
  </si>
  <si>
    <t>-655.72952887722 110.886755101134 -457.021806884394</t>
  </si>
  <si>
    <t>-666.649192105296 98.8557660564964 -565.331037944158</t>
  </si>
  <si>
    <t>-669.332254048204 85.3227323075198 -673.979500658951</t>
  </si>
  <si>
    <t>-664.500181750654 64.7670901028941 -824.824216970457</t>
  </si>
  <si>
    <t>-629.459596554887 38.0400275249042 -916.697981224622</t>
  </si>
  <si>
    <t>-653.359351722557 102.539719613119 -761.562631541752</t>
  </si>
  <si>
    <t>-570.347793273551 223.710661332177 -754.508717554022</t>
  </si>
  <si>
    <t>-450.193209701211 189.566750914692 -463.676730262736</t>
  </si>
  <si>
    <t>-255.482007059287 98.7178106411145 -317.12951506266</t>
  </si>
  <si>
    <t>-679.917114682496 45.1849071248262 -754.597582809022</t>
  </si>
  <si>
    <t>-567.499004561603 225.683912959858 -241.333797319372</t>
  </si>
  <si>
    <t>-570.954667071585 198.423513894057 213.531751446544</t>
  </si>
  <si>
    <t>-630.002424839687 169.348208776161 678.611948370351</t>
  </si>
  <si>
    <t>-493.924404818476 99.7765208870273 765.709975874073</t>
  </si>
  <si>
    <t>-618.953125745135 38.7350681110627 -207.537349443446</t>
  </si>
  <si>
    <t>-505.993803818148 -16.9895177140859 230.404071382802</t>
  </si>
  <si>
    <t>-692.280239724197 40.4699694306894 658.116832486593</t>
  </si>
  <si>
    <t>-577.087840706865 -60.5517970454 744.539204928544</t>
  </si>
  <si>
    <t>9763-20170724T160656.059689100.bin</t>
  </si>
  <si>
    <t>-593.576813522374 132.185554540819 -224.838698789194</t>
  </si>
  <si>
    <t>-634.798591656764 122.685892182274 -338.321287004041</t>
  </si>
  <si>
    <t>-656.131753477937 110.801858983716 -457.040501288659</t>
  </si>
  <si>
    <t>-667.09338579903 98.7078408360833 -565.338296664865</t>
  </si>
  <si>
    <t>-669.808901593644 85.0921790492159 -673.975788634774</t>
  </si>
  <si>
    <t>-665.013416633314 64.3958068580507 -824.802473218265</t>
  </si>
  <si>
    <t>-630.008588706565 37.5181092200353 -916.645897009626</t>
  </si>
  <si>
    <t>-653.775617444635 102.190542993025 -761.571206934193</t>
  </si>
  <si>
    <t>-570.319516029009 223.072318565834 -754.478727449813</t>
  </si>
  <si>
    <t>-449.521144571306 187.767495899495 -464.05227923598</t>
  </si>
  <si>
    <t>-253.584970422971 98.9611798504991 -317.886324437624</t>
  </si>
  <si>
    <t>-680.494898782067 44.9161011257579 -754.561423503774</t>
  </si>
  <si>
    <t>-567.919927277196 225.803264870303 -241.424635053327</t>
  </si>
  <si>
    <t>-571.019330680883 198.41876143057 213.43601550082</t>
  </si>
  <si>
    <t>-629.977238932849 169.299499817256 678.526585504101</t>
  </si>
  <si>
    <t>-493.880901714926 99.8512655703234 765.69448551436</t>
  </si>
  <si>
    <t>-619.075051324578 38.6134935069681 -207.59530480549</t>
  </si>
  <si>
    <t>-505.749285216583 -16.8661732430171 230.282492052515</t>
  </si>
  <si>
    <t>-692.102123206973 40.4336362271195 657.904917833175</t>
  </si>
  <si>
    <t>-577.035017993624 -60.5341663272175 744.55695120471</t>
  </si>
  <si>
    <t>9763-20170724T160656.124578100.bin</t>
  </si>
  <si>
    <t>-594.211610174468 132.130419781978 -224.948654375788</t>
  </si>
  <si>
    <t>-635.676867399645 122.544967213948 -338.33541914107</t>
  </si>
  <si>
    <t>-657.131013241492 110.640719146924 -457.030730012642</t>
  </si>
  <si>
    <t>-668.150782321683 98.5300981716509 -565.320834844901</t>
  </si>
  <si>
    <t>-670.873913189285 84.8856567223045 -673.954547983576</t>
  </si>
  <si>
    <t>-666.039454490134 64.1230426569095 -824.770836259623</t>
  </si>
  <si>
    <t>-631.010785548028 36.964136852057 -916.522457029844</t>
  </si>
  <si>
    <t>-654.64495422037 101.865957843475 -761.536693928834</t>
  </si>
  <si>
    <t>-570.433057926981 222.197729940344 -754.288831355572</t>
  </si>
  <si>
    <t>-446.769392873022 185.4558841485 -465.24978938043</t>
  </si>
  <si>
    <t>-243.729230193735 103.112269635096 -325.12030869895</t>
  </si>
  <si>
    <t>-681.712304203078 44.7535693103748 -754.541796435654</t>
  </si>
  <si>
    <t>-568.835792253652 226.007144597812 -241.574283570721</t>
  </si>
  <si>
    <t>-571.248318396378 198.470462261543 213.281231275714</t>
  </si>
  <si>
    <t>-629.895902890065 169.319402161482 678.410453806044</t>
  </si>
  <si>
    <t>-493.841774174262 99.9156898761928 765.679631944135</t>
  </si>
  <si>
    <t>-619.404613225126 38.3515628843445 -207.669091751256</t>
  </si>
  <si>
    <t>-505.061669246901 -16.5687788728353 230.014723360395</t>
  </si>
  <si>
    <t>-691.729587334612 40.3044319415851 657.491368118934</t>
  </si>
  <si>
    <t>-576.732590229944 -60.3034213587246 744.653649844327</t>
  </si>
  <si>
    <t>9763-20170724T160656.189406100.bin</t>
  </si>
  <si>
    <t>-595.029484714261 132.230158002035 -225.100650771881</t>
  </si>
  <si>
    <t>-636.564350124432 122.549439243642 -338.45382284326</t>
  </si>
  <si>
    <t>-658.030818891739 110.556576964924 -457.137987171745</t>
  </si>
  <si>
    <t>-669.039424832886 98.3506838137937 -565.418581035901</t>
  </si>
  <si>
    <t>-671.731262057976 84.585185012282 -674.037725534446</t>
  </si>
  <si>
    <t>-666.835299735251 63.6178864094948 -824.823675337665</t>
  </si>
  <si>
    <t>-631.6713619468 36.2216249966605 -916.453024652962</t>
  </si>
  <si>
    <t>-655.338103129847 101.386985039077 -761.623817232097</t>
  </si>
  <si>
    <t>-570.823301602075 221.537545281385 -754.558178187398</t>
  </si>
  <si>
    <t>-441.62560174601 185.285610608342 -467.887686335295</t>
  </si>
  <si>
    <t>-230.525343549871 108.627473913907 -336.730221920946</t>
  </si>
  <si>
    <t>-682.665122757031 44.4035424436686 -754.587317194315</t>
  </si>
  <si>
    <t>-569.854156525532 226.382466523158 -241.766016294409</t>
  </si>
  <si>
    <t>-571.912826206496 198.903827594078 213.094777223348</t>
  </si>
  <si>
    <t>-629.710502709153 169.514821324262 678.298985755681</t>
  </si>
  <si>
    <t>-493.887615014796 99.8039012200511 765.683432974574</t>
  </si>
  <si>
    <t>-620.067777180812 38.1875722968543 -207.783768112409</t>
  </si>
  <si>
    <t>-504.658340446514 -15.8535706815808 229.729522156657</t>
  </si>
  <si>
    <t>-691.552581925696 40.3064464241199 657.356736807852</t>
  </si>
  <si>
    <t>-576.589639942064 -60.2094536801712 744.669892176189</t>
  </si>
  <si>
    <t>9763-20170724T160656.220487200.bin</t>
  </si>
  <si>
    <t>-595.57558357604 132.451502170481 -225.207503936834</t>
  </si>
  <si>
    <t>-637.059873993478 122.73517311007 -338.576174546276</t>
  </si>
  <si>
    <t>-658.495728828796 110.640571195342 -457.25538165885</t>
  </si>
  <si>
    <t>-669.487915455105 98.3095336985332 -565.523597531127</t>
  </si>
  <si>
    <t>-672.176791621194 84.3820230913975 -674.122029430884</t>
  </si>
  <si>
    <t>-667.293011238249 63.1477774674436 -824.871102417285</t>
  </si>
  <si>
    <t>-632.068939596622 35.6150671261137 -916.436298642238</t>
  </si>
  <si>
    <t>-655.744570253486 101.007110419379 -761.734495598311</t>
  </si>
  <si>
    <t>-571.200321396014 221.134939561684 -754.966475178541</t>
  </si>
  <si>
    <t>-438.766290237965 185.979156095679 -469.639434829721</t>
  </si>
  <si>
    <t>-225.028361139445 110.176528235967 -342.31262815557</t>
  </si>
  <si>
    <t>-683.163400220237 44.0793085581447 -754.604143380091</t>
  </si>
  <si>
    <t>-570.502449070861 226.697408062267 -241.883251777743</t>
  </si>
  <si>
    <t>-572.387770728323 199.199511968011 212.977147339547</t>
  </si>
  <si>
    <t>-629.558666595346 169.655810091041 678.196342158037</t>
  </si>
  <si>
    <t>-493.950927706999 99.6791887789836 765.702459981215</t>
  </si>
  <si>
    <t>-620.505427055754 38.3652860418426 -207.88717549035</t>
  </si>
  <si>
    <t>-504.768714884248 -15.4158615906913 229.571738646666</t>
  </si>
  <si>
    <t>-691.437007220707 40.4381384056774 657.263865002267</t>
  </si>
  <si>
    <t>-576.682644013533 -60.2503241781883 744.652570915277</t>
  </si>
  <si>
    <t>9763-20170724T160656.295443400.bin</t>
  </si>
  <si>
    <t>-596.742308694592 132.781686225253 -225.625461395268</t>
  </si>
  <si>
    <t>-638.124571930398 123.000058247638 -339.025731927739</t>
  </si>
  <si>
    <t>-659.576049092741 110.684710208155 -457.679577453313</t>
  </si>
  <si>
    <t>-670.637431214588 98.0811259982684 -565.909154156461</t>
  </si>
  <si>
    <t>-673.455388270481 83.8017354785618 -674.458808586616</t>
  </si>
  <si>
    <t>-668.817438631838 61.9905594474546 -825.133158319756</t>
  </si>
  <si>
    <t>-633.541544580789 34.1939626705241 -916.598666356427</t>
  </si>
  <si>
    <t>-657.108789448381 100.064309983154 -762.155223180911</t>
  </si>
  <si>
    <t>-572.636881646258 220.274409558297 -756.218614899342</t>
  </si>
  <si>
    <t>-433.363931670757 188.493797062232 -473.766524916423</t>
  </si>
  <si>
    <t>-217.163966659591 111.460873730376 -351.432687742116</t>
  </si>
  <si>
    <t>-684.630386550525 43.2183451077615 -754.773539556755</t>
  </si>
  <si>
    <t>-571.89346769025 227.331123559165 -242.279766578113</t>
  </si>
  <si>
    <t>-573.218809835065 199.701708735929 212.574722618436</t>
  </si>
  <si>
    <t>-629.153782880791 169.907674207335 677.896235832154</t>
  </si>
  <si>
    <t>-493.917747883186 99.6338270265649 765.738796961858</t>
  </si>
  <si>
    <t>-621.428376342691 38.2794539452314 -208.416390599387</t>
  </si>
  <si>
    <t>-505.172104460515 -14.7164525230339 229.000556480336</t>
  </si>
  <si>
    <t>-691.269203983556 40.2080943692185 656.945656230182</t>
  </si>
  <si>
    <t>-576.479261162762 -60.0766808130813 744.750806423661</t>
  </si>
  <si>
    <t>9763-20170724T160656.322514900.bin</t>
  </si>
  <si>
    <t>-597.355728954604 133.005208691078 -225.945115291059</t>
  </si>
  <si>
    <t>-638.73603118616 123.248211331233 -339.348377075617</t>
  </si>
  <si>
    <t>-660.21188032247 110.862946209704 -457.990500566872</t>
  </si>
  <si>
    <t>-671.309085045816 98.1538624978232 -566.204154129209</t>
  </si>
  <si>
    <t>-674.178869991402 83.724365900466 -674.732449593263</t>
  </si>
  <si>
    <t>-669.631666493215 61.6562069252441 -825.372185591985</t>
  </si>
  <si>
    <t>-634.336155218444 33.7428405621945 -916.794475630466</t>
  </si>
  <si>
    <t>-657.838927599316 99.815605229267 -762.461714179242</t>
  </si>
  <si>
    <t>-573.278092187557 219.972473960661 -756.898100127299</t>
  </si>
  <si>
    <t>-431.98422516598 189.038154644127 -475.357121455102</t>
  </si>
  <si>
    <t>-215.343321281225 111.668011974907 -354.020371259711</t>
  </si>
  <si>
    <t>-685.448330089602 43.0258395471124 -754.975702189969</t>
  </si>
  <si>
    <t>-572.606468415687 227.631568198581 -242.502945055661</t>
  </si>
  <si>
    <t>-573.728527565882 199.954586311985 212.349084309179</t>
  </si>
  <si>
    <t>-629.065559289837 169.928110610419 677.784569675802</t>
  </si>
  <si>
    <t>-493.895351208846 99.6553586611396 765.729250094477</t>
  </si>
  <si>
    <t>-621.977657366485 38.4423060358938 -208.784821776828</t>
  </si>
  <si>
    <t>-505.351458091274 -14.5126947302042 228.538538408809</t>
  </si>
  <si>
    <t>-690.934223131531 40.0786314441689 656.547750836283</t>
  </si>
  <si>
    <t>-576.411053612919 -60.0091094869638 744.924214923897</t>
  </si>
  <si>
    <t>9763-20170724T160656.391714700.bin</t>
  </si>
  <si>
    <t>-598.332281142106 133.419685435407 -226.367377111863</t>
  </si>
  <si>
    <t>-639.815564878568 123.731030927612 -339.738713392659</t>
  </si>
  <si>
    <t>-661.386174630567 111.266468464418 -458.355307817691</t>
  </si>
  <si>
    <t>-672.568334042126 98.4246164001727 -566.544546691583</t>
  </si>
  <si>
    <t>-675.524223608187 83.8012659019294 -675.044574610687</t>
  </si>
  <si>
    <t>-671.099318588668 61.4006922427902 -825.638933308731</t>
  </si>
  <si>
    <t>-635.778546367619 33.2443285060526 -916.97700053432</t>
  </si>
  <si>
    <t>-659.166069692964 99.6563965695598 -762.813552104447</t>
  </si>
  <si>
    <t>-574.092797433895 219.507730158692 -757.646355360305</t>
  </si>
  <si>
    <t>-430.75129440138 188.094630919572 -477.195591804831</t>
  </si>
  <si>
    <t>-214.774557592134 110.113426019634 -355.068447192873</t>
  </si>
  <si>
    <t>-686.948283163843 42.9681683108274 -755.197645105346</t>
  </si>
  <si>
    <t>-573.491269454595 228.14852053841 -242.859316385236</t>
  </si>
  <si>
    <t>-574.307083437802 200.302682869201 211.983140718179</t>
  </si>
  <si>
    <t>-628.919129710364 170.059589915937 677.640041916515</t>
  </si>
  <si>
    <t>-493.947179576472 99.5025472449906 765.661532510627</t>
  </si>
  <si>
    <t>-622.978688486383 38.710120993461 -209.250542919593</t>
  </si>
  <si>
    <t>-505.44657921704 -14.4130471980545 227.809824770013</t>
  </si>
  <si>
    <t>-690.337395356799 39.7202367773239 656.091715430643</t>
  </si>
  <si>
    <t>-576.289907987218 -59.9120465153094 745.590838096266</t>
  </si>
  <si>
    <t>9763-20170724T160656.423800400.bin</t>
  </si>
  <si>
    <t>-598.701287113104 133.622325596596 -226.438603412986</t>
  </si>
  <si>
    <t>-640.302962816211 123.983432537706 -339.77085194872</t>
  </si>
  <si>
    <t>-661.971011160374 111.49565908426 -458.36722490221</t>
  </si>
  <si>
    <t>-673.232679800338 98.6049370387843 -566.54235146634</t>
  </si>
  <si>
    <t>-676.259382379518 83.9065492399561 -675.030375764184</t>
  </si>
  <si>
    <t>-671.924315152552 61.3754483572125 -825.607901269925</t>
  </si>
  <si>
    <t>-636.588167216349 33.1124775859848 -916.90700453821</t>
  </si>
  <si>
    <t>-659.914237134333 99.6667435171316 -762.818818066963</t>
  </si>
  <si>
    <t>-574.717918088664 219.406765471937 -757.771352700664</t>
  </si>
  <si>
    <t>-431.192033048401 187.339060226622 -477.48906948137</t>
  </si>
  <si>
    <t>-216.128063069534 108.646088826572 -354.213024312978</t>
  </si>
  <si>
    <t>-687.770583312805 43.0228661243045 -755.145077875521</t>
  </si>
  <si>
    <t>-573.754058473148 228.412172890369 -242.955231506978</t>
  </si>
  <si>
    <t>-574.515478188666 200.516262340441 211.884225873367</t>
  </si>
  <si>
    <t>-628.882127652768 170.047279478781 677.565458258544</t>
  </si>
  <si>
    <t>-493.992128614304 99.3828321089645 765.626417002076</t>
  </si>
  <si>
    <t>-623.50039490113 38.8723948732636 -209.226683446773</t>
  </si>
  <si>
    <t>-505.47129088999 -14.3662525546995 227.685715292052</t>
  </si>
  <si>
    <t>-690.231056126885 39.6235044639343 656.143876471164</t>
  </si>
  <si>
    <t>-576.148623078774 -59.7396740345241 745.897245192606</t>
  </si>
  <si>
    <t>9763-20170724T160656.492997300.bin</t>
  </si>
  <si>
    <t>-599.380559323192 134.248862471858 -226.316840080735</t>
  </si>
  <si>
    <t>-641.091901788248 124.703984592486 -339.616700963293</t>
  </si>
  <si>
    <t>-662.88367599497 112.170607324088 -458.185766911293</t>
  </si>
  <si>
    <t>-674.264257733895 99.1869165415746 -566.337241241622</t>
  </si>
  <si>
    <t>-677.417614552428 84.3473712091266 -674.802487858215</t>
  </si>
  <si>
    <t>-673.267298815362 61.5728789155401 -825.348433525723</t>
  </si>
  <si>
    <t>-637.92096021223 33.1820882136903 -916.60396400759</t>
  </si>
  <si>
    <t>-661.09596164718 99.9250864433054 -762.62780706423</t>
  </si>
  <si>
    <t>-575.554979651805 219.4388740889 -757.794081442655</t>
  </si>
  <si>
    <t>-432.816808410493 185.935565062161 -477.27744058587</t>
  </si>
  <si>
    <t>-221.206103871141 104.999698218102 -349.557699131365</t>
  </si>
  <si>
    <t>-689.111518176784 43.3745517347193 -754.845217848021</t>
  </si>
  <si>
    <t>-573.987454029022 228.98836009752 -242.976170371177</t>
  </si>
  <si>
    <t>-574.903462493777 201.024917893344 211.858791200379</t>
  </si>
  <si>
    <t>-628.78487049619 170.119090242465 677.543140340432</t>
  </si>
  <si>
    <t>-494.018733136544 99.2438274655767 765.624347483616</t>
  </si>
  <si>
    <t>-624.655419713321 39.6047456216543 -208.898199601826</t>
  </si>
  <si>
    <t>-505.725149782102 -14.2674575786841 227.692051766486</t>
  </si>
  <si>
    <t>-690.231614327118 39.8398217032691 656.445961900338</t>
  </si>
  <si>
    <t>-576.263325277135 -59.6870550626129 746.162967389309</t>
  </si>
  <si>
    <t>9763-20170724T160656.554159500.bin</t>
  </si>
  <si>
    <t>-599.636507343684 134.534951453788 -226.134113661047</t>
  </si>
  <si>
    <t>-641.318038643209 125.066287124504 -339.451355227849</t>
  </si>
  <si>
    <t>-663.136200420052 112.528821290839 -458.015000796125</t>
  </si>
  <si>
    <t>-674.566045694706 99.5102195207194 -566.157059337282</t>
  </si>
  <si>
    <t>-677.795166281992 84.6057742604062 -674.611232084688</t>
  </si>
  <si>
    <t>-673.778452276576 61.7109338946962 -825.142607088539</t>
  </si>
  <si>
    <t>-638.445267337668 33.2716444349353 -916.388185668291</t>
  </si>
  <si>
    <t>-661.487015821275 100.082228944145 -762.45694408975</t>
  </si>
  <si>
    <t>-575.670275212321 219.401260931304 -757.703118973946</t>
  </si>
  <si>
    <t>-434.267718565561 185.23155251601 -476.591074662837</t>
  </si>
  <si>
    <t>-224.516132360282 103.215396739873 -346.515370988647</t>
  </si>
  <si>
    <t>-689.624443672509 43.6001347812223 -754.617274375311</t>
  </si>
  <si>
    <t>-573.929373883517 229.174895302562 -242.870957810867</t>
  </si>
  <si>
    <t>-574.993036266372 201.170540052492 211.961242707673</t>
  </si>
  <si>
    <t>-628.826610736885 170.050429623404 677.589710407089</t>
  </si>
  <si>
    <t>-494.100145627744 99.0654517805046 765.643237991489</t>
  </si>
  <si>
    <t>-625.18767900235 39.989231283763 -208.69233671092</t>
  </si>
  <si>
    <t>-505.929162438388 -14.2995271643595 227.756838693191</t>
  </si>
  <si>
    <t>-690.304237118042 39.8756549230898 656.558519427092</t>
  </si>
  <si>
    <t>-576.37886905044 -59.76809522499 746.200295884427</t>
  </si>
  <si>
    <t>9763-20170724T160656.589832100.bin</t>
  </si>
  <si>
    <t>-600.060340563598 135.067454616896 -225.884458973895</t>
  </si>
  <si>
    <t>-641.748856810239 125.865489069699 -339.22122383072</t>
  </si>
  <si>
    <t>-663.65690549669 113.326496164024 -457.768129139738</t>
  </si>
  <si>
    <t>-675.206970270206 100.209067846684 -565.885491528061</t>
  </si>
  <si>
    <t>-678.596318013123 85.1175973533511 -674.308851227104</t>
  </si>
  <si>
    <t>-674.844946634008 61.8783923766255 -824.794323954322</t>
  </si>
  <si>
    <t>-639.612855606683 33.3530444051701 -916.052107633308</t>
  </si>
  <si>
    <t>-662.306254768608 100.326412901981 -762.204822702967</t>
  </si>
  <si>
    <t>-575.818102334522 219.176002640251 -757.678403642775</t>
  </si>
  <si>
    <t>-438.843052474824 184.112029370233 -474.49198035061</t>
  </si>
  <si>
    <t>-232.370508855784 100.270933910142 -340.39573465007</t>
  </si>
  <si>
    <t>-690.703314879552 43.9956904092751 -754.213525263007</t>
  </si>
  <si>
    <t>-454.53001655957 0.811289207873415 -367.730278615449</t>
  </si>
  <si>
    <t>-573.517284590739 229.272171731942 -242.693280649967</t>
  </si>
  <si>
    <t>-575.372853603546 201.43737774416 212.146812496235</t>
  </si>
  <si>
    <t>-628.960684267336 169.847214581539 677.693527324305</t>
  </si>
  <si>
    <t>-494.15810529359 98.9235229028591 765.679971101589</t>
  </si>
  <si>
    <t>-626.52754869297 40.9014509843735 -208.365144907568</t>
  </si>
  <si>
    <t>-506.901082561868 -14.8385079945119 227.800292267693</t>
  </si>
  <si>
    <t>-690.55431264548 39.8801837311112 656.828538444575</t>
  </si>
  <si>
    <t>-576.590593691061 -59.9155736823914 746.252198303776</t>
  </si>
  <si>
    <t>9763-20170724T160656.654000000.bin</t>
  </si>
  <si>
    <t>-600.725931754805 135.400367664339 -225.760892931301</t>
  </si>
  <si>
    <t>-642.505082916828 126.571755689827 -339.093891761773</t>
  </si>
  <si>
    <t>-664.656382005616 113.81729455853 -457.572544447181</t>
  </si>
  <si>
    <t>-676.498117271457 100.284420834919 -565.607260815605</t>
  </si>
  <si>
    <t>-680.255723280608 84.5691122801197 -673.929703423973</t>
  </si>
  <si>
    <t>-677.099585882293 60.2570483605518 -824.259322934259</t>
  </si>
  <si>
    <t>-642.003385732842 31.3395821849367 -915.445971539814</t>
  </si>
  <si>
    <t>-664.213206251972 99.1008564478393 -761.985478489994</t>
  </si>
  <si>
    <t>-577.214524715113 217.627716564615 -758.280180754217</t>
  </si>
  <si>
    <t>-443.300706043312 182.32487345885 -473.662868774387</t>
  </si>
  <si>
    <t>-244.594037481914 93.3062368568792 -331.418795856328</t>
  </si>
  <si>
    <t>-692.778983639369 42.927870365254 -753.500601541554</t>
  </si>
  <si>
    <t>-453.740234149477 7.09066511179367 -367.745735700184</t>
  </si>
  <si>
    <t>-573.330629408903 229.456261307089 -242.592623298054</t>
  </si>
  <si>
    <t>-575.521425763319 201.493985381224 212.238164858828</t>
  </si>
  <si>
    <t>-629.013572522049 169.773817282469 677.754172307977</t>
  </si>
  <si>
    <t>-494.37181758352 98.5016306063294 765.705217838245</t>
  </si>
  <si>
    <t>-628.014262651994 41.4534250537351 -208.276576066424</t>
  </si>
  <si>
    <t>-508.346076889909 -15.9921026197244 227.656026216419</t>
  </si>
  <si>
    <t>-690.823576085828 39.6874344744115 657.063586691823</t>
  </si>
  <si>
    <t>-576.684683820695 -59.9739755318872 746.413624373092</t>
  </si>
  <si>
    <t>9763-20170724T160656.693111200.bin</t>
  </si>
  <si>
    <t>-601.067830585187 135.654310742283 -225.768279924078</t>
  </si>
  <si>
    <t>-642.927749402181 127.017549691928 -339.086217946287</t>
  </si>
  <si>
    <t>-665.256779217247 114.082003114339 -457.511964903355</t>
  </si>
  <si>
    <t>-677.305723439485 100.238903780657 -565.48433911488</t>
  </si>
  <si>
    <t>-681.321202937957 84.0704712637389 -673.730872439156</t>
  </si>
  <si>
    <t>-678.579797948992 58.9833329195567 -823.941185539735</t>
  </si>
  <si>
    <t>-643.570175670061 29.7888204712842 -915.072838560376</t>
  </si>
  <si>
    <t>-665.466386760294 98.1203388152926 -761.898692397506</t>
  </si>
  <si>
    <t>-578.230418082607 216.449816750243 -758.782359641704</t>
  </si>
  <si>
    <t>-445.863881352345 180.806262789631 -473.484549809006</t>
  </si>
  <si>
    <t>-252.742946210736 88.4677043972031 -325.768863664797</t>
  </si>
  <si>
    <t>-694.119199927964 42.0468657488996 -753.056801094813</t>
  </si>
  <si>
    <t>-452.985875814408 7.76878197912424 -369.784844953681</t>
  </si>
  <si>
    <t>-573.365083023298 229.628280275348 -242.570082903663</t>
  </si>
  <si>
    <t>-575.328554685831 201.403102902202 212.245495679553</t>
  </si>
  <si>
    <t>-628.980212618173 169.718245536701 677.718693997074</t>
  </si>
  <si>
    <t>-494.408000360453 98.3791172283206 765.721879136326</t>
  </si>
  <si>
    <t>-628.616073433074 41.7911308916466 -208.319750421389</t>
  </si>
  <si>
    <t>-509.152416620275 -16.6692478887771 227.533955053153</t>
  </si>
  <si>
    <t>-691.012908592086 39.5840141525732 657.196405035228</t>
  </si>
  <si>
    <t>-576.83200703269 -60.08595906644 746.483192189027</t>
  </si>
  <si>
    <t>9763-20170724T160656.721195500.bin</t>
  </si>
  <si>
    <t>-601.329463610439 136.054581522949 -225.81625450958</t>
  </si>
  <si>
    <t>-643.244583890357 127.565553382983 -339.124812747228</t>
  </si>
  <si>
    <t>-665.735133847828 114.48327991599 -457.503946428466</t>
  </si>
  <si>
    <t>-677.980832501222 100.386579505421 -565.421346453206</t>
  </si>
  <si>
    <t>-682.248025039769 83.8437383360279 -673.601682600975</t>
  </si>
  <si>
    <t>-679.917528798602 58.110683416513 -823.709660217902</t>
  </si>
  <si>
    <t>-645.004081092394 28.6825481438932 -914.803048115058</t>
  </si>
  <si>
    <t>-666.546994687123 97.4704968904011 -761.863396376934</t>
  </si>
  <si>
    <t>-578.938357778342 215.502184659894 -759.300676174612</t>
  </si>
  <si>
    <t>-447.756436200496 179.533325307942 -473.496940539042</t>
  </si>
  <si>
    <t>-258.087935265331 85.2535761071185 -322.569085461232</t>
  </si>
  <si>
    <t>-695.350509956402 41.522902158234 -752.719601754241</t>
  </si>
  <si>
    <t>-451.764166984113 6.06103007737897 -371.943685944948</t>
  </si>
  <si>
    <t>-573.429665837861 229.952857799608 -242.550336192415</t>
  </si>
  <si>
    <t>-575.122604995891 201.333490392118 212.241648127505</t>
  </si>
  <si>
    <t>-628.92783683651 169.731781833031 677.697648781208</t>
  </si>
  <si>
    <t>-494.442275839177 98.2920143053177 765.751658265552</t>
  </si>
  <si>
    <t>-629.112662611302 42.2667599357669 -208.385118953413</t>
  </si>
  <si>
    <t>-509.927795307633 -17.2376905507795 227.403688751551</t>
  </si>
  <si>
    <t>-691.203063585026 39.5071546217077 657.336667667342</t>
  </si>
  <si>
    <t>-576.905708702479 -60.1398553795025 746.500011529833</t>
  </si>
  <si>
    <t>9763-20170724T160656.790381100.bin</t>
  </si>
  <si>
    <t>-601.920533012441 136.6897406548 -225.86944821868</t>
  </si>
  <si>
    <t>-643.869559866195 128.254173325314 -339.169635182375</t>
  </si>
  <si>
    <t>-666.574251697177 115.091452274158 -457.498880349159</t>
  </si>
  <si>
    <t>-679.096735378835 100.847937193854 -565.36527077087</t>
  </si>
  <si>
    <t>-683.730434976582 84.0727598484871 -673.494750407817</t>
  </si>
  <si>
    <t>-682.009023144061 57.9174115239332 -823.537780535769</t>
  </si>
  <si>
    <t>-647.24917919271 28.2035788754656 -914.5973227498</t>
  </si>
  <si>
    <t>-668.171539420076 97.3424330729067 -761.836004625289</t>
  </si>
  <si>
    <t>-579.421362743928 214.5554844572 -759.874159342463</t>
  </si>
  <si>
    <t>-448.763151040627 176.828430410354 -474.057341951103</t>
  </si>
  <si>
    <t>-263.731900586003 79.188169466446 -319.55206596392</t>
  </si>
  <si>
    <t>-697.369912978059 41.638174473469 -752.460761526255</t>
  </si>
  <si>
    <t>-451.610693148482 3.60423668885051 -378.050057894049</t>
  </si>
  <si>
    <t>-573.958819386633 230.617023583266 -242.638718427796</t>
  </si>
  <si>
    <t>-574.637889019857 201.163792528811 212.102640511907</t>
  </si>
  <si>
    <t>-628.600570939406 169.850983896904 677.455145272564</t>
  </si>
  <si>
    <t>-494.323601124762 98.4055219076697 765.82229595107</t>
  </si>
  <si>
    <t>-629.579339983493 42.8134957619784 -208.481370218057</t>
  </si>
  <si>
    <t>-510.844849774243 -17.2797351410834 227.349521961375</t>
  </si>
  <si>
    <t>-691.477895647749 39.5264434878291 657.47236450506</t>
  </si>
  <si>
    <t>-577.010587442194 -60.1277661355948 746.409355089714</t>
  </si>
  <si>
    <t>9763-20170724T160656.821473500.bin</t>
  </si>
  <si>
    <t>-602.179964154707 136.851159677508 -225.940075964534</t>
  </si>
  <si>
    <t>-644.247945732145 128.460662315356 -339.19945263456</t>
  </si>
  <si>
    <t>-667.094536582704 115.347633472323 -457.50686978279</t>
  </si>
  <si>
    <t>-679.755432171547 101.143785875223 -565.362305612951</t>
  </si>
  <si>
    <t>-684.538441775236 84.3990592846415 -673.489999343805</t>
  </si>
  <si>
    <t>-683.03668928155 58.2730591350678 -823.540610041615</t>
  </si>
  <si>
    <t>-648.386748310341 28.4748465146101 -914.614411963067</t>
  </si>
  <si>
    <t>-669.033813607333 97.6478007927562 -761.843996798546</t>
  </si>
  <si>
    <t>-579.840722164167 214.546037507996 -759.970215756329</t>
  </si>
  <si>
    <t>-448.412333482995 175.279186841109 -474.714406067744</t>
  </si>
  <si>
    <t>-263.50137586077 78.1229988927148 -319.760641774265</t>
  </si>
  <si>
    <t>-698.368493961892 42.0182409062261 -752.451641348126</t>
  </si>
  <si>
    <t>-451.749384905101 3.843180527605 -379.505733684883</t>
  </si>
  <si>
    <t>-574.247882305712 230.799436871293 -242.732098793032</t>
  </si>
  <si>
    <t>-574.371948042787 200.979085809026 211.985877941349</t>
  </si>
  <si>
    <t>-628.404760189809 169.961813610279 677.312045918779</t>
  </si>
  <si>
    <t>-494.309618774501 98.4043806869051 765.864522275216</t>
  </si>
  <si>
    <t>-629.924729618765 42.9784894935635 -208.54517183055</t>
  </si>
  <si>
    <t>-510.679945712659 -16.7580507682724 227.195403251859</t>
  </si>
  <si>
    <t>-691.302961924896 39.6593508093347 657.296871495391</t>
  </si>
  <si>
    <t>-576.916691658377 -60.001393594398 746.33076095003</t>
  </si>
  <si>
    <t>9763-20170724T160656.892421200.bin</t>
  </si>
  <si>
    <t>-602.56609575489 137.314215620633 -226.344689955169</t>
  </si>
  <si>
    <t>-644.952163293435 128.964701296098 -339.488448968916</t>
  </si>
  <si>
    <t>-668.116714598931 115.897834560976 -457.739087325764</t>
  </si>
  <si>
    <t>-681.063343478502 101.73083529235 -565.565522946604</t>
  </si>
  <si>
    <t>-686.129697681478 85.0146063009804 -673.684744691073</t>
  </si>
  <si>
    <t>-685.019364679111 58.9160912900911 -823.743486535041</t>
  </si>
  <si>
    <t>-650.619864178271 29.0009176761239 -914.873859256514</t>
  </si>
  <si>
    <t>-670.75987682254 98.2305358796839 -762.067319176061</t>
  </si>
  <si>
    <t>-581.087225281701 214.759671717029 -760.354744121221</t>
  </si>
  <si>
    <t>-448.517924063262 171.299842133067 -476.237115127846</t>
  </si>
  <si>
    <t>-263.305902511119 75.3305506002494 -320.903764139098</t>
  </si>
  <si>
    <t>-700.261468020306 42.6971706214456 -752.62700582831</t>
  </si>
  <si>
    <t>-453.384611192733 6.02779846605108 -381.41027369018</t>
  </si>
  <si>
    <t>-574.641361911534 231.205738280285 -243.139774497371</t>
  </si>
  <si>
    <t>-573.472609390408 200.58696233343 211.523562340849</t>
  </si>
  <si>
    <t>-627.943798542766 170.186217280605 676.94913224748</t>
  </si>
  <si>
    <t>-494.233293324322 98.4053118158724 765.901474602726</t>
  </si>
  <si>
    <t>-630.273235836785 43.4302264091957 -208.966463411209</t>
  </si>
  <si>
    <t>-509.537755555616 -15.3068284641738 226.499445561843</t>
  </si>
  <si>
    <t>-690.531661086001 39.90538961007 656.466819374118</t>
  </si>
  <si>
    <t>-576.630211998168 -59.5772443051039 746.317677454185</t>
  </si>
  <si>
    <t>9763-20170724T160656.924504400.bin</t>
  </si>
  <si>
    <t>-602.523645066096 137.35458843438 -226.560364999255</t>
  </si>
  <si>
    <t>-645.114337043621 129.043269685516 -339.630095822972</t>
  </si>
  <si>
    <t>-668.408980010255 116.040091913213 -457.862226235634</t>
  </si>
  <si>
    <t>-681.439998472484 101.937496049997 -565.686918761017</t>
  </si>
  <si>
    <t>-686.556288312268 85.2908925460777 -673.814403661124</t>
  </si>
  <si>
    <t>-685.479130728966 59.2928631050509 -823.890933804622</t>
  </si>
  <si>
    <t>-651.112251078052 29.4199454124096 -915.047467182177</t>
  </si>
  <si>
    <t>-671.167099735919 98.5459031620078 -762.187734833355</t>
  </si>
  <si>
    <t>-581.220021696708 214.833384977693 -760.574517460229</t>
  </si>
  <si>
    <t>-448.219284086584 170.289473380126 -476.826704306059</t>
  </si>
  <si>
    <t>-261.858483277747 75.6276108916013 -322.066232309762</t>
  </si>
  <si>
    <t>-700.744359293391 43.0464924902017 -752.785681772057</t>
  </si>
  <si>
    <t>-454.198420857458 6.49640174957153 -382.351910176351</t>
  </si>
  <si>
    <t>-574.648990287131 231.198967543522 -243.313695168204</t>
  </si>
  <si>
    <t>-572.960592553901 200.253111274537 211.32596771248</t>
  </si>
  <si>
    <t>-627.904761787857 170.120343633109 676.830768967528</t>
  </si>
  <si>
    <t>-494.239882833726 98.3666530995115 765.873578076105</t>
  </si>
  <si>
    <t>-630.235792674934 43.5228662315369 -209.205904037863</t>
  </si>
  <si>
    <t>-508.900926262233 -14.6474429265813 226.169449685817</t>
  </si>
  <si>
    <t>-690.195451605485 39.7153976975228 656.063796730365</t>
  </si>
  <si>
    <t>-576.474648108244 -59.4127644342361 746.533123681768</t>
  </si>
  <si>
    <t>9763-20170724T160656.992475600.bin</t>
  </si>
  <si>
    <t>-602.59567433851 136.916802290272 -226.648571154271</t>
  </si>
  <si>
    <t>-645.402648810229 128.680293741817 -339.641950103722</t>
  </si>
  <si>
    <t>-668.898905141577 115.776133976338 -457.845138843062</t>
  </si>
  <si>
    <t>-682.10464893885 101.766377691402 -565.660738661247</t>
  </si>
  <si>
    <t>-687.387761932394 85.2125139089283 -673.794432820781</t>
  </si>
  <si>
    <t>-686.534201850723 59.3402275695842 -823.894076884112</t>
  </si>
  <si>
    <t>-652.219772782061 29.4040381120444 -915.04967652813</t>
  </si>
  <si>
    <t>-671.988281817752 98.467779614039 -762.165930571297</t>
  </si>
  <si>
    <t>-581.418385040223 214.286972277438 -760.607273636845</t>
  </si>
  <si>
    <t>-447.451636130367 168.719615089882 -477.477059462156</t>
  </si>
  <si>
    <t>-259.910034414361 75.3338475982575 -323.368871650757</t>
  </si>
  <si>
    <t>-701.835507674257 43.107996603454 -752.793407554864</t>
  </si>
  <si>
    <t>-455.672519942671 4.50830555206062 -382.814267560981</t>
  </si>
  <si>
    <t>-574.580796650429 230.781205707108 -243.417553114102</t>
  </si>
  <si>
    <t>-572.602886132462 199.600293366284 211.204780506719</t>
  </si>
  <si>
    <t>-627.923082929409 169.939810188728 676.711810133282</t>
  </si>
  <si>
    <t>-494.358305861048 98.100243037733 765.835514308528</t>
  </si>
  <si>
    <t>-630.555140845816 43.0698001781998 -209.115996517289</t>
  </si>
  <si>
    <t>-508.245221646283 -14.5462202779672 226.060250398092</t>
  </si>
  <si>
    <t>-690.307691646608 39.3107308962863 656.106172603517</t>
  </si>
  <si>
    <t>-576.389016339818 -59.2616279638125 746.933152453679</t>
  </si>
  <si>
    <t>9763-20170724T160657.024560300.bin</t>
  </si>
  <si>
    <t>-602.735813452161 136.696936562974 -226.498470602425</t>
  </si>
  <si>
    <t>-645.490893347381 128.438695342211 -339.510054425044</t>
  </si>
  <si>
    <t>-668.969223634988 115.585150302781 -457.722191669128</t>
  </si>
  <si>
    <t>-682.172746261865 101.648009729 -565.547461404393</t>
  </si>
  <si>
    <t>-687.467225493445 85.1925064642701 -673.695622074843</t>
  </si>
  <si>
    <t>-686.642879879904 59.4827570394073 -823.823382515649</t>
  </si>
  <si>
    <t>-652.343427463993 29.5153916246622 -914.974276691953</t>
  </si>
  <si>
    <t>-671.987197236294 98.4920723459124 -762.046335248043</t>
  </si>
  <si>
    <t>-580.856714612197 213.87920813735 -760.474115596731</t>
  </si>
  <si>
    <t>-446.589017779519 167.917796071825 -477.550184067671</t>
  </si>
  <si>
    <t>-258.31523596484 75.3366644089131 -323.849979240325</t>
  </si>
  <si>
    <t>-702.028087417895 43.2249401163456 -752.746647603643</t>
  </si>
  <si>
    <t>-456.26425529934 2.91100768458205 -382.437292826365</t>
  </si>
  <si>
    <t>-574.441151874818 230.535331358801 -243.427548798879</t>
  </si>
  <si>
    <t>-572.823513914154 199.577403957057 211.211521304756</t>
  </si>
  <si>
    <t>-627.859461865063 169.943889332057 676.668854603043</t>
  </si>
  <si>
    <t>-494.463328117932 97.8776889279993 765.862148170525</t>
  </si>
  <si>
    <t>-630.860553382619 42.8520983162284 -208.813983970442</t>
  </si>
  <si>
    <t>-508.298486344363 -14.9703495541153 226.263862315461</t>
  </si>
  <si>
    <t>-690.55722950611 39.1882725486053 656.234350743025</t>
  </si>
  <si>
    <t>-576.34971699687 -59.1550611110595 746.946783246622</t>
  </si>
  <si>
    <t>9763-20170724T160657.092352100.bin</t>
  </si>
  <si>
    <t>-603.136299892328 136.158736932068 -226.27065541966</t>
  </si>
  <si>
    <t>-645.902802993192 128.086441934066 -339.291327781617</t>
  </si>
  <si>
    <t>-669.374903405625 115.345106578983 -457.516929578594</t>
  </si>
  <si>
    <t>-682.56553296808 101.484787690522 -565.353566622066</t>
  </si>
  <si>
    <t>-687.838731399163 85.0866074119463 -673.511445508842</t>
  </si>
  <si>
    <t>-686.975597993346 59.4397251180826 -823.649793429624</t>
  </si>
  <si>
    <t>-652.749255681019 29.2873497789183 -914.767225326954</t>
  </si>
  <si>
    <t>-672.13648197416 98.3171361725747 -761.833294480564</t>
  </si>
  <si>
    <t>-580.139672247931 212.994018604642 -760.228556202963</t>
  </si>
  <si>
    <t>-445.901837205606 166.721089724072 -477.341183445037</t>
  </si>
  <si>
    <t>-256.563116645633 74.6300507528433 -324.658073601968</t>
  </si>
  <si>
    <t>-702.578509708956 43.2582453632112 -752.603236213458</t>
  </si>
  <si>
    <t>-458.859365533532 0.749543504395433 -383.453590694003</t>
  </si>
  <si>
    <t>-573.967228274707 229.938180920003 -243.469728705834</t>
  </si>
  <si>
    <t>-573.479113527497 199.709573100926 211.221062003657</t>
  </si>
  <si>
    <t>-627.717871056252 169.98805996284 676.66757092292</t>
  </si>
  <si>
    <t>-494.595355364851 97.5528081145785 765.970655387567</t>
  </si>
  <si>
    <t>-632.236846006178 42.4544751105761 -208.270149384938</t>
  </si>
  <si>
    <t>-509.185599358279 -16.4565494463598 226.523515895864</t>
  </si>
  <si>
    <t>-691.145660979964 38.8442923524883 656.395127510528</t>
  </si>
  <si>
    <t>-576.427183757312 -59.1648930101649 746.824021005687</t>
  </si>
  <si>
    <t>9763-20170724T160657.123435300.bin</t>
  </si>
  <si>
    <t>-603.532195726782 135.89380145806 -226.240579685807</t>
  </si>
  <si>
    <t>-646.273150218906 127.958491769376 -339.280639356795</t>
  </si>
  <si>
    <t>-669.715907991286 115.321802653454 -457.52326103139</t>
  </si>
  <si>
    <t>-682.87805703781 101.547556937078 -565.374479519642</t>
  </si>
  <si>
    <t>-688.120131987075 85.2302638665478 -673.546050334039</t>
  </si>
  <si>
    <t>-687.210178872205 59.6932462622278 -823.702889305389</t>
  </si>
  <si>
    <t>-653.009426766542 29.5249320883436 -914.824536067504</t>
  </si>
  <si>
    <t>-672.294321517806 98.4736185180429 -761.843939552011</t>
  </si>
  <si>
    <t>-579.756083112983 212.757637756032 -760.208942781667</t>
  </si>
  <si>
    <t>-445.536876439728 166.473731848048 -477.314786433268</t>
  </si>
  <si>
    <t>-256.107373452687 74.1149167228623 -324.906029520818</t>
  </si>
  <si>
    <t>-702.931291627376 43.5115451007948 -752.68237519316</t>
  </si>
  <si>
    <t>-459.699941465415 0.114204502408938 -383.371077063833</t>
  </si>
  <si>
    <t>-573.829297533997 229.653122155147 -243.524586945111</t>
  </si>
  <si>
    <t>-573.854690325187 199.779898216372 211.189827572199</t>
  </si>
  <si>
    <t>-627.686417931174 169.968736007307 676.666714523482</t>
  </si>
  <si>
    <t>-494.690254658858 97.3439741906211 766.004132865687</t>
  </si>
  <si>
    <t>-633.11941090022 42.2592701626234 -208.226175587174</t>
  </si>
  <si>
    <t>-509.79794982514 -17.2466243939512 226.409946698286</t>
  </si>
  <si>
    <t>-691.272200497268 38.713157657829 656.294818620827</t>
  </si>
  <si>
    <t>-576.525443076453 -59.2487841432594 746.739027249286</t>
  </si>
  <si>
    <t>9763-20170724T160657.188171600.bin</t>
  </si>
  <si>
    <t>-604.528439579154 135.36671075498 -226.437629870748</t>
  </si>
  <si>
    <t>-647.191546442789 127.768411440853 -339.530300672761</t>
  </si>
  <si>
    <t>-670.619111880647 115.282477661819 -457.791917395772</t>
  </si>
  <si>
    <t>-683.798745764546 101.569037999694 -565.648652214437</t>
  </si>
  <si>
    <t>-689.091936084404 85.2391166231041 -673.816051566578</t>
  </si>
  <si>
    <t>-688.290457734635 59.6093556495691 -823.95755032244</t>
  </si>
  <si>
    <t>-654.203412405385 29.2726369575721 -915.065858972306</t>
  </si>
  <si>
    <t>-673.129754740069 98.3186912894425 -762.113730240907</t>
  </si>
  <si>
    <t>-579.820073494008 211.960528664261 -760.62575578712</t>
  </si>
  <si>
    <t>-445.78011108081 165.298247419011 -477.70864617257</t>
  </si>
  <si>
    <t>-256.174114032587 72.6992522407202 -325.665759102661</t>
  </si>
  <si>
    <t>-704.160486478191 43.5806859473628 -752.935324189679</t>
  </si>
  <si>
    <t>-462.759414950171 0.475653296682594 -381.840054607412</t>
  </si>
  <si>
    <t>-574.086270905661 229.021280060796 -243.676673683201</t>
  </si>
  <si>
    <t>-574.606958388326 199.725712611067 211.0751565135</t>
  </si>
  <si>
    <t>-627.577794984365 170.055732995104 676.653410856292</t>
  </si>
  <si>
    <t>-494.930780463861 96.8456058590782 766.032162481865</t>
  </si>
  <si>
    <t>-634.795434657117 41.9347928058864 -208.554640551021</t>
  </si>
  <si>
    <t>-511.093224033359 -18.5846543497676 225.833285493702</t>
  </si>
  <si>
    <t>-691.326131108287 38.6374864631539 656.02358169266</t>
  </si>
  <si>
    <t>-576.697408346383 -59.3405352405605 746.599944601881</t>
  </si>
  <si>
    <t>9763-20170724T160657.223264800.bin</t>
  </si>
  <si>
    <t>-605.076227301249 135.134948470719 -226.555599665539</t>
  </si>
  <si>
    <t>-647.71044721612 127.663842644038 -339.667596477064</t>
  </si>
  <si>
    <t>-671.104497196936 115.242478223975 -457.942712535704</t>
  </si>
  <si>
    <t>-684.254337418284 101.559152030723 -565.806843888307</t>
  </si>
  <si>
    <t>-689.519681868272 85.2300892524245 -673.975603747916</t>
  </si>
  <si>
    <t>-688.682975994629 59.5702167321169 -824.111855837021</t>
  </si>
  <si>
    <t>-654.644417107873 29.1853704729747 -915.222426958992</t>
  </si>
  <si>
    <t>-673.456031281727 98.2473313631376 -762.264187848412</t>
  </si>
  <si>
    <t>-579.808646572019 211.598749222524 -760.798884439974</t>
  </si>
  <si>
    <t>-446.009139647333 164.689945211133 -477.808707593781</t>
  </si>
  <si>
    <t>-255.931674618742 72.5718696564895 -326.062589280035</t>
  </si>
  <si>
    <t>-704.650455252823 43.6003788640962 -753.098412698585</t>
  </si>
  <si>
    <t>-464.709643727991 0.9754497217466 -380.826331808451</t>
  </si>
  <si>
    <t>-574.402881967905 228.691168721516 -243.754197058584</t>
  </si>
  <si>
    <t>-574.926700214002 199.563742521325 211.008421756139</t>
  </si>
  <si>
    <t>-627.53009402728 170.077072960675 676.642693338822</t>
  </si>
  <si>
    <t>-495.018403045078 96.6454215594167 766.040451943313</t>
  </si>
  <si>
    <t>-635.587189951289 41.7019429645043 -208.729914609138</t>
  </si>
  <si>
    <t>-511.753084341495 -18.9455027490626 225.602523352784</t>
  </si>
  <si>
    <t>-691.421155544253 38.6018883365207 656.001838159803</t>
  </si>
  <si>
    <t>-576.808972000633 -59.413851666146 746.558279892769</t>
  </si>
  <si>
    <t>9763-20170724T160657.292968800.bin</t>
  </si>
  <si>
    <t>-606.110471833524 134.653718212665 -226.724156628877</t>
  </si>
  <si>
    <t>-648.656615266495 127.368968655924 -339.881473306197</t>
  </si>
  <si>
    <t>-671.936753171495 115.147671531327 -458.199786724831</t>
  </si>
  <si>
    <t>-684.973752018817 101.64860192164 -566.100949535626</t>
  </si>
  <si>
    <t>-690.116626884927 85.5065791360178 -674.303724163649</t>
  </si>
  <si>
    <t>-689.099562686185 60.1093763232045 -824.483358237613</t>
  </si>
  <si>
    <t>-655.076361843687 29.7807876387128 -915.618469227794</t>
  </si>
  <si>
    <t>-673.83586397078 98.6164016295197 -762.538864958071</t>
  </si>
  <si>
    <t>-579.731323110324 211.586370985945 -760.82535382163</t>
  </si>
  <si>
    <t>-447.239061274132 164.398853801572 -477.266845735399</t>
  </si>
  <si>
    <t>-252.646718043505 75.5364301995771 -329.350214357272</t>
  </si>
  <si>
    <t>-705.263357334102 44.077234461593 -753.528367468872</t>
  </si>
  <si>
    <t>-467.843801237298 1.10651964170461 -378.644769297987</t>
  </si>
  <si>
    <t>-574.982357539584 228.085933159289 -243.848502367238</t>
  </si>
  <si>
    <t>-575.353026926003 199.289084995007 210.935211084974</t>
  </si>
  <si>
    <t>-627.463612847969 170.141068790733 676.654195231943</t>
  </si>
  <si>
    <t>-495.074987169341 96.4724491718364 766.039293219241</t>
  </si>
  <si>
    <t>-637.044807087981 41.2967894232813 -208.928909396211</t>
  </si>
  <si>
    <t>-512.957640939898 -19.7078346414655 225.281224355856</t>
  </si>
  <si>
    <t>-691.63691423128 38.5754158487637 656.026548556688</t>
  </si>
  <si>
    <t>-576.864252364926 -59.3953210799384 746.428345680465</t>
  </si>
  <si>
    <t>9763-20170724T160657.326052800.bin</t>
  </si>
  <si>
    <t>-606.462428817105 134.405026300177 -226.77237599289</t>
  </si>
  <si>
    <t>-648.993067854518 127.179251087724 -339.939249357925</t>
  </si>
  <si>
    <t>-672.179528961471 115.028584712337 -458.28345330666</t>
  </si>
  <si>
    <t>-685.098403351795 101.599782555575 -566.207442243407</t>
  </si>
  <si>
    <t>-690.088740398711 85.5359436340643 -674.429062771624</t>
  </si>
  <si>
    <t>-688.823302022387 60.2567656875674 -824.626854684928</t>
  </si>
  <si>
    <t>-654.737261872135 29.9992221865516 -915.761863827695</t>
  </si>
  <si>
    <t>-673.649671187347 98.7082071540967 -762.625441569061</t>
  </si>
  <si>
    <t>-579.438727926037 211.600941502491 -760.732690441754</t>
  </si>
  <si>
    <t>-447.672306978158 164.535881043982 -476.816177471023</t>
  </si>
  <si>
    <t>-252.302344767923 76.0830465156193 -329.680922439466</t>
  </si>
  <si>
    <t>-705.116736480364 44.1758640559099 -753.712450305575</t>
  </si>
  <si>
    <t>-468.959420934798 1.17265881209732 -377.732828647924</t>
  </si>
  <si>
    <t>-575.146193410214 227.751154405878 -243.900704854879</t>
  </si>
  <si>
    <t>-575.506964219523 199.129728615485 210.894141638865</t>
  </si>
  <si>
    <t>-627.441280737692 170.151327805371 676.65314153851</t>
  </si>
  <si>
    <t>-495.166218141614 96.281246013109 766.040069875569</t>
  </si>
  <si>
    <t>-637.593603458721 41.0912243122089 -208.962995205703</t>
  </si>
  <si>
    <t>-513.480713752828 -20.2133080930985 225.19766324551</t>
  </si>
  <si>
    <t>-691.72641380719 38.7146470901159 656.094102767799</t>
  </si>
  <si>
    <t>-576.909816488641 -59.4194703392375 746.262570246812</t>
  </si>
  <si>
    <t>9763-20170724T160657.392157600.bin</t>
  </si>
  <si>
    <t>-607.407613757581 133.566226243882 -226.838181830133</t>
  </si>
  <si>
    <t>-649.955695928047 126.375479980748 -340.000719029335</t>
  </si>
  <si>
    <t>-672.95769869674 114.391520032574 -458.39783494343</t>
  </si>
  <si>
    <t>-685.625166989453 101.15385066655 -566.375350025587</t>
  </si>
  <si>
    <t>-690.279542210082 85.314119664388 -674.644848332356</t>
  </si>
  <si>
    <t>-688.460605290083 60.3738790246778 -824.89359166545</t>
  </si>
  <si>
    <t>-654.116140503394 30.2548320434973 -915.977477608496</t>
  </si>
  <si>
    <t>-673.474695841234 98.6622070661099 -762.745893872921</t>
  </si>
  <si>
    <t>-579.074340691108 211.386041348009 -760.335512849647</t>
  </si>
  <si>
    <t>-447.913260575572 163.553624413262 -476.266830420279</t>
  </si>
  <si>
    <t>-252.546061542064 76.1308328676053 -328.513829380919</t>
  </si>
  <si>
    <t>-705.056147456615 44.156131680322 -754.08050702108</t>
  </si>
  <si>
    <t>-471.023023538935 1.74239672673343 -376.878741748116</t>
  </si>
  <si>
    <t>-576.209257418047 226.939067734975 -243.960294761924</t>
  </si>
  <si>
    <t>-575.762606641207 198.297545026859 210.833159070151</t>
  </si>
  <si>
    <t>-627.475749053045 169.981159849395 676.639180226344</t>
  </si>
  <si>
    <t>-495.128358004041 96.2602328288417 766.042235228835</t>
  </si>
  <si>
    <t>-638.417300866464 40.313797786788 -209.043341425193</t>
  </si>
  <si>
    <t>-513.949088519415 -20.7773981829801 225.045566905776</t>
  </si>
  <si>
    <t>-691.776187981143 38.9805084376967 655.923597724042</t>
  </si>
  <si>
    <t>-577.039874420917 -59.4215022732365 745.902121457863</t>
  </si>
  <si>
    <t>9763-20170724T160657.429254300.bin</t>
  </si>
  <si>
    <t>-607.83318634161 133.278468945011 -226.930159318846</t>
  </si>
  <si>
    <t>-650.398817411332 126.081580094537 -340.085824303955</t>
  </si>
  <si>
    <t>-673.312843772497 114.186076994844 -458.50870019331</t>
  </si>
  <si>
    <t>-685.856020632405 101.058299958645 -566.514256199748</t>
  </si>
  <si>
    <t>-690.341902234979 85.352579064459 -674.810385479273</t>
  </si>
  <si>
    <t>-688.243383998189 60.6192093686589 -825.089709622183</t>
  </si>
  <si>
    <t>-653.750924632876 30.605618540571 -916.152506526467</t>
  </si>
  <si>
    <t>-673.349406155699 98.808582501797 -762.858920949076</t>
  </si>
  <si>
    <t>-578.813213529052 211.410275222484 -760.104654180314</t>
  </si>
  <si>
    <t>-448.073113345429 162.770434311351 -475.97894715372</t>
  </si>
  <si>
    <t>-253.607918510981 75.7030592812198 -326.832720474491</t>
  </si>
  <si>
    <t>-704.994363936764 44.3174004528958 -754.332431308707</t>
  </si>
  <si>
    <t>-471.723537964715 1.24355148116433 -376.515862430433</t>
  </si>
  <si>
    <t>-576.821718660949 226.56694830333 -244.001041207424</t>
  </si>
  <si>
    <t>-575.975651296992 197.971347184212 210.794684696365</t>
  </si>
  <si>
    <t>-627.48961387455 169.916947641103 676.644897694006</t>
  </si>
  <si>
    <t>-495.028761765639 96.3895614888631 766.039328235004</t>
  </si>
  <si>
    <t>-638.679491317678 40.1390481812984 -209.143359023639</t>
  </si>
  <si>
    <t>-514.170496602292 -20.91781003254 224.938765307039</t>
  </si>
  <si>
    <t>-691.858343829784 38.9471392815815 655.850003484716</t>
  </si>
  <si>
    <t>-577.055898590799 -59.4189303737862 745.783480511888</t>
  </si>
  <si>
    <t>9763-20170724T160657.503496900.bin</t>
  </si>
  <si>
    <t>-608.689413126571 132.759216610551 -227.091240529639</t>
  </si>
  <si>
    <t>-651.134169881861 125.51033302621 -340.288957827597</t>
  </si>
  <si>
    <t>-673.812507762274 113.78090781422 -458.77385131597</t>
  </si>
  <si>
    <t>-686.093386681916 100.881439498233 -566.836909587749</t>
  </si>
  <si>
    <t>-690.266590983964 85.4763438076677 -675.18869094624</t>
  </si>
  <si>
    <t>-687.68096095893 61.2302059019269 -825.539815972081</t>
  </si>
  <si>
    <t>-652.942737674169 31.5064759973675 -916.604225788205</t>
  </si>
  <si>
    <t>-672.95671391823 99.1993350546695 -763.134241451951</t>
  </si>
  <si>
    <t>-578.384005448162 211.752244532373 -759.728834153538</t>
  </si>
  <si>
    <t>-448.217534757989 161.930133134933 -475.544691129415</t>
  </si>
  <si>
    <t>-253.718613834981 76.7330018317791 -325.365951340627</t>
  </si>
  <si>
    <t>-704.693368090935 44.7173634881362 -754.894097544938</t>
  </si>
  <si>
    <t>-472.934865352234 0.713052498560046 -375.62975311778</t>
  </si>
  <si>
    <t>-577.781636494572 225.983453376439 -244.087043269643</t>
  </si>
  <si>
    <t>-576.642115843843 197.681732720478 210.726503642854</t>
  </si>
  <si>
    <t>-627.512999468026 169.852418154643 676.680424154771</t>
  </si>
  <si>
    <t>-495.041979739568 96.3063016136703 766.044333102012</t>
  </si>
  <si>
    <t>-639.475960136739 39.5312945636963 -209.373400169112</t>
  </si>
  <si>
    <t>-514.790127482678 -20.931733702321 224.741013838979</t>
  </si>
  <si>
    <t>-692.082640360234 39.0147468856796 655.854189794193</t>
  </si>
  <si>
    <t>-577.189374658479 -59.4367062743324 745.577980127241</t>
  </si>
  <si>
    <t>9763-20170724T160657.521545200.bin</t>
  </si>
  <si>
    <t>-609.180216667425 132.435931017406 -227.095644182167</t>
  </si>
  <si>
    <t>-651.531672430431 125.182219695584 -340.327904350178</t>
  </si>
  <si>
    <t>-674.052933808374 113.522874783336 -458.849687317228</t>
  </si>
  <si>
    <t>-686.164711584792 100.715642624787 -566.942898698786</t>
  </si>
  <si>
    <t>-690.141033015687 85.4309796231228 -675.319161399494</t>
  </si>
  <si>
    <t>-687.252669372949 61.3805792747839 -825.696150653571</t>
  </si>
  <si>
    <t>-652.391836335755 31.8268273995477 -916.769116478197</t>
  </si>
  <si>
    <t>-672.654147615921 99.2684220775805 -763.211622992862</t>
  </si>
  <si>
    <t>-578.060106351402 211.780177722306 -759.472157533088</t>
  </si>
  <si>
    <t>-448.426318387444 161.722073783458 -475.086110931682</t>
  </si>
  <si>
    <t>-254.303275182405 77.8451755905639 -323.682784829758</t>
  </si>
  <si>
    <t>-704.407269284399 44.7757836049623 -755.106386535601</t>
  </si>
  <si>
    <t>-473.519103224243 0.0373487645913428 -374.918036438764</t>
  </si>
  <si>
    <t>-578.191200663991 225.655671378111 -244.108837599073</t>
  </si>
  <si>
    <t>-577.160622305919 197.725971335069 210.727902393301</t>
  </si>
  <si>
    <t>-627.536020935015 169.826441094667 676.719074538452</t>
  </si>
  <si>
    <t>-495.109508065705 96.1701916909069 766.058277953469</t>
  </si>
  <si>
    <t>-640.035235216917 39.205704850051 -209.389222569215</t>
  </si>
  <si>
    <t>-515.158467007098 -21.1807435087762 224.68097329441</t>
  </si>
  <si>
    <t>-692.234334754623 38.9874200629174 655.851803343615</t>
  </si>
  <si>
    <t>-577.225333956766 -59.4414303365543 745.452050645903</t>
  </si>
  <si>
    <t>9763-20170724T160657.588546100.bin</t>
  </si>
  <si>
    <t>-609.931743781769 131.875342385047 -227.087771311007</t>
  </si>
  <si>
    <t>-652.259484727211 124.738341354979 -340.336355039175</t>
  </si>
  <si>
    <t>-674.474702643171 113.270217877862 -458.934468458757</t>
  </si>
  <si>
    <t>-686.190102876505 100.664061370558 -567.095067055647</t>
  </si>
  <si>
    <t>-689.649061020486 85.607853940568 -675.521009403314</t>
  </si>
  <si>
    <t>-685.915298938796 61.9032220649638 -825.934269409281</t>
  </si>
  <si>
    <t>-650.78361778326 32.7095194703363 -917.019257696645</t>
  </si>
  <si>
    <t>-671.666481485116 99.6461846353845 -763.281625462132</t>
  </si>
  <si>
    <t>-576.915687667872 212.003544138468 -758.781946467501</t>
  </si>
  <si>
    <t>-448.984978989619 162.127540835417 -473.593697745898</t>
  </si>
  <si>
    <t>-252.770255688399 81.8099074882773 -322.958689628486</t>
  </si>
  <si>
    <t>-703.468227035286 45.1374347166905 -755.480482634283</t>
  </si>
  <si>
    <t>-578.809109895686 225.046812468857 -244.109525802069</t>
  </si>
  <si>
    <t>-577.839357253358 197.645731114539 210.759625882867</t>
  </si>
  <si>
    <t>-627.588462635216 169.731237763702 676.801648499852</t>
  </si>
  <si>
    <t>-495.121520910776 96.0864171975934 766.090286809206</t>
  </si>
  <si>
    <t>-640.890630565434 38.76083469217 -209.38237794514</t>
  </si>
  <si>
    <t>-515.849636289896 -22.4830355902109 224.5204112714</t>
  </si>
  <si>
    <t>-692.488324798272 38.9261297359253 655.7151295926</t>
  </si>
  <si>
    <t>-577.415710568395 -59.5796039849752 745.149024962004</t>
  </si>
  <si>
    <t>9763-20170724T160657.624643900.bin</t>
  </si>
  <si>
    <t>-610.206928942599 131.460553368353 -227.071511907459</t>
  </si>
  <si>
    <t>-652.526037853506 124.377444032737 -340.3266612124</t>
  </si>
  <si>
    <t>-674.595857687239 113.004307264178 -458.961253152299</t>
  </si>
  <si>
    <t>-686.121854803206 100.499755298407 -567.153798231304</t>
  </si>
  <si>
    <t>-689.332543428319 85.5608757900993 -675.60362026179</t>
  </si>
  <si>
    <t>-685.192409116565 62.0353970787846 -826.034475995425</t>
  </si>
  <si>
    <t>-649.930564261358 33.0022616878896 -917.120479274064</t>
  </si>
  <si>
    <t>-671.114648830567 99.7044518900877 -763.298664860334</t>
  </si>
  <si>
    <t>-576.377957720544 212.068790764803 -758.401574697465</t>
  </si>
  <si>
    <t>-449.247404605321 162.322326205263 -472.833226073514</t>
  </si>
  <si>
    <t>-252.37474553032 82.9452601816033 -322.558419126991</t>
  </si>
  <si>
    <t>-702.934015024162 45.1848311374645 -755.648267760734</t>
  </si>
  <si>
    <t>-579.019257350046 224.616601716751 -244.100721741337</t>
  </si>
  <si>
    <t>-577.954785633065 197.453319472884 210.782407262495</t>
  </si>
  <si>
    <t>-627.605086437769 169.687291455564 676.827578072067</t>
  </si>
  <si>
    <t>-495.164603790816 95.9878462218937 766.110400933923</t>
  </si>
  <si>
    <t>-641.233103177108 38.3149073465361 -209.380173648804</t>
  </si>
  <si>
    <t>-516.179193307828 -23.1218110801506 224.491561758595</t>
  </si>
  <si>
    <t>-692.646926806153 38.8902190726656 655.667696852582</t>
  </si>
  <si>
    <t>-577.476113482773 -59.625327219256 744.964291354186</t>
  </si>
  <si>
    <t>9763-20170724T160657.694868700.bin</t>
  </si>
  <si>
    <t>-610.586089596476 130.545068903904 -227.122051816008</t>
  </si>
  <si>
    <t>-652.882700316367 123.60305165962 -340.394260654414</t>
  </si>
  <si>
    <t>-674.62671144304 112.391611533629 -459.104297660064</t>
  </si>
  <si>
    <t>-685.730573994757 100.041902241466 -567.358869710907</t>
  </si>
  <si>
    <t>-688.390652869472 85.2674153009027 -675.846117610516</t>
  </si>
  <si>
    <t>-683.351944616993 61.9813236613793 -826.286724950653</t>
  </si>
  <si>
    <t>-647.787532145179 33.2941083450855 -917.364743327809</t>
  </si>
  <si>
    <t>-669.679878721945 99.5677665764185 -763.411806863443</t>
  </si>
  <si>
    <t>-575.035229605798 211.973299531451 -757.773310151968</t>
  </si>
  <si>
    <t>-450.075018976032 161.837270110439 -471.316517486695</t>
  </si>
  <si>
    <t>-252.212883853928 81.9550420391179 -322.617364420516</t>
  </si>
  <si>
    <t>-701.48303890975 45.0015231848615 -756.030980422796</t>
  </si>
  <si>
    <t>-579.243517632169 223.619233109215 -244.128406331064</t>
  </si>
  <si>
    <t>-577.987633595252 196.775756301792 210.773338189705</t>
  </si>
  <si>
    <t>-627.632162286941 169.534796059679 676.830834198737</t>
  </si>
  <si>
    <t>-495.237512666341 95.7827824462358 766.138225227809</t>
  </si>
  <si>
    <t>-641.779118378367 37.54070514246 -209.500113688438</t>
  </si>
  <si>
    <t>-516.677333377335 -24.1855836052016 224.316782582202</t>
  </si>
  <si>
    <t>-692.787880306835 38.9241425442501 655.401223794016</t>
  </si>
  <si>
    <t>-577.49284937896 -59.5719377091737 744.558889702943</t>
  </si>
  <si>
    <t>9763-20170724T160657.725955800.bin</t>
  </si>
  <si>
    <t>-610.672675697965 130.10507980341 -227.216904228687</t>
  </si>
  <si>
    <t>-652.95877155692 123.185668042491 -340.494553034996</t>
  </si>
  <si>
    <t>-674.572121814247 112.036048065625 -459.234123604021</t>
  </si>
  <si>
    <t>-685.50669194152 99.7578140076721 -567.514072287985</t>
  </si>
  <si>
    <t>-687.945767155356 85.0701566660339 -676.018248812577</t>
  </si>
  <si>
    <t>-682.546136300626 61.9204863552447 -826.467344977932</t>
  </si>
  <si>
    <t>-646.836997759093 33.4029151129528 -917.542099350578</t>
  </si>
  <si>
    <t>-669.047625077915 99.4628832750441 -763.528717323789</t>
  </si>
  <si>
    <t>-574.489847667306 211.918061285321 -757.471881474098</t>
  </si>
  <si>
    <t>-450.344540004025 161.568309805364 -470.698425088274</t>
  </si>
  <si>
    <t>-252.800243580193 80.9417898902204 -321.978304463066</t>
  </si>
  <si>
    <t>-700.822910475556 44.8642042986141 -756.267932790137</t>
  </si>
  <si>
    <t>-579.32012829396 223.128781810339 -244.171548054623</t>
  </si>
  <si>
    <t>-578.006971246257 196.430700521529 210.738513341358</t>
  </si>
  <si>
    <t>-627.658327545748 169.424733858629 676.814176175456</t>
  </si>
  <si>
    <t>-495.293118979713 95.6507641330124 766.147036497924</t>
  </si>
  <si>
    <t>-641.912130228523 37.1905870235819 -209.622295493122</t>
  </si>
  <si>
    <t>-516.821085962073 -24.5203911443848 224.199917200792</t>
  </si>
  <si>
    <t>-692.833803561727 38.9631009369359 655.278459162882</t>
  </si>
  <si>
    <t>-577.619505781297 -59.6685679321961 744.390581111415</t>
  </si>
  <si>
    <t>9763-20170724T160657.788134600.bin</t>
  </si>
  <si>
    <t>-610.709988022715 129.196338647253 -227.351946120875</t>
  </si>
  <si>
    <t>-652.831088048205 122.214615136074 -340.687171199154</t>
  </si>
  <si>
    <t>-674.046421383648 111.205171120016 -459.511637651309</t>
  </si>
  <si>
    <t>-684.522528418915 99.128640477508 -567.859569943614</t>
  </si>
  <si>
    <t>-686.403999864381 84.712823146021 -676.411370624301</t>
  </si>
  <si>
    <t>-680.125880790971 62.010665390648 -826.894635063518</t>
  </si>
  <si>
    <t>-644.09780910717 33.936668756578 -917.981465711569</t>
  </si>
  <si>
    <t>-667.038228307689 99.3897517606256 -763.772230926644</t>
  </si>
  <si>
    <t>-572.582184037259 211.855775500876 -756.690304004864</t>
  </si>
  <si>
    <t>-450.351481029323 160.834208417091 -469.214087609963</t>
  </si>
  <si>
    <t>-251.381906990103 81.1045806122156 -321.917110631471</t>
  </si>
  <si>
    <t>-698.769297569265 44.7215581510595 -756.848636588659</t>
  </si>
  <si>
    <t>-579.48428862617 222.214690462938 -244.242341456908</t>
  </si>
  <si>
    <t>-578.177649565444 195.965439489 210.693889465529</t>
  </si>
  <si>
    <t>-627.666551365818 169.334552180171 676.82731010331</t>
  </si>
  <si>
    <t>-495.32530427605 95.5258845210265 766.167020724382</t>
  </si>
  <si>
    <t>-641.792500906698 36.226604949439 -209.799654374933</t>
  </si>
  <si>
    <t>-516.89466037864 -25.035516462935 224.141815813948</t>
  </si>
  <si>
    <t>-693.111666212416 39.0182278850355 655.20682448838</t>
  </si>
  <si>
    <t>-577.552518769638 -59.5542990604536 743.937046010634</t>
  </si>
  <si>
    <t>9763-20170724T160657.825233800.bin</t>
  </si>
  <si>
    <t>-610.686256824581 128.780198315002 -227.367235947713</t>
  </si>
  <si>
    <t>-652.743423952964 121.747925335236 -340.723071051846</t>
  </si>
  <si>
    <t>-673.751062282534 110.813491629063 -459.59144767975</t>
  </si>
  <si>
    <t>-683.97778664498 98.8522070234737 -567.975832387203</t>
  </si>
  <si>
    <t>-685.547446036627 84.5966618873556 -676.553803999569</t>
  </si>
  <si>
    <t>-678.771050467727 62.1617599389053 -827.055505606277</t>
  </si>
  <si>
    <t>-642.593903937162 34.3325034668603 -918.158407192617</t>
  </si>
  <si>
    <t>-665.935379654802 99.4527182551399 -763.829287524264</t>
  </si>
  <si>
    <t>-571.578870324522 211.987449870747 -756.179738968734</t>
  </si>
  <si>
    <t>-450.343850644517 160.027665207087 -468.449970571689</t>
  </si>
  <si>
    <t>-250.513986341778 81.4225228295193 -321.714502718013</t>
  </si>
  <si>
    <t>-697.603411694987 44.7242970899842 -757.097028183483</t>
  </si>
  <si>
    <t>-579.589846258344 221.822542758906 -244.230545994924</t>
  </si>
  <si>
    <t>-578.360659286456 195.813258231323 210.71957745679</t>
  </si>
  <si>
    <t>-627.734959774026 169.211942128688 676.862551665218</t>
  </si>
  <si>
    <t>-495.227457431582 95.6662091673459 766.172672920581</t>
  </si>
  <si>
    <t>-641.639115079041 35.8127102511232 -209.789411821092</t>
  </si>
  <si>
    <t>-516.726810213866 -25.1939073612464 224.183802601629</t>
  </si>
  <si>
    <t>-693.22511908894 39.0506127620026 655.090841051545</t>
  </si>
  <si>
    <t>-577.565763896523 -59.5620320519099 743.645749546455</t>
  </si>
  <si>
    <t>9763-20170724T160657.890412300.bin</t>
  </si>
  <si>
    <t>-610.297757539124 128.073032147957 -227.389633266886</t>
  </si>
  <si>
    <t>-652.096277271176 120.905289157788 -340.832632772751</t>
  </si>
  <si>
    <t>-672.597069160517 110.081765881732 -459.799623381564</t>
  </si>
  <si>
    <t>-682.260065842009 98.316413343322 -568.25723954789</t>
  </si>
  <si>
    <t>-683.159392451601 84.349143148248 -676.880211234365</t>
  </si>
  <si>
    <t>-675.340267661622 62.4080857368967 -827.404135270061</t>
  </si>
  <si>
    <t>-638.812676497068 35.1389040884646 -918.536620357347</t>
  </si>
  <si>
    <t>-663.037483259508 99.5441452704397 -763.981162881207</t>
  </si>
  <si>
    <t>-569.084656139706 212.318864759236 -755.311218581443</t>
  </si>
  <si>
    <t>-449.197608931961 159.930109720903 -467.094776341689</t>
  </si>
  <si>
    <t>-247.503734409629 81.775192528564 -322.687475736869</t>
  </si>
  <si>
    <t>-694.562533170239 44.6884550098464 -757.622834400007</t>
  </si>
  <si>
    <t>-579.428726299448 221.064792251127 -244.220609911865</t>
  </si>
  <si>
    <t>-578.552664449213 195.633886166466 210.763104558607</t>
  </si>
  <si>
    <t>-627.824906622853 169.044919572194 676.921576831529</t>
  </si>
  <si>
    <t>-495.225521677915 95.62008264221 766.194790398981</t>
  </si>
  <si>
    <t>-640.97809612577 35.1458715039969 -209.866423532598</t>
  </si>
  <si>
    <t>-516.297511881487 -25.3070413807698 224.250920367561</t>
  </si>
  <si>
    <t>-693.421679546972 39.3164190179316 654.909185789864</t>
  </si>
  <si>
    <t>-577.63181723301 -59.5341028291905 743.027252963938</t>
  </si>
  <si>
    <t>9763-20170724T160657.924503700.bin</t>
  </si>
  <si>
    <t>-610.008158710873 127.750001086572 -227.377571471299</t>
  </si>
  <si>
    <t>-651.669834538153 120.512098643942 -340.866403300996</t>
  </si>
  <si>
    <t>-671.952448689999 109.730454965358 -459.874540142382</t>
  </si>
  <si>
    <t>-681.38369178346 98.0469106884602 -568.361311734443</t>
  </si>
  <si>
    <t>-682.01614847727 84.2043494559925 -677.002273271459</t>
  </si>
  <si>
    <t>-673.789372333476 62.4801735179465 -827.535839537232</t>
  </si>
  <si>
    <t>-637.114043373625 35.495514663324 -918.69375052469</t>
  </si>
  <si>
    <t>-661.708907333588 99.5531258786434 -764.033304005716</t>
  </si>
  <si>
    <t>-567.924691954448 212.469238297586 -754.971039628989</t>
  </si>
  <si>
    <t>-448.437459678362 160.171207495491 -466.572276745407</t>
  </si>
  <si>
    <t>-246.498903265934 81.7874372412384 -322.631738803514</t>
  </si>
  <si>
    <t>-693.149930247563 44.6318803610623 -757.825616663831</t>
  </si>
  <si>
    <t>-579.259318085052 220.746295620541 -244.18283298865</t>
  </si>
  <si>
    <t>-578.532010214368 195.521839872071 210.81258552593</t>
  </si>
  <si>
    <t>-627.873682393234 168.955548340096 676.950311519983</t>
  </si>
  <si>
    <t>-495.204042660363 95.6373251086793 766.206757234971</t>
  </si>
  <si>
    <t>-640.639526347345 34.8157250303188 -209.850401048328</t>
  </si>
  <si>
    <t>-516.150551246435 -25.4071274112684 224.353976312581</t>
  </si>
  <si>
    <t>-693.65533828442 39.3712320166869 654.897043674154</t>
  </si>
  <si>
    <t>-577.63024798432 -59.5170706961887 742.662598485372</t>
  </si>
  <si>
    <t>9763-20170724T160657.992687600.bin</t>
  </si>
  <si>
    <t>-609.098558386534 126.910470565972 -227.424781629797</t>
  </si>
  <si>
    <t>-650.476026530953 119.648507531607 -341.015936870206</t>
  </si>
  <si>
    <t>-670.419466666928 108.982779419416 -460.091781670073</t>
  </si>
  <si>
    <t>-679.520943860786 97.4617622127373 -568.62434467179</t>
  </si>
  <si>
    <t>-679.800335769117 83.8389481822051 -677.294248348141</t>
  </si>
  <si>
    <t>-671.05799124649 62.4797189397755 -827.851195751325</t>
  </si>
  <si>
    <t>-634.201371139845 35.9683143646155 -919.074645333815</t>
  </si>
  <si>
    <t>-659.28967321162 99.4509378788623 -764.230682421844</t>
  </si>
  <si>
    <t>-566.092285832786 212.794107766883 -754.710177744235</t>
  </si>
  <si>
    <t>-447.781137753074 160.691712440826 -465.791502430242</t>
  </si>
  <si>
    <t>-247.030402054827 81.9287846189247 -320.403794550216</t>
  </si>
  <si>
    <t>-690.562725889639 44.4101142210704 -758.238173883208</t>
  </si>
  <si>
    <t>-578.354924461915 219.732083682708 -244.136404607312</t>
  </si>
  <si>
    <t>-577.863972678909 194.868619701787 210.879230966389</t>
  </si>
  <si>
    <t>-627.957010367033 168.557294569614 676.876937559494</t>
  </si>
  <si>
    <t>-495.121888522694 95.6911176553037 766.257384984383</t>
  </si>
  <si>
    <t>-639.637394670677 34.0962046448549 -210.119118486414</t>
  </si>
  <si>
    <t>-515.93388785205 -26.0010377444712 224.326998946426</t>
  </si>
  <si>
    <t>-693.901746917787 39.3769972868934 654.564230537388</t>
  </si>
  <si>
    <t>-577.460398983142 -59.3531526583411 741.955767335889</t>
  </si>
  <si>
    <t>9763-20170724T160658.024774300.bin</t>
  </si>
  <si>
    <t>-608.240751446292 126.361335871838 -227.605378147002</t>
  </si>
  <si>
    <t>-649.568444013545 119.12897687226 -341.216772727877</t>
  </si>
  <si>
    <t>-669.455792207539 108.51117389822 -460.306255057248</t>
  </si>
  <si>
    <t>-678.503592395118 97.0439551373511 -568.84884915026</t>
  </si>
  <si>
    <t>-678.725757782965 83.4871809878512 -677.527251888626</t>
  </si>
  <si>
    <t>-669.899454700063 62.2341417477965 -828.094246047116</t>
  </si>
  <si>
    <t>-633.047875198954 35.9062881271414 -919.372949925369</t>
  </si>
  <si>
    <t>-658.223646004385 99.1919630330401 -764.449035805243</t>
  </si>
  <si>
    <t>-565.382865205834 212.841741727552 -754.916346718833</t>
  </si>
  <si>
    <t>-447.968131316494 161.601299914375 -465.478139587526</t>
  </si>
  <si>
    <t>-250.534170976169 81.249317510023 -316.463354490366</t>
  </si>
  <si>
    <t>-689.385968067144 44.0839762577957 -758.497121752804</t>
  </si>
  <si>
    <t>-577.507509655891 218.89258953948 -244.23752388967</t>
  </si>
  <si>
    <t>-576.824203308924 193.782944958898 210.764326766329</t>
  </si>
  <si>
    <t>-628.053836679514 168.096216011605 676.722081042912</t>
  </si>
  <si>
    <t>-494.938092673081 95.9310692689826 766.253660498328</t>
  </si>
  <si>
    <t>-638.802073289083 33.7972874028483 -210.366372604273</t>
  </si>
  <si>
    <t>-515.729778097323 -26.5658640174879 224.222165193558</t>
  </si>
  <si>
    <t>-693.856954501247 39.465936087561 654.296063613761</t>
  </si>
  <si>
    <t>-577.561334794187 -59.4485857719005 741.673161936217</t>
  </si>
  <si>
    <t>9763-20170724T160658.093970200.bin</t>
  </si>
  <si>
    <t>-606.191524822857 124.918386509046 -227.90689074211</t>
  </si>
  <si>
    <t>-647.345560456343 117.804777520531 -341.588709399377</t>
  </si>
  <si>
    <t>-667.215972118208 107.267654548623 -460.688206160698</t>
  </si>
  <si>
    <t>-676.315068383841 95.8656168426014 -569.233287040443</t>
  </si>
  <si>
    <t>-676.655400076836 82.3702532232296 -677.91907877677</t>
  </si>
  <si>
    <t>-668.061758634188 61.2024811962026 -828.511547460654</t>
  </si>
  <si>
    <t>-631.294204382516 35.0371663414535 -919.870823152752</t>
  </si>
  <si>
    <t>-656.336181233292 98.1508356262907 -764.870044414741</t>
  </si>
  <si>
    <t>-564.402865843767 212.586485133654 -755.853875496153</t>
  </si>
  <si>
    <t>-451.075187377535 164.522408106218 -464.249982286652</t>
  </si>
  <si>
    <t>-257.75404445966 80.5733391766325 -311.863860914455</t>
  </si>
  <si>
    <t>-687.392231972338 42.9862243779676 -758.888083410332</t>
  </si>
  <si>
    <t>-575.456867727169 216.664514368361 -244.211778403135</t>
  </si>
  <si>
    <t>-575.382307078986 191.745244642463 210.801075532927</t>
  </si>
  <si>
    <t>-628.832784997493 166.997808455527 676.834302756487</t>
  </si>
  <si>
    <t>-494.899837452757 96.0857762223638 766.148140842553</t>
  </si>
  <si>
    <t>-636.829675294277 33.1340071439815 -210.950833348353</t>
  </si>
  <si>
    <t>-515.702272473609 -27.6151496516916 224.130075358717</t>
  </si>
  <si>
    <t>-693.8038451525 39.6226613641716 654.079588787258</t>
  </si>
  <si>
    <t>-577.653766577535 -59.5259525988035 741.384927282305</t>
  </si>
  <si>
    <t>9763-20170724T160658.124047100.bin</t>
  </si>
  <si>
    <t>-605.221487672849 124.175033957364 -227.994848433705</t>
  </si>
  <si>
    <t>-646.197642003794 117.083448552485 -341.742189486297</t>
  </si>
  <si>
    <t>-666.002320359342 106.57093492757 -460.854847118072</t>
  </si>
  <si>
    <t>-675.090269173894 95.1956763769772 -569.403781422306</t>
  </si>
  <si>
    <t>-675.467745332272 81.7340011700321 -678.093618350294</t>
  </si>
  <si>
    <t>-666.975664971905 60.6217116420512 -828.699654057938</t>
  </si>
  <si>
    <t>-630.284666151761 34.5403627661437 -920.11365257329</t>
  </si>
  <si>
    <t>-655.192042157507 97.5383775810931 -765.05036427091</t>
  </si>
  <si>
    <t>-563.578608053966 212.234774418779 -756.150587034566</t>
  </si>
  <si>
    <t>-453.878497357066 166.456953737441 -462.796736690864</t>
  </si>
  <si>
    <t>-263.750863053806 77.8735399579191 -309.022604816123</t>
  </si>
  <si>
    <t>-686.274253678285 42.3881109727681 -759.071993487656</t>
  </si>
  <si>
    <t>-574.457540431405 215.566122417284 -244.148895951742</t>
  </si>
  <si>
    <t>-575.151452622595 190.886882569004 210.876581261848</t>
  </si>
  <si>
    <t>-629.2682118921 166.566255162279 676.959485373808</t>
  </si>
  <si>
    <t>-494.970683812847 96.0767286492849 766.060046160161</t>
  </si>
  <si>
    <t>-635.935824426081 32.7612472631774 -211.15532220188</t>
  </si>
  <si>
    <t>-515.832355354066 -28.1785408168269 224.182646213327</t>
  </si>
  <si>
    <t>-693.792656512451 39.6408733283311 654.112582142601</t>
  </si>
  <si>
    <t>-577.769825356743 -59.6785023736647 741.393027465809</t>
  </si>
  <si>
    <t>9763-20170724T160658.191235500.bin</t>
  </si>
  <si>
    <t>-603.607364434251 122.938892010878 -227.894615448964</t>
  </si>
  <si>
    <t>-644.332988622694 115.971367098824 -341.739632590765</t>
  </si>
  <si>
    <t>-663.907628524315 105.533944647085 -460.896860926637</t>
  </si>
  <si>
    <t>-672.797070614137 94.222909751935 -569.468838946886</t>
  </si>
  <si>
    <t>-672.984661414476 80.8318053420189 -678.168011178055</t>
  </si>
  <si>
    <t>-664.236191709179 59.8328720783461 -828.775143280568</t>
  </si>
  <si>
    <t>-627.619687659514 34.01577344158 -920.293911332586</t>
  </si>
  <si>
    <t>-652.599937813494 96.7229046455921 -765.083521712361</t>
  </si>
  <si>
    <t>-561.68574949833 211.931406218616 -755.989396231067</t>
  </si>
  <si>
    <t>-460.277668400397 173.43967720649 -458.632690204472</t>
  </si>
  <si>
    <t>-277.483175045571 75.7665655937467 -301.50794158501</t>
  </si>
  <si>
    <t>-683.614368905987 41.525515573346 -759.188963445415</t>
  </si>
  <si>
    <t>-572.383045956188 213.999306651425 -244.05056794371</t>
  </si>
  <si>
    <t>-574.287888558943 189.797720625989 210.997131096357</t>
  </si>
  <si>
    <t>-629.598316675593 166.242318458254 676.985785480288</t>
  </si>
  <si>
    <t>-494.965175223786 96.1715552192143 765.910072773576</t>
  </si>
  <si>
    <t>-634.694898108307 31.9735756836851 -211.066864504293</t>
  </si>
  <si>
    <t>-515.955808111409 -29.478293135787 224.573320594015</t>
  </si>
  <si>
    <t>-693.799503477909 39.6106533820939 654.244018060559</t>
  </si>
  <si>
    <t>-577.597601752687 -59.5663133181365 741.448133328369</t>
  </si>
  <si>
    <t>9763-20170724T160658.225326500.bin</t>
  </si>
  <si>
    <t>-602.810253563821 122.187091752132 -227.773686988464</t>
  </si>
  <si>
    <t>-643.568410171776 115.32029031943 -341.613123013751</t>
  </si>
  <si>
    <t>-663.099890459938 104.922971339022 -460.781024605352</t>
  </si>
  <si>
    <t>-671.917367149274 93.6349405045914 -569.361332644776</t>
  </si>
  <si>
    <t>-671.999070723507 80.2601667172287 -678.062526424902</t>
  </si>
  <si>
    <t>-663.066642897612 59.2836959371489 -828.66197309982</t>
  </si>
  <si>
    <t>-626.44906206537 33.6261887729227 -920.225238901982</t>
  </si>
  <si>
    <t>-651.571772591424 96.1990137524317 -764.959186362345</t>
  </si>
  <si>
    <t>-561.103489186507 211.792796346399 -755.783255280573</t>
  </si>
  <si>
    <t>-464.714611107888 177.571771056666 -456.243155283608</t>
  </si>
  <si>
    <t>-284.417129409369 76.4930929713673 -298.388794332519</t>
  </si>
  <si>
    <t>-682.46614521135 40.9312692873264 -759.093619017148</t>
  </si>
  <si>
    <t>-571.396288447209 213.098376756942 -243.918635880717</t>
  </si>
  <si>
    <t>-573.674594929837 189.095343551892 211.137815615826</t>
  </si>
  <si>
    <t>-629.846102146623 166.035253937485 677.092585391045</t>
  </si>
  <si>
    <t>-494.961920689404 96.2564171584074 765.865774975784</t>
  </si>
  <si>
    <t>-634.089683732332 31.3252098681639 -210.959349854473</t>
  </si>
  <si>
    <t>-515.81765716603 -30.1420331856464 224.805722332996</t>
  </si>
  <si>
    <t>-693.812658608254 39.5496157076218 654.325950638882</t>
  </si>
  <si>
    <t>-577.632508056802 -59.6661929314018 741.514859709842</t>
  </si>
  <si>
    <t>9763-20170724T160658.293022400.bin</t>
  </si>
  <si>
    <t>-601.364744114823 120.716484285933 -227.449548635729</t>
  </si>
  <si>
    <t>-642.161675811237 113.966041763686 -341.282100931636</t>
  </si>
  <si>
    <t>-661.52567714399 103.559026753163 -460.476388748591</t>
  </si>
  <si>
    <t>-670.103615530325 92.2338408891346 -569.071979407979</t>
  </si>
  <si>
    <t>-669.855422244941 78.8075949283543 -677.76670523399</t>
  </si>
  <si>
    <t>-660.368668399786 57.757649087358 -828.321904079233</t>
  </si>
  <si>
    <t>-623.626565026655 32.4184684501261 -919.924049734221</t>
  </si>
  <si>
    <t>-649.298560973132 94.8069453194266 -764.621718797083</t>
  </si>
  <si>
    <t>-559.603554312237 210.962794794579 -755.259602461874</t>
  </si>
  <si>
    <t>-472.458323812725 186.730598114786 -451.936922741374</t>
  </si>
  <si>
    <t>-297.586523969549 80.502042803274 -291.383500742702</t>
  </si>
  <si>
    <t>-679.83395099745 39.3362646825917 -758.790254385394</t>
  </si>
  <si>
    <t>-569.836301283648 211.577215256014 -243.557921194381</t>
  </si>
  <si>
    <t>-572.525567577706 187.832862325597 211.509813101115</t>
  </si>
  <si>
    <t>-630.225829684923 165.864367418654 677.335190332639</t>
  </si>
  <si>
    <t>-495.059642643216 96.2320094027089 765.793921470472</t>
  </si>
  <si>
    <t>-632.718940714477 29.9900588620815 -210.663824163159</t>
  </si>
  <si>
    <t>-515.186627179274 -31.386903654118 225.314027918034</t>
  </si>
  <si>
    <t>-693.715890615533 39.5107006428143 654.410497040468</t>
  </si>
  <si>
    <t>-577.583245221006 -59.7063558623954 741.661270743302</t>
  </si>
  <si>
    <t>9763-20170724T160658.322099600.bin</t>
  </si>
  <si>
    <t>-600.731401974347 119.979056799416 -227.290809463262</t>
  </si>
  <si>
    <t>-641.587643732277 113.252496996316 -341.103422993475</t>
  </si>
  <si>
    <t>-660.943718770753 102.807911370515 -460.295848781604</t>
  </si>
  <si>
    <t>-669.484494593446 91.4363295822654 -568.889528286511</t>
  </si>
  <si>
    <t>-669.1676134734 77.9586157262631 -677.577578196677</t>
  </si>
  <si>
    <t>-659.551411994742 56.8383991131618 -828.114814001493</t>
  </si>
  <si>
    <t>-622.737350322566 31.6277330371674 -919.723344468722</t>
  </si>
  <si>
    <t>-648.674420211507 93.9911119005544 -764.441439420737</t>
  </si>
  <si>
    <t>-559.662988762554 210.685324569251 -755.116108377376</t>
  </si>
  <si>
    <t>-476.873271842032 189.943553067423 -450.318062976572</t>
  </si>
  <si>
    <t>-302.866010615893 83.5836098269203 -288.914565520195</t>
  </si>
  <si>
    <t>-678.938103617281 38.3758176354031 -758.572075737996</t>
  </si>
  <si>
    <t>-569.237963468896 210.961797942161 -243.412239178698</t>
  </si>
  <si>
    <t>-572.097203511379 187.462801684604 211.667174114454</t>
  </si>
  <si>
    <t>-630.252205471953 165.885135918877 677.350068157795</t>
  </si>
  <si>
    <t>-495.045484859261 96.2935671763637 765.778895480737</t>
  </si>
  <si>
    <t>-632.042975901991 29.1614906449445 -210.489443284804</t>
  </si>
  <si>
    <t>-514.617918961253 -31.83805092323 225.570302458307</t>
  </si>
  <si>
    <t>-693.653591263852 39.4474148792706 654.385230315637</t>
  </si>
  <si>
    <t>-577.480957708697 -59.6773762956761 741.687618398215</t>
  </si>
  <si>
    <t>9763-20170724T160658.390367300.bin</t>
  </si>
  <si>
    <t>-599.577658519895 119.272098906226 -227.129983073243</t>
  </si>
  <si>
    <t>-640.524356549032 112.363132483703 -340.899305990729</t>
  </si>
  <si>
    <t>-659.741879528176 101.842532228015 -460.107302105787</t>
  </si>
  <si>
    <t>-668.054859465599 90.4667469438996 -568.718246696176</t>
  </si>
  <si>
    <t>-667.403227852927 77.060608046429 -677.413754044131</t>
  </si>
  <si>
    <t>-657.206467127053 56.1296800722682 -827.939242633626</t>
  </si>
  <si>
    <t>-620.1488065645 31.3325780774196 -919.562471264388</t>
  </si>
  <si>
    <t>-646.949426422156 93.3973145578943 -764.230272098977</t>
  </si>
  <si>
    <t>-559.333416410346 211.110775859538 -754.61140986182</t>
  </si>
  <si>
    <t>-479.834086822409 193.87994226151 -448.720635104389</t>
  </si>
  <si>
    <t>-309.049838333501 87.2818511085129 -284.064512789285</t>
  </si>
  <si>
    <t>-676.487038280621 37.3845814367871 -758.442432441152</t>
  </si>
  <si>
    <t>-568.630309254322 210.532609138241 -243.309427290319</t>
  </si>
  <si>
    <t>-571.65969281719 187.344877492988 211.784827039737</t>
  </si>
  <si>
    <t>-630.262681961653 165.895552531708 677.384039393484</t>
  </si>
  <si>
    <t>-494.963777728706 96.4827887700496 765.812473983927</t>
  </si>
  <si>
    <t>-630.32879001818 28.2060605880811 -210.296316454115</t>
  </si>
  <si>
    <t>-513.380511025093 -32.0367457083778 225.9966920646</t>
  </si>
  <si>
    <t>-693.431331461663 39.6145041468253 654.290164347724</t>
  </si>
  <si>
    <t>-577.682649356859 -59.9145617660877 741.695641523621</t>
  </si>
  <si>
    <t>9763-20170724T160658.422466100.bin</t>
  </si>
  <si>
    <t>-599.091303191894 119.173121257742 -227.118170140809</t>
  </si>
  <si>
    <t>-640.034161392901 112.043960227686 -340.875165288041</t>
  </si>
  <si>
    <t>-659.205860401829 101.472651032739 -460.086090493459</t>
  </si>
  <si>
    <t>-667.455812771674 90.1246620914833 -568.70480323969</t>
  </si>
  <si>
    <t>-666.717431029393 76.8211605589925 -677.412323058129</t>
  </si>
  <si>
    <t>-656.372950009563 56.1124569638757 -827.958417203221</t>
  </si>
  <si>
    <t>-619.205973569411 31.543576614109 -919.598978770875</t>
  </si>
  <si>
    <t>-646.355532601636 93.3761514750511 -764.209088170687</t>
  </si>
  <si>
    <t>-559.544446163446 211.627169678785 -754.288341497474</t>
  </si>
  <si>
    <t>-479.580891758041 193.800591107355 -448.552826173499</t>
  </si>
  <si>
    <t>-306.332849321933 90.7792022460405 -284.194123995685</t>
  </si>
  <si>
    <t>-675.54459625389 37.1746752316253 -758.483923717781</t>
  </si>
  <si>
    <t>-568.615567342795 210.638927460918 -243.326833069653</t>
  </si>
  <si>
    <t>-571.615285584302 187.626069368778 211.776471917496</t>
  </si>
  <si>
    <t>-630.218171621787 165.948875078073 677.358861400417</t>
  </si>
  <si>
    <t>-494.929892556023 96.5697233175003 765.829896485159</t>
  </si>
  <si>
    <t>-629.334487333873 27.8951720478856 -210.281562241768</t>
  </si>
  <si>
    <t>-512.848395214589 -31.848736692833 226.203576026704</t>
  </si>
  <si>
    <t>-693.383568901159 39.6352967978146 654.282077297429</t>
  </si>
  <si>
    <t>-577.536161424665 -59.766803056488 741.701249133313</t>
  </si>
  <si>
    <t>9763-20170724T160658.494543900.bin</t>
  </si>
  <si>
    <t>-598.268484345384 118.993995928095 -227.184945488449</t>
  </si>
  <si>
    <t>-639.075459230442 111.362563257967 -340.958252502725</t>
  </si>
  <si>
    <t>-658.140345654158 100.82225292864 -460.189061581343</t>
  </si>
  <si>
    <t>-666.297968991106 89.7157366497906 -568.839743289965</t>
  </si>
  <si>
    <t>-665.466533187562 76.8625973226551 -677.600606953803</t>
  </si>
  <si>
    <t>-654.987279005716 56.9925850030147 -828.250569377885</t>
  </si>
  <si>
    <t>-617.652705439759 32.9991176628348 -919.975179413969</t>
  </si>
  <si>
    <t>-645.303599635546 94.0390472502711 -764.323118643652</t>
  </si>
  <si>
    <t>-559.639602798532 213.091665301737 -753.712794610933</t>
  </si>
  <si>
    <t>-475.859233609295 190.220548012495 -449.338212649019</t>
  </si>
  <si>
    <t>-298.559637995756 90.9133323331178 -287.026754058891</t>
  </si>
  <si>
    <t>-673.944411561685 37.5298941094934 -758.862148848656</t>
  </si>
  <si>
    <t>-568.808971729362 210.902109352592 -243.454790108485</t>
  </si>
  <si>
    <t>-571.75470010819 188.29231456551 211.669105591093</t>
  </si>
  <si>
    <t>-629.943707018966 166.272454147338 677.230774790152</t>
  </si>
  <si>
    <t>-494.774033284224 96.8726112059121 765.866757218878</t>
  </si>
  <si>
    <t>-627.531871819049 27.0907519440907 -210.312388857688</t>
  </si>
  <si>
    <t>-511.544528589836 -31.234391747771 226.497404631102</t>
  </si>
  <si>
    <t>-693.288886107046 39.5762787660417 654.170002200913</t>
  </si>
  <si>
    <t>-577.333866936423 -59.6416738112882 741.655685609139</t>
  </si>
  <si>
    <t>9763-20170724T160658.526626500.bin</t>
  </si>
  <si>
    <t>-597.885038291526 118.770542871961 -227.250130934887</t>
  </si>
  <si>
    <t>-638.575312597869 110.926447796819 -341.050731317626</t>
  </si>
  <si>
    <t>-657.6081788534 100.422929220886 -460.290033029578</t>
  </si>
  <si>
    <t>-665.769076295565 89.4490006347789 -568.953855945967</t>
  </si>
  <si>
    <t>-664.970777725308 76.8257243327953 -677.742021053014</t>
  </si>
  <si>
    <t>-654.565928937438 57.3743557141827 -828.45165275824</t>
  </si>
  <si>
    <t>-617.2368362099 33.6470437224236 -920.247813458348</t>
  </si>
  <si>
    <t>-644.933256785474 94.2835754385301 -764.437207936126</t>
  </si>
  <si>
    <t>-559.702838778894 213.629828808474 -753.533975407668</t>
  </si>
  <si>
    <t>-474.238699384019 187.641375403249 -449.878513343256</t>
  </si>
  <si>
    <t>-293.874764017308 89.5169202317716 -290.246082814948</t>
  </si>
  <si>
    <t>-673.406358206675 37.6782580428014 -759.09728905515</t>
  </si>
  <si>
    <t>-568.7727638466 210.796592004599 -243.55189631393</t>
  </si>
  <si>
    <t>-572.008430683175 188.60984645368 211.590863249648</t>
  </si>
  <si>
    <t>-629.837116902625 166.355108617925 677.176060753549</t>
  </si>
  <si>
    <t>-494.680012512785 97.0356004777523 765.894003422538</t>
  </si>
  <si>
    <t>-626.853166009926 26.7316306776813 -210.313531107576</t>
  </si>
  <si>
    <t>-510.6815903907 -30.7053816441423 226.564972167244</t>
  </si>
  <si>
    <t>-693.148086123313 39.6450848876445 654.013043402548</t>
  </si>
  <si>
    <t>-577.312614612236 -59.6373288331499 741.58391458515</t>
  </si>
  <si>
    <t>9763-20170724T160658.587290800.bin</t>
  </si>
  <si>
    <t>-596.946039329066 118.349905035491 -227.34103354692</t>
  </si>
  <si>
    <t>-637.387879063665 110.130414420252 -341.203646278864</t>
  </si>
  <si>
    <t>-656.276498024667 99.5728916381736 -460.461087363765</t>
  </si>
  <si>
    <t>-664.346850687409 88.6802886434864 -569.139711787832</t>
  </si>
  <si>
    <t>-663.49571198694 76.2663240063366 -677.95169401944</t>
  </si>
  <si>
    <t>-653.053580033857 57.2372060544203 -828.712523256682</t>
  </si>
  <si>
    <t>-615.763498119878 33.9128067511392 -920.627852939874</t>
  </si>
  <si>
    <t>-643.52069840445 94.0081506494096 -764.603734195605</t>
  </si>
  <si>
    <t>-558.460209142821 213.437817406139 -753.311363046265</t>
  </si>
  <si>
    <t>-469.704187635325 183.095723540993 -451.007049927149</t>
  </si>
  <si>
    <t>-285.983954380048 85.1055281619931 -295.164641090231</t>
  </si>
  <si>
    <t>-671.827113800484 37.3058386470334 -759.407413674473</t>
  </si>
  <si>
    <t>-568.308547163322 210.421978512393 -243.701679647313</t>
  </si>
  <si>
    <t>-572.164545703374 188.753251121697 211.461167272332</t>
  </si>
  <si>
    <t>-629.829857533271 166.407264603478 677.166210259067</t>
  </si>
  <si>
    <t>-494.717446148153 97.0379845556467 765.913316966658</t>
  </si>
  <si>
    <t>-625.442727389266 26.269516043456 -210.300951091426</t>
  </si>
  <si>
    <t>-509.29102007099 -30.2223084939128 226.706066043336</t>
  </si>
  <si>
    <t>-692.876734105578 39.7704522178242 653.723791417653</t>
  </si>
  <si>
    <t>-577.136534792334 -59.497143063787 741.437317324319</t>
  </si>
  <si>
    <t>9763-20170724T160658.626458100.bin</t>
  </si>
  <si>
    <t>-596.533169625506 117.975715521893 -227.344798181687</t>
  </si>
  <si>
    <t>-636.871247264636 109.663920568744 -341.237556928841</t>
  </si>
  <si>
    <t>-655.676180106862 99.1246710186751 -460.509853333005</t>
  </si>
  <si>
    <t>-663.678385692611 88.291711573956 -569.199523703868</t>
  </si>
  <si>
    <t>-662.76643516158 75.9785531188743 -678.022445173126</t>
  </si>
  <si>
    <t>-652.246278285293 57.1315092272589 -828.800831022581</t>
  </si>
  <si>
    <t>-614.934801880594 34.0078212666592 -920.757973712025</t>
  </si>
  <si>
    <t>-642.761461532356 93.8321229279507 -764.644538124919</t>
  </si>
  <si>
    <t>-557.646395726687 213.200596256555 -753.224167750677</t>
  </si>
  <si>
    <t>-468.161313116071 181.244069003742 -451.301418364414</t>
  </si>
  <si>
    <t>-283.002575739361 84.1689075586448 -296.593000151734</t>
  </si>
  <si>
    <t>-671.040814626292 37.1093228829145 -759.527347735736</t>
  </si>
  <si>
    <t>-567.975860342031 210.046816808594 -243.74092255345</t>
  </si>
  <si>
    <t>-571.933949412516 188.578981499109 211.430667389088</t>
  </si>
  <si>
    <t>-629.826369591157 166.3407277941 677.110974816348</t>
  </si>
  <si>
    <t>-494.65010776618 97.153094086827 765.902649085147</t>
  </si>
  <si>
    <t>-624.943449545044 25.9251171437513 -210.305835400492</t>
  </si>
  <si>
    <t>-508.90864483626 -30.2422133318462 226.774013662513</t>
  </si>
  <si>
    <t>-692.837171684632 39.784633118684 653.663538046398</t>
  </si>
  <si>
    <t>-577.136216710918 -59.5166229979272 741.390749648064</t>
  </si>
  <si>
    <t>9763-20170724T160658.693642600.bin</t>
  </si>
  <si>
    <t>-595.939411782055 117.195346768182 -227.374535605544</t>
  </si>
  <si>
    <t>-636.272894645429 108.857908368614 -341.267134345349</t>
  </si>
  <si>
    <t>-654.971140434889 98.3710238036049 -460.560687098523</t>
  </si>
  <si>
    <t>-662.8327632989 87.6206824543224 -569.26889387821</t>
  </si>
  <si>
    <t>-661.734649237178 75.4278838492689 -678.10358005415</t>
  </si>
  <si>
    <t>-650.907884189527 56.7889904441695 -828.886153755564</t>
  </si>
  <si>
    <t>-613.473235740967 33.9720431113321 -920.869872517184</t>
  </si>
  <si>
    <t>-641.615708167764 93.4312931742058 -764.668435028538</t>
  </si>
  <si>
    <t>-556.497489029768 212.764047469001 -752.905928701051</t>
  </si>
  <si>
    <t>-465.617586826358 179.465981304362 -451.545195443447</t>
  </si>
  <si>
    <t>-280.082596597327 84.2549129695656 -296.130577008319</t>
  </si>
  <si>
    <t>-669.781018032078 36.6410246715905 -759.670632088838</t>
  </si>
  <si>
    <t>-567.440113867393 209.344273756181 -243.736994085226</t>
  </si>
  <si>
    <t>-571.558227531482 188.071714278087 211.442323634886</t>
  </si>
  <si>
    <t>-629.857158453694 166.343615011597 677.106634746467</t>
  </si>
  <si>
    <t>-494.670565559887 97.1821457570402 765.902932487033</t>
  </si>
  <si>
    <t>-624.382979829112 25.0822235301941 -210.324941509566</t>
  </si>
  <si>
    <t>-508.652056392492 -30.9214150429921 226.856464598329</t>
  </si>
  <si>
    <t>-692.874259521064 39.6421925987877 653.59434585557</t>
  </si>
  <si>
    <t>-577.078285627064 -59.5359977017522 741.335400480123</t>
  </si>
  <si>
    <t>9763-20170724T160658.723722300.bin</t>
  </si>
  <si>
    <t>-595.788245455897 116.870479272059 -227.344946053838</t>
  </si>
  <si>
    <t>-636.080636217959 108.5167760183 -341.250862799015</t>
  </si>
  <si>
    <t>-654.630683453272 98.063233319504 -460.570445635576</t>
  </si>
  <si>
    <t>-662.312960660965 87.3667975035648 -569.296864910846</t>
  </si>
  <si>
    <t>-660.989794730761 75.2535529002162 -678.137935973129</t>
  </si>
  <si>
    <t>-649.802486142523 56.7539430433239 -828.911216678294</t>
  </si>
  <si>
    <t>-612.183405580942 34.0680881904593 -920.8522866757</t>
  </si>
  <si>
    <t>-640.716832097259 93.3625461247348 -764.644772552822</t>
  </si>
  <si>
    <t>-555.591399398812 212.671954438192 -752.629155540263</t>
  </si>
  <si>
    <t>-464.346388620643 178.907726059108 -451.430590438324</t>
  </si>
  <si>
    <t>-278.44116072958 84.4611828408733 -295.992102523369</t>
  </si>
  <si>
    <t>-668.788163711158 36.516415151043 -759.752743705068</t>
  </si>
  <si>
    <t>-567.260865774448 209.097457551316 -243.720432220458</t>
  </si>
  <si>
    <t>-571.30300496958 187.894726129807 211.462834425292</t>
  </si>
  <si>
    <t>-629.844536699329 166.364009690267 677.089827553968</t>
  </si>
  <si>
    <t>-494.66633508405 97.2007711178946 765.897545821569</t>
  </si>
  <si>
    <t>-624.12554739081 24.7923880003634 -210.26931398648</t>
  </si>
  <si>
    <t>-508.577944873398 -31.3472781363723 226.943200244452</t>
  </si>
  <si>
    <t>-692.846889121033 39.6806195010449 653.546847262919</t>
  </si>
  <si>
    <t>-577.140107464168 -59.5743945793024 741.318662693312</t>
  </si>
  <si>
    <t>9763-20170724T160658.790462200.bin</t>
  </si>
  <si>
    <t>-595.667510355299 115.999920756618 -227.327546040103</t>
  </si>
  <si>
    <t>-636.0436248215 107.602357040444 -341.20050960622</t>
  </si>
  <si>
    <t>-654.495172724564 97.2568709570464 -460.54486587128</t>
  </si>
  <si>
    <t>-662.009224448355 86.7175730455815 -569.298349169411</t>
  </si>
  <si>
    <t>-660.43701823073 74.8194394333909 -678.159727070737</t>
  </si>
  <si>
    <t>-648.819192526965 56.6775380091647 -828.944076722475</t>
  </si>
  <si>
    <t>-610.933286847795 34.1880332027104 -920.823755632432</t>
  </si>
  <si>
    <t>-639.982424734595 93.1648488690191 -764.573972471033</t>
  </si>
  <si>
    <t>-554.941292373207 212.466336938999 -752.021406961727</t>
  </si>
  <si>
    <t>-462.626746865517 177.770070603347 -451.254953971592</t>
  </si>
  <si>
    <t>-275.951418783859 83.6348554318977 -296.552173141694</t>
  </si>
  <si>
    <t>-667.936954579125 36.244761958437 -759.879342849859</t>
  </si>
  <si>
    <t>-567.309819999509 208.327504349088 -243.746781856663</t>
  </si>
  <si>
    <t>-571.132894515677 187.480039147343 211.454673471436</t>
  </si>
  <si>
    <t>-629.760754671752 166.413446444813 677.007367382815</t>
  </si>
  <si>
    <t>-494.617196076722 97.3142686591002 765.917632697616</t>
  </si>
  <si>
    <t>-623.886095175208 23.7909210120133 -210.186949743127</t>
  </si>
  <si>
    <t>-508.128808837899 -31.9165723381643 227.025342501726</t>
  </si>
  <si>
    <t>-692.80250807199 39.6531707730983 653.361335559264</t>
  </si>
  <si>
    <t>-577.174891929919 -59.6544486491116 741.177979403212</t>
  </si>
  <si>
    <t>9763-20170724T160658.821545400.bin</t>
  </si>
  <si>
    <t>-595.698021865422 115.67354302545 -227.387117012607</t>
  </si>
  <si>
    <t>-636.068237598546 107.24208990129 -341.259764832761</t>
  </si>
  <si>
    <t>-654.419368824985 96.9068732193932 -460.620343082357</t>
  </si>
  <si>
    <t>-661.802961793435 86.3916892327709 -569.385204845968</t>
  </si>
  <si>
    <t>-660.060848668242 74.5304537677214 -678.248044509962</t>
  </si>
  <si>
    <t>-648.166558502504 56.451397930429 -829.018297214775</t>
  </si>
  <si>
    <t>-610.0923137889 34.0203178988293 -920.834263094767</t>
  </si>
  <si>
    <t>-639.468239281087 92.9215509759317 -764.619721946803</t>
  </si>
  <si>
    <t>-554.443833786043 212.221618616599 -751.891085139277</t>
  </si>
  <si>
    <t>-461.555065338744 177.191407423592 -451.340342764353</t>
  </si>
  <si>
    <t>-274.491720218711 83.0042411432034 -297.13882096842</t>
  </si>
  <si>
    <t>-667.390668631606 35.9799884402269 -759.99459990271</t>
  </si>
  <si>
    <t>-567.445872624677 208.091052888948 -243.809686415453</t>
  </si>
  <si>
    <t>-571.224979974944 187.418576883168 211.400194823585</t>
  </si>
  <si>
    <t>-629.674775717448 166.511518538626 676.975394506802</t>
  </si>
  <si>
    <t>-494.607640929545 97.3362826916953 765.942627539152</t>
  </si>
  <si>
    <t>-623.796203457693 23.405089409621 -210.265770959136</t>
  </si>
  <si>
    <t>-507.871054376533 -31.923603401093 226.950102105842</t>
  </si>
  <si>
    <t>-692.722503326363 39.6987864279506 653.208121040157</t>
  </si>
  <si>
    <t>-577.167983824948 -59.6484877314085 741.076105772606</t>
  </si>
  <si>
    <t>9763-20170724T160658.892429600.bin</t>
  </si>
  <si>
    <t>-595.915556066859 115.356703645419 -227.573441082995</t>
  </si>
  <si>
    <t>-636.164138459679 106.803325920224 -341.479923903908</t>
  </si>
  <si>
    <t>-654.266563495233 96.4194295433238 -460.874395315845</t>
  </si>
  <si>
    <t>-661.372987061202 85.8855694712638 -569.655817010467</t>
  </si>
  <si>
    <t>-659.302700563412 74.0274182100404 -678.513338157805</t>
  </si>
  <si>
    <t>-646.900735855699 55.9726046429823 -829.245596562479</t>
  </si>
  <si>
    <t>-608.455709273451 33.6744861336726 -920.939333111005</t>
  </si>
  <si>
    <t>-638.466429828433 92.4548934698678 -764.818665476038</t>
  </si>
  <si>
    <t>-553.596357422212 211.836895808342 -751.85363662449</t>
  </si>
  <si>
    <t>-459.637437762654 176.422505983405 -451.680836176677</t>
  </si>
  <si>
    <t>-271.518333713234 82.8718871256963 -298.378582354074</t>
  </si>
  <si>
    <t>-666.310055569288 35.4676459386442 -760.283640912935</t>
  </si>
  <si>
    <t>-567.832888713691 207.890979867193 -243.996421056044</t>
  </si>
  <si>
    <t>-571.561723507596 187.58386798213 211.230213861221</t>
  </si>
  <si>
    <t>-629.440837933564 166.783299115233 676.865001529427</t>
  </si>
  <si>
    <t>-494.613382493482 97.3321348754193 765.980681490004</t>
  </si>
  <si>
    <t>-623.834722729632 22.8971585205895 -210.504512651683</t>
  </si>
  <si>
    <t>-507.807559815779 -31.7473151605921 226.770388070848</t>
  </si>
  <si>
    <t>-692.739010412451 39.6772371114566 653.03888809681</t>
  </si>
  <si>
    <t>-577.176077353487 -59.6706947720177 740.89507550281</t>
  </si>
  <si>
    <t>9763-20170724T160658.926528800.bin</t>
  </si>
  <si>
    <t>-596.049055777871 115.279673716246 -227.687732967878</t>
  </si>
  <si>
    <t>-636.182624939193 106.668837958422 -341.630553958704</t>
  </si>
  <si>
    <t>-654.13503972383 96.234239560843 -461.043202366885</t>
  </si>
  <si>
    <t>-661.09296095273 85.655607312872 -569.829941925249</t>
  </si>
  <si>
    <t>-658.86222682438 73.7528197689369 -678.679272999824</t>
  </si>
  <si>
    <t>-646.225963435775 55.6351729633104 -829.384584664468</t>
  </si>
  <si>
    <t>-607.607435733505 33.3856048242376 -921.017269725971</t>
  </si>
  <si>
    <t>-637.908551089131 92.1524845333349 -764.962243599687</t>
  </si>
  <si>
    <t>-553.053644462852 211.541023100324 -751.918648440234</t>
  </si>
  <si>
    <t>-458.750959042219 175.845653693297 -451.886988318603</t>
  </si>
  <si>
    <t>-270.269996074285 82.4286763880941 -298.948246625836</t>
  </si>
  <si>
    <t>-665.72566094914 35.1508861411121 -760.441968245444</t>
  </si>
  <si>
    <t>-568.07460876608 207.912129565385 -244.085014184633</t>
  </si>
  <si>
    <t>-571.789978454145 187.727808301523 211.147255134844</t>
  </si>
  <si>
    <t>-629.368481803213 166.879419654538 676.833750854783</t>
  </si>
  <si>
    <t>-494.566943658161 97.4296220182912 765.989690264653</t>
  </si>
  <si>
    <t>-623.861236076541 22.7119285816716 -210.65166860569</t>
  </si>
  <si>
    <t>-507.968786010958 -31.7278491381528 226.684460451186</t>
  </si>
  <si>
    <t>-692.845520725199 39.565018869572 653.015598213788</t>
  </si>
  <si>
    <t>-577.078993105405 -59.5984914667029 740.812049098555</t>
  </si>
  <si>
    <t>9763-20170724T160658.995301500.bin</t>
  </si>
  <si>
    <t>-596.197035172424 115.185404968663 -227.91271054783</t>
  </si>
  <si>
    <t>-636.135756261944 106.509605780947 -341.918973434834</t>
  </si>
  <si>
    <t>-653.905810650816 95.9657702796492 -461.349378081831</t>
  </si>
  <si>
    <t>-660.707832390084 85.2660461780938 -570.134088332608</t>
  </si>
  <si>
    <t>-658.332627858515 73.2169657275992 -678.964369793868</t>
  </si>
  <si>
    <t>-645.509661083997 54.8673261416243 -829.625701396678</t>
  </si>
  <si>
    <t>-606.69909391883 32.572710156385 -921.16637432971</t>
  </si>
  <si>
    <t>-637.283128698129 91.4890672263889 -765.25111785459</t>
  </si>
  <si>
    <t>-552.422782546452 210.880234269956 -752.299412801754</t>
  </si>
  <si>
    <t>-457.508657616092 175.230525712846 -452.455054957612</t>
  </si>
  <si>
    <t>-268.996307016603 81.1217884263513 -299.979839325751</t>
  </si>
  <si>
    <t>-665.083727606234 34.483869069795 -760.674272954516</t>
  </si>
  <si>
    <t>-568.38473968105 207.910288849473 -244.231379657383</t>
  </si>
  <si>
    <t>-572.23645981959 187.975138569791 211.010873028569</t>
  </si>
  <si>
    <t>-629.316304956675 166.954153990324 676.781016955824</t>
  </si>
  <si>
    <t>-494.543960521806 97.5030407645424 765.980058946753</t>
  </si>
  <si>
    <t>-623.869725671825 22.5343460108852 -210.927625807368</t>
  </si>
  <si>
    <t>-508.275032786253 -32.068070877234 226.467046493264</t>
  </si>
  <si>
    <t>-692.901918424405 39.4273455097527 652.850166357364</t>
  </si>
  <si>
    <t>-577.109557066589 -59.6856702875332 740.66959009236</t>
  </si>
  <si>
    <t>9763-20170724T160659.024382600.bin</t>
  </si>
  <si>
    <t>-596.232349263909 115.131099214201 -227.997143847835</t>
  </si>
  <si>
    <t>-636.120345998898 106.440365251086 -342.019965042407</t>
  </si>
  <si>
    <t>-653.849963550978 95.8323111433117 -461.450703659486</t>
  </si>
  <si>
    <t>-660.621375569515 85.0525608986788 -570.229398266399</t>
  </si>
  <si>
    <t>-658.222988016196 72.8998886015725 -679.047697677037</t>
  </si>
  <si>
    <t>-645.376399027722 54.3809516282986 -829.686294971566</t>
  </si>
  <si>
    <t>-606.53225904698 31.9863183104758 -921.188311943613</t>
  </si>
  <si>
    <t>-637.158048569592 91.0739600547354 -765.351285847267</t>
  </si>
  <si>
    <t>-552.265208498161 210.463067842517 -752.501709759993</t>
  </si>
  <si>
    <t>-457.040707547401 174.790578199239 -452.758543868991</t>
  </si>
  <si>
    <t>-268.766896753925 80.1898202569 -300.293038320482</t>
  </si>
  <si>
    <t>-664.963272696837 34.075949195794 -760.715441288597</t>
  </si>
  <si>
    <t>-568.513794694182 207.86979386571 -244.274998409347</t>
  </si>
  <si>
    <t>-572.383157930268 188.049947784812 210.972020266355</t>
  </si>
  <si>
    <t>-629.316893108308 166.981414682414 676.781410553516</t>
  </si>
  <si>
    <t>-494.542584472154 97.5222736889875 765.971211072816</t>
  </si>
  <si>
    <t>-623.829220264555 22.4493063086718 -211.024221362471</t>
  </si>
  <si>
    <t>-508.336189495207 -32.2733864412767 226.38231543461</t>
  </si>
  <si>
    <t>-692.880490438808 39.4182433375202 652.758981394607</t>
  </si>
  <si>
    <t>-577.111900848337 -59.6881104757481 740.617239479872</t>
  </si>
  <si>
    <t>9763-20170724T160659.088556500.bin</t>
  </si>
  <si>
    <t>-596.230361243024 114.869217880422 -228.019105151404</t>
  </si>
  <si>
    <t>-636.042053011864 106.166357522097 -342.067694290502</t>
  </si>
  <si>
    <t>-653.751733395623 95.4398395888948 -461.490739446182</t>
  </si>
  <si>
    <t>-660.532059488138 84.5059928377254 -570.253509165156</t>
  </si>
  <si>
    <t>-658.171464966995 72.1504451405456 -679.049773987986</t>
  </si>
  <si>
    <t>-645.409534843689 53.296656383548 -829.65414638212</t>
  </si>
  <si>
    <t>-606.589625679897 30.6474223603759 -921.103527732179</t>
  </si>
  <si>
    <t>-637.106084170921 90.1093436779711 -765.398341190811</t>
  </si>
  <si>
    <t>-552.125750827436 209.44146020757 -752.818252153378</t>
  </si>
  <si>
    <t>-456.868079341432 173.776723343714 -453.084620723193</t>
  </si>
  <si>
    <t>-269.190113725489 77.8275614566548 -300.727145206689</t>
  </si>
  <si>
    <t>-665.006553669298 33.1683392281466 -760.634347037822</t>
  </si>
  <si>
    <t>-568.533320174647 207.548194597397 -244.264265932172</t>
  </si>
  <si>
    <t>-572.508040601145 187.92569639776 210.990291350032</t>
  </si>
  <si>
    <t>-629.44088338601 166.886559067723 676.827339958563</t>
  </si>
  <si>
    <t>-494.589202799539 97.4906421613516 765.949387904257</t>
  </si>
  <si>
    <t>-623.817885116165 22.1570532130809 -211.077962571514</t>
  </si>
  <si>
    <t>-508.393013094404 -32.6103941063227 226.340967643525</t>
  </si>
  <si>
    <t>-692.88951580081 39.3234831910331 652.647492864906</t>
  </si>
  <si>
    <t>-576.980535457268 -59.5920951938472 740.535648796375</t>
  </si>
  <si>
    <t>9763-20170724T160659.121657000.bin</t>
  </si>
  <si>
    <t>-596.127041783871 114.664888742536 -227.992619036203</t>
  </si>
  <si>
    <t>-635.929172067501 105.945171120828 -342.043268924586</t>
  </si>
  <si>
    <t>-653.660493171169 95.1514090160128 -461.457196357552</t>
  </si>
  <si>
    <t>-660.474322136391 84.1367329801253 -570.209613493576</t>
  </si>
  <si>
    <t>-658.16198390237 71.6803718566091 -678.995377623714</t>
  </si>
  <si>
    <t>-645.482788905945 52.6660416288335 -829.586586455703</t>
  </si>
  <si>
    <t>-606.698924714827 29.8865561952427 -921.018943921424</t>
  </si>
  <si>
    <t>-637.119422772163 89.5352405437131 -765.371153142437</t>
  </si>
  <si>
    <t>-552.068873757282 208.854416353025 -752.950693216942</t>
  </si>
  <si>
    <t>-456.924043795048 173.096627000633 -453.192397852694</t>
  </si>
  <si>
    <t>-269.628578573251 76.629852747978 -300.691138127359</t>
  </si>
  <si>
    <t>-665.066548856794 32.6232362620351 -760.538059564074</t>
  </si>
  <si>
    <t>-568.371805570655 207.253020103452 -244.261970705225</t>
  </si>
  <si>
    <t>-572.383341600023 187.680971137129 210.994474145696</t>
  </si>
  <si>
    <t>-629.513748519434 166.767599164933 676.810713512443</t>
  </si>
  <si>
    <t>-494.589689919191 97.5051350490178 765.927027013625</t>
  </si>
  <si>
    <t>-623.749220593631 22.0195393945471 -211.055134436991</t>
  </si>
  <si>
    <t>-508.28423579513 -32.705127190954 226.358539599454</t>
  </si>
  <si>
    <t>-692.902522768617 39.248769260473 652.610276232848</t>
  </si>
  <si>
    <t>-577.05133080069 -59.7147685584496 740.520625217363</t>
  </si>
  <si>
    <t>9763-20170724T160659.192837400.bin</t>
  </si>
  <si>
    <t>-595.882501421059 114.321494231328 -227.9341949993</t>
  </si>
  <si>
    <t>-635.72427416532 105.617266726781 -341.972291710264</t>
  </si>
  <si>
    <t>-653.510104863598 94.7279437383727 -461.369274750367</t>
  </si>
  <si>
    <t>-660.381671431265 83.5794962404532 -570.104557162528</t>
  </si>
  <si>
    <t>-658.136522146787 70.9416623456227 -678.870836553003</t>
  </si>
  <si>
    <t>-645.562435477515 51.62414332444 -829.432155233718</t>
  </si>
  <si>
    <t>-606.835153278915 28.5982981222701 -920.826831377299</t>
  </si>
  <si>
    <t>-637.097348774636 88.5953778560984 -765.2887450296</t>
  </si>
  <si>
    <t>-551.721647505554 207.690285653985 -753.058421040555</t>
  </si>
  <si>
    <t>-456.929326020985 171.290660588465 -453.265663929203</t>
  </si>
  <si>
    <t>-270.380944971108 73.8740041535327 -300.452909744438</t>
  </si>
  <si>
    <t>-665.154922377835 31.7475773779192 -760.338142664786</t>
  </si>
  <si>
    <t>-568.05403906591 206.796517155628 -244.230529452616</t>
  </si>
  <si>
    <t>-571.909525157395 187.145545046103 211.023916579213</t>
  </si>
  <si>
    <t>-629.609854924563 166.607041673051 676.790378329118</t>
  </si>
  <si>
    <t>-494.566159470671 97.5851385371088 765.912139577868</t>
  </si>
  <si>
    <t>-623.556276525836 21.9123683096716 -210.976299091421</t>
  </si>
  <si>
    <t>-507.968772559605 -33.0123362880008 226.379880049736</t>
  </si>
  <si>
    <t>-692.766797173755 39.3438300885432 652.483811462047</t>
  </si>
  <si>
    <t>-577.10299747045 -59.7661777852447 740.475886031235</t>
  </si>
  <si>
    <t>9763-20170724T160659.225934100.bin</t>
  </si>
  <si>
    <t>-595.791682605073 114.236265258908 -227.924230411709</t>
  </si>
  <si>
    <t>-635.645949439762 105.53712887505 -341.958166127166</t>
  </si>
  <si>
    <t>-653.457714143814 94.6101578600069 -461.347947926447</t>
  </si>
  <si>
    <t>-660.359281007394 83.4088400342239 -570.075881945051</t>
  </si>
  <si>
    <t>-658.151434020269 70.6984711553587 -678.834322096617</t>
  </si>
  <si>
    <t>-645.637146454344 51.2593707011451 -829.385207206443</t>
  </si>
  <si>
    <t>-606.939792473317 28.1004408854192 -920.758972057285</t>
  </si>
  <si>
    <t>-637.114470108616 88.2669326198618 -765.270232021069</t>
  </si>
  <si>
    <t>-551.501748885843 207.214908165626 -753.116690040038</t>
  </si>
  <si>
    <t>-456.922895221175 170.305812595862 -453.318820455215</t>
  </si>
  <si>
    <t>-270.40851298987 72.3794465810581 -300.790679341097</t>
  </si>
  <si>
    <t>-665.234271129709 31.4541018211332 -760.272002303821</t>
  </si>
  <si>
    <t>-567.926293548691 206.677594944705 -244.228913333962</t>
  </si>
  <si>
    <t>-571.702881780738 186.989301461406 211.024603266861</t>
  </si>
  <si>
    <t>-629.608705251536 166.591961916524 676.755693748459</t>
  </si>
  <si>
    <t>-494.563179351236 97.6104997743998 765.905993577887</t>
  </si>
  <si>
    <t>-623.523135249666 21.8683363509272 -210.951396165499</t>
  </si>
  <si>
    <t>-507.861144824316 -33.1499102792698 226.373368696582</t>
  </si>
  <si>
    <t>-692.74320378961 39.3053273397989 652.433328715319</t>
  </si>
  <si>
    <t>-577.019098902224 -59.7098297606781 740.452881292238</t>
  </si>
  <si>
    <t>9763-20170724T160659.291123200.bin</t>
  </si>
  <si>
    <t>-595.729473937214 114.328666338517 -227.912776300297</t>
  </si>
  <si>
    <t>-635.622485340324 105.648380338952 -341.934699878503</t>
  </si>
  <si>
    <t>-653.499282795876 94.6860179577538 -461.311448617055</t>
  </si>
  <si>
    <t>-660.471809515636 83.4251635230446 -570.02860755753</t>
  </si>
  <si>
    <t>-658.348334029603 70.6244803677284 -678.77835153538</t>
  </si>
  <si>
    <t>-645.966068826444 51.0254138178802 -829.319252157408</t>
  </si>
  <si>
    <t>-607.337625714201 27.626465177972 -920.660924376686</t>
  </si>
  <si>
    <t>-637.310108013811 88.0637728994718 -765.239987015776</t>
  </si>
  <si>
    <t>-551.273236744411 206.69051243565 -753.162089620325</t>
  </si>
  <si>
    <t>-456.834753090468 168.727621691065 -453.451616693907</t>
  </si>
  <si>
    <t>-270.192161186807 69.3458787085651 -302.025412467832</t>
  </si>
  <si>
    <t>-665.579589543722 31.330978936363 -760.179100923032</t>
  </si>
  <si>
    <t>-567.861387286252 206.800927815002 -244.231015436971</t>
  </si>
  <si>
    <t>-571.378451184675 186.969579933922 211.018391187726</t>
  </si>
  <si>
    <t>-629.597647260558 166.59738228892 676.723270476469</t>
  </si>
  <si>
    <t>-494.593735998853 97.5791504592301 765.908143516219</t>
  </si>
  <si>
    <t>-623.4551033104 21.9744786597807 -210.913601132378</t>
  </si>
  <si>
    <t>-507.674045841922 -33.213443827183 226.358363133424</t>
  </si>
  <si>
    <t>-692.681679686716 39.3174370603476 652.341171769723</t>
  </si>
  <si>
    <t>-577.123055931434 -59.8478898128617 740.40907970581</t>
  </si>
  <si>
    <t>9763-20170724T160659.323208500.bin</t>
  </si>
  <si>
    <t>-595.797249381463 114.33888396784 -227.923303243108</t>
  </si>
  <si>
    <t>-635.722461328128 105.67917463914 -341.935623661258</t>
  </si>
  <si>
    <t>-653.652744953014 94.7192558217014 -461.304576236475</t>
  </si>
  <si>
    <t>-660.682832274453 83.4510180710504 -570.017222181806</t>
  </si>
  <si>
    <t>-658.625989238199 70.6326672884804 -678.766039268329</t>
  </si>
  <si>
    <t>-646.346483341167 50.9966770193992 -829.310633973702</t>
  </si>
  <si>
    <t>-607.764748700268 27.4935225378229 -920.645320022076</t>
  </si>
  <si>
    <t>-637.610126322804 88.0330881278287 -765.241094846508</t>
  </si>
  <si>
    <t>-551.337158777271 206.513379842609 -753.177035712657</t>
  </si>
  <si>
    <t>-456.740501912082 168.015220099378 -453.584624884551</t>
  </si>
  <si>
    <t>-269.830296397546 68.1866971287277 -302.783776382704</t>
  </si>
  <si>
    <t>-665.949418690113 31.3369134724685 -760.157648188822</t>
  </si>
  <si>
    <t>-567.890743995381 206.828062621972 -244.244825075727</t>
  </si>
  <si>
    <t>-571.321990369153 186.926145244844 211.002144908022</t>
  </si>
  <si>
    <t>-629.585155908738 166.602436499789 676.697449658627</t>
  </si>
  <si>
    <t>-494.595141931984 97.5890239468924 765.907058159666</t>
  </si>
  <si>
    <t>-623.587963210071 21.9224042672643 -210.926625507004</t>
  </si>
  <si>
    <t>-507.696482619897 -33.2344879693942 226.319951987341</t>
  </si>
  <si>
    <t>-692.67320161363 39.2860626629479 652.303872192335</t>
  </si>
  <si>
    <t>-577.113989252253 -59.8630585327728 740.389225302899</t>
  </si>
  <si>
    <t>9763-20170724T160659.393962300.bin</t>
  </si>
  <si>
    <t>-596.215442239583 114.359954344257 -227.966507886016</t>
  </si>
  <si>
    <t>-636.186671501572 105.746862266702 -341.966140259159</t>
  </si>
  <si>
    <t>-654.18421336024 94.7855806934524 -461.324889802931</t>
  </si>
  <si>
    <t>-661.285128249848 83.4909431994147 -570.030262222094</t>
  </si>
  <si>
    <t>-659.310102633677 70.6179940284333 -678.774154451098</t>
  </si>
  <si>
    <t>-647.156642753549 50.8741983521286 -829.31476755737</t>
  </si>
  <si>
    <t>-608.661626878996 27.1802119926861 -920.636755382448</t>
  </si>
  <si>
    <t>-638.287540721462 87.9177331111903 -765.267634860895</t>
  </si>
  <si>
    <t>-551.553794392278 206.068883700903 -753.310119432958</t>
  </si>
  <si>
    <t>-456.697391564059 166.433140872412 -453.948385605237</t>
  </si>
  <si>
    <t>-268.567866760142 67.0166288633905 -304.396721327616</t>
  </si>
  <si>
    <t>-666.780848193774 31.302644960519 -760.142787693731</t>
  </si>
  <si>
    <t>-568.227958068494 206.900689053344 -244.321197030968</t>
  </si>
  <si>
    <t>-571.455913335046 186.961670647653 210.925623142937</t>
  </si>
  <si>
    <t>-629.50885365743 166.64912615485 676.613469922127</t>
  </si>
  <si>
    <t>-494.624402353253 97.5509647614442 765.917107065392</t>
  </si>
  <si>
    <t>-624.055977985123 21.8987988654953 -210.976040020099</t>
  </si>
  <si>
    <t>-507.871246667072 -33.2341082917646 226.195621020388</t>
  </si>
  <si>
    <t>-692.633302485398 39.3406729571493 652.239748827773</t>
  </si>
  <si>
    <t>-577.10901130466 -59.835099760202 740.340909081827</t>
  </si>
  <si>
    <t>9763-20170724T160659.422012300.bin</t>
  </si>
  <si>
    <t>-596.513442662682 114.397254088263 -228.004472961887</t>
  </si>
  <si>
    <t>-636.566029973682 105.81929733036 -341.978355978394</t>
  </si>
  <si>
    <t>-654.632194062318 94.8516253163302 -461.326121186638</t>
  </si>
  <si>
    <t>-661.789691749969 83.53344149232 -570.025154028801</t>
  </si>
  <si>
    <t>-659.866236839621 70.6184582566536 -678.765118474837</t>
  </si>
  <si>
    <t>-647.779481649093 50.7967636189876 -829.300888162621</t>
  </si>
  <si>
    <t>-609.349407516176 27.0179250158333 -920.628187643372</t>
  </si>
  <si>
    <t>-638.853056110589 87.8592122210155 -765.272592495476</t>
  </si>
  <si>
    <t>-552.005522984074 205.930004968404 -753.396753463689</t>
  </si>
  <si>
    <t>-456.454778041022 166.013214839233 -454.293239750109</t>
  </si>
  <si>
    <t>-267.969521279293 66.570592304598 -305.207637762223</t>
  </si>
  <si>
    <t>-667.401912224993 31.2753058436926 -760.114187529832</t>
  </si>
  <si>
    <t>-568.482649940604 207.035365358092 -244.380219044461</t>
  </si>
  <si>
    <t>-571.521857817073 187.040776586637 210.865455491848</t>
  </si>
  <si>
    <t>-629.407775761159 166.787235138964 676.574700091391</t>
  </si>
  <si>
    <t>-494.666102943409 97.4775996497476 765.929999866836</t>
  </si>
  <si>
    <t>-624.437716646755 21.8200299749096 -210.99175112647</t>
  </si>
  <si>
    <t>-508.117653004751 -33.3220755455579 226.142844340661</t>
  </si>
  <si>
    <t>-692.740842792424 39.1454733348648 652.241414388524</t>
  </si>
  <si>
    <t>-576.953374032922 -59.748310925542 740.314085581364</t>
  </si>
  <si>
    <t>9763-20170724T160659.585961000.bin</t>
  </si>
  <si>
    <t>-596.817211207796 114.526488918421 -228.065740345208</t>
  </si>
  <si>
    <t>-636.955275690532 105.992107421533 -342.01271429872</t>
  </si>
  <si>
    <t>-655.07970115122 95.027566606861 -461.351922367117</t>
  </si>
  <si>
    <t>-662.278610920642 83.69548229721 -570.046969566116</t>
  </si>
  <si>
    <t>-660.385158204641 70.7503375927888 -678.783683179217</t>
  </si>
  <si>
    <t>-648.328598523794 50.8699349036979 -829.314154401341</t>
  </si>
  <si>
    <t>-609.921507690794 27.0236310743674 -920.633627842625</t>
  </si>
  <si>
    <t>-639.365830653116 87.9458996166829 -765.29882143123</t>
  </si>
  <si>
    <t>-552.401793871841 205.938152480333 -753.508585725633</t>
  </si>
  <si>
    <t>-456.207324743013 165.750974298167 -454.647610611604</t>
  </si>
  <si>
    <t>-267.388081320681 66.3485669149993 -305.958431706264</t>
  </si>
  <si>
    <t>-667.96066524102 31.3868947269355 -760.11938005394</t>
  </si>
  <si>
    <t>-568.748101822039 207.255059882598 -244.440696196547</t>
  </si>
  <si>
    <t>-571.598455257229 187.147995441077 210.801308348465</t>
  </si>
  <si>
    <t>-629.339809909858 166.898228262822 676.550486621369</t>
  </si>
  <si>
    <t>-494.702130249884 97.4225595783284 765.933604667111</t>
  </si>
  <si>
    <t>-624.780065605308 21.9065501862544 -211.037493181854</t>
  </si>
  <si>
    <t>-508.311634616016 -33.2243353650608 226.059021688779</t>
  </si>
  <si>
    <t>-692.731135738882 39.2364601057998 652.248597959631</t>
  </si>
  <si>
    <t>-577.173610313417 -59.9371268702771 740.308651419639</t>
  </si>
  <si>
    <t>9763-20170724T160659.630598500.bin</t>
  </si>
  <si>
    <t>-598.044350438516 114.386846394404 -228.094593489531</t>
  </si>
  <si>
    <t>-638.491427145036 106.143109578437 -341.953560068211</t>
  </si>
  <si>
    <t>-656.961831219383 95.4165026287712 -461.26144013927</t>
  </si>
  <si>
    <t>-664.485736084332 84.2814210480649 -569.954705540516</t>
  </si>
  <si>
    <t>-662.92706876813 71.5187433973281 -678.71838606977</t>
  </si>
  <si>
    <t>-651.343403802847 51.879994705663 -829.317772420069</t>
  </si>
  <si>
    <t>-613.125181937479 27.8325071941292 -920.663611133238</t>
  </si>
  <si>
    <t>-641.953153040108 88.7404739013105 -765.23941849534</t>
  </si>
  <si>
    <t>-553.931450446641 205.952709757804 -753.401609217625</t>
  </si>
  <si>
    <t>-455.843702287793 163.217499560679 -455.511284212384</t>
  </si>
  <si>
    <t>-265.39424066557 64.4441061298137 -308.491332537252</t>
  </si>
  <si>
    <t>-670.984531098175 32.3985254223091 -760.125041264604</t>
  </si>
  <si>
    <t>-569.149554872976 207.076351713933 -244.56085920548</t>
  </si>
  <si>
    <t>-572.32484821459 187.230655214238 210.690517498917</t>
  </si>
  <si>
    <t>-629.067370325897 167.547526500994 676.609955646836</t>
  </si>
  <si>
    <t>-495.096536699889 96.7204716066672 765.934403293969</t>
  </si>
  <si>
    <t>-626.766671311983 21.7355025089114 -210.930667328016</t>
  </si>
  <si>
    <t>-509.622669543233 -34.157567928517 225.88844514579</t>
  </si>
  <si>
    <t>-692.866963324848 39.2314070802781 652.300186488301</t>
  </si>
  <si>
    <t>-577.267671510614 -59.9444969858416 740.302797940262</t>
  </si>
  <si>
    <t>9763-20170724T160659.690441900.bin</t>
  </si>
  <si>
    <t>-598.367686110376 114.024498294548 -228.213003057459</t>
  </si>
  <si>
    <t>-638.802453146909 105.927140966887 -342.086847335906</t>
  </si>
  <si>
    <t>-657.350541806459 95.2996953384127 -461.391501313807</t>
  </si>
  <si>
    <t>-664.984300285674 84.2278107570448 -570.083692747248</t>
  </si>
  <si>
    <t>-663.576220745892 71.4983075703553 -678.853306626707</t>
  </si>
  <si>
    <t>-652.245303071777 51.8707985024821 -829.473337041185</t>
  </si>
  <si>
    <t>-614.174357323077 27.7183226346951 -920.85300815844</t>
  </si>
  <si>
    <t>-642.609374453378 88.6567277223025 -765.388430033976</t>
  </si>
  <si>
    <t>-554.032861891914 205.435056306707 -753.590326391154</t>
  </si>
  <si>
    <t>-455.22047905173 161.947132123602 -456.048687210346</t>
  </si>
  <si>
    <t>-264.627569283042 63.2823405372203 -309.141597157467</t>
  </si>
  <si>
    <t>-671.908382060384 32.4539987903065 -760.268832906679</t>
  </si>
  <si>
    <t>-569.204757195651 206.61908147707 -244.634393765907</t>
  </si>
  <si>
    <t>-572.362242792392 186.809217955229 210.618540458677</t>
  </si>
  <si>
    <t>-629.019439317813 167.596342881643 676.56889221825</t>
  </si>
  <si>
    <t>-495.202730461228 96.5126449909471 765.920505686679</t>
  </si>
  <si>
    <t>-627.379071536614 21.5191510156951 -211.123851924516</t>
  </si>
  <si>
    <t>-510.377437112538 -34.7237279476553 225.688431652067</t>
  </si>
  <si>
    <t>-692.974003279801 39.0295853422128 652.340559654256</t>
  </si>
  <si>
    <t>-577.302440756701 -60.014710607343 740.396389171396</t>
  </si>
  <si>
    <t>9763-20170724T160659.721524100.bin</t>
  </si>
  <si>
    <t>-598.555949532384 113.849611689767 -228.294768617489</t>
  </si>
  <si>
    <t>-638.967367800076 105.818503121962 -342.181553617843</t>
  </si>
  <si>
    <t>-657.554603980277 95.2523026931758 -461.485601727826</t>
  </si>
  <si>
    <t>-665.250492356406 84.2302326034278 -570.178426625376</t>
  </si>
  <si>
    <t>-663.931690412943 71.5430107629577 -678.954017061763</t>
  </si>
  <si>
    <t>-652.753338544864 51.9645033295544 -829.591783114276</t>
  </si>
  <si>
    <t>-614.794054744916 27.7764513717102 -921.008592132945</t>
  </si>
  <si>
    <t>-642.998194456132 88.7021154479989 -765.497277604682</t>
  </si>
  <si>
    <t>-554.152388380132 205.287181409319 -753.673809212644</t>
  </si>
  <si>
    <t>-455.269685667536 161.040502974908 -456.267364592055</t>
  </si>
  <si>
    <t>-264.287124404516 62.7353049002359 -309.625686724251</t>
  </si>
  <si>
    <t>-672.400552935443 32.5527551927598 -760.381358865664</t>
  </si>
  <si>
    <t>-569.334889294005 206.382846279464 -244.669286634309</t>
  </si>
  <si>
    <t>-572.456089873194 186.535107626651 210.582326868058</t>
  </si>
  <si>
    <t>-629.058283107654 167.514909108246 676.558965566219</t>
  </si>
  <si>
    <t>-495.1968793695 96.5128441460276 765.908508755</t>
  </si>
  <si>
    <t>-627.643621029415 21.3697464480583 -211.260082718901</t>
  </si>
  <si>
    <t>-510.88412831033 -34.8776655729548 225.616487159448</t>
  </si>
  <si>
    <t>-693.085053220699 38.8702850929535 652.431488436267</t>
  </si>
  <si>
    <t>-577.311520750402 -60.0617353150546 740.479513439684</t>
  </si>
  <si>
    <t>9763-20170724T160659.790416000.bin</t>
  </si>
  <si>
    <t>-598.838434421416 113.759663643158 -228.421194408693</t>
  </si>
  <si>
    <t>-639.221518510888 105.919676262084 -342.331412523897</t>
  </si>
  <si>
    <t>-657.89508979115 95.4909725284056 -461.634089932929</t>
  </si>
  <si>
    <t>-665.71827431884 84.5710710890448 -570.32813765971</t>
  </si>
  <si>
    <t>-664.576032572774 71.9647023675511 -679.115171636524</t>
  </si>
  <si>
    <t>-653.694520657626 52.4761085993553 -829.786301950294</t>
  </si>
  <si>
    <t>-615.941359189919 28.2149198062746 -921.269020162706</t>
  </si>
  <si>
    <t>-643.725036477455 89.1301375941807 -765.676963493938</t>
  </si>
  <si>
    <t>-554.488925222768 205.412690575957 -753.843131685435</t>
  </si>
  <si>
    <t>-454.942573419886 160.527729330789 -456.753779593045</t>
  </si>
  <si>
    <t>-263.207477618649 62.3712912211479 -310.997052456447</t>
  </si>
  <si>
    <t>-673.293466808029 33.0682799915062 -760.561165541525</t>
  </si>
  <si>
    <t>-569.365291107976 206.143070544972 -244.709532792268</t>
  </si>
  <si>
    <t>-572.585515250285 186.301949021816 210.541591684176</t>
  </si>
  <si>
    <t>-629.09972765311 167.456116005445 676.553647600414</t>
  </si>
  <si>
    <t>-495.331835828225 96.2809174573854 765.905512246103</t>
  </si>
  <si>
    <t>-628.171496195831 21.4743588842709 -211.442735655813</t>
  </si>
  <si>
    <t>-511.818469552823 -35.30488037641 225.473482709127</t>
  </si>
  <si>
    <t>-693.244506727439 38.7112277220049 652.604024380239</t>
  </si>
  <si>
    <t>-577.331459573477 -60.085778953161 740.620095085507</t>
  </si>
  <si>
    <t>9763-20170724T160659.825510300.bin</t>
  </si>
  <si>
    <t>-598.85399109866 113.822194824692 -228.429813666358</t>
  </si>
  <si>
    <t>-639.247534946951 106.067892589412 -342.342185689161</t>
  </si>
  <si>
    <t>-657.98464307133 95.704136026942 -461.640563032339</t>
  </si>
  <si>
    <t>-665.887675765101 84.8339681264267 -570.333767858638</t>
  </si>
  <si>
    <t>-664.847901542705 72.2680138785477 -679.126638472623</t>
  </si>
  <si>
    <t>-654.131664585637 52.8262986659422 -829.81561941191</t>
  </si>
  <si>
    <t>-616.457992301836 28.5295056277071 -921.321570752007</t>
  </si>
  <si>
    <t>-644.052388372832 89.4400077203577 -765.700336019168</t>
  </si>
  <si>
    <t>-554.625966217392 205.571720208983 -753.924575498716</t>
  </si>
  <si>
    <t>-454.669303053083 160.442781527345 -457.010015413309</t>
  </si>
  <si>
    <t>-262.588223469822 62.4335968649514 -311.610346747203</t>
  </si>
  <si>
    <t>-673.69419546266 33.4172412448104 -760.580362597228</t>
  </si>
  <si>
    <t>-569.283727932105 206.128557674586 -244.697855506178</t>
  </si>
  <si>
    <t>-572.519777909258 186.2678098354 210.552285096713</t>
  </si>
  <si>
    <t>-629.106820730223 167.466709697687 676.572384006285</t>
  </si>
  <si>
    <t>-495.359429580373 96.2312893691626 765.906905248268</t>
  </si>
  <si>
    <t>-628.260534261467 21.5762540908995 -211.461538736167</t>
  </si>
  <si>
    <t>-512.037143335113 -35.5547607084907 225.443299716628</t>
  </si>
  <si>
    <t>-693.276296648397 38.6526626940802 652.619806283507</t>
  </si>
  <si>
    <t>-577.442369553312 -60.2062922431812 740.670481588031</t>
  </si>
  <si>
    <t>9763-20170724T160659.889258900.bin</t>
  </si>
  <si>
    <t>-598.781216796564 113.859742330631 -228.382934560826</t>
  </si>
  <si>
    <t>-639.225792327879 106.264543650249 -342.287999529676</t>
  </si>
  <si>
    <t>-658.088313659973 96.0236010360593 -461.577051008613</t>
  </si>
  <si>
    <t>-666.136122255414 85.247251233973 -570.269075667887</t>
  </si>
  <si>
    <t>-665.272611967243 72.7568729624968 -679.072171717346</t>
  </si>
  <si>
    <t>-654.833936565075 53.4002602444041 -829.79165202916</t>
  </si>
  <si>
    <t>-617.310746760048 29.0516609400884 -921.345695411258</t>
  </si>
  <si>
    <t>-644.564245214242 89.94034278392 -765.664608190034</t>
  </si>
  <si>
    <t>-554.758305576005 205.796600411898 -753.91908763511</t>
  </si>
  <si>
    <t>-453.61602232168 160.113655140783 -457.491221783115</t>
  </si>
  <si>
    <t>-260.670261697289 62.4916883498468 -312.978546395549</t>
  </si>
  <si>
    <t>-674.341187898435 33.9896021457935 -760.54130456159</t>
  </si>
  <si>
    <t>-569.040408836195 206.015255453329 -244.613422026009</t>
  </si>
  <si>
    <t>-572.168657813944 186.070320927851 210.633846204493</t>
  </si>
  <si>
    <t>-629.149015396542 167.404912480587 676.588432746597</t>
  </si>
  <si>
    <t>-495.391199790474 96.1862981139554 765.92078010555</t>
  </si>
  <si>
    <t>-628.335600933112 21.7198828986777 -211.467125991278</t>
  </si>
  <si>
    <t>-512.211284800244 -35.9768511100326 225.389679004868</t>
  </si>
  <si>
    <t>-693.255979073875 38.5986106289517 652.584601515035</t>
  </si>
  <si>
    <t>-577.391583176698 -60.1550460159162 740.713308250741</t>
  </si>
  <si>
    <t>9763-20170724T160659.921373500.bin</t>
  </si>
  <si>
    <t>-598.67738549759 113.833921144118 -228.342008205005</t>
  </si>
  <si>
    <t>-639.150558458214 106.280687429155 -342.239706406062</t>
  </si>
  <si>
    <t>-658.080076308698 96.076710228356 -461.521210209932</t>
  </si>
  <si>
    <t>-666.204334951927 85.3303164858266 -570.210561721592</t>
  </si>
  <si>
    <t>-665.432900939561 72.8658957506223 -679.017305317584</t>
  </si>
  <si>
    <t>-655.138631355291 53.5400547948846 -829.750573750321</t>
  </si>
  <si>
    <t>-617.69035486987 29.1634920222041 -921.327830136885</t>
  </si>
  <si>
    <t>-644.776692328925 90.0509106383931 -765.621763444936</t>
  </si>
  <si>
    <t>-554.833865321219 205.786760596476 -753.893481483163</t>
  </si>
  <si>
    <t>-453.309772789346 159.712905194626 -457.656595550492</t>
  </si>
  <si>
    <t>-259.742822558352 62.5854424445452 -313.642230768345</t>
  </si>
  <si>
    <t>-674.610460506782 34.1312442443273 -760.48977973305</t>
  </si>
  <si>
    <t>-568.871897703998 205.917915299318 -244.565740029144</t>
  </si>
  <si>
    <t>-571.904211620195 185.878456428063 210.678039917155</t>
  </si>
  <si>
    <t>-629.185077168722 167.338050404798 676.590752360895</t>
  </si>
  <si>
    <t>-495.40160577275 96.1797141759284 765.932753201224</t>
  </si>
  <si>
    <t>-628.295608832016 21.7383183520335 -211.444292870398</t>
  </si>
  <si>
    <t>-512.094660130491 -36.0507872112419 225.379955742486</t>
  </si>
  <si>
    <t>-693.238625244878 38.557954549321 652.545187121308</t>
  </si>
  <si>
    <t>-577.460685921223 -60.2597298989695 740.715724086592</t>
  </si>
  <si>
    <t>9763-20170724T160659.989545700.bin</t>
  </si>
  <si>
    <t>-598.464147919373 114.011985792619 -228.257160908708</t>
  </si>
  <si>
    <t>-638.987409998305 106.47984035769 -342.138351038391</t>
  </si>
  <si>
    <t>-658.051519428463 96.3185848366898 -461.402266157199</t>
  </si>
  <si>
    <t>-666.331861466939 85.6164060370593 -570.084188583483</t>
  </si>
  <si>
    <t>-665.750817862989 73.1994445869839 -678.897411806126</t>
  </si>
  <si>
    <t>-655.755888435663 53.9414832653761 -829.659631621559</t>
  </si>
  <si>
    <t>-618.458552019174 29.5256031119757 -921.287834746371</t>
  </si>
  <si>
    <t>-645.222050765917 90.4001764546256 -765.529078873954</t>
  </si>
  <si>
    <t>-554.996417210631 205.929458818917 -753.86049544361</t>
  </si>
  <si>
    <t>-452.481793822305 159.21241836277 -458.065877263818</t>
  </si>
  <si>
    <t>-257.352826592672 63.1022312600426 -315.48420568647</t>
  </si>
  <si>
    <t>-675.13467123583 34.5248311938669 -760.37477322832</t>
  </si>
  <si>
    <t>-568.658555425135 206.112650975458 -244.486068433109</t>
  </si>
  <si>
    <t>-571.62445269666 185.801650035265 210.746075050722</t>
  </si>
  <si>
    <t>-629.236037244995 167.237098578251 676.595134942874</t>
  </si>
  <si>
    <t>-495.326966763696 96.3257917339233 765.945314770879</t>
  </si>
  <si>
    <t>-628.120416212978 22.0031056664018 -211.356445664596</t>
  </si>
  <si>
    <t>-511.688357273753 -36.0608026853622 225.369790629344</t>
  </si>
  <si>
    <t>-693.181126700543 38.5063959932806 652.435160863723</t>
  </si>
  <si>
    <t>-577.321963564396 -60.1649789912342 740.662856496986</t>
  </si>
  <si>
    <t>9763-20170724T160700.028652100.bin</t>
  </si>
  <si>
    <t>-598.367535054996 114.355802516778 -228.23184814466</t>
  </si>
  <si>
    <t>-638.895109598255 106.791316749915 -342.109349011226</t>
  </si>
  <si>
    <t>-658.020260528214 96.6138385134559 -461.362182475332</t>
  </si>
  <si>
    <t>-666.379431584762 85.9013339372184 -570.036944185946</t>
  </si>
  <si>
    <t>-665.900526244063 73.4773891987725 -678.849971220641</t>
  </si>
  <si>
    <t>-656.072061596518 54.2113599207291 -829.62218311927</t>
  </si>
  <si>
    <t>-618.841010266636 29.768293610161 -921.27013210035</t>
  </si>
  <si>
    <t>-645.455357229898 90.6673520809245 -765.503623588292</t>
  </si>
  <si>
    <t>-555.167672961548 206.146180515684 -753.906963925278</t>
  </si>
  <si>
    <t>-451.906613608191 159.229831354596 -458.403827226627</t>
  </si>
  <si>
    <t>-256.02850470733 63.5176471548145 -316.583438185646</t>
  </si>
  <si>
    <t>-675.386246267654 34.8047273786328 -760.316612123393</t>
  </si>
  <si>
    <t>-568.609080566154 206.445024455063 -244.461578271547</t>
  </si>
  <si>
    <t>-571.626837256207 186.013222375829 210.764879842126</t>
  </si>
  <si>
    <t>-629.276557644598 167.17055917779 676.596342482247</t>
  </si>
  <si>
    <t>-495.282326560244 96.421051586645 765.947108943173</t>
  </si>
  <si>
    <t>-627.968316584472 22.3641391004678 -211.33007097104</t>
  </si>
  <si>
    <t>-511.433834450566 -35.7738194827809 225.358961596032</t>
  </si>
  <si>
    <t>-693.081037723057 38.634212002717 652.376081700878</t>
  </si>
  <si>
    <t>-577.4345751075 -60.2491742950278 740.645460579082</t>
  </si>
  <si>
    <t>9763-20170724T160700.092499400.bin</t>
  </si>
  <si>
    <t>-598.192125065406 115.30745433042 -228.259193335592</t>
  </si>
  <si>
    <t>-638.695474016115 107.700439060435 -342.142550432778</t>
  </si>
  <si>
    <t>-657.935062220818 97.4858563554142 -461.373618372988</t>
  </si>
  <si>
    <t>-666.455954542995 86.7389849272545 -570.032482221822</t>
  </si>
  <si>
    <t>-666.197364096611 74.2777034924757 -678.84203104558</t>
  </si>
  <si>
    <t>-656.735584024203 54.9550132673189 -829.630347784975</t>
  </si>
  <si>
    <t>-619.6314149614 30.4690293239364 -921.318389043334</t>
  </si>
  <si>
    <t>-645.955203913465 91.4308870843172 -765.550615214729</t>
  </si>
  <si>
    <t>-555.680274797048 206.939143798023 -754.19187061844</t>
  </si>
  <si>
    <t>-450.841207862786 159.253151451217 -459.368246348517</t>
  </si>
  <si>
    <t>-253.321737589393 64.7342211416949 -319.031848598101</t>
  </si>
  <si>
    <t>-675.889049935276 35.5785237272939 -760.271748514872</t>
  </si>
  <si>
    <t>-568.606045508057 207.50030856224 -244.443827463411</t>
  </si>
  <si>
    <t>-571.698275801727 186.728028483446 210.766725997286</t>
  </si>
  <si>
    <t>-629.247475347419 167.254875301288 676.6088536662</t>
  </si>
  <si>
    <t>-495.267331703439 96.461311419185 765.945817880488</t>
  </si>
  <si>
    <t>-627.62521753837 23.2466312370152 -211.384923894308</t>
  </si>
  <si>
    <t>-511.137029948384 -35.0329016166309 225.297636339627</t>
  </si>
  <si>
    <t>-692.993721671193 38.7233542352863 652.334994332896</t>
  </si>
  <si>
    <t>-577.454204847247 -60.2595570228339 740.632872210944</t>
  </si>
  <si>
    <t>9763-20170724T160700.126587300.bin</t>
  </si>
  <si>
    <t>-598.125084706372 115.875794804734 -228.257694068671</t>
  </si>
  <si>
    <t>-638.596787630927 108.24769627742 -342.150928035705</t>
  </si>
  <si>
    <t>-657.875144959435 98.0164036853114 -461.374368665799</t>
  </si>
  <si>
    <t>-666.460353261572 87.2564292776112 -570.026877666313</t>
  </si>
  <si>
    <t>-666.295766851114 74.7833344320302 -678.835174806654</t>
  </si>
  <si>
    <t>-656.995245092382 55.4453050020734 -829.631533150319</t>
  </si>
  <si>
    <t>-619.949320994717 30.9487643689993 -921.340373712183</t>
  </si>
  <si>
    <t>-646.155570249971 91.9326783911688 -765.568326229328</t>
  </si>
  <si>
    <t>-555.921525775589 207.495809428674 -754.316278958525</t>
  </si>
  <si>
    <t>-450.201671866962 159.361091126004 -459.880364647664</t>
  </si>
  <si>
    <t>-252.154601825923 65.3672645498195 -319.935411537985</t>
  </si>
  <si>
    <t>-676.065211280435 36.0709933018022 -760.249391421886</t>
  </si>
  <si>
    <t>-568.591496371936 208.116374918997 -244.42968536356</t>
  </si>
  <si>
    <t>-571.770650838894 187.17602776934 210.772491323998</t>
  </si>
  <si>
    <t>-629.209616184028 167.348056110116 676.605752385037</t>
  </si>
  <si>
    <t>-495.25615286015 96.4985419648065 765.938424598939</t>
  </si>
  <si>
    <t>-627.495833281341 23.7132878173791 -211.420386003008</t>
  </si>
  <si>
    <t>-511.047172055592 -34.6259017673322 225.264706279584</t>
  </si>
  <si>
    <t>-693.018214881446 38.644330352909 652.338298603604</t>
  </si>
  <si>
    <t>-577.305335647013 -60.1475716549458 740.623073279538</t>
  </si>
  <si>
    <t>9763-20170724T160700.188268200.bin</t>
  </si>
  <si>
    <t>-598.054313804458 116.902102690307 -228.220587585979</t>
  </si>
  <si>
    <t>-638.525338343229 109.245987444038 -342.112061677145</t>
  </si>
  <si>
    <t>-657.902654953475 98.9618823049036 -461.314993784363</t>
  </si>
  <si>
    <t>-666.620023640874 88.1401780663846 -569.950748051258</t>
  </si>
  <si>
    <t>-666.630803450076 75.5892844692296 -678.750285135103</t>
  </si>
  <si>
    <t>-657.619658115674 56.1239452252362 -829.547841412576</t>
  </si>
  <si>
    <t>-620.670843194107 31.5767861461304 -921.282231777449</t>
  </si>
  <si>
    <t>-646.656831503055 92.6651707314095 -765.536314665586</t>
  </si>
  <si>
    <t>-556.501615110785 208.319859948994 -754.60105255314</t>
  </si>
  <si>
    <t>-448.510219800977 159.625780607248 -461.082947694596</t>
  </si>
  <si>
    <t>-249.516057543272 66.6665278080593 -321.791977712589</t>
  </si>
  <si>
    <t>-676.556719233473 36.8084204891566 -760.112887517599</t>
  </si>
  <si>
    <t>-568.686213080434 209.221909569319 -244.359773499021</t>
  </si>
  <si>
    <t>-571.815591626013 187.845157900776 210.822421647451</t>
  </si>
  <si>
    <t>-629.323604069624 167.168482303384 676.614256650884</t>
  </si>
  <si>
    <t>-495.241724032041 96.5429643052364 765.931708182075</t>
  </si>
  <si>
    <t>-627.258114293309 24.611482568256 -211.411277075894</t>
  </si>
  <si>
    <t>-510.759106554926 -33.8905976675887 225.238645060273</t>
  </si>
  <si>
    <t>-693.00794001576 38.5949943757944 652.326589860291</t>
  </si>
  <si>
    <t>-577.217707833589 -60.1051306151387 740.612618028702</t>
  </si>
  <si>
    <t>9763-20170724T160700.225871000.bin</t>
  </si>
  <si>
    <t>-597.979090739492 117.412850707288 -228.200618559576</t>
  </si>
  <si>
    <t>-638.471259890855 109.761735911372 -342.08487809501</t>
  </si>
  <si>
    <t>-657.91289789273 99.4692527222583 -461.27656108325</t>
  </si>
  <si>
    <t>-666.706857529134 88.6310771848594 -569.904716268921</t>
  </si>
  <si>
    <t>-666.813308865001 76.0525247388794 -678.700846044766</t>
  </si>
  <si>
    <t>-657.955412014454 56.5352036327504 -829.500819854195</t>
  </si>
  <si>
    <t>-621.054934605173 31.9481976221177 -921.244033464012</t>
  </si>
  <si>
    <t>-646.904426518509 93.0863475355095 -765.510087632772</t>
  </si>
  <si>
    <t>-556.654248699637 208.683492324375 -754.741194761421</t>
  </si>
  <si>
    <t>-447.558539611689 159.882000919444 -461.64966836317</t>
  </si>
  <si>
    <t>-248.531893053366 67.0688504417496 -322.307807715815</t>
  </si>
  <si>
    <t>-676.84509331466 37.2556729326247 -760.042864359089</t>
  </si>
  <si>
    <t>-568.682409517342 209.74268901706 -244.324480403549</t>
  </si>
  <si>
    <t>-571.760665945284 188.130627332141 210.846950016393</t>
  </si>
  <si>
    <t>-629.318232904681 167.174832728742 676.60260454765</t>
  </si>
  <si>
    <t>-495.215056647542 96.6007645997722 765.928729601015</t>
  </si>
  <si>
    <t>-627.144060289776 25.0846865405479 -211.406165742529</t>
  </si>
  <si>
    <t>-510.537232631566 -33.4987918011157 225.204099846461</t>
  </si>
  <si>
    <t>-692.950632270305 38.6500738492193 652.296072738942</t>
  </si>
  <si>
    <t>-577.269778409878 -60.1643183171257 740.597650686272</t>
  </si>
  <si>
    <t>9763-20170724T160700.294072500.bin</t>
  </si>
  <si>
    <t>-597.970152777698 118.374053670456 -228.14106840859</t>
  </si>
  <si>
    <t>-638.516012787564 110.780391900221 -342.010314849541</t>
  </si>
  <si>
    <t>-658.112651434935 100.51898409869 -461.179257538282</t>
  </si>
  <si>
    <t>-667.089625998889 89.6932653371275 -569.793502231967</t>
  </si>
  <si>
    <t>-667.422502715142 77.1087775853273 -678.588661757106</t>
  </si>
  <si>
    <t>-658.9249401416 57.5612984701447 -829.405364935327</t>
  </si>
  <si>
    <t>-622.144125465097 32.828772917984 -921.157583598392</t>
  </si>
  <si>
    <t>-647.668988394337 94.097951938988 -765.442089615162</t>
  </si>
  <si>
    <t>-557.224017280331 209.565871025796 -754.968006321639</t>
  </si>
  <si>
    <t>-445.921028218192 160.332251894348 -462.779877323151</t>
  </si>
  <si>
    <t>-245.761633062383 68.8123666782164 -324.207190138625</t>
  </si>
  <si>
    <t>-677.700654886237 38.3230183944577 -759.905114624391</t>
  </si>
  <si>
    <t>-568.701355371899 210.741230346735 -244.240675565337</t>
  </si>
  <si>
    <t>-571.722548523988 188.67833181837 210.909588098005</t>
  </si>
  <si>
    <t>-629.347014701452 167.11927126577 676.599537207606</t>
  </si>
  <si>
    <t>-495.189502788754 96.6732724904666 765.945147868958</t>
  </si>
  <si>
    <t>-627.113218685824 26.0236884599537 -211.383676602056</t>
  </si>
  <si>
    <t>-510.159402213928 -32.7564751536954 225.107286826963</t>
  </si>
  <si>
    <t>-692.811370209729 38.8404863723677 652.206575346431</t>
  </si>
  <si>
    <t>-577.327566346488 -60.193762104572 740.519749162921</t>
  </si>
  <si>
    <t>9763-20170724T160700.323139400.bin</t>
  </si>
  <si>
    <t>-597.981384152504 118.774276866407 -228.112020313189</t>
  </si>
  <si>
    <t>-638.58375317839 111.23366976089 -341.964520548066</t>
  </si>
  <si>
    <t>-658.24032475476 100.991254359594 -461.125357076682</t>
  </si>
  <si>
    <t>-667.273047436897 90.1684093330753 -569.735280323971</t>
  </si>
  <si>
    <t>-667.663494060419 77.5722548691238 -678.528754309469</t>
  </si>
  <si>
    <t>-659.247955000165 57.9934555363636 -829.346103127785</t>
  </si>
  <si>
    <t>-622.516288770386 33.1790609860482 -921.095827631032</t>
  </si>
  <si>
    <t>-647.944948103476 94.5369431423737 -765.395024266048</t>
  </si>
  <si>
    <t>-557.489336485658 209.997492339188 -754.978680188689</t>
  </si>
  <si>
    <t>-444.970176403748 160.335660933054 -463.32940106103</t>
  </si>
  <si>
    <t>-243.697883514498 69.8191463514686 -325.712873500896</t>
  </si>
  <si>
    <t>-677.998133865387 38.7760633081441 -759.833326370089</t>
  </si>
  <si>
    <t>-568.648744848665 211.152003672767 -244.201714428411</t>
  </si>
  <si>
    <t>-571.616332365545 188.808914327756 210.935250113879</t>
  </si>
  <si>
    <t>-629.385546050675 167.035508743 676.595589910566</t>
  </si>
  <si>
    <t>-495.180802863497 96.6966026158775 765.954633003556</t>
  </si>
  <si>
    <t>-627.175998192716 26.4000425692934 -211.361957992223</t>
  </si>
  <si>
    <t>-510.007324856477 -32.5002558601943 225.055153844174</t>
  </si>
  <si>
    <t>-692.808004532634 38.8058018344886 652.161486532817</t>
  </si>
  <si>
    <t>-577.19358550635 -60.0910825168214 740.457713019136</t>
  </si>
  <si>
    <t>9763-20170724T160700.389331400.bin</t>
  </si>
  <si>
    <t>-597.974998489109 119.84734905959 -228.016136163573</t>
  </si>
  <si>
    <t>-638.670504783897 112.397015137997 -341.841438950983</t>
  </si>
  <si>
    <t>-658.39164687165 102.15642785966 -460.991633354433</t>
  </si>
  <si>
    <t>-667.471933885402 91.2992130195362 -569.59416829675</t>
  </si>
  <si>
    <t>-667.899701017418 78.6332615449307 -678.37950270349</t>
  </si>
  <si>
    <t>-659.526253125343 58.9210408546965 -829.181738243871</t>
  </si>
  <si>
    <t>-622.862360457699 33.9912356814812 -920.927254592226</t>
  </si>
  <si>
    <t>-648.183789066405 95.509559261747 -765.263560522955</t>
  </si>
  <si>
    <t>-557.62794198581 210.918694659881 -754.947697448647</t>
  </si>
  <si>
    <t>-442.740727529096 160.601043483533 -464.335883310726</t>
  </si>
  <si>
    <t>-238.351463904044 72.6158030547858 -329.704263054157</t>
  </si>
  <si>
    <t>-678.278761573907 39.77653939481 -759.649399987564</t>
  </si>
  <si>
    <t>-568.547561180774 212.242769156498 -244.094912949224</t>
  </si>
  <si>
    <t>-571.408794567991 189.332800924174 211.014542283459</t>
  </si>
  <si>
    <t>-629.422418035493 166.992227987556 676.606395933087</t>
  </si>
  <si>
    <t>-495.224740452837 96.6509390009935 765.974199404683</t>
  </si>
  <si>
    <t>-627.245297819852 27.5188058065867 -211.278717644585</t>
  </si>
  <si>
    <t>-509.725823235613 -31.9040012370906 224.973275353756</t>
  </si>
  <si>
    <t>-692.663954209152 39.0801425096658 652.063877714265</t>
  </si>
  <si>
    <t>-577.392973811122 -60.2350588240843 740.339576341254</t>
  </si>
  <si>
    <t>9763-20170724T160700.422423400.bin</t>
  </si>
  <si>
    <t>-598.018894965987 120.424331257614 -227.967047325536</t>
  </si>
  <si>
    <t>-638.681561271957 112.956503727351 -341.802783968109</t>
  </si>
  <si>
    <t>-658.401920502758 102.650602747642 -460.947379296735</t>
  </si>
  <si>
    <t>-667.496235692747 91.7143571446775 -569.541019143106</t>
  </si>
  <si>
    <t>-667.954032337371 78.9486769298019 -678.314439145712</t>
  </si>
  <si>
    <t>-659.639589578743 59.0762302426588 -829.098972039156</t>
  </si>
  <si>
    <t>-622.99800393535 34.0722105481454 -920.833222322316</t>
  </si>
  <si>
    <t>-648.250284867966 95.7211921088724 -765.22131857187</t>
  </si>
  <si>
    <t>-557.679248617701 211.122959901338 -755.046681261548</t>
  </si>
  <si>
    <t>-441.428930180202 160.762408900254 -464.984836450808</t>
  </si>
  <si>
    <t>-235.012355491823 74.4222759053216 -332.39651119815</t>
  </si>
  <si>
    <t>-678.386634511802 40.0171846066673 -759.541664458368</t>
  </si>
  <si>
    <t>-568.575010622482 212.85818896884 -244.052529857581</t>
  </si>
  <si>
    <t>-571.483146722804 189.725360964959 211.045311053516</t>
  </si>
  <si>
    <t>-629.459707441044 166.926444124812 676.600782710725</t>
  </si>
  <si>
    <t>-495.202887796597 96.7057785978004 765.974589367902</t>
  </si>
  <si>
    <t>-627.307575180519 28.0426590941336 -211.236058948382</t>
  </si>
  <si>
    <t>-509.653092026158 -31.5836549214009 224.951795099268</t>
  </si>
  <si>
    <t>-692.648294994225 39.1704467070863 652.062011831202</t>
  </si>
  <si>
    <t>-577.498693000574 -60.3229420702955 740.295485761462</t>
  </si>
  <si>
    <t>9763-20170724T160700.491620000.bin</t>
  </si>
  <si>
    <t>-598.174014320218 121.516280746168 -227.951629619136</t>
  </si>
  <si>
    <t>-638.78945789962 113.997442800391 -341.80084444805</t>
  </si>
  <si>
    <t>-658.526099838485 103.644993522842 -460.938969406657</t>
  </si>
  <si>
    <t>-667.663287640931 92.6614493504853 -569.52396963847</t>
  </si>
  <si>
    <t>-668.193342133478 79.8391759439419 -678.290550860293</t>
  </si>
  <si>
    <t>-660.01120457094 59.8744009998138 -829.070039463193</t>
  </si>
  <si>
    <t>-623.398009341853 34.8013637240635 -920.79684777829</t>
  </si>
  <si>
    <t>-648.507816822095 96.5277544286371 -765.21771453708</t>
  </si>
  <si>
    <t>-557.73602249825 211.773898737786 -755.217591083732</t>
  </si>
  <si>
    <t>-438.578586829789 161.783771042747 -466.273632479104</t>
  </si>
  <si>
    <t>-228.462656460785 77.5270053828804 -338.234018813959</t>
  </si>
  <si>
    <t>-678.755193535533 40.8887427253758 -759.492026698512</t>
  </si>
  <si>
    <t>-568.738411833098 214.091901866792 -244.028431947747</t>
  </si>
  <si>
    <t>-571.80722401756 190.582131044452 211.049159397156</t>
  </si>
  <si>
    <t>-629.438964180676 167.008003381278 676.607108254174</t>
  </si>
  <si>
    <t>-495.213097131174 96.7246919479599 765.978175598111</t>
  </si>
  <si>
    <t>-627.490954690013 28.9917096373558 -211.226123048054</t>
  </si>
  <si>
    <t>-509.688127419953 -30.7590818904268 224.904604737668</t>
  </si>
  <si>
    <t>-692.76153922248 39.1791034920764 652.151131618817</t>
  </si>
  <si>
    <t>-577.429929812834 -60.2611403837134 740.206597293689</t>
  </si>
  <si>
    <t>9763-20170724T160700.525705400.bin</t>
  </si>
  <si>
    <t>-598.342740792296 122.055710515922 -227.97093741288</t>
  </si>
  <si>
    <t>-638.94182384064 114.554977330949 -341.82733604498</t>
  </si>
  <si>
    <t>-658.689851251804 104.199269652069 -460.963150904816</t>
  </si>
  <si>
    <t>-667.849811712178 93.202446780745 -569.544954161477</t>
  </si>
  <si>
    <t>-668.415845945462 80.3554755754708 -678.308453422636</t>
  </si>
  <si>
    <t>-660.297912210782 60.3437179030409 -829.0851625384</t>
  </si>
  <si>
    <t>-623.708928010922 35.2133796499288 -920.805938400927</t>
  </si>
  <si>
    <t>-648.759107696222 97.0125093652828 -765.248136328121</t>
  </si>
  <si>
    <t>-557.987918849656 212.281916965102 -755.334330799718</t>
  </si>
  <si>
    <t>-437.477894102352 162.054400468391 -466.993017888718</t>
  </si>
  <si>
    <t>-225.0101505132 79.3318857841632 -341.867197781613</t>
  </si>
  <si>
    <t>-679.020588349852 41.3840894118657 -759.494234745508</t>
  </si>
  <si>
    <t>-568.921045765672 214.738299611661 -244.012538760552</t>
  </si>
  <si>
    <t>-571.990967466057 190.950050064439 211.050507930809</t>
  </si>
  <si>
    <t>-629.489309868991 166.918373072556 676.597630876046</t>
  </si>
  <si>
    <t>-495.211620562878 96.7397455007617 765.973122219544</t>
  </si>
  <si>
    <t>-627.647850628657 29.4671827541588 -211.265053703984</t>
  </si>
  <si>
    <t>-509.803753297113 -30.337076869873 224.847210103843</t>
  </si>
  <si>
    <t>-692.841363276678 39.117615149105 652.189281388899</t>
  </si>
  <si>
    <t>-577.298881747588 -60.1512747352617 740.161612653791</t>
  </si>
  <si>
    <t>9763-20170724T160700.591726300.bin</t>
  </si>
  <si>
    <t>-598.490645149412 123.254091597547 -228.058436415522</t>
  </si>
  <si>
    <t>-639.10216864323 115.837105232051 -341.915711705289</t>
  </si>
  <si>
    <t>-658.887132197829 105.524964392285 -461.049222407677</t>
  </si>
  <si>
    <t>-668.091791067209 94.548699561301 -569.62947693362</t>
  </si>
  <si>
    <t>-668.714614046424 81.7020764773483 -678.392588708713</t>
  </si>
  <si>
    <t>-660.689255354929 61.6682160644918 -829.171388141982</t>
  </si>
  <si>
    <t>-624.165130492217 36.4554594969834 -920.895338696323</t>
  </si>
  <si>
    <t>-649.105652580464 98.3435228988476 -765.346105203583</t>
  </si>
  <si>
    <t>-558.336751598689 213.608085105214 -755.507853763312</t>
  </si>
  <si>
    <t>-435.746525228337 162.098394529454 -468.271758906035</t>
  </si>
  <si>
    <t>-221.743295129233 79.778661002684 -345.519382271034</t>
  </si>
  <si>
    <t>-679.374735195044 42.7217090078807 -759.566685577111</t>
  </si>
  <si>
    <t>-569.085635570526 216.032311151507 -244.00184509474</t>
  </si>
  <si>
    <t>-572.118965829213 191.638604279901 211.029374339992</t>
  </si>
  <si>
    <t>-629.485316940707 166.965949231285 676.582111081869</t>
  </si>
  <si>
    <t>-495.259431022625 96.6861076843686 765.955829725962</t>
  </si>
  <si>
    <t>-627.742208421726 30.5397755249114 -211.462476750178</t>
  </si>
  <si>
    <t>-509.759370335929 -29.28450129977 224.609567605689</t>
  </si>
  <si>
    <t>-692.753447282222 39.0645794681925 652.074410168874</t>
  </si>
  <si>
    <t>-577.225685296589 -60.1186052730843 740.162690339894</t>
  </si>
  <si>
    <t>9763-20170724T160700.626823000.bin</t>
  </si>
  <si>
    <t>-598.432298011897 123.739724161488 -228.178994723138</t>
  </si>
  <si>
    <t>-639.031808643872 116.35708963179 -342.042782166003</t>
  </si>
  <si>
    <t>-658.83257904338 106.052848747607 -461.174345038329</t>
  </si>
  <si>
    <t>-668.064139453721 95.071204342903 -569.751573331946</t>
  </si>
  <si>
    <t>-668.727368647849 82.2054546784004 -678.512317567076</t>
  </si>
  <si>
    <t>-660.772694980763 62.1299736570224 -829.289341575741</t>
  </si>
  <si>
    <t>-624.281981294424 36.8586762033792 -921.010451186267</t>
  </si>
  <si>
    <t>-649.145970062767 98.8157897050376 -765.477917919746</t>
  </si>
  <si>
    <t>-558.309535168207 214.058222132524 -755.70660860277</t>
  </si>
  <si>
    <t>-435.114987102954 161.813652235751 -468.862104122201</t>
  </si>
  <si>
    <t>-221.176576951101 79.2354759099458 -346.170430075814</t>
  </si>
  <si>
    <t>-679.438840805488 43.2096811860213 -759.672392436514</t>
  </si>
  <si>
    <t>-569.06460090104 216.562902392065 -244.028728566131</t>
  </si>
  <si>
    <t>-572.160600873281 191.915434889672 210.98839422731</t>
  </si>
  <si>
    <t>-629.524223708767 166.957561259911 676.57057142037</t>
  </si>
  <si>
    <t>-495.343107503917 96.5646202211926 765.922517350861</t>
  </si>
  <si>
    <t>-627.628260801641 30.9350311469618 -211.710206524705</t>
  </si>
  <si>
    <t>-509.553758881225 -28.9671139823547 224.326263991601</t>
  </si>
  <si>
    <t>-692.42697984127 38.7913537729539 651.621176140112</t>
  </si>
  <si>
    <t>-577.1436362625 -60.075887476338 740.38226893812</t>
  </si>
  <si>
    <t>9763-20170724T160700.690997300.bin</t>
  </si>
  <si>
    <t>-597.906874929918 124.322842281061 -228.680459705115</t>
  </si>
  <si>
    <t>-638.396394337135 116.948695934753 -342.584035718273</t>
  </si>
  <si>
    <t>-658.189159049571 106.621877885351 -461.71496062726</t>
  </si>
  <si>
    <t>-667.458574340294 95.6037716737171 -570.285333180342</t>
  </si>
  <si>
    <t>-668.206230300745 82.6836437069244 -679.039111855172</t>
  </si>
  <si>
    <t>-660.418469043157 62.5120729494201 -829.811867565176</t>
  </si>
  <si>
    <t>-624.040895923069 37.144855773272 -921.55160710827</t>
  </si>
  <si>
    <t>-648.676537740748 99.2147525505441 -766.03139449383</t>
  </si>
  <si>
    <t>-557.654095259516 214.297774825028 -756.310466022607</t>
  </si>
  <si>
    <t>-433.619993632167 161.126940823657 -469.9984310011</t>
  </si>
  <si>
    <t>-221.373142058095 77.3551113480239 -345.196045274595</t>
  </si>
  <si>
    <t>-679.052083438349 43.6599873298817 -760.167785850508</t>
  </si>
  <si>
    <t>-568.746647749957 217.443467786583 -244.306552767233</t>
  </si>
  <si>
    <t>-572.253127961655 192.584171388332 210.696118071688</t>
  </si>
  <si>
    <t>-629.535661504741 166.969391461279 676.396161771098</t>
  </si>
  <si>
    <t>-495.446535754354 96.3987889555865 765.746112826848</t>
  </si>
  <si>
    <t>-626.882458629623 31.1802825077521 -212.598988114418</t>
  </si>
  <si>
    <t>-508.549787259306 -28.3835248210607 223.41384832901</t>
  </si>
  <si>
    <t>-691.170886504681 37.8957483018535 650.583166676404</t>
  </si>
  <si>
    <t>-576.879294774807 -60.0683266522506 741.599542632527</t>
  </si>
  <si>
    <t>9763-20170724T160700.725089100.bin</t>
  </si>
  <si>
    <t>-597.440131197903 124.593191523894 -228.96935709245</t>
  </si>
  <si>
    <t>-637.87257158481 117.21152433135 -342.892704617971</t>
  </si>
  <si>
    <t>-657.659200323155 106.881290403175 -462.024371449759</t>
  </si>
  <si>
    <t>-666.944846316921 95.8612295247451 -570.593151694847</t>
  </si>
  <si>
    <t>-667.730998204872 82.9397040496401 -679.346406378405</t>
  </si>
  <si>
    <t>-660.020094108394 62.766242540933 -830.122905952715</t>
  </si>
  <si>
    <t>-623.707065918896 37.3763062110895 -921.881828119897</t>
  </si>
  <si>
    <t>-648.216520713634 99.4541942345495 -766.34532689858</t>
  </si>
  <si>
    <t>-557.093183410507 214.444718717342 -756.667207461397</t>
  </si>
  <si>
    <t>-432.863559094372 160.930088540386 -470.504016670812</t>
  </si>
  <si>
    <t>-223.161240585345 76.1159310350181 -342.154715646105</t>
  </si>
  <si>
    <t>-678.647371289347 43.9305230661314 -760.472725245977</t>
  </si>
  <si>
    <t>-568.376012576262 217.805154632403 -244.505618114325</t>
  </si>
  <si>
    <t>-572.206433670837 192.885550470578 210.491150550211</t>
  </si>
  <si>
    <t>-629.568775166744 166.923954129038 676.300591507025</t>
  </si>
  <si>
    <t>-495.496670528318 96.3056255793745 765.638384268464</t>
  </si>
  <si>
    <t>-626.328193856641 31.3882655918367 -212.989915211561</t>
  </si>
  <si>
    <t>-507.919335146076 -27.9474451778372 223.033323343876</t>
  </si>
  <si>
    <t>-690.462822718972 37.571232014689 650.289301553305</t>
  </si>
  <si>
    <t>-576.792922350397 -60.0220779060701 742.475054058435</t>
  </si>
  <si>
    <t>9763-20170724T160700.791279900.bin</t>
  </si>
  <si>
    <t>-596.427193137782 124.87318953195 -229.194980947625</t>
  </si>
  <si>
    <t>-636.720031689973 117.46814341751 -343.166254449953</t>
  </si>
  <si>
    <t>-656.512668067539 107.078460661504 -462.291739380016</t>
  </si>
  <si>
    <t>-665.867642705848 95.9864860720106 -570.847300132323</t>
  </si>
  <si>
    <t>-666.788586889736 82.9734954094504 -679.588480363276</t>
  </si>
  <si>
    <t>-659.334506970994 62.650578975281 -830.357977673107</t>
  </si>
  <si>
    <t>-623.21651984899 37.1270994983372 -922.156796633128</t>
  </si>
  <si>
    <t>-647.284906151071 99.3277588737537 -766.620133021582</t>
  </si>
  <si>
    <t>-555.766348722899 213.997710923456 -756.995892689158</t>
  </si>
  <si>
    <t>-432.46703804938 159.587715724295 -470.599219019507</t>
  </si>
  <si>
    <t>-230.267657923396 71.3340208838947 -332.872270948654</t>
  </si>
  <si>
    <t>-677.980500300248 43.9579264096456 -760.674103390112</t>
  </si>
  <si>
    <t>-567.269412452106 218.232983135268 -244.695360217054</t>
  </si>
  <si>
    <t>-572.069955263765 193.37415547693 210.295580513569</t>
  </si>
  <si>
    <t>-629.607629368732 166.803812992756 676.126825949145</t>
  </si>
  <si>
    <t>-495.512115893019 96.2374045782014 765.470446401869</t>
  </si>
  <si>
    <t>-625.47306156297 31.507116293709 -213.080061115412</t>
  </si>
  <si>
    <t>-506.864585515065 -26.8895867248241 223.015727966471</t>
  </si>
  <si>
    <t>-689.854033386404 36.9679022556234 650.642199252462</t>
  </si>
  <si>
    <t>-576.320388485629 -59.580434255038 744.087588755691</t>
  </si>
  <si>
    <t>9763-20170724T160700.826372000.bin</t>
  </si>
  <si>
    <t>-596.001659064972 125.094877889673 -229.139143202737</t>
  </si>
  <si>
    <t>-636.201544761709 117.723165016475 -343.145390279398</t>
  </si>
  <si>
    <t>-655.917459005644 107.368353514909 -462.286625471121</t>
  </si>
  <si>
    <t>-665.211427980662 96.3055222466558 -570.850405336273</t>
  </si>
  <si>
    <t>-666.080632189319 83.3178873592353 -679.595112111044</t>
  </si>
  <si>
    <t>-658.56491900568 63.0250948617547 -830.365543533126</t>
  </si>
  <si>
    <t>-622.494841763767 37.4727676801026 -922.175179732237</t>
  </si>
  <si>
    <t>-646.444029280779 99.6365216510278 -766.603415395442</t>
  </si>
  <si>
    <t>-554.441160946662 213.911235603122 -756.855959974841</t>
  </si>
  <si>
    <t>-432.267858134029 159.219129958569 -470.030871196069</t>
  </si>
  <si>
    <t>-234.657841488638 68.6477979957481 -327.240298541905</t>
  </si>
  <si>
    <t>-677.336823332495 44.3714426703893 -760.705101547932</t>
  </si>
  <si>
    <t>-566.649940947584 218.423897151855 -244.70309518303</t>
  </si>
  <si>
    <t>-571.970572344422 193.652527454653 210.28671723726</t>
  </si>
  <si>
    <t>-629.565123361898 166.82133979327 676.091710086101</t>
  </si>
  <si>
    <t>-495.501270629772 96.215060564278 765.451388466436</t>
  </si>
  <si>
    <t>-625.308630421224 31.8908268617329 -212.857226161516</t>
  </si>
  <si>
    <t>-506.402528453067 -26.369790544818 223.175663066524</t>
  </si>
  <si>
    <t>-689.614221430688 37.0436686917622 650.902143090171</t>
  </si>
  <si>
    <t>-576.223206989708 -59.4384616307143 744.588775478051</t>
  </si>
  <si>
    <t>9763-20170724T160700.892552300.bin</t>
  </si>
  <si>
    <t>-595.180237134038 125.367767155868 -228.779190410273</t>
  </si>
  <si>
    <t>-635.325916389334 118.080952335626 -342.809991668406</t>
  </si>
  <si>
    <t>-654.875833453877 107.863632298078 -461.990440248083</t>
  </si>
  <si>
    <t>-663.975183136211 96.9328696944854 -570.584038028924</t>
  </si>
  <si>
    <t>-664.606548178775 84.078305331459 -679.346290915533</t>
  </si>
  <si>
    <t>-656.717592970874 63.9650064551065 -830.121683696138</t>
  </si>
  <si>
    <t>-620.690204328175 38.3032448358406 -921.917626583336</t>
  </si>
  <si>
    <t>-644.551831220114 100.388839513652 -766.260753892827</t>
  </si>
  <si>
    <t>-551.491234097547 213.748468978002 -755.883657655581</t>
  </si>
  <si>
    <t>-432.554124567599 158.21940673215 -467.861591497709</t>
  </si>
  <si>
    <t>-241.244932212187 64.363132568918 -318.751404944182</t>
  </si>
  <si>
    <t>-675.864608497467 45.3401709038512 -760.555624206534</t>
  </si>
  <si>
    <t>-565.343137074844 218.309077829454 -244.493406700931</t>
  </si>
  <si>
    <t>-571.293045075302 193.577176350784 210.490856295276</t>
  </si>
  <si>
    <t>-629.651091680166 166.578904494111 676.109834181254</t>
  </si>
  <si>
    <t>-495.477062709603 96.2128601955508 765.493664201544</t>
  </si>
  <si>
    <t>-624.870289334902 32.4872990573381 -212.293059292987</t>
  </si>
  <si>
    <t>-505.690033610048 -25.3953648746885 223.71534222125</t>
  </si>
  <si>
    <t>-689.342468653558 37.345945405815 651.480779101781</t>
  </si>
  <si>
    <t>-576.149777265085 -59.2606190158369 745.27893455161</t>
  </si>
  <si>
    <t>9763-20170724T160700.926642700.bin</t>
  </si>
  <si>
    <t>-594.882592937111 125.349624722335 -228.582478509091</t>
  </si>
  <si>
    <t>-634.99040256286 118.092119891997 -342.628575203205</t>
  </si>
  <si>
    <t>-654.379305468458 107.983383787801 -461.844425007338</t>
  </si>
  <si>
    <t>-663.28217662308 97.1723877032127 -570.466383536043</t>
  </si>
  <si>
    <t>-663.666742816131 84.4533040308097 -679.245699177398</t>
  </si>
  <si>
    <t>-655.383773222134 64.5393777669794 -830.026409176258</t>
  </si>
  <si>
    <t>-619.296018470845 38.889406718908 -921.801901362049</t>
  </si>
  <si>
    <t>-643.314995619915 100.839797846427 -766.076849803359</t>
  </si>
  <si>
    <t>-549.751084176368 213.755455022282 -755.191508688064</t>
  </si>
  <si>
    <t>-432.985627608792 157.279197150649 -466.465884083671</t>
  </si>
  <si>
    <t>-243.129885199063 62.5076275967749 -316.082380482471</t>
  </si>
  <si>
    <t>-674.782345402191 45.8616847352753 -760.544348798341</t>
  </si>
  <si>
    <t>-564.958048440511 218.181371252703 -244.324016568231</t>
  </si>
  <si>
    <t>-570.858816413382 193.272746594493 210.651175255622</t>
  </si>
  <si>
    <t>-629.708981040958 166.411498185466 676.126817859467</t>
  </si>
  <si>
    <t>-495.442214007462 96.2552827135482 765.536285723042</t>
  </si>
  <si>
    <t>-624.626018926838 32.5891803124325 -212.08531648762</t>
  </si>
  <si>
    <t>-505.507082478764 -25.1365816690316 223.960617503395</t>
  </si>
  <si>
    <t>-689.377135041254 37.3594505662218 651.774422069995</t>
  </si>
  <si>
    <t>-575.990477178929 -59.0951032126204 745.494725116961</t>
  </si>
  <si>
    <t>9763-20170724T160700.987808800.bin</t>
  </si>
  <si>
    <t>-594.751908500121 125.658841580324 -228.329949222652</t>
  </si>
  <si>
    <t>-634.827909287167 118.561018750783 -342.397183499332</t>
  </si>
  <si>
    <t>-653.904922717682 108.73173601954 -461.686834720081</t>
  </si>
  <si>
    <t>-662.408935752998 98.2069163017973 -570.368692326254</t>
  </si>
  <si>
    <t>-662.278889107049 85.7984262961515 -679.184446215501</t>
  </si>
  <si>
    <t>-653.162422994905 66.3340914397113 -829.975810507442</t>
  </si>
  <si>
    <t>-616.780308427304 40.79003767413 -921.664596384821</t>
  </si>
  <si>
    <t>-641.40149708074 102.417707740067 -765.846478621987</t>
  </si>
  <si>
    <t>-547.391215273419 214.866398467748 -753.901381580358</t>
  </si>
  <si>
    <t>-434.907562913349 155.809392733578 -463.994608328244</t>
  </si>
  <si>
    <t>-245.837223772057 59.2220245622539 -313.777097675272</t>
  </si>
  <si>
    <t>-672.990717667535 47.4753728011153 -760.664184847072</t>
  </si>
  <si>
    <t>-564.809909494735 218.349747860732 -244.020947221813</t>
  </si>
  <si>
    <t>-570.337765384628 193.030621908868 210.936268179778</t>
  </si>
  <si>
    <t>-629.811058041529 166.110112488923 676.187103360838</t>
  </si>
  <si>
    <t>-495.379197085033 96.3519058164393 765.659878690094</t>
  </si>
  <si>
    <t>-624.581090257537 33.1339974319162 -211.878305609879</t>
  </si>
  <si>
    <t>-505.457746642813 -24.8397573313266 224.133575195744</t>
  </si>
  <si>
    <t>-689.313886806129 37.5093823850191 652.043642732776</t>
  </si>
  <si>
    <t>-575.920613827825 -58.9895602261545 745.710255827536</t>
  </si>
  <si>
    <t>9763-20170724T160701.021531000.bin</t>
  </si>
  <si>
    <t>-594.820594469468 125.766368424454 -228.32443161765</t>
  </si>
  <si>
    <t>-634.838061506354 118.720099741927 -342.41537401265</t>
  </si>
  <si>
    <t>-653.752044731898 109.002345508027 -461.740202243327</t>
  </si>
  <si>
    <t>-662.065090603124 98.5983365460122 -570.448542972556</t>
  </si>
  <si>
    <t>-661.700526931433 86.3282117034166 -679.279412520453</t>
  </si>
  <si>
    <t>-652.213596046141 67.0720211236983 -830.074630016364</t>
  </si>
  <si>
    <t>-615.633176392018 41.6261367505826 -921.711773298126</t>
  </si>
  <si>
    <t>-640.62157874733 103.073232130703 -765.86835199542</t>
  </si>
  <si>
    <t>-546.642559334286 215.495839652544 -753.536899531308</t>
  </si>
  <si>
    <t>-435.679364847514 155.879466357211 -463.159167042473</t>
  </si>
  <si>
    <t>-246.976083210165 58.0969449323845 -313.253612980376</t>
  </si>
  <si>
    <t>-672.201001021615 48.1112965646414 -760.836571472253</t>
  </si>
  <si>
    <t>-564.872860593446 218.423008723445 -243.971235916041</t>
  </si>
  <si>
    <t>-570.199502265833 192.972732107278 210.981050608676</t>
  </si>
  <si>
    <t>-629.730127381207 166.102516515366 676.151632327299</t>
  </si>
  <si>
    <t>-495.406688632304 96.2648629637893 765.725244157647</t>
  </si>
  <si>
    <t>-624.625354234804 33.1872876775742 -211.963281207621</t>
  </si>
  <si>
    <t>-505.646790201494 -24.5991416654831 224.112986274785</t>
  </si>
  <si>
    <t>-689.358432721586 37.4618676951134 652.152840095895</t>
  </si>
  <si>
    <t>-575.816782811195 -58.8886609348654 745.792482427266</t>
  </si>
  <si>
    <t>9763-20170724T160701.090216600.bin</t>
  </si>
  <si>
    <t>-595.267747186276 125.811893290273 -228.386648123621</t>
  </si>
  <si>
    <t>-635.142520232212 118.921819756451 -342.537094849478</t>
  </si>
  <si>
    <t>-653.699284997111 109.351218234191 -461.92992449346</t>
  </si>
  <si>
    <t>-661.602729377397 99.0712333788308 -570.680530372513</t>
  </si>
  <si>
    <t>-660.74420060794 86.9128942299433 -679.521248184488</t>
  </si>
  <si>
    <t>-650.48589396951 67.7968814469662 -830.283796032424</t>
  </si>
  <si>
    <t>-613.432998733846 42.4922215428373 -921.770087122747</t>
  </si>
  <si>
    <t>-639.263918289957 103.761666533601 -765.991245175779</t>
  </si>
  <si>
    <t>-545.462742582255 216.282506807737 -753.188877919368</t>
  </si>
  <si>
    <t>-436.564300467543 156.516694908617 -462.061154103874</t>
  </si>
  <si>
    <t>-249.644922897302 56.5460481141185 -311.3657755906</t>
  </si>
  <si>
    <t>-670.785783190898 48.748645196451 -761.160728015345</t>
  </si>
  <si>
    <t>-565.371574063395 218.425605959287 -243.897547521262</t>
  </si>
  <si>
    <t>-570.136648745242 192.587854231288 211.039077431039</t>
  </si>
  <si>
    <t>-629.804453577648 165.873217099169 676.222047928634</t>
  </si>
  <si>
    <t>-495.315229588203 96.4160405568698 765.842676148068</t>
  </si>
  <si>
    <t>-625.051684780552 33.3047464923911 -212.209359288696</t>
  </si>
  <si>
    <t>-506.303077811633 -24.3216454749424 223.950759804321</t>
  </si>
  <si>
    <t>-689.474312576198 37.3880665195079 652.35856397813</t>
  </si>
  <si>
    <t>-575.809454008309 -58.9095525180107 745.903104118496</t>
  </si>
  <si>
    <t>9763-20170724T160701.121659800.bin</t>
  </si>
  <si>
    <t>-595.514413988743 125.877934301831 -228.40102288375</t>
  </si>
  <si>
    <t>-635.285534627075 119.03670758909 -342.590616845971</t>
  </si>
  <si>
    <t>-653.687840013462 109.533368194062 -462.012722671327</t>
  </si>
  <si>
    <t>-661.43141633929 99.320883733149 -570.781070149669</t>
  </si>
  <si>
    <t>-660.393135397316 87.2364745797818 -679.628407568473</t>
  </si>
  <si>
    <t>-649.865321021687 68.2290624713448 -830.386162866876</t>
  </si>
  <si>
    <t>-612.627010200182 42.9862437034985 -921.814342508925</t>
  </si>
  <si>
    <t>-638.78132509661 104.160493584312 -766.051077701529</t>
  </si>
  <si>
    <t>-545.163399006524 216.820612607892 -753.097257242701</t>
  </si>
  <si>
    <t>-436.994939013111 156.886712240751 -461.732092480848</t>
  </si>
  <si>
    <t>-251.129748202963 56.404231714321 -310.07640035762</t>
  </si>
  <si>
    <t>-670.265733212624 49.1180651096793 -761.309977183449</t>
  </si>
  <si>
    <t>-565.62329440192 218.471753557281 -243.842044429663</t>
  </si>
  <si>
    <t>-570.268337916482 192.526591565496 211.089709566349</t>
  </si>
  <si>
    <t>-629.823153604206 165.844845673584 676.262606478699</t>
  </si>
  <si>
    <t>-495.335696710129 96.3893584928387 765.887202227941</t>
  </si>
  <si>
    <t>-625.28577477253 33.3895252720101 -212.316694447273</t>
  </si>
  <si>
    <t>-506.678302004873 -24.326717468982 223.869915393855</t>
  </si>
  <si>
    <t>-689.54170014853 37.3726225682797 652.448594125918</t>
  </si>
  <si>
    <t>-575.864615563652 -58.9791214385814 745.922510391103</t>
  </si>
  <si>
    <t>9763-20170724T160701.191859600.bin</t>
  </si>
  <si>
    <t>-596.15704159314 125.784923716174 -228.412951636509</t>
  </si>
  <si>
    <t>-635.721941873525 118.877760887636 -342.670209831871</t>
  </si>
  <si>
    <t>-654.014767550505 109.299717867546 -462.102992331624</t>
  </si>
  <si>
    <t>-661.701910060402 99.0180665223465 -570.869057426799</t>
  </si>
  <si>
    <t>-660.651006773175 86.8633550185764 -679.708399702421</t>
  </si>
  <si>
    <t>-650.15124249552 67.7581437474896 -830.455700860338</t>
  </si>
  <si>
    <t>-612.735814045199 42.390724321001 -921.77694243018</t>
  </si>
  <si>
    <t>-639.091631390095 103.751465444918 -766.151086717438</t>
  </si>
  <si>
    <t>-546.228266024793 217.090635801948 -753.548644683562</t>
  </si>
  <si>
    <t>-439.218975281457 158.31716599974 -461.519590043335</t>
  </si>
  <si>
    <t>-255.167560123163 57.7163979506847 -307.74511115475</t>
  </si>
  <si>
    <t>-670.502528125131 48.6717097793887 -761.358372644841</t>
  </si>
  <si>
    <t>-566.493667652916 218.205238016775 -243.726501622851</t>
  </si>
  <si>
    <t>-571.157640010609 192.410403866068 211.213667897975</t>
  </si>
  <si>
    <t>-630.217727568724 165.524016847751 676.580400776042</t>
  </si>
  <si>
    <t>-495.239903785453 96.6328821360241 765.902934264957</t>
  </si>
  <si>
    <t>-625.76787069922 33.4289478205524 -212.38701001967</t>
  </si>
  <si>
    <t>-507.832624484638 -25.1573237649498 223.865893381468</t>
  </si>
  <si>
    <t>-689.744459311889 37.4640520765029 652.772507861574</t>
  </si>
  <si>
    <t>-575.926624264945 -59.074034387429 745.882168950609</t>
  </si>
  <si>
    <t>9763-20170724T160701.224947100.bin</t>
  </si>
  <si>
    <t>-596.478996872475 125.66543626854 -228.211786505083</t>
  </si>
  <si>
    <t>-635.898895225785 118.712903382588 -342.516317064833</t>
  </si>
  <si>
    <t>-654.201833904557 109.063606849923 -461.941997308284</t>
  </si>
  <si>
    <t>-661.964794328089 98.7082619002736 -570.695550157679</t>
  </si>
  <si>
    <t>-661.05726657698 86.4711090626404 -679.526892512587</t>
  </si>
  <si>
    <t>-650.827004787737 67.2427491421538 -830.277042900216</t>
  </si>
  <si>
    <t>-613.422931102176 41.7845013496499 -921.577709755275</t>
  </si>
  <si>
    <t>-639.667840064514 103.297232199441 -766.023951512758</t>
  </si>
  <si>
    <t>-547.382441376709 217.147800732105 -753.865379811725</t>
  </si>
  <si>
    <t>-441.29278801812 160.939013337319 -460.997114828101</t>
  </si>
  <si>
    <t>-257.355692613433 60.1189625124623 -307.229416060626</t>
  </si>
  <si>
    <t>-671.039223871152 48.2042831932795 -761.125754070671</t>
  </si>
  <si>
    <t>-567.02385367697 217.893746579184 -243.441713902379</t>
  </si>
  <si>
    <t>-571.769144987105 192.222441408906 211.504573818956</t>
  </si>
  <si>
    <t>-630.669317546195 165.401814619556 677.032692972369</t>
  </si>
  <si>
    <t>-495.30298296998 96.6534183068161 765.875946456856</t>
  </si>
  <si>
    <t>-625.865730669526 33.4879423445996 -212.268469910603</t>
  </si>
  <si>
    <t>-508.698037536648 -25.8658719994833 224.087477345008</t>
  </si>
  <si>
    <t>-689.995557398658 37.5943985530589 653.175784205752</t>
  </si>
  <si>
    <t>-576.041620283278 -59.1929974082873 745.859176053175</t>
  </si>
  <si>
    <t>9763-20170724T160701.290621800.bin</t>
  </si>
  <si>
    <t>-597.162608513842 125.334986945421 -227.423103415033</t>
  </si>
  <si>
    <t>-636.464994373866 118.399525993168 -341.769238897871</t>
  </si>
  <si>
    <t>-654.667693522947 108.52177605387 -461.191256352225</t>
  </si>
  <si>
    <t>-662.353369917201 97.8680895569373 -569.921654985652</t>
  </si>
  <si>
    <t>-661.385671977091 85.2453444601335 -678.708543606072</t>
  </si>
  <si>
    <t>-651.092821954943 65.3946320342807 -829.373723281427</t>
  </si>
  <si>
    <t>-613.595668918139 39.7028801173433 -920.570654028149</t>
  </si>
  <si>
    <t>-640.049985820486 101.763809131622 -765.278075539622</t>
  </si>
  <si>
    <t>-548.81739350097 216.537038633046 -754.059719577957</t>
  </si>
  <si>
    <t>-447.171268831753 168.711642403804 -458.142451751759</t>
  </si>
  <si>
    <t>-262.487712805138 66.8191309357858 -305.984758350822</t>
  </si>
  <si>
    <t>-671.244228254395 46.5920545748018 -760.140026083258</t>
  </si>
  <si>
    <t>-567.997763683159 217.037930749215 -242.452165945044</t>
  </si>
  <si>
    <t>-572.727296196303 191.374508753132 212.494783762519</t>
  </si>
  <si>
    <t>-631.844112153833 165.068470962941 678.123834149009</t>
  </si>
  <si>
    <t>-495.470482339292 96.6915246741523 765.704345901036</t>
  </si>
  <si>
    <t>-626.362541311641 33.6373747428222 -211.603104878665</t>
  </si>
  <si>
    <t>-510.822033795888 -27.3279235337968 224.964501348736</t>
  </si>
  <si>
    <t>-690.668412908519 37.9584700133819 654.322660457378</t>
  </si>
  <si>
    <t>-576.370635467709 -59.4666429152153 745.908012784319</t>
  </si>
  <si>
    <t>9763-20170724T160701.328231900.bin</t>
  </si>
  <si>
    <t>-597.418152023359 125.183040571113 -226.88429158423</t>
  </si>
  <si>
    <t>-636.823342214151 118.321300267288 -341.199372125037</t>
  </si>
  <si>
    <t>-655.089301668077 108.358780687295 -460.604891577705</t>
  </si>
  <si>
    <t>-662.816938451999 97.5728943776701 -569.319111693095</t>
  </si>
  <si>
    <t>-661.876538037023 84.7678984182107 -678.085080317514</t>
  </si>
  <si>
    <t>-651.606768103873 64.6170716588024 -828.71194831812</t>
  </si>
  <si>
    <t>-614.087019567066 38.7902087163914 -919.861407582923</t>
  </si>
  <si>
    <t>-640.62293614434 101.151738615976 -764.700262354413</t>
  </si>
  <si>
    <t>-550.059052254204 216.524502560716 -753.868432070328</t>
  </si>
  <si>
    <t>-452.763602046415 172.307487502455 -455.934530157529</t>
  </si>
  <si>
    <t>-267.016344817305 70.4700440180864 -305.039849018983</t>
  </si>
  <si>
    <t>-671.67871927719 45.914617862227 -759.428123653496</t>
  </si>
  <si>
    <t>-568.18211755829 216.649637406616 -241.948436789518</t>
  </si>
  <si>
    <t>-572.771932776708 190.855605405246 212.992481896689</t>
  </si>
  <si>
    <t>-632.232248321274 164.933485474789 678.471436279554</t>
  </si>
  <si>
    <t>-495.53332949319 96.6822605648053 765.64186221665</t>
  </si>
  <si>
    <t>-626.560505243257 33.7975644093851 -211.050405077309</t>
  </si>
  <si>
    <t>-511.822186163549 -28.1197721936223 225.594802997996</t>
  </si>
  <si>
    <t>-691.147340002023 38.1824309040455 655.056217171393</t>
  </si>
  <si>
    <t>-576.560349474809 -59.6303504068251 745.86366825595</t>
  </si>
  <si>
    <t>9763-20170724T160701.392412200.bin</t>
  </si>
  <si>
    <t>-597.332836323893 124.645359415477 -225.976420677725</t>
  </si>
  <si>
    <t>-636.910433409587 117.796457601442 -340.232824777751</t>
  </si>
  <si>
    <t>-655.424787112548 107.665555064538 -459.585723062413</t>
  </si>
  <si>
    <t>-663.406971427389 96.6753991573819 -568.261259209357</t>
  </si>
  <si>
    <t>-662.749162118464 83.6268575242475 -677.000045065122</t>
  </si>
  <si>
    <t>-652.89877141378 63.1081444640629 -827.605355079495</t>
  </si>
  <si>
    <t>-615.388234028859 37.0480982746296 -918.692230089738</t>
  </si>
  <si>
    <t>-641.875618354736 99.8745608149395 -763.733389345045</t>
  </si>
  <si>
    <t>-552.939318084548 216.509464193959 -753.492880259261</t>
  </si>
  <si>
    <t>-466.316264773029 181.737791395998 -451.046830838797</t>
  </si>
  <si>
    <t>-279.514525703191 78.0096499888241 -302.764603110524</t>
  </si>
  <si>
    <t>-672.6389297732 44.4994944264247 -758.201014760045</t>
  </si>
  <si>
    <t>-567.924975254009 215.685039523386 -241.220397139004</t>
  </si>
  <si>
    <t>-572.23420111777 189.886736301069 213.723039445495</t>
  </si>
  <si>
    <t>-632.65733037569 164.863753932928 678.979221350445</t>
  </si>
  <si>
    <t>-495.629327015375 96.6444966299416 765.656616497899</t>
  </si>
  <si>
    <t>-626.573662219969 33.6148518357209 -210.03663509356</t>
  </si>
  <si>
    <t>-513.093918978387 -29.2841839189875 226.797108986997</t>
  </si>
  <si>
    <t>-691.897721086404 38.6910863483929 656.144328330101</t>
  </si>
  <si>
    <t>-576.866803898824 -59.845118857238 745.598320295304</t>
  </si>
  <si>
    <t>9763-20170724T160701.424496100.bin</t>
  </si>
  <si>
    <t>-597.130926336965 124.147884958291 -225.604665806157</t>
  </si>
  <si>
    <t>-636.805961596494 117.282917088108 -339.82636113379</t>
  </si>
  <si>
    <t>-655.389309879097 107.041344303774 -459.159118589384</t>
  </si>
  <si>
    <t>-663.420938393836 95.9247842476807 -567.818111838032</t>
  </si>
  <si>
    <t>-662.798309854931 82.7309512129832 -676.539659028637</t>
  </si>
  <si>
    <t>-652.981007226601 61.9969568172532 -827.117664393091</t>
  </si>
  <si>
    <t>-615.406895902449 35.8415959988417 -918.15104082752</t>
  </si>
  <si>
    <t>-642.051646101449 98.9128269220221 -763.315713092438</t>
  </si>
  <si>
    <t>-553.401307989753 215.769169324459 -753.173371949796</t>
  </si>
  <si>
    <t>-472.65682454533 188.340403773582 -448.355166859925</t>
  </si>
  <si>
    <t>-287.983340254008 81.3410377612956 -299.731777651993</t>
  </si>
  <si>
    <t>-672.598036165511 43.4294236020194 -757.667314186375</t>
  </si>
  <si>
    <t>-567.6809450121 215.183164795264 -240.960214038587</t>
  </si>
  <si>
    <t>-572.021276099837 189.501947486835 213.98957616114</t>
  </si>
  <si>
    <t>-632.782043165598 164.895014239746 679.177557486091</t>
  </si>
  <si>
    <t>-495.655193604671 96.6617119303755 765.687399095516</t>
  </si>
  <si>
    <t>-626.387993504428 33.1689721137054 -209.64761162266</t>
  </si>
  <si>
    <t>-513.202701767076 -29.7730392389171 227.256361771054</t>
  </si>
  <si>
    <t>-692.129007137838 38.7421809727462 656.417578722575</t>
  </si>
  <si>
    <t>-576.868025248827 -59.8622961177507 745.499433752262</t>
  </si>
  <si>
    <t>9763-20170724T160701.488166800.bin</t>
  </si>
  <si>
    <t>-596.790872663416 123.222069279456 -225.272366110857</t>
  </si>
  <si>
    <t>-636.688602530192 116.257595110007 -339.410297710965</t>
  </si>
  <si>
    <t>-655.313039266351 105.777950977714 -458.716136420739</t>
  </si>
  <si>
    <t>-663.303436953031 94.4075155689686 -567.351801183116</t>
  </si>
  <si>
    <t>-662.559726665985 80.9309782573675 -676.038055465598</t>
  </si>
  <si>
    <t>-652.489914874991 59.7836130030332 -826.541850679575</t>
  </si>
  <si>
    <t>-614.615546685464 33.4264737305671 -917.392389628808</t>
  </si>
  <si>
    <t>-641.931986509876 97.0146948955121 -762.860706568805</t>
  </si>
  <si>
    <t>-553.486178095065 214.083587996568 -753.061324894754</t>
  </si>
  <si>
    <t>-482.933557053893 198.830233211784 -444.879830064539</t>
  </si>
  <si>
    <t>-299.29360050845 90.8877891485997 -295.658851852213</t>
  </si>
  <si>
    <t>-671.959035988394 41.2665897174923 -757.036444674761</t>
  </si>
  <si>
    <t>-567.659385264802 214.816705145882 -240.753843461297</t>
  </si>
  <si>
    <t>-572.137760053319 189.33128842803 214.205642714673</t>
  </si>
  <si>
    <t>-632.791539842516 165.00202208431 679.276313208082</t>
  </si>
  <si>
    <t>-495.765062975842 96.5232174155533 765.751223400354</t>
  </si>
  <si>
    <t>-625.740626322166 31.8353274364031 -209.275407891565</t>
  </si>
  <si>
    <t>-512.419400303498 -29.9918162940046 227.75250240203</t>
  </si>
  <si>
    <t>-692.236105559496 38.7009578651914 656.503638915158</t>
  </si>
  <si>
    <t>-576.820269814233 -59.9428522943897 745.341102287084</t>
  </si>
  <si>
    <t>9763-20170724T160701.525598900.bin</t>
  </si>
  <si>
    <t>-596.740238778937 122.996078764604 -225.298064116555</t>
  </si>
  <si>
    <t>-636.775299521114 115.893219303328 -339.379435006274</t>
  </si>
  <si>
    <t>-655.514361361942 105.301176063437 -458.657264998939</t>
  </si>
  <si>
    <t>-663.596399666904 93.8416451443304 -567.276800651019</t>
  </si>
  <si>
    <t>-662.931163660951 80.2889876205772 -675.954056063579</t>
  </si>
  <si>
    <t>-652.955452671333 59.0502516369245 -826.451232970806</t>
  </si>
  <si>
    <t>-615.037322877511 32.6006874915038 -917.256693003217</t>
  </si>
  <si>
    <t>-642.465007702995 96.3759500019769 -762.814392380413</t>
  </si>
  <si>
    <t>-554.66464195475 213.931555201885 -753.129819106095</t>
  </si>
  <si>
    <t>-485.262378420507 199.749209654509 -444.636029422583</t>
  </si>
  <si>
    <t>-300.487008091927 94.5727280891024 -294.842677022741</t>
  </si>
  <si>
    <t>-672.273736535093 40.519572727336 -756.90751209919</t>
  </si>
  <si>
    <t>-567.894805038697 214.897959764058 -240.882305643098</t>
  </si>
  <si>
    <t>-572.353287243534 189.598210041689 214.087714265229</t>
  </si>
  <si>
    <t>-632.561324013213 165.115275168286 679.096970502644</t>
  </si>
  <si>
    <t>-495.81621013234 96.3811500425377 765.814344929094</t>
  </si>
  <si>
    <t>-625.388273714153 31.3500715923267 -209.166949296154</t>
  </si>
  <si>
    <t>-511.789158185339 -29.8552278550419 227.876390040802</t>
  </si>
  <si>
    <t>-692.175336064388 38.7721478186536 656.376176059644</t>
  </si>
  <si>
    <t>-576.677171962898 -59.81514249834 745.16936475298</t>
  </si>
  <si>
    <t>9763-20170724T160701.590775000.bin</t>
  </si>
  <si>
    <t>-596.580435355137 122.609555729832 -225.502836493165</t>
  </si>
  <si>
    <t>-636.811501123714 115.042112270886 -339.485316305641</t>
  </si>
  <si>
    <t>-655.788807541695 104.285446763171 -458.710849410551</t>
  </si>
  <si>
    <t>-664.095529046173 92.7948847188445 -567.31004714525</t>
  </si>
  <si>
    <t>-663.659866900434 79.3247165335674 -675.99864414941</t>
  </si>
  <si>
    <t>-654.004147757851 58.3148702222113 -826.548874406514</t>
  </si>
  <si>
    <t>-616.137676342228 31.8626229809829 -917.375067381264</t>
  </si>
  <si>
    <t>-643.498451083693 95.6058568026203 -762.894125270396</t>
  </si>
  <si>
    <t>-556.675992769543 213.890606765948 -753.12023936684</t>
  </si>
  <si>
    <t>-483.292177628581 195.778448075054 -445.75570787854</t>
  </si>
  <si>
    <t>-291.519351710378 99.6453786616823 -298.705823452273</t>
  </si>
  <si>
    <t>-673.054453451279 39.6164203250044 -756.976210971952</t>
  </si>
  <si>
    <t>-568.268556912842 214.711822832894 -241.326974227937</t>
  </si>
  <si>
    <t>-572.652105808247 190.145813999706 213.683972213938</t>
  </si>
  <si>
    <t>-632.204964122346 165.250952152277 678.831231215406</t>
  </si>
  <si>
    <t>-495.696085861295 96.5625375069633 765.956106291537</t>
  </si>
  <si>
    <t>-624.670728121299 30.4936612070508 -209.134033269099</t>
  </si>
  <si>
    <t>-510.895746421665 -29.1426432511573 228.080385803213</t>
  </si>
  <si>
    <t>-692.273676073586 38.9608830255493 656.338381058146</t>
  </si>
  <si>
    <t>-576.744600628478 -59.8573293697712 744.834171488222</t>
  </si>
  <si>
    <t>9763-20170724T160701.623382600.bin</t>
  </si>
  <si>
    <t>-596.436420456113 122.371225078723 -225.589104629457</t>
  </si>
  <si>
    <t>-636.735265542919 114.609252140516 -339.534593877448</t>
  </si>
  <si>
    <t>-655.84561773086 103.76376968421 -458.730828482483</t>
  </si>
  <si>
    <t>-664.296469012488 92.2363508335825 -567.315048803809</t>
  </si>
  <si>
    <t>-664.026724546243 78.7726042560021 -676.005091505829</t>
  </si>
  <si>
    <t>-654.622161712399 57.8163086735399 -826.578642682467</t>
  </si>
  <si>
    <t>-616.858093002122 31.3676910075942 -917.448385805005</t>
  </si>
  <si>
    <t>-644.00184657406 95.0801302287096 -762.926991079071</t>
  </si>
  <si>
    <t>-557.169127310395 213.347128939739 -753.241122986889</t>
  </si>
  <si>
    <t>-481.350896134328 193.152606285237 -446.597967768419</t>
  </si>
  <si>
    <t>-287.091904421511 99.6611005993548 -301.11662179806</t>
  </si>
  <si>
    <t>-673.565050363695 39.0973678517341 -756.981986038485</t>
  </si>
  <si>
    <t>-568.214463317906 214.533583426994 -241.554397025648</t>
  </si>
  <si>
    <t>-572.770998587853 190.37783155176 213.476831671547</t>
  </si>
  <si>
    <t>-632.021547666113 165.329163824874 678.667582435706</t>
  </si>
  <si>
    <t>-495.647707109601 96.6274283942062 765.993181061523</t>
  </si>
  <si>
    <t>-624.545431312785 30.0913371940569 -209.033960525817</t>
  </si>
  <si>
    <t>-510.625614558422 -29.0528953341507 228.209508476803</t>
  </si>
  <si>
    <t>-692.392193540627 38.9911183527693 656.340944245697</t>
  </si>
  <si>
    <t>-576.649244334667 -59.7508356590631 744.642161669643</t>
  </si>
  <si>
    <t>9763-20170724T160701.691065000.bin</t>
  </si>
  <si>
    <t>-596.061450440211 121.518878250203 -225.741762115857</t>
  </si>
  <si>
    <t>-636.343013775225 113.645903948915 -339.685695258149</t>
  </si>
  <si>
    <t>-655.694707470622 102.681713375292 -458.832233981781</t>
  </si>
  <si>
    <t>-664.470029163387 91.0551334612194 -567.380214429135</t>
  </si>
  <si>
    <t>-664.628994560886 77.5074101714038 -676.059946852835</t>
  </si>
  <si>
    <t>-655.92500019986 56.4564132213909 -826.662421169754</t>
  </si>
  <si>
    <t>-618.553875207483 29.9107103857223 -917.666224445988</t>
  </si>
  <si>
    <t>-644.884228993089 93.6961807241617 -763.068126261323</t>
  </si>
  <si>
    <t>-557.271236063524 211.401444789906 -753.592765711293</t>
  </si>
  <si>
    <t>-478.886689197861 187.036099613955 -447.89951939031</t>
  </si>
  <si>
    <t>-282.139806285916 95.0488101336996 -304.822461253845</t>
  </si>
  <si>
    <t>-674.668114902313 37.8456479327801 -756.98277260765</t>
  </si>
  <si>
    <t>-567.326905982921 213.5600913674 -241.863188490291</t>
  </si>
  <si>
    <t>-572.945619693666 190.350621573268 213.205391122504</t>
  </si>
  <si>
    <t>-631.93576457242 165.473089246878 678.617697113295</t>
  </si>
  <si>
    <t>-495.774997743451 96.4382458793048 766.013059352352</t>
  </si>
  <si>
    <t>-624.731342015859 29.4442310909544 -208.936281282404</t>
  </si>
  <si>
    <t>-510.651382918514 -30.0729753012124 228.21490703606</t>
  </si>
  <si>
    <t>-692.473195591906 39.0421499850984 656.175766854108</t>
  </si>
  <si>
    <t>-576.70686444968 -59.80770903651 744.325490827247</t>
  </si>
  <si>
    <t>9763-20170724T160701.724084800.bin</t>
  </si>
  <si>
    <t>-595.830004128509 120.982717404912 -225.773781445741</t>
  </si>
  <si>
    <t>-636.022114085511 113.155086388205 -339.752492530127</t>
  </si>
  <si>
    <t>-655.405719194442 102.17273010932 -458.89185239162</t>
  </si>
  <si>
    <t>-664.261837501828 90.5108878429128 -567.429550990598</t>
  </si>
  <si>
    <t>-664.553222363304 76.9141470139159 -676.102970999102</t>
  </si>
  <si>
    <t>-656.086546244467 55.7843018688416 -826.707812629395</t>
  </si>
  <si>
    <t>-618.934056891608 29.1364450721212 -917.771370053826</t>
  </si>
  <si>
    <t>-644.870469202682 93.018129525653 -763.140880039427</t>
  </si>
  <si>
    <t>-556.688900001419 210.310286076083 -753.690696913828</t>
  </si>
  <si>
    <t>-477.046789599825 184.531599291519 -448.438800589986</t>
  </si>
  <si>
    <t>-280.02094885633 92.4583013031495 -305.801545033327</t>
  </si>
  <si>
    <t>-674.795177153853 37.248986648194 -756.998832911985</t>
  </si>
  <si>
    <t>-566.755630837116 212.88622125287 -241.925896375228</t>
  </si>
  <si>
    <t>-572.862925747826 190.077978495774 213.156680602313</t>
  </si>
  <si>
    <t>-631.985586175777 165.475034743216 678.628775550019</t>
  </si>
  <si>
    <t>-495.887052278578 96.273637813134 765.989324477921</t>
  </si>
  <si>
    <t>-624.794257620459 29.1176158183191 -208.929225075426</t>
  </si>
  <si>
    <t>-511.008334146835 -31.0032985904352 228.21594140671</t>
  </si>
  <si>
    <t>-692.519679189877 39.0024850177779 656.127959687533</t>
  </si>
  <si>
    <t>-576.842627229323 -59.955446610988 744.273625094844</t>
  </si>
  <si>
    <t>9763-20170724T160701.789766100.bin</t>
  </si>
  <si>
    <t>-595.35348676491 119.369719933714 -225.797361976013</t>
  </si>
  <si>
    <t>-635.499056134332 111.727734406399 -339.804957015403</t>
  </si>
  <si>
    <t>-655.025335444862 100.806149749766 -458.926886403908</t>
  </si>
  <si>
    <t>-664.090472927568 89.1588501930712 -567.448839331002</t>
  </si>
  <si>
    <t>-664.670786436416 75.5431142552352 -676.118541888808</t>
  </si>
  <si>
    <t>-656.687405191078 54.3580613232787 -826.742169145598</t>
  </si>
  <si>
    <t>-619.965511800316 27.4528628439384 -917.904624462019</t>
  </si>
  <si>
    <t>-645.137433599196 91.5470380508941 -763.208656625404</t>
  </si>
  <si>
    <t>-556.092808687495 208.205773081855 -753.938600878023</t>
  </si>
  <si>
    <t>-474.133572818228 179.340322353508 -449.57751844015</t>
  </si>
  <si>
    <t>-277.623446388979 87.0473226573922 -306.371951174841</t>
  </si>
  <si>
    <t>-675.302087880271 35.9166503446763 -756.983050013102</t>
  </si>
  <si>
    <t>-565.665799202025 211.067728281889 -241.999063212477</t>
  </si>
  <si>
    <t>-572.040165516846 188.713103495043 213.10242070236</t>
  </si>
  <si>
    <t>-631.987175588873 165.46262014064 678.541713536668</t>
  </si>
  <si>
    <t>-496.021642857616 96.0238969130219 765.921089150038</t>
  </si>
  <si>
    <t>-624.905969736773 27.7058706895189 -208.90319806115</t>
  </si>
  <si>
    <t>-511.847758622534 -33.1955758165147 228.322799899788</t>
  </si>
  <si>
    <t>-692.779436304098 38.6531608720827 656.147625825054</t>
  </si>
  <si>
    <t>-576.968420615978 -60.1391535230327 744.303153934434</t>
  </si>
  <si>
    <t>9763-20170724T160701.829383000.bin</t>
  </si>
  <si>
    <t>-595.142906098971 118.448348208509 -225.787664531524</t>
  </si>
  <si>
    <t>-635.31989375437 110.918465225565 -339.791705709295</t>
  </si>
  <si>
    <t>-654.889376068448 100.021465753115 -458.90869367811</t>
  </si>
  <si>
    <t>-664.000116282103 88.3608085954002 -567.425428152952</t>
  </si>
  <si>
    <t>-664.633382498559 74.6968389564386 -676.088804029558</t>
  </si>
  <si>
    <t>-656.73208566484 53.408970743631 -826.70228804052</t>
  </si>
  <si>
    <t>-620.175158718117 26.3580941222403 -917.887922883942</t>
  </si>
  <si>
    <t>-645.078789855806 90.604789126688 -763.191735386433</t>
  </si>
  <si>
    <t>-555.659044288648 206.983578976257 -754.021055248175</t>
  </si>
  <si>
    <t>-472.392113250474 176.914731891199 -450.1317807214</t>
  </si>
  <si>
    <t>-275.903986219466 84.7519411930948 -306.812306968178</t>
  </si>
  <si>
    <t>-675.377508272885 35.0516297796385 -756.929241012203</t>
  </si>
  <si>
    <t>-565.268349117944 210.012571517679 -241.987864395489</t>
  </si>
  <si>
    <t>-571.545530917956 187.812525542311 213.122394682948</t>
  </si>
  <si>
    <t>-632.056896053443 165.34764660528 678.529667866167</t>
  </si>
  <si>
    <t>-496.015388992003 96.0475182839809 765.900849988698</t>
  </si>
  <si>
    <t>-624.904235851376 26.9651230209242 -208.877661221351</t>
  </si>
  <si>
    <t>-512.090253526066 -34.2378963975218 228.369242186443</t>
  </si>
  <si>
    <t>-692.84432584784 38.5159544398382 656.102064105305</t>
  </si>
  <si>
    <t>-577.067088375314 -60.2637874207555 744.316039638947</t>
  </si>
  <si>
    <t>9763-20170724T160701.892055100.bin</t>
  </si>
  <si>
    <t>-594.767970258405 116.519637360478 -225.71647746943</t>
  </si>
  <si>
    <t>-635.031790476685 109.131605402209 -339.699138061812</t>
  </si>
  <si>
    <t>-654.66379614697 98.292371294664 -458.81119733018</t>
  </si>
  <si>
    <t>-663.821687044272 86.6503677610203 -567.32588435127</t>
  </si>
  <si>
    <t>-664.492915637454 72.9728467128361 -675.987358546226</t>
  </si>
  <si>
    <t>-656.635436615242 51.6334975138498 -826.595855428939</t>
  </si>
  <si>
    <t>-620.285142149054 24.4263336267747 -917.817494450571</t>
  </si>
  <si>
    <t>-644.8720333941 88.8021883431052 -763.089709768899</t>
  </si>
  <si>
    <t>-554.845418297691 204.702230366092 -753.864891481763</t>
  </si>
  <si>
    <t>-468.697579589005 172.731436116511 -450.974434823219</t>
  </si>
  <si>
    <t>-272.510553217088 80.248919073535 -307.448475656448</t>
  </si>
  <si>
    <t>-675.352201257254 33.3488276878136 -756.822822682877</t>
  </si>
  <si>
    <t>-564.564178699051 207.887560507732 -241.95509549634</t>
  </si>
  <si>
    <t>-570.565263989085 186.09523344795 213.178631626012</t>
  </si>
  <si>
    <t>-632.063291618629 165.296389770935 678.486599966717</t>
  </si>
  <si>
    <t>-496.085757648222 95.9304556948048 765.905069833212</t>
  </si>
  <si>
    <t>-624.820487295074 25.2187958547711 -208.728603767483</t>
  </si>
  <si>
    <t>-512.046270218588 -36.1231182698341 228.509151210747</t>
  </si>
  <si>
    <t>-692.918680708535 38.2174206207535 655.893322206289</t>
  </si>
  <si>
    <t>-577.161761805963 -60.4399335256355 744.270793072571</t>
  </si>
  <si>
    <t>9763-20170724T160701.926654300.bin</t>
  </si>
  <si>
    <t>-594.504820406475 115.600240724864 -225.696935747636</t>
  </si>
  <si>
    <t>-634.749019536369 108.197719220115 -339.685609651574</t>
  </si>
  <si>
    <t>-654.349128301884 97.3483250256747 -458.801834338011</t>
  </si>
  <si>
    <t>-663.473622416329 85.6974162744309 -567.318448378736</t>
  </si>
  <si>
    <t>-664.107098134628 72.0106836293796 -675.979061978771</t>
  </si>
  <si>
    <t>-656.193142662455 50.6573641243981 -826.582593460057</t>
  </si>
  <si>
    <t>-619.880430345852 23.4449010231724 -917.817696004113</t>
  </si>
  <si>
    <t>-644.424896850935 87.8165288605937 -763.071741575142</t>
  </si>
  <si>
    <t>-554.187981246942 203.541493390236 -753.801980485677</t>
  </si>
  <si>
    <t>-466.537664569286 170.99086320518 -451.404749511804</t>
  </si>
  <si>
    <t>-270.338629914929 78.6568216717246 -307.79987355201</t>
  </si>
  <si>
    <t>-674.964790873872 32.3945108967775 -756.818560935852</t>
  </si>
  <si>
    <t>-564.267115590266 206.915313766477 -241.982915980373</t>
  </si>
  <si>
    <t>-570.090825066286 185.322172921871 213.162720674326</t>
  </si>
  <si>
    <t>-632.016180940955 165.282277308972 678.417174686768</t>
  </si>
  <si>
    <t>-496.05302454952 95.981357609387 765.909540847125</t>
  </si>
  <si>
    <t>-624.515949071836 24.3489861278229 -208.713001685973</t>
  </si>
  <si>
    <t>-511.88864000435 -36.852754426907 228.582240375195</t>
  </si>
  <si>
    <t>-692.940104073123 38.1151536050097 655.769300405537</t>
  </si>
  <si>
    <t>-577.271099225783 -60.5670675472902 744.234075632261</t>
  </si>
  <si>
    <t>9763-20170724T160701.988819400.bin</t>
  </si>
  <si>
    <t>-593.983168295197 113.946167322571 -225.747542864678</t>
  </si>
  <si>
    <t>-634.202804417557 106.479897528092 -339.740589342689</t>
  </si>
  <si>
    <t>-653.765329297524 95.609054185076 -458.861146935816</t>
  </si>
  <si>
    <t>-662.850595494914 83.9521281122863 -567.380450975008</t>
  </si>
  <si>
    <t>-663.439814387451 70.2704018125933 -676.041877966053</t>
  </si>
  <si>
    <t>-655.459430052744 48.9334479025558 -826.644098178481</t>
  </si>
  <si>
    <t>-619.172286983542 21.8102652051055 -917.916163699687</t>
  </si>
  <si>
    <t>-643.728220523852 86.0905457682056 -763.125426095758</t>
  </si>
  <si>
    <t>-553.344502354281 201.698641301214 -753.687987629683</t>
  </si>
  <si>
    <t>-463.629990299784 167.5788951752 -452.07000642754</t>
  </si>
  <si>
    <t>-268.280457894168 76.655795986967 -306.421157295857</t>
  </si>
  <si>
    <t>-674.252831583058 30.6581812243244 -756.88938789819</t>
  </si>
  <si>
    <t>-563.962334445864 205.32340840642 -242.029906370531</t>
  </si>
  <si>
    <t>-569.477378520162 184.130309619914 213.138369880466</t>
  </si>
  <si>
    <t>-631.996322432546 165.209880107661 678.365244442652</t>
  </si>
  <si>
    <t>-496.029489666387 96.026974719309 765.945284389652</t>
  </si>
  <si>
    <t>-623.84332941672 22.665852126557 -208.775994144029</t>
  </si>
  <si>
    <t>-511.568739155618 -38.0259713266275 228.680953530114</t>
  </si>
  <si>
    <t>-693.061881155827 37.8093941835455 655.54785239148</t>
  </si>
  <si>
    <t>-577.415179115025 -60.7519521739832 744.176370490655</t>
  </si>
  <si>
    <t>9763-20170724T160702.025921800.bin</t>
  </si>
  <si>
    <t>-593.869857290128 113.284415622649 -225.796926717249</t>
  </si>
  <si>
    <t>-634.065916150154 105.75855790677 -339.7944739793</t>
  </si>
  <si>
    <t>-653.562628296053 94.8978532727401 -458.926620146497</t>
  </si>
  <si>
    <t>-662.569563075718 83.2772843652385 -567.456390983092</t>
  </si>
  <si>
    <t>-663.061365585178 69.6576361537466 -676.126158479557</t>
  </si>
  <si>
    <t>-654.925475200245 48.4326551270456 -826.735935058136</t>
  </si>
  <si>
    <t>-618.58842064032 21.4211861926526 -918.021024471077</t>
  </si>
  <si>
    <t>-643.299746349997 85.5638509635337 -763.182521784802</t>
  </si>
  <si>
    <t>-552.884157359404 201.123540346203 -753.59289972041</t>
  </si>
  <si>
    <t>-462.401879619737 166.559751273606 -452.255061751996</t>
  </si>
  <si>
    <t>-267.247892185365 76.2647076008193 -305.954689394451</t>
  </si>
  <si>
    <t>-673.751009952776 30.0841980808327 -757.008982695958</t>
  </si>
  <si>
    <t>-564.018508043207 204.718390922178 -242.08880385165</t>
  </si>
  <si>
    <t>-569.343489790604 183.699464912513 213.089838730475</t>
  </si>
  <si>
    <t>-631.951536156002 165.166183124509 678.298745504107</t>
  </si>
  <si>
    <t>-495.97147472142 96.1049104847477 765.95417027783</t>
  </si>
  <si>
    <t>-623.580553659706 21.9412743531414 -208.810923040342</t>
  </si>
  <si>
    <t>-511.418131756045 -38.5968145958032 228.696102079254</t>
  </si>
  <si>
    <t>-693.144549249341 37.5993601820603 655.405096862779</t>
  </si>
  <si>
    <t>-577.47924514481 -60.8618991249014 744.120515673912</t>
  </si>
  <si>
    <t>9763-20170724T160702.097137100.bin</t>
  </si>
  <si>
    <t>-593.779212788001 112.212565125768 -225.916757600353</t>
  </si>
  <si>
    <t>-633.889982359287 104.545553703108 -339.934854367505</t>
  </si>
  <si>
    <t>-653.230058278893 93.6524056507201 -459.089764588797</t>
  </si>
  <si>
    <t>-662.064291257712 82.0455838597936 -567.635069238742</t>
  </si>
  <si>
    <t>-662.352242956712 68.4806369602534 -676.312317718226</t>
  </si>
  <si>
    <t>-653.899759668914 47.3737365742586 -826.921255526257</t>
  </si>
  <si>
    <t>-617.464939254509 20.5831029765088 -918.232624103967</t>
  </si>
  <si>
    <t>-642.527000186618 84.5186831689985 -763.330259446708</t>
  </si>
  <si>
    <t>-552.50024436238 200.368210474425 -753.524952026722</t>
  </si>
  <si>
    <t>-460.261485873232 164.976864543691 -452.816223097566</t>
  </si>
  <si>
    <t>-266.463682070824 74.7562467153834 -304.678981250295</t>
  </si>
  <si>
    <t>-672.752379668924 28.9071692104671 -757.232870267131</t>
  </si>
  <si>
    <t>-564.394857241342 203.792625135701 -242.159595263222</t>
  </si>
  <si>
    <t>-569.348220216755 183.137434056919 213.039823690264</t>
  </si>
  <si>
    <t>-631.97868009439 165.072955569658 678.289805209243</t>
  </si>
  <si>
    <t>-495.895792873966 96.2642738222919 765.984309748875</t>
  </si>
  <si>
    <t>-622.96622855748 20.759433485314 -208.958341267591</t>
  </si>
  <si>
    <t>-511.137825750893 -39.7855706627329 228.633221912</t>
  </si>
  <si>
    <t>-693.221151189479 37.2465650774425 655.019358355279</t>
  </si>
  <si>
    <t>-577.61802299347 -61.0675028863134 743.978749702762</t>
  </si>
  <si>
    <t>9763-20170724T160702.125219900.bin</t>
  </si>
  <si>
    <t>-593.837197024274 111.818226018879 -225.976458596673</t>
  </si>
  <si>
    <t>-633.89018653282 104.055220400414 -340.008403926774</t>
  </si>
  <si>
    <t>-653.130326430112 93.1565381656603 -459.178889174683</t>
  </si>
  <si>
    <t>-661.855806494929 81.5799880056622 -567.73630815015</t>
  </si>
  <si>
    <t>-662.015734561117 68.07972179381 -676.421930532988</t>
  </si>
  <si>
    <t>-653.365124927271 47.0971770069807 -827.037039545225</t>
  </si>
  <si>
    <t>-616.870699679887 20.5119344165928 -918.384461845816</t>
  </si>
  <si>
    <t>-642.140049026362 84.2232896253629 -763.408656155052</t>
  </si>
  <si>
    <t>-552.201915653601 200.127026806265 -753.427100734639</t>
  </si>
  <si>
    <t>-459.507650169401 164.052917297022 -452.939868111814</t>
  </si>
  <si>
    <t>-266.259213900826 73.9233831713311 -304.031307080066</t>
  </si>
  <si>
    <t>-672.245516215988 28.5392378376266 -757.380274931382</t>
  </si>
  <si>
    <t>-564.682897870753 203.473159409446 -242.240637194684</t>
  </si>
  <si>
    <t>-569.477678783411 183.03633943681 212.970268740092</t>
  </si>
  <si>
    <t>-631.875272545283 165.13040333612 678.208296424634</t>
  </si>
  <si>
    <t>-495.854814371449 96.3239240477926 766.001320966548</t>
  </si>
  <si>
    <t>-622.812091863709 20.2455385504413 -209.028705821985</t>
  </si>
  <si>
    <t>-511.040383054641 -40.2600983506504 228.582754334111</t>
  </si>
  <si>
    <t>-693.275642232775 37.0150969738615 654.815020379563</t>
  </si>
  <si>
    <t>-577.557910106643 -61.0652125196132 743.883384344969</t>
  </si>
  <si>
    <t>9763-20170724T160702.191892100.bin</t>
  </si>
  <si>
    <t>-594.203609383493 111.167480234553 -226.298184664253</t>
  </si>
  <si>
    <t>-634.164334197085 103.251213321975 -340.351971657266</t>
  </si>
  <si>
    <t>-653.167650037566 92.3215092092123 -459.557709935318</t>
  </si>
  <si>
    <t>-661.617701793942 80.7627116741526 -568.138626366788</t>
  </si>
  <si>
    <t>-661.441096437187 67.322498630871 -676.831731577426</t>
  </si>
  <si>
    <t>-652.259631923677 46.4648652809326 -827.432762440286</t>
  </si>
  <si>
    <t>-615.750430358424 20.4145178064412 -918.928280487869</t>
  </si>
  <si>
    <t>-641.351252274662 83.5866118571698 -763.746777472982</t>
  </si>
  <si>
    <t>-551.659682033622 199.63938975273 -753.30487575889</t>
  </si>
  <si>
    <t>-458.166434922699 161.829233544943 -453.278954237529</t>
  </si>
  <si>
    <t>-266.103622852552 72.286825979462 -302.493841409319</t>
  </si>
  <si>
    <t>-671.293046627184 27.8008202894921 -757.846012111245</t>
  </si>
  <si>
    <t>-565.326870589558 203.112416774835 -242.604890170229</t>
  </si>
  <si>
    <t>-569.878378916781 183.126144868761 212.628668844991</t>
  </si>
  <si>
    <t>-631.43105282854 165.404045216588 677.876227392968</t>
  </si>
  <si>
    <t>-495.652987442495 96.6323383498589 766.070765833779</t>
  </si>
  <si>
    <t>-622.896005914823 19.3064805283477 -209.309279525661</t>
  </si>
  <si>
    <t>-510.704530966544 -40.7223407068625 228.260416922159</t>
  </si>
  <si>
    <t>-693.354039865552 36.6617987153891 654.326572001153</t>
  </si>
  <si>
    <t>-577.598971992189 -61.1803551015526 743.608075723658</t>
  </si>
  <si>
    <t>9763-20170724T160702.223178700.bin</t>
  </si>
  <si>
    <t>-594.456975940873 111.047097871636 -226.49684965595</t>
  </si>
  <si>
    <t>-634.371881475618 103.05740379473 -340.561624745108</t>
  </si>
  <si>
    <t>-653.236991865988 92.1336083468918 -459.789686232262</t>
  </si>
  <si>
    <t>-661.52271176952 80.6107775740472 -568.387241709035</t>
  </si>
  <si>
    <t>-661.142039099646 67.235916844912 -677.087728938815</t>
  </si>
  <si>
    <t>-651.635424290243 46.4989105232448 -827.685227681615</t>
  </si>
  <si>
    <t>-615.146055696162 20.7756298923575 -919.281261363502</t>
  </si>
  <si>
    <t>-640.88767121859 83.5817804650396 -763.949428828885</t>
  </si>
  <si>
    <t>-551.094309558915 199.557069629947 -753.295008716778</t>
  </si>
  <si>
    <t>-458.356638262414 160.640369752099 -453.175963454846</t>
  </si>
  <si>
    <t>-266.113220294574 71.7511605108334 -302.2348451456</t>
  </si>
  <si>
    <t>-670.795915077841 27.7670427487346 -758.151761338704</t>
  </si>
  <si>
    <t>-565.622837847951 203.100547698192 -242.886821375361</t>
  </si>
  <si>
    <t>-570.015504419637 183.33192322792 212.357683398013</t>
  </si>
  <si>
    <t>-631.078615807618 165.608960081069 677.605384041186</t>
  </si>
  <si>
    <t>-495.623643826623 96.6104038822957 766.119006200922</t>
  </si>
  <si>
    <t>-623.130645156548 19.0530139210862 -209.456233190286</t>
  </si>
  <si>
    <t>-510.616484546375 -40.8047451909833 228.054148780818</t>
  </si>
  <si>
    <t>-693.398795499812 36.569726987512 654.067648238292</t>
  </si>
  <si>
    <t>-577.639057122505 -61.2317544786024 743.387666555045</t>
  </si>
  <si>
    <t>9763-20170724T160702.292865500.bin</t>
  </si>
  <si>
    <t>-594.923908122589 110.892648201509 -226.905985842339</t>
  </si>
  <si>
    <t>-634.897889779968 102.900424672616 -340.949819017363</t>
  </si>
  <si>
    <t>-653.622029878957 91.9865463463593 -460.201131266251</t>
  </si>
  <si>
    <t>-661.696099678966 80.4796753766848 -568.816246428962</t>
  </si>
  <si>
    <t>-661.018769368639 67.1297194405333 -677.518421824865</t>
  </si>
  <si>
    <t>-651.011984399737 46.4378753844862 -828.08978195914</t>
  </si>
  <si>
    <t>-614.503668594312 21.1794398614627 -919.807422097716</t>
  </si>
  <si>
    <t>-640.499883083815 83.5139650371077 -764.310639516698</t>
  </si>
  <si>
    <t>-550.787016218273 199.513087363735 -753.403150617722</t>
  </si>
  <si>
    <t>-458.251379645412 159.783355889298 -453.328307301351</t>
  </si>
  <si>
    <t>-266.394376349688 71.0786515959519 -301.788055880828</t>
  </si>
  <si>
    <t>-670.379484623274 27.6727611518959 -758.622556718685</t>
  </si>
  <si>
    <t>-566.00322824708 203.041227319214 -243.287925025099</t>
  </si>
  <si>
    <t>-570.283343330686 183.573199671287 211.970600188619</t>
  </si>
  <si>
    <t>-630.766078739466 165.936924091043 677.478380024942</t>
  </si>
  <si>
    <t>-495.657758245965 96.5271924837546 766.20012487863</t>
  </si>
  <si>
    <t>-623.745400360636 18.78486148558 -209.817841643032</t>
  </si>
  <si>
    <t>-510.725433908248 -40.7905563120098 227.600651825296</t>
  </si>
  <si>
    <t>-693.438818902237 36.7330395185932 653.665756635945</t>
  </si>
  <si>
    <t>-577.765758817257 -61.233242671321 742.917425808605</t>
  </si>
  <si>
    <t>9763-20170724T160702.324456500.bin</t>
  </si>
  <si>
    <t>-595.135334528234 110.694859258672 -227.024625636459</t>
  </si>
  <si>
    <t>-635.078038823623 102.723594581244 -341.080937494984</t>
  </si>
  <si>
    <t>-653.707738224053 91.8337032859172 -460.349086515154</t>
  </si>
  <si>
    <t>-661.670318333759 80.3505870890333 -568.975030730661</t>
  </si>
  <si>
    <t>-660.855630861471 67.0269521557846 -677.679471569876</t>
  </si>
  <si>
    <t>-650.63141272202 46.3748928983935 -828.241684324725</t>
  </si>
  <si>
    <t>-614.028700386383 21.276376366395 -919.965671619301</t>
  </si>
  <si>
    <t>-640.198854190865 83.4278046761688 -764.43598221697</t>
  </si>
  <si>
    <t>-550.319985204924 199.27820153674 -753.385511909984</t>
  </si>
  <si>
    <t>-458.254836357124 159.467499253866 -453.176790715071</t>
  </si>
  <si>
    <t>-266.087073332844 70.9740484053104 -301.907180707591</t>
  </si>
  <si>
    <t>-670.111619854349 27.5979650360277 -758.809330399614</t>
  </si>
  <si>
    <t>-566.071435090457 202.854715289377 -243.39315084272</t>
  </si>
  <si>
    <t>-570.46623526407 183.621842046997 211.874393056471</t>
  </si>
  <si>
    <t>-630.663452123798 166.079581381057 677.414947721564</t>
  </si>
  <si>
    <t>-495.688552441291 96.4765017080611 766.188236727161</t>
  </si>
  <si>
    <t>-624.093660820077 18.5505443137235 -209.962025667603</t>
  </si>
  <si>
    <t>-510.91066140191 -41.1236560282853 227.400766807454</t>
  </si>
  <si>
    <t>-693.586595196183 36.4969385584386 653.480109839158</t>
  </si>
  <si>
    <t>-577.740853643334 -61.2850831449723 742.709880222395</t>
  </si>
  <si>
    <t>9763-20170724T160702.389637800.bin</t>
  </si>
  <si>
    <t>-595.49161865902 110.212114922061 -227.179020185947</t>
  </si>
  <si>
    <t>-635.403953062751 102.312391595181 -341.250968747648</t>
  </si>
  <si>
    <t>-653.98191644637 91.503108188806 -460.53450057898</t>
  </si>
  <si>
    <t>-661.889111183106 80.096293056343 -569.172551092819</t>
  </si>
  <si>
    <t>-661.010219667703 66.8528771061624 -677.886447492623</t>
  </si>
  <si>
    <t>-650.68754774671 46.3166068274643 -828.457615116542</t>
  </si>
  <si>
    <t>-613.946195962259 21.3362526709657 -920.158419588152</t>
  </si>
  <si>
    <t>-640.239683692282 83.2904286591383 -764.608608924123</t>
  </si>
  <si>
    <t>-550.033024455064 198.877713648081 -753.350696244346</t>
  </si>
  <si>
    <t>-458.620158384061 158.697162921616 -452.991882494149</t>
  </si>
  <si>
    <t>-265.78026553453 70.381175836289 -302.475724553632</t>
  </si>
  <si>
    <t>-670.270279791971 27.5161622428495 -759.0603247738</t>
  </si>
  <si>
    <t>-566.219333835456 202.369273059357 -243.542298554356</t>
  </si>
  <si>
    <t>-570.740395521799 183.47840574572 211.738291296906</t>
  </si>
  <si>
    <t>-630.600042717192 166.113278733368 677.339074169645</t>
  </si>
  <si>
    <t>-495.751787660643 96.3399155266977 766.171120860195</t>
  </si>
  <si>
    <t>-624.667093670028 18.0569743709041 -210.130377562554</t>
  </si>
  <si>
    <t>-511.271897089792 -42.1216972570346 227.108353261463</t>
  </si>
  <si>
    <t>-693.676735022789 36.3759769199642 653.085611013703</t>
  </si>
  <si>
    <t>-577.839193053454 -61.3776918082788 742.35709007026</t>
  </si>
  <si>
    <t>9763-20170724T160702.420722400.bin</t>
  </si>
  <si>
    <t>-595.555326234952 109.922306522117 -227.231298527043</t>
  </si>
  <si>
    <t>-635.463392771946 102.065909403946 -341.307630617057</t>
  </si>
  <si>
    <t>-654.031156465334 91.3038231393277 -460.597191740081</t>
  </si>
  <si>
    <t>-661.926924466369 79.9401969454934 -569.240483485587</t>
  </si>
  <si>
    <t>-661.034254070648 66.7403941996868 -677.959591482926</t>
  </si>
  <si>
    <t>-650.6901086861 46.2647884473461 -828.537511100689</t>
  </si>
  <si>
    <t>-613.882068956371 21.2781582644911 -920.209825131859</t>
  </si>
  <si>
    <t>-640.213740514909 83.1931822698539 -764.666888030865</t>
  </si>
  <si>
    <t>-549.7939485216 198.60962566966 -753.35372734264</t>
  </si>
  <si>
    <t>-458.729315881431 158.226095603735 -452.916455337965</t>
  </si>
  <si>
    <t>-265.147182011656 70.0445228468368 -303.276718644812</t>
  </si>
  <si>
    <t>-670.320362554502 27.4560839837095 -759.155952672676</t>
  </si>
  <si>
    <t>-566.16431257159 202.069673700691 -243.586696074659</t>
  </si>
  <si>
    <t>-570.727480494242 183.320319160409 211.699302393987</t>
  </si>
  <si>
    <t>-630.564288855319 166.149915214737 677.305697905002</t>
  </si>
  <si>
    <t>-495.781484339728 96.2736553064174 766.156178188876</t>
  </si>
  <si>
    <t>-624.813234490523 17.7856395817782 -210.184502803922</t>
  </si>
  <si>
    <t>-511.398521876853 -42.627719157834 227.016817358929</t>
  </si>
  <si>
    <t>-693.724278232208 36.3128256297143 652.915820705185</t>
  </si>
  <si>
    <t>-577.940216119011 -61.4799074016219 742.213893998027</t>
  </si>
  <si>
    <t>9763-20170724T160702.489414400.bin</t>
  </si>
  <si>
    <t>-595.598687985779 109.315324986537 -227.343927814887</t>
  </si>
  <si>
    <t>-635.555022227563 101.591381723207 -341.412582124964</t>
  </si>
  <si>
    <t>-654.180141891292 90.9654197384755 -460.705294899585</t>
  </si>
  <si>
    <t>-662.131333729615 79.7240622357763 -569.357332260346</t>
  </si>
  <si>
    <t>-661.297258255823 66.645030742942 -678.091269750719</t>
  </si>
  <si>
    <t>-651.037815453733 46.334687594753 -828.697632654667</t>
  </si>
  <si>
    <t>-614.18604043528 21.3193956038301 -920.344628439248</t>
  </si>
  <si>
    <t>-640.452688592922 83.154379423554 -764.782216111791</t>
  </si>
  <si>
    <t>-549.631143260104 198.24194128525 -753.37414331986</t>
  </si>
  <si>
    <t>-458.302115945396 157.452546995752 -453.071945146944</t>
  </si>
  <si>
    <t>-263.79923374986 68.8758781895349 -304.866539807829</t>
  </si>
  <si>
    <t>-670.701987776036 27.4883074107115 -759.3358397118</t>
  </si>
  <si>
    <t>-566.017453073963 201.463481373093 -243.641907412856</t>
  </si>
  <si>
    <t>-570.492320368803 182.813030951293 211.648976543773</t>
  </si>
  <si>
    <t>-630.558686218139 166.119953622969 677.25290148765</t>
  </si>
  <si>
    <t>-495.812252987046 96.1998928233165 766.124169396662</t>
  </si>
  <si>
    <t>-625.069701306416 17.2294371926475 -210.331428357762</t>
  </si>
  <si>
    <t>-511.679969210624 -43.5621127568011 226.8239771067</t>
  </si>
  <si>
    <t>-693.859549114197 36.1100762129033 652.623587321905</t>
  </si>
  <si>
    <t>-578.092111126464 -61.6529724885349 741.975681277939</t>
  </si>
  <si>
    <t>9763-20170724T160702.525742100.bin</t>
  </si>
  <si>
    <t>-595.593266344529 109.0878458803 -227.401242928174</t>
  </si>
  <si>
    <t>-635.546234719804 101.416092623643 -341.474465633303</t>
  </si>
  <si>
    <t>-654.206391293253 90.85695524221 -460.767707648604</t>
  </si>
  <si>
    <t>-662.204802030023 79.6816290394436 -569.423005925012</t>
  </si>
  <si>
    <t>-661.433349782047 66.6738588325993 -678.166147161415</t>
  </si>
  <si>
    <t>-651.27635896894 46.4679133471877 -828.79334914364</t>
  </si>
  <si>
    <t>-614.428243063032 21.4472414622971 -920.440330096997</t>
  </si>
  <si>
    <t>-640.616966733758 83.2270753245086 -764.855346804975</t>
  </si>
  <si>
    <t>-549.617330513446 198.165342958666 -753.453151239909</t>
  </si>
  <si>
    <t>-457.947935376175 157.294415156969 -453.26580956498</t>
  </si>
  <si>
    <t>-263.00819459562 68.431576168389 -305.807390389102</t>
  </si>
  <si>
    <t>-670.924076755039 27.5897390934429 -759.435509159074</t>
  </si>
  <si>
    <t>-565.911109114587 201.20149375252 -243.672644185555</t>
  </si>
  <si>
    <t>-570.422628723389 182.634696350761 211.621327045508</t>
  </si>
  <si>
    <t>-630.551141659721 166.100790127354 677.214992800017</t>
  </si>
  <si>
    <t>-495.804215656333 96.210340741439 766.108742666929</t>
  </si>
  <si>
    <t>-625.144517508172 17.0287224774463 -210.415550074434</t>
  </si>
  <si>
    <t>-511.804026092391 -43.9021063578036 226.733246695049</t>
  </si>
  <si>
    <t>-693.915314583621 36.0233865580842 652.489450027947</t>
  </si>
  <si>
    <t>-578.151839501541 -61.7094674654838 741.879699675377</t>
  </si>
  <si>
    <t>9763-20170724T160702.590448100.bin</t>
  </si>
  <si>
    <t>-595.667721430601 108.78122938717 -227.512848532189</t>
  </si>
  <si>
    <t>-635.608912678853 101.215891685393 -341.597388916597</t>
  </si>
  <si>
    <t>-654.292232738599 90.7318419507042 -460.893487314768</t>
  </si>
  <si>
    <t>-662.327487749102 79.608330443453 -569.551573238612</t>
  </si>
  <si>
    <t>-661.609647719507 66.6346267661777 -678.298926560195</t>
  </si>
  <si>
    <t>-651.545166771812 46.4562513763135 -828.936153724652</t>
  </si>
  <si>
    <t>-614.756364073988 21.388079746677 -920.593953387222</t>
  </si>
  <si>
    <t>-640.772338333835 83.1640125088859 -764.987664754897</t>
  </si>
  <si>
    <t>-549.401107691929 197.812397014323 -753.595531092676</t>
  </si>
  <si>
    <t>-457.683700630635 156.23975031864 -453.519194066591</t>
  </si>
  <si>
    <t>-261.007709436883 68.2621435561493 -307.846503973178</t>
  </si>
  <si>
    <t>-671.22456500035 27.604941055534 -759.579939634474</t>
  </si>
  <si>
    <t>-565.839853928281 200.866533785896 -243.743442312124</t>
  </si>
  <si>
    <t>-570.419673734436 182.358970302758 211.552202553448</t>
  </si>
  <si>
    <t>-630.577120492934 165.993224385785 677.164652227127</t>
  </si>
  <si>
    <t>-495.771481045763 96.2418767847594 766.0786881714</t>
  </si>
  <si>
    <t>-625.3546845618 16.7742620896502 -210.597545322097</t>
  </si>
  <si>
    <t>-512.143553421826 -44.4576368851015 226.542594967663</t>
  </si>
  <si>
    <t>-694.011284478336 35.8829308222159 652.284904701289</t>
  </si>
  <si>
    <t>-578.192890888936 -61.7456074483055 741.718003436083</t>
  </si>
  <si>
    <t>9763-20170724T160702.657157000.bin</t>
  </si>
  <si>
    <t>-595.782147495823 108.735021020289 -227.648841392248</t>
  </si>
  <si>
    <t>-635.65962082124 101.217127754265 -341.758881251926</t>
  </si>
  <si>
    <t>-654.357482225744 90.7595578315641 -461.054995788938</t>
  </si>
  <si>
    <t>-662.440093530217 79.6491476791914 -569.710891531355</t>
  </si>
  <si>
    <t>-661.804233567972 66.6770345661178 -678.459084530137</t>
  </si>
  <si>
    <t>-651.890636817147 46.4872109441972 -829.104688602288</t>
  </si>
  <si>
    <t>-615.209107011285 21.3715851879431 -920.792403054499</t>
  </si>
  <si>
    <t>-640.9979062049 83.1700810308826 -765.162225289529</t>
  </si>
  <si>
    <t>-549.373579239918 197.625275170488 -753.764200382103</t>
  </si>
  <si>
    <t>-457.078181684614 155.061020714863 -454.004211442202</t>
  </si>
  <si>
    <t>-259.011034702703 68.2738101410644 -309.507111871551</t>
  </si>
  <si>
    <t>-671.556257871408 27.6711151162478 -759.735153845113</t>
  </si>
  <si>
    <t>-565.841619035944 200.866093312467 -243.817778207753</t>
  </si>
  <si>
    <t>-570.519589665747 182.351634290742 211.476516289248</t>
  </si>
  <si>
    <t>-630.574831654388 165.980568488574 677.124630152259</t>
  </si>
  <si>
    <t>-495.839709443841 96.1057421639771 766.048592689436</t>
  </si>
  <si>
    <t>-625.541136182973 16.6999421174417 -210.797656982978</t>
  </si>
  <si>
    <t>-512.511635478334 -44.7093586769133 226.364706813695</t>
  </si>
  <si>
    <t>-694.201374946879 35.5546407667375 652.167239022798</t>
  </si>
  <si>
    <t>-577.996458624655 -61.6079776138888 741.606350305273</t>
  </si>
  <si>
    <t>9763-20170724T160702.694831300.bin</t>
  </si>
  <si>
    <t>-595.838545873062 108.810664772397 -227.719826758528</t>
  </si>
  <si>
    <t>-635.672925281395 101.292419905971 -341.844803770625</t>
  </si>
  <si>
    <t>-654.407142150291 90.8344875558535 -461.135240588225</t>
  </si>
  <si>
    <t>-662.556435009425 79.7214870697169 -569.785932909426</t>
  </si>
  <si>
    <t>-662.021556102251 66.7430193673927 -678.533863322757</t>
  </si>
  <si>
    <t>-652.284207296211 46.5389934579739 -829.189090058673</t>
  </si>
  <si>
    <t>-615.677557203704 21.3817714925924 -920.895409543796</t>
  </si>
  <si>
    <t>-641.292489709328 83.2148754383898 -765.259567312626</t>
  </si>
  <si>
    <t>-549.595520471217 197.621352724695 -753.946829876602</t>
  </si>
  <si>
    <t>-456.500702373751 154.830390923774 -454.466431585033</t>
  </si>
  <si>
    <t>-257.817534893082 68.7830268242435 -310.373140616928</t>
  </si>
  <si>
    <t>-671.892900173834 27.7423928331284 -759.798072926858</t>
  </si>
  <si>
    <t>-565.932416340378 200.945897214634 -243.860294569094</t>
  </si>
  <si>
    <t>-570.661894936049 182.430669262399 211.433497073175</t>
  </si>
  <si>
    <t>-630.575886541206 165.961438983481 677.104775570432</t>
  </si>
  <si>
    <t>-495.823248372512 96.1210381932622 766.029192824902</t>
  </si>
  <si>
    <t>-625.588220662853 16.7716317589093 -210.898194749499</t>
  </si>
  <si>
    <t>-512.580100075665 -44.7104914091819 226.259424097313</t>
  </si>
  <si>
    <t>-694.213962359715 35.5294525894233 652.101109392407</t>
  </si>
  <si>
    <t>-578.146141030677 -61.7504159910163 741.590793400037</t>
  </si>
  <si>
    <t>9763-20170724T160702.725915600.bin</t>
  </si>
  <si>
    <t>-595.948013226133 108.928782643622 -227.757433371349</t>
  </si>
  <si>
    <t>-635.732213859075 101.42223985507 -341.900638431329</t>
  </si>
  <si>
    <t>-654.482431668572 90.9622129945731 -461.188510106241</t>
  </si>
  <si>
    <t>-662.675162554407 79.8389408104199 -569.834745854817</t>
  </si>
  <si>
    <t>-662.213424169428 66.8403444071987 -678.58060662029</t>
  </si>
  <si>
    <t>-652.609103814054 46.5966945553257 -829.239014748005</t>
  </si>
  <si>
    <t>-616.069583009253 21.3991961910956 -920.961065594471</t>
  </si>
  <si>
    <t>-641.535318502335 83.2755882125921 -765.325384376203</t>
  </si>
  <si>
    <t>-549.745005055962 197.597753384075 -754.106585873089</t>
  </si>
  <si>
    <t>-455.778710745547 154.694374294789 -454.914629359626</t>
  </si>
  <si>
    <t>-256.80689238121 69.0349740198326 -310.988490461711</t>
  </si>
  <si>
    <t>-672.182078249444 27.8322235184075 -759.829381445357</t>
  </si>
  <si>
    <t>-566.056161819466 201.084282596672 -243.879020054397</t>
  </si>
  <si>
    <t>-570.833463664148 182.568072411463 211.414267368341</t>
  </si>
  <si>
    <t>-630.574799012526 165.972759386738 677.104209214827</t>
  </si>
  <si>
    <t>-495.833459368451 96.0969664632617 766.017959241243</t>
  </si>
  <si>
    <t>-625.694933538372 16.8387588340565 -210.976805312602</t>
  </si>
  <si>
    <t>-512.707811569544 -44.8143732866795 226.162141020111</t>
  </si>
  <si>
    <t>-694.291800885397 35.3765422304225 652.012199748079</t>
  </si>
  <si>
    <t>-578.320101106809 -61.9587084555674 741.566211249548</t>
  </si>
  <si>
    <t>9763-20170724T160702.793595200.bin</t>
  </si>
  <si>
    <t>-596.119326004536 109.374290367618 -227.819748249344</t>
  </si>
  <si>
    <t>-635.913153084739 101.918942504601 -341.9628892692</t>
  </si>
  <si>
    <t>-654.715565199502 91.4709125000165 -461.243609682125</t>
  </si>
  <si>
    <t>-662.9741407117 80.3407189695631 -569.884076799627</t>
  </si>
  <si>
    <t>-662.59794345306 67.3159948049247 -678.627165977936</t>
  </si>
  <si>
    <t>-653.133364445605 47.0153517753556 -829.286752918081</t>
  </si>
  <si>
    <t>-616.695735510164 21.7238910462031 -921.023476016159</t>
  </si>
  <si>
    <t>-641.974059379413 83.7043041579159 -765.393828279875</t>
  </si>
  <si>
    <t>-550.015184502393 197.916075339041 -754.263140675564</t>
  </si>
  <si>
    <t>-454.867618846715 154.549986218948 -455.511571451061</t>
  </si>
  <si>
    <t>-254.125039619652 70.2468738045998 -313.253133183442</t>
  </si>
  <si>
    <t>-672.668159659557 28.2913051480703 -759.855493033931</t>
  </si>
  <si>
    <t>-566.186271745911 201.567135252013 -243.909231247507</t>
  </si>
  <si>
    <t>-570.960126447837 182.912090451167 211.378405758172</t>
  </si>
  <si>
    <t>-630.530371939705 166.003074908909 677.061390790852</t>
  </si>
  <si>
    <t>-495.828906158865 96.0859954630355 766.003082638898</t>
  </si>
  <si>
    <t>-625.894214717674 17.216688434527 -211.090313974777</t>
  </si>
  <si>
    <t>-512.853561134523 -44.6972445586257 225.997902671463</t>
  </si>
  <si>
    <t>-694.33071406912 35.3272351742175 651.908480829557</t>
  </si>
  <si>
    <t>-578.326665389538 -61.9552484255055 741.477946631914</t>
  </si>
  <si>
    <t>9763-20170724T160702.825804700.bin</t>
  </si>
  <si>
    <t>-596.168974009332 109.677746080848 -227.857249640324</t>
  </si>
  <si>
    <t>-635.975980170869 102.253603500271 -341.997942864125</t>
  </si>
  <si>
    <t>-654.796256728115 91.8055277575791 -461.27583867172</t>
  </si>
  <si>
    <t>-663.073215288936 80.6636050338109 -569.913788749387</t>
  </si>
  <si>
    <t>-662.71796626425 67.6159275889811 -678.654241611524</t>
  </si>
  <si>
    <t>-653.285332245416 47.2722915433965 -829.309952223992</t>
  </si>
  <si>
    <t>-616.860056277326 21.938813108078 -921.039964144034</t>
  </si>
  <si>
    <t>-642.113978291335 83.9801001840954 -765.429882680231</t>
  </si>
  <si>
    <t>-550.208811591599 198.220606116846 -754.401385118224</t>
  </si>
  <si>
    <t>-454.006861246312 154.956943115255 -455.972741625621</t>
  </si>
  <si>
    <t>-252.455873995056 70.889285054207 -314.721716391586</t>
  </si>
  <si>
    <t>-672.804085934866 28.5672110618677 -759.868841752783</t>
  </si>
  <si>
    <t>-566.235935170949 201.893305438152 -243.918268584813</t>
  </si>
  <si>
    <t>-570.961812923466 183.085454319254 211.363602732499</t>
  </si>
  <si>
    <t>-630.523355585583 166.010348996862 677.054003719454</t>
  </si>
  <si>
    <t>-495.838804754654 96.0655770095814 765.999526549062</t>
  </si>
  <si>
    <t>-625.973337757065 17.492657948027 -211.137721646317</t>
  </si>
  <si>
    <t>-512.868328472654 -44.5520876828004 225.915335144816</t>
  </si>
  <si>
    <t>-694.287690983985 35.3828875530673 651.867941284092</t>
  </si>
  <si>
    <t>-578.378701643334 -62.0058768655178 741.444980326594</t>
  </si>
  <si>
    <t>9763-20170724T160702.897990400.bin</t>
  </si>
  <si>
    <t>-596.3532114377 110.398354773074 -227.898704503274</t>
  </si>
  <si>
    <t>-636.125996792379 103.007908328133 -342.05351201863</t>
  </si>
  <si>
    <t>-654.998588515618 92.5266181246839 -461.320094104109</t>
  </si>
  <si>
    <t>-663.361007213065 81.3270105337999 -569.945708002581</t>
  </si>
  <si>
    <t>-663.13035182645 68.1940466840629 -678.676059790116</t>
  </si>
  <si>
    <t>-653.911990469739 47.7034263250875 -829.325215676191</t>
  </si>
  <si>
    <t>-617.508923542597 22.260060580458 -921.033686154126</t>
  </si>
  <si>
    <t>-642.643825322994 84.4704100413453 -765.496280208841</t>
  </si>
  <si>
    <t>-550.708415844869 198.733905749799 -754.770332830083</t>
  </si>
  <si>
    <t>-452.005185603295 155.32255275007 -457.181053105001</t>
  </si>
  <si>
    <t>-249.503059742903 71.2503894866579 -317.299814908353</t>
  </si>
  <si>
    <t>-673.337797411122 29.0694128122107 -759.838993621064</t>
  </si>
  <si>
    <t>-566.457049120692 202.70113096801 -243.899595647811</t>
  </si>
  <si>
    <t>-571.01761506447 183.568378643211 211.370379987091</t>
  </si>
  <si>
    <t>-630.531845776856 165.977046885926 677.039970538392</t>
  </si>
  <si>
    <t>-495.834040624894 96.064139002091 765.990536094931</t>
  </si>
  <si>
    <t>-626.070212291801 18.1727471637084 -211.223636877648</t>
  </si>
  <si>
    <t>-512.88043015491 -44.347115047409 225.739761641427</t>
  </si>
  <si>
    <t>-694.390395023401 35.224404762617 651.732981518955</t>
  </si>
  <si>
    <t>-578.425224672656 -62.0584165979151 741.352415446102</t>
  </si>
  <si>
    <t>9763-20170724T160702.926064700.bin</t>
  </si>
  <si>
    <t>-596.454152838759 110.816576637466 -227.901721644119</t>
  </si>
  <si>
    <t>-636.19888934129 103.429706774424 -342.06639361159</t>
  </si>
  <si>
    <t>-655.095080473343 92.9362258968745 -461.328310220373</t>
  </si>
  <si>
    <t>-663.50122915682 81.7163076989889 -569.94823482325</t>
  </si>
  <si>
    <t>-663.337712178028 68.5515885390168 -678.675098867748</t>
  </si>
  <si>
    <t>-654.238276427982 48.002449915901 -829.323435703626</t>
  </si>
  <si>
    <t>-617.868541419009 22.5150814571755 -921.032843988528</t>
  </si>
  <si>
    <t>-642.90835499264 84.787994043462 -765.516171515452</t>
  </si>
  <si>
    <t>-550.918603907994 199.017664096202 -754.945367649661</t>
  </si>
  <si>
    <t>-450.989203240306 155.199904856442 -457.825321004154</t>
  </si>
  <si>
    <t>-248.314871272938 71.1345078537015 -318.189618185431</t>
  </si>
  <si>
    <t>-673.620665077391 29.4015839231997 -759.816203393976</t>
  </si>
  <si>
    <t>-566.666943887442 203.13969580852 -243.885007109334</t>
  </si>
  <si>
    <t>-571.081992148166 183.81237918314 211.378219010005</t>
  </si>
  <si>
    <t>-630.556432079752 165.91256799586 677.039906639275</t>
  </si>
  <si>
    <t>-495.819106488549 96.0770200456382 765.991383613598</t>
  </si>
  <si>
    <t>-626.052512004292 18.5407959124984 -211.269528055694</t>
  </si>
  <si>
    <t>-512.740080804337 -44.1057283821704 225.643926619593</t>
  </si>
  <si>
    <t>-694.322306550434 35.2379785675296 651.613053423063</t>
  </si>
  <si>
    <t>-578.386206950902 -62.0147117444203 741.302781211177</t>
  </si>
  <si>
    <t>9763-20170724T160702.992245400.bin</t>
  </si>
  <si>
    <t>-596.585979999538 111.801368768197 -227.855972576571</t>
  </si>
  <si>
    <t>-636.310689637185 104.393952255719 -342.026401986031</t>
  </si>
  <si>
    <t>-655.272527480044 93.8668917608204 -461.274819584973</t>
  </si>
  <si>
    <t>-663.775683303809 82.6040088797427 -569.882852604525</t>
  </si>
  <si>
    <t>-663.748087236985 69.3797114452791 -678.602535349073</t>
  </si>
  <si>
    <t>-654.879258095736 48.7266838859296 -829.250419096517</t>
  </si>
  <si>
    <t>-618.634121893244 23.1275188772959 -920.978035889765</t>
  </si>
  <si>
    <t>-643.382891036347 85.5189240831314 -765.476869519915</t>
  </si>
  <si>
    <t>-551.072507281315 199.497419764832 -755.030019901483</t>
  </si>
  <si>
    <t>-449.737481292264 154.404311550115 -458.57759242874</t>
  </si>
  <si>
    <t>-246.853674153221 70.7314679377885 -319.010230553925</t>
  </si>
  <si>
    <t>-674.223999293789 30.2110812207447 -759.710173762694</t>
  </si>
  <si>
    <t>-566.819546644256 204.171248912281 -243.816520299859</t>
  </si>
  <si>
    <t>-571.277336694898 184.51538430141 211.432211306976</t>
  </si>
  <si>
    <t>-630.571394951237 165.920210793727 677.068031478871</t>
  </si>
  <si>
    <t>-495.827992059631 96.0663777018474 765.995901879264</t>
  </si>
  <si>
    <t>-626.239148944702 19.464027254402 -211.183156801028</t>
  </si>
  <si>
    <t>-512.205059004545 -43.3458121980941 225.519076510299</t>
  </si>
  <si>
    <t>-694.245057243196 35.2667282349473 651.464607989683</t>
  </si>
  <si>
    <t>-578.459872683589 -62.0781416587047 741.249245686074</t>
  </si>
  <si>
    <t>9763-20170724T160703.024336700.bin</t>
  </si>
  <si>
    <t>-596.666845707431 112.315562006034 -227.751643407745</t>
  </si>
  <si>
    <t>-636.384559932329 104.849831959411 -341.920710420511</t>
  </si>
  <si>
    <t>-655.37051931021 94.2836139947531 -461.161831080856</t>
  </si>
  <si>
    <t>-663.908390733774 82.9914561835719 -569.764148769749</t>
  </si>
  <si>
    <t>-663.928544250488 69.742897900451 -678.480837677703</t>
  </si>
  <si>
    <t>-655.139661195443 49.0603172159688 -829.12936061316</t>
  </si>
  <si>
    <t>-618.95595574267 23.4015814747472 -920.864617277367</t>
  </si>
  <si>
    <t>-643.570311650014 85.8438438156668 -765.363768840689</t>
  </si>
  <si>
    <t>-551.046009373436 199.664973394815 -754.960383469705</t>
  </si>
  <si>
    <t>-449.2313346375 154.061728862324 -458.750393638875</t>
  </si>
  <si>
    <t>-246.297478617466 70.4405062374688 -319.224894386744</t>
  </si>
  <si>
    <t>-674.486581568286 30.5796439094688 -759.580361705875</t>
  </si>
  <si>
    <t>-566.844319198224 204.692159448388 -243.781698058091</t>
  </si>
  <si>
    <t>-571.425492245169 185.042706090301 211.466117825535</t>
  </si>
  <si>
    <t>-630.598688563629 165.847091073571 677.066539676392</t>
  </si>
  <si>
    <t>-495.798829637881 96.1109148470559 766.00121430924</t>
  </si>
  <si>
    <t>-626.363361122884 19.9352711762385 -211.023176797976</t>
  </si>
  <si>
    <t>-511.966430875444 -42.8916351798046 225.581573256076</t>
  </si>
  <si>
    <t>-694.259480705071 35.3615853618105 651.491569972387</t>
  </si>
  <si>
    <t>-578.504380103585 -62.0757625155657 741.214634454886</t>
  </si>
  <si>
    <t>9763-20170724T160703.092520600.bin</t>
  </si>
  <si>
    <t>-596.737678233905 112.947168190259 -227.632142867777</t>
  </si>
  <si>
    <t>-636.462510941079 105.425144541486 -341.795066189228</t>
  </si>
  <si>
    <t>-655.492162268696 94.7926337168019 -461.023389478032</t>
  </si>
  <si>
    <t>-664.085654367908 83.4326203822416 -569.6141653643</t>
  </si>
  <si>
    <t>-664.178327701427 70.1061808471807 -678.321287388253</t>
  </si>
  <si>
    <t>-655.508367875305 49.3031417414368 -828.960148391177</t>
  </si>
  <si>
    <t>-619.402187129774 23.500351417398 -920.685514025021</t>
  </si>
  <si>
    <t>-643.793887478451 86.0856341754459 -765.220617763452</t>
  </si>
  <si>
    <t>-550.927117891065 199.614980058061 -754.912856566503</t>
  </si>
  <si>
    <t>-448.206211181246 153.515359929224 -459.09274619642</t>
  </si>
  <si>
    <t>-244.886860128845 69.8357885157097 -320.164784787199</t>
  </si>
  <si>
    <t>-674.895321013708 30.9299376188415 -759.39368048239</t>
  </si>
  <si>
    <t>-566.749124840931 205.483543849049 -243.766345483575</t>
  </si>
  <si>
    <t>-571.583201331988 185.612662920574 211.469260787823</t>
  </si>
  <si>
    <t>-630.628158824617 165.745903777798 677.051055747909</t>
  </si>
  <si>
    <t>-495.720768828321 96.2380252172413 766.001391503186</t>
  </si>
  <si>
    <t>-626.611070406478 20.3791895309564 -210.877457955114</t>
  </si>
  <si>
    <t>-511.42659950644 -42.2563193061042 225.547750563148</t>
  </si>
  <si>
    <t>-694.313160022509 35.2411683324949 651.325102593943</t>
  </si>
  <si>
    <t>-578.456517902173 -62.022916984087 741.105103257205</t>
  </si>
  <si>
    <t>9763-20170724T160703.126632500.bin</t>
  </si>
  <si>
    <t>-596.851473510982 113.323293195642 -227.61694436636</t>
  </si>
  <si>
    <t>-636.593956276958 105.812490980723 -341.774393282289</t>
  </si>
  <si>
    <t>-655.644243938258 95.1515233086202 -460.996902270298</t>
  </si>
  <si>
    <t>-664.25869012479 83.7483722606114 -569.581494360343</t>
  </si>
  <si>
    <t>-664.375267366685 70.3609486757798 -678.28116075862</t>
  </si>
  <si>
    <t>-655.742293382801 49.4541408127789 -828.907765660282</t>
  </si>
  <si>
    <t>-619.658929978276 23.54983072955 -920.613483403089</t>
  </si>
  <si>
    <t>-643.973812378628 86.2593760602731 -765.191203584577</t>
  </si>
  <si>
    <t>-550.901609996074 199.65161926866 -754.948486500566</t>
  </si>
  <si>
    <t>-447.79532426458 152.932232380297 -459.359956187239</t>
  </si>
  <si>
    <t>-244.408224451642 69.3140439397755 -320.49401881308</t>
  </si>
  <si>
    <t>-675.150447322804 31.150099128407 -759.329049785471</t>
  </si>
  <si>
    <t>-566.760628427678 205.963188353856 -243.765801127846</t>
  </si>
  <si>
    <t>-571.63071585982 185.848915245217 211.458800202483</t>
  </si>
  <si>
    <t>-630.615493122461 165.742823912832 677.033628818863</t>
  </si>
  <si>
    <t>-495.766234210125 96.1465011069183 766.002960812108</t>
  </si>
  <si>
    <t>-626.888663897915 20.7619251728165 -210.821203691641</t>
  </si>
  <si>
    <t>-511.294517848596 -42.0110349270385 225.47593460919</t>
  </si>
  <si>
    <t>-694.295249820279 35.2963917315615 651.297928778052</t>
  </si>
  <si>
    <t>-578.440416569001 -61.9798171297139 741.067120488595</t>
  </si>
  <si>
    <t>9763-20170724T160703.189299600.bin</t>
  </si>
  <si>
    <t>-597.0480962628 114.164001660148 -227.630719609549</t>
  </si>
  <si>
    <t>-636.792753700157 106.730886265163 -341.79255484807</t>
  </si>
  <si>
    <t>-655.878160175996 96.0666268099365 -461.009113453924</t>
  </si>
  <si>
    <t>-664.540846075536 84.6227072587828 -569.585526527574</t>
  </si>
  <si>
    <t>-664.724294448839 71.1539890596266 -678.275007006258</t>
  </si>
  <si>
    <t>-656.205690310214 50.08963201185 -828.886194187018</t>
  </si>
  <si>
    <t>-620.177893726732 23.9747434960943 -920.554039951214</t>
  </si>
  <si>
    <t>-644.316932358557 86.9217650699425 -765.20760261495</t>
  </si>
  <si>
    <t>-550.983061329085 200.093495981133 -755.058815385685</t>
  </si>
  <si>
    <t>-447.098209415371 152.013024311462 -459.961540339177</t>
  </si>
  <si>
    <t>-243.279313269593 68.6370459622628 -321.583946814769</t>
  </si>
  <si>
    <t>-675.632954621209 31.8980671613185 -759.283287406959</t>
  </si>
  <si>
    <t>-566.795777596911 206.881851952671 -243.731712559473</t>
  </si>
  <si>
    <t>-571.628120836316 186.261333428464 211.470511915677</t>
  </si>
  <si>
    <t>-630.579856987433 165.765526393169 677.014701115128</t>
  </si>
  <si>
    <t>-495.777904549201 96.104129474154 766.004801031021</t>
  </si>
  <si>
    <t>-627.190828671145 21.5360276819542 -210.862531768445</t>
  </si>
  <si>
    <t>-511.639764651853 -41.4307663677289 225.418118144076</t>
  </si>
  <si>
    <t>-694.6049086699 35.2332346523551 651.440703943946</t>
  </si>
  <si>
    <t>-578.407085612458 -61.8610300743719 740.963230143262</t>
  </si>
  <si>
    <t>9763-20170724T160703.221640300.bin</t>
  </si>
  <si>
    <t>-597.151127967475 114.598250958134 -227.670281688643</t>
  </si>
  <si>
    <t>-636.874624214705 107.224702917186 -341.843413018464</t>
  </si>
  <si>
    <t>-655.963297351458 96.5885383493287 -461.062009511179</t>
  </si>
  <si>
    <t>-664.640485502069 85.1554636177073 -569.638424948518</t>
  </si>
  <si>
    <t>-664.850521487344 71.6825625016952 -678.327363000546</t>
  </si>
  <si>
    <t>-656.382386568094 50.5957574278602 -828.93819355439</t>
  </si>
  <si>
    <t>-620.389174196269 24.3999442465322 -920.596501890628</t>
  </si>
  <si>
    <t>-644.44079004297 87.4199181528136 -765.264796924415</t>
  </si>
  <si>
    <t>-550.949697124279 200.461477575453 -755.137996811032</t>
  </si>
  <si>
    <t>-446.562243404227 151.715891836978 -460.327462202933</t>
  </si>
  <si>
    <t>-242.606502184637 68.5294221680915 -322.037472651282</t>
  </si>
  <si>
    <t>-675.817761064065 32.4321003624937 -759.330186522818</t>
  </si>
  <si>
    <t>-566.787754744473 207.249434787288 -243.723311228285</t>
  </si>
  <si>
    <t>-571.663141662426 186.424110735182 211.469228050887</t>
  </si>
  <si>
    <t>-630.570101095658 165.782068002943 677.012024413325</t>
  </si>
  <si>
    <t>-495.808795380018 96.0427366194203 766.002638921091</t>
  </si>
  <si>
    <t>-627.423860106222 22.0274013159421 -210.939265648253</t>
  </si>
  <si>
    <t>-512.010134427272 -41.0759324957346 225.358008033651</t>
  </si>
  <si>
    <t>-694.672716815428 35.3803729321332 651.539471364553</t>
  </si>
  <si>
    <t>-578.581630787034 -61.9785043067827 740.912935309225</t>
  </si>
  <si>
    <t>9763-20170724T160703.302865300.bin</t>
  </si>
  <si>
    <t>-597.490671261362 115.428946288431 -227.770209998035</t>
  </si>
  <si>
    <t>-637.210727622105 108.252398649253 -341.957067783876</t>
  </si>
  <si>
    <t>-656.285596621279 97.7230147531513 -461.18718387911</t>
  </si>
  <si>
    <t>-664.948962834643 86.3456822363889 -569.770574688311</t>
  </si>
  <si>
    <t>-665.145794135678 72.8858531749881 -678.461270711699</t>
  </si>
  <si>
    <t>-656.661966739649 51.771218020109 -829.067449503022</t>
  </si>
  <si>
    <t>-620.709641659522 25.446855779408 -920.704940875668</t>
  </si>
  <si>
    <t>-644.664835791062 88.5725316651765 -765.391159295265</t>
  </si>
  <si>
    <t>-550.885555774447 201.375315507787 -755.196513230939</t>
  </si>
  <si>
    <t>-445.340513158461 151.22643288548 -461.034109884369</t>
  </si>
  <si>
    <t>-241.344181051369 68.4793273270577 -322.540370418323</t>
  </si>
  <si>
    <t>-676.166780998138 33.6550204118182 -759.466482982888</t>
  </si>
  <si>
    <t>-566.931427864427 208.033362643558 -243.712503385359</t>
  </si>
  <si>
    <t>-571.694534422259 186.595457895894 211.452702102035</t>
  </si>
  <si>
    <t>-630.615164039164 165.672057964432 676.975002652926</t>
  </si>
  <si>
    <t>-495.831884515864 95.9986168208313 765.983953385329</t>
  </si>
  <si>
    <t>-627.891548774432 22.9128418986859 -211.192811119948</t>
  </si>
  <si>
    <t>-512.893394433205 -40.6672179092795 225.144977874009</t>
  </si>
  <si>
    <t>-694.867368258796 35.3296334504537 651.654359054631</t>
  </si>
  <si>
    <t>-578.635393972035 -62.0355292621755 740.837681729548</t>
  </si>
  <si>
    <t>9763-20170724T160703.322918700.bin</t>
  </si>
  <si>
    <t>-597.689824136996 115.814139127364 -227.835333444456</t>
  </si>
  <si>
    <t>-637.443162051074 108.744324893027 -342.017158286787</t>
  </si>
  <si>
    <t>-656.493095769123 98.2768592589248 -461.256865932301</t>
  </si>
  <si>
    <t>-665.110833522583 86.9342502427435 -569.847463855439</t>
  </si>
  <si>
    <t>-665.24011915715 73.486204049776 -678.539585926059</t>
  </si>
  <si>
    <t>-656.640912240914 52.3628204828772 -829.137975585664</t>
  </si>
  <si>
    <t>-620.687489254716 26.0029227660175 -920.764863329785</t>
  </si>
  <si>
    <t>-644.655832252407 89.1473008993844 -765.449734865783</t>
  </si>
  <si>
    <t>-550.720194702698 201.818110471547 -755.187565096366</t>
  </si>
  <si>
    <t>-444.488712225707 151.026134036666 -461.382642073502</t>
  </si>
  <si>
    <t>-240.088069088731 68.8048415705441 -323.172324747187</t>
  </si>
  <si>
    <t>-676.235785959303 34.2711888356121 -759.555965758055</t>
  </si>
  <si>
    <t>-567.014611307843 208.391351058609 -243.718824761282</t>
  </si>
  <si>
    <t>-571.699938382352 186.716420137151 211.436009322509</t>
  </si>
  <si>
    <t>-630.590403381124 165.696296043477 676.951812775533</t>
  </si>
  <si>
    <t>-495.901128844976 95.8716636602496 765.984550550736</t>
  </si>
  <si>
    <t>-628.198521575279 23.3385591235099 -211.27684351631</t>
  </si>
  <si>
    <t>-513.138678631163 -40.4838519447576 225.009297098304</t>
  </si>
  <si>
    <t>-694.883232632625 35.3224183976492 651.637785623896</t>
  </si>
  <si>
    <t>-578.634589137396 -62.0362842013483 740.80644711393</t>
  </si>
  <si>
    <t>9763-20170724T160703.392607200.bin</t>
  </si>
  <si>
    <t>-598.088268387299 116.69188331265 -227.928243116836</t>
  </si>
  <si>
    <t>-637.889525505665 109.805064560317 -342.104552548016</t>
  </si>
  <si>
    <t>-656.922367025988 99.458889186307 -461.35759289283</t>
  </si>
  <si>
    <t>-665.499421938034 88.1962988839757 -569.959751946271</t>
  </si>
  <si>
    <t>-665.563890412394 74.7969308913182 -678.658015216883</t>
  </si>
  <si>
    <t>-656.851288218573 53.7067436395532 -829.254457620097</t>
  </si>
  <si>
    <t>-620.881798766349 27.298830237871 -920.861307793298</t>
  </si>
  <si>
    <t>-644.826675524157 90.4279006427032 -765.537217653219</t>
  </si>
  <si>
    <t>-550.581945331475 202.808167317222 -755.009468279464</t>
  </si>
  <si>
    <t>-443.387680250603 150.483307970146 -461.824012305278</t>
  </si>
  <si>
    <t>-238.403178479346 69.1016488831206 -323.982039255897</t>
  </si>
  <si>
    <t>-676.585997639468 35.6491153435177 -759.703213313559</t>
  </si>
  <si>
    <t>-567.211021170783 209.26844595795 -243.742537122245</t>
  </si>
  <si>
    <t>-572.073608691668 187.260652984324 211.394483133135</t>
  </si>
  <si>
    <t>-630.59102389157 165.699722766725 676.937753424811</t>
  </si>
  <si>
    <t>-496.069475088413 95.5786729028434 765.991120435034</t>
  </si>
  <si>
    <t>-628.840182353207 24.2266648022128 -211.421559586904</t>
  </si>
  <si>
    <t>-513.378696163627 -40.0452062938389 224.692481294643</t>
  </si>
  <si>
    <t>-694.751971099441 35.4124908107524 651.529849427305</t>
  </si>
  <si>
    <t>-578.621930727043 -62.0049793762764 740.788799575654</t>
  </si>
  <si>
    <t>9763-20170724T160703.426907000.bin</t>
  </si>
  <si>
    <t>-598.198421135842 117.100677605746 -227.980435974244</t>
  </si>
  <si>
    <t>-637.993940567747 110.281814913068 -342.162881192309</t>
  </si>
  <si>
    <t>-656.994871601529 100.006617914182 -461.426955444991</t>
  </si>
  <si>
    <t>-665.532541326416 88.8077129173337 -570.038887558198</t>
  </si>
  <si>
    <t>-665.547505340076 75.4705344065098 -678.744797341541</t>
  </si>
  <si>
    <t>-656.755265610126 54.4652984825857 -829.348539950165</t>
  </si>
  <si>
    <t>-620.756425640712 28.0764977383408 -920.949184872306</t>
  </si>
  <si>
    <t>-644.730985279931 91.1317494095067 -765.59965194623</t>
  </si>
  <si>
    <t>-550.307898669126 203.340529078129 -754.920366694881</t>
  </si>
  <si>
    <t>-442.774100992283 150.237577870894 -461.999266427455</t>
  </si>
  <si>
    <t>-236.822042681991 69.7799716920424 -325.060009259805</t>
  </si>
  <si>
    <t>-676.559938305745 36.3874068755549 -759.822457947827</t>
  </si>
  <si>
    <t>-567.203147958782 209.684171902714 -243.770982740189</t>
  </si>
  <si>
    <t>-572.259184530308 187.654444931652 211.362824982107</t>
  </si>
  <si>
    <t>-630.552728776125 165.770981800649 676.930498639962</t>
  </si>
  <si>
    <t>-496.198852491351 95.3410889762015 765.993319921054</t>
  </si>
  <si>
    <t>-629.046247550408 24.5681804114067 -211.541945118728</t>
  </si>
  <si>
    <t>-513.42812417964 -39.664547646755 224.536343425408</t>
  </si>
  <si>
    <t>-694.673734162985 35.3897503724502 651.434217465149</t>
  </si>
  <si>
    <t>-578.654779709364 -62.0472267919447 740.816251162231</t>
  </si>
  <si>
    <t>9763-20170724T160703.488073400.bin</t>
  </si>
  <si>
    <t>-598.254006107099 117.562778719792 -228.195344405139</t>
  </si>
  <si>
    <t>-638.060893039672 110.896600852236 -342.382769233625</t>
  </si>
  <si>
    <t>-657.025467179526 100.764705147583 -461.665052114513</t>
  </si>
  <si>
    <t>-665.510430648411 89.6913643107066 -570.293987147835</t>
  </si>
  <si>
    <t>-665.452399290383 76.4765982643394 -679.014843877948</t>
  </si>
  <si>
    <t>-656.538166886076 55.6379593081333 -829.63449144436</t>
  </si>
  <si>
    <t>-620.482417091813 29.2671615588602 -921.218015444232</t>
  </si>
  <si>
    <t>-644.499006928638 92.1956534548615 -765.826165415003</t>
  </si>
  <si>
    <t>-549.754219905933 204.110352335411 -754.839868781943</t>
  </si>
  <si>
    <t>-442.225552908314 149.27370268786 -462.236455888724</t>
  </si>
  <si>
    <t>-235.914240171505 69.0559637329243 -325.69779031447</t>
  </si>
  <si>
    <t>-676.466039361623 37.5209636028203 -760.153610737678</t>
  </si>
  <si>
    <t>-566.923309637757 210.201947884827 -243.896338665153</t>
  </si>
  <si>
    <t>-572.56629256936 188.153265309612 211.229606412392</t>
  </si>
  <si>
    <t>-630.492744851761 165.905295490222 676.884246525503</t>
  </si>
  <si>
    <t>-496.387220207583 95.0015616441174 765.945333133599</t>
  </si>
  <si>
    <t>-629.427709981547 24.8895843249713 -211.923348694251</t>
  </si>
  <si>
    <t>-513.375135862404 -39.4909632359061 224.017704342096</t>
  </si>
  <si>
    <t>-694.403843842532 34.8495272913378 650.877316072527</t>
  </si>
  <si>
    <t>-578.589427857239 -62.103961510207 741.046882104201</t>
  </si>
  <si>
    <t>9763-20170724T160703.520692300.bin</t>
  </si>
  <si>
    <t>-598.252453450731 117.624914901805 -228.309933112103</t>
  </si>
  <si>
    <t>-638.076513692134 111.031136600344 -342.495592947929</t>
  </si>
  <si>
    <t>-657.040527465964 100.971679829333 -461.784062325297</t>
  </si>
  <si>
    <t>-665.517410588327 89.9641177241838 -570.420261480906</t>
  </si>
  <si>
    <t>-665.443395359212 76.8159669053812 -679.149167647389</t>
  </si>
  <si>
    <t>-656.498285196051 56.0714506975521 -829.780011497337</t>
  </si>
  <si>
    <t>-620.416714286588 29.7192934783036 -921.35878374949</t>
  </si>
  <si>
    <t>-644.439990618221 92.5711228131938 -765.941980698592</t>
  </si>
  <si>
    <t>-549.52721718568 204.343543766328 -754.848606290567</t>
  </si>
  <si>
    <t>-442.073635350587 148.760158958042 -462.358617376664</t>
  </si>
  <si>
    <t>-235.492495383199 68.6373168789914 -326.172704491343</t>
  </si>
  <si>
    <t>-676.47239834738 37.9294512887657 -760.319141602193</t>
  </si>
  <si>
    <t>-566.817798663488 210.306954048477 -243.95781479607</t>
  </si>
  <si>
    <t>-572.607374696564 188.22439204338 211.164610639599</t>
  </si>
  <si>
    <t>-630.56643597728 165.801239807816 676.868438181381</t>
  </si>
  <si>
    <t>-496.43092346487 94.9211911446512 765.90325345535</t>
  </si>
  <si>
    <t>-629.542497860248 24.924959981302 -212.069689967029</t>
  </si>
  <si>
    <t>-513.287326550373 -39.6891765349476 223.782871076716</t>
  </si>
  <si>
    <t>-694.314555482345 34.5372904373523 650.742272350197</t>
  </si>
  <si>
    <t>-578.40053020148 -61.9560576176737 741.276707232809</t>
  </si>
  <si>
    <t>9763-20170724T160703.589380700.bin</t>
  </si>
  <si>
    <t>-597.98833526534 117.828678489575 -228.318760403865</t>
  </si>
  <si>
    <t>-637.816694004877 111.357282175196 -342.510067820464</t>
  </si>
  <si>
    <t>-656.847877770103 101.365844117425 -461.793574258128</t>
  </si>
  <si>
    <t>-665.4121600502 90.4010401882513 -570.427274567306</t>
  </si>
  <si>
    <t>-665.452127051717 77.2793476139716 -679.159319417673</t>
  </si>
  <si>
    <t>-656.692804684009 56.5565498433316 -829.804117105422</t>
  </si>
  <si>
    <t>-620.656747762259 30.1589017710965 -921.387641504647</t>
  </si>
  <si>
    <t>-644.49025943598 93.0093647505239 -765.966684003515</t>
  </si>
  <si>
    <t>-549.496169486765 204.736026067863 -755.011754619327</t>
  </si>
  <si>
    <t>-442.754195228111 148.580397941984 -462.370401803683</t>
  </si>
  <si>
    <t>-237.179987549554 67.2091393264384 -325.403334739803</t>
  </si>
  <si>
    <t>-676.646753791292 38.4421836494507 -760.33020900294</t>
  </si>
  <si>
    <t>-566.334802554296 210.325277567286 -243.948625883321</t>
  </si>
  <si>
    <t>-572.78117461183 188.376049161291 211.17156314806</t>
  </si>
  <si>
    <t>-630.790338848919 165.42470615813 676.865187120021</t>
  </si>
  <si>
    <t>-496.4303777145 94.9136637806691 765.854508454393</t>
  </si>
  <si>
    <t>-629.538721498401 25.4202213833398 -211.970299857218</t>
  </si>
  <si>
    <t>-513.214451941862 -39.8400571959326 223.767513530606</t>
  </si>
  <si>
    <t>-694.107460019266 34.6500994056255 650.978293769141</t>
  </si>
  <si>
    <t>-578.420162013641 -61.9495399821817 741.6892060661</t>
  </si>
  <si>
    <t>9763-20170724T160703.626505000.bin</t>
  </si>
  <si>
    <t>-597.75507014865 118.058970191871 -228.254276161427</t>
  </si>
  <si>
    <t>-637.467933550381 111.571443082232 -342.484596928612</t>
  </si>
  <si>
    <t>-656.522610255429 101.587694739552 -461.765148745619</t>
  </si>
  <si>
    <t>-665.166307228171 90.6417239278071 -570.394456786839</t>
  </si>
  <si>
    <t>-665.343581879965 77.5519414032085 -679.130180175295</t>
  </si>
  <si>
    <t>-656.834618069923 56.8876512219251 -829.797348035447</t>
  </si>
  <si>
    <t>-620.873513969356 30.4943093227587 -921.411591795736</t>
  </si>
  <si>
    <t>-644.502283596526 93.3020561366377 -765.963023693484</t>
  </si>
  <si>
    <t>-549.467825990875 204.981664343619 -755.078365989111</t>
  </si>
  <si>
    <t>-443.038813141313 149.696250019352 -462.157629836978</t>
  </si>
  <si>
    <t>-238.743189701548 66.4322626609132 -324.417054051441</t>
  </si>
  <si>
    <t>-676.696809392282 38.7599235076648 -760.300661949837</t>
  </si>
  <si>
    <t>-566.00475372059 210.415673800816 -243.886185426527</t>
  </si>
  <si>
    <t>-572.964336635469 188.582340431497 211.232001848492</t>
  </si>
  <si>
    <t>-630.913798264512 165.261399187435 676.925536955152</t>
  </si>
  <si>
    <t>-496.405998182918 94.9618240764059 765.858791340016</t>
  </si>
  <si>
    <t>-629.369365895077 25.8606398414693 -211.875112296943</t>
  </si>
  <si>
    <t>-513.326602469467 -39.7049653507108 223.891842881474</t>
  </si>
  <si>
    <t>-694.074287521929 34.8512706945326 651.208827419175</t>
  </si>
  <si>
    <t>-578.427956442118 -61.8904511074852 741.820522309024</t>
  </si>
  <si>
    <t>9763-20170724T160703.693191600.bin</t>
  </si>
  <si>
    <t>-597.386967380196 118.661355930431 -227.893552426259</t>
  </si>
  <si>
    <t>-636.849824517191 112.03631548577 -342.202682904649</t>
  </si>
  <si>
    <t>-655.84551676206 101.945466154402 -461.483536481595</t>
  </si>
  <si>
    <t>-664.517806666764 90.914114978789 -570.101941497686</t>
  </si>
  <si>
    <t>-664.807158063233 77.7489230137985 -678.828364482474</t>
  </si>
  <si>
    <t>-656.540466525342 56.9898063750584 -829.49599249253</t>
  </si>
  <si>
    <t>-620.79820191061 30.5639704778193 -921.186467751728</t>
  </si>
  <si>
    <t>-644.096643984649 93.4392180744505 -765.70319494166</t>
  </si>
  <si>
    <t>-549.255218593795 205.303702496684 -755.136175723626</t>
  </si>
  <si>
    <t>-445.475499857102 152.495624538653 -460.811127318561</t>
  </si>
  <si>
    <t>-244.011547172853 65.9129695364006 -320.961960345704</t>
  </si>
  <si>
    <t>-676.299760352517 38.9109714218578 -759.957300096734</t>
  </si>
  <si>
    <t>-565.732294727244 210.68502234257 -243.477151868674</t>
  </si>
  <si>
    <t>-573.478226392547 189.03682957147 211.637112835338</t>
  </si>
  <si>
    <t>-631.518461923322 165.047716842821 677.490746588427</t>
  </si>
  <si>
    <t>-496.473925550423 94.988588428396 765.798162850135</t>
  </si>
  <si>
    <t>-628.935456406433 26.7412883697255 -211.591291563482</t>
  </si>
  <si>
    <t>-513.845169630804 -38.8812793687996 224.419632416607</t>
  </si>
  <si>
    <t>-694.058438733391 35.4152375191366 652.026574913866</t>
  </si>
  <si>
    <t>-578.447970579865 -61.7993820820197 742.176729617512</t>
  </si>
  <si>
    <t>9763-20170724T160703.725272800.bin</t>
  </si>
  <si>
    <t>-597.341633430768 119.056063153334 -227.528209849055</t>
  </si>
  <si>
    <t>-636.778062394126 112.373437004433 -341.84321141952</t>
  </si>
  <si>
    <t>-655.796766584992 102.203186182034 -461.113625123455</t>
  </si>
  <si>
    <t>-664.510905236031 91.0929439426038 -569.720577979221</t>
  </si>
  <si>
    <t>-664.863373914198 77.8425421634263 -678.436484091087</t>
  </si>
  <si>
    <t>-656.706769538802 56.9588547128355 -829.092825812762</t>
  </si>
  <si>
    <t>-621.090949456924 30.4753268412678 -920.815961463269</t>
  </si>
  <si>
    <t>-644.268676938335 93.4911287520852 -765.346447019112</t>
  </si>
  <si>
    <t>-549.878263561178 205.76183889493 -754.897354703461</t>
  </si>
  <si>
    <t>-447.735026517797 152.598747983894 -460.064038945894</t>
  </si>
  <si>
    <t>-247.845555318673 65.2297243578435 -318.45590269384</t>
  </si>
  <si>
    <t>-676.362916292319 38.9073943219098 -759.517597397754</t>
  </si>
  <si>
    <t>-565.963508104733 210.872687682676 -242.986639925608</t>
  </si>
  <si>
    <t>-573.80493821245 189.047584358983 212.117625330098</t>
  </si>
  <si>
    <t>-632.142127665978 164.852267471526 678.052349296969</t>
  </si>
  <si>
    <t>-496.533852447703 95.0590949944808 765.704057133407</t>
  </si>
  <si>
    <t>-628.681161355251 27.345559263465 -211.306238150432</t>
  </si>
  <si>
    <t>-514.277697131189 -38.5316388377955 224.847002414217</t>
  </si>
  <si>
    <t>-694.153219860957 35.5791900514516 652.573897401507</t>
  </si>
  <si>
    <t>-578.324675482307 -61.6753154622277 742.400517394243</t>
  </si>
  <si>
    <t>9763-20170724T160703.789446700.bin</t>
  </si>
  <si>
    <t>-597.250656612637 119.85925307303 -226.708007536361</t>
  </si>
  <si>
    <t>-636.679919449151 113.152914594205 -341.023963540943</t>
  </si>
  <si>
    <t>-655.727631099304 102.881834112483 -460.281127685209</t>
  </si>
  <si>
    <t>-664.484005676524 91.6534430342447 -568.872479772597</t>
  </si>
  <si>
    <t>-664.89546937367 78.2598401533737 -677.570732662726</t>
  </si>
  <si>
    <t>-656.838783480378 57.1529444367691 -828.201395159999</t>
  </si>
  <si>
    <t>-621.209083655296 30.6245759153032 -919.906082694744</t>
  </si>
  <si>
    <t>-644.489181307071 93.8540753608866 -764.534853308086</t>
  </si>
  <si>
    <t>-551.357481960996 207.228238733851 -754.500870891184</t>
  </si>
  <si>
    <t>-452.630856862255 154.185106923208 -458.484579373667</t>
  </si>
  <si>
    <t>-257.509802176023 62.2106978769705 -313.189884869666</t>
  </si>
  <si>
    <t>-676.31812729244 39.1300234768489 -758.569140642343</t>
  </si>
  <si>
    <t>-566.303924573337 211.176608643396 -242.017910605222</t>
  </si>
  <si>
    <t>-573.806585468258 188.726691141854 213.061668640453</t>
  </si>
  <si>
    <t>-633.020277632497 164.532646310956 678.763741787598</t>
  </si>
  <si>
    <t>-496.56056427556 95.2549051889382 765.49810553344</t>
  </si>
  <si>
    <t>-628.037018487781 28.5905312698333 -210.637353415628</t>
  </si>
  <si>
    <t>-515.066999805802 -38.1492768301416 225.758392577753</t>
  </si>
  <si>
    <t>-694.296924757228 36.170510833434 653.663044707265</t>
  </si>
  <si>
    <t>-578.339351200354 -61.5269156629847 742.840184317391</t>
  </si>
  <si>
    <t>9763-20170724T160703.821535500.bin</t>
  </si>
  <si>
    <t>-597.110683221203 119.902561400768 -226.287299198409</t>
  </si>
  <si>
    <t>-636.521449016141 113.150317929988 -340.606935052748</t>
  </si>
  <si>
    <t>-655.625243388569 102.783574380591 -459.846852978315</t>
  </si>
  <si>
    <t>-664.464645734682 91.4500514189142 -568.420641433718</t>
  </si>
  <si>
    <t>-664.991955980215 77.933750352616 -677.103053981467</t>
  </si>
  <si>
    <t>-657.130724758599 56.6388621257393 -827.717654612101</t>
  </si>
  <si>
    <t>-621.514205170693 30.0757545441222 -919.417490285983</t>
  </si>
  <si>
    <t>-644.721048510254 93.4323104973337 -764.116067424662</t>
  </si>
  <si>
    <t>-552.12178110985 207.28999370944 -754.475794140862</t>
  </si>
  <si>
    <t>-455.710999480312 156.32251765227 -457.333654196323</t>
  </si>
  <si>
    <t>-265.053250717419 59.6132858660274 -309.21541538499</t>
  </si>
  <si>
    <t>-676.497057424981 38.690123902584 -758.034712252818</t>
  </si>
  <si>
    <t>-566.266414930951 211.047086421491 -241.645606088016</t>
  </si>
  <si>
    <t>-573.725910052385 188.508515501473 213.430230542346</t>
  </si>
  <si>
    <t>-633.280072621751 164.450062528338 679.012523892853</t>
  </si>
  <si>
    <t>-496.547190493246 95.3551587860559 765.462073033004</t>
  </si>
  <si>
    <t>-627.787862624358 28.6768382943064 -210.231162188474</t>
  </si>
  <si>
    <t>-515.211797658374 -38.1832160984843 226.247995914276</t>
  </si>
  <si>
    <t>-694.360695100024 36.2119882419261 654.063411019669</t>
  </si>
  <si>
    <t>-578.285532169736 -61.5087341586886 743.061921051122</t>
  </si>
  <si>
    <t>9763-20170724T160703.890220800.bin</t>
  </si>
  <si>
    <t>-596.42512211583 119.467775445016 -225.65069764333</t>
  </si>
  <si>
    <t>-635.780192016227 112.68667734575 -339.987886429854</t>
  </si>
  <si>
    <t>-654.935523621346 102.111272892026 -459.201238477171</t>
  </si>
  <si>
    <t>-663.870052899642 90.5217411310114 -567.740039541138</t>
  </si>
  <si>
    <t>-664.543257136393 76.6856556091832 -676.381568061774</t>
  </si>
  <si>
    <t>-656.939422684766 54.8828763777963 -826.93653316863</t>
  </si>
  <si>
    <t>-621.361216923785 28.1705379359562 -918.607806044237</t>
  </si>
  <si>
    <t>-644.396442042482 91.8765176701615 -763.477424218901</t>
  </si>
  <si>
    <t>-552.557288082554 206.348352266 -754.547185402324</t>
  </si>
  <si>
    <t>-463.958263641888 163.347426318209 -453.736148826014</t>
  </si>
  <si>
    <t>-281.665048208292 56.7955869418713 -301.887627430455</t>
  </si>
  <si>
    <t>-676.211372422299 37.1832836984245 -757.163882055294</t>
  </si>
  <si>
    <t>-565.577508245533 210.427943901252 -241.146656482608</t>
  </si>
  <si>
    <t>-573.409994222859 188.067138770029 213.931764659738</t>
  </si>
  <si>
    <t>-633.58362736312 164.413435011142 679.380007449308</t>
  </si>
  <si>
    <t>-496.595159300337 95.3864077974713 765.478421241432</t>
  </si>
  <si>
    <t>-627.125916442498 28.4644035857837 -209.533368999827</t>
  </si>
  <si>
    <t>-515.020885898588 -38.6144531205848 227.033445304999</t>
  </si>
  <si>
    <t>-694.342992117347 36.3048726432899 654.622634614767</t>
  </si>
  <si>
    <t>-578.302092193079 -61.5148436427376 743.557020541564</t>
  </si>
  <si>
    <t>9763-20170724T160703.923477600.bin</t>
  </si>
  <si>
    <t>-596.058782828655 118.979982397046 -225.448769617766</t>
  </si>
  <si>
    <t>-635.399287537222 112.250924834982 -339.793969011622</t>
  </si>
  <si>
    <t>-654.523195435846 101.615209537915 -459.006946760392</t>
  </si>
  <si>
    <t>-663.423823027834 89.9318134862644 -567.538654122109</t>
  </si>
  <si>
    <t>-664.058257671968 75.9666076304698 -676.163845678283</t>
  </si>
  <si>
    <t>-656.395742678792 53.9516577970105 -826.685014205342</t>
  </si>
  <si>
    <t>-620.840930489084 27.1654430327026 -918.343769493698</t>
  </si>
  <si>
    <t>-643.885028972698 91.0390896211095 -763.27422933003</t>
  </si>
  <si>
    <t>-552.103722946363 205.600329066719 -754.522414043783</t>
  </si>
  <si>
    <t>-469.287108259903 167.361593654352 -451.429252802121</t>
  </si>
  <si>
    <t>-291.917614566738 54.6871758803902 -298.175960563811</t>
  </si>
  <si>
    <t>-675.687257707852 36.3461505763948 -756.893816374613</t>
  </si>
  <si>
    <t>-565.024096899888 209.9037365052 -241.012627564358</t>
  </si>
  <si>
    <t>-573.094382024507 187.692460471494 214.068986360552</t>
  </si>
  <si>
    <t>-633.65916322569 164.395117329108 679.476524439577</t>
  </si>
  <si>
    <t>-496.571795949396 95.4643985366761 765.494660976102</t>
  </si>
  <si>
    <t>-626.942225096987 28.0378524226148 -209.331380007759</t>
  </si>
  <si>
    <t>-514.89129141172 -39.0330429536118 227.250509058665</t>
  </si>
  <si>
    <t>-694.263079642212 36.1636267491231 654.730382184506</t>
  </si>
  <si>
    <t>-578.195710577073 -61.4834570244698 743.819781645676</t>
  </si>
  <si>
    <t>9763-20170724T160703.992665000.bin</t>
  </si>
  <si>
    <t>-595.320726474859 118.060197677606 -225.1764644674</t>
  </si>
  <si>
    <t>-634.796279662452 111.471672932247 -339.483476938753</t>
  </si>
  <si>
    <t>-653.910507717842 100.730856518992 -458.688484660656</t>
  </si>
  <si>
    <t>-662.742852001476 88.8669627861404 -567.20619791024</t>
  </si>
  <si>
    <t>-663.250015267972 74.6444722618903 -675.798643924234</t>
  </si>
  <si>
    <t>-655.349642377254 52.2006126807119 -826.244100104939</t>
  </si>
  <si>
    <t>-619.831326146519 25.2024299867919 -917.854986116357</t>
  </si>
  <si>
    <t>-643.010324747504 89.5087534394515 -762.929359514621</t>
  </si>
  <si>
    <t>-551.427954489315 204.183020699345 -754.14549487361</t>
  </si>
  <si>
    <t>-479.844609550067 177.298675037257 -446.998613569732</t>
  </si>
  <si>
    <t>-310.50461781724 54.2009707603202 -292.684060960531</t>
  </si>
  <si>
    <t>-674.680233614244 34.7539731141389 -756.424014606721</t>
  </si>
  <si>
    <t>-564.07862730598 208.995435296267 -240.776746128616</t>
  </si>
  <si>
    <t>-572.360382665653 186.905893050175 214.306902767547</t>
  </si>
  <si>
    <t>-633.829834567067 164.270855766815 679.656987602075</t>
  </si>
  <si>
    <t>-496.617005549192 95.4286627882357 765.545941654755</t>
  </si>
  <si>
    <t>-626.455254333119 27.2476684763096 -208.984310609362</t>
  </si>
  <si>
    <t>-514.491760927036 -39.7841389653029 227.626009654184</t>
  </si>
  <si>
    <t>-694.162657046466 36.1570089021861 655.067461980438</t>
  </si>
  <si>
    <t>-578.307350637216 -61.6509598899552 744.256345064518</t>
  </si>
  <si>
    <t>9763-20170724T160704.022490400.bin</t>
  </si>
  <si>
    <t>-595.01595956618 117.670835683501 -225.033740278682</t>
  </si>
  <si>
    <t>-634.58032274465 111.116680898468 -339.311791972155</t>
  </si>
  <si>
    <t>-653.646531832996 100.290516406935 -458.516882785543</t>
  </si>
  <si>
    <t>-662.378833938033 88.3068338589469 -567.029547114256</t>
  </si>
  <si>
    <t>-662.729379739191 73.9260477309288 -675.601853139485</t>
  </si>
  <si>
    <t>-654.553543725133 51.2254046877692 -825.993973975937</t>
  </si>
  <si>
    <t>-618.964413905377 24.0942539428881 -917.537988339221</t>
  </si>
  <si>
    <t>-642.397012996197 88.6791209343053 -762.729793343516</t>
  </si>
  <si>
    <t>-551.030620547901 203.558920211666 -754.117141000488</t>
  </si>
  <si>
    <t>-483.545326332117 181.846487803222 -445.636208565873</t>
  </si>
  <si>
    <t>-318.408880424726 53.4774988100016 -291.061240421131</t>
  </si>
  <si>
    <t>-673.945165909023 33.860366033867 -756.170326891012</t>
  </si>
  <si>
    <t>-563.757799687394 208.652085157331 -240.659898261274</t>
  </si>
  <si>
    <t>-571.943237092274 186.548986033308 214.424870159515</t>
  </si>
  <si>
    <t>-633.882210396485 164.241928823769 679.729510808976</t>
  </si>
  <si>
    <t>-496.667504580272 95.3478486737938 765.573788845894</t>
  </si>
  <si>
    <t>-626.136274674254 26.8345853770045 -208.792264957802</t>
  </si>
  <si>
    <t>-514.398557663222 -40.2095050482824 227.874078271057</t>
  </si>
  <si>
    <t>-694.1993346591 36.1545042165576 655.253863369894</t>
  </si>
  <si>
    <t>-578.360766579098 -61.7087503504858 744.403868655172</t>
  </si>
  <si>
    <t>9763-20170724T160704.091686300.bin</t>
  </si>
  <si>
    <t>-594.742989100991 117.025383520589 -224.746504966518</t>
  </si>
  <si>
    <t>-634.643793039629 110.494746523058 -338.909031997262</t>
  </si>
  <si>
    <t>-653.786917377772 99.5525830994968 -458.091131505609</t>
  </si>
  <si>
    <t>-662.478180865762 87.4145103643839 -566.589853610149</t>
  </si>
  <si>
    <t>-662.676318974748 72.8340600415761 -675.135853220617</t>
  </si>
  <si>
    <t>-654.172780095559 49.8136305022783 -825.461363947178</t>
  </si>
  <si>
    <t>-618.427944606546 22.5348930102416 -916.900674163793</t>
  </si>
  <si>
    <t>-642.309842812717 87.4882565199259 -762.272712529492</t>
  </si>
  <si>
    <t>-551.74094436577 203.011285635224 -754.009430478061</t>
  </si>
  <si>
    <t>-489.112737310863 187.246007357867 -444.145918950074</t>
  </si>
  <si>
    <t>-330.127612411434 52.3772845758062 -288.658883193967</t>
  </si>
  <si>
    <t>-673.56082487436 32.5106475683315 -755.621273971157</t>
  </si>
  <si>
    <t>-563.710742621974 208.145795516043 -240.431028445405</t>
  </si>
  <si>
    <t>-571.233268080941 185.759430828773 214.651236706582</t>
  </si>
  <si>
    <t>-633.999309514535 164.111355205628 679.843240467213</t>
  </si>
  <si>
    <t>-496.683876624241 95.3350793250754 765.620917267781</t>
  </si>
  <si>
    <t>-625.68927019654 25.9883212843893 -208.421414838875</t>
  </si>
  <si>
    <t>-514.311544840137 -40.5196995287092 228.418773262614</t>
  </si>
  <si>
    <t>-694.354958842218 36.1039816534264 655.612859276258</t>
  </si>
  <si>
    <t>-578.36087654885 -61.7300678193574 744.592544252676</t>
  </si>
  <si>
    <t>9763-20170724T160704.124737800.bin</t>
  </si>
  <si>
    <t>-594.676838253232 116.805415168833 -224.67044328589</t>
  </si>
  <si>
    <t>-634.641051459254 110.218154833894 -338.807563002208</t>
  </si>
  <si>
    <t>-653.798939780961 99.1996758881569 -457.980197082898</t>
  </si>
  <si>
    <t>-662.481929642139 86.9893336638563 -566.471457154011</t>
  </si>
  <si>
    <t>-662.649314021513 72.3359423826555 -675.007709320545</t>
  </si>
  <si>
    <t>-654.079169981051 49.2156656015493 -825.314049644287</t>
  </si>
  <si>
    <t>-618.276307264203 21.929411838581 -916.728568494666</t>
  </si>
  <si>
    <t>-642.334542463128 86.9818381336495 -762.157954129372</t>
  </si>
  <si>
    <t>-552.322705490353 202.963591522241 -754.006265157721</t>
  </si>
  <si>
    <t>-489.378011433542 187.880981789471 -444.173043719603</t>
  </si>
  <si>
    <t>-330.739105114564 53.8705533701982 -287.594133026173</t>
  </si>
  <si>
    <t>-673.40788034028 31.9094656571426 -755.458482519904</t>
  </si>
  <si>
    <t>-563.798324441869 207.950555725829 -240.347693929306</t>
  </si>
  <si>
    <t>-571.058300713862 185.47247319052 214.73435610208</t>
  </si>
  <si>
    <t>-634.056052451163 164.052102807585 679.902727930805</t>
  </si>
  <si>
    <t>-496.680033926923 95.342595383707 765.636881104809</t>
  </si>
  <si>
    <t>-625.442904521592 25.8356203044179 -208.320547905345</t>
  </si>
  <si>
    <t>-514.416357964076 -40.6118451273951 228.618159035487</t>
  </si>
  <si>
    <t>-694.375954921222 36.2119888342668 655.779688418232</t>
  </si>
  <si>
    <t>-578.579408825547 -61.9260551006128 744.681851106417</t>
  </si>
  <si>
    <t>9763-20170724T160704.188907900.bin</t>
  </si>
  <si>
    <t>-594.169107473116 116.521163544649 -224.639276220484</t>
  </si>
  <si>
    <t>-634.068298888807 109.774725925468 -338.789749282617</t>
  </si>
  <si>
    <t>-653.335213199052 98.7309156103079 -457.942560504394</t>
  </si>
  <si>
    <t>-662.186377812495 86.5549519524566 -566.424140505431</t>
  </si>
  <si>
    <t>-662.58959005281 71.9935610751079 -674.971992281685</t>
  </si>
  <si>
    <t>-654.414806329258 49.0613036274135 -825.329220832925</t>
  </si>
  <si>
    <t>-618.703258857852 21.8775835992581 -916.809885070902</t>
  </si>
  <si>
    <t>-642.616148230681 86.8094328692259 -762.172373543037</t>
  </si>
  <si>
    <t>-553.548081192484 203.552286451806 -754.098045095804</t>
  </si>
  <si>
    <t>-488.414397763373 187.319358224353 -444.775686246419</t>
  </si>
  <si>
    <t>-325.132395138504 62.0327047607343 -285.765237855753</t>
  </si>
  <si>
    <t>-673.447756463445 31.6066578083269 -755.429292688155</t>
  </si>
  <si>
    <t>-563.728764045557 207.542789210443 -240.279446025747</t>
  </si>
  <si>
    <t>-571.102072709125 185.371881870168 214.815926296063</t>
  </si>
  <si>
    <t>-634.158218723531 164.029229951586 680.021874538965</t>
  </si>
  <si>
    <t>-496.731240906406 95.2921088562471 765.652155370455</t>
  </si>
  <si>
    <t>-624.398279511298 25.6076000002927 -208.381234325977</t>
  </si>
  <si>
    <t>-514.676690072355 -40.8530185760708 228.885080810292</t>
  </si>
  <si>
    <t>-694.455048232074 36.1953964520567 656.072701445505</t>
  </si>
  <si>
    <t>-578.556834409972 -61.880916274471 744.910497118167</t>
  </si>
  <si>
    <t>9763-20170724T160704.252960800.bin</t>
  </si>
  <si>
    <t>-593.499700313073 116.124022081172 -224.648145710819</t>
  </si>
  <si>
    <t>-633.265364341961 109.318303080419 -338.841729509898</t>
  </si>
  <si>
    <t>-652.572532334598 98.3295405814333 -457.993134014126</t>
  </si>
  <si>
    <t>-661.531169095618 86.2509178226128 -566.476756050486</t>
  </si>
  <si>
    <t>-662.111904281751 71.8341691191574 -675.043195291219</t>
  </si>
  <si>
    <t>-654.254355150085 49.152287270646 -825.455197686972</t>
  </si>
  <si>
    <t>-618.793512680566 22.1665118155329 -917.091991252708</t>
  </si>
  <si>
    <t>-642.350500788393 86.810502769288 -762.264520867493</t>
  </si>
  <si>
    <t>-553.502392587853 203.722138228602 -754.23879820611</t>
  </si>
  <si>
    <t>-486.697941632596 186.298294634979 -445.337826582931</t>
  </si>
  <si>
    <t>-315.460304817834 72.1600513423475 -286.302662704261</t>
  </si>
  <si>
    <t>-673.111655347739 31.5661296083451 -755.540724786402</t>
  </si>
  <si>
    <t>-563.331180922231 206.823585728521 -240.233323269154</t>
  </si>
  <si>
    <t>-571.103215022118 185.064437950275 214.875337497627</t>
  </si>
  <si>
    <t>-634.278016857517 164.003529941836 680.154985829846</t>
  </si>
  <si>
    <t>-496.762685232282 95.2763049900145 765.651273614966</t>
  </si>
  <si>
    <t>-623.540893521961 25.3829700606348 -208.425380971785</t>
  </si>
  <si>
    <t>-514.989398887701 -41.2701860832906 229.103636363413</t>
  </si>
  <si>
    <t>-694.491253245981 36.085467371905 656.297019142586</t>
  </si>
  <si>
    <t>-578.569391585635 -61.9498086157585 745.14924825246</t>
  </si>
  <si>
    <t>9763-20170724T160704.289561800.bin</t>
  </si>
  <si>
    <t>-593.108832887359 115.860257482404 -224.702159895607</t>
  </si>
  <si>
    <t>-632.841593261726 109.119209965568 -338.910934681739</t>
  </si>
  <si>
    <t>-652.198499358888 98.2180219563729 -458.062372556333</t>
  </si>
  <si>
    <t>-661.235799034754 86.2299425430892 -566.549488256532</t>
  </si>
  <si>
    <t>-661.927978251773 71.9164482751921 -675.128971411917</t>
  </si>
  <si>
    <t>-654.258717898367 49.391708436347 -825.574396337237</t>
  </si>
  <si>
    <t>-618.92524705854 22.5076613607348 -917.290106563913</t>
  </si>
  <si>
    <t>-642.27183684151 86.9817263052528 -762.358686872513</t>
  </si>
  <si>
    <t>-553.468575695162 203.90343024136 -754.398720393886</t>
  </si>
  <si>
    <t>-486.501251627627 185.385594670947 -445.596715101385</t>
  </si>
  <si>
    <t>-312.939237991643 74.0456629730365 -287.098520124586</t>
  </si>
  <si>
    <t>-673.032427705987 31.7346761376357 -755.655249390222</t>
  </si>
  <si>
    <t>-562.961685805275 206.392156213479 -240.204912546075</t>
  </si>
  <si>
    <t>-570.893407915143 184.7525949962 214.906653106122</t>
  </si>
  <si>
    <t>-634.327138154354 164.022794352227 680.214924737179</t>
  </si>
  <si>
    <t>-496.807801254595 95.2138379232701 765.638990713438</t>
  </si>
  <si>
    <t>-623.102731307489 25.3492338239355 -208.535841169982</t>
  </si>
  <si>
    <t>-515.210012261422 -41.6374339612996 229.105098918121</t>
  </si>
  <si>
    <t>-694.461561445084 35.9697933482194 656.348426318752</t>
  </si>
  <si>
    <t>-578.556496430738 -62.0058291441094 745.288310139458</t>
  </si>
  <si>
    <t>9763-20170724T160704.322186000.bin</t>
  </si>
  <si>
    <t>-592.697207069617 115.670638440129 -224.72455985275</t>
  </si>
  <si>
    <t>-632.384679505323 108.996398812257 -338.953225767862</t>
  </si>
  <si>
    <t>-651.770134935268 98.197793845347 -458.109224865353</t>
  </si>
  <si>
    <t>-660.862728041282 86.3211073766718 -566.603969968477</t>
  </si>
  <si>
    <t>-661.638277937061 72.1402245221557 -675.200271739318</t>
  </si>
  <si>
    <t>-654.112288075875 49.8240707039513 -825.683903005046</t>
  </si>
  <si>
    <t>-618.891634577282 23.0650305045313 -917.479728916193</t>
  </si>
  <si>
    <t>-642.068848757356 87.3283745869853 -762.428124119707</t>
  </si>
  <si>
    <t>-553.076136947272 204.122093261404 -754.50830746194</t>
  </si>
  <si>
    <t>-485.995202293779 185.008024836086 -445.767314804692</t>
  </si>
  <si>
    <t>-312.091385421412 74.0173105970816 -287.398818404859</t>
  </si>
  <si>
    <t>-672.815827248867 32.0681020148097 -755.77102397748</t>
  </si>
  <si>
    <t>-562.537917044179 205.936848710604 -240.170912128807</t>
  </si>
  <si>
    <t>-570.581357477325 184.332990448367 214.940325668745</t>
  </si>
  <si>
    <t>-634.398008494452 164.008268586427 680.264826019993</t>
  </si>
  <si>
    <t>-496.821722200858 95.2231437254056 765.616372503175</t>
  </si>
  <si>
    <t>-622.706155736922 25.4457190914648 -208.614732856156</t>
  </si>
  <si>
    <t>-515.512881159694 -41.9373263253287 229.137237047351</t>
  </si>
  <si>
    <t>-694.382098250991 36.0001318839418 656.451221928125</t>
  </si>
  <si>
    <t>-578.610797902647 -62.070297146229 745.460815188868</t>
  </si>
  <si>
    <t>9763-20170724T160704.391341600.bin</t>
  </si>
  <si>
    <t>-592.089170599037 115.138374888521 -224.667445506557</t>
  </si>
  <si>
    <t>-631.727462881117 108.58399440095 -338.920060547289</t>
  </si>
  <si>
    <t>-651.322230238825 97.9015499234099 -458.052276877916</t>
  </si>
  <si>
    <t>-660.709929783595 86.1387231102583 -566.534358187315</t>
  </si>
  <si>
    <t>-661.884317508484 72.0866313999213 -675.143692977789</t>
  </si>
  <si>
    <t>-655.017220624073 49.970230661168 -825.688472875261</t>
  </si>
  <si>
    <t>-620.147930980557 23.3247057567426 -917.651099833541</t>
  </si>
  <si>
    <t>-642.728109569635 87.4075122811475 -762.440253113797</t>
  </si>
  <si>
    <t>-553.868939320594 204.35010641944 -754.932743422091</t>
  </si>
  <si>
    <t>-485.979315177092 184.689372729988 -446.402886016207</t>
  </si>
  <si>
    <t>-312.057799773156 73.7480491232061 -288.019230600137</t>
  </si>
  <si>
    <t>-673.383342647243 32.1045337898045 -755.713962441213</t>
  </si>
  <si>
    <t>-561.90774135328 205.134905093294 -240.038405726477</t>
  </si>
  <si>
    <t>-569.940206927085 183.496165755238 215.071406298336</t>
  </si>
  <si>
    <t>-634.538373782457 163.911995753712 680.329032656017</t>
  </si>
  <si>
    <t>-496.839663398917 95.2453415693717 765.578525992153</t>
  </si>
  <si>
    <t>-622.15712002003 25.1426214454318 -208.662500594054</t>
  </si>
  <si>
    <t>-515.972553492568 -42.1572660407514 229.348110238623</t>
  </si>
  <si>
    <t>-694.432684229525 35.8756473497981 656.830269359537</t>
  </si>
  <si>
    <t>-578.563731881821 -62.0831606851318 745.835699491984</t>
  </si>
  <si>
    <t>9763-20170724T160704.422425200.bin</t>
  </si>
  <si>
    <t>-591.828613224547 114.916928001238 -224.680307606907</t>
  </si>
  <si>
    <t>-631.418434552947 108.410153088264 -338.952517318777</t>
  </si>
  <si>
    <t>-651.094665772622 97.7492711415496 -458.073249902175</t>
  </si>
  <si>
    <t>-660.610436201725 85.9981505993994 -566.545399358866</t>
  </si>
  <si>
    <t>-661.967429903002 71.9512985431309 -675.153246420627</t>
  </si>
  <si>
    <t>-655.410391282924 49.8365828976882 -825.712158207093</t>
  </si>
  <si>
    <t>-620.743530330124 23.2256584246559 -917.761291977672</t>
  </si>
  <si>
    <t>-643.008649891595 87.2825779865693 -762.491056801648</t>
  </si>
  <si>
    <t>-554.340080044784 204.35337718202 -755.185892080555</t>
  </si>
  <si>
    <t>-486.310241731081 184.626448568864 -446.691207423677</t>
  </si>
  <si>
    <t>-312.331834194604 73.4916157699563 -288.50592616106</t>
  </si>
  <si>
    <t>-673.614795286574 31.9606301786032 -755.697963385968</t>
  </si>
  <si>
    <t>-561.699832442313 204.805664180976 -239.981063205547</t>
  </si>
  <si>
    <t>-569.702554368964 183.154962224979 215.12867353278</t>
  </si>
  <si>
    <t>-634.586871650009 163.871141754933 680.355351409567</t>
  </si>
  <si>
    <t>-496.83585874187 95.2760407163369 765.577886067339</t>
  </si>
  <si>
    <t>-621.821033386401 25.0449033167979 -208.71535527155</t>
  </si>
  <si>
    <t>-516.042027682286 -42.2709426472697 229.390822551558</t>
  </si>
  <si>
    <t>-694.389183092057 35.8903861960382 656.939818731171</t>
  </si>
  <si>
    <t>-578.723643880353 -62.2583253966418 746.000592170507</t>
  </si>
  <si>
    <t>9763-20170724T160704.491617200.bin</t>
  </si>
  <si>
    <t>-591.351147643876 114.639596936988 -224.596813678639</t>
  </si>
  <si>
    <t>-630.848307027697 108.116624178122 -338.899906379351</t>
  </si>
  <si>
    <t>-650.616980398763 97.4513512412341 -458.005083495198</t>
  </si>
  <si>
    <t>-660.294271293836 85.7004725960462 -566.463042250572</t>
  </si>
  <si>
    <t>-661.891365350374 71.6571346545295 -675.068205731405</t>
  </si>
  <si>
    <t>-655.749367535071 49.5500833236242 -825.645546616842</t>
  </si>
  <si>
    <t>-621.433473911196 23.039312998598 -917.85506005714</t>
  </si>
  <si>
    <t>-643.183869732092 86.9986504339893 -762.458209540428</t>
  </si>
  <si>
    <t>-554.702587669819 204.258923491335 -755.521090544167</t>
  </si>
  <si>
    <t>-487.066971508508 185.122800182337 -446.902673229224</t>
  </si>
  <si>
    <t>-308.753965407259 79.4334348032482 -289.815760338315</t>
  </si>
  <si>
    <t>-673.75005446901 31.665004575726 -755.581188787351</t>
  </si>
  <si>
    <t>-561.368755542754 204.433197181099 -239.894163594092</t>
  </si>
  <si>
    <t>-569.453838363253 182.785014180052 215.214235385357</t>
  </si>
  <si>
    <t>-634.59964510409 163.84941996352 680.368798137097</t>
  </si>
  <si>
    <t>-496.753200507656 95.4724736037419 765.612310060058</t>
  </si>
  <si>
    <t>-621.174480102868 24.8385077799232 -208.634858495403</t>
  </si>
  <si>
    <t>-515.715637761788 -42.4340923301882 229.555187231895</t>
  </si>
  <si>
    <t>-694.342729665531 35.7201620739718 657.024945543106</t>
  </si>
  <si>
    <t>-578.683477699512 -62.3238572777234 746.209126409178</t>
  </si>
  <si>
    <t>9763-20170724T160704.524281900.bin</t>
  </si>
  <si>
    <t>-591.127492572956 114.577280426801 -224.547942664422</t>
  </si>
  <si>
    <t>-630.614407645327 107.996530793718 -338.851387949132</t>
  </si>
  <si>
    <t>-650.497138734793 97.2775498022006 -457.932696937332</t>
  </si>
  <si>
    <t>-660.329385329782 85.4795012296906 -566.371504975114</t>
  </si>
  <si>
    <t>-662.13369226487 71.3896194251779 -674.967436417876</t>
  </si>
  <si>
    <t>-656.333751733383 49.2180667336504 -825.548966621519</t>
  </si>
  <si>
    <t>-622.213354003807 22.7207338598835 -917.834693633139</t>
  </si>
  <si>
    <t>-643.61057182445 86.6860394231571 -762.404756154037</t>
  </si>
  <si>
    <t>-555.333728045528 204.096076945227 -755.700325838643</t>
  </si>
  <si>
    <t>-487.890858857314 185.01776219209 -447.036020556326</t>
  </si>
  <si>
    <t>-309.715856527138 79.6005656911818 -289.610166462072</t>
  </si>
  <si>
    <t>-674.189499078223 31.3705629567426 -755.437930548957</t>
  </si>
  <si>
    <t>-561.232477610168 204.290581223286 -239.886707959815</t>
  </si>
  <si>
    <t>-569.322121440319 182.630253579188 215.221047239716</t>
  </si>
  <si>
    <t>-634.574688518601 163.861471424289 680.350022529865</t>
  </si>
  <si>
    <t>-496.693413599678 95.6134957611898 765.640601476466</t>
  </si>
  <si>
    <t>-620.836342783696 24.8574548451982 -208.564419746513</t>
  </si>
  <si>
    <t>-515.390742931039 -42.4049432701668 229.630299265256</t>
  </si>
  <si>
    <t>-694.277601185144 35.7087385281779 657.019237413824</t>
  </si>
  <si>
    <t>-578.673240433696 -62.356587379594 746.25117421051</t>
  </si>
  <si>
    <t>9763-20170724T160704.592467900.bin</t>
  </si>
  <si>
    <t>-590.881584306439 114.61848673009 -224.519848358006</t>
  </si>
  <si>
    <t>-630.32172738721 107.915373249412 -338.832387289652</t>
  </si>
  <si>
    <t>-650.364507046078 97.14934644917 -457.882519060368</t>
  </si>
  <si>
    <t>-660.427511743252 85.3359797423047 -566.298594693047</t>
  </si>
  <si>
    <t>-662.548455297432 71.2558697073596 -674.890054038231</t>
  </si>
  <si>
    <t>-657.27758755028 49.1213322296912 -825.496397612597</t>
  </si>
  <si>
    <t>-623.419709919262 22.6629244449964 -917.890096050733</t>
  </si>
  <si>
    <t>-644.279195489439 86.5448135504332 -762.381854947883</t>
  </si>
  <si>
    <t>-555.880871192723 203.893839937186 -756.074214284052</t>
  </si>
  <si>
    <t>-490.018441265699 185.438772081633 -447.031091014625</t>
  </si>
  <si>
    <t>-316.338961209415 76.2019268011393 -287.203540329428</t>
  </si>
  <si>
    <t>-674.940444651932 31.2854572694289 -755.333616350854</t>
  </si>
  <si>
    <t>-561.043303797561 204.225714248605 -239.918003564934</t>
  </si>
  <si>
    <t>-569.124370854151 182.3839003077 215.181236671808</t>
  </si>
  <si>
    <t>-634.551943914123 163.814628107107 680.285164768463</t>
  </si>
  <si>
    <t>-496.517983513362 96.0049968151409 765.678295821966</t>
  </si>
  <si>
    <t>-620.573359032113 25.0385943009171 -208.475398890855</t>
  </si>
  <si>
    <t>-514.917502965258 -42.1590372875744 229.678686143093</t>
  </si>
  <si>
    <t>-694.210094810519 35.6530675775284 657.024132865413</t>
  </si>
  <si>
    <t>-578.692406437807 -62.499949855609 746.271883986906</t>
  </si>
  <si>
    <t>9763-20170724T160704.625561000.bin</t>
  </si>
  <si>
    <t>-590.897666969118 114.798409220757 -224.500097731164</t>
  </si>
  <si>
    <t>-630.298488642269 108.05641812106 -338.823935684951</t>
  </si>
  <si>
    <t>-650.386658669308 97.2539223953145 -457.863038435645</t>
  </si>
  <si>
    <t>-660.527120730676 85.4058852593403 -566.268108083674</t>
  </si>
  <si>
    <t>-662.76267726852 71.2878802458868 -674.852316025079</t>
  </si>
  <si>
    <t>-657.690465848468 49.0955792974557 -825.457027884967</t>
  </si>
  <si>
    <t>-623.947635900613 22.5930598576954 -917.880084495898</t>
  </si>
  <si>
    <t>-644.573647987832 86.5243315464536 -762.370210768735</t>
  </si>
  <si>
    <t>-556.02972651455 203.777398620847 -756.272045573546</t>
  </si>
  <si>
    <t>-491.210563278012 185.875422776647 -446.975658691674</t>
  </si>
  <si>
    <t>-320.218403144632 73.8431676946698 -286.188487842808</t>
  </si>
  <si>
    <t>-675.295894559239 31.305623128188 -755.268050814391</t>
  </si>
  <si>
    <t>-561.022524336542 204.450399905036 -239.926108531329</t>
  </si>
  <si>
    <t>-569.125690505302 182.524439459612 215.168688326024</t>
  </si>
  <si>
    <t>-634.491780516112 163.929290991725 680.264211786483</t>
  </si>
  <si>
    <t>-496.515754977539 96.0515776454699 765.696893249123</t>
  </si>
  <si>
    <t>-620.600656727004 25.196974493196 -208.441290560477</t>
  </si>
  <si>
    <t>-514.801775905374 -41.8796631257769 229.696779147819</t>
  </si>
  <si>
    <t>-694.2524514415 35.5899499362538 657.078362930196</t>
  </si>
  <si>
    <t>-578.579043773414 -62.428942536726 746.271790611628</t>
  </si>
  <si>
    <t>9763-20170724T160704.691254700.bin</t>
  </si>
  <si>
    <t>-591.304809537487 115.607577954688 -224.448566153375</t>
  </si>
  <si>
    <t>-630.73936401617 108.847648907485 -338.75966900899</t>
  </si>
  <si>
    <t>-650.928578097878 97.9760818941161 -457.775472035929</t>
  </si>
  <si>
    <t>-661.189957605242 86.0421672732168 -566.159802693065</t>
  </si>
  <si>
    <t>-663.577373342501 71.8131867391733 -674.7263428288</t>
  </si>
  <si>
    <t>-658.749162192563 49.4395422385846 -825.3121148415</t>
  </si>
  <si>
    <t>-625.204681326284 22.7569751040744 -917.755612383773</t>
  </si>
  <si>
    <t>-645.483307948339 86.918794563474 -762.286475403383</t>
  </si>
  <si>
    <t>-556.717703038515 204.016011489121 -756.611088743825</t>
  </si>
  <si>
    <t>-493.940477070743 186.858201907579 -446.851844826857</t>
  </si>
  <si>
    <t>-326.058114037805 70.132949040498 -286.126003449127</t>
  </si>
  <si>
    <t>-676.287686069673 31.7595750165754 -755.078677295127</t>
  </si>
  <si>
    <t>-561.388783371006 205.423873003438 -239.884842713342</t>
  </si>
  <si>
    <t>-569.274095148365 183.163471360363 215.197616106784</t>
  </si>
  <si>
    <t>-634.485711664119 164.067819456241 680.302594804739</t>
  </si>
  <si>
    <t>-496.436468724375 96.307987380721 765.710546004854</t>
  </si>
  <si>
    <t>-621.071113686268 25.9627616545172 -208.356431015945</t>
  </si>
  <si>
    <t>-514.934297528925 -41.3331922238742 229.666320975224</t>
  </si>
  <si>
    <t>-694.27919543183 35.6799519940125 657.214737358265</t>
  </si>
  <si>
    <t>-578.84990111551 -62.7364519137229 746.286620032372</t>
  </si>
  <si>
    <t>9763-20170724T160704.724844700.bin</t>
  </si>
  <si>
    <t>-591.606483512259 116.215957517403 -224.371992877033</t>
  </si>
  <si>
    <t>-631.091630015032 109.447047331048 -338.665102940686</t>
  </si>
  <si>
    <t>-651.366752129316 98.5420170932218 -457.663280745939</t>
  </si>
  <si>
    <t>-661.720064363572 86.5701943503482 -566.034554400241</t>
  </si>
  <si>
    <t>-664.213197026605 72.2972089367986 -674.592905195917</t>
  </si>
  <si>
    <t>-659.546046020676 49.8569971870609 -825.173990118906</t>
  </si>
  <si>
    <t>-626.084522625482 23.0761691972527 -917.619154483324</t>
  </si>
  <si>
    <t>-646.21826735758 87.3670451329315 -762.179734472553</t>
  </si>
  <si>
    <t>-557.560160729051 204.557199204198 -756.719609733312</t>
  </si>
  <si>
    <t>-494.589102293238 187.689771191268 -446.983635607164</t>
  </si>
  <si>
    <t>-326.025255072137 71.2510558017689 -286.764253239833</t>
  </si>
  <si>
    <t>-677.003923517748 32.2051908174894 -754.913390554585</t>
  </si>
  <si>
    <t>-561.651805713682 206.087856067639 -239.837674008197</t>
  </si>
  <si>
    <t>-569.440733221032 183.677500746219 215.238968548793</t>
  </si>
  <si>
    <t>-634.507888052646 164.127798402485 680.342164176192</t>
  </si>
  <si>
    <t>-496.420598969356 96.3961671635659 765.710942978312</t>
  </si>
  <si>
    <t>-621.406376615302 26.5110053356905 -208.241233657443</t>
  </si>
  <si>
    <t>-515.113574550714 -40.996291389826 229.711095159413</t>
  </si>
  <si>
    <t>-694.37506652036 35.6611274969046 657.350120714764</t>
  </si>
  <si>
    <t>-578.849450454694 -62.7626617195201 746.288836297575</t>
  </si>
  <si>
    <t>9763-20170724T160704.789526000.bin</t>
  </si>
  <si>
    <t>-592.52698369224 117.505127429216 -224.268667627285</t>
  </si>
  <si>
    <t>-632.191114644489 110.757209372117 -338.501054473302</t>
  </si>
  <si>
    <t>-652.660159798957 99.8360217629338 -457.464448747867</t>
  </si>
  <si>
    <t>-663.192869648123 87.8390890088767 -565.815767430068</t>
  </si>
  <si>
    <t>-665.868173404311 73.5331514974705 -674.365482108902</t>
  </si>
  <si>
    <t>-661.455832333878 51.0414143104965 -824.946546527764</t>
  </si>
  <si>
    <t>-628.037370743539 24.1707254945786 -917.381048178916</t>
  </si>
  <si>
    <t>-648.059783585546 88.5938698544032 -761.991877293475</t>
  </si>
  <si>
    <t>-559.780816860095 206.068142355755 -756.853741198025</t>
  </si>
  <si>
    <t>-494.80408651835 188.619062633596 -447.564630526768</t>
  </si>
  <si>
    <t>-319.609856331801 80.6208836246271 -288.550768691273</t>
  </si>
  <si>
    <t>-678.756394830383 33.3929063681287 -754.646195251406</t>
  </si>
  <si>
    <t>-562.561684280604 207.6596468389 -239.764528269916</t>
  </si>
  <si>
    <t>-569.812740445853 184.805802724857 215.298892479187</t>
  </si>
  <si>
    <t>-634.489702702674 164.381191571997 680.422236561676</t>
  </si>
  <si>
    <t>-496.469494427552 96.4015407557247 765.70239742565</t>
  </si>
  <si>
    <t>-622.389448055449 27.5078165350785 -208.098283964205</t>
  </si>
  <si>
    <t>-515.718742210388 -40.258655565485 229.722175674964</t>
  </si>
  <si>
    <t>-694.553849372461 35.6959333306399 657.65086055001</t>
  </si>
  <si>
    <t>-578.717699459659 -62.6527123035171 746.268249827921</t>
  </si>
  <si>
    <t>9763-20170724T160704.829024400.bin</t>
  </si>
  <si>
    <t>-593.02446443681 118.216513123531 -224.212081034621</t>
  </si>
  <si>
    <t>-632.824886847657 111.499276895415 -338.398790755194</t>
  </si>
  <si>
    <t>-653.389088381575 100.610712520571 -457.348904493138</t>
  </si>
  <si>
    <t>-663.989222861254 88.643718992457 -565.6967653568</t>
  </si>
  <si>
    <t>-666.712632583988 74.3679570056402 -674.249323360979</t>
  </si>
  <si>
    <t>-662.346489621215 51.9183976640243 -824.837989295355</t>
  </si>
  <si>
    <t>-628.911073399172 25.0608879250249 -917.270228403573</t>
  </si>
  <si>
    <t>-648.939976057539 89.4579424262529 -761.877872394837</t>
  </si>
  <si>
    <t>-560.440280633661 206.780677973788 -756.663354553279</t>
  </si>
  <si>
    <t>-494.190311119314 189.048186414008 -447.660698327158</t>
  </si>
  <si>
    <t>-310.797197060162 90.56325123341 -291.744809350696</t>
  </si>
  <si>
    <t>-679.616781389312 34.2453048644504 -754.536262865292</t>
  </si>
  <si>
    <t>-563.064931530065 208.424875850743 -239.723044358142</t>
  </si>
  <si>
    <t>-569.974407201997 185.31559951543 215.332843668527</t>
  </si>
  <si>
    <t>-634.474739644838 164.527486612613 680.464960623501</t>
  </si>
  <si>
    <t>-496.499022932968 96.393604517998 765.694003108705</t>
  </si>
  <si>
    <t>-622.860595272708 28.1135387801678 -208.040038052353</t>
  </si>
  <si>
    <t>-516.002626304387 -39.6977662310653 229.727749601461</t>
  </si>
  <si>
    <t>-694.587782362863 35.807563043267 657.793494892795</t>
  </si>
  <si>
    <t>-578.923370271884 -62.8646476406627 746.275402313119</t>
  </si>
  <si>
    <t>9763-20170724T160704.890195100.bin</t>
  </si>
  <si>
    <t>-594.097135753237 119.185424653065 -224.159704352409</t>
  </si>
  <si>
    <t>-634.149947173901 112.544271903021 -338.262661482557</t>
  </si>
  <si>
    <t>-655.079729278339 101.732272808415 -457.155929940873</t>
  </si>
  <si>
    <t>-666.05485072126 89.8343936727938 -565.474170072699</t>
  </si>
  <si>
    <t>-669.196732934094 75.6269633557472 -674.024281317313</t>
  </si>
  <si>
    <t>-665.456062399081 53.2712504994802 -824.643721331978</t>
  </si>
  <si>
    <t>-632.20531982251 26.4340903728605 -917.148566749416</t>
  </si>
  <si>
    <t>-651.779273099744 90.7667972780239 -761.715677592564</t>
  </si>
  <si>
    <t>-563.258581333892 208.074929323006 -756.680898852845</t>
  </si>
  <si>
    <t>-493.683746336128 187.922216797378 -448.558473202488</t>
  </si>
  <si>
    <t>-297.795653439917 103.379478765519 -299.82245318195</t>
  </si>
  <si>
    <t>-682.443077970336 35.559163674495 -754.283008619813</t>
  </si>
  <si>
    <t>-564.176708120292 209.581377069904 -239.638081639339</t>
  </si>
  <si>
    <t>-570.387303485517 186.055777755942 215.406603668495</t>
  </si>
  <si>
    <t>-634.485177049337 164.724559487374 680.542169544426</t>
  </si>
  <si>
    <t>-496.534719461989 96.4142283254594 765.67078227239</t>
  </si>
  <si>
    <t>-623.911792066216 28.8357376205292 -208.002060108765</t>
  </si>
  <si>
    <t>-516.649585417935 -39.0089471514814 229.661758932224</t>
  </si>
  <si>
    <t>-694.751756464658 35.705059642363 658.038727791547</t>
  </si>
  <si>
    <t>-578.775374868412 -62.8025552870679 746.295434667757</t>
  </si>
  <si>
    <t>9763-20170724T160704.931926000.bin</t>
  </si>
  <si>
    <t>-594.460737041928 119.723811029272 -224.15036792863</t>
  </si>
  <si>
    <t>-634.606611777717 113.137171573158 -338.223791043726</t>
  </si>
  <si>
    <t>-655.672965862673 102.386318278728 -457.098507397542</t>
  </si>
  <si>
    <t>-666.788796056186 90.54595006165 -565.408714082376</t>
  </si>
  <si>
    <t>-670.087774319049 76.3984623867605 -673.961885840974</t>
  </si>
  <si>
    <t>-666.582212728738 54.1280514933194 -824.599751388409</t>
  </si>
  <si>
    <t>-633.43852252918 27.3520294996217 -917.160629059969</t>
  </si>
  <si>
    <t>-652.793681268921 91.5806035865944 -761.670408442527</t>
  </si>
  <si>
    <t>-564.197211033014 208.808982342987 -756.66589847712</t>
  </si>
  <si>
    <t>-493.268982741684 187.08141881362 -448.959425777253</t>
  </si>
  <si>
    <t>-294.140223945659 105.734140925855 -302.766271653491</t>
  </si>
  <si>
    <t>-683.47301729429 36.3833475273161 -754.223888002839</t>
  </si>
  <si>
    <t>-564.555864521176 210.13736940813 -239.620017710053</t>
  </si>
  <si>
    <t>-570.644688936036 186.434932233668 215.41703220824</t>
  </si>
  <si>
    <t>-634.468014339999 164.838763583508 680.572977314744</t>
  </si>
  <si>
    <t>-496.583160814907 96.3557471242236 765.66913561419</t>
  </si>
  <si>
    <t>-624.209867553759 29.3574470621277 -208.030832911752</t>
  </si>
  <si>
    <t>-517.058346085659 -38.8451000587045 229.604475993223</t>
  </si>
  <si>
    <t>-694.805337951949 35.6523135315281 658.138181736341</t>
  </si>
  <si>
    <t>-578.800441940002 -62.8753343905942 746.335001254492</t>
  </si>
  <si>
    <t>9763-20170724T160704.986579200.bin</t>
  </si>
  <si>
    <t>-595.050034276774 120.436475451543 -224.143875242084</t>
  </si>
  <si>
    <t>-635.356185320621 114.032102010602 -338.171062573597</t>
  </si>
  <si>
    <t>-656.633088686854 103.544555804051 -457.03177633655</t>
  </si>
  <si>
    <t>-667.956970352378 91.9731715756611 -565.349465817497</t>
  </si>
  <si>
    <t>-671.48005583353 78.1243057853592 -673.934230378213</t>
  </si>
  <si>
    <t>-668.300557768147 56.2990602792058 -824.644389897822</t>
  </si>
  <si>
    <t>-635.362497159056 29.7504744493954 -917.344142913106</t>
  </si>
  <si>
    <t>-654.295685163027 93.5219096003918 -761.626707019908</t>
  </si>
  <si>
    <t>-565.166411593729 210.388482462344 -756.619275202987</t>
  </si>
  <si>
    <t>-493.774304326461 186.457082635096 -449.183718504657</t>
  </si>
  <si>
    <t>-290.349617947763 108.749061073348 -306.97986768788</t>
  </si>
  <si>
    <t>-685.119129822188 38.3901524258467 -754.29294432179</t>
  </si>
  <si>
    <t>-564.902302543261 210.79961934164 -239.5986656077</t>
  </si>
  <si>
    <t>-570.732153822142 186.776570060601 215.425066061424</t>
  </si>
  <si>
    <t>-634.44672955227 164.992169254348 680.600377883128</t>
  </si>
  <si>
    <t>-496.6422441712 96.3039158275851 765.66128873698</t>
  </si>
  <si>
    <t>-625.067391115016 30.0130166710419 -208.034405809774</t>
  </si>
  <si>
    <t>-517.735319694528 -38.5749609505731 229.496361840158</t>
  </si>
  <si>
    <t>-694.851607711098 35.6522192325215 658.323973642914</t>
  </si>
  <si>
    <t>-578.961492828661 -63.0752468434957 746.448179430857</t>
  </si>
  <si>
    <t>9763-20170724T160705.025180900.bin</t>
  </si>
  <si>
    <t>-595.362692626309 120.601418714636 -224.093419230165</t>
  </si>
  <si>
    <t>-635.756402199509 114.309436133168 -338.095793436098</t>
  </si>
  <si>
    <t>-657.132475814997 103.933208966765 -456.948550799713</t>
  </si>
  <si>
    <t>-668.549911983723 92.4625694234912 -565.267019009517</t>
  </si>
  <si>
    <t>-672.169357636872 78.7156683735982 -673.861657633231</t>
  </si>
  <si>
    <t>-669.125923304468 57.0340665119352 -824.595372182282</t>
  </si>
  <si>
    <t>-636.282421762634 30.5627952725083 -917.350644909163</t>
  </si>
  <si>
    <t>-655.024513257105 94.1752895893906 -761.550968218637</t>
  </si>
  <si>
    <t>-565.535228204775 210.757972160469 -756.53623450412</t>
  </si>
  <si>
    <t>-493.992688392519 186.710449015146 -449.14464105944</t>
  </si>
  <si>
    <t>-286.618715354475 111.669164458618 -311.279232546283</t>
  </si>
  <si>
    <t>-685.920588174684 39.0797120712423 -754.249761588999</t>
  </si>
  <si>
    <t>-565.036945061312 210.943195535864 -239.556779550113</t>
  </si>
  <si>
    <t>-570.720581033529 186.781268504351 215.461445690128</t>
  </si>
  <si>
    <t>-634.465473993867 165.013549905605 680.620892256088</t>
  </si>
  <si>
    <t>-496.664288479049 96.2966939946079 765.66408426518</t>
  </si>
  <si>
    <t>-625.551935513614 30.2113877616232 -207.978576448535</t>
  </si>
  <si>
    <t>-517.980225937183 -38.5423853741506 229.467286610201</t>
  </si>
  <si>
    <t>-694.850932688712 35.6853798285019 658.400649205356</t>
  </si>
  <si>
    <t>-578.922498279401 -63.0321069895945 746.485648237718</t>
  </si>
  <si>
    <t>9763-20170724T160705.088852300.bin</t>
  </si>
  <si>
    <t>-596.032184096483 120.704594379924 -223.985917842697</t>
  </si>
  <si>
    <t>-636.68280473038 114.665369088007 -337.910710433166</t>
  </si>
  <si>
    <t>-658.330547283465 104.377170153315 -456.721791068411</t>
  </si>
  <si>
    <t>-669.99839635971 92.9273080927367 -565.015888541757</t>
  </si>
  <si>
    <t>-673.872429416606 79.1473828401874 -673.597526165622</t>
  </si>
  <si>
    <t>-671.186035362076 57.369031158313 -824.324100378853</t>
  </si>
  <si>
    <t>-638.573399702271 30.9928314879865 -917.187988551094</t>
  </si>
  <si>
    <t>-656.924428421373 94.5448438268788 -761.335988412805</t>
  </si>
  <si>
    <t>-567.22699812671 210.966447642082 -756.526927520381</t>
  </si>
  <si>
    <t>-494.097906133819 187.647503953261 -449.452798509961</t>
  </si>
  <si>
    <t>-275.121510759095 119.452997060113 -326.811306013194</t>
  </si>
  <si>
    <t>-687.82486919344 39.4657842552533 -753.928368317152</t>
  </si>
  <si>
    <t>-565.355273942036 211.078265945638 -239.454018956191</t>
  </si>
  <si>
    <t>-570.527765784098 186.468982964388 215.54633137314</t>
  </si>
  <si>
    <t>-634.45347545217 165.156708336298 680.674724054425</t>
  </si>
  <si>
    <t>-496.714989700696 96.2633077589153 765.676561869834</t>
  </si>
  <si>
    <t>-626.565553067439 30.3695639597911 -207.864241833597</t>
  </si>
  <si>
    <t>-518.273958702354 -38.6759881802793 229.35801983558</t>
  </si>
  <si>
    <t>-694.824661667344 35.7224053253046 658.443515115575</t>
  </si>
  <si>
    <t>-579.067896035154 -63.2120855445714 746.510792202908</t>
  </si>
  <si>
    <t>9763-20170724T160705.128475600.bin</t>
  </si>
  <si>
    <t>-596.362807255626 120.778333161521 -223.912081158498</t>
  </si>
  <si>
    <t>-637.146919501369 114.855913255838 -337.795290731104</t>
  </si>
  <si>
    <t>-658.926450701313 104.641369792769 -456.588780516697</t>
  </si>
  <si>
    <t>-670.711860692478 93.2426959216543 -564.875499034037</t>
  </si>
  <si>
    <t>-674.700702854608 79.5007244447049 -673.457716913358</t>
  </si>
  <si>
    <t>-672.170680708161 57.7624739027583 -824.192757264675</t>
  </si>
  <si>
    <t>-639.631136292345 31.4915051942285 -917.112130613774</t>
  </si>
  <si>
    <t>-657.854773557815 94.9274492957002 -761.210798823616</t>
  </si>
  <si>
    <t>-568.134075928587 211.298625740385 -756.421357616235</t>
  </si>
  <si>
    <t>-494.497100040827 187.707667426254 -449.489313053236</t>
  </si>
  <si>
    <t>-270.262486073305 121.751246057693 -335.425178631197</t>
  </si>
  <si>
    <t>-688.725588678956 39.8343956164088 -753.783590222212</t>
  </si>
  <si>
    <t>-565.592451563937 211.21357791948 -239.373709961518</t>
  </si>
  <si>
    <t>-570.374128738764 186.283692654465 215.613418983577</t>
  </si>
  <si>
    <t>-634.489453120119 165.14484623202 680.706403711776</t>
  </si>
  <si>
    <t>-496.698082642308 96.3212824162958 765.679130917699</t>
  </si>
  <si>
    <t>-626.965857888798 30.3981669014079 -207.808861042584</t>
  </si>
  <si>
    <t>-518.37926922338 -38.8004036308732 229.31598661942</t>
  </si>
  <si>
    <t>-694.841104709867 35.6236076176315 658.423226035464</t>
  </si>
  <si>
    <t>-579.03104821541 -63.2377442697741 746.50259016644</t>
  </si>
  <si>
    <t>9763-20170724T160705.189145500.bin</t>
  </si>
  <si>
    <t>-596.828105232551 121.300239586662 -223.731278519495</t>
  </si>
  <si>
    <t>-637.852046026926 115.501949845758 -337.534607672383</t>
  </si>
  <si>
    <t>-659.865956601734 105.404963365315 -456.294798001575</t>
  </si>
  <si>
    <t>-671.856998486316 94.1153459050997 -564.570517937033</t>
  </si>
  <si>
    <t>-676.042751617102 80.4883460860174 -673.159780456314</t>
  </si>
  <si>
    <t>-673.775066463227 58.9189116398277 -823.923252913752</t>
  </si>
  <si>
    <t>-641.347162172902 32.9561362086658 -916.96806357343</t>
  </si>
  <si>
    <t>-659.401569347256 96.0418042690842 -760.929572635205</t>
  </si>
  <si>
    <t>-569.604660019901 212.405955976045 -756.134559007622</t>
  </si>
  <si>
    <t>-494.169757546888 187.138209050729 -449.773242112641</t>
  </si>
  <si>
    <t>-265.640513435751 123.058126242623 -343.423640253963</t>
  </si>
  <si>
    <t>-690.155233119623 40.8837408065976 -753.50071640067</t>
  </si>
  <si>
    <t>-566.03450545698 211.765048623802 -239.187904565694</t>
  </si>
  <si>
    <t>-570.083213476905 186.247253335251 215.773791786616</t>
  </si>
  <si>
    <t>-634.55588783845 165.138018759781 680.778970310135</t>
  </si>
  <si>
    <t>-496.662628501203 96.4486978379452 765.695032143148</t>
  </si>
  <si>
    <t>-627.480529345882 30.9181018163367 -207.608813137164</t>
  </si>
  <si>
    <t>-518.283374129905 -38.6789952539036 229.300691645659</t>
  </si>
  <si>
    <t>-694.770755765623 35.7445232160503 658.401474322462</t>
  </si>
  <si>
    <t>-579.315704869372 -63.5329218248273 746.478896022109</t>
  </si>
  <si>
    <t>9763-20170724T160705.222732300.bin</t>
  </si>
  <si>
    <t>-597.037800904963 121.723926239471 -223.628790928103</t>
  </si>
  <si>
    <t>-638.161608110435 115.939171792863 -337.396888373229</t>
  </si>
  <si>
    <t>-660.281208287716 105.799439236083 -456.133892764718</t>
  </si>
  <si>
    <t>-672.369458478104 94.4523272969998 -564.392716499224</t>
  </si>
  <si>
    <t>-676.653586018083 80.7514066517444 -672.968917408196</t>
  </si>
  <si>
    <t>-674.523163829707 59.0645405355037 -823.717518102882</t>
  </si>
  <si>
    <t>-642.189914922458 33.2264325499175 -916.82999740061</t>
  </si>
  <si>
    <t>-660.113230293481 96.2477780115421 -760.767637023413</t>
  </si>
  <si>
    <t>-570.382740863619 212.650592180995 -756.129348775653</t>
  </si>
  <si>
    <t>-493.357769935909 187.574623556494 -450.148144819182</t>
  </si>
  <si>
    <t>-264.407798287213 123.406448581159 -344.7610522101</t>
  </si>
  <si>
    <t>-690.818420001699 41.0727967366793 -753.264064910846</t>
  </si>
  <si>
    <t>-566.174560870756 212.273259774535 -239.125835067747</t>
  </si>
  <si>
    <t>-570.018355123524 186.444072976224 215.820113839799</t>
  </si>
  <si>
    <t>-634.505245582862 165.277265572263 680.800887457984</t>
  </si>
  <si>
    <t>-496.708749422929 96.3836774594788 765.708553412201</t>
  </si>
  <si>
    <t>-627.764708161093 31.256481561657 -207.460954064411</t>
  </si>
  <si>
    <t>-518.266823238457 -38.5136884781077 229.345622273352</t>
  </si>
  <si>
    <t>-694.819262384728 35.7450072597615 658.456275706237</t>
  </si>
  <si>
    <t>-579.274911556276 -63.5107723810304 746.440943716382</t>
  </si>
  <si>
    <t>9763-20170724T160705.293931400.bin</t>
  </si>
  <si>
    <t>-597.302663180561 122.553770684351 -223.42396130008</t>
  </si>
  <si>
    <t>-638.490149147261 116.603411328139 -337.160438279782</t>
  </si>
  <si>
    <t>-660.800728510834 106.087044749635 -455.828914838258</t>
  </si>
  <si>
    <t>-673.115859898508 94.3260222335 -564.017901499658</t>
  </si>
  <si>
    <t>-677.681612547271 80.1451849773728 -672.520985456982</t>
  </si>
  <si>
    <t>-675.999854204284 57.7287708463118 -823.168532667424</t>
  </si>
  <si>
    <t>-644.026205526181 31.9856684348069 -916.431434161494</t>
  </si>
  <si>
    <t>-661.444092876174 95.2387005208591 -760.446516927164</t>
  </si>
  <si>
    <t>-571.958731505159 211.852594373049 -756.484754367668</t>
  </si>
  <si>
    <t>-490.516306810234 189.579337859285 -451.432045954861</t>
  </si>
  <si>
    <t>-261.413995657017 124.419834861994 -346.988741312924</t>
  </si>
  <si>
    <t>-692.043822809766 40.0560335787468 -752.576966391792</t>
  </si>
  <si>
    <t>-566.277430736771 213.19136409838 -239.070794981079</t>
  </si>
  <si>
    <t>-570.221153628505 187.135582673884 215.86126838822</t>
  </si>
  <si>
    <t>-634.536911628698 165.302517610728 680.831785326077</t>
  </si>
  <si>
    <t>-496.684718746839 96.4787108487351 765.70562092672</t>
  </si>
  <si>
    <t>-628.160316831979 31.9095500480191 -207.132939867937</t>
  </si>
  <si>
    <t>-518.190544661211 -37.7619559893772 229.570861588167</t>
  </si>
  <si>
    <t>-694.938048135391 35.8172909318575 658.659863594371</t>
  </si>
  <si>
    <t>-579.233482984986 -63.4845670732554 746.381633587883</t>
  </si>
  <si>
    <t>9763-20170724T160705.328048600.bin</t>
  </si>
  <si>
    <t>-597.31453034271 123.039123835521 -223.396847017548</t>
  </si>
  <si>
    <t>-638.465691913046 116.978092905772 -337.140627477293</t>
  </si>
  <si>
    <t>-660.779998139029 106.22876726902 -455.787525395904</t>
  </si>
  <si>
    <t>-673.116906160534 94.2122989078553 -563.945934167443</t>
  </si>
  <si>
    <t>-677.724425320788 79.7334201611125 -672.407904841907</t>
  </si>
  <si>
    <t>-676.122197849908 56.8612060024459 -822.987786252388</t>
  </si>
  <si>
    <t>-644.363392947137 31.2133227829606 -916.350336517342</t>
  </si>
  <si>
    <t>-661.554861761432 94.5723317642858 -760.389235783995</t>
  </si>
  <si>
    <t>-572.11822508442 211.202716702224 -756.80212467276</t>
  </si>
  <si>
    <t>-488.791268609399 191.202358072464 -452.100942226509</t>
  </si>
  <si>
    <t>-260.462792739542 124.855421919474 -346.714819147175</t>
  </si>
  <si>
    <t>-692.107429318641 39.390542173204 -752.332462565306</t>
  </si>
  <si>
    <t>-566.230493430041 213.783932007398 -239.09704201305</t>
  </si>
  <si>
    <t>-570.336109716472 187.538457436757 215.822766717094</t>
  </si>
  <si>
    <t>-634.496868307625 165.432860519812 680.828303785652</t>
  </si>
  <si>
    <t>-496.710008957399 96.4645008717455 765.690813340058</t>
  </si>
  <si>
    <t>-628.253741561381 32.3379779621937 -207.06303793559</t>
  </si>
  <si>
    <t>-518.169414782511 -37.3145692846838 229.614977260431</t>
  </si>
  <si>
    <t>-694.951339123431 35.8861830898411 658.769571424547</t>
  </si>
  <si>
    <t>-579.202790414513 -63.4433719616754 746.401914601925</t>
  </si>
  <si>
    <t>9763-20170724T160705.393223200.bin</t>
  </si>
  <si>
    <t>-597.26225288791 124.129606832529 -223.294377705299</t>
  </si>
  <si>
    <t>-638.33532156927 117.93532004507 -337.059198829234</t>
  </si>
  <si>
    <t>-660.701307526161 106.80472855263 -455.661261389425</t>
  </si>
  <si>
    <t>-673.142612526852 94.3532103221485 -563.758484179629</t>
  </si>
  <si>
    <t>-677.914168247532 79.3553063290249 -672.142794596698</t>
  </si>
  <si>
    <t>-676.60376124355 55.6794575023964 -822.601224712377</t>
  </si>
  <si>
    <t>-645.405417292367 30.4463456043902 -916.265145433847</t>
  </si>
  <si>
    <t>-661.959964947195 93.748283762244 -760.237425369995</t>
  </si>
  <si>
    <t>-572.853248057847 210.675476416046 -757.373131851619</t>
  </si>
  <si>
    <t>-487.704208812815 193.138683266599 -453.024115148003</t>
  </si>
  <si>
    <t>-264.294153564011 122.596994809941 -340.091260160943</t>
  </si>
  <si>
    <t>-692.407156330908 38.5623262500612 -751.818666480302</t>
  </si>
  <si>
    <t>-566.00734334129 214.948848197056 -239.082694604606</t>
  </si>
  <si>
    <t>-570.432777563306 188.463729850627 215.820112137406</t>
  </si>
  <si>
    <t>-634.472222198369 165.575885656145 680.818414696631</t>
  </si>
  <si>
    <t>-496.701291212192 96.5359969371352 765.648668832808</t>
  </si>
  <si>
    <t>-628.328264285585 33.4170983559407 -206.838444430843</t>
  </si>
  <si>
    <t>-518.069709591045 -36.604690742807 229.73650466278</t>
  </si>
  <si>
    <t>-694.939364326486 35.9347397198853 658.953178985306</t>
  </si>
  <si>
    <t>-579.17247744903 -63.4316720341378 746.519467311027</t>
  </si>
  <si>
    <t>9763-20170724T160705.420868000.bin</t>
  </si>
  <si>
    <t>-597.156291892875 124.620964187363 -223.234200862434</t>
  </si>
  <si>
    <t>-638.240255369916 118.355951496532 -336.99129438656</t>
  </si>
  <si>
    <t>-660.656253926269 107.06959285959 -455.569113045605</t>
  </si>
  <si>
    <t>-673.159207828733 94.4485988834717 -563.639640139996</t>
  </si>
  <si>
    <t>-678.009110130488 79.2557431621012 -671.993239311356</t>
  </si>
  <si>
    <t>-676.824475566122 55.2858896517682 -822.406253142283</t>
  </si>
  <si>
    <t>-645.883468336928 30.3475431477216 -916.234299768243</t>
  </si>
  <si>
    <t>-662.145812272827 93.4857959142964 -760.130688366274</t>
  </si>
  <si>
    <t>-573.197148593166 210.550711448542 -757.553070456075</t>
  </si>
  <si>
    <t>-487.616946359875 194.00663012677 -453.269378528584</t>
  </si>
  <si>
    <t>-272.843226030006 117.372321205174 -328.203418412226</t>
  </si>
  <si>
    <t>-692.551415136499 38.2978797138217 -751.575392338209</t>
  </si>
  <si>
    <t>-565.855553626326 215.372914250292 -239.085216426797</t>
  </si>
  <si>
    <t>-570.399328368368 188.770366813207 215.809686028084</t>
  </si>
  <si>
    <t>-634.486727744415 165.586382759238 680.805935549423</t>
  </si>
  <si>
    <t>-496.682963444779 96.602053354459 765.628123021921</t>
  </si>
  <si>
    <t>-628.281365194332 33.9133252264853 -206.690368248974</t>
  </si>
  <si>
    <t>-517.943977113248 -36.2982056747426 229.834164690692</t>
  </si>
  <si>
    <t>-694.900049516616 35.9832985586775 659.037322604932</t>
  </si>
  <si>
    <t>-579.186414037435 -63.4420777756586 746.607067666598</t>
  </si>
  <si>
    <t>9763-20170724T160705.487045200.bin</t>
  </si>
  <si>
    <t>-597.047515105536 125.014649529624 -223.095863521325</t>
  </si>
  <si>
    <t>-638.249260814029 118.710994767473 -336.808067046321</t>
  </si>
  <si>
    <t>-660.694107789313 107.204815373689 -455.359351469251</t>
  </si>
  <si>
    <t>-673.186756715951 94.3174687354187 -563.399666700636</t>
  </si>
  <si>
    <t>-677.990164597147 78.7948812057159 -671.708598318672</t>
  </si>
  <si>
    <t>-676.70438585287 54.3040357828193 -822.036675497438</t>
  </si>
  <si>
    <t>-646.205919280831 29.8663558244182 -916.14115370367</t>
  </si>
  <si>
    <t>-662.094061945247 92.7335892401243 -759.88675448982</t>
  </si>
  <si>
    <t>-573.206660953642 209.845814548632 -757.527099482233</t>
  </si>
  <si>
    <t>-487.965583430158 192.991293984917 -453.16533223376</t>
  </si>
  <si>
    <t>-290.629925979882 103.63639780755 -309.233658935868</t>
  </si>
  <si>
    <t>-692.452599326354 37.5472951054303 -751.155613420639</t>
  </si>
  <si>
    <t>-565.660974146891 215.739581350042 -239.072681730626</t>
  </si>
  <si>
    <t>-570.04947142681 188.874061860267 215.808247480841</t>
  </si>
  <si>
    <t>-634.431693162737 165.760512485425 680.783740609493</t>
  </si>
  <si>
    <t>-496.761557529355 96.5080371337051 765.604364047344</t>
  </si>
  <si>
    <t>-628.279941269289 34.3812786459757 -206.403475389653</t>
  </si>
  <si>
    <t>-517.702878121946 -36.0977124899466 230.01731291696</t>
  </si>
  <si>
    <t>-694.870436208283 35.9634850240288 659.206542254977</t>
  </si>
  <si>
    <t>-579.213267935559 -63.5238603220696 746.780491035395</t>
  </si>
  <si>
    <t>9763-20170724T160705.522142900.bin</t>
  </si>
  <si>
    <t>-597.16925518161 124.968201012983 -222.94941756256</t>
  </si>
  <si>
    <t>-638.448035676709 118.640212862495 -336.632371773205</t>
  </si>
  <si>
    <t>-660.858489764488 107.118718772635 -455.188638262759</t>
  </si>
  <si>
    <t>-673.272315578482 94.2216025733157 -563.236845243528</t>
  </si>
  <si>
    <t>-677.948299667154 78.6936900051085 -671.550710274567</t>
  </si>
  <si>
    <t>-676.434723287146 54.2001829495089 -821.876174711357</t>
  </si>
  <si>
    <t>-646.055420358818 30.0085019854566 -916.082682973004</t>
  </si>
  <si>
    <t>-661.957975933501 92.652025093839 -759.708690396394</t>
  </si>
  <si>
    <t>-572.987141069963 209.704706065735 -757.174067572967</t>
  </si>
  <si>
    <t>-487.336636519697 192.014695127756 -452.974698374566</t>
  </si>
  <si>
    <t>-296.95865683768 96.6894934192133 -303.60477748517</t>
  </si>
  <si>
    <t>-692.250831879132 37.4236450353455 -751.014982612168</t>
  </si>
  <si>
    <t>-565.847951966456 215.715506838394 -239.011984112026</t>
  </si>
  <si>
    <t>-570.038621313542 188.775291581698 215.866421793922</t>
  </si>
  <si>
    <t>-634.501800748589 165.666559458229 680.807315114102</t>
  </si>
  <si>
    <t>-496.680894614296 96.680668920483 765.600291191878</t>
  </si>
  <si>
    <t>-628.327968763579 34.3149302790712 -206.218738458926</t>
  </si>
  <si>
    <t>-517.451731348972 -36.1386491736325 230.130251566005</t>
  </si>
  <si>
    <t>-694.825572072734 35.9827480907088 659.231659099499</t>
  </si>
  <si>
    <t>-579.123059912579 -63.4401991589741 746.818854173083</t>
  </si>
  <si>
    <t>9763-20170724T160705.587818600.bin</t>
  </si>
  <si>
    <t>-597.5213324801 124.655603009374 -222.792763185329</t>
  </si>
  <si>
    <t>-638.874753871047 118.0639466702 -336.43356144182</t>
  </si>
  <si>
    <t>-661.28612589141 106.544015390655 -454.989834008181</t>
  </si>
  <si>
    <t>-673.664180887531 93.7560402871873 -563.055150850085</t>
  </si>
  <si>
    <t>-678.264400669829 78.4435467250291 -671.402702351497</t>
  </si>
  <si>
    <t>-676.600386657865 54.3593224398412 -821.792898316754</t>
  </si>
  <si>
    <t>-646.489816767809 30.6061084335709 -916.196943266967</t>
  </si>
  <si>
    <t>-662.326828526121 92.7162706823235 -759.51984092517</t>
  </si>
  <si>
    <t>-574.041913501692 210.27715753555 -756.48957503744</t>
  </si>
  <si>
    <t>-481.286606152375 189.82440021861 -454.555308915251</t>
  </si>
  <si>
    <t>-297.704799243748 87.0511823597269 -301.658412620805</t>
  </si>
  <si>
    <t>-692.346600990244 37.3152919222068 -750.979911947689</t>
  </si>
  <si>
    <t>-566.697145042052 215.730699356582 -238.948349178354</t>
  </si>
  <si>
    <t>-570.513168052028 188.927166025829 215.941364071695</t>
  </si>
  <si>
    <t>-634.498979738589 165.766890202754 680.872547244125</t>
  </si>
  <si>
    <t>-496.691980052585 96.7108470231226 765.631061753504</t>
  </si>
  <si>
    <t>-628.214908827382 33.6798187545221 -205.971130580805</t>
  </si>
  <si>
    <t>-516.71518023103 -36.050731769232 230.335123494288</t>
  </si>
  <si>
    <t>-694.723420770636 36.0138865802915 659.195180603136</t>
  </si>
  <si>
    <t>-579.140955444497 -63.5024016451894 746.834869366941</t>
  </si>
  <si>
    <t>9763-20170724T160705.626428100.bin</t>
  </si>
  <si>
    <t>-597.683593843257 124.440434478902 -222.769194882645</t>
  </si>
  <si>
    <t>-639.044794131474 117.641138876333 -336.395061171709</t>
  </si>
  <si>
    <t>-661.528250687933 106.14020501561 -454.939504201897</t>
  </si>
  <si>
    <t>-673.994954375511 93.4586642886636 -563.007131903389</t>
  </si>
  <si>
    <t>-678.705072126737 78.3394929785568 -671.37718878517</t>
  </si>
  <si>
    <t>-677.213625802342 54.6120722360715 -821.825901958961</t>
  </si>
  <si>
    <t>-647.271589413645 31.0581569235414 -916.333265961432</t>
  </si>
  <si>
    <t>-662.95219481288 92.8652250728874 -759.486230556321</t>
  </si>
  <si>
    <t>-575.204835649761 210.810566266005 -756.241179984813</t>
  </si>
  <si>
    <t>-476.969039492173 187.858360965255 -456.22600867199</t>
  </si>
  <si>
    <t>-295.398064948891 82.7749139423579 -302.500520361922</t>
  </si>
  <si>
    <t>-692.794914651888 37.3561929373136 -751.027679813378</t>
  </si>
  <si>
    <t>-567.253506784159 215.620242528059 -238.962683101147</t>
  </si>
  <si>
    <t>-570.98397040937 189.080105974245 215.943085167153</t>
  </si>
  <si>
    <t>-634.51856288139 165.769963698952 680.909734481308</t>
  </si>
  <si>
    <t>-496.650942146061 96.8034274654738 765.642550612568</t>
  </si>
  <si>
    <t>-627.953695229952 33.3991186657552 -205.932658106416</t>
  </si>
  <si>
    <t>-516.463753336652 -35.853654400672 230.452199671544</t>
  </si>
  <si>
    <t>-694.701725910345 36.0943148221479 659.239789026569</t>
  </si>
  <si>
    <t>-579.135000284122 -63.4888419396648 746.824242674616</t>
  </si>
  <si>
    <t>9763-20170724T160705.692108400.bin</t>
  </si>
  <si>
    <t>-598.100371152825 123.89022126316 -222.8946592676</t>
  </si>
  <si>
    <t>-639.509315564816 116.769643629012 -336.483401113537</t>
  </si>
  <si>
    <t>-662.181299484616 105.461726369581 -455.010573665393</t>
  </si>
  <si>
    <t>-674.869179443382 93.1537018207882 -563.095597005512</t>
  </si>
  <si>
    <t>-679.847110176724 78.598731301606 -671.530915441049</t>
  </si>
  <si>
    <t>-678.77147809482 55.8470627574227 -822.1337039717</t>
  </si>
  <si>
    <t>-648.996089319122 32.7151940264314 -916.798030068019</t>
  </si>
  <si>
    <t>-664.474072175962 93.766644881712 -759.598865259343</t>
  </si>
  <si>
    <t>-577.511967273229 212.293373049499 -755.634606159942</t>
  </si>
  <si>
    <t>-467.342531071442 180.976035381978 -460.561480592714</t>
  </si>
  <si>
    <t>-289.406348781662 73.8943059441449 -303.991153732758</t>
  </si>
  <si>
    <t>-694.020778738229 38.0612659204751 -751.394503353256</t>
  </si>
  <si>
    <t>-568.459746305128 215.369773643304 -239.040205107549</t>
  </si>
  <si>
    <t>-571.842884596311 189.077672729956 215.8828041916</t>
  </si>
  <si>
    <t>-634.608295549641 165.722313616564 680.977315410792</t>
  </si>
  <si>
    <t>-496.570382804419 97.0097799341581 765.639219807914</t>
  </si>
  <si>
    <t>-627.697348270087 32.4896345802679 -206.095598222803</t>
  </si>
  <si>
    <t>-516.26507417567 -35.0145048154652 230.577864828708</t>
  </si>
  <si>
    <t>-694.761286954702 36.1887151869139 659.451550026684</t>
  </si>
  <si>
    <t>-578.932776516598 -63.2899201416556 746.808693101847</t>
  </si>
  <si>
    <t>9763-20170724T160705.726727300.bin</t>
  </si>
  <si>
    <t>-598.250388989655 123.742163925236 -222.919280503839</t>
  </si>
  <si>
    <t>-639.673604110542 116.511253406693 -336.495788820957</t>
  </si>
  <si>
    <t>-662.415815494756 105.352894791283 -455.023669782949</t>
  </si>
  <si>
    <t>-675.186530910963 93.2797307632422 -563.125460762431</t>
  </si>
  <si>
    <t>-680.264473723924 79.0549230377082 -671.600043979328</t>
  </si>
  <si>
    <t>-679.343321854235 56.8575812734659 -822.286474884307</t>
  </si>
  <si>
    <t>-649.635116227356 33.9634304959557 -917.029642429631</t>
  </si>
  <si>
    <t>-665.001616422046 94.5571049951232 -759.628807546854</t>
  </si>
  <si>
    <t>-578.083791021336 213.065020754953 -755.297953381245</t>
  </si>
  <si>
    <t>-462.543645605414 178.498842355143 -462.651692008332</t>
  </si>
  <si>
    <t>-283.184081505543 73.7436358972109 -306.131571681141</t>
  </si>
  <si>
    <t>-694.50017568008 38.8013422118297 -751.595951669182</t>
  </si>
  <si>
    <t>-568.876412481671 215.303481288721 -239.061720303487</t>
  </si>
  <si>
    <t>-572.199981778417 189.165097343902 215.870544310153</t>
  </si>
  <si>
    <t>-634.606572727645 165.78973801467 680.99965601216</t>
  </si>
  <si>
    <t>-496.60871169552 96.9685334898645 765.638534411066</t>
  </si>
  <si>
    <t>-627.498428941748 32.2549243757035 -206.14947924279</t>
  </si>
  <si>
    <t>-516.155453948256 -34.6310839254515 230.641831678322</t>
  </si>
  <si>
    <t>-694.763027380099 36.1825416727897 659.499335839323</t>
  </si>
  <si>
    <t>-578.893634990148 -63.2875859355515 746.811945664266</t>
  </si>
  <si>
    <t>9763-20170724T160705.792885700.bin</t>
  </si>
  <si>
    <t>-598.214899801043 123.266665056109 -223.059623067196</t>
  </si>
  <si>
    <t>-639.593824469618 116.027515775916 -336.651834162325</t>
  </si>
  <si>
    <t>-662.378557739228 105.101553562636 -455.193188381199</t>
  </si>
  <si>
    <t>-675.220161683712 93.3330632255356 -563.320099987967</t>
  </si>
  <si>
    <t>-680.398834722424 79.5054943668865 -671.841302881815</t>
  </si>
  <si>
    <t>-679.646589374289 57.953863529852 -822.622510907995</t>
  </si>
  <si>
    <t>-650.060297017256 35.3080815408609 -917.463393941322</t>
  </si>
  <si>
    <t>-665.217190956002 95.3755517683439 -759.818661972425</t>
  </si>
  <si>
    <t>-577.904089759026 213.608368716292 -755.016320354412</t>
  </si>
  <si>
    <t>-455.163222710084 177.009294964541 -465.566214063854</t>
  </si>
  <si>
    <t>-273.127531605589 76.2987411565357 -309.481483647846</t>
  </si>
  <si>
    <t>-694.741768673621 39.6039239841389 -751.99429469551</t>
  </si>
  <si>
    <t>-568.954508150756 214.684265271415 -239.142108669971</t>
  </si>
  <si>
    <t>-572.539967171953 189.00995540873 215.814613440264</t>
  </si>
  <si>
    <t>-634.633484480416 165.817139718424 681.014085181258</t>
  </si>
  <si>
    <t>-496.622703112225 96.9929554781434 765.629494523067</t>
  </si>
  <si>
    <t>-627.33922731999 31.8567216341319 -206.326088159296</t>
  </si>
  <si>
    <t>-516.347616940463 -34.6276006654962 230.616022197812</t>
  </si>
  <si>
    <t>-694.690623716269 36.1836466643576 659.525919106972</t>
  </si>
  <si>
    <t>-578.750444409592 -63.1768027078176 746.8693985068</t>
  </si>
  <si>
    <t>9763-20170724T160705.824975700.bin</t>
  </si>
  <si>
    <t>-598.078061082708 122.969998550073 -223.149042498811</t>
  </si>
  <si>
    <t>-639.386922156495 115.833305993849 -336.773205020395</t>
  </si>
  <si>
    <t>-662.146167249716 105.009627097574 -455.328820943891</t>
  </si>
  <si>
    <t>-674.982968123446 93.3382668166466 -563.466824221935</t>
  </si>
  <si>
    <t>-680.174465686738 79.6154711006725 -672.000644318332</t>
  </si>
  <si>
    <t>-679.457279240622 58.2202639264974 -822.804239294027</t>
  </si>
  <si>
    <t>-649.903330047342 35.6128836813436 -917.664600814922</t>
  </si>
  <si>
    <t>-665.013745653528 95.5771035813077 -759.965090454797</t>
  </si>
  <si>
    <t>-577.526456427061 213.659400349359 -754.967227391141</t>
  </si>
  <si>
    <t>-452.636237127977 177.442811634713 -466.389630574375</t>
  </si>
  <si>
    <t>-264.172133431657 84.1057360828609 -313.381507463917</t>
  </si>
  <si>
    <t>-694.535474624779 39.7968604460723 -752.191684124852</t>
  </si>
  <si>
    <t>-568.676763234281 214.256346434838 -239.195371395183</t>
  </si>
  <si>
    <t>-572.476649363448 188.724141888327 215.767634576859</t>
  </si>
  <si>
    <t>-634.630056633738 165.833716579891 680.996585181269</t>
  </si>
  <si>
    <t>-496.635215718783 96.9879630832593 765.620499626022</t>
  </si>
  <si>
    <t>-627.310851303486 31.7026270124127 -206.486185382843</t>
  </si>
  <si>
    <t>-516.656814383189 -34.8483816215069 230.53135552635</t>
  </si>
  <si>
    <t>-694.629141106574 36.2070815558759 659.537448032455</t>
  </si>
  <si>
    <t>-578.865024660377 -63.2919512620367 746.956703911619</t>
  </si>
  <si>
    <t>9763-20170724T160705.893170100.bin</t>
  </si>
  <si>
    <t>-597.817125245737 122.046468048483 -223.241118257487</t>
  </si>
  <si>
    <t>-639.074890991481 115.253918762599 -336.904852041658</t>
  </si>
  <si>
    <t>-661.780619542593 104.633629337006 -455.489173578917</t>
  </si>
  <si>
    <t>-674.566820290675 93.1078106530629 -563.648870217535</t>
  </si>
  <si>
    <t>-679.703582998335 79.504079424453 -672.200216352793</t>
  </si>
  <si>
    <t>-678.903792399437 58.2573446346501 -823.024373094062</t>
  </si>
  <si>
    <t>-649.432565386832 35.6319762119106 -917.905963378774</t>
  </si>
  <si>
    <t>-664.565104395496 95.5886291267866 -760.145993020927</t>
  </si>
  <si>
    <t>-576.956999970074 213.592549194242 -754.845718381214</t>
  </si>
  <si>
    <t>-448.288263002537 178.570825365731 -467.784799402497</t>
  </si>
  <si>
    <t>-240.824349099785 99.8607037472705 -332.117756911621</t>
  </si>
  <si>
    <t>-693.950235469493 39.7281134257732 -752.432703093208</t>
  </si>
  <si>
    <t>-567.905734375721 213.071904442236 -239.199873813943</t>
  </si>
  <si>
    <t>-571.881130633825 187.682893066168 215.76967905292</t>
  </si>
  <si>
    <t>-634.626435699994 165.865473420477 680.977172956752</t>
  </si>
  <si>
    <t>-496.697136954894 96.9144966054646 765.622211707496</t>
  </si>
  <si>
    <t>-627.605809708725 30.9978157714631 -206.666991683764</t>
  </si>
  <si>
    <t>-517.51874530008 -36.1177869924325 230.407358058781</t>
  </si>
  <si>
    <t>-694.685100829988 35.9615584350136 659.609343728991</t>
  </si>
  <si>
    <t>-578.907094004886 -63.4172834755386 747.146800007921</t>
  </si>
  <si>
    <t>9763-20170724T160705.924275600.bin</t>
  </si>
  <si>
    <t>-597.755595440424 121.549497154828 -223.242437862698</t>
  </si>
  <si>
    <t>-638.994558161176 114.857564064446 -336.919120517768</t>
  </si>
  <si>
    <t>-661.663835662146 104.24256029194 -455.510831656308</t>
  </si>
  <si>
    <t>-674.408946259386 92.6946970580925 -563.672892104454</t>
  </si>
  <si>
    <t>-679.495553506239 79.0492045626222 -672.221428057566</t>
  </si>
  <si>
    <t>-678.615157046461 57.7307352172061 -823.035165139707</t>
  </si>
  <si>
    <t>-649.175524630685 35.0645810255278 -917.916732839997</t>
  </si>
  <si>
    <t>-664.382679449035 95.1292301224305 -760.172553015376</t>
  </si>
  <si>
    <t>-577.068103097816 213.315580605997 -754.901296936423</t>
  </si>
  <si>
    <t>-444.566913243336 179.797222667067 -469.40837975358</t>
  </si>
  <si>
    <t>-232.585401581161 103.099371726158 -339.703660784268</t>
  </si>
  <si>
    <t>-693.626754532635 39.1977347034131 -752.436923299861</t>
  </si>
  <si>
    <t>-567.617916423722 212.492157491744 -239.184048593261</t>
  </si>
  <si>
    <t>-571.531807054556 187.120124906066 215.786850421891</t>
  </si>
  <si>
    <t>-634.635999490933 165.849726572035 680.962030912928</t>
  </si>
  <si>
    <t>-496.724304211819 96.8829435985092 765.622906101014</t>
  </si>
  <si>
    <t>-627.737156472794 30.6151660951962 -206.672121040288</t>
  </si>
  <si>
    <t>-517.794955610822 -36.7637875869266 230.398141472777</t>
  </si>
  <si>
    <t>-694.701194002256 35.8589017271984 659.623500081205</t>
  </si>
  <si>
    <t>-578.915636483771 -63.4538221151247 747.226010798413</t>
  </si>
  <si>
    <t>9763-20170724T160705.989432200.bin</t>
  </si>
  <si>
    <t>-597.703659352658 120.59039468107 -223.213813414404</t>
  </si>
  <si>
    <t>-638.913671022645 113.95886238483 -336.904406145944</t>
  </si>
  <si>
    <t>-661.570739267753 103.152159423925 -455.481112164057</t>
  </si>
  <si>
    <t>-674.315364155973 91.3349344866447 -563.614254718566</t>
  </si>
  <si>
    <t>-679.414094101621 77.3282354084488 -672.116161790344</t>
  </si>
  <si>
    <t>-678.565756253381 55.415717419048 -822.84487772891</t>
  </si>
  <si>
    <t>-649.212877243434 32.5244984155177 -917.699470366591</t>
  </si>
  <si>
    <t>-664.340492146028 93.072066935069 -760.134681375676</t>
  </si>
  <si>
    <t>-576.959980194618 211.223833825268 -755.419220906321</t>
  </si>
  <si>
    <t>-433.177270618059 183.428387738405 -474.812554132807</t>
  </si>
  <si>
    <t>-217.810197597629 106.667239731921 -350.849688224288</t>
  </si>
  <si>
    <t>-693.541773960661 37.1505533983297 -752.169501708943</t>
  </si>
  <si>
    <t>-567.453603110595 211.490818299687 -239.159785966197</t>
  </si>
  <si>
    <t>-571.179325516569 186.331333471513 215.824701815591</t>
  </si>
  <si>
    <t>-634.645582372469 165.877171082704 680.971172457649</t>
  </si>
  <si>
    <t>-496.783566054901 96.8326313916505 765.649521644675</t>
  </si>
  <si>
    <t>-627.738329507449 29.7508881526524 -206.587569098771</t>
  </si>
  <si>
    <t>-517.884283986475 -37.795808282392 230.478994627929</t>
  </si>
  <si>
    <t>-694.748090299941 35.6325427664533 659.629870498161</t>
  </si>
  <si>
    <t>-578.878417703313 -63.5208317567428 747.301644092514</t>
  </si>
  <si>
    <t>9763-20170724T160706.026219700.bin</t>
  </si>
  <si>
    <t>-597.719270541523 120.230124527097 -223.11796867098</t>
  </si>
  <si>
    <t>-638.93448941834 113.550486465261 -336.804028371808</t>
  </si>
  <si>
    <t>-661.624486536799 102.578207570214 -455.359291605494</t>
  </si>
  <si>
    <t>-674.413743444888 90.5590271109138 -563.464807086273</t>
  </si>
  <si>
    <t>-679.574753506465 76.2952255780108 -671.930159831754</t>
  </si>
  <si>
    <t>-678.833708299857 53.9658082980175 -822.598276065348</t>
  </si>
  <si>
    <t>-649.58394433732 30.9311674114072 -917.449918522519</t>
  </si>
  <si>
    <t>-664.493127562223 91.7594083142496 -759.997114472744</t>
  </si>
  <si>
    <t>-576.628283356505 209.607829704026 -755.710009452792</t>
  </si>
  <si>
    <t>-427.349472207656 185.951856578666 -477.605112568368</t>
  </si>
  <si>
    <t>-212.014851654368 108.380989168055 -354.09076566585</t>
  </si>
  <si>
    <t>-693.83006785865 35.9323627470721 -751.867610698362</t>
  </si>
  <si>
    <t>-567.477700989343 211.093979625532 -239.135877382165</t>
  </si>
  <si>
    <t>-571.160093906059 186.116803583674 215.858895894338</t>
  </si>
  <si>
    <t>-634.651496922016 165.897537566191 680.991591642318</t>
  </si>
  <si>
    <t>-496.77335415415 96.8825546160531 765.667803381455</t>
  </si>
  <si>
    <t>-627.763627960191 29.3876116591971 -206.440424014258</t>
  </si>
  <si>
    <t>-517.519514892906 -37.9513938515597 230.560033302217</t>
  </si>
  <si>
    <t>-694.637175633582 35.7661044441991 659.552693980232</t>
  </si>
  <si>
    <t>-578.978111085658 -63.5972832824134 747.264761295581</t>
  </si>
  <si>
    <t>9763-20170724T160706.092892300.bin</t>
  </si>
  <si>
    <t>-598.017010268623 119.789157129445 -222.914016906146</t>
  </si>
  <si>
    <t>-639.266022436582 112.905668222546 -336.575469981771</t>
  </si>
  <si>
    <t>-662.087628411877 101.41353139948 -455.056140633348</t>
  </si>
  <si>
    <t>-675.044685580515 88.789748445668 -563.072855989697</t>
  </si>
  <si>
    <t>-680.427714414287 73.7840961582656 -671.427424729974</t>
  </si>
  <si>
    <t>-680.05745680676 50.277601602284 -821.917617680499</t>
  </si>
  <si>
    <t>-651.174199493506 26.9213879186375 -916.80297380123</t>
  </si>
  <si>
    <t>-665.39542642309 88.4726596733012 -759.635366477562</t>
  </si>
  <si>
    <t>-576.803676578041 205.802540150195 -756.517447284082</t>
  </si>
  <si>
    <t>-419.525032142755 188.103541522254 -482.407396394545</t>
  </si>
  <si>
    <t>-204.727317836779 110.192923768665 -358.173960517317</t>
  </si>
  <si>
    <t>-695.047023361549 32.8844771942647 -751.025414286863</t>
  </si>
  <si>
    <t>-567.675401633789 210.705432385375 -239.118139943554</t>
  </si>
  <si>
    <t>-571.370000032158 186.108142594808 215.897231620561</t>
  </si>
  <si>
    <t>-634.678234893455 165.907736426294 681.035315269874</t>
  </si>
  <si>
    <t>-496.759721438354 96.9613423137882 765.701666625213</t>
  </si>
  <si>
    <t>-628.248317382975 28.9055483319132 -205.999846848362</t>
  </si>
  <si>
    <t>-516.822568914987 -37.9530941491319 230.77458595602</t>
  </si>
  <si>
    <t>-694.598655993126 35.7759003219028 659.447850517584</t>
  </si>
  <si>
    <t>-578.821838662891 -63.4802485345208 747.12598474094</t>
  </si>
  <si>
    <t>9763-20170724T160706.124487500.bin</t>
  </si>
  <si>
    <t>-598.075965809175 119.739153548857 -222.912507782518</t>
  </si>
  <si>
    <t>-639.322223343423 112.795385271101 -336.571424838436</t>
  </si>
  <si>
    <t>-662.208168556953 101.086720285286 -455.018414619401</t>
  </si>
  <si>
    <t>-675.255158439801 88.2021422107023 -562.993609455916</t>
  </si>
  <si>
    <t>-680.76274200774 72.8698269028439 -671.296020322251</t>
  </si>
  <si>
    <t>-680.604009504076 48.8402854542048 -821.704107485211</t>
  </si>
  <si>
    <t>-651.948443464439 25.4320299730191 -916.645603973424</t>
  </si>
  <si>
    <t>-665.775498353871 87.2102743371377 -759.568909059112</t>
  </si>
  <si>
    <t>-577.02276506218 204.395127740851 -757.089394071226</t>
  </si>
  <si>
    <t>-417.72232666647 189.163288497399 -484.00043040143</t>
  </si>
  <si>
    <t>-202.825557904454 110.923177436489 -360.145938731787</t>
  </si>
  <si>
    <t>-695.572950617763 31.7349940394865 -750.737423514009</t>
  </si>
  <si>
    <t>-567.665041582532 210.678380491404 -239.164270393408</t>
  </si>
  <si>
    <t>-571.42978202151 186.14926452871 215.854209275943</t>
  </si>
  <si>
    <t>-634.688087204177 165.91448146413 681.037258863259</t>
  </si>
  <si>
    <t>-496.745863852444 97.0069676107782 765.696605520435</t>
  </si>
  <si>
    <t>-628.312104138865 28.869227795609 -205.972844900016</t>
  </si>
  <si>
    <t>-516.779340253715 -37.777977040209 230.806554422599</t>
  </si>
  <si>
    <t>-694.642925053286 35.7491546473047 659.482504679538</t>
  </si>
  <si>
    <t>-578.860302764481 -63.5383601643766 747.11746855684</t>
  </si>
  <si>
    <t>9763-20170724T160706.158570800.bin</t>
  </si>
  <si>
    <t>-598.110227556587 119.790156086162 -222.958495792357</t>
  </si>
  <si>
    <t>-639.355754310125 112.8571923519 -336.618313052101</t>
  </si>
  <si>
    <t>-662.304211156856 101.022010163964 -455.040725334529</t>
  </si>
  <si>
    <t>-675.437726674979 87.9644794591532 -562.984482726152</t>
  </si>
  <si>
    <t>-681.064402240777 72.3994306529478 -671.247727206616</t>
  </si>
  <si>
    <t>-681.108035625249 47.9823845795415 -821.593343245317</t>
  </si>
  <si>
    <t>-652.638435947012 24.581709804678 -916.59254959697</t>
  </si>
  <si>
    <t>-666.109422331239 86.4667843506797 -759.569880348915</t>
  </si>
  <si>
    <t>-577.133499043729 203.52370929665 -757.684565248688</t>
  </si>
  <si>
    <t>-417.485593755014 190.081703865113 -484.704585529474</t>
  </si>
  <si>
    <t>-202.651026506317 111.896755578847 -360.707536885438</t>
  </si>
  <si>
    <t>-696.068177107286 31.105384791083 -750.570105285076</t>
  </si>
  <si>
    <t>-567.586299661232 210.687644332421 -239.207445583398</t>
  </si>
  <si>
    <t>-571.391953035612 186.18113795539 215.811850644879</t>
  </si>
  <si>
    <t>-634.660221171116 165.987422634906 681.023554013728</t>
  </si>
  <si>
    <t>-496.773955751244 96.9724265587158 765.686548226585</t>
  </si>
  <si>
    <t>-628.457916585256 28.9963051098323 -206.017830744926</t>
  </si>
  <si>
    <t>-516.933771629747 -37.7595782806109 230.747234193741</t>
  </si>
  <si>
    <t>-694.66281524474 35.7434092307876 659.513747786351</t>
  </si>
  <si>
    <t>-578.891146906596 -63.5743876800993 747.12884906064</t>
  </si>
  <si>
    <t>9763-20170724T160706.251843400.bin</t>
  </si>
  <si>
    <t>-598.236372062795 119.812336667971 -223.023112007165</t>
  </si>
  <si>
    <t>-639.515818445152 112.967322976786 -336.675888219675</t>
  </si>
  <si>
    <t>-662.547725342976 101.101808006774 -455.079004872003</t>
  </si>
  <si>
    <t>-675.780550246596 87.9647591375508 -563.000978658427</t>
  </si>
  <si>
    <t>-681.532882461958 72.266004370111 -671.23836333393</t>
  </si>
  <si>
    <t>-681.78059176243 47.6052876098681 -821.544020060296</t>
  </si>
  <si>
    <t>-653.479597601753 24.219056013108 -916.597311912658</t>
  </si>
  <si>
    <t>-666.600723915441 86.1388084354865 -759.595289437961</t>
  </si>
  <si>
    <t>-577.338417161388 202.989558374795 -758.146125409027</t>
  </si>
  <si>
    <t>-419.362237053306 189.606927844464 -484.192455705223</t>
  </si>
  <si>
    <t>-203.981346063179 111.912485609648 -360.836399647108</t>
  </si>
  <si>
    <t>-696.74133076709 30.8948804093902 -750.481575983467</t>
  </si>
  <si>
    <t>-567.572430880332 210.676085369043 -239.248456520267</t>
  </si>
  <si>
    <t>-571.342047097865 186.113050245135 215.768150305192</t>
  </si>
  <si>
    <t>-634.620125991564 166.082444085593 681.003514484491</t>
  </si>
  <si>
    <t>-496.815934745614 96.911394262823 765.672709873034</t>
  </si>
  <si>
    <t>-628.77974274099 29.0577784280254 -206.092085587443</t>
  </si>
  <si>
    <t>-517.254188736297 -37.8494104371898 230.649438508128</t>
  </si>
  <si>
    <t>-694.717598841878 35.5914661934357 659.531986530432</t>
  </si>
  <si>
    <t>-578.792226017709 -63.5339671207198 747.161697745172</t>
  </si>
  <si>
    <t>9763-20170724T160706.290448300.bin</t>
  </si>
  <si>
    <t>-598.894911955288 119.522559131832 -223.065846852829</t>
  </si>
  <si>
    <t>-640.3623614368 112.930182430896 -336.665072393208</t>
  </si>
  <si>
    <t>-663.803553374182 101.159871073925 -454.997442604565</t>
  </si>
  <si>
    <t>-677.501937001096 88.0394384979563 -562.863356654335</t>
  </si>
  <si>
    <t>-683.817726634927 72.2858503865455 -671.06126477314</t>
  </si>
  <si>
    <t>-684.952995340186 47.4718498845593 -821.337541950665</t>
  </si>
  <si>
    <t>-657.346315777439 24.0082122658655 -916.575812120911</t>
  </si>
  <si>
    <t>-669.19555815543 85.954843471407 -759.501594681269</t>
  </si>
  <si>
    <t>-579.408253835824 202.406909747905 -758.342303648669</t>
  </si>
  <si>
    <t>-427.52412736545 188.328262983056 -480.99928861003</t>
  </si>
  <si>
    <t>-211.379467098141 112.498258405464 -357.818923021591</t>
  </si>
  <si>
    <t>-699.705795319632 30.9477009677655 -750.188310559132</t>
  </si>
  <si>
    <t>-567.928027127203 210.261725892576 -239.289633151445</t>
  </si>
  <si>
    <t>-571.320878182607 185.687600975158 215.729351936581</t>
  </si>
  <si>
    <t>-634.620036471792 166.188148285944 680.992760018717</t>
  </si>
  <si>
    <t>-496.907705691977 96.8065278182007 765.639129492749</t>
  </si>
  <si>
    <t>-629.717131854145 28.8713602208811 -206.156679095246</t>
  </si>
  <si>
    <t>-518.218453454262 -38.342556281108 230.544582807031</t>
  </si>
  <si>
    <t>-694.785239418909 35.4149231570916 659.677961658679</t>
  </si>
  <si>
    <t>-579.019447431304 -63.8432981256085 747.368322209169</t>
  </si>
  <si>
    <t>9763-20170724T160706.322714200.bin</t>
  </si>
  <si>
    <t>-599.18116800157 119.293980125399 -223.08093171012</t>
  </si>
  <si>
    <t>-640.71488683798 112.751917034805 -336.658787828826</t>
  </si>
  <si>
    <t>-664.272788812154 101.047386610087 -454.974512745457</t>
  </si>
  <si>
    <t>-678.097584023444 87.9902086231302 -562.832055693055</t>
  </si>
  <si>
    <t>-684.560871422972 72.3021944654822 -671.030809200932</t>
  </si>
  <si>
    <t>-685.922863389535 47.5807689612629 -821.320484326467</t>
  </si>
  <si>
    <t>-658.515982330983 24.063899226205 -916.603255789015</t>
  </si>
  <si>
    <t>-670.017835708565 85.9963795784408 -759.480351854872</t>
  </si>
  <si>
    <t>-580.011663709782 202.272421396276 -758.311704615576</t>
  </si>
  <si>
    <t>-430.222776640108 188.034099217555 -479.839476730213</t>
  </si>
  <si>
    <t>-214.235905875011 112.980522493591 -355.909408383542</t>
  </si>
  <si>
    <t>-700.622495481409 31.0422218582196 -750.16347349314</t>
  </si>
  <si>
    <t>-568.152519479527 209.970303750505 -239.306319494983</t>
  </si>
  <si>
    <t>-571.45184419456 185.532276259892 215.72061467037</t>
  </si>
  <si>
    <t>-634.626195040845 166.232101829896 681.009809387516</t>
  </si>
  <si>
    <t>-496.899370513928 96.8441548363132 765.627475102437</t>
  </si>
  <si>
    <t>-630.072600373474 28.6870334418818 -206.184598806112</t>
  </si>
  <si>
    <t>-518.54548180522 -38.5253914038958 230.509646034782</t>
  </si>
  <si>
    <t>-694.774550635294 35.4714034832107 659.748769692487</t>
  </si>
  <si>
    <t>-579.150596051382 -63.9438786699604 747.448321502698</t>
  </si>
  <si>
    <t>9763-20170724T160706.387889900.bin</t>
  </si>
  <si>
    <t>-599.682866747087 118.968582154905 -223.086674716205</t>
  </si>
  <si>
    <t>-641.351300331576 112.520270052681 -336.620631732698</t>
  </si>
  <si>
    <t>-665.089771773107 100.97822089944 -454.916175181662</t>
  </si>
  <si>
    <t>-679.094283048521 88.0953839477418 -562.771450091503</t>
  </si>
  <si>
    <t>-685.75199728714 72.6091937522954 -670.987519253831</t>
  </si>
  <si>
    <t>-687.398132107286 48.196375293988 -821.324771596603</t>
  </si>
  <si>
    <t>-660.25277042555 24.6247297399752 -916.668788065629</t>
  </si>
  <si>
    <t>-671.317686240792 86.4529615788047 -759.431538471425</t>
  </si>
  <si>
    <t>-581.018895495977 202.512939439485 -758.355689711826</t>
  </si>
  <si>
    <t>-433.659530424118 188.373249272845 -478.585273599542</t>
  </si>
  <si>
    <t>-219.144638114304 114.350104124545 -351.518315659756</t>
  </si>
  <si>
    <t>-702.021912031161 31.5435425445737 -750.178739746741</t>
  </si>
  <si>
    <t>-568.579429091213 209.541824565672 -239.332563632468</t>
  </si>
  <si>
    <t>-571.862807112899 185.496806008953 215.715497477476</t>
  </si>
  <si>
    <t>-634.635392352691 166.363692158192 681.07877614827</t>
  </si>
  <si>
    <t>-497.105443725883 96.5058910960315 765.630001463355</t>
  </si>
  <si>
    <t>-630.621568551402 28.5148085869112 -206.18155527159</t>
  </si>
  <si>
    <t>-519.337779097527 -38.9938136357407 230.529094919478</t>
  </si>
  <si>
    <t>-694.916301071933 35.2941758615113 659.935532727328</t>
  </si>
  <si>
    <t>-579.116191924118 -63.9669908834906 747.577229949264</t>
  </si>
  <si>
    <t>9763-20170724T160706.426998700.bin</t>
  </si>
  <si>
    <t>-599.947193245018 118.714143960646 -223.120527193186</t>
  </si>
  <si>
    <t>-641.665633398554 112.313547884252 -336.638934517697</t>
  </si>
  <si>
    <t>-665.515244421977 100.854312779093 -454.920153669597</t>
  </si>
  <si>
    <t>-679.643595366685 88.0642497469401 -562.770311601514</t>
  </si>
  <si>
    <t>-686.447043682302 72.6908772949098 -670.9932061709</t>
  </si>
  <si>
    <t>-688.316643285842 48.4577945045908 -821.357094409529</t>
  </si>
  <si>
    <t>-661.262957970978 24.8789782883291 -916.725467550459</t>
  </si>
  <si>
    <t>-672.137962148246 86.6369887402427 -759.441579231562</t>
  </si>
  <si>
    <t>-581.880898995126 202.724255960501 -758.432871324322</t>
  </si>
  <si>
    <t>-434.974457262211 188.56258463276 -478.425555347427</t>
  </si>
  <si>
    <t>-220.627138460578 114.795553537306 -350.927694791908</t>
  </si>
  <si>
    <t>-702.840830264129 31.7233943150761 -750.209863357381</t>
  </si>
  <si>
    <t>-568.776010358236 209.195613173201 -239.36299965589</t>
  </si>
  <si>
    <t>-572.190186353554 185.424286335972 215.698467447964</t>
  </si>
  <si>
    <t>-634.662053353772 166.41115860784 681.129849803087</t>
  </si>
  <si>
    <t>-497.165393584638 96.4230691456453 765.627516525795</t>
  </si>
  <si>
    <t>-631.003806191383 28.280537515576 -206.198156765749</t>
  </si>
  <si>
    <t>-519.784180439802 -39.2073335974362 230.532006242374</t>
  </si>
  <si>
    <t>-694.977008126877 35.2471814301625 660.049023898051</t>
  </si>
  <si>
    <t>-579.077774544488 -63.9323496187046 747.652096192617</t>
  </si>
  <si>
    <t>9763-20170724T160706.490671100.bin</t>
  </si>
  <si>
    <t>-600.712117082384 117.971364729307 -223.126371159599</t>
  </si>
  <si>
    <t>-642.459524705701 111.642144646353 -336.638055683686</t>
  </si>
  <si>
    <t>-666.506063222428 100.335921392677 -454.89413644911</t>
  </si>
  <si>
    <t>-680.879573895892 87.7220563957858 -562.732576224507</t>
  </si>
  <si>
    <t>-687.99307113808 72.5657963722151 -670.966309384557</t>
  </si>
  <si>
    <t>-690.358754432104 48.6790750278087 -821.378499458831</t>
  </si>
  <si>
    <t>-663.458921660218 25.1417220498447 -916.800544870183</t>
  </si>
  <si>
    <t>-673.942928749679 86.697713006062 -759.426664840675</t>
  </si>
  <si>
    <t>-583.548961677195 202.690860668681 -758.648433072251</t>
  </si>
  <si>
    <t>-436.960190174008 188.843269541529 -478.458811084054</t>
  </si>
  <si>
    <t>-223.360761429419 115.051584655353 -349.72596606203</t>
  </si>
  <si>
    <t>-704.681125360489 31.7986694489016 -750.224737190998</t>
  </si>
  <si>
    <t>-569.380980941932 208.493327928913 -239.419773093706</t>
  </si>
  <si>
    <t>-572.869502330566 185.309535085779 215.671368234372</t>
  </si>
  <si>
    <t>-634.664003437159 166.532351142154 681.200985876377</t>
  </si>
  <si>
    <t>-497.270390503938 96.2517047838419 765.623402643274</t>
  </si>
  <si>
    <t>-631.899672460033 27.463074619714 -206.202000607765</t>
  </si>
  <si>
    <t>-520.55677089618 -39.7277242164594 230.542627235118</t>
  </si>
  <si>
    <t>-695.077534737976 35.1068305260521 660.220876841491</t>
  </si>
  <si>
    <t>-579.154851659375 -64.050244819814 747.818351036659</t>
  </si>
  <si>
    <t>9763-20170724T160706.522797000.bin</t>
  </si>
  <si>
    <t>-601.091972052947 117.521354535595 -223.150434992158</t>
  </si>
  <si>
    <t>-642.874100388481 111.246195718186 -336.652268278805</t>
  </si>
  <si>
    <t>-667.034027668575 100.004903127863 -454.891432502612</t>
  </si>
  <si>
    <t>-681.542027938147 87.4557346747936 -562.719543575158</t>
  </si>
  <si>
    <t>-688.821373964441 72.371253850029 -670.952166204026</t>
  </si>
  <si>
    <t>-691.449381010182 48.5925607307902 -821.377131866625</t>
  </si>
  <si>
    <t>-664.643787308004 25.0548395785163 -916.825687546132</t>
  </si>
  <si>
    <t>-674.912214053589 86.5594409895002 -759.425952251211</t>
  </si>
  <si>
    <t>-584.485389161386 202.519906947373 -758.786746399332</t>
  </si>
  <si>
    <t>-438.018459587554 188.721790872616 -478.531029269288</t>
  </si>
  <si>
    <t>-224.44834032007 115.086665978347 -349.660107200025</t>
  </si>
  <si>
    <t>-705.660819995582 31.6684795738347 -750.21176224187</t>
  </si>
  <si>
    <t>-569.70458013262 208.002492295892 -239.435398054372</t>
  </si>
  <si>
    <t>-573.017432522883 184.997259129644 215.666138906023</t>
  </si>
  <si>
    <t>-634.678933592817 166.538305326326 681.224851546056</t>
  </si>
  <si>
    <t>-497.238815945933 96.3105568395094 765.61555730643</t>
  </si>
  <si>
    <t>-632.329823119557 27.0858195332644 -206.214231524546</t>
  </si>
  <si>
    <t>-520.956099313494 -40.1466306442778 230.516040918333</t>
  </si>
  <si>
    <t>-695.113697890605 35.0224173276365 660.280312881322</t>
  </si>
  <si>
    <t>-579.165518481021 -64.0835004919511 747.901927707068</t>
  </si>
  <si>
    <t>9763-20170724T160706.595990900.bin</t>
  </si>
  <si>
    <t>-601.728131526266 116.698675325307 -223.180087291509</t>
  </si>
  <si>
    <t>-643.631863373685 110.567081604408 -336.644888386566</t>
  </si>
  <si>
    <t>-668.014689365905 99.4885222050309 -454.853723341601</t>
  </si>
  <si>
    <t>-682.764177038957 87.0967168796014 -562.667218971788</t>
  </si>
  <si>
    <t>-690.323913262002 72.181037049708 -670.904061550755</t>
  </si>
  <si>
    <t>-693.380646904241 48.6500457010225 -821.359924447914</t>
  </si>
  <si>
    <t>-666.781240856153 25.1781312733854 -916.882299660362</t>
  </si>
  <si>
    <t>-676.652570839689 86.506981441639 -759.392571790461</t>
  </si>
  <si>
    <t>-586.173532611295 202.425438143017 -758.95771867413</t>
  </si>
  <si>
    <t>-439.803140176734 188.741566829503 -478.645947017663</t>
  </si>
  <si>
    <t>-227.072668221703 115.120568164348 -348.385665418917</t>
  </si>
  <si>
    <t>-707.403688353995 31.6165935694567 -750.183073087219</t>
  </si>
  <si>
    <t>-570.320632072081 207.156372189066 -239.425532930722</t>
  </si>
  <si>
    <t>-573.102853011163 184.265315670361 215.68534261857</t>
  </si>
  <si>
    <t>-634.768493560311 166.426995612784 681.268887557469</t>
  </si>
  <si>
    <t>-497.25476159972 96.2884427318352 765.613818402008</t>
  </si>
  <si>
    <t>-632.959701665361 26.2800978822831 -206.278117085214</t>
  </si>
  <si>
    <t>-521.629572957375 -40.7360151992777 230.496597879868</t>
  </si>
  <si>
    <t>-695.173594674361 34.905282085407 660.395915665151</t>
  </si>
  <si>
    <t>-579.267131511809 -64.2046148764484 748.06819448918</t>
  </si>
  <si>
    <t>9763-20170724T160706.622386400.bin</t>
  </si>
  <si>
    <t>-601.93023556375 116.296285174825 -223.168455834034</t>
  </si>
  <si>
    <t>-643.883622975146 110.209586137723 -336.617345174015</t>
  </si>
  <si>
    <t>-668.401484282422 99.2159559814907 -454.80630742722</t>
  </si>
  <si>
    <t>-683.307430914144 86.9177434082958 -562.608923386134</t>
  </si>
  <si>
    <t>-691.057318275709 72.1127886131724 -670.847444988691</t>
  </si>
  <si>
    <t>-694.412526218645 48.7536974480497 -821.323710409341</t>
  </si>
  <si>
    <t>-667.947166772817 25.3146245218506 -916.891442441809</t>
  </si>
  <si>
    <t>-677.536505446843 86.525982003443 -759.345043407721</t>
  </si>
  <si>
    <t>-587.037096900474 202.429953446232 -759.0202671444</t>
  </si>
  <si>
    <t>-441.157575121603 188.56241256335 -478.461801776383</t>
  </si>
  <si>
    <t>-228.732237771286 115.102105316951 -347.614175982993</t>
  </si>
  <si>
    <t>-708.319528782493 31.6526049832296 -750.140343260576</t>
  </si>
  <si>
    <t>-570.466636551765 206.714430490347 -239.410864212052</t>
  </si>
  <si>
    <t>-573.048514373411 183.941814997492 215.707163717074</t>
  </si>
  <si>
    <t>-634.775076904035 166.42958414789 681.285831404351</t>
  </si>
  <si>
    <t>-497.232036249084 96.3330361436879 765.617849075552</t>
  </si>
  <si>
    <t>-633.230253174435 25.9017689076343 -206.240122876863</t>
  </si>
  <si>
    <t>-521.791087330149 -41.0577848323931 230.515350488832</t>
  </si>
  <si>
    <t>-695.19095896696 34.8582269577807 660.429529873243</t>
  </si>
  <si>
    <t>-579.307503562577 -64.2604817389054 748.122296563301</t>
  </si>
  <si>
    <t>9763-20170724T160706.689069900.bin</t>
  </si>
  <si>
    <t>-602.121906123831 115.497497715864 -223.091308682202</t>
  </si>
  <si>
    <t>-644.12250792228 109.393281257941 -336.521870501446</t>
  </si>
  <si>
    <t>-668.843711939627 98.5462929615053 -454.681771445441</t>
  </si>
  <si>
    <t>-683.995526928249 86.4471582555868 -562.47271430915</t>
  </si>
  <si>
    <t>-692.05131208915 71.9077474533347 -670.725112410605</t>
  </si>
  <si>
    <t>-695.891909952062 48.9864759927727 -821.256928915651</t>
  </si>
  <si>
    <t>-669.687797534225 25.6957449044007 -916.932904339922</t>
  </si>
  <si>
    <t>-678.757542562697 86.5463223107276 -759.219912889251</t>
  </si>
  <si>
    <t>-587.960391212988 202.201584809741 -758.82799298549</t>
  </si>
  <si>
    <t>-443.708480428928 188.654024860014 -477.413581921936</t>
  </si>
  <si>
    <t>-231.936348730596 114.800031140941 -345.731523621412</t>
  </si>
  <si>
    <t>-709.627513592218 31.7106233843751 -750.082615459001</t>
  </si>
  <si>
    <t>-570.57714349004 205.886799533642 -239.399566459315</t>
  </si>
  <si>
    <t>-573.032568831489 183.442011616392 215.735424481097</t>
  </si>
  <si>
    <t>-634.80722136149 166.386951640122 681.314111587659</t>
  </si>
  <si>
    <t>-497.190581229479 96.4167620351461 765.631046737913</t>
  </si>
  <si>
    <t>-633.479010086793 25.1318305370164 -206.107803365186</t>
  </si>
  <si>
    <t>-521.826585745193 -41.6974680001258 230.613213077168</t>
  </si>
  <si>
    <t>-695.217688014177 34.7565491930536 660.453564101526</t>
  </si>
  <si>
    <t>-579.284255761708 -64.2592116258927 748.19652208894</t>
  </si>
  <si>
    <t>9763-20170724T160706.724254100.bin</t>
  </si>
  <si>
    <t>-602.118408600778 115.08719241559 -223.045859719507</t>
  </si>
  <si>
    <t>-644.167633820434 108.980636221739 -336.458293122482</t>
  </si>
  <si>
    <t>-668.939399070373 98.1978052711911 -454.613472851159</t>
  </si>
  <si>
    <t>-684.136129300527 86.1833196316388 -562.407600720954</t>
  </si>
  <si>
    <t>-692.234933118617 71.7550281885665 -670.671471529953</t>
  </si>
  <si>
    <t>-696.132290630041 49.015588748998 -821.229568958965</t>
  </si>
  <si>
    <t>-669.966886829855 25.8066792822353 -916.936001457265</t>
  </si>
  <si>
    <t>-678.970112096997 86.498091462222 -759.153393892089</t>
  </si>
  <si>
    <t>-588.083407703838 202.09380043168 -758.714032534701</t>
  </si>
  <si>
    <t>-444.457987434078 188.553252758004 -476.979168591263</t>
  </si>
  <si>
    <t>-233.882895793314 114.60761302902 -343.441831962711</t>
  </si>
  <si>
    <t>-709.845410187345 31.6562459042141 -750.071230514449</t>
  </si>
  <si>
    <t>-570.591154059527 205.433246659958 -239.391303560337</t>
  </si>
  <si>
    <t>-572.920342813748 183.13798421739 215.751692936515</t>
  </si>
  <si>
    <t>-634.832652367497 166.339858427257 681.328192339741</t>
  </si>
  <si>
    <t>-497.117410609204 96.5491635027495 765.632905540076</t>
  </si>
  <si>
    <t>-633.437504706515 24.7900421995028 -206.042079630671</t>
  </si>
  <si>
    <t>-521.797602794485 -41.9654422307613 230.69345596188</t>
  </si>
  <si>
    <t>-695.215701435472 34.7639622075524 660.468372545344</t>
  </si>
  <si>
    <t>-579.387334020295 -64.3600649780565 748.227858360704</t>
  </si>
  <si>
    <t>9763-20170724T160706.789460100.bin</t>
  </si>
  <si>
    <t>-602.164702912936 114.47624817416 -223.043500599174</t>
  </si>
  <si>
    <t>-644.361939973599 108.376727178947 -336.401450476906</t>
  </si>
  <si>
    <t>-669.29507656546 97.7077214210112 -454.532999417962</t>
  </si>
  <si>
    <t>-684.640577076502 85.836940593234 -562.321893783275</t>
  </si>
  <si>
    <t>-692.889411400684 71.5916013280882 -670.598672710602</t>
  </si>
  <si>
    <t>-696.995326633896 49.1456929792469 -821.195379784754</t>
  </si>
  <si>
    <t>-670.821314508544 25.990952909418 -916.912476879518</t>
  </si>
  <si>
    <t>-679.754679613475 86.5112634705529 -759.070463926559</t>
  </si>
  <si>
    <t>-588.812314891262 202.056610426076 -758.471271988318</t>
  </si>
  <si>
    <t>-445.944065197425 187.362733424263 -476.409331330481</t>
  </si>
  <si>
    <t>-236.072912569041 113.817193980243 -341.549459714538</t>
  </si>
  <si>
    <t>-710.602484105634 31.6433707534454 -750.051548671623</t>
  </si>
  <si>
    <t>-570.821866533722 204.800832895644 -239.37043017438</t>
  </si>
  <si>
    <t>-572.504278020548 182.360354915774 215.768234182911</t>
  </si>
  <si>
    <t>-634.876288312723 166.28031893018 681.349039572795</t>
  </si>
  <si>
    <t>-497.109789414495 96.5647230396905 765.632093304007</t>
  </si>
  <si>
    <t>-633.358626281774 24.2431473349959 -206.050850641868</t>
  </si>
  <si>
    <t>-521.883149397937 -42.3423174688282 230.752624183853</t>
  </si>
  <si>
    <t>-695.286497602393 34.5995541275518 660.500472128275</t>
  </si>
  <si>
    <t>-579.379025487194 -64.3969224630632 748.299466520313</t>
  </si>
  <si>
    <t>9763-20170724T160706.827319200.bin</t>
  </si>
  <si>
    <t>-602.266547526737 114.324286028881 -223.058285863906</t>
  </si>
  <si>
    <t>-644.516398321506 108.236637481624 -336.397154123698</t>
  </si>
  <si>
    <t>-669.522089471049 97.6313197629904 -454.51916991309</t>
  </si>
  <si>
    <t>-684.94019494668 85.8381807023777 -562.306323057374</t>
  </si>
  <si>
    <t>-693.268111666659 71.6896143598012 -670.589787597529</t>
  </si>
  <si>
    <t>-697.490133935025 49.3973273814222 -821.205859007238</t>
  </si>
  <si>
    <t>-671.28088533308 26.2776827031571 -916.921867397632</t>
  </si>
  <si>
    <t>-680.218359277029 86.7087018827006 -759.057248999656</t>
  </si>
  <si>
    <t>-589.307958104737 202.28496372677 -758.456839608275</t>
  </si>
  <si>
    <t>-446.493817169369 186.851044760053 -476.406953662949</t>
  </si>
  <si>
    <t>-236.905203450831 113.666697139782 -340.912517617343</t>
  </si>
  <si>
    <t>-711.025650050052 31.8132834166281 -750.06876745185</t>
  </si>
  <si>
    <t>-571.038454379833 204.600059012325 -239.337128837171</t>
  </si>
  <si>
    <t>-572.302195223125 182.062218345886 215.798202192683</t>
  </si>
  <si>
    <t>-634.869528467515 166.33623807099 681.374867927638</t>
  </si>
  <si>
    <t>-497.097399623224 96.589212613831 765.622716029038</t>
  </si>
  <si>
    <t>-633.353396931833 24.2053996987947 -206.100267230985</t>
  </si>
  <si>
    <t>-522.076064990958 -42.4804053526486 230.738299930936</t>
  </si>
  <si>
    <t>-695.331633544765 34.4744489353295 660.534151954255</t>
  </si>
  <si>
    <t>-579.305117139825 -64.3630401877217 748.355051247336</t>
  </si>
  <si>
    <t>9763-20170724T160706.891488800.bin</t>
  </si>
  <si>
    <t>-602.454876060138 114.043292404914 -223.14533952711</t>
  </si>
  <si>
    <t>-644.810286645668 108.042532018369 -336.449468213207</t>
  </si>
  <si>
    <t>-669.933493976329 97.6093325459497 -454.561804989343</t>
  </si>
  <si>
    <t>-685.461328730527 86.0015909050703 -562.353315315451</t>
  </si>
  <si>
    <t>-693.902038420171 72.0648913499692 -670.65548263109</t>
  </si>
  <si>
    <t>-698.283548992283 50.0919497000268 -821.314096830589</t>
  </si>
  <si>
    <t>-671.875067003702 26.948855314889 -916.969539195162</t>
  </si>
  <si>
    <t>-680.96517529133 87.2822537253946 -759.105634736524</t>
  </si>
  <si>
    <t>-590.071031255128 202.861416951496 -758.383768762299</t>
  </si>
  <si>
    <t>-447.30031653381 185.704121857109 -476.411497693811</t>
  </si>
  <si>
    <t>-237.072387674732 113.832096242204 -341.205414498516</t>
  </si>
  <si>
    <t>-711.7244476184 32.3464621701235 -750.198973765599</t>
  </si>
  <si>
    <t>-571.528519893561 204.104093543118 -239.278268191119</t>
  </si>
  <si>
    <t>-571.85510390859 181.280308173233 215.844309090762</t>
  </si>
  <si>
    <t>-634.954884706495 166.282736617871 681.419338903342</t>
  </si>
  <si>
    <t>-497.01983794966 96.7641394500929 765.589354851545</t>
  </si>
  <si>
    <t>-633.241379916201 24.0242518306425 -206.355178876825</t>
  </si>
  <si>
    <t>-522.547960415636 -42.5792560347147 230.644429080254</t>
  </si>
  <si>
    <t>-695.347835276086 34.3747597950949 660.634637006935</t>
  </si>
  <si>
    <t>-579.375816146594 -64.4479467445858 748.544087952235</t>
  </si>
  <si>
    <t>9763-20170724T160706.953485000.bin</t>
  </si>
  <si>
    <t>-602.839003108679 113.830860954592 -223.161186342392</t>
  </si>
  <si>
    <t>-645.269641492995 107.934779489486 -336.442638311742</t>
  </si>
  <si>
    <t>-670.4420425059 97.6287819442057 -454.555750512558</t>
  </si>
  <si>
    <t>-686.002315381877 86.1448130690105 -562.355746719142</t>
  </si>
  <si>
    <t>-694.462580325432 72.340487479102 -670.673413469111</t>
  </si>
  <si>
    <t>-698.856934076239 50.5606915096007 -821.359630609636</t>
  </si>
  <si>
    <t>-672.037132370835 27.2030252606908 -916.848388644341</t>
  </si>
  <si>
    <t>-681.577320365107 87.695303823524 -759.107279537352</t>
  </si>
  <si>
    <t>-590.746376514793 203.340172460025 -758.293417699119</t>
  </si>
  <si>
    <t>-447.788548300052 184.50809128261 -476.522975797017</t>
  </si>
  <si>
    <t>-237.689571717734 113.597672181137 -340.610472085351</t>
  </si>
  <si>
    <t>-712.247937115017 32.6997052320007 -750.263957875605</t>
  </si>
  <si>
    <t>-571.975985324732 203.723754145339 -239.193234585876</t>
  </si>
  <si>
    <t>-571.604927723109 180.74055707273 215.921441619442</t>
  </si>
  <si>
    <t>-634.98202877553 166.348199552048 681.462979959867</t>
  </si>
  <si>
    <t>-497.011600754533 96.8197356314452 765.566851183363</t>
  </si>
  <si>
    <t>-633.564431497106 23.9458336693767 -206.489021318329</t>
  </si>
  <si>
    <t>-523.286464910139 -42.590921602256 230.625678554679</t>
  </si>
  <si>
    <t>-695.434855435851 34.2907393057958 660.873873750974</t>
  </si>
  <si>
    <t>-579.385963984409 -64.4646420838442 748.757552237973</t>
  </si>
  <si>
    <t>9763-20170724T160706.992595500.bin</t>
  </si>
  <si>
    <t>-603.087798523479 113.630897901199 -223.216826901188</t>
  </si>
  <si>
    <t>-645.508744088766 107.780526181796 -336.504315230854</t>
  </si>
  <si>
    <t>-670.698962086112 97.5488276917135 -454.619962658672</t>
  </si>
  <si>
    <t>-686.28604513397 86.1449655824731 -562.424643069049</t>
  </si>
  <si>
    <t>-694.78303420373 72.434686726828 -670.751386431776</t>
  </si>
  <si>
    <t>-699.238248613036 50.8005627748908 -821.456871574567</t>
  </si>
  <si>
    <t>-672.133129112402 27.3105250650319 -916.832508123925</t>
  </si>
  <si>
    <t>-681.950892356891 87.8845163903907 -759.176430138125</t>
  </si>
  <si>
    <t>-591.188526630434 203.572520661578 -758.303188995774</t>
  </si>
  <si>
    <t>-448.091304189507 184.142576801686 -476.643982073748</t>
  </si>
  <si>
    <t>-239.012858959151 113.093798508909 -339.238485022651</t>
  </si>
  <si>
    <t>-712.583075156061 32.861395088099 -750.372144447698</t>
  </si>
  <si>
    <t>-572.206833838138 203.549647146193 -239.190692323393</t>
  </si>
  <si>
    <t>-571.61676162752 180.486688497323 215.91962211742</t>
  </si>
  <si>
    <t>-634.982094423999 166.396835926129 681.475250132725</t>
  </si>
  <si>
    <t>-497.021388897924 96.8189563413864 765.554177027149</t>
  </si>
  <si>
    <t>-633.833237276279 23.7169526559542 -206.605996739309</t>
  </si>
  <si>
    <t>-523.743290149047 -42.6649282629603 230.579730352296</t>
  </si>
  <si>
    <t>-695.548583121021 34.0796820577591 661.011931719198</t>
  </si>
  <si>
    <t>-579.362061955058 -64.5292554644136 748.878199931842</t>
  </si>
  <si>
    <t>9763-20170724T160707.021304900.bin</t>
  </si>
  <si>
    <t>-603.307815862588 113.467229620123 -223.248701029365</t>
  </si>
  <si>
    <t>-645.719719998083 107.65884546359 -336.541623366863</t>
  </si>
  <si>
    <t>-670.915244506683 97.4791566512483 -454.660798666177</t>
  </si>
  <si>
    <t>-686.513144102313 86.1256920274043 -562.469141600022</t>
  </si>
  <si>
    <t>-695.027125853566 72.4686522705485 -670.801233764234</t>
  </si>
  <si>
    <t>-699.512455782387 50.911056559818 -821.516820587406</t>
  </si>
  <si>
    <t>-672.139299400756 27.2687625415379 -916.778124199285</t>
  </si>
  <si>
    <t>-682.21327283041 87.9638142493284 -759.221124742264</t>
  </si>
  <si>
    <t>-591.467387578703 203.683770293422 -758.290906962159</t>
  </si>
  <si>
    <t>-448.20213850873 183.933451272531 -476.739591104443</t>
  </si>
  <si>
    <t>-240.955428068457 112.144151913218 -336.964046564375</t>
  </si>
  <si>
    <t>-712.84242546519 32.9354039586951 -750.438564063709</t>
  </si>
  <si>
    <t>-572.438352299903 203.367985881199 -239.185070977723</t>
  </si>
  <si>
    <t>-571.646671122456 180.297646204678 215.92461017235</t>
  </si>
  <si>
    <t>-634.991041808994 166.436911009917 681.492308359697</t>
  </si>
  <si>
    <t>-497.046103050669 96.8022978420856 765.550193481788</t>
  </si>
  <si>
    <t>-633.998475911183 23.6183901974143 -206.675218528974</t>
  </si>
  <si>
    <t>-524.133245270355 -42.8306818248993 230.556716434983</t>
  </si>
  <si>
    <t>-695.553254678789 34.074822226266 661.121687912623</t>
  </si>
  <si>
    <t>-579.47346530089 -64.6483532631958 749.000755274498</t>
  </si>
  <si>
    <t>9763-20170724T160707.094512200.bin</t>
  </si>
  <si>
    <t>-603.753042803166 113.129709266726 -223.209142710565</t>
  </si>
  <si>
    <t>-646.141216562809 107.347753572868 -336.512336466735</t>
  </si>
  <si>
    <t>-671.270776813941 97.2013611551417 -454.648313848957</t>
  </si>
  <si>
    <t>-686.791674121167 85.8787761711026 -562.471219759215</t>
  </si>
  <si>
    <t>-695.211877755813 72.2516798640183 -670.814406256148</t>
  </si>
  <si>
    <t>-699.549590640194 50.733870677547 -821.5399100775</t>
  </si>
  <si>
    <t>-671.704072126717 26.8185072583497 -916.596014126839</t>
  </si>
  <si>
    <t>-682.314132818093 87.7717254773281 -759.217676198801</t>
  </si>
  <si>
    <t>-591.517962738435 203.416753736371 -757.918277061533</t>
  </si>
  <si>
    <t>-447.919604747075 183.838160763197 -476.524645392387</t>
  </si>
  <si>
    <t>-243.03676838996 110.911117539569 -333.882563811596</t>
  </si>
  <si>
    <t>-712.946329973778 32.7380742492553 -750.479355136148</t>
  </si>
  <si>
    <t>-572.874944802202 203.055773972759 -239.156573238765</t>
  </si>
  <si>
    <t>-571.924972631976 180.131526132266 215.96013832064</t>
  </si>
  <si>
    <t>-634.989389624775 166.50543447174 681.522169285318</t>
  </si>
  <si>
    <t>-497.015379279869 96.9002000379428 765.556607491565</t>
  </si>
  <si>
    <t>-634.42325088533 23.1941633906904 -206.666086348665</t>
  </si>
  <si>
    <t>-524.649067060569 -43.1488685012976 230.604928408262</t>
  </si>
  <si>
    <t>-695.663001929339 33.8431504308567 661.314434838968</t>
  </si>
  <si>
    <t>-579.44819928194 -64.7232713435728 749.191005765924</t>
  </si>
  <si>
    <t>9763-20170724T160707.126600000.bin</t>
  </si>
  <si>
    <t>-603.945154173201 113.041279703619 -223.208273968311</t>
  </si>
  <si>
    <t>-646.27691787678 107.222459602875 -336.530682792263</t>
  </si>
  <si>
    <t>-671.318910965321 97.0892424999668 -454.686413901991</t>
  </si>
  <si>
    <t>-686.747636606162 85.7968683013387 -562.525618327704</t>
  </si>
  <si>
    <t>-695.062749158049 72.2168550007975 -670.882789954533</t>
  </si>
  <si>
    <t>-699.240716669098 50.7812165687137 -821.624556506857</t>
  </si>
  <si>
    <t>-671.185722510627 26.785630441183 -916.59878439367</t>
  </si>
  <si>
    <t>-682.064539110912 87.7813618717382 -759.263653758385</t>
  </si>
  <si>
    <t>-591.080857298697 203.253929871657 -757.414948677819</t>
  </si>
  <si>
    <t>-447.012331025227 184.26810321268 -476.221070948927</t>
  </si>
  <si>
    <t>-242.345902457749 111.407894564222 -333.234617312736</t>
  </si>
  <si>
    <t>-712.719581757019 32.7503656869328 -750.588377798101</t>
  </si>
  <si>
    <t>-573.117630346138 203.060296823714 -239.157550475762</t>
  </si>
  <si>
    <t>-572.109366548049 180.173729586736 215.960969428221</t>
  </si>
  <si>
    <t>-634.981540805567 166.552610065546 681.541460710563</t>
  </si>
  <si>
    <t>-496.982982212356 96.9837976412716 765.565806452684</t>
  </si>
  <si>
    <t>-634.565349634438 23.0386009315032 -206.641928617315</t>
  </si>
  <si>
    <t>-524.7886252064 -43.2494621797744 230.636757951772</t>
  </si>
  <si>
    <t>-695.707356058353 33.7522192712192 661.388932130767</t>
  </si>
  <si>
    <t>-579.482014206718 -64.8037008375959 749.26334734033</t>
  </si>
  <si>
    <t>9763-20170724T160707.194781100.bin</t>
  </si>
  <si>
    <t>-604.253582372879 113.156811477925 -223.190909158786</t>
  </si>
  <si>
    <t>-646.537457671651 107.30220710622 -336.529390394168</t>
  </si>
  <si>
    <t>-671.490222604458 97.2920324819299 -454.71445751537</t>
  </si>
  <si>
    <t>-686.819485385978 86.1706878143975 -562.585626678717</t>
  </si>
  <si>
    <t>-695.014906593563 72.8191755866465 -670.980293956155</t>
  </si>
  <si>
    <t>-699.004809579046 51.7580834268022 -821.779927949783</t>
  </si>
  <si>
    <t>-670.802388481104 27.7097042949385 -916.697172288422</t>
  </si>
  <si>
    <t>-681.839722746835 88.5664509685321 -759.302404547504</t>
  </si>
  <si>
    <t>-590.407610686473 203.731833873079 -756.707645371299</t>
  </si>
  <si>
    <t>-446.044364800926 185.152868458613 -475.637730060662</t>
  </si>
  <si>
    <t>-238.762314255621 114.006878839051 -335.586012401138</t>
  </si>
  <si>
    <t>-712.639049068355 33.5875128506966 -750.809195352983</t>
  </si>
  <si>
    <t>-573.345642757133 203.164322780058 -239.167517486079</t>
  </si>
  <si>
    <t>-572.481125988122 180.503103398003 215.962619991844</t>
  </si>
  <si>
    <t>-634.970158661095 166.641478924194 681.588705236562</t>
  </si>
  <si>
    <t>-497.015576993549 96.9665545577855 765.597361811357</t>
  </si>
  <si>
    <t>-635.000057626348 23.1897596010663 -206.514723401683</t>
  </si>
  <si>
    <t>-524.942350131292 -43.2414146014075 230.671561953576</t>
  </si>
  <si>
    <t>-695.740170106918 33.7074512009672 661.48870273244</t>
  </si>
  <si>
    <t>-579.517386243308 -64.8737845394128 749.338087110099</t>
  </si>
  <si>
    <t>9763-20170724T160707.225387200.bin</t>
  </si>
  <si>
    <t>-604.362066223302 113.264177930592 -223.202873990721</t>
  </si>
  <si>
    <t>-646.617888502772 107.42216098091 -336.552356157007</t>
  </si>
  <si>
    <t>-671.582860301728 97.4102296440556 -454.73475459396</t>
  </si>
  <si>
    <t>-686.940474615712 86.2822591369104 -562.601228079518</t>
  </si>
  <si>
    <t>-695.18160409527 72.9199955267522 -670.991225565021</t>
  </si>
  <si>
    <t>-699.25327542491 51.8400862575475 -821.785954647812</t>
  </si>
  <si>
    <t>-671.052866476671 27.6825986688057 -916.676028867024</t>
  </si>
  <si>
    <t>-682.024116393632 88.6394579436733 -759.320958057966</t>
  </si>
  <si>
    <t>-590.550189270396 203.774563869232 -756.659965600752</t>
  </si>
  <si>
    <t>-445.612561567895 185.489383672277 -475.866664305162</t>
  </si>
  <si>
    <t>-237.257434223669 114.20843488573 -337.485764581736</t>
  </si>
  <si>
    <t>-712.879290415993 33.6950875582995 -750.806970114374</t>
  </si>
  <si>
    <t>-573.373226412113 203.221221151898 -239.189507634139</t>
  </si>
  <si>
    <t>-572.610751381301 180.599047719645 215.94263133147</t>
  </si>
  <si>
    <t>-634.970972663725 166.660769821527 681.597288879586</t>
  </si>
  <si>
    <t>-496.99255568982 97.0249541139842 765.599216205901</t>
  </si>
  <si>
    <t>-635.231189361876 23.3176693527921 -206.516856152398</t>
  </si>
  <si>
    <t>-525.025438411245 -43.181174995558 230.621861867331</t>
  </si>
  <si>
    <t>-695.698113391265 33.7759738374348 661.503887551667</t>
  </si>
  <si>
    <t>-579.660208226918 -65.0052354790814 749.373067254419</t>
  </si>
  <si>
    <t>9763-20170724T160707.296112000.bin</t>
  </si>
  <si>
    <t>-604.482997698448 113.502766811175 -223.206366634133</t>
  </si>
  <si>
    <t>-646.704819563688 107.77717323689 -336.574601840257</t>
  </si>
  <si>
    <t>-671.792775509773 97.5977679830121 -454.716480853692</t>
  </si>
  <si>
    <t>-687.334202184414 86.200893047923 -562.528547516561</t>
  </si>
  <si>
    <t>-695.836913219795 72.4514252180504 -670.849857909747</t>
  </si>
  <si>
    <t>-700.357823872297 50.7093066311261 -821.537826416303</t>
  </si>
  <si>
    <t>-672.461023881951 26.1692801249324 -916.419438196026</t>
  </si>
  <si>
    <t>-682.814607581605 87.7113398805918 -759.280086876291</t>
  </si>
  <si>
    <t>-591.38870759956 202.869305322562 -757.045241795759</t>
  </si>
  <si>
    <t>-445.240766801418 184.486856276121 -476.886268630682</t>
  </si>
  <si>
    <t>-244.514519081337 107.835498136859 -330.340759311291</t>
  </si>
  <si>
    <t>-713.900262923414 32.9477588962293 -750.445887429432</t>
  </si>
  <si>
    <t>-573.250142728221 203.467416630456 -239.203423002093</t>
  </si>
  <si>
    <t>-572.578560035407 180.74644628832 215.924040600273</t>
  </si>
  <si>
    <t>-634.859027530394 166.910682001563 681.597875547041</t>
  </si>
  <si>
    <t>-497.038348456133 96.971432482758 765.606631193611</t>
  </si>
  <si>
    <t>-635.582901321545 23.5797315792438 -206.588121383725</t>
  </si>
  <si>
    <t>-525.462002031785 -43.3333494416097 230.508753563443</t>
  </si>
  <si>
    <t>-695.753615520811 33.6818996550405 661.586548523369</t>
  </si>
  <si>
    <t>-579.64610137634 -65.0344737296043 749.436619936397</t>
  </si>
  <si>
    <t>9763-20170724T160707.324098500.bin</t>
  </si>
  <si>
    <t>-604.439104278339 113.653895870319 -223.142251965074</t>
  </si>
  <si>
    <t>-646.726929266472 108.00352611527 -336.489551893746</t>
  </si>
  <si>
    <t>-671.977920944006 97.7271803497208 -454.588545872567</t>
  </si>
  <si>
    <t>-687.710455382688 86.1725320172061 -562.355994616431</t>
  </si>
  <si>
    <t>-696.450645326019 72.1951633626686 -670.62923262154</t>
  </si>
  <si>
    <t>-701.35201079688 50.0635930920096 -821.248581784351</t>
  </si>
  <si>
    <t>-673.676214897963 25.3439426736657 -916.14838704478</t>
  </si>
  <si>
    <t>-683.580561453602 87.1863149930439 -759.127732324007</t>
  </si>
  <si>
    <t>-592.432285625243 202.585412407122 -757.476764305324</t>
  </si>
  <si>
    <t>-446.085725587267 183.776758807443 -477.449825700646</t>
  </si>
  <si>
    <t>-255.823180993231 101.203417521255 -320.529946299307</t>
  </si>
  <si>
    <t>-714.786097031365 32.5258874506653 -750.08061094385</t>
  </si>
  <si>
    <t>-573.046357768385 203.5697977297 -239.157084131402</t>
  </si>
  <si>
    <t>-572.410984859223 180.70420136833 215.963201617173</t>
  </si>
  <si>
    <t>-634.855584483515 166.933329981321 681.601791781081</t>
  </si>
  <si>
    <t>-497.009676739878 97.0415195579956 765.608673872446</t>
  </si>
  <si>
    <t>-635.672642879005 23.740943059863 -206.518239318722</t>
  </si>
  <si>
    <t>-525.500960677577 -43.3300757063782 230.541679876157</t>
  </si>
  <si>
    <t>-695.734343131047 33.7412688804743 661.61636086495</t>
  </si>
  <si>
    <t>-579.822171248019 -65.195857633742 749.476039287566</t>
  </si>
  <si>
    <t>9763-20170724T160707.390783800.bin</t>
  </si>
  <si>
    <t>-604.048494297283 113.861164963862 -223.056312579194</t>
  </si>
  <si>
    <t>-646.391339216918 108.31428159191 -336.388149483601</t>
  </si>
  <si>
    <t>-671.865048611094 97.9430257612846 -454.430859711217</t>
  </si>
  <si>
    <t>-687.873155228861 86.2224763980371 -562.139910965771</t>
  </si>
  <si>
    <t>-696.965584239168 72.0009100357886 -670.352238235562</t>
  </si>
  <si>
    <t>-702.439344700619 49.4486707850235 -820.889512229402</t>
  </si>
  <si>
    <t>-675.021799353345 24.5599481117238 -915.820029184768</t>
  </si>
  <si>
    <t>-684.264380455056 86.6497228243463 -758.932513993706</t>
  </si>
  <si>
    <t>-593.104408808708 202.037134770907 -758.481366187474</t>
  </si>
  <si>
    <t>-447.97112952326 185.051091187563 -477.707311610834</t>
  </si>
  <si>
    <t>-279.318927092532 87.7613001019645 -305.274247065591</t>
  </si>
  <si>
    <t>-715.770348149282 32.2049796532253 -749.630421813198</t>
  </si>
  <si>
    <t>-572.294081412601 203.640961532082 -239.102757696175</t>
  </si>
  <si>
    <t>-572.003863182788 180.582452007035 216.008029099153</t>
  </si>
  <si>
    <t>-634.876832720693 166.90131757901 681.591143442559</t>
  </si>
  <si>
    <t>-496.958233673822 97.1673638257182 765.6098741098</t>
  </si>
  <si>
    <t>-635.657995928046 24.0652819855277 -206.292569847675</t>
  </si>
  <si>
    <t>-525.375984992958 -43.6187567291688 230.64497644099</t>
  </si>
  <si>
    <t>-695.731937826807 33.6067364576711 661.585625234</t>
  </si>
  <si>
    <t>-579.835567921349 -65.2960013854863 749.504854536143</t>
  </si>
  <si>
    <t>9763-20170724T160707.423371300.bin</t>
  </si>
  <si>
    <t>-603.686653838165 113.941334488182 -222.980132695565</t>
  </si>
  <si>
    <t>-645.992211092059 108.413127206846 -336.326801832016</t>
  </si>
  <si>
    <t>-671.429596264308 98.0178926412268 -454.375327552834</t>
  </si>
  <si>
    <t>-687.405864395973 86.2598874174894 -562.084821305139</t>
  </si>
  <si>
    <t>-696.468067135849 71.9859059346709 -670.292893208765</t>
  </si>
  <si>
    <t>-701.901593913793 49.3463819009107 -820.818445948812</t>
  </si>
  <si>
    <t>-674.537348613332 24.459625512769 -915.764986918996</t>
  </si>
  <si>
    <t>-683.681350494171 86.5480296248006 -758.875140356397</t>
  </si>
  <si>
    <t>-592.061297063111 201.529618571303 -758.391797029458</t>
  </si>
  <si>
    <t>-449.755885363786 186.00828772606 -476.089734523733</t>
  </si>
  <si>
    <t>-289.409777697074 81.3782152824674 -300.067834809252</t>
  </si>
  <si>
    <t>-715.31346412979 32.1793579411942 -749.556080020108</t>
  </si>
  <si>
    <t>-571.685622808842 203.710996999657 -239.098665341499</t>
  </si>
  <si>
    <t>-571.730918238654 180.60523251915 216.009909357294</t>
  </si>
  <si>
    <t>-634.811280129272 167.023164642653 681.577340908419</t>
  </si>
  <si>
    <t>-497.010814895268 97.0766254721257 765.613188691743</t>
  </si>
  <si>
    <t>-635.500579914676 24.1495332739839 -206.172692164405</t>
  </si>
  <si>
    <t>-525.182592898074 -43.608656812311 230.744330979452</t>
  </si>
  <si>
    <t>-695.687944716148 33.6843865029052 661.599297759012</t>
  </si>
  <si>
    <t>-580.003681788637 -65.4487462379927 749.538386106529</t>
  </si>
  <si>
    <t>9763-20170724T160707.493068200.bin</t>
  </si>
  <si>
    <t>-603.187476032532 113.912269454282 -222.613705549338</t>
  </si>
  <si>
    <t>-645.657097888925 108.373056471004 -335.898658579982</t>
  </si>
  <si>
    <t>-671.022900709564 98.0285558811279 -453.966929825687</t>
  </si>
  <si>
    <t>-686.831585372759 86.3451233361016 -561.709269162103</t>
  </si>
  <si>
    <t>-695.619519808763 72.1770477349614 -669.953946308078</t>
  </si>
  <si>
    <t>-700.557458494848 49.720136872173 -820.523877629209</t>
  </si>
  <si>
    <t>-673.308831414048 25.0109153430892 -915.549886020791</t>
  </si>
  <si>
    <t>-682.586035303828 86.8723344007587 -758.478179315596</t>
  </si>
  <si>
    <t>-591.047813814855 201.939104655606 -757.432022710307</t>
  </si>
  <si>
    <t>-454.224643484266 188.004746466315 -472.350488051449</t>
  </si>
  <si>
    <t>-303.331060749324 75.5820478555756 -292.811443386104</t>
  </si>
  <si>
    <t>-714.15898756171 32.4410610017878 -749.324480361913</t>
  </si>
  <si>
    <t>-571.000793493582 203.914108094523 -238.941166007166</t>
  </si>
  <si>
    <t>-571.044702932983 180.416985297661 216.147285250535</t>
  </si>
  <si>
    <t>-634.788660327547 167.066364991961 681.59234926426</t>
  </si>
  <si>
    <t>-497.041734644341 97.0174253760531 765.630688183115</t>
  </si>
  <si>
    <t>-635.221223392339 24.0265398982074 -205.641976115901</t>
  </si>
  <si>
    <t>-524.295691587672 -44.0509145999047 231.071497972506</t>
  </si>
  <si>
    <t>-695.658880376572 33.6149003967187 661.522423997458</t>
  </si>
  <si>
    <t>-580.04998809914 -65.5465390603092 749.528711030691</t>
  </si>
  <si>
    <t>9763-20170724T160707.525659600.bin</t>
  </si>
  <si>
    <t>-602.988155902161 114.077885122498 -222.532527648146</t>
  </si>
  <si>
    <t>-645.572842813582 108.473961951825 -335.771010704465</t>
  </si>
  <si>
    <t>-670.894742462977 98.1886355908384 -453.853867819365</t>
  </si>
  <si>
    <t>-686.59314352209 86.6096390523467 -561.623625410916</t>
  </si>
  <si>
    <t>-695.197217759251 72.5969916412512 -669.903324208239</t>
  </si>
  <si>
    <t>-699.800707568023 50.4092615385391 -820.523646943121</t>
  </si>
  <si>
    <t>-672.610925204247 25.8059018848737 -915.594046512419</t>
  </si>
  <si>
    <t>-682.060878234178 87.5035968751977 -758.376807753142</t>
  </si>
  <si>
    <t>-590.887602149393 202.872846080804 -756.88103253546</t>
  </si>
  <si>
    <t>-457.053200178459 187.348497483185 -470.466081059247</t>
  </si>
  <si>
    <t>-309.014462523776 73.6763980913465 -289.34392424034</t>
  </si>
  <si>
    <t>-713.466800736821 32.9496102987957 -749.380753062105</t>
  </si>
  <si>
    <t>-570.940537859736 204.271940535349 -238.861776181793</t>
  </si>
  <si>
    <t>-570.741215615113 180.448214765566 216.209654600628</t>
  </si>
  <si>
    <t>-634.74489444508 167.162579971364 681.604270707052</t>
  </si>
  <si>
    <t>-497.033905442291 97.0377152196236 765.638197065064</t>
  </si>
  <si>
    <t>-634.862315293852 24.0509556923796 -205.511061711473</t>
  </si>
  <si>
    <t>-523.818641161013 -44.0282900021052 231.172181150199</t>
  </si>
  <si>
    <t>-695.663583092768 33.5476973802647 661.469644463153</t>
  </si>
  <si>
    <t>-580.009813484996 -65.536372993746 749.504085177941</t>
  </si>
  <si>
    <t>9763-20170724T160707.559749900.bin</t>
  </si>
  <si>
    <t>-602.824327755895 114.343879258971 -222.477546075919</t>
  </si>
  <si>
    <t>-645.467096158006 108.629951459769 -335.68858846976</t>
  </si>
  <si>
    <t>-670.694580420086 98.3585066654584 -453.793044202345</t>
  </si>
  <si>
    <t>-686.241440527482 86.8392285607383 -561.591180934211</t>
  </si>
  <si>
    <t>-694.625856348662 72.9314661004903 -669.901642048781</t>
  </si>
  <si>
    <t>-698.852297631445 50.9342999520152 -820.561051401912</t>
  </si>
  <si>
    <t>-671.58470442028 26.3678693068691 -915.618576937194</t>
  </si>
  <si>
    <t>-681.357632428605 88.0005783451531 -758.327986507505</t>
  </si>
  <si>
    <t>-590.681349953061 203.737433903269 -756.471693083245</t>
  </si>
  <si>
    <t>-459.527858684005 186.149256468654 -468.938042222277</t>
  </si>
  <si>
    <t>-315.011108255289 69.3926116918235 -286.935747015351</t>
  </si>
  <si>
    <t>-712.606885262913 33.3340742080948 -749.469791802908</t>
  </si>
  <si>
    <t>-571.051430927034 204.697251040105 -238.792653933489</t>
  </si>
  <si>
    <t>-570.555535809309 180.559202986374 216.262036324763</t>
  </si>
  <si>
    <t>-634.733086875746 167.203880168848 681.617251996489</t>
  </si>
  <si>
    <t>-496.988452731112 97.1304912554629 765.638993532786</t>
  </si>
  <si>
    <t>-634.398774772963 24.1691446649181 -205.456957705573</t>
  </si>
  <si>
    <t>-523.310820585112 -43.7092815435117 231.246226584864</t>
  </si>
  <si>
    <t>-695.614195761008 33.6021679606254 661.417166721541</t>
  </si>
  <si>
    <t>-579.996775289153 -65.4956506768231 749.483892116053</t>
  </si>
  <si>
    <t>9763-20170724T160707.630944800.bin</t>
  </si>
  <si>
    <t>-602.395931841058 115.23636965113 -222.492371432413</t>
  </si>
  <si>
    <t>-644.953412509384 109.277223754438 -335.722827918991</t>
  </si>
  <si>
    <t>-669.742400970038 99.1549629871436 -453.932874134653</t>
  </si>
  <si>
    <t>-684.742205529977 87.9120552815202 -561.837757081664</t>
  </si>
  <si>
    <t>-692.427029543225 74.410052173203 -670.251234960296</t>
  </si>
  <si>
    <t>-695.521089244963 53.1018229881554 -821.037162989016</t>
  </si>
  <si>
    <t>-667.610695585413 28.7003029102605 -915.950610498111</t>
  </si>
  <si>
    <t>-678.597130479669 89.9402389396514 -758.511627739935</t>
  </si>
  <si>
    <t>-588.182492801729 205.866817648221 -755.60886243515</t>
  </si>
  <si>
    <t>-464.87665768178 183.791435585851 -464.929547354755</t>
  </si>
  <si>
    <t>-324.456979447663 58.2403361252084 -285.593748476883</t>
  </si>
  <si>
    <t>-709.706951800288 35.1199218550425 -750.126413840466</t>
  </si>
  <si>
    <t>-571.337394891466 205.801705524166 -238.727334803757</t>
  </si>
  <si>
    <t>-570.599445912015 181.178008305526 216.301063238504</t>
  </si>
  <si>
    <t>-634.720068003979 167.287394407485 681.646555964645</t>
  </si>
  <si>
    <t>-496.906840009805 97.3090157343829 765.634908770593</t>
  </si>
  <si>
    <t>-633.235755520268 24.7745736277091 -205.606333648818</t>
  </si>
  <si>
    <t>-522.55000577256 -42.4564738257504 231.29908216291</t>
  </si>
  <si>
    <t>-695.593349041584 33.5594462757824 661.375847986162</t>
  </si>
  <si>
    <t>-579.898459206199 -65.4360125253625 749.45594293399</t>
  </si>
  <si>
    <t>9763-20170724T160707.691618300.bin</t>
  </si>
  <si>
    <t>-602.53670195313 116.155788960685 -222.471960379637</t>
  </si>
  <si>
    <t>-645.036396850896 110.060327054544 -335.716930729829</t>
  </si>
  <si>
    <t>-669.465363088138 100.05380074136 -454.011659064807</t>
  </si>
  <si>
    <t>-684.008675705055 89.0140503813593 -562.000009244157</t>
  </si>
  <si>
    <t>-691.103258044607 75.8099737780756 -670.490379317845</t>
  </si>
  <si>
    <t>-693.235094046237 55.0123747011287 -821.364181391457</t>
  </si>
  <si>
    <t>-664.813213806532 30.8488864845785 -916.186828646386</t>
  </si>
  <si>
    <t>-676.837798048286 91.70928513688 -758.615800771609</t>
  </si>
  <si>
    <t>-586.901292087124 208.02720197253 -754.609916790871</t>
  </si>
  <si>
    <t>-471.325827899 180.954850928163 -461.189319209649</t>
  </si>
  <si>
    <t>-332.344957942526 47.4763937344374 -286.518715117071</t>
  </si>
  <si>
    <t>-707.745771299487 36.7201430214232 -750.598718036607</t>
  </si>
  <si>
    <t>-571.828284885682 206.908435734838 -238.701400537092</t>
  </si>
  <si>
    <t>-571.232122685485 182.099545808837 216.317107135527</t>
  </si>
  <si>
    <t>-634.675361011738 167.427325764018 681.689701862382</t>
  </si>
  <si>
    <t>-496.888978091489 97.3609074051976 765.648779210232</t>
  </si>
  <si>
    <t>-633.129563362441 25.4424865348883 -205.554690243874</t>
  </si>
  <si>
    <t>-521.867306865964 -41.2178813827461 231.291724490218</t>
  </si>
  <si>
    <t>-695.526014403172 33.6318090630157 661.283498542321</t>
  </si>
  <si>
    <t>-579.899725562112 -65.4340667922495 749.37449448705</t>
  </si>
  <si>
    <t>9763-20170724T160707.722884500.bin</t>
  </si>
  <si>
    <t>-602.690115209283 116.532281014535 -222.520997770646</t>
  </si>
  <si>
    <t>-645.124239846723 110.405317142602 -335.78887197859</t>
  </si>
  <si>
    <t>-669.471788386083 100.343160950258 -454.095716962487</t>
  </si>
  <si>
    <t>-683.936480958193 89.2414694631927 -562.088234549325</t>
  </si>
  <si>
    <t>-690.948304185459 75.962861459951 -670.574911890428</t>
  </si>
  <si>
    <t>-692.962233371863 55.0471404439954 -821.434066752624</t>
  </si>
  <si>
    <t>-664.46097938674 30.9112149800401 -916.239756137012</t>
  </si>
  <si>
    <t>-676.628354383162 91.8010943496574 -758.702212466801</t>
  </si>
  <si>
    <t>-586.970429043433 208.346627100752 -754.525617875665</t>
  </si>
  <si>
    <t>-475.17521096592 178.796966460632 -459.881976638513</t>
  </si>
  <si>
    <t>-336.096512121222 42.7078217554067 -287.316352786812</t>
  </si>
  <si>
    <t>-707.513924931171 36.8022831706621 -750.664783516427</t>
  </si>
  <si>
    <t>-572.078214757618 207.390623564335 -238.710975328575</t>
  </si>
  <si>
    <t>-571.63607120204 182.61645061402 216.309561905517</t>
  </si>
  <si>
    <t>-634.636587761959 167.524586948495 681.7116230759</t>
  </si>
  <si>
    <t>-496.87023043649 97.4046943524168 765.658921075238</t>
  </si>
  <si>
    <t>-633.158486976473 25.6940188724982 -205.622926608976</t>
  </si>
  <si>
    <t>-521.720279362687 -40.844923720188 231.197148153487</t>
  </si>
  <si>
    <t>-695.487893662627 33.728629093843 661.230594456846</t>
  </si>
  <si>
    <t>-580.088706623271 -65.5961210052385 749.327865635887</t>
  </si>
  <si>
    <t>9763-20170724T160707.788560200.bin</t>
  </si>
  <si>
    <t>-603.140248266146 117.273421767659 -222.685985009313</t>
  </si>
  <si>
    <t>-645.390782425528 111.303525018688 -336.030819591377</t>
  </si>
  <si>
    <t>-669.782608995111 101.028444138376 -454.310148632756</t>
  </si>
  <si>
    <t>-684.394171502189 89.5777156397105 -562.246494413244</t>
  </si>
  <si>
    <t>-691.66769135086 75.7905255181399 -670.652476133311</t>
  </si>
  <si>
    <t>-694.172757356555 53.998330488316 -821.380092931446</t>
  </si>
  <si>
    <t>-665.639887441926 29.6070626853527 -916.111010324366</t>
  </si>
  <si>
    <t>-677.543265902459 91.0653105204183 -758.910816416398</t>
  </si>
  <si>
    <t>-587.860895615941 207.585580700459 -755.587650310073</t>
  </si>
  <si>
    <t>-480.072927814234 176.179830052842 -459.645726387158</t>
  </si>
  <si>
    <t>-341.0347794649 37.9176166983261 -288.783212172171</t>
  </si>
  <si>
    <t>-708.585512141882 36.2159842332999 -750.46482100691</t>
  </si>
  <si>
    <t>-572.515428005997 208.434385509267 -238.717024386337</t>
  </si>
  <si>
    <t>-572.707782045325 183.639492210418 216.302608632149</t>
  </si>
  <si>
    <t>-634.64534370669 167.538225821605 681.767180866325</t>
  </si>
  <si>
    <t>-496.908473584204 97.3364976149483 765.694408088596</t>
  </si>
  <si>
    <t>-633.700294635539 26.1437322380868 -206.027151141491</t>
  </si>
  <si>
    <t>-522.087552485588 -40.4777308982721 230.735751746635</t>
  </si>
  <si>
    <t>-695.59158628493 33.5494620391389 661.07751101174</t>
  </si>
  <si>
    <t>-579.989986424067 -65.5393737962488 749.17507703572</t>
  </si>
  <si>
    <t>9763-20170724T160707.826751800.bin</t>
  </si>
  <si>
    <t>-603.27759809904 117.965755978161 -222.764553621636</t>
  </si>
  <si>
    <t>-645.393675243306 112.074999417914 -336.163546922504</t>
  </si>
  <si>
    <t>-669.881597190271 101.643826806104 -454.409438660515</t>
  </si>
  <si>
    <t>-684.683702222952 89.954980908132 -562.294215470979</t>
  </si>
  <si>
    <t>-692.256980912908 75.8318149405093 -670.636313933723</t>
  </si>
  <si>
    <t>-695.296612293921 53.4704269543638 -821.270876763202</t>
  </si>
  <si>
    <t>-666.868740941981 28.751985321974 -915.948352254766</t>
  </si>
  <si>
    <t>-678.345547537641 90.7171698392474 -758.995120991625</t>
  </si>
  <si>
    <t>-588.509427741808 207.082936373084 -756.439509184773</t>
  </si>
  <si>
    <t>-481.532669140112 175.674097867234 -460.203664561918</t>
  </si>
  <si>
    <t>-343.196331841919 35.9900252664297 -289.928865844846</t>
  </si>
  <si>
    <t>-709.557743787135 36.0121846741993 -750.244434605553</t>
  </si>
  <si>
    <t>-572.477865936198 209.208864571266 -238.718488832768</t>
  </si>
  <si>
    <t>-573.183765523044 184.35347732673 216.297290019931</t>
  </si>
  <si>
    <t>-634.567226253294 167.710414053264 681.789403233326</t>
  </si>
  <si>
    <t>-496.952333801417 97.2640638672201 765.71179986485</t>
  </si>
  <si>
    <t>-633.963523781895 26.7667084544996 -206.186804293847</t>
  </si>
  <si>
    <t>-522.32446822253 -40.1842224529489 230.519015974653</t>
  </si>
  <si>
    <t>-695.585135466223 33.6059395161274 660.999054915362</t>
  </si>
  <si>
    <t>-580.00582080287 -65.5120704670189 749.093052781076</t>
  </si>
  <si>
    <t>9763-20170724T160707.892427500.bin</t>
  </si>
  <si>
    <t>-602.995923965195 119.847797001413 -222.692905838674</t>
  </si>
  <si>
    <t>-644.957420397489 114.016318584547 -336.152385211797</t>
  </si>
  <si>
    <t>-669.60293763845 103.229769935513 -454.33351166674</t>
  </si>
  <si>
    <t>-684.687913529428 91.0568882689199 -562.125600633979</t>
  </si>
  <si>
    <t>-692.691165659252 76.2914393716765 -670.351224042142</t>
  </si>
  <si>
    <t>-696.487346752853 52.8759740949131 -820.808260928287</t>
  </si>
  <si>
    <t>-668.379531342107 27.4461711343315 -915.392919682985</t>
  </si>
  <si>
    <t>-679.016346058643 90.4399144883678 -758.867657011348</t>
  </si>
  <si>
    <t>-588.582202531114 206.375723179516 -757.668515244509</t>
  </si>
  <si>
    <t>-481.670119585829 175.700735101023 -461.332497863141</t>
  </si>
  <si>
    <t>-343.641623511962 34.2800558464876 -292.245664223567</t>
  </si>
  <si>
    <t>-710.599020727562 36.03319438264 -749.603521602582</t>
  </si>
  <si>
    <t>-571.504073153488 211.050690743865 -238.715128505328</t>
  </si>
  <si>
    <t>-573.749804725059 186.144705409875 216.292889988884</t>
  </si>
  <si>
    <t>-634.470886077258 167.933114087828 681.811321194785</t>
  </si>
  <si>
    <t>-497.060551960516 97.0789990216601 765.725632586863</t>
  </si>
  <si>
    <t>-634.274140006646 28.6328836030875 -205.979406079022</t>
  </si>
  <si>
    <t>-522.364864619318 -39.6049248944062 230.457962945112</t>
  </si>
  <si>
    <t>-695.564761709154 33.822569143538 660.938302166823</t>
  </si>
  <si>
    <t>-580.214734129726 -65.6437374811599 748.94022989413</t>
  </si>
  <si>
    <t>9763-20170724T160707.922663400.bin</t>
  </si>
  <si>
    <t>-602.656153764131 120.95507367768 -222.467531471346</t>
  </si>
  <si>
    <t>-644.603936183891 115.05347271369 -335.928344004321</t>
  </si>
  <si>
    <t>-669.344671297701 104.032353110511 -454.068038909172</t>
  </si>
  <si>
    <t>-684.564015601578 91.5856518947669 -561.809772382037</t>
  </si>
  <si>
    <t>-692.751678807033 76.4882273218584 -669.975885085016</t>
  </si>
  <si>
    <t>-696.857653406448 52.5537603883179 -820.342960492313</t>
  </si>
  <si>
    <t>-668.93251174582 26.7362478902369 -914.876827516796</t>
  </si>
  <si>
    <t>-679.154357058427 90.2711935664584 -758.56193767995</t>
  </si>
  <si>
    <t>-588.439608561271 206.009505036511 -757.90830905054</t>
  </si>
  <si>
    <t>-482.020569753733 175.313785345687 -461.3969436855</t>
  </si>
  <si>
    <t>-343.682516188273 32.8972898007414 -293.402478348967</t>
  </si>
  <si>
    <t>-710.927436520368 36.016825561956 -749.058569945285</t>
  </si>
  <si>
    <t>-570.766619364375 212.206871920851 -238.690498326036</t>
  </si>
  <si>
    <t>-573.871714440356 187.323187805116 216.313648580735</t>
  </si>
  <si>
    <t>-634.398451837308 168.067349648245 681.80324518897</t>
  </si>
  <si>
    <t>-497.168247247161 96.8852823710668 765.734725183772</t>
  </si>
  <si>
    <t>-634.352743702608 29.6968713265978 -205.533458108358</t>
  </si>
  <si>
    <t>-521.907788124323 -39.3701008980281 230.635719729618</t>
  </si>
  <si>
    <t>-695.556542103895 33.9989943408032 660.941970526032</t>
  </si>
  <si>
    <t>-580.418214413947 -65.8116719200325 748.831140844292</t>
  </si>
  <si>
    <t>9763-20170724T160707.993357200.bin</t>
  </si>
  <si>
    <t>-601.826676668769 122.892543741719 -221.747619853376</t>
  </si>
  <si>
    <t>-643.690561296531 116.593130190372 -335.218085866147</t>
  </si>
  <si>
    <t>-668.565445107519 104.920768699197 -453.266940865413</t>
  </si>
  <si>
    <t>-684.002787110449 91.790062506986 -560.896632815737</t>
  </si>
  <si>
    <t>-692.508604388938 75.9190827259322 -668.927301897457</t>
  </si>
  <si>
    <t>-697.163886754021 50.8206583317558 -819.088421578448</t>
  </si>
  <si>
    <t>-669.501197367937 24.2037635850743 -913.477531084713</t>
  </si>
  <si>
    <t>-679.034957170164 88.8994381575649 -757.653406612462</t>
  </si>
  <si>
    <t>-587.57513928753 204.037300036638 -758.071320171058</t>
  </si>
  <si>
    <t>-482.647427622695 172.941312040958 -461.07068301287</t>
  </si>
  <si>
    <t>-344.358704913687 28.2827555406147 -294.961707619913</t>
  </si>
  <si>
    <t>-711.173126638776 34.9524917495376 -747.640178381005</t>
  </si>
  <si>
    <t>-569.206208278363 214.317664715684 -238.573693631967</t>
  </si>
  <si>
    <t>-574.183259368721 189.653923909457 216.425860923342</t>
  </si>
  <si>
    <t>-634.231794123095 168.352433251931 681.80105381487</t>
  </si>
  <si>
    <t>-497.293292849926 96.6561102053529 765.771279814478</t>
  </si>
  <si>
    <t>-634.262837071054 31.4027142519003 -204.280312606623</t>
  </si>
  <si>
    <t>-520.234295822863 -39.13963133364 231.241170241112</t>
  </si>
  <si>
    <t>-695.556135193735 34.3035717007883 660.862174383551</t>
  </si>
  <si>
    <t>-580.441683302741 -65.7762223923755 748.476178328348</t>
  </si>
  <si>
    <t>9763-20170724T160708.025946100.bin</t>
  </si>
  <si>
    <t>-601.317920300462 123.882799219616 -221.424432989264</t>
  </si>
  <si>
    <t>-643.142252750226 117.317590188484 -334.894374192588</t>
  </si>
  <si>
    <t>-668.031767226314 105.357602411914 -452.911504498512</t>
  </si>
  <si>
    <t>-683.506893002761 91.9566168691697 -560.502244060549</t>
  </si>
  <si>
    <t>-692.076703502474 75.8042416388937 -668.48617577984</t>
  </si>
  <si>
    <t>-696.849756431574 50.3020868090423 -818.575654807777</t>
  </si>
  <si>
    <t>-669.219929910517 23.3409934115577 -912.876650870471</t>
  </si>
  <si>
    <t>-678.56170664162 88.4808625921462 -757.249929198874</t>
  </si>
  <si>
    <t>-586.64623663871 203.228626871495 -758.09442223452</t>
  </si>
  <si>
    <t>-482.397084985776 172.504070177865 -460.816208111092</t>
  </si>
  <si>
    <t>-344.565589151924 26.3826031623476 -295.610144599562</t>
  </si>
  <si>
    <t>-710.913919034347 34.691170783356 -747.081433890565</t>
  </si>
  <si>
    <t>-568.452761620378 215.427741499909 -238.521250374771</t>
  </si>
  <si>
    <t>-574.423971778166 190.962771226318 216.477095030339</t>
  </si>
  <si>
    <t>-634.096511999094 168.560186252289 681.785871405758</t>
  </si>
  <si>
    <t>-497.37301218357 96.5044871892947 765.798827835185</t>
  </si>
  <si>
    <t>-634.021568670818 32.4247478065636 -203.672975218876</t>
  </si>
  <si>
    <t>-519.21681519877 -38.9635171897596 231.506648327556</t>
  </si>
  <si>
    <t>-695.452292853819 34.61650269337 660.744807475017</t>
  </si>
  <si>
    <t>-580.486511460374 -65.7205970556529 748.25965651295</t>
  </si>
  <si>
    <t>9763-20170724T160708.088114300.bin</t>
  </si>
  <si>
    <t>-600.455137666404 125.516639075913 -221.204163954736</t>
  </si>
  <si>
    <t>-642.146643094077 118.51711635182 -334.696978661552</t>
  </si>
  <si>
    <t>-667.042020029451 106.143416995941 -452.670204687556</t>
  </si>
  <si>
    <t>-682.581939284904 92.3782554732388 -560.205682467369</t>
  </si>
  <si>
    <t>-691.277289669312 75.8723136817496 -668.126013172347</t>
  </si>
  <si>
    <t>-696.288728424649 49.8902043988851 -818.125435857532</t>
  </si>
  <si>
    <t>-668.681657397667 22.397008238386 -912.279347340123</t>
  </si>
  <si>
    <t>-677.783729030256 88.1941355288209 -756.943035062279</t>
  </si>
  <si>
    <t>-585.23906567683 202.488203389972 -758.233769411946</t>
  </si>
  <si>
    <t>-482.453092680653 172.208369715058 -460.401024371604</t>
  </si>
  <si>
    <t>-343.998228612265 24.7783734184927 -296.887393254564</t>
  </si>
  <si>
    <t>-710.358942798096 34.5787957950763 -746.567694403506</t>
  </si>
  <si>
    <t>-567.277534872832 217.177365020654 -238.692753952443</t>
  </si>
  <si>
    <t>-574.893875750615 193.201818020264 216.307082188063</t>
  </si>
  <si>
    <t>-633.732503148233 168.7313046308 681.480772212166</t>
  </si>
  <si>
    <t>-497.438710393107 96.3075919972589 765.874615996152</t>
  </si>
  <si>
    <t>-633.477997880759 33.9967456485483 -203.051200892987</t>
  </si>
  <si>
    <t>-517.554595284793 -38.1279002025694 231.710161104428</t>
  </si>
  <si>
    <t>-695.354089321261 35.0497807782149 660.47385174901</t>
  </si>
  <si>
    <t>-580.48133532575 -65.5823060754822 747.771861361736</t>
  </si>
  <si>
    <t>9763-20170724T160708.125774900.bin</t>
  </si>
  <si>
    <t>-600.241717663709 126.118400329645 -221.255574085954</t>
  </si>
  <si>
    <t>-641.865995014404 118.970006881946 -334.763781373816</t>
  </si>
  <si>
    <t>-666.725642151484 106.418984399859 -452.725740901175</t>
  </si>
  <si>
    <t>-682.246194097024 92.487537397001 -560.242685563674</t>
  </si>
  <si>
    <t>-690.934575186116 75.812670199994 -668.137509886152</t>
  </si>
  <si>
    <t>-695.949178029687 49.5951501540708 -818.095886940404</t>
  </si>
  <si>
    <t>-668.323093764627 21.977342736674 -912.207834061473</t>
  </si>
  <si>
    <t>-677.499162001818 88.028506048383 -756.977892093239</t>
  </si>
  <si>
    <t>-585.19885441402 202.48275179286 -758.445193001</t>
  </si>
  <si>
    <t>-482.543254658681 172.174643861495 -460.570425630659</t>
  </si>
  <si>
    <t>-343.012606166501 24.2696311748434 -298.405766478818</t>
  </si>
  <si>
    <t>-709.961555774711 34.3627017697409 -746.509960389884</t>
  </si>
  <si>
    <t>-567.013234154636 217.895192803576 -238.847986523069</t>
  </si>
  <si>
    <t>-574.929003490086 193.899820038039 216.145691018334</t>
  </si>
  <si>
    <t>-633.56453149098 168.787935409456 681.345016349967</t>
  </si>
  <si>
    <t>-497.421851504103 96.2964879716449 765.924334981292</t>
  </si>
  <si>
    <t>-633.372777061638 34.4870120657542 -202.975393456581</t>
  </si>
  <si>
    <t>-516.910374043259 -37.5226835021756 231.661024170201</t>
  </si>
  <si>
    <t>-695.331671529867 35.1873613218281 660.295005986585</t>
  </si>
  <si>
    <t>-580.531536394142 -65.6014894962098 747.507644895082</t>
  </si>
  <si>
    <t>9763-20170724T160708.192957300.bin</t>
  </si>
  <si>
    <t>-599.73604649974 126.818615110886 -221.508186283759</t>
  </si>
  <si>
    <t>-641.31413507469 119.512001754807 -335.023308611834</t>
  </si>
  <si>
    <t>-665.793296104759 106.676392491668 -453.034134919005</t>
  </si>
  <si>
    <t>-680.830938105247 92.4415956783621 -560.579975018106</t>
  </si>
  <si>
    <t>-688.897154660497 75.4200401972537 -668.469015624861</t>
  </si>
  <si>
    <t>-692.902101427043 48.6789816886346 -818.365220292992</t>
  </si>
  <si>
    <t>-664.738256237224 21.0837915941402 -912.324234818327</t>
  </si>
  <si>
    <t>-675.103778286285 87.4662904828392 -757.277812756372</t>
  </si>
  <si>
    <t>-583.368213705042 202.370934992918 -758.707051893059</t>
  </si>
  <si>
    <t>-480.66574727417 174.11951859821 -460.646121640658</t>
  </si>
  <si>
    <t>-336.390555312045 27.0165415596593 -301.940672210958</t>
  </si>
  <si>
    <t>-707.156280402134 33.5558750801122 -746.804059171863</t>
  </si>
  <si>
    <t>-566.798966008095 218.838691424131 -239.027567479917</t>
  </si>
  <si>
    <t>-574.645791928752 194.476961646495 215.947780724741</t>
  </si>
  <si>
    <t>-633.411618371913 168.874221365862 681.209925626538</t>
  </si>
  <si>
    <t>-497.45772125447 96.2077139002613 765.942639677171</t>
  </si>
  <si>
    <t>-632.537236300913 34.9254791877597 -203.286413263207</t>
  </si>
  <si>
    <t>-515.951096397586 -36.3632261139351 231.435660237564</t>
  </si>
  <si>
    <t>-695.248935170246 35.4646557485894 659.947178701748</t>
  </si>
  <si>
    <t>-580.44217902909 -65.4125770666622 747.048863737224</t>
  </si>
  <si>
    <t>9763-20170724T160708.221192500.bin</t>
  </si>
  <si>
    <t>-599.53492167887 126.920927571316 -221.590714998855</t>
  </si>
  <si>
    <t>-641.057727510605 119.532921300488 -335.120871435518</t>
  </si>
  <si>
    <t>-665.356057887369 106.564559926049 -453.154568989771</t>
  </si>
  <si>
    <t>-680.177933010057 92.191824401652 -560.712034180835</t>
  </si>
  <si>
    <t>-687.976742400701 75.0148974559704 -668.596240297994</t>
  </si>
  <si>
    <t>-691.556333325748 48.0413721557293 -818.461557506158</t>
  </si>
  <si>
    <t>-663.096738749339 20.4797014969276 -912.341066111554</t>
  </si>
  <si>
    <t>-674.062258094794 86.9990434749595 -757.394435392338</t>
  </si>
  <si>
    <t>-582.795400607127 202.317272018848 -758.783182515608</t>
  </si>
  <si>
    <t>-479.068690810016 175.504929821916 -460.944066572388</t>
  </si>
  <si>
    <t>-332.398245089073 29.0052530598389 -303.884709876958</t>
  </si>
  <si>
    <t>-705.882556103107 32.9537580071512 -746.906931582904</t>
  </si>
  <si>
    <t>-566.857424412196 219.047978703416 -239.040408455299</t>
  </si>
  <si>
    <t>-574.647822847207 194.513668961494 215.926673511142</t>
  </si>
  <si>
    <t>-633.413194010459 168.871866288268 681.188954289654</t>
  </si>
  <si>
    <t>-497.482810593208 96.1544727205751 765.91567493456</t>
  </si>
  <si>
    <t>-632.112020050852 34.9409201195156 -203.453519500707</t>
  </si>
  <si>
    <t>-515.703394128934 -36.0094041177615 231.371388675219</t>
  </si>
  <si>
    <t>-695.263847956298 35.4517548559022 659.812653279248</t>
  </si>
  <si>
    <t>-580.341284647084 -65.3126349801505 746.892245243486</t>
  </si>
  <si>
    <t>9763-20170724T160708.289872800.bin</t>
  </si>
  <si>
    <t>-599.222974109855 126.617174035865 -221.847786921575</t>
  </si>
  <si>
    <t>-640.490665418241 119.007332666169 -335.456155986549</t>
  </si>
  <si>
    <t>-664.337160571664 105.755891147055 -453.550780346301</t>
  </si>
  <si>
    <t>-678.671455643187 91.1041158136634 -561.136553627069</t>
  </si>
  <si>
    <t>-685.904921365422 73.6256133585644 -669.011648245805</t>
  </si>
  <si>
    <t>-688.62001732023 46.2097318332835 -818.814757145469</t>
  </si>
  <si>
    <t>-659.455588309389 18.5744820296215 -912.456119228282</t>
  </si>
  <si>
    <t>-671.714287232587 85.4815245774548 -757.783251111129</t>
  </si>
  <si>
    <t>-581.121696428502 201.289015943688 -759.005455960555</t>
  </si>
  <si>
    <t>-473.50852988611 177.288186675718 -462.307662809011</t>
  </si>
  <si>
    <t>-322.412471240317 35.0228581182851 -305.551158265167</t>
  </si>
  <si>
    <t>-703.123153950243 31.1991711528583 -747.279655784842</t>
  </si>
  <si>
    <t>-567.124184867552 218.772719637144 -239.147159567457</t>
  </si>
  <si>
    <t>-574.725577566654 194.199784363573 215.821103149437</t>
  </si>
  <si>
    <t>-633.516644588371 168.553415127721 681.028304496528</t>
  </si>
  <si>
    <t>-497.248888983574 96.5659773131169 765.836453591555</t>
  </si>
  <si>
    <t>-631.164307841 34.5327236385763 -203.868504914428</t>
  </si>
  <si>
    <t>-515.36127104526 -35.7258601170572 231.230392043726</t>
  </si>
  <si>
    <t>-695.226076071906 35.4214156566084 659.556333644467</t>
  </si>
  <si>
    <t>-580.266151725499 -65.230556388985 746.71660075259</t>
  </si>
  <si>
    <t>9763-20170724T160708.322494100.bin</t>
  </si>
  <si>
    <t>-599.056768890636 126.377177155525 -222.133028696705</t>
  </si>
  <si>
    <t>-640.271857316842 118.707924099622 -335.756447205507</t>
  </si>
  <si>
    <t>-663.980305491891 105.358537870302 -453.867799417991</t>
  </si>
  <si>
    <t>-678.155193107912 90.6026445876548 -561.460388657454</t>
  </si>
  <si>
    <t>-685.195926869098 73.0034173131776 -669.328640888616</t>
  </si>
  <si>
    <t>-687.609120696367 45.4027123526985 -819.102965418824</t>
  </si>
  <si>
    <t>-658.148141730456 17.7124158947224 -912.635318882297</t>
  </si>
  <si>
    <t>-670.948387186877 84.8180159564859 -758.096702940891</t>
  </si>
  <si>
    <t>-580.815122025667 201.010210261291 -759.308583826527</t>
  </si>
  <si>
    <t>-469.974102115709 177.415164001774 -463.768849071592</t>
  </si>
  <si>
    <t>-318.354148188509 35.8009477601017 -306.928640997114</t>
  </si>
  <si>
    <t>-702.134322320205 30.412323617486 -747.568196400101</t>
  </si>
  <si>
    <t>-567.230186019464 218.699765596829 -239.439857773792</t>
  </si>
  <si>
    <t>-574.464162271751 194.000459993175 215.527448523752</t>
  </si>
  <si>
    <t>-633.125113991857 168.612998044413 680.568521113913</t>
  </si>
  <si>
    <t>-497.106025870055 96.7008078321146 765.83842471633</t>
  </si>
  <si>
    <t>-630.666924027496 34.1589159954783 -204.216850524371</t>
  </si>
  <si>
    <t>-515.261444277527 -35.6767816272857 231.055751742735</t>
  </si>
  <si>
    <t>-695.195473356814 35.4339900375251 659.373976499691</t>
  </si>
  <si>
    <t>-580.245011953249 -65.1862703167749 746.583272029035</t>
  </si>
  <si>
    <t>9763-20170724T160708.389146600.bin</t>
  </si>
  <si>
    <t>-598.691807879241 125.867562129963 -222.950610284137</t>
  </si>
  <si>
    <t>-639.76247327686 118.033228411294 -336.615120728493</t>
  </si>
  <si>
    <t>-663.157166896443 104.571363797362 -454.776109870196</t>
  </si>
  <si>
    <t>-676.979437447606 89.73024824449 -562.403009648595</t>
  </si>
  <si>
    <t>-683.599617515322 72.0587042981304 -670.285902194928</t>
  </si>
  <si>
    <t>-685.359143950512 44.3679941356454 -820.052890773072</t>
  </si>
  <si>
    <t>-655.390982066391 16.6551903885186 -913.417190375291</t>
  </si>
  <si>
    <t>-669.128438143231 83.9105644716631 -759.012960676755</t>
  </si>
  <si>
    <t>-579.383977585195 200.393485280953 -759.938680368397</t>
  </si>
  <si>
    <t>-463.887031981793 174.732599152501 -466.360537510486</t>
  </si>
  <si>
    <t>-311.803969476048 34.2933499315445 -308.913358651785</t>
  </si>
  <si>
    <t>-700.032733939561 29.3300380312014 -748.558448675361</t>
  </si>
  <si>
    <t>-567.284762020838 218.322970608967 -240.244739226092</t>
  </si>
  <si>
    <t>-573.783144850737 193.563143663001 214.730413627717</t>
  </si>
  <si>
    <t>-632.378103350191 168.659827682507 679.739408185958</t>
  </si>
  <si>
    <t>-496.791993663403 97.1005809495553 765.990186332745</t>
  </si>
  <si>
    <t>-629.905639770137 33.4859559309953 -205.030975269271</t>
  </si>
  <si>
    <t>-514.975309269915 -35.4722689684932 230.507195750076</t>
  </si>
  <si>
    <t>-695.180872491961 35.3961702486222 658.893148533994</t>
  </si>
  <si>
    <t>-580.108944292541 -65.0322361474475 746.16338084799</t>
  </si>
  <si>
    <t>9763-20170724T160708.421735100.bin</t>
  </si>
  <si>
    <t>-598.346322397269 125.516537802986 -223.335012887972</t>
  </si>
  <si>
    <t>-639.369494162963 117.599545874548 -337.011077671288</t>
  </si>
  <si>
    <t>-662.629328878543 104.096733119593 -455.193984475584</t>
  </si>
  <si>
    <t>-676.293402369185 89.2333196607428 -562.837963645047</t>
  </si>
  <si>
    <t>-682.719231551422 71.5526147454552 -670.731211269508</t>
  </si>
  <si>
    <t>-684.171448031303 43.8614302907229 -820.501351208824</t>
  </si>
  <si>
    <t>-654.031365854702 16.157766706694 -913.812989945125</t>
  </si>
  <si>
    <t>-668.109472354643 83.4279452668411 -759.43228447902</t>
  </si>
  <si>
    <t>-578.451137581266 199.982978871274 -760.14745882943</t>
  </si>
  <si>
    <t>-461.226547097121 172.93046382089 -467.380114474128</t>
  </si>
  <si>
    <t>-309.126578160335 32.8967747417114 -309.588490719095</t>
  </si>
  <si>
    <t>-698.948280611773 28.799922244621 -749.03302753163</t>
  </si>
  <si>
    <t>-567.081290079954 217.944657327896 -240.661084047604</t>
  </si>
  <si>
    <t>-573.359586689465 193.275358474402 214.322129088062</t>
  </si>
  <si>
    <t>-632.047023325972 168.666934091932 679.401770613653</t>
  </si>
  <si>
    <t>-496.603609406528 97.3329634799832 766.062316885234</t>
  </si>
  <si>
    <t>-629.417682460567 33.1083784481841 -205.397593181015</t>
  </si>
  <si>
    <t>-514.584998589214 -35.4095302742769 230.235750756647</t>
  </si>
  <si>
    <t>-695.091757820672 35.5008590959019 658.552366587098</t>
  </si>
  <si>
    <t>-580.14969972671 -65.0213419313782 745.885763587103</t>
  </si>
  <si>
    <t>9763-20170724T160708.495462500.bin</t>
  </si>
  <si>
    <t>-597.361434038739 124.659315259628 -223.708812872673</t>
  </si>
  <si>
    <t>-638.339000354892 116.600855815982 -337.391326008101</t>
  </si>
  <si>
    <t>-661.30351293064 103.008407421841 -455.621706229433</t>
  </si>
  <si>
    <t>-674.595249190143 88.0851047123074 -563.304113610872</t>
  </si>
  <si>
    <t>-680.542360986756 70.3656162749014 -671.218273624688</t>
  </si>
  <si>
    <t>-681.217793343598 42.6430874290677 -820.988155648236</t>
  </si>
  <si>
    <t>-650.697833039152 14.944715854823 -914.17794291459</t>
  </si>
  <si>
    <t>-665.503379790997 82.2390805290161 -759.847917275655</t>
  </si>
  <si>
    <t>-575.625029443528 198.634603649623 -760.209994347488</t>
  </si>
  <si>
    <t>-457.490898369188 169.351123178571 -468.023421551096</t>
  </si>
  <si>
    <t>-306.30976117824 28.9226451853003 -309.700473965202</t>
  </si>
  <si>
    <t>-696.334593912232 27.5797004000867 -749.591478689479</t>
  </si>
  <si>
    <t>-566.099048305812 217.126733959916 -240.963786231041</t>
  </si>
  <si>
    <t>-572.857672406697 193.056955675326 214.044606266478</t>
  </si>
  <si>
    <t>-632.026330545192 168.706688787249 679.364048887544</t>
  </si>
  <si>
    <t>-496.715310171776 97.2100588586075 766.097349708013</t>
  </si>
  <si>
    <t>-628.580379953047 32.2357287370778 -205.657057217037</t>
  </si>
  <si>
    <t>-513.807550139371 -35.7440585050449 230.076365201309</t>
  </si>
  <si>
    <t>-695.028889790518 35.5721845560856 658.077038426629</t>
  </si>
  <si>
    <t>-580.072475807948 -64.9318098107206 745.412513315239</t>
  </si>
  <si>
    <t>9763-20170724T160708.525022100.bin</t>
  </si>
  <si>
    <t>-596.833507297062 123.982750970157 -223.665903029334</t>
  </si>
  <si>
    <t>-637.693888185061 115.83892642524 -337.384393325817</t>
  </si>
  <si>
    <t>-660.476662566914 102.177214137763 -455.642036560068</t>
  </si>
  <si>
    <t>-673.577405849789 87.1999807969837 -563.340186542333</t>
  </si>
  <si>
    <t>-679.306340980433 69.4369098011487 -671.259195707012</t>
  </si>
  <si>
    <t>-679.649893030698 41.6659394882022 -821.021286895318</t>
  </si>
  <si>
    <t>-648.934431642842 13.937101313632 -914.137621762703</t>
  </si>
  <si>
    <t>-664.075863376406 81.2843870742036 -759.859585962661</t>
  </si>
  <si>
    <t>-574.073057764635 197.581453085395 -760.070759624823</t>
  </si>
  <si>
    <t>-456.160114150413 167.944032028565 -467.830552266318</t>
  </si>
  <si>
    <t>-305.289605885716 27.5459743011681 -309.184709394724</t>
  </si>
  <si>
    <t>-694.919918241071 26.6230476352412 -749.652745133166</t>
  </si>
  <si>
    <t>-565.485731976339 216.385393778731 -240.922889694923</t>
  </si>
  <si>
    <t>-572.718739400781 192.843839517024 214.105922636785</t>
  </si>
  <si>
    <t>-632.167491015805 168.661561202867 679.440314305587</t>
  </si>
  <si>
    <t>-496.787440828513 97.1300176878785 766.037056644782</t>
  </si>
  <si>
    <t>-628.104785259823 31.5683039201379 -205.6149244095</t>
  </si>
  <si>
    <t>-513.392803531994 -36.0933039521858 230.184027256505</t>
  </si>
  <si>
    <t>-695.009749875898 35.6445005010482 657.930506834492</t>
  </si>
  <si>
    <t>-580.019455363908 -64.8341865711441 745.250457575121</t>
  </si>
  <si>
    <t>9763-20170724T160708.591698800.bin</t>
  </si>
  <si>
    <t>-595.762947439136 122.420996919221 -223.544897831494</t>
  </si>
  <si>
    <t>-636.340595267133 114.115237640673 -337.35294734108</t>
  </si>
  <si>
    <t>-658.795720149247 100.381409125481 -455.66487506777</t>
  </si>
  <si>
    <t>-671.582359917475 85.3755211884054 -563.396882047147</t>
  </si>
  <si>
    <t>-676.979589471164 67.6199168859937 -671.334139706742</t>
  </si>
  <si>
    <t>-676.844002801371 39.8964200828652 -821.105335079197</t>
  </si>
  <si>
    <t>-645.766166568983 12.151066720495 -914.096353064709</t>
  </si>
  <si>
    <t>-661.480175937038 79.5035112381718 -759.882985281537</t>
  </si>
  <si>
    <t>-571.364264230354 195.696064648126 -759.653997059433</t>
  </si>
  <si>
    <t>-454.140231354924 166.561608627624 -467.086279823607</t>
  </si>
  <si>
    <t>-304.005716958509 26.3586337776489 -307.572033387014</t>
  </si>
  <si>
    <t>-692.32775858476 24.8229724366729 -749.789303142736</t>
  </si>
  <si>
    <t>-564.518511186774 214.721318933377 -240.745559241246</t>
  </si>
  <si>
    <t>-572.435816654331 191.933589607634 214.310265514457</t>
  </si>
  <si>
    <t>-632.639116830577 168.317261624919 679.648753475147</t>
  </si>
  <si>
    <t>-496.846508628699 97.1233508592245 765.877012474947</t>
  </si>
  <si>
    <t>-626.901510685706 30.2496472558714 -205.563993360711</t>
  </si>
  <si>
    <t>-513.060360271286 -37.2577628647582 230.487169421953</t>
  </si>
  <si>
    <t>-694.959844276558 35.6766769188887 657.764270031475</t>
  </si>
  <si>
    <t>-580.005211994435 -64.7987873865841 745.134909774946</t>
  </si>
  <si>
    <t>9763-20170724T160708.624123100.bin</t>
  </si>
  <si>
    <t>-595.149545025977 121.536597825208 -223.51016423124</t>
  </si>
  <si>
    <t>-635.551438964459 113.144491594913 -337.374296271477</t>
  </si>
  <si>
    <t>-657.825964772383 99.429909859517 -455.722572274276</t>
  </si>
  <si>
    <t>-670.448409413352 84.4796014797103 -563.481711168053</t>
  </si>
  <si>
    <t>-675.680637250154 66.8152583065125 -671.442112745821</t>
  </si>
  <si>
    <t>-675.315524503564 39.2528017972422 -821.242609401728</t>
  </si>
  <si>
    <t>-644.096488105617 11.5675946991007 -914.204352675597</t>
  </si>
  <si>
    <t>-660.061371230897 78.8024571581702 -759.956011702716</t>
  </si>
  <si>
    <t>-569.941192544708 194.992775379493 -759.420076761152</t>
  </si>
  <si>
    <t>-453.074325570112 165.972241328064 -466.698120039037</t>
  </si>
  <si>
    <t>-302.876557765325 26.5071369536402 -306.597589606489</t>
  </si>
  <si>
    <t>-690.892894283532 24.0940732634247 -749.965087501643</t>
  </si>
  <si>
    <t>-564.094448583052 213.838468323775 -240.687142078416</t>
  </si>
  <si>
    <t>-572.1803980028 191.307456629242 214.378388416864</t>
  </si>
  <si>
    <t>-632.70622482673 168.247283891961 679.607966220379</t>
  </si>
  <si>
    <t>-496.813603581897 97.2109607852535 765.808601381765</t>
  </si>
  <si>
    <t>-626.02448705495 29.3844008778608 -205.61267522869</t>
  </si>
  <si>
    <t>-512.89905921315 -37.9194104244477 230.656154402935</t>
  </si>
  <si>
    <t>-695.005986152745 35.5262773481061 657.723262541729</t>
  </si>
  <si>
    <t>-579.973496496372 -64.8031287480719 745.159237220557</t>
  </si>
  <si>
    <t>9763-20170724T160708.687796200.bin</t>
  </si>
  <si>
    <t>-593.771260294986 119.658397154527 -223.660740730437</t>
  </si>
  <si>
    <t>-633.8381883236 111.096136189215 -337.630718199722</t>
  </si>
  <si>
    <t>-655.758918445341 97.4470432996125 -456.05257983349</t>
  </si>
  <si>
    <t>-668.055460957705 82.6383261610881 -563.868715609833</t>
  </si>
  <si>
    <t>-672.958033701312 65.188255793129 -671.879589025407</t>
  </si>
  <si>
    <t>-672.131997539366 37.9918273816154 -821.745080280251</t>
  </si>
  <si>
    <t>-640.658156720978 10.4903872449584 -914.675494904908</t>
  </si>
  <si>
    <t>-657.07541986746 77.3965721277457 -760.316329922896</t>
  </si>
  <si>
    <t>-567.113941741405 193.696588574535 -759.245672981232</t>
  </si>
  <si>
    <t>-451.307626095952 163.997035734655 -466.170615599772</t>
  </si>
  <si>
    <t>-301.134521477053 25.5632870730012 -305.154461386915</t>
  </si>
  <si>
    <t>-687.91946954637 22.6543459810453 -750.552009707843</t>
  </si>
  <si>
    <t>-563.16325441168 211.951408105291 -240.770013942212</t>
  </si>
  <si>
    <t>-571.561753843087 190.078165138552 214.321964068985</t>
  </si>
  <si>
    <t>-632.726352201978 168.063868678527 679.487285224405</t>
  </si>
  <si>
    <t>-496.658613690033 97.4662177100445 765.772035991474</t>
  </si>
  <si>
    <t>-624.191387563063 27.4883864363392 -205.890321698195</t>
  </si>
  <si>
    <t>-512.404383088256 -38.9862949629585 230.850385197557</t>
  </si>
  <si>
    <t>-694.93822098067 35.3193510381539 657.518345124703</t>
  </si>
  <si>
    <t>-579.885843843497 -64.7699007273955 745.203025356787</t>
  </si>
  <si>
    <t>9763-20170724T160708.723198700.bin</t>
  </si>
  <si>
    <t>-593.127257732345 118.825977836594 -223.854441550877</t>
  </si>
  <si>
    <t>-633.039888510198 110.169051623375 -337.871179325325</t>
  </si>
  <si>
    <t>-654.723618779624 96.5059338541453 -456.335190667617</t>
  </si>
  <si>
    <t>-666.77331474901 81.7100209442585 -564.181035250502</t>
  </si>
  <si>
    <t>-671.397395401727 64.2940845651167 -672.2095596632</t>
  </si>
  <si>
    <t>-670.153031855278 37.1631529688423 -822.084058547113</t>
  </si>
  <si>
    <t>-638.525634475914 9.7868881412187 -914.999191479234</t>
  </si>
  <si>
    <t>-655.293771435816 76.5549356426568 -760.598980177208</t>
  </si>
  <si>
    <t>-565.386242481259 192.922199893047 -759.307909336606</t>
  </si>
  <si>
    <t>-450.052696153261 163.307191238661 -466.037812380546</t>
  </si>
  <si>
    <t>-300.134742987467 25.2601157293295 -304.453062249855</t>
  </si>
  <si>
    <t>-686.11348688828 21.7805483337982 -750.939434388632</t>
  </si>
  <si>
    <t>-562.868613814056 211.080763006954 -240.835173909408</t>
  </si>
  <si>
    <t>-571.291977520969 189.444456114328 214.267650158427</t>
  </si>
  <si>
    <t>-632.824942252189 167.941477486191 679.504607439934</t>
  </si>
  <si>
    <t>-496.601349000525 97.5972778488351 765.750412688227</t>
  </si>
  <si>
    <t>-623.228180682347 26.7266552508263 -206.178091342073</t>
  </si>
  <si>
    <t>-512.273745024555 -39.2710895529922 230.847152510734</t>
  </si>
  <si>
    <t>-694.814759308921 35.3315192668101 657.442364945104</t>
  </si>
  <si>
    <t>-579.922710646014 -64.8009410950187 745.287799437184</t>
  </si>
  <si>
    <t>9763-20170724T160708.757290400.bin</t>
  </si>
  <si>
    <t>-592.554218738234 118.137149740815 -224.023143520001</t>
  </si>
  <si>
    <t>-632.281941431171 109.414057844278 -338.099525440738</t>
  </si>
  <si>
    <t>-653.793685509757 95.7436250443448 -456.594048424897</t>
  </si>
  <si>
    <t>-665.695729090532 80.9580653897935 -564.45776757223</t>
  </si>
  <si>
    <t>-670.182242010163 63.5643963157515 -672.495552333629</t>
  </si>
  <si>
    <t>-668.758884325202 36.4728947832787 -822.375679936182</t>
  </si>
  <si>
    <t>-637.12579229266 9.24346565065571 -915.331983871489</t>
  </si>
  <si>
    <t>-654.003226342624 75.8648580063114 -760.865726326288</t>
  </si>
  <si>
    <t>-564.230258508964 192.348567243113 -759.446583128423</t>
  </si>
  <si>
    <t>-449.430672386229 162.423316071871 -465.998505575627</t>
  </si>
  <si>
    <t>-299.924055519169 24.7254158506078 -303.736032281211</t>
  </si>
  <si>
    <t>-684.774196579219 21.055142117694 -751.250884403865</t>
  </si>
  <si>
    <t>-562.719580817768 210.356468725781 -240.867723627472</t>
  </si>
  <si>
    <t>-570.977440347704 188.857657957098 214.244715538373</t>
  </si>
  <si>
    <t>-632.950712895466 167.794958539906 679.518367361073</t>
  </si>
  <si>
    <t>-496.572421708705 97.6851202616681 765.710460895675</t>
  </si>
  <si>
    <t>-622.190547416219 26.2082256092583 -206.496271583225</t>
  </si>
  <si>
    <t>-512.342904153844 -39.4742542459462 230.855994974402</t>
  </si>
  <si>
    <t>-694.802565004058 35.1629660973424 657.446374326127</t>
  </si>
  <si>
    <t>-579.780490073702 -64.7086673430633 745.418470184369</t>
  </si>
  <si>
    <t>9763-20170724T160708.839514500.bin</t>
  </si>
  <si>
    <t>-592.008160243581 117.460102031598 -224.214465819602</t>
  </si>
  <si>
    <t>-631.556972065326 108.703086781054 -338.350397439131</t>
  </si>
  <si>
    <t>-652.897221532124 95.024815700805 -456.875035571011</t>
  </si>
  <si>
    <t>-664.650647724792 80.2350732324314 -564.754353246208</t>
  </si>
  <si>
    <t>-668.997584821794 62.8350110292254 -672.796859062419</t>
  </si>
  <si>
    <t>-667.392247148043 35.7278244924889 -822.672210649297</t>
  </si>
  <si>
    <t>-635.679494901825 8.60404893602049 -915.63241117289</t>
  </si>
  <si>
    <t>-652.750652584137 75.1474581472053 -761.152960000329</t>
  </si>
  <si>
    <t>-563.248881448135 191.813309874995 -759.57752674292</t>
  </si>
  <si>
    <t>-449.014441589081 161.661427609008 -465.932260123255</t>
  </si>
  <si>
    <t>-300.002600378952 23.5686813313985 -303.550367940386</t>
  </si>
  <si>
    <t>-683.454574397282 20.2962454704616 -751.561073952995</t>
  </si>
  <si>
    <t>-562.663437174334 209.575427907691 -240.870411843831</t>
  </si>
  <si>
    <t>-570.686385844318 188.22050829009 214.252970858852</t>
  </si>
  <si>
    <t>-633.116709406141 167.567731115925 679.532005710043</t>
  </si>
  <si>
    <t>-496.475189828823 97.8875166600442 765.655629635595</t>
  </si>
  <si>
    <t>-621.166374078405 25.5229423002068 -206.905392810707</t>
  </si>
  <si>
    <t>-512.510974265335 -39.5931719220714 230.829216086252</t>
  </si>
  <si>
    <t>-694.765239865837 35.0558755973066 657.488798368627</t>
  </si>
  <si>
    <t>-579.755306401461 -64.7091178282988 745.597688593732</t>
  </si>
  <si>
    <t>9763-20170724T160708.893669800.bin</t>
  </si>
  <si>
    <t>-590.491687069131 115.856172370063 -224.409799801175</t>
  </si>
  <si>
    <t>-629.741143367307 107.085054618566 -338.647910874789</t>
  </si>
  <si>
    <t>-650.758041821348 93.3847057218788 -457.227660485011</t>
  </si>
  <si>
    <t>-662.214873038038 78.5620207680845 -565.134376174278</t>
  </si>
  <si>
    <t>-666.265917707436 61.1083003787446 -673.179924413828</t>
  </si>
  <si>
    <t>-664.254227630702 33.8994011546486 -823.031803755998</t>
  </si>
  <si>
    <t>-632.003546310187 6.92440549974049 -915.850099241626</t>
  </si>
  <si>
    <t>-649.986658410318 73.4721412055515 -761.522770384791</t>
  </si>
  <si>
    <t>-561.336185430908 190.804565229016 -759.826832464794</t>
  </si>
  <si>
    <t>-448.905050302085 160.959053911886 -465.455136355154</t>
  </si>
  <si>
    <t>-300.495623321838 21.6628451293889 -303.549904670852</t>
  </si>
  <si>
    <t>-680.301887507099 18.4050109967616 -751.931131244603</t>
  </si>
  <si>
    <t>-562.46003011048 207.599060685844 -240.554486480345</t>
  </si>
  <si>
    <t>-569.715944661543 186.277584150425 214.583246957711</t>
  </si>
  <si>
    <t>-633.823257623089 167.046629624087 679.923229220369</t>
  </si>
  <si>
    <t>-496.401664317287 98.2166969505495 765.487600713362</t>
  </si>
  <si>
    <t>-618.43545771591 24.0734470365287 -207.617513265432</t>
  </si>
  <si>
    <t>-513.262813938915 -39.7679122094526 231.154270707516</t>
  </si>
  <si>
    <t>-694.78334005831 34.6389034574279 658.017642885303</t>
  </si>
  <si>
    <t>-579.409722222306 -64.5178574702582 746.337378948128</t>
  </si>
  <si>
    <t>9763-20170724T160708.923756200.bin</t>
  </si>
  <si>
    <t>-590.125784027221 115.320920711952 -224.271331795826</t>
  </si>
  <si>
    <t>-629.341241619832 106.55370453597 -338.521478056535</t>
  </si>
  <si>
    <t>-650.293872995264 92.8349789242761 -457.110477752318</t>
  </si>
  <si>
    <t>-661.681035151494 77.9863476296614 -565.021071523523</t>
  </si>
  <si>
    <t>-665.651066840775 60.4975589686658 -673.063829398325</t>
  </si>
  <si>
    <t>-663.515875577492 33.2300515308157 -822.903565139721</t>
  </si>
  <si>
    <t>-631.101821645757 6.22805489906955 -915.656900311841</t>
  </si>
  <si>
    <t>-649.350115037598 72.8539333917904 -761.403830015381</t>
  </si>
  <si>
    <t>-561.000974723879 190.390210154064 -759.699529113577</t>
  </si>
  <si>
    <t>-448.977899030124 160.973235340804 -465.129279149967</t>
  </si>
  <si>
    <t>-300.370408162141 21.5512036516252 -303.514289330649</t>
  </si>
  <si>
    <t>-679.571068128717 17.7363115632868 -751.804233645644</t>
  </si>
  <si>
    <t>-562.36058729484 206.886863036219 -240.311729632282</t>
  </si>
  <si>
    <t>-569.425440877643 185.594955133694 214.83045739883</t>
  </si>
  <si>
    <t>-634.106529668304 166.914963718798 680.14084241775</t>
  </si>
  <si>
    <t>-496.338599912796 98.4251888944145 765.420762159728</t>
  </si>
  <si>
    <t>-617.780304070528 23.7425587568869 -207.536354944448</t>
  </si>
  <si>
    <t>-513.209893123723 -39.9485590748568 231.401193829456</t>
  </si>
  <si>
    <t>-694.680682173479 34.5981051082756 658.188564260405</t>
  </si>
  <si>
    <t>-579.271213297196 -64.420584286743 746.616301269717</t>
  </si>
  <si>
    <t>9763-20170724T160708.996457800.bin</t>
  </si>
  <si>
    <t>-589.521852310896 114.55019973468 -223.876408719838</t>
  </si>
  <si>
    <t>-628.710518406348 105.823303308033 -338.138860834405</t>
  </si>
  <si>
    <t>-649.506446038827 91.977562864369 -456.740620833627</t>
  </si>
  <si>
    <t>-660.701541937962 76.9475217691709 -564.646288574092</t>
  </si>
  <si>
    <t>-664.43192366535 59.2113019371511 -672.657169347312</t>
  </si>
  <si>
    <t>-661.916902138945 31.5323644931727 -822.415461842296</t>
  </si>
  <si>
    <t>-629.26508963183 4.30984033913523 -915.020949774892</t>
  </si>
  <si>
    <t>-647.966878227026 71.3565787469638 -760.996039908032</t>
  </si>
  <si>
    <t>-559.937778774724 189.148341686473 -759.395900741423</t>
  </si>
  <si>
    <t>-448.281727212937 160.938051404301 -464.568353718095</t>
  </si>
  <si>
    <t>-298.945380174148 21.7507387477392 -303.423681034582</t>
  </si>
  <si>
    <t>-678.092565829075 16.2022972225539 -751.308096805466</t>
  </si>
  <si>
    <t>-562.042948385104 205.877265640624 -239.845378848336</t>
  </si>
  <si>
    <t>-568.826306038854 184.460064217667 215.295284498373</t>
  </si>
  <si>
    <t>-634.567259021377 166.709747453171 680.505929369127</t>
  </si>
  <si>
    <t>-496.358039709742 98.536063447506 765.323807617799</t>
  </si>
  <si>
    <t>-616.870467489892 23.2159123327258 -207.214099402319</t>
  </si>
  <si>
    <t>-512.665504282916 -40.3639543587326 231.826482997607</t>
  </si>
  <si>
    <t>-694.304806955251 34.6038515078039 658.393108427434</t>
  </si>
  <si>
    <t>-579.224796094601 -64.4557500370436 747.203580456481</t>
  </si>
  <si>
    <t>9763-20170724T160709.055747500.bin</t>
  </si>
  <si>
    <t>-589.005382906711 114.048753248674 -223.379866190996</t>
  </si>
  <si>
    <t>-628.139577418973 105.297093152675 -337.659073058501</t>
  </si>
  <si>
    <t>-648.812217205555 91.2851675907521 -456.262916812664</t>
  </si>
  <si>
    <t>-659.871925028646 76.0458548254053 -564.153178282383</t>
  </si>
  <si>
    <t>-663.445876348199 58.0410676690087 -672.124848279313</t>
  </si>
  <si>
    <t>-660.694893539254 29.9267176474257 -821.797917639012</t>
  </si>
  <si>
    <t>-627.909138812114 2.45153054766047 -914.281447162141</t>
  </si>
  <si>
    <t>-646.824518929966 69.9203391778894 -760.470628767143</t>
  </si>
  <si>
    <t>-558.871981474791 187.758618774046 -758.979401676478</t>
  </si>
  <si>
    <t>-447.767170973769 160.273769713302 -463.875150574868</t>
  </si>
  <si>
    <t>-297.40556386296 22.6567694518242 -302.335706521385</t>
  </si>
  <si>
    <t>-676.999758631235 14.8124983914536 -750.673957586616</t>
  </si>
  <si>
    <t>-561.468199016275 205.246798718765 -239.412601287835</t>
  </si>
  <si>
    <t>-568.142140329571 183.841442903277 215.730058661272</t>
  </si>
  <si>
    <t>-634.756552791515 166.760233202571 680.745242395557</t>
  </si>
  <si>
    <t>-496.36660506095 98.6321513927098 765.304669194988</t>
  </si>
  <si>
    <t>-616.376284429367 22.8577034457296 -206.742267487793</t>
  </si>
  <si>
    <t>-511.981505907938 -40.3689110017901 232.304134877886</t>
  </si>
  <si>
    <t>-693.965652179854 34.760529527425 658.702327637095</t>
  </si>
  <si>
    <t>-579.227299840835 -64.4675882085082 747.766372086704</t>
  </si>
  <si>
    <t>9763-20170724T160709.090857300.bin</t>
  </si>
  <si>
    <t>-588.778173626826 113.98931184322 -223.192269579585</t>
  </si>
  <si>
    <t>-627.887291049175 105.18302696204 -337.47584534703</t>
  </si>
  <si>
    <t>-648.51976873484 91.0627064250791 -456.073803420033</t>
  </si>
  <si>
    <t>-659.538525988303 75.7035750555783 -563.951085738752</t>
  </si>
  <si>
    <t>-663.068174683438 57.5570721988024 -671.900684295074</t>
  </si>
  <si>
    <t>-660.253327978167 29.2230365105474 -821.53103551033</t>
  </si>
  <si>
    <t>-627.498343806699 1.64611841070723 -913.995122805169</t>
  </si>
  <si>
    <t>-646.398440423045 69.3010267638401 -760.25535938422</t>
  </si>
  <si>
    <t>-558.455711260672 187.157855453575 -758.856122623311</t>
  </si>
  <si>
    <t>-447.421471928266 159.985561446709 -463.696311712561</t>
  </si>
  <si>
    <t>-296.910690854054 22.4972339934056 -302.18623651356</t>
  </si>
  <si>
    <t>-676.599233754124 14.2188478513676 -750.393177020612</t>
  </si>
  <si>
    <t>-561.245083430542 205.169032766502 -239.271270764443</t>
  </si>
  <si>
    <t>-567.931325757404 183.676128231939 215.867114125044</t>
  </si>
  <si>
    <t>-634.84266452216 166.713325029579 680.823705538456</t>
  </si>
  <si>
    <t>-496.337885693684 98.7280088639791 765.31000616629</t>
  </si>
  <si>
    <t>-616.155781317793 22.8623692593862 -206.502852740748</t>
  </si>
  <si>
    <t>-511.799444240699 -40.2113592203398 232.574699308646</t>
  </si>
  <si>
    <t>-693.947003953965 34.7879280938901 658.966522093428</t>
  </si>
  <si>
    <t>-579.362474054452 -64.6218860072656 748.02599407616</t>
  </si>
  <si>
    <t>9763-20170724T160709.122494100.bin</t>
  </si>
  <si>
    <t>-588.674578773599 114.02346381171 -223.010457988622</t>
  </si>
  <si>
    <t>-627.769032775867 105.193139855278 -337.297074905003</t>
  </si>
  <si>
    <t>-648.366173988645 91.0184647004041 -455.894818624658</t>
  </si>
  <si>
    <t>-659.345436514037 75.597449530487 -563.767327382937</t>
  </si>
  <si>
    <t>-662.828898873361 57.3760081812734 -671.705836267241</t>
  </si>
  <si>
    <t>-659.943463737559 28.9243873615942 -821.312569084557</t>
  </si>
  <si>
    <t>-627.138957033615 1.26629407458699 -913.734863559987</t>
  </si>
  <si>
    <t>-646.101486256129 69.0421834574336 -760.059894930151</t>
  </si>
  <si>
    <t>-558.119921312531 186.849036936862 -758.648943610145</t>
  </si>
  <si>
    <t>-447.114890560251 160.149369667891 -463.435138288638</t>
  </si>
  <si>
    <t>-296.165112739337 23.5354019192696 -301.593127216902</t>
  </si>
  <si>
    <t>-676.338823595768 13.9845712261551 -750.172476942245</t>
  </si>
  <si>
    <t>-561.097188497893 205.320771295399 -239.16058858819</t>
  </si>
  <si>
    <t>-567.828433719951 183.789396840229 215.975359612695</t>
  </si>
  <si>
    <t>-634.837666533661 166.796125334126 680.875040178507</t>
  </si>
  <si>
    <t>-496.332159695289 98.7753299796677 765.331591340013</t>
  </si>
  <si>
    <t>-616.071328745898 22.8217719056809 -206.264482312336</t>
  </si>
  <si>
    <t>-511.658696136793 -40.0939082804175 232.822394787819</t>
  </si>
  <si>
    <t>-694.003022706582 34.7187990923073 659.221325763775</t>
  </si>
  <si>
    <t>-579.237288604047 -64.5339746537677 748.222569307598</t>
  </si>
  <si>
    <t>9763-20170724T160709.193686200.bin</t>
  </si>
  <si>
    <t>-588.830916507529 114.422328153969 -222.687775537917</t>
  </si>
  <si>
    <t>-627.954859081965 105.573312997999 -336.963009083204</t>
  </si>
  <si>
    <t>-648.517707173156 91.3290353346442 -455.5582970402</t>
  </si>
  <si>
    <t>-659.440885577514 75.822970863843 -563.424335855351</t>
  </si>
  <si>
    <t>-662.843934449384 57.4942558255507 -671.347152248149</t>
  </si>
  <si>
    <t>-659.822657869802 28.8700448546008 -820.918374953975</t>
  </si>
  <si>
    <t>-626.950416391046 1.02480486693162 -913.260271644771</t>
  </si>
  <si>
    <t>-645.978252945747 69.0276866772749 -759.692416385905</t>
  </si>
  <si>
    <t>-557.719189149394 186.640366271144 -758.201627626407</t>
  </si>
  <si>
    <t>-446.239811454284 160.397165959605 -463.125625752474</t>
  </si>
  <si>
    <t>-294.188347743044 26.0652167310689 -300.407090115157</t>
  </si>
  <si>
    <t>-676.34065071456 14.0431145585849 -749.783106923797</t>
  </si>
  <si>
    <t>-561.006350074739 205.81598428827 -239.005836866847</t>
  </si>
  <si>
    <t>-567.885841680208 184.307170116542 216.128998169361</t>
  </si>
  <si>
    <t>-634.791424986157 166.931236644305 680.953171025533</t>
  </si>
  <si>
    <t>-496.315057595897 98.8635197527742 765.419688262264</t>
  </si>
  <si>
    <t>-616.539092223742 23.1095126397508 -205.75311950104</t>
  </si>
  <si>
    <t>-511.434414725292 -39.8168840820488 233.167129855997</t>
  </si>
  <si>
    <t>-694.028607003297 34.7850227389276 659.561839781476</t>
  </si>
  <si>
    <t>-579.378170694229 -64.701260662709 748.450906350497</t>
  </si>
  <si>
    <t>9763-20170724T160709.225520500.bin</t>
  </si>
  <si>
    <t>-588.992881585252 114.650660386244 -222.568868993103</t>
  </si>
  <si>
    <t>-628.17965874275 105.789601026834 -336.821636297251</t>
  </si>
  <si>
    <t>-648.736489163131 91.512435704238 -455.413888043085</t>
  </si>
  <si>
    <t>-659.625782405563 75.9670228578116 -563.277828867105</t>
  </si>
  <si>
    <t>-662.966746990043 57.5888454810313 -671.194154103291</t>
  </si>
  <si>
    <t>-659.83037271227 28.8850070476924 -820.747661378202</t>
  </si>
  <si>
    <t>-626.879107554461 0.950099060569528 -913.034415750052</t>
  </si>
  <si>
    <t>-646.013578919488 69.0649477817126 -759.530201598991</t>
  </si>
  <si>
    <t>-557.703811746692 186.635056678634 -758.007522927075</t>
  </si>
  <si>
    <t>-445.203052687894 160.445553580978 -463.314660740342</t>
  </si>
  <si>
    <t>-292.318428058994 28.4244260917912 -299.489284137135</t>
  </si>
  <si>
    <t>-676.422638022059 14.1062196041928 -749.619648219526</t>
  </si>
  <si>
    <t>-561.03466699901 206.195317875543 -238.985334110122</t>
  </si>
  <si>
    <t>-567.761546960821 184.54089393767 216.144851695381</t>
  </si>
  <si>
    <t>-634.651227683577 167.093480073478 680.890353209931</t>
  </si>
  <si>
    <t>-496.314543871795 98.8745248408673 765.463692323107</t>
  </si>
  <si>
    <t>-616.778894102201 23.1856940307246 -205.581227786223</t>
  </si>
  <si>
    <t>-511.331909613805 -39.6610051014482 233.268239592661</t>
  </si>
  <si>
    <t>-694.097512480784 34.7284977391848 659.678629708969</t>
  </si>
  <si>
    <t>-579.264476697159 -64.6188605600103 748.487326530616</t>
  </si>
  <si>
    <t>9763-20170724T160709.288697900.bin</t>
  </si>
  <si>
    <t>-589.460223495814 115.194381103088 -222.42286037464</t>
  </si>
  <si>
    <t>-628.820390691478 106.374885981661 -336.619145407917</t>
  </si>
  <si>
    <t>-649.377860008496 92.0196277015207 -455.202015357047</t>
  </si>
  <si>
    <t>-660.197740951132 76.3516728100863 -563.055126879856</t>
  </si>
  <si>
    <t>-663.400945991339 57.7978301064975 -670.945586267474</t>
  </si>
  <si>
    <t>-660.004244774888 28.7938854462741 -820.435496835771</t>
  </si>
  <si>
    <t>-626.869754653532 0.705361143565142 -912.609930958271</t>
  </si>
  <si>
    <t>-646.227676200529 69.0613674505476 -759.266419215245</t>
  </si>
  <si>
    <t>-557.658862484594 186.435549232445 -757.758516838177</t>
  </si>
  <si>
    <t>-442.49150229804 160.76098175051 -464.051962631233</t>
  </si>
  <si>
    <t>-287.725568935304 32.9577544674507 -298.655798707714</t>
  </si>
  <si>
    <t>-676.786641598316 14.193142476825 -749.315327505336</t>
  </si>
  <si>
    <t>-561.191022568989 207.026865444711 -238.969991823369</t>
  </si>
  <si>
    <t>-567.75992087475 185.222015605164 216.155352501219</t>
  </si>
  <si>
    <t>-634.439717630297 167.299670231989 680.831416127819</t>
  </si>
  <si>
    <t>-496.308978609043 98.89351890333 765.589930760106</t>
  </si>
  <si>
    <t>-617.654803678047 23.465698105661 -205.217609958195</t>
  </si>
  <si>
    <t>-511.158018559447 -39.3585788770349 233.381543469279</t>
  </si>
  <si>
    <t>-694.216883672812 34.7417820869962 659.791233038159</t>
  </si>
  <si>
    <t>-579.207790723845 -64.5716718493372 748.409816021169</t>
  </si>
  <si>
    <t>9763-20170724T160709.325347500.bin</t>
  </si>
  <si>
    <t>-589.675039249305 115.620589495017 -222.46302412036</t>
  </si>
  <si>
    <t>-629.0746915424 106.805186281042 -336.646055585377</t>
  </si>
  <si>
    <t>-649.6329584888 92.4112117910634 -455.224042718177</t>
  </si>
  <si>
    <t>-660.43903491394 76.6881321196436 -563.070548373082</t>
  </si>
  <si>
    <t>-663.614825780128 58.0580778361707 -670.948497976992</t>
  </si>
  <si>
    <t>-660.167519178612 28.9248850643205 -820.412218816068</t>
  </si>
  <si>
    <t>-626.995312562867 0.757510551309451 -912.548902866462</t>
  </si>
  <si>
    <t>-646.366789881736 69.2213338939355 -759.267662633064</t>
  </si>
  <si>
    <t>-557.489989868852 186.371492828022 -757.734752241239</t>
  </si>
  <si>
    <t>-440.744223954409 161.15371378533 -464.612428588989</t>
  </si>
  <si>
    <t>-284.225648935694 36.4184087421472 -298.524868069703</t>
  </si>
  <si>
    <t>-677.018799511455 14.4096360953072 -749.290752172968</t>
  </si>
  <si>
    <t>-561.305673853526 207.572722131128 -239.048160272319</t>
  </si>
  <si>
    <t>-567.973091335011 185.692779815054 216.072074330967</t>
  </si>
  <si>
    <t>-634.271396319728 167.438308447688 680.736966922574</t>
  </si>
  <si>
    <t>-496.306041968626 98.8858197996442 765.646523930186</t>
  </si>
  <si>
    <t>-617.946732769282 23.7968176801503 -205.207184272662</t>
  </si>
  <si>
    <t>-511.22193984149 -39.0730810671816 233.330073112632</t>
  </si>
  <si>
    <t>-694.280745586837 34.847897455754 659.830766169863</t>
  </si>
  <si>
    <t>-579.336635648271 -64.6579250362208 748.317800708534</t>
  </si>
  <si>
    <t>9763-20170724T160709.389039700.bin</t>
  </si>
  <si>
    <t>-590.142269525519 116.436082617478 -222.561907226597</t>
  </si>
  <si>
    <t>-629.547942031293 107.62342130579 -336.743084730119</t>
  </si>
  <si>
    <t>-650.125230526172 93.1212429548241 -455.304570142745</t>
  </si>
  <si>
    <t>-660.957169585901 77.2541897304886 -563.127352757929</t>
  </si>
  <si>
    <t>-664.170071543455 58.4334348948576 -670.971248520577</t>
  </si>
  <si>
    <t>-660.787948172713 28.9867998337104 -820.374945603063</t>
  </si>
  <si>
    <t>-627.686563342342 0.614869267102222 -912.474471278567</t>
  </si>
  <si>
    <t>-646.897146046623 69.3772651754193 -759.312806068573</t>
  </si>
  <si>
    <t>-557.709935810148 186.284279384401 -758.014384877849</t>
  </si>
  <si>
    <t>-437.331469252015 161.933195922053 -466.291411990063</t>
  </si>
  <si>
    <t>-279.789562031161 40.4887540628449 -298.73892226811</t>
  </si>
  <si>
    <t>-677.671666776966 14.6548382063429 -749.223953202968</t>
  </si>
  <si>
    <t>-561.565237748316 208.57805052877 -239.244277594039</t>
  </si>
  <si>
    <t>-568.289268560215 186.578365607907 215.869373371546</t>
  </si>
  <si>
    <t>-633.989283438774 167.669552347408 680.585720757932</t>
  </si>
  <si>
    <t>-496.230503088629 99.0140477203561 765.747028787364</t>
  </si>
  <si>
    <t>-618.58374134104 24.3802297764132 -205.245902283906</t>
  </si>
  <si>
    <t>-511.739990144762 -38.5644565534762 233.25163669988</t>
  </si>
  <si>
    <t>-694.556411636558 34.9684773544193 659.948090042992</t>
  </si>
  <si>
    <t>-579.493331118221 -64.7324985358985 748.060024515971</t>
  </si>
  <si>
    <t>9763-20170724T160709.425161200.bin</t>
  </si>
  <si>
    <t>-590.383311521036 116.835660520635 -222.63447081562</t>
  </si>
  <si>
    <t>-629.787374430708 108.014815618952 -336.815504782934</t>
  </si>
  <si>
    <t>-650.344108531693 93.4439707610768 -455.37224450018</t>
  </si>
  <si>
    <t>-661.152405935412 77.4864249507477 -563.183991778205</t>
  </si>
  <si>
    <t>-664.338606505173 58.5449385690563 -671.007546056296</t>
  </si>
  <si>
    <t>-660.918884837201 28.8967988939878 -820.370494671989</t>
  </si>
  <si>
    <t>-627.874889893636 0.395852992526898 -912.450814620373</t>
  </si>
  <si>
    <t>-646.992431683999 69.3421779486639 -759.35284957515</t>
  </si>
  <si>
    <t>-557.581554590656 186.078551856242 -758.12821013781</t>
  </si>
  <si>
    <t>-436.168814066689 161.379952080086 -466.863460110185</t>
  </si>
  <si>
    <t>-277.639440382579 42.4116376051159 -298.46806007012</t>
  </si>
  <si>
    <t>-677.871411953624 14.6883783689375 -749.211194618182</t>
  </si>
  <si>
    <t>-561.703356131949 209.004970855869 -239.337843896835</t>
  </si>
  <si>
    <t>-568.437237736313 186.909934121088 215.771087067876</t>
  </si>
  <si>
    <t>-633.884535791025 167.738571933478 680.500392853956</t>
  </si>
  <si>
    <t>-496.241286788153 98.9927498507145 765.77563869319</t>
  </si>
  <si>
    <t>-618.931551571819 24.6960229196347 -205.314339200965</t>
  </si>
  <si>
    <t>-512.043546894349 -38.362571323785 233.155965989933</t>
  </si>
  <si>
    <t>-694.705492540553 34.9694898871965 659.983453327392</t>
  </si>
  <si>
    <t>-579.498379983755 -64.729518166615 747.909219174524</t>
  </si>
  <si>
    <t>9763-20170724T160709.493344300.bin</t>
  </si>
  <si>
    <t>-590.777725090154 117.460391383407 -222.908465161524</t>
  </si>
  <si>
    <t>-630.259192697441 108.695241254642 -337.067077799205</t>
  </si>
  <si>
    <t>-650.899891728222 94.1045660373968 -455.606715181065</t>
  </si>
  <si>
    <t>-661.790687621114 78.0904393702476 -563.401736015643</t>
  </si>
  <si>
    <t>-665.069083805949 59.0493940050928 -671.205098738084</t>
  </si>
  <si>
    <t>-661.790592093692 29.2147609692991 -820.534123482916</t>
  </si>
  <si>
    <t>-628.881717107212 0.565180168800225 -912.616601078963</t>
  </si>
  <si>
    <t>-647.724490841479 69.6915425130892 -759.569408749339</t>
  </si>
  <si>
    <t>-557.803472972808 186.041912704864 -758.51090756905</t>
  </si>
  <si>
    <t>-434.611520766461 160.768271842036 -468.043626633843</t>
  </si>
  <si>
    <t>-275.319282771704 43.8595443265374 -298.927196876021</t>
  </si>
  <si>
    <t>-678.758066511062 15.1396370840166 -749.351774973876</t>
  </si>
  <si>
    <t>-562.003524573242 209.859836962517 -239.596740912383</t>
  </si>
  <si>
    <t>-568.494763515401 187.418821879226 215.498778774147</t>
  </si>
  <si>
    <t>-633.505983492862 168.000087102776 680.17479369623</t>
  </si>
  <si>
    <t>-496.237487536141 98.9791699335378 765.831017519551</t>
  </si>
  <si>
    <t>-619.380092704336 25.2005529147614 -205.55284035639</t>
  </si>
  <si>
    <t>-511.9594641367 -37.9293304260702 232.777068808063</t>
  </si>
  <si>
    <t>-694.790968378049 34.8543651326042 659.687371415809</t>
  </si>
  <si>
    <t>-579.361889659174 -64.6598812896357 747.531303878659</t>
  </si>
  <si>
    <t>9763-20170724T160709.525962800.bin</t>
  </si>
  <si>
    <t>-590.913295987448 117.866115845161 -223.048826059902</t>
  </si>
  <si>
    <t>-630.377805807564 109.110328733206 -337.213941240486</t>
  </si>
  <si>
    <t>-651.048484526106 94.5063848165655 -455.74670898737</t>
  </si>
  <si>
    <t>-661.988152716485 78.4673226573102 -563.533182133259</t>
  </si>
  <si>
    <t>-665.338566571097 59.3866474012739 -671.327318412277</t>
  </si>
  <si>
    <t>-662.186063260481 29.4794542682937 -820.644426943558</t>
  </si>
  <si>
    <t>-629.378230670797 0.729363655842008 -912.731672143552</t>
  </si>
  <si>
    <t>-648.013644205819 69.956036342184 -759.704193145039</t>
  </si>
  <si>
    <t>-557.792077312399 186.081317584061 -758.670370141371</t>
  </si>
  <si>
    <t>-434.613227153832 160.743625557828 -468.203267018797</t>
  </si>
  <si>
    <t>-274.73888058964 44.6087408268845 -299.102976547753</t>
  </si>
  <si>
    <t>-679.148213962336 15.46892879799 -749.448202259811</t>
  </si>
  <si>
    <t>-562.106715145474 210.231698223003 -239.739300392092</t>
  </si>
  <si>
    <t>-568.658208018962 187.74294476142 215.353014513853</t>
  </si>
  <si>
    <t>-633.416612668889 168.02110415366 680.094809833853</t>
  </si>
  <si>
    <t>-496.16640394459 99.102493823334 765.862668055852</t>
  </si>
  <si>
    <t>-619.585318775017 25.6176741103952 -205.66648713683</t>
  </si>
  <si>
    <t>-511.853926405276 -37.6378041094777 232.569002776497</t>
  </si>
  <si>
    <t>-694.748530798634 34.8907472045664 659.474268421076</t>
  </si>
  <si>
    <t>-579.368599278765 -64.6813574292823 747.3171726779</t>
  </si>
  <si>
    <t>9763-20170724T160709.593151300.bin</t>
  </si>
  <si>
    <t>-591.05478344383 118.52103226308 -223.212718721908</t>
  </si>
  <si>
    <t>-630.45914825525 109.715353810136 -337.394723292294</t>
  </si>
  <si>
    <t>-651.116162990645 95.0597634322178 -455.923530978426</t>
  </si>
  <si>
    <t>-662.067212906345 78.9633799509588 -563.70038748452</t>
  </si>
  <si>
    <t>-665.455989765333 59.8091775241055 -671.480147638005</t>
  </si>
  <si>
    <t>-662.388128376191 29.7779589477032 -820.774165473811</t>
  </si>
  <si>
    <t>-629.714221190807 0.867975342774116 -912.858936705484</t>
  </si>
  <si>
    <t>-648.087130595779 70.2536199096203 -759.863449185877</t>
  </si>
  <si>
    <t>-557.396515654182 186.006399993528 -758.647908055676</t>
  </si>
  <si>
    <t>-434.153097643406 161.526187853788 -468.134595171364</t>
  </si>
  <si>
    <t>-273.009445847002 44.6025987936698 -300.791687830047</t>
  </si>
  <si>
    <t>-679.403906633433 15.8781637252732 -749.568995587278</t>
  </si>
  <si>
    <t>-562.370478098539 211.099714250985 -239.877426093548</t>
  </si>
  <si>
    <t>-568.814506994869 188.558835729273 215.213811325712</t>
  </si>
  <si>
    <t>-633.299709802991 168.119951754547 679.974263394404</t>
  </si>
  <si>
    <t>-496.190705752103 99.1005281450505 765.886740491831</t>
  </si>
  <si>
    <t>-619.521056345896 26.0144091024349 -205.909706735664</t>
  </si>
  <si>
    <t>-511.345631604421 -36.5880888709896 232.310210448289</t>
  </si>
  <si>
    <t>-694.737759184151 35.0315811205728 659.180518077417</t>
  </si>
  <si>
    <t>-579.393641371095 -64.6673625918268 746.926543085476</t>
  </si>
  <si>
    <t>9763-20170724T160709.628239900.bin</t>
  </si>
  <si>
    <t>-591.161990106906 118.748759642629 -223.296943174811</t>
  </si>
  <si>
    <t>-630.529678361128 109.927096473075 -337.490529944223</t>
  </si>
  <si>
    <t>-651.165854239124 95.25591874418 -456.020907081649</t>
  </si>
  <si>
    <t>-662.106189406653 79.1423833909146 -563.796253098659</t>
  </si>
  <si>
    <t>-665.493655488878 59.9659608607656 -671.572095539741</t>
  </si>
  <si>
    <t>-662.435065747543 29.8967123761242 -820.858751949286</t>
  </si>
  <si>
    <t>-629.799178236947 0.925190139045981 -912.937760037697</t>
  </si>
  <si>
    <t>-648.101738944714 70.3720368026643 -759.955266159903</t>
  </si>
  <si>
    <t>-557.222704475321 185.979326955128 -758.718565275358</t>
  </si>
  <si>
    <t>-434.383230578036 161.412855697504 -468.041559148287</t>
  </si>
  <si>
    <t>-272.75165254527 43.5997943892723 -301.796672138612</t>
  </si>
  <si>
    <t>-679.475012103595 16.030852188477 -749.652710730428</t>
  </si>
  <si>
    <t>-562.476491773374 211.364375309135 -239.931254397724</t>
  </si>
  <si>
    <t>-568.967917062527 188.85599126337 215.160968088293</t>
  </si>
  <si>
    <t>-633.267426950135 168.170096006296 679.951644419959</t>
  </si>
  <si>
    <t>-496.180517373383 99.1333409082608 765.885447907963</t>
  </si>
  <si>
    <t>-619.747540180869 26.1876382263902 -205.953305842693</t>
  </si>
  <si>
    <t>-511.057514947714 -36.1149589083109 232.181989730818</t>
  </si>
  <si>
    <t>-694.686831224548 35.1533315852769 659.017144641243</t>
  </si>
  <si>
    <t>-579.323546856685 -64.5759752478712 746.703448748477</t>
  </si>
  <si>
    <t>9763-20170724T160709.692422900.bin</t>
  </si>
  <si>
    <t>-591.443428365255 119.084779913562 -223.346383745039</t>
  </si>
  <si>
    <t>-630.825087283332 110.258984428172 -337.534860763001</t>
  </si>
  <si>
    <t>-651.364333864928 95.5518382740665 -456.077643455558</t>
  </si>
  <si>
    <t>-662.173959965616 79.3851591268453 -563.858214312634</t>
  </si>
  <si>
    <t>-665.390065371837 60.1309624059681 -671.625439040369</t>
  </si>
  <si>
    <t>-662.053925847137 29.924565161791 -820.878492384526</t>
  </si>
  <si>
    <t>-629.417032959709 0.789882846424916 -912.905535310368</t>
  </si>
  <si>
    <t>-647.752887168705 70.4109625965352 -759.974759590399</t>
  </si>
  <si>
    <t>-556.447139977683 185.67162462499 -758.608886062373</t>
  </si>
  <si>
    <t>-434.249530500142 160.489336705915 -467.714078767659</t>
  </si>
  <si>
    <t>-271.783447038875 40.4826155964874 -303.868995745344</t>
  </si>
  <si>
    <t>-679.307289739233 16.1688887346654 -749.702383105789</t>
  </si>
  <si>
    <t>-562.619431160953 211.815391046393 -240.027684087991</t>
  </si>
  <si>
    <t>-569.352634332237 189.322935690166 215.061784829488</t>
  </si>
  <si>
    <t>-633.162508356612 168.248950392166 679.835632072333</t>
  </si>
  <si>
    <t>-496.151553135384 99.2142578558544 765.892110866967</t>
  </si>
  <si>
    <t>-620.09159585382 26.4015939676849 -205.95615912791</t>
  </si>
  <si>
    <t>-510.375616438924 -35.4086111640468 231.993079797697</t>
  </si>
  <si>
    <t>-694.641012192867 35.3213948236548 658.672815734289</t>
  </si>
  <si>
    <t>-579.485392833949 -64.7340264806944 746.260533232125</t>
  </si>
  <si>
    <t>9763-20170724T160709.744236200.bin</t>
  </si>
  <si>
    <t>-591.486795522281 119.210310611512 -223.379577790521</t>
  </si>
  <si>
    <t>-630.913158507611 110.392573759486 -337.553249539104</t>
  </si>
  <si>
    <t>-651.45488298976 95.7208805218838 -456.099987841712</t>
  </si>
  <si>
    <t>-662.248747825683 79.5944421134736 -563.888078678444</t>
  </si>
  <si>
    <t>-665.431007322267 60.3870848503902 -671.664716027871</t>
  </si>
  <si>
    <t>-662.02879141517 30.2516840393594 -820.930486286452</t>
  </si>
  <si>
    <t>-629.370643784678 1.07863906620173 -912.937908584319</t>
  </si>
  <si>
    <t>-647.70439531237 70.6809645126311 -759.994530387425</t>
  </si>
  <si>
    <t>-556.156103328151 185.749466760825 -758.462120395925</t>
  </si>
  <si>
    <t>-434.405100081651 159.804625762056 -467.446954252506</t>
  </si>
  <si>
    <t>-271.782090614887 38.29977120441 -304.86663524294</t>
  </si>
  <si>
    <t>-679.363977151469 16.4903245607768 -749.775571083319</t>
  </si>
  <si>
    <t>-562.552344304242 211.98807964444 -240.102726518285</t>
  </si>
  <si>
    <t>-569.484272848384 189.601145876342 214.988972171245</t>
  </si>
  <si>
    <t>-633.084719123571 168.320425458691 679.770887930371</t>
  </si>
  <si>
    <t>-496.197121649574 99.1385788092384 765.905495991715</t>
  </si>
  <si>
    <t>-620.295301525819 26.5050106899048 -205.963906074213</t>
  </si>
  <si>
    <t>-510.220228986639 -35.1728445465076 231.91396186733</t>
  </si>
  <si>
    <t>-694.597731733337 35.5086424868555 658.539847145647</t>
  </si>
  <si>
    <t>-579.456430518761 -64.6399827805581 746.039819303165</t>
  </si>
  <si>
    <t>9763-20170724T160709.787381700.bin</t>
  </si>
  <si>
    <t>-591.564528590463 119.349925637286 -223.555050063098</t>
  </si>
  <si>
    <t>-630.911043304244 110.606179240116 -337.76196966021</t>
  </si>
  <si>
    <t>-651.328599658417 96.0292404464597 -456.341873181484</t>
  </si>
  <si>
    <t>-661.991851430773 79.9969516364654 -564.157108434186</t>
  </si>
  <si>
    <t>-665.024199819179 60.8934906572138 -671.956426488194</t>
  </si>
  <si>
    <t>-661.393486216699 30.9126936046569 -821.248006074713</t>
  </si>
  <si>
    <t>-628.65516966531 1.75449046546191 -913.231712140328</t>
  </si>
  <si>
    <t>-647.071427637751 71.2279696815192 -760.23575452146</t>
  </si>
  <si>
    <t>-555.024323283337 185.889097051042 -758.375564250905</t>
  </si>
  <si>
    <t>-434.576172623299 159.311401514624 -466.875943936519</t>
  </si>
  <si>
    <t>-270.765885463083 35.7553466734289 -307.056883901391</t>
  </si>
  <si>
    <t>-678.928433356665 17.1286455521249 -750.146403052008</t>
  </si>
  <si>
    <t>-562.133472180177 212.194470076361 -240.302435331993</t>
  </si>
  <si>
    <t>-569.926729914895 190.196718117064 214.794281450066</t>
  </si>
  <si>
    <t>-632.92546647125 168.514606955894 679.656423411238</t>
  </si>
  <si>
    <t>-496.364333468472 98.8511664670004 765.920948642474</t>
  </si>
  <si>
    <t>-620.888959541546 26.6040895057477 -206.12879157199</t>
  </si>
  <si>
    <t>-510.572521608988 -34.9557372537304 231.704894397189</t>
  </si>
  <si>
    <t>-694.811592129415 35.5597450186945 658.461202344897</t>
  </si>
  <si>
    <t>-579.556181331396 -64.6990779922537 745.684309251261</t>
  </si>
  <si>
    <t>9763-20170724T160709.836056700.bin</t>
  </si>
  <si>
    <t>-591.584091687369 119.305695372066 -223.657446159646</t>
  </si>
  <si>
    <t>-630.851918792186 110.648199714238 -337.897872349452</t>
  </si>
  <si>
    <t>-651.204900851007 96.1726984955526 -456.501446651286</t>
  </si>
  <si>
    <t>-661.814821977696 80.2412387696334 -564.336890419982</t>
  </si>
  <si>
    <t>-664.798345198588 61.2491733845184 -672.157250596185</t>
  </si>
  <si>
    <t>-661.10283386846 31.4363681056925 -821.480853469102</t>
  </si>
  <si>
    <t>-628.326492472765 2.31150980308257 -913.461570629376</t>
  </si>
  <si>
    <t>-646.773270401181 71.663673322365 -760.412590339067</t>
  </si>
  <si>
    <t>-554.554723604456 186.180626742962 -758.310997494985</t>
  </si>
  <si>
    <t>-434.954928637695 159.289997268795 -466.490878195703</t>
  </si>
  <si>
    <t>-270.770816534607 34.4159269434356 -308.086012040482</t>
  </si>
  <si>
    <t>-678.702696805913 17.5915506771119 -750.407143533163</t>
  </si>
  <si>
    <t>-561.883526111975 212.066026691943 -240.385251973213</t>
  </si>
  <si>
    <t>-570.125504218803 190.305708612629 214.714933415194</t>
  </si>
  <si>
    <t>-632.932601624112 168.516875953229 679.646926846766</t>
  </si>
  <si>
    <t>-496.436414602058 98.7325267834474 765.916575736075</t>
  </si>
  <si>
    <t>-621.164914011496 26.6554951332184 -206.272763868793</t>
  </si>
  <si>
    <t>-510.974733874078 -35.1473210232964 231.558436746255</t>
  </si>
  <si>
    <t>-694.889363605967 35.5339059314658 658.397427387986</t>
  </si>
  <si>
    <t>-579.511371680364 -64.6404145528873 745.555533520208</t>
  </si>
  <si>
    <t>9763-20170724T160709.890236700.bin</t>
  </si>
  <si>
    <t>-591.746253321155 118.843158367951 -223.904582856582</t>
  </si>
  <si>
    <t>-630.989015000364 110.44010154695 -338.172806014259</t>
  </si>
  <si>
    <t>-651.265317371919 96.1761298992224 -456.81489106881</t>
  </si>
  <si>
    <t>-661.784508498412 80.4206274772948 -564.684924891858</t>
  </si>
  <si>
    <t>-664.655304243966 61.5913851368887 -672.537024241183</t>
  </si>
  <si>
    <t>-660.779916516008 31.9928944357941 -821.898779825585</t>
  </si>
  <si>
    <t>-627.908777794918 2.95193116803216 -913.87215066173</t>
  </si>
  <si>
    <t>-646.489651346781 72.113065204634 -760.750775808844</t>
  </si>
  <si>
    <t>-553.9819332687 186.405257729665 -758.24815896909</t>
  </si>
  <si>
    <t>-434.942804524619 158.247529710442 -466.318380250505</t>
  </si>
  <si>
    <t>-272.185450296698 31.3406183905265 -308.056807468139</t>
  </si>
  <si>
    <t>-678.499727851876 18.0654626027181 -750.870910969133</t>
  </si>
  <si>
    <t>-561.746055181806 211.461693519041 -240.501637760605</t>
  </si>
  <si>
    <t>-570.041402365118 189.700540400395 214.597500512954</t>
  </si>
  <si>
    <t>-632.984847933339 168.417359669248 679.560034729779</t>
  </si>
  <si>
    <t>-496.466950942158 98.7206312238566 765.866136927812</t>
  </si>
  <si>
    <t>-621.584524987283 26.3631230330182 -206.637056635509</t>
  </si>
  <si>
    <t>-511.803987792546 -36.2539615608869 231.181418443217</t>
  </si>
  <si>
    <t>-694.986377217886 35.3091401017887 658.166111427983</t>
  </si>
  <si>
    <t>-579.481126898925 -64.6555990627003 745.396260053821</t>
  </si>
  <si>
    <t>9763-20170724T160709.923111900.bin</t>
  </si>
  <si>
    <t>-591.862457196501 118.467208693894 -224.026843549476</t>
  </si>
  <si>
    <t>-631.185254642808 110.214084838331 -338.278336166643</t>
  </si>
  <si>
    <t>-651.463280995063 96.0980431748051 -456.938023111581</t>
  </si>
  <si>
    <t>-661.95181865865 80.4705207741836 -564.829724222991</t>
  </si>
  <si>
    <t>-664.759811008008 61.7614550019268 -672.704301578368</t>
  </si>
  <si>
    <t>-660.765043098636 32.3191667196045 -822.093835195602</t>
  </si>
  <si>
    <t>-627.822357827105 3.34695835699085 -914.063198366825</t>
  </si>
  <si>
    <t>-646.492490463448 72.3577171161521 -760.888238204143</t>
  </si>
  <si>
    <t>-553.81485117358 186.48677591006 -758.165206669159</t>
  </si>
  <si>
    <t>-434.923000324876 157.480305085899 -466.258556656289</t>
  </si>
  <si>
    <t>-273.138263747324 30.0000831497741 -307.461377420194</t>
  </si>
  <si>
    <t>-678.572715330865 18.3352145939859 -751.099026092419</t>
  </si>
  <si>
    <t>-561.814809477288 210.991911712727 -240.556493806715</t>
  </si>
  <si>
    <t>-569.95255141968 189.260736633661 214.547035279828</t>
  </si>
  <si>
    <t>-632.949801745664 168.408899278188 679.476292385001</t>
  </si>
  <si>
    <t>-496.50832497333 98.6572125720013 765.858793156719</t>
  </si>
  <si>
    <t>-621.799146932891 26.0903117538994 -206.820952946221</t>
  </si>
  <si>
    <t>-512.144489339682 -36.651393003162 231.011194170009</t>
  </si>
  <si>
    <t>-694.987957482576 35.2661625014982 658.058520410864</t>
  </si>
  <si>
    <t>-579.493761444555 -64.6750061951407 745.330315486011</t>
  </si>
  <si>
    <t>9763-20170724T160709.989289700.bin</t>
  </si>
  <si>
    <t>-592.036763821907 117.750433076553 -224.545922387249</t>
  </si>
  <si>
    <t>-631.323438660057 109.646437870922 -338.820461679325</t>
  </si>
  <si>
    <t>-651.445383793916 95.7756101058608 -457.535573918355</t>
  </si>
  <si>
    <t>-661.742216021839 80.4017711385277 -565.482196983795</t>
  </si>
  <si>
    <t>-664.307697331134 61.9743255046883 -673.411343396896</t>
  </si>
  <si>
    <t>-659.922917046784 32.9493779921372 -822.87148860598</t>
  </si>
  <si>
    <t>-626.784231664642 4.1926182168952 -914.838176161974</t>
  </si>
  <si>
    <t>-645.763606383603 72.7901258045943 -761.51061065231</t>
  </si>
  <si>
    <t>-552.635440608795 186.553662106367 -758.14072921865</t>
  </si>
  <si>
    <t>-434.163140570204 153.995636963159 -466.438048500624</t>
  </si>
  <si>
    <t>-272.512506635574 27.6681005004682 -306.586685159335</t>
  </si>
  <si>
    <t>-677.962469114497 18.793922747278 -751.969343892631</t>
  </si>
  <si>
    <t>-561.786709801167 210.284752796834 -241.064491722831</t>
  </si>
  <si>
    <t>-569.621934476327 188.685428410453 214.050600484757</t>
  </si>
  <si>
    <t>-632.314537478274 168.667790715776 678.832554248903</t>
  </si>
  <si>
    <t>-496.496468187939 98.5782008338354 765.921075646934</t>
  </si>
  <si>
    <t>-622.091640550955 25.29381655564 -207.408364232481</t>
  </si>
  <si>
    <t>-512.587296038205 -37.0052892707179 230.524650168455</t>
  </si>
  <si>
    <t>-695.06597860363 35.0187874887913 657.716366070904</t>
  </si>
  <si>
    <t>-579.393615627762 -64.6227753004257 745.094717953376</t>
  </si>
  <si>
    <t>9763-20170724T160710.026025100.bin</t>
  </si>
  <si>
    <t>-592.101609330243 117.464378114588 -224.902300409889</t>
  </si>
  <si>
    <t>-631.417279694361 109.447230931529 -339.17299834131</t>
  </si>
  <si>
    <t>-651.507163413882 95.7219552718984 -457.910500401672</t>
  </si>
  <si>
    <t>-661.747632073073 80.5025550948951 -565.884367025466</t>
  </si>
  <si>
    <t>-664.227865518995 62.2521258064803 -673.845494163831</t>
  </si>
  <si>
    <t>-659.693176298741 33.4965969024138 -823.353253744879</t>
  </si>
  <si>
    <t>-626.462503192002 4.87692203702863 -915.329434472865</t>
  </si>
  <si>
    <t>-645.57247936048 73.2135719743833 -761.903455604311</t>
  </si>
  <si>
    <t>-552.356117091432 186.872844478367 -758.168178094419</t>
  </si>
  <si>
    <t>-433.982826947185 152.572845579776 -466.624898831057</t>
  </si>
  <si>
    <t>-271.891254643137 27.8741332445493 -305.943137119682</t>
  </si>
  <si>
    <t>-677.826785691224 19.226483690958 -752.498050004533</t>
  </si>
  <si>
    <t>-561.662127556107 210.031258567515 -241.415760131221</t>
  </si>
  <si>
    <t>-569.470626577243 188.520823493755 213.703986735143</t>
  </si>
  <si>
    <t>-632.017106587168 168.815017616272 678.597266518776</t>
  </si>
  <si>
    <t>-496.494449165239 98.5254537905485 765.984338843285</t>
  </si>
  <si>
    <t>-622.42183123873 25.0369352613877 -207.751173202932</t>
  </si>
  <si>
    <t>-512.679998432214 -37.1128820374195 230.143568266316</t>
  </si>
  <si>
    <t>-694.954515135355 34.8970817991747 657.361789000879</t>
  </si>
  <si>
    <t>-579.290503888798 -64.5609255938832 744.960035784962</t>
  </si>
  <si>
    <t>9763-20170724T160710.093199000.bin</t>
  </si>
  <si>
    <t>-592.090048541709 117.016521288303 -225.467244457937</t>
  </si>
  <si>
    <t>-631.313840090418 109.087430505205 -339.775680521009</t>
  </si>
  <si>
    <t>-651.207172968487 95.5364227981506 -458.566212957644</t>
  </si>
  <si>
    <t>-661.225414084307 80.506911007888 -566.587546349677</t>
  </si>
  <si>
    <t>-663.437694673003 62.4778178997681 -674.591663577202</t>
  </si>
  <si>
    <t>-658.482588187794 34.0612699491053 -824.150979243648</t>
  </si>
  <si>
    <t>-625.057573587179 5.69244481778946 -916.134454207236</t>
  </si>
  <si>
    <t>-644.474323683373 73.6040052641229 -762.562998105189</t>
  </si>
  <si>
    <t>-550.876343148125 186.938699708924 -758.185327112225</t>
  </si>
  <si>
    <t>-432.254087143745 150.36720697935 -467.019630322475</t>
  </si>
  <si>
    <t>-270.673522740338 28.5562587261204 -303.630925764686</t>
  </si>
  <si>
    <t>-676.875800365533 19.665440212849 -753.38822239286</t>
  </si>
  <si>
    <t>-561.472106935564 209.628165931533 -241.88625589538</t>
  </si>
  <si>
    <t>-569.51076512032 188.512247484933 213.248030194394</t>
  </si>
  <si>
    <t>-631.73649584923 169.023989471865 678.327909920234</t>
  </si>
  <si>
    <t>-496.678390742268 98.2248905411216 766.022347999097</t>
  </si>
  <si>
    <t>-622.515777866292 24.5274204361965 -208.38447841025</t>
  </si>
  <si>
    <t>-512.808939281285 -37.3133020355692 229.562831475811</t>
  </si>
  <si>
    <t>-694.945507355347 34.7365403687304 657.023072355154</t>
  </si>
  <si>
    <t>-579.299388284535 -64.6129981535278 744.76792593346</t>
  </si>
  <si>
    <t>9763-20170724T160710.124286500.bin</t>
  </si>
  <si>
    <t>-592.107301501585 116.67950480642 -225.673025486606</t>
  </si>
  <si>
    <t>-631.240250649867 108.806365278881 -340.016485901052</t>
  </si>
  <si>
    <t>-651.031619196159 95.3522234788047 -458.835060724429</t>
  </si>
  <si>
    <t>-660.954444738333 80.4216857814595 -566.878883167837</t>
  </si>
  <si>
    <t>-663.069140264896 62.4999200551808 -674.902959009598</t>
  </si>
  <si>
    <t>-657.977028201566 34.2387096886453 -824.486859855475</t>
  </si>
  <si>
    <t>-624.471875527624 5.93914254858578 -916.462607666442</t>
  </si>
  <si>
    <t>-643.970711040093 73.6859067056832 -762.837342690475</t>
  </si>
  <si>
    <t>-550.11340420651 186.790779145259 -758.205442674781</t>
  </si>
  <si>
    <t>-431.106866964179 149.417164299483 -467.298358624952</t>
  </si>
  <si>
    <t>-270.01725224658 28.9707417746504 -302.420049548849</t>
  </si>
  <si>
    <t>-676.489533280089 19.8009614523567 -753.763873958477</t>
  </si>
  <si>
    <t>-561.426387535975 209.219942434294 -242.046681079435</t>
  </si>
  <si>
    <t>-569.623653422206 188.394909868906 213.098141925201</t>
  </si>
  <si>
    <t>-631.629086991591 169.050200543654 678.219105481798</t>
  </si>
  <si>
    <t>-496.687594309108 98.1726261189772 766.029569635853</t>
  </si>
  <si>
    <t>-622.674218408629 24.2227180215864 -208.59045228365</t>
  </si>
  <si>
    <t>-512.963111025326 -37.5278102029745 229.368435251582</t>
  </si>
  <si>
    <t>-695.034292756726 34.6381838955474 656.890175127853</t>
  </si>
  <si>
    <t>-579.166885339352 -64.4882607482889 744.595367362893</t>
  </si>
  <si>
    <t>9763-20170724T160710.188964300.bin</t>
  </si>
  <si>
    <t>-591.992688984689 115.759532099657 -225.897651184383</t>
  </si>
  <si>
    <t>-630.880363641963 107.996250996826 -340.332209371366</t>
  </si>
  <si>
    <t>-650.403813301716 94.701773551003 -459.213160529731</t>
  </si>
  <si>
    <t>-660.079253557534 79.9251855157081 -567.300541674635</t>
  </si>
  <si>
    <t>-661.944655299943 62.1606138351431 -675.355126542932</t>
  </si>
  <si>
    <t>-656.506816413999 34.116218351174 -824.967763718306</t>
  </si>
  <si>
    <t>-622.890570913203 5.85763200898032 -916.915404906772</t>
  </si>
  <si>
    <t>-642.518951803974 73.4016522142056 -763.210898425294</t>
  </si>
  <si>
    <t>-548.012469141013 185.940521387285 -758.058576053206</t>
  </si>
  <si>
    <t>-428.607685230996 147.493268073352 -467.454791778994</t>
  </si>
  <si>
    <t>-268.935129310916 28.7765610691979 -299.964291019403</t>
  </si>
  <si>
    <t>-675.306858812785 19.6483061847589 -754.326729686195</t>
  </si>
  <si>
    <t>-561.129876623132 208.151321242744 -242.128577250856</t>
  </si>
  <si>
    <t>-569.767052304387 187.909170052331 213.034371053206</t>
  </si>
  <si>
    <t>-631.652693473718 169.060883619873 678.213759039773</t>
  </si>
  <si>
    <t>-496.796130608753 98.0452908791519 766.04316297938</t>
  </si>
  <si>
    <t>-622.662922670945 23.3746178377726 -208.903697552118</t>
  </si>
  <si>
    <t>-512.99599962404 -38.1232960978921 229.101883108006</t>
  </si>
  <si>
    <t>-695.180843532893 34.3978925422325 656.526676765118</t>
  </si>
  <si>
    <t>-579.149776491372 -64.5393883493309 744.22911147274</t>
  </si>
  <si>
    <t>9763-20170724T160710.223567300.bin</t>
  </si>
  <si>
    <t>-591.96339201895 115.222279940424 -225.952942291681</t>
  </si>
  <si>
    <t>-630.730001034198 107.544780222505 -340.434450160471</t>
  </si>
  <si>
    <t>-650.092433423608 94.3427459175443 -459.351874793565</t>
  </si>
  <si>
    <t>-659.608652405814 79.6462223664491 -567.464368161999</t>
  </si>
  <si>
    <t>-661.302833374167 61.9552622814451 -675.533819437198</t>
  </si>
  <si>
    <t>-655.6166397652 34.0034935395895 -825.15458579864</t>
  </si>
  <si>
    <t>-621.924894704038 5.73034417423628 -917.070176707696</t>
  </si>
  <si>
    <t>-641.674083952709 73.2170606667282 -763.341844980023</t>
  </si>
  <si>
    <t>-546.786161626244 185.445321766953 -757.877353051365</t>
  </si>
  <si>
    <t>-427.745588014401 146.334625645151 -467.212756981526</t>
  </si>
  <si>
    <t>-268.528640450539 27.8949419386679 -299.09364041071</t>
  </si>
  <si>
    <t>-674.591089312847 19.5255439220045 -754.562316214811</t>
  </si>
  <si>
    <t>-561.057529728655 207.602017951654 -242.11183082987</t>
  </si>
  <si>
    <t>-569.840793238469 187.706945158419 213.063571655726</t>
  </si>
  <si>
    <t>-631.695252798914 169.023362558962 678.225531907584</t>
  </si>
  <si>
    <t>-496.831842502517 98.0030313989532 766.040614423747</t>
  </si>
  <si>
    <t>-622.723342947188 22.8999040021565 -209.033499277072</t>
  </si>
  <si>
    <t>-512.87672780139 -38.2878059074105 228.970447846993</t>
  </si>
  <si>
    <t>-695.107181326987 34.4405651425507 656.270191911678</t>
  </si>
  <si>
    <t>-579.194111336329 -64.5608036859048 744.056277290541</t>
  </si>
  <si>
    <t>9763-20170724T160710.290758900.bin</t>
  </si>
  <si>
    <t>-591.86887432113 114.284219837004 -226.133233233732</t>
  </si>
  <si>
    <t>-630.308099052836 106.794022771136 -340.737417343557</t>
  </si>
  <si>
    <t>-649.291811217999 93.7696879611337 -459.735581095866</t>
  </si>
  <si>
    <t>-658.448094310599 79.2281432040145 -567.899989607946</t>
  </si>
  <si>
    <t>-659.767009935995 61.6856515950296 -675.998884867942</t>
  </si>
  <si>
    <t>-653.545049390894 33.9330091142353 -825.635535952418</t>
  </si>
  <si>
    <t>-619.683909230363 5.63134175674963 -917.479986534673</t>
  </si>
  <si>
    <t>-639.747983624416 73.0193228654948 -763.709529018647</t>
  </si>
  <si>
    <t>-544.405087597612 184.789126884113 -757.578479762798</t>
  </si>
  <si>
    <t>-427.322665118199 144.256700879346 -466.313964883648</t>
  </si>
  <si>
    <t>-267.622646523994 25.4072602205172 -298.943853300197</t>
  </si>
  <si>
    <t>-672.848209174181 19.4060061562784 -755.142256497219</t>
  </si>
  <si>
    <t>-560.635728999015 206.482552251074 -242.139560747859</t>
  </si>
  <si>
    <t>-570.08329500388 187.291894498388 213.052793002025</t>
  </si>
  <si>
    <t>-631.827228087244 168.798248200165 678.214914010321</t>
  </si>
  <si>
    <t>-496.824005642938 98.0528132748827 766.037058719273</t>
  </si>
  <si>
    <t>-622.923126043184 22.0994142859608 -209.405592671589</t>
  </si>
  <si>
    <t>-512.666747361079 -38.5734233135781 228.567068608179</t>
  </si>
  <si>
    <t>-694.932766444034 34.482887328287 655.748208114311</t>
  </si>
  <si>
    <t>-579.185324236322 -64.5542671553139 743.712298347997</t>
  </si>
  <si>
    <t>9763-20170724T160710.323851000.bin</t>
  </si>
  <si>
    <t>-591.758230557118 113.878086406895 -226.222730454368</t>
  </si>
  <si>
    <t>-630.064247338688 106.449579678614 -340.875594220693</t>
  </si>
  <si>
    <t>-648.828013304133 93.4771461159703 -459.91423320134</t>
  </si>
  <si>
    <t>-657.751255374016 78.9776921234538 -568.103940185778</t>
  </si>
  <si>
    <t>-658.803291472446 61.4729730318002 -676.21186117683</t>
  </si>
  <si>
    <t>-652.176211119352 33.7683609344328 -825.839770990849</t>
  </si>
  <si>
    <t>-618.131140029407 5.44327331607769 -917.609192908221</t>
  </si>
  <si>
    <t>-638.536256054924 72.8283790945602 -763.86254743869</t>
  </si>
  <si>
    <t>-543.109403750705 184.539698099805 -757.448444155899</t>
  </si>
  <si>
    <t>-426.897533346303 143.392616410071 -465.921511189915</t>
  </si>
  <si>
    <t>-266.588863889132 24.4567984795567 -299.195881887924</t>
  </si>
  <si>
    <t>-671.680771357278 19.2251456467989 -755.405524876297</t>
  </si>
  <si>
    <t>-560.43690810881 206.04578471884 -242.18038061597</t>
  </si>
  <si>
    <t>-570.070549893352 187.047148664926 213.016231032755</t>
  </si>
  <si>
    <t>-631.920161498443 168.624012832163 678.184912824303</t>
  </si>
  <si>
    <t>-496.801036684941 98.1237783857703 766.025986303553</t>
  </si>
  <si>
    <t>-622.903867552984 21.7897596834591 -209.568354798172</t>
  </si>
  <si>
    <t>-512.603498720847 -38.8180554115581 228.402159463206</t>
  </si>
  <si>
    <t>-694.857490553699 34.5199914686548 655.525860811184</t>
  </si>
  <si>
    <t>-579.247793416675 -64.5991858490961 743.578669933656</t>
  </si>
  <si>
    <t>9763-20170724T160710.392032800.bin</t>
  </si>
  <si>
    <t>-591.511528614123 112.948060718108 -226.286598432318</t>
  </si>
  <si>
    <t>-629.615230823378 105.539938641891 -341.00811978506</t>
  </si>
  <si>
    <t>-647.977515494016 92.5636714145203 -460.10883330568</t>
  </si>
  <si>
    <t>-656.45899163844 78.0462659724458 -568.331621263562</t>
  </si>
  <si>
    <t>-656.9933466187 60.5064501234563 -676.437714265954</t>
  </si>
  <si>
    <t>-649.570779887032 32.7336425617445 -826.015758863162</t>
  </si>
  <si>
    <t>-615.034557813485 4.34060048922902 -917.580269084413</t>
  </si>
  <si>
    <t>-636.285249965694 71.8366518624521 -763.988591080376</t>
  </si>
  <si>
    <t>-540.890650268479 183.550389202566 -757.158981357322</t>
  </si>
  <si>
    <t>-425.338031241307 142.487727603094 -465.358402758138</t>
  </si>
  <si>
    <t>-264.518797326618 23.2971771290074 -299.307594591151</t>
  </si>
  <si>
    <t>-669.424802339334 18.2078538388212 -755.675658158343</t>
  </si>
  <si>
    <t>-560.127724023804 204.992702715732 -242.16987474104</t>
  </si>
  <si>
    <t>-569.745487388853 186.376830704978 213.042801457904</t>
  </si>
  <si>
    <t>-632.119162341724 168.310335380029 678.189046931258</t>
  </si>
  <si>
    <t>-496.754338405902 98.2557642442507 766.008391279972</t>
  </si>
  <si>
    <t>-622.707810124933 20.8822442293265 -209.761186680579</t>
  </si>
  <si>
    <t>-512.522254390607 -39.6443494380869 228.249538252951</t>
  </si>
  <si>
    <t>-694.977591530776 34.2072481025043 655.241845788803</t>
  </si>
  <si>
    <t>-579.050079155316 -64.4998635676006 743.339689506746</t>
  </si>
  <si>
    <t>9763-20170724T160710.423805000.bin</t>
  </si>
  <si>
    <t>-591.308828179821 112.558515570708 -226.327545942899</t>
  </si>
  <si>
    <t>-629.355056618653 105.155295726275 -341.068544970498</t>
  </si>
  <si>
    <t>-647.543324145948 92.1363928704 -460.191403613929</t>
  </si>
  <si>
    <t>-655.822170507575 77.5567420577352 -568.421462948074</t>
  </si>
  <si>
    <t>-656.110955179309 59.9286612935512 -676.514188696671</t>
  </si>
  <si>
    <t>-648.305748775648 32.0036254362767 -826.04421793689</t>
  </si>
  <si>
    <t>-613.520955219444 3.56626563917575 -917.500992954396</t>
  </si>
  <si>
    <t>-635.198473811596 71.1813777259845 -764.026330415125</t>
  </si>
  <si>
    <t>-539.890536357235 182.949298981246 -757.064647950819</t>
  </si>
  <si>
    <t>-424.511987438804 142.133336889366 -465.160521948191</t>
  </si>
  <si>
    <t>-263.444046158196 22.9729927372289 -299.329293229357</t>
  </si>
  <si>
    <t>-668.320228682948 17.5377030291331 -755.737237173197</t>
  </si>
  <si>
    <t>-560.045980735626 204.647767047626 -242.108840167349</t>
  </si>
  <si>
    <t>-569.596354746243 186.073671753818 213.107059201275</t>
  </si>
  <si>
    <t>-632.278175447484 168.11562499226 678.220165532062</t>
  </si>
  <si>
    <t>-496.747544935236 98.3237709603275 765.992928733034</t>
  </si>
  <si>
    <t>-622.371854170525 20.5592697682082 -209.857043707897</t>
  </si>
  <si>
    <t>-512.257120909611 -39.9712256421712 228.170851837044</t>
  </si>
  <si>
    <t>-694.886259877697 34.2689774423652 655.049003772977</t>
  </si>
  <si>
    <t>-579.229970057784 -64.6658903629427 743.247797154531</t>
  </si>
  <si>
    <t>9763-20170724T160710.491989900.bin</t>
  </si>
  <si>
    <t>-591.036292210579 111.971364697541 -226.399953869482</t>
  </si>
  <si>
    <t>-628.806761659112 104.427895510449 -341.222794941227</t>
  </si>
  <si>
    <t>-646.676454618479 91.3027361812651 -460.382293081316</t>
  </si>
  <si>
    <t>-654.653152350654 76.6368643007295 -568.623371195344</t>
  </si>
  <si>
    <t>-654.627841645828 58.9299249403391 -676.703521037485</t>
  </si>
  <si>
    <t>-646.376057244787 30.9005690365732 -826.190038260766</t>
  </si>
  <si>
    <t>-611.19446777144 2.39314497780538 -917.473008164023</t>
  </si>
  <si>
    <t>-633.508243232858 70.1537272368903 -764.169778363837</t>
  </si>
  <si>
    <t>-538.471652021093 182.132366894162 -756.987375657833</t>
  </si>
  <si>
    <t>-423.276516033758 141.385872550264 -465.001073758996</t>
  </si>
  <si>
    <t>-261.763512143384 22.3760877035415 -299.494891556515</t>
  </si>
  <si>
    <t>-666.546169049139 16.4516851064966 -755.924097576571</t>
  </si>
  <si>
    <t>-560.048740671232 204.063211509251 -242.099849409053</t>
  </si>
  <si>
    <t>-569.726718023684 185.829264601022 213.126988884343</t>
  </si>
  <si>
    <t>-632.45888559863 167.903496583434 678.23561413012</t>
  </si>
  <si>
    <t>-496.723359452323 98.4443804337645 765.955698878509</t>
  </si>
  <si>
    <t>-621.899314696526 20.0385757848051 -210.00630078923</t>
  </si>
  <si>
    <t>-511.788208136355 -40.1948001646081 228.063523875411</t>
  </si>
  <si>
    <t>-694.739934462507 34.2566594144107 654.721205616866</t>
  </si>
  <si>
    <t>-579.112748513013 -64.5795256236154 743.068656813394</t>
  </si>
  <si>
    <t>9763-20170724T160710.525086900.bin</t>
  </si>
  <si>
    <t>-590.943967760085 111.863746728294 -226.430731468829</t>
  </si>
  <si>
    <t>-628.57909468191 104.230267745723 -341.292147848127</t>
  </si>
  <si>
    <t>-646.293900735088 91.0514993925601 -460.468822790088</t>
  </si>
  <si>
    <t>-654.12403068295 76.348502608384 -568.715582218894</t>
  </si>
  <si>
    <t>-653.947134915451 58.6130740812507 -676.79080320504</t>
  </si>
  <si>
    <t>-645.480726709057 30.5510154362996 -826.259340975888</t>
  </si>
  <si>
    <t>-610.117613382579 2.02415794033141 -917.466073620621</t>
  </si>
  <si>
    <t>-632.722913414266 69.830044562309 -764.232692237489</t>
  </si>
  <si>
    <t>-537.777118304498 181.880213597605 -756.959059928732</t>
  </si>
  <si>
    <t>-422.679609973069 140.965664734551 -464.957668864198</t>
  </si>
  <si>
    <t>-261.085767758528 22.2458427242821 -299.322347826793</t>
  </si>
  <si>
    <t>-665.730789999917 16.1051737032071 -756.015727992906</t>
  </si>
  <si>
    <t>-560.158984345084 204.036731625551 -242.09370134381</t>
  </si>
  <si>
    <t>-569.838403967203 185.891911280185 213.136754084509</t>
  </si>
  <si>
    <t>-632.585134527748 167.802556830953 678.275402292362</t>
  </si>
  <si>
    <t>-496.736062860984 98.4917262791978 765.936979547718</t>
  </si>
  <si>
    <t>-621.577973658648 19.8623523573121 -210.096188245861</t>
  </si>
  <si>
    <t>-511.607949479483 -40.0060636583323 228.059093318073</t>
  </si>
  <si>
    <t>-694.733288016487 34.2544502363994 654.679653709531</t>
  </si>
  <si>
    <t>-578.981717308841 -64.4455098280669 743.016527421485</t>
  </si>
  <si>
    <t>9763-20170724T160710.591257700.bin</t>
  </si>
  <si>
    <t>-590.952185737636 111.826048577249 -226.555187339259</t>
  </si>
  <si>
    <t>-628.370093899256 104.045033030784 -341.477711879237</t>
  </si>
  <si>
    <t>-645.856679131305 90.800243553507 -460.680665229979</t>
  </si>
  <si>
    <t>-653.47918836995 76.061258076578 -568.937344131203</t>
  </si>
  <si>
    <t>-653.095972946109 58.3074099761072 -677.009061557759</t>
  </si>
  <si>
    <t>-644.346733832575 30.2327478899692 -826.458950616016</t>
  </si>
  <si>
    <t>-608.704655057971 1.67495331024611 -917.547362994878</t>
  </si>
  <si>
    <t>-631.728974313334 69.530367650987 -764.415399411761</t>
  </si>
  <si>
    <t>-536.865116575528 181.634819035055 -756.916393276846</t>
  </si>
  <si>
    <t>-422.309367704305 140.296765045375 -464.761719223179</t>
  </si>
  <si>
    <t>-260.836334665062 21.7590198800765 -298.878349596255</t>
  </si>
  <si>
    <t>-664.707028348095 15.7794671337006 -756.24881389365</t>
  </si>
  <si>
    <t>-560.593490321186 204.039051732904 -242.135084052975</t>
  </si>
  <si>
    <t>-570.260525951691 186.094326043865 213.103554914048</t>
  </si>
  <si>
    <t>-632.681078880046 167.709130551579 678.247611384139</t>
  </si>
  <si>
    <t>-496.693242591344 98.6500424321691 765.892721891944</t>
  </si>
  <si>
    <t>-621.244502481796 19.7195902698168 -210.332101098086</t>
  </si>
  <si>
    <t>-511.423449103403 -39.4137234313171 227.960295597078</t>
  </si>
  <si>
    <t>-694.72747008771 34.1598432785268 654.59152919536</t>
  </si>
  <si>
    <t>-578.876158436247 -64.4121736568136 742.940514781921</t>
  </si>
  <si>
    <t>9763-20170724T160710.624353700.bin</t>
  </si>
  <si>
    <t>-590.95744632763 111.987296777886 -226.652713985004</t>
  </si>
  <si>
    <t>-628.24047771201 104.175723221354 -341.61689835298</t>
  </si>
  <si>
    <t>-645.597413356891 90.8955041470181 -460.834879914806</t>
  </si>
  <si>
    <t>-653.106531798962 76.1225629880246 -569.094936400724</t>
  </si>
  <si>
    <t>-652.61484775274 58.3325491691994 -677.160275336748</t>
  </si>
  <si>
    <t>-643.720890305271 30.2051334048706 -826.591696407703</t>
  </si>
  <si>
    <t>-607.976028400964 1.63968810651863 -917.637329034879</t>
  </si>
  <si>
    <t>-631.180606028139 69.534770821798 -764.552695249495</t>
  </si>
  <si>
    <t>-536.33305861155 181.659635287359 -757.072677780678</t>
  </si>
  <si>
    <t>-422.306750772632 140.228126538342 -464.724213787147</t>
  </si>
  <si>
    <t>-261.164562913173 21.6408298426932 -298.55475469488</t>
  </si>
  <si>
    <t>-664.131894211159 15.7663833507293 -756.393093702891</t>
  </si>
  <si>
    <t>-560.680354986898 204.203276658404 -242.186885241102</t>
  </si>
  <si>
    <t>-570.461838148266 186.291710875759 213.050544778131</t>
  </si>
  <si>
    <t>-632.703559762506 167.732048539764 678.247470899766</t>
  </si>
  <si>
    <t>-496.734500632472 98.6208213968598 765.880619886118</t>
  </si>
  <si>
    <t>-621.096555169466 19.8979946388949 -210.483478313647</t>
  </si>
  <si>
    <t>-511.455215203933 -39.2581923831967 227.850822394448</t>
  </si>
  <si>
    <t>-694.703167517826 34.0976703139111 654.526357410536</t>
  </si>
  <si>
    <t>-578.842608794605 -64.4222944606533 742.921266189755</t>
  </si>
  <si>
    <t>9763-20170724T160710.693066800.bin</t>
  </si>
  <si>
    <t>-590.95170359932 112.245611433828 -226.772788068027</t>
  </si>
  <si>
    <t>-628.155198690134 104.434499560472 -341.762671869247</t>
  </si>
  <si>
    <t>-645.433856878984 91.0995698728725 -460.985962829725</t>
  </si>
  <si>
    <t>-652.876117109726 76.2524305288284 -569.240435107928</t>
  </si>
  <si>
    <t>-652.323658254362 58.3623729550366 -677.289083102356</t>
  </si>
  <si>
    <t>-643.3538590274 30.0679580263777 -826.684378005907</t>
  </si>
  <si>
    <t>-607.477640763677 1.41106515126671 -917.649651468168</t>
  </si>
  <si>
    <t>-630.853447460112 69.4719693859329 -764.684408474631</t>
  </si>
  <si>
    <t>-536.032748275862 181.630966296461 -757.333675957628</t>
  </si>
  <si>
    <t>-423.259019670291 140.155922242599 -464.505904746982</t>
  </si>
  <si>
    <t>-263.819599131725 20.2834438325749 -297.617683647277</t>
  </si>
  <si>
    <t>-663.791912333746 15.7028285286542 -756.478563411706</t>
  </si>
  <si>
    <t>-560.868192950156 204.384408153758 -242.21425028637</t>
  </si>
  <si>
    <t>-570.629259416066 186.474596953503 213.023706391859</t>
  </si>
  <si>
    <t>-632.841645894927 167.644861752124 678.285038409965</t>
  </si>
  <si>
    <t>-496.716158897004 98.7509340175257 765.846409126476</t>
  </si>
  <si>
    <t>-620.921164081213 20.1210767513937 -210.638860063586</t>
  </si>
  <si>
    <t>-511.609395616065 -39.2281239226497 227.751743998807</t>
  </si>
  <si>
    <t>-694.628310216347 34.1126451337184 654.47273205211</t>
  </si>
  <si>
    <t>-578.826085282095 -64.3920982144421 742.961004529689</t>
  </si>
  <si>
    <t>9763-20170724T160710.724182500.bin</t>
  </si>
  <si>
    <t>-590.965802667454 112.262617729287 -226.752550681606</t>
  </si>
  <si>
    <t>-628.124215434437 104.469817820518 -341.758385458536</t>
  </si>
  <si>
    <t>-645.390443565821 91.1127576013275 -460.980959595137</t>
  </si>
  <si>
    <t>-652.836314493202 76.2303745397148 -569.230413351507</t>
  </si>
  <si>
    <t>-652.303528767881 58.2900177794211 -677.270670402476</t>
  </si>
  <si>
    <t>-643.378184034511 29.9108735200832 -826.652569033234</t>
  </si>
  <si>
    <t>-607.478788791876 1.18469258515165 -917.586782135929</t>
  </si>
  <si>
    <t>-630.855644385831 69.3478846127778 -764.678125815409</t>
  </si>
  <si>
    <t>-536.064849978047 181.53205449903 -757.493251436582</t>
  </si>
  <si>
    <t>-423.915917312013 140.024124953334 -464.430250283212</t>
  </si>
  <si>
    <t>-265.437305440864 19.1756484983359 -297.330803802616</t>
  </si>
  <si>
    <t>-663.799074435905 15.5876866604419 -756.433349783249</t>
  </si>
  <si>
    <t>-560.898155915256 204.333749686941 -242.159123269927</t>
  </si>
  <si>
    <t>-570.764511607915 186.468749998685 213.078363998016</t>
  </si>
  <si>
    <t>-633.004818786064 167.544732617476 678.376191273156</t>
  </si>
  <si>
    <t>-496.726151749689 98.8134950201688 765.827066147436</t>
  </si>
  <si>
    <t>-620.9503287952 20.184523884481 -210.664314817106</t>
  </si>
  <si>
    <t>-511.810413802623 -39.5124853045297 227.721846925107</t>
  </si>
  <si>
    <t>-694.601830425588 34.1018232960446 654.478699295392</t>
  </si>
  <si>
    <t>-578.880281019236 -64.4618518669392 743.006868148289</t>
  </si>
  <si>
    <t>9763-20170724T160710.788351400.bin</t>
  </si>
  <si>
    <t>-590.806783421591 112.563052117993 -226.646864659682</t>
  </si>
  <si>
    <t>-627.927345676644 104.827715855059 -341.668803678587</t>
  </si>
  <si>
    <t>-645.282916527578 91.402014821512 -460.870696734749</t>
  </si>
  <si>
    <t>-652.864849642789 76.4125315412607 -569.095798407322</t>
  </si>
  <si>
    <t>-652.524402407111 58.3240246444755 -677.112278075573</t>
  </si>
  <si>
    <t>-643.925445149635 29.6995873054173 -826.466520556353</t>
  </si>
  <si>
    <t>-608.050203447184 0.76199341732854 -917.343168168823</t>
  </si>
  <si>
    <t>-631.267646185951 69.2381757437954 -764.584443629134</t>
  </si>
  <si>
    <t>-536.443723154516 181.425472233443 -757.849452389442</t>
  </si>
  <si>
    <t>-425.555657202555 139.920126826204 -464.306636318447</t>
  </si>
  <si>
    <t>-268.371187941326 17.5959413880087 -297.058622156896</t>
  </si>
  <si>
    <t>-664.192869955492 15.4917442509627 -756.179238528232</t>
  </si>
  <si>
    <t>-560.768005320643 204.492877281504 -241.937732949973</t>
  </si>
  <si>
    <t>-570.748172872581 186.38607533692 213.287702594926</t>
  </si>
  <si>
    <t>-633.38653264356 167.39312085051 678.647413107699</t>
  </si>
  <si>
    <t>-496.853913059974 98.7191464966031 765.74646080769</t>
  </si>
  <si>
    <t>-620.746302997301 20.660164665516 -210.666560968524</t>
  </si>
  <si>
    <t>-512.35644500135 -40.3018548944983 227.731545379973</t>
  </si>
  <si>
    <t>-694.604113067602 33.9245298534124 654.578103031705</t>
  </si>
  <si>
    <t>-578.906425081831 -64.5574148425487 743.22832250324</t>
  </si>
  <si>
    <t>9763-20170724T160710.826466900.bin</t>
  </si>
  <si>
    <t>-590.722225778505 112.7218236842 -226.465658473913</t>
  </si>
  <si>
    <t>-627.853783831162 104.996159530632 -341.484517042109</t>
  </si>
  <si>
    <t>-645.305543255368 91.5064502620426 -460.665236354738</t>
  </si>
  <si>
    <t>-653.011461099361 76.4309388308354 -568.869732542184</t>
  </si>
  <si>
    <t>-652.833367043155 58.2289835434988 -676.867384263925</t>
  </si>
  <si>
    <t>-644.500477692661 29.4195912026034 -826.201216730339</t>
  </si>
  <si>
    <t>-608.695897576458 0.335084563285818 -917.058857584627</t>
  </si>
  <si>
    <t>-631.717490562568 69.0259493407459 -764.388336255001</t>
  </si>
  <si>
    <t>-536.817418711932 181.188695449733 -757.984562557025</t>
  </si>
  <si>
    <t>-426.601109433611 139.879206200862 -464.161342881281</t>
  </si>
  <si>
    <t>-270.314737955598 16.0532870050249 -297.177008169605</t>
  </si>
  <si>
    <t>-664.657634924961 15.3076572016141 -755.863070474909</t>
  </si>
  <si>
    <t>-560.738383272653 204.553433807697 -241.706635960261</t>
  </si>
  <si>
    <t>-570.663443763031 186.268592520856 213.512850931053</t>
  </si>
  <si>
    <t>-633.680503928471 167.296325613049 678.882433160243</t>
  </si>
  <si>
    <t>-496.897135262576 98.7487391948496 765.687107863664</t>
  </si>
  <si>
    <t>-620.616640701745 20.9113359835444 -210.511851137881</t>
  </si>
  <si>
    <t>-512.664025964835 -40.7999596888026 227.889401948178</t>
  </si>
  <si>
    <t>-694.581680260802 33.9283331535428 654.716573938656</t>
  </si>
  <si>
    <t>-579.039656750002 -64.687300633047 743.421192111862</t>
  </si>
  <si>
    <t>9763-20170724T160710.894187100.bin</t>
  </si>
  <si>
    <t>-590.608173111556 112.756178838418 -225.876498737714</t>
  </si>
  <si>
    <t>-627.781797168783 105.058016621025 -340.883623584655</t>
  </si>
  <si>
    <t>-645.469192871539 91.3886088136069 -460.009081119414</t>
  </si>
  <si>
    <t>-653.474692060113 76.0671601185768 -568.157274263135</t>
  </si>
  <si>
    <t>-653.68676961083 57.5366918201166 -676.098939788834</t>
  </si>
  <si>
    <t>-645.993917566321 28.185522174366 -825.361627068867</t>
  </si>
  <si>
    <t>-632.883352649859 67.978973631484 -763.737646673895</t>
  </si>
  <si>
    <t>-537.709300807659 179.923282223321 -758.013897964316</t>
  </si>
  <si>
    <t>-428.358297671041 139.02516139117 -463.810050338923</t>
  </si>
  <si>
    <t>-273.276548086821 13.3621370508399 -297.075140093552</t>
  </si>
  <si>
    <t>-665.912113962663 14.3661039572175 -754.8974858709</t>
  </si>
  <si>
    <t>-560.770403295773 204.442339565393 -241.023050167986</t>
  </si>
  <si>
    <t>-570.777739854296 185.920270880369 214.185126277739</t>
  </si>
  <si>
    <t>-634.481699267665 166.957203360868 679.526749807368</t>
  </si>
  <si>
    <t>-496.978088558905 98.8570106007589 765.542031485116</t>
  </si>
  <si>
    <t>-620.361932005375 21.1039414911893 -210.020173033623</t>
  </si>
  <si>
    <t>-512.775394099573 -41.346205114329 228.366396183862</t>
  </si>
  <si>
    <t>-694.511822782468 33.8519439074446 655.087382680475</t>
  </si>
  <si>
    <t>-579.072234775257 -64.7680044181573 743.920497403509</t>
  </si>
  <si>
    <t>9763-20170724T160710.925686700.bin</t>
  </si>
  <si>
    <t>-590.597736426144 113.008602976623 -225.531388276039</t>
  </si>
  <si>
    <t>-627.734942756226 105.254723836594 -340.546855975598</t>
  </si>
  <si>
    <t>-645.540880728464 91.4522663207422 -459.639143088196</t>
  </si>
  <si>
    <t>-653.721987166867 75.977251513159 -567.752281873006</t>
  </si>
  <si>
    <t>-654.180940956169 57.2588849798149 -675.660940572824</t>
  </si>
  <si>
    <t>-646.9077350218 27.6097179271171 -824.885561690517</t>
  </si>
  <si>
    <t>-633.559816600978 67.4882700629848 -763.367742539219</t>
  </si>
  <si>
    <t>-538.066436834143 179.19345998995 -757.961365204615</t>
  </si>
  <si>
    <t>-428.819644276279 138.377308605036 -463.707371338245</t>
  </si>
  <si>
    <t>-274.328572825851 11.8571491109406 -297.07250473796</t>
  </si>
  <si>
    <t>-666.691983195391 13.9688385098921 -754.348964668435</t>
  </si>
  <si>
    <t>-560.854347868373 204.741195251839 -240.718721965114</t>
  </si>
  <si>
    <t>-570.857400235459 185.972207356835 214.479449072334</t>
  </si>
  <si>
    <t>-634.705268605949 166.954614040576 679.738591257417</t>
  </si>
  <si>
    <t>-497.029933670806 98.8497756125789 765.475059894116</t>
  </si>
  <si>
    <t>-620.165653430867 21.4317420314896 -209.663725285862</t>
  </si>
  <si>
    <t>-512.58099377904 -41.3014237033051 228.682901118763</t>
  </si>
  <si>
    <t>-694.448533755323 33.8382739925071 655.278383149808</t>
  </si>
  <si>
    <t>-578.951265734181 -64.6701147842991 744.160259050458</t>
  </si>
  <si>
    <t>9763-20170724T160710.993385800.bin</t>
  </si>
  <si>
    <t>-590.456606332542 113.92677576489 -224.956442311701</t>
  </si>
  <si>
    <t>-627.604145689008 106.048587293252 -339.960022694133</t>
  </si>
  <si>
    <t>-645.627336161331 91.9825645410826 -458.988923068799</t>
  </si>
  <si>
    <t>-654.098166082018 76.2069180777601 -567.036215376132</t>
  </si>
  <si>
    <t>-654.945405358342 57.1227307324011 -674.87826852717</t>
  </si>
  <si>
    <t>-648.319774239084 26.8939771020591 -824.016995962826</t>
  </si>
  <si>
    <t>-634.550711558455 66.9193624110658 -762.6874311496</t>
  </si>
  <si>
    <t>-538.261017117014 177.940642967765 -757.696969466538</t>
  </si>
  <si>
    <t>-428.380081845978 136.90587365119 -463.709657642388</t>
  </si>
  <si>
    <t>-272.983534729084 11.5428221782429 -297.042187028442</t>
  </si>
  <si>
    <t>-667.952087918667 13.6191959238117 -753.368065493568</t>
  </si>
  <si>
    <t>-560.677431445524 205.693528074761 -240.39211651147</t>
  </si>
  <si>
    <t>-570.877199909187 186.690770121496 214.791999624179</t>
  </si>
  <si>
    <t>-634.730125054001 167.003944627124 679.760500142124</t>
  </si>
  <si>
    <t>-497.014972599602 98.9382667744701 765.464131533573</t>
  </si>
  <si>
    <t>-619.999680973529 22.2902996031071 -208.97309738461</t>
  </si>
  <si>
    <t>-511.965230231701 -40.4366076421243 229.263763200283</t>
  </si>
  <si>
    <t>-694.334601145932 34.0186715996649 655.706093260011</t>
  </si>
  <si>
    <t>-579.002068709536 -64.7034138382944 744.564788785167</t>
  </si>
  <si>
    <t>9763-20170724T160711.024957300.bin</t>
  </si>
  <si>
    <t>-590.34766812093 114.615287223342 -224.84009188731</t>
  </si>
  <si>
    <t>-627.52929904539 106.643142142914 -339.826014323317</t>
  </si>
  <si>
    <t>-645.673848910716 92.3885631109922 -458.814059561576</t>
  </si>
  <si>
    <t>-654.293018146656 76.4063736050059 -566.81923707174</t>
  </si>
  <si>
    <t>-655.328864862707 57.0811168548594 -674.616803311702</t>
  </si>
  <si>
    <t>-649.008497564622 26.4828452989868 -823.693324281732</t>
  </si>
  <si>
    <t>-635.059861815508 66.6275641464581 -762.482543891122</t>
  </si>
  <si>
    <t>-538.52088493349 177.463823550961 -757.782302072982</t>
  </si>
  <si>
    <t>-427.69885667768 136.69223004512 -464.111894665591</t>
  </si>
  <si>
    <t>-271.327042194742 13.5345134331517 -296.713847816225</t>
  </si>
  <si>
    <t>-668.550260796209 13.4157130981357 -752.980662336593</t>
  </si>
  <si>
    <t>-560.485144309388 206.390886198683 -240.427161308086</t>
  </si>
  <si>
    <t>-570.769002267462 187.173929344506 214.746000839273</t>
  </si>
  <si>
    <t>-634.615609620853 167.081298360351 679.712625813027</t>
  </si>
  <si>
    <t>-497.014767506609 98.9134721200476 765.518614414043</t>
  </si>
  <si>
    <t>-620.058428098258 22.9086598250738 -208.722228848354</t>
  </si>
  <si>
    <t>-511.824913403427 -40.0008939676457 229.439253692475</t>
  </si>
  <si>
    <t>-694.397714906263 33.9980699055584 655.923932019638</t>
  </si>
  <si>
    <t>-578.982578039954 -64.717359973067 744.682700459826</t>
  </si>
  <si>
    <t>9763-20170724T160711.090635200.bin</t>
  </si>
  <si>
    <t>-590.447365695634 115.905671412156 -224.821069585553</t>
  </si>
  <si>
    <t>-627.668447805559 107.791293048127 -339.784425003071</t>
  </si>
  <si>
    <t>-646.095449155086 93.1237129915114 -458.678721000233</t>
  </si>
  <si>
    <t>-655.078682033594 76.6638657930853 -566.582542416166</t>
  </si>
  <si>
    <t>-656.591991124904 56.7610213806861 -674.269296089109</t>
  </si>
  <si>
    <t>-651.05759176322 25.2592108404936 -823.188776591518</t>
  </si>
  <si>
    <t>-636.709917353088 65.7278472990874 -762.284407063454</t>
  </si>
  <si>
    <t>-539.937773917857 176.413659246249 -758.600299904292</t>
  </si>
  <si>
    <t>-425.824404881389 136.995469982547 -466.007616123497</t>
  </si>
  <si>
    <t>-264.931860376781 23.4618401943267 -296.108374865889</t>
  </si>
  <si>
    <t>-670.302961253402 12.6676201665732 -752.308577418619</t>
  </si>
  <si>
    <t>-560.453362064238 207.875884859767 -240.5761975312</t>
  </si>
  <si>
    <t>-570.709143904463 188.19404536443 214.577703446832</t>
  </si>
  <si>
    <t>-634.358122774226 167.238756069495 679.499942136249</t>
  </si>
  <si>
    <t>-497.038229935911 98.8893112021437 765.610995579938</t>
  </si>
  <si>
    <t>-620.277657025378 24.05004780527 -208.516641463184</t>
  </si>
  <si>
    <t>-511.999100753535 -39.4939717886157 229.542195097597</t>
  </si>
  <si>
    <t>-694.560511553767 33.897170668298 656.256047053919</t>
  </si>
  <si>
    <t>-578.903015202224 -64.6727107892439 744.860945187549</t>
  </si>
  <si>
    <t>9763-20170724T160711.127237200.bin</t>
  </si>
  <si>
    <t>-590.533229948354 116.535198669821 -224.962766181655</t>
  </si>
  <si>
    <t>-627.827620797174 108.411268196568 -339.90163966636</t>
  </si>
  <si>
    <t>-646.418220032154 93.5714827807444 -458.749116525179</t>
  </si>
  <si>
    <t>-655.591349132828 76.8907209489496 -566.603033323589</t>
  </si>
  <si>
    <t>-657.340570532879 56.7016629635025 -674.232892755784</t>
  </si>
  <si>
    <t>-652.184660315304 24.7354640701365 -823.066964948009</t>
  </si>
  <si>
    <t>-637.665529679279 65.3837036713855 -762.323131678731</t>
  </si>
  <si>
    <t>-540.906087180059 176.054506088648 -759.191206227005</t>
  </si>
  <si>
    <t>-425.145481952959 137.445250110024 -467.138162313125</t>
  </si>
  <si>
    <t>-261.313685567699 29.768239764667 -296.237984437967</t>
  </si>
  <si>
    <t>-671.266502828347 12.3752572712299 -752.101971831781</t>
  </si>
  <si>
    <t>-560.612173297046 208.585638428319 -240.744550078691</t>
  </si>
  <si>
    <t>-570.782419866989 188.67777768862 214.401433273105</t>
  </si>
  <si>
    <t>-634.138441570909 167.366806430231 679.325493548942</t>
  </si>
  <si>
    <t>-497.025891569213 98.8885452637649 765.664295127987</t>
  </si>
  <si>
    <t>-620.338692072799 24.6437462201595 -208.607014905412</t>
  </si>
  <si>
    <t>-512.254373584635 -39.3331119695024 229.436858433458</t>
  </si>
  <si>
    <t>-694.572912105598 33.9324076178134 656.328012484933</t>
  </si>
  <si>
    <t>-578.991295784364 -64.7518301724035 744.904673745173</t>
  </si>
  <si>
    <t>9763-20170724T160711.189402900.bin</t>
  </si>
  <si>
    <t>-590.687830026503 117.71820456402 -225.248383531978</t>
  </si>
  <si>
    <t>-628.020386624047 109.562946434498 -340.17263506483</t>
  </si>
  <si>
    <t>-646.77008525471 94.5193713808349 -458.969624402796</t>
  </si>
  <si>
    <t>-656.144855196044 77.5803220108658 -566.765838241122</t>
  </si>
  <si>
    <t>-658.159476372287 57.0565717191873 -674.327670369938</t>
  </si>
  <si>
    <t>-653.444465921745 24.5437889464706 -823.057973881556</t>
  </si>
  <si>
    <t>-638.707813809142 65.392229165396 -762.500981204377</t>
  </si>
  <si>
    <t>-541.911755873642 176.052001843545 -760.085070068597</t>
  </si>
  <si>
    <t>-422.111061359705 138.757737937423 -469.494187791467</t>
  </si>
  <si>
    <t>-253.127964848872 39.6565779137927 -298.42181993019</t>
  </si>
  <si>
    <t>-672.35348228528 12.4672911203929 -751.997937556788</t>
  </si>
  <si>
    <t>-560.906816227955 210.085560074345 -241.031727695116</t>
  </si>
  <si>
    <t>-570.898203063996 189.776739532242 214.100566624188</t>
  </si>
  <si>
    <t>-633.69139998144 167.75621998512 679.058615668177</t>
  </si>
  <si>
    <t>-496.987134517652 98.9462827031966 765.780279994274</t>
  </si>
  <si>
    <t>-620.276294937902 25.4768551882048 -208.826489272033</t>
  </si>
  <si>
    <t>-512.282375258195 -38.5900330449224 229.226528273175</t>
  </si>
  <si>
    <t>-694.651163495944 33.8480238085465 656.328896980328</t>
  </si>
  <si>
    <t>-578.958602653744 -64.7452994566502 744.861933433289</t>
  </si>
  <si>
    <t>9763-20170724T160711.227511700.bin</t>
  </si>
  <si>
    <t>-590.740899593015 118.086142711627 -225.32436041475</t>
  </si>
  <si>
    <t>-628.104574843271 109.896585604393 -340.235996419623</t>
  </si>
  <si>
    <t>-646.910991669292 94.8139037445144 -459.019052895541</t>
  </si>
  <si>
    <t>-656.348800265203 77.8353380462604 -566.80354664515</t>
  </si>
  <si>
    <t>-658.438740001073 57.2671060883854 -674.355552003254</t>
  </si>
  <si>
    <t>-653.84227663579 24.6860205271244 -823.074547611973</t>
  </si>
  <si>
    <t>-639.034762626519 65.5484825270671 -762.544320834865</t>
  </si>
  <si>
    <t>-542.114233610853 176.111463128489 -760.290697799543</t>
  </si>
  <si>
    <t>-420.833808153814 139.049935817006 -470.284414303813</t>
  </si>
  <si>
    <t>-250.67836621127 41.4278621100211 -299.524073226419</t>
  </si>
  <si>
    <t>-672.717459662427 12.6557055227997 -751.997760671627</t>
  </si>
  <si>
    <t>-561.009219576328 210.405815920848 -241.126748221136</t>
  </si>
  <si>
    <t>-571.037137455061 190.124999984235 214.006016747986</t>
  </si>
  <si>
    <t>-633.605667029405 167.818365727838 679.0000987594</t>
  </si>
  <si>
    <t>-496.921682948172 99.088610384222 765.817275145365</t>
  </si>
  <si>
    <t>-620.342417058346 25.7373625027435 -208.849781892047</t>
  </si>
  <si>
    <t>-512.086211935942 -38.2275339415341 229.153338202364</t>
  </si>
  <si>
    <t>-694.598826661464 33.9007441637175 656.233320589403</t>
  </si>
  <si>
    <t>-578.947794070755 -64.7326685519913 744.77599168455</t>
  </si>
  <si>
    <t>9763-20170724T160711.289676700.bin</t>
  </si>
  <si>
    <t>-590.805087813904 118.638813033144 -225.40653558379</t>
  </si>
  <si>
    <t>-628.212602057793 110.456217376708 -340.304408302305</t>
  </si>
  <si>
    <t>-647.147612015435 95.3513643641759 -459.064225176039</t>
  </si>
  <si>
    <t>-656.7378830574 78.3405505219314 -566.830141783334</t>
  </si>
  <si>
    <t>-659.01767017289 57.7273598870986 -674.369650797745</t>
  </si>
  <si>
    <t>-654.724411445608 25.070627105734 -823.081214396867</t>
  </si>
  <si>
    <t>-639.729963197475 65.9254684492623 -762.591788615191</t>
  </si>
  <si>
    <t>-542.536849277172 176.266090004134 -760.542883560171</t>
  </si>
  <si>
    <t>-419.419929484869 139.422626777824 -471.283589680218</t>
  </si>
  <si>
    <t>-245.824495861453 44.9690154432033 -302.212020640026</t>
  </si>
  <si>
    <t>-673.518121232695 13.1149741979671 -751.970121210242</t>
  </si>
  <si>
    <t>-561.011065557351 210.990481310376 -241.199542555703</t>
  </si>
  <si>
    <t>-571.155211101349 190.596216193067 213.925574773579</t>
  </si>
  <si>
    <t>-633.517802144657 167.986789983556 678.970405056359</t>
  </si>
  <si>
    <t>-497.001757054738 98.9985246689873 765.846731464927</t>
  </si>
  <si>
    <t>-620.469639317749 26.3095399350439 -208.906161018842</t>
  </si>
  <si>
    <t>-511.715700917689 -37.4786586031935 228.999440046324</t>
  </si>
  <si>
    <t>-694.486441894248 34.091829290951 656.081929548051</t>
  </si>
  <si>
    <t>-579.026360462039 -64.7654300749944 744.624160517492</t>
  </si>
  <si>
    <t>9763-20170724T160711.322419400.bin</t>
  </si>
  <si>
    <t>-590.788221043583 118.882181388372 -225.42412350389</t>
  </si>
  <si>
    <t>-628.157437286793 110.720016473361 -340.335868053101</t>
  </si>
  <si>
    <t>-647.100292297451 95.5823614749474 -459.090333691834</t>
  </si>
  <si>
    <t>-656.718738328895 78.5214548470478 -566.845856782104</t>
  </si>
  <si>
    <t>-659.048792244338 57.8387972656972 -674.370917204209</t>
  </si>
  <si>
    <t>-654.849465722386 25.0659555336849 -823.059503103683</t>
  </si>
  <si>
    <t>-639.794842561668 65.9546171870024 -762.607949422434</t>
  </si>
  <si>
    <t>-542.49276009461 176.190751993443 -760.705574644469</t>
  </si>
  <si>
    <t>-418.834193201528 139.487616532321 -471.659479937351</t>
  </si>
  <si>
    <t>-244.031155429635 46.7479996788793 -302.883689914336</t>
  </si>
  <si>
    <t>-673.620187291054 13.179283430987 -751.930859445955</t>
  </si>
  <si>
    <t>-560.926295011562 211.203324289566 -241.206234441462</t>
  </si>
  <si>
    <t>-571.125220845615 190.711394888427 213.91316239253</t>
  </si>
  <si>
    <t>-633.506375976001 168.041691114002 678.963854656859</t>
  </si>
  <si>
    <t>-497.039154712666 98.9601482124922 765.842819255335</t>
  </si>
  <si>
    <t>-620.549453325885 26.5676329943117 -208.968136425086</t>
  </si>
  <si>
    <t>-511.770263532868 -37.3670192216755 228.909795533196</t>
  </si>
  <si>
    <t>-694.467956123585 34.1240718342108 656.041933069502</t>
  </si>
  <si>
    <t>-579.008574039443 -64.7442002234734 744.572762292192</t>
  </si>
  <si>
    <t>9763-20170724T160711.355497000.bin</t>
  </si>
  <si>
    <t>-590.781669674303 119.17458214517 -225.418478279092</t>
  </si>
  <si>
    <t>-628.075424275591 110.999040328552 -340.353853697669</t>
  </si>
  <si>
    <t>-646.98456199209 95.8048194517442 -459.106283886965</t>
  </si>
  <si>
    <t>-656.59337206841 78.673052503749 -566.851372418888</t>
  </si>
  <si>
    <t>-658.937004951334 57.8987323520778 -674.358570208943</t>
  </si>
  <si>
    <t>-654.782856327852 24.9760387219208 -823.015405953748</t>
  </si>
  <si>
    <t>-639.676313947875 65.9052885264232 -762.604166920817</t>
  </si>
  <si>
    <t>-542.232540242708 176.026033987901 -760.844556791375</t>
  </si>
  <si>
    <t>-418.089579805401 139.573081226961 -471.974588499123</t>
  </si>
  <si>
    <t>-241.419299291936 48.8629499232682 -304.042032854879</t>
  </si>
  <si>
    <t>-673.565452118499 13.1814556965562 -751.874666826692</t>
  </si>
  <si>
    <t>-560.929838584333 211.574648975523 -241.183591645437</t>
  </si>
  <si>
    <t>-571.025427965136 190.786411296464 213.924827247013</t>
  </si>
  <si>
    <t>-633.545624840522 168.009151410452 678.962744493095</t>
  </si>
  <si>
    <t>-497.075139074338 98.924637260875 765.834201142211</t>
  </si>
  <si>
    <t>-620.498082810156 26.8125771657881 -209.009510884547</t>
  </si>
  <si>
    <t>-511.824621942435 -37.2824241636238 228.871264914859</t>
  </si>
  <si>
    <t>-694.498866310371 34.0749617383758 656.028023030267</t>
  </si>
  <si>
    <t>-579.001400434265 -64.7519233046082 744.555369532332</t>
  </si>
  <si>
    <t>9763-20170724T160711.424689400.bin</t>
  </si>
  <si>
    <t>-590.761474581255 119.544256004559 -225.442686967491</t>
  </si>
  <si>
    <t>-627.892540673762 111.371473651885 -340.430915327183</t>
  </si>
  <si>
    <t>-646.630795031792 96.2389236400916 -459.218312887211</t>
  </si>
  <si>
    <t>-656.086889511763 79.1737604616008 -566.987591168956</t>
  </si>
  <si>
    <t>-658.283644518237 58.4692653594059 -674.511278131127</t>
  </si>
  <si>
    <t>-653.935969521793 25.6399060189285 -823.18314153979</t>
  </si>
  <si>
    <t>-638.8271400227 66.4815393203733 -762.713395816907</t>
  </si>
  <si>
    <t>-540.898084715556 176.152112632027 -760.809592289818</t>
  </si>
  <si>
    <t>-416.155143573368 139.935751252447 -472.168329983821</t>
  </si>
  <si>
    <t>-237.690735279634 50.8768851313557 -305.252080800284</t>
  </si>
  <si>
    <t>-672.89226829085 13.8501705520273 -752.087645045316</t>
  </si>
  <si>
    <t>-560.995749481763 212.044489205462 -241.127024928345</t>
  </si>
  <si>
    <t>-570.998497479333 191.058241625963 213.974308852276</t>
  </si>
  <si>
    <t>-633.514578759917 168.043079634213 678.903474985495</t>
  </si>
  <si>
    <t>-497.074452003247 98.9669425606053 765.829205935251</t>
  </si>
  <si>
    <t>-620.366547405825 27.156211566532 -209.075828007304</t>
  </si>
  <si>
    <t>-511.263141911252 -36.6697684955977 228.737355852195</t>
  </si>
  <si>
    <t>-694.330683404456 34.1028686357863 655.805250200351</t>
  </si>
  <si>
    <t>-578.914814802881 -64.7026660723238 744.462774014847</t>
  </si>
  <si>
    <t>9763-20170724T160711.488858000.bin</t>
  </si>
  <si>
    <t>-590.791692626613 120.212452820313 -225.483601275868</t>
  </si>
  <si>
    <t>-627.700288386067 111.916638108717 -340.534513678448</t>
  </si>
  <si>
    <t>-646.130276546836 96.8416217118327 -459.377461657375</t>
  </si>
  <si>
    <t>-655.27344111709 79.8891075518718 -567.191458511235</t>
  </si>
  <si>
    <t>-657.12399453861 59.3505133318045 -674.753651773508</t>
  </si>
  <si>
    <t>-652.26188108326 26.8005228488187 -823.470959563023</t>
  </si>
  <si>
    <t>-637.316400425557 67.5000179376252 -762.864845532938</t>
  </si>
  <si>
    <t>-539.030176597915 176.854978310174 -760.458277016883</t>
  </si>
  <si>
    <t>-414.98327655147 138.272190746512 -471.823749328518</t>
  </si>
  <si>
    <t>-235.167856652418 50.3293444756202 -305.767821560055</t>
  </si>
  <si>
    <t>-671.510090427823 14.9056700192766 -752.471438074234</t>
  </si>
  <si>
    <t>-561.219467976803 212.764573021018 -241.137336299367</t>
  </si>
  <si>
    <t>-571.053822419092 191.575044543272 213.958188681881</t>
  </si>
  <si>
    <t>-633.585017087225 167.88549957984 678.860628144506</t>
  </si>
  <si>
    <t>-497.053034920752 99.0618412452111 765.842418658861</t>
  </si>
  <si>
    <t>-620.146142904631 27.7456103074019 -209.130173836393</t>
  </si>
  <si>
    <t>-510.311297611378 -35.5818979560806 228.572462936545</t>
  </si>
  <si>
    <t>-694.053466359903 34.1745871278113 655.420442394013</t>
  </si>
  <si>
    <t>-578.733646905422 -64.5096993198647 744.337596522069</t>
  </si>
  <si>
    <t>9763-20170724T160711.526979800.bin</t>
  </si>
  <si>
    <t>-590.717742064358 120.321310133171 -225.567221952429</t>
  </si>
  <si>
    <t>-627.551022792165 112.025896108924 -340.642462986267</t>
  </si>
  <si>
    <t>-645.809934545205 97.0260309848186 -459.521325073833</t>
  </si>
  <si>
    <t>-654.758526077354 80.1665562966177 -567.366262518132</t>
  </si>
  <si>
    <t>-656.374446855586 59.743221814741 -674.954007728929</t>
  </si>
  <si>
    <t>-651.144653724625 27.3741197177794 -823.698353534934</t>
  </si>
  <si>
    <t>-636.332694165371 67.9898254135919 -763.003300542821</t>
  </si>
  <si>
    <t>-537.875883452754 177.155480095845 -760.188886684527</t>
  </si>
  <si>
    <t>-414.646532786149 137.992430913717 -471.282414474018</t>
  </si>
  <si>
    <t>-234.984307701229 49.0917528835673 -305.571014353247</t>
  </si>
  <si>
    <t>-670.584629645079 15.4030924259253 -752.763946898829</t>
  </si>
  <si>
    <t>-561.122679213179 212.792335101829 -241.180799496069</t>
  </si>
  <si>
    <t>-571.018565445908 191.705036672472 213.918106422785</t>
  </si>
  <si>
    <t>-633.643286514264 167.784723075491 678.840474350696</t>
  </si>
  <si>
    <t>-497.008661251947 99.16739372284 765.824158440301</t>
  </si>
  <si>
    <t>-620.105625084046 27.7954108756269 -209.307035703857</t>
  </si>
  <si>
    <t>-509.825823018832 -35.0001966618788 228.360348342679</t>
  </si>
  <si>
    <t>-693.783076072485 34.0940582285734 655.109675993484</t>
  </si>
  <si>
    <t>-578.776483189883 -64.6184452833215 744.400437012963</t>
  </si>
  <si>
    <t>9763-20170724T160711.587146200.bin</t>
  </si>
  <si>
    <t>-590.779523479646 120.711716764508 -225.517290880263</t>
  </si>
  <si>
    <t>-627.538547897821 112.466468208183 -340.619810045873</t>
  </si>
  <si>
    <t>-645.426922473239 97.6032885137033 -459.572137196117</t>
  </si>
  <si>
    <t>-653.915528279879 80.8978031387012 -567.478204132376</t>
  </si>
  <si>
    <t>-654.944997242596 60.6566059183081 -675.10762661435</t>
  </si>
  <si>
    <t>-648.768068170051 28.5679906145258 -823.876520173138</t>
  </si>
  <si>
    <t>-634.330589298347 69.0613062109553 -763.00973528878</t>
  </si>
  <si>
    <t>-535.630190933352 178.034064459311 -759.39370575959</t>
  </si>
  <si>
    <t>-414.49136592088 138.024542859392 -469.720058593868</t>
  </si>
  <si>
    <t>-234.138789308745 47.3071426915094 -305.752482444034</t>
  </si>
  <si>
    <t>-668.671695617899 16.4711747241229 -753.092184712539</t>
  </si>
  <si>
    <t>-561.075911655101 213.267770239234 -241.087009395814</t>
  </si>
  <si>
    <t>-571.205595139638 192.015649069756 213.999103618218</t>
  </si>
  <si>
    <t>-633.918174041456 167.577830996269 678.991339377576</t>
  </si>
  <si>
    <t>-497.070120794485 99.1456466536604 765.785075744679</t>
  </si>
  <si>
    <t>-620.418336076647 28.2202304087327 -209.173546487767</t>
  </si>
  <si>
    <t>-508.997377889388 -34.4392713102638 228.224238404551</t>
  </si>
  <si>
    <t>-693.573349037182 34.1593264289106 655.022634691778</t>
  </si>
  <si>
    <t>-578.585595310412 -64.445708798426 744.456276224064</t>
  </si>
  <si>
    <t>9763-20170724T160711.627259200.bin</t>
  </si>
  <si>
    <t>-590.95414529839 120.849355274194 -225.309468145485</t>
  </si>
  <si>
    <t>-627.641079178751 112.608846835254 -340.435331756334</t>
  </si>
  <si>
    <t>-645.32243389253 97.7823665165922 -459.423157185999</t>
  </si>
  <si>
    <t>-653.568309265049 81.1196194158013 -567.354754792645</t>
  </si>
  <si>
    <t>-654.299583385671 60.9291981734443 -674.996080857477</t>
  </si>
  <si>
    <t>-647.651186298318 28.9180823367649 -823.761225820495</t>
  </si>
  <si>
    <t>-633.391864120583 69.3703694039727 -762.825390436329</t>
  </si>
  <si>
    <t>-534.690304654393 178.296925550373 -758.859202012567</t>
  </si>
  <si>
    <t>-414.251423919053 138.12024632852 -468.916930395261</t>
  </si>
  <si>
    <t>-234.587697596652 45.9096667436911 -305.026041746669</t>
  </si>
  <si>
    <t>-667.794008911639 16.7935658781848 -753.04935088897</t>
  </si>
  <si>
    <t>-561.10615002783 213.406761357842 -240.913954818302</t>
  </si>
  <si>
    <t>-571.445274319174 192.240300346149 214.171459637008</t>
  </si>
  <si>
    <t>-634.093823790675 167.480789060618 679.14160671258</t>
  </si>
  <si>
    <t>-497.056170387906 99.2246657521637 765.774750885954</t>
  </si>
  <si>
    <t>-620.654691296624 28.3771186373262 -208.948214102958</t>
  </si>
  <si>
    <t>-508.750885406367 -34.1963394971958 228.338657057995</t>
  </si>
  <si>
    <t>-693.613063397571 34.2835349012494 655.104867572749</t>
  </si>
  <si>
    <t>-578.69016612618 -64.5177316534687 744.405187274656</t>
  </si>
  <si>
    <t>9763-20170724T160711.693455700.bin</t>
  </si>
  <si>
    <t>-591.592198515076 121.185717119131 -225.042774773184</t>
  </si>
  <si>
    <t>-628.308948759711 113.021606248235 -340.164635403763</t>
  </si>
  <si>
    <t>-645.723496143263 98.3593620793677 -459.212221950002</t>
  </si>
  <si>
    <t>-653.605509978559 81.8665568203724 -567.196970240114</t>
  </si>
  <si>
    <t>-653.851693667359 61.8596664251731 -674.874755242415</t>
  </si>
  <si>
    <t>-646.405297658265 30.1114803898356 -823.658563773866</t>
  </si>
  <si>
    <t>-632.371243033986 70.3923207919613 -762.556845512595</t>
  </si>
  <si>
    <t>-533.332631532977 178.992890371248 -757.802009474204</t>
  </si>
  <si>
    <t>-415.490485234627 137.039717071594 -467.045450867894</t>
  </si>
  <si>
    <t>-239.843875942152 40.5012651551428 -301.302714309921</t>
  </si>
  <si>
    <t>-667.028911991901 17.9258625385335 -753.095785355881</t>
  </si>
  <si>
    <t>-561.464066176001 213.780288433707 -240.76388847961</t>
  </si>
  <si>
    <t>-571.854584725985 192.493850393161 214.314704602925</t>
  </si>
  <si>
    <t>-634.050033213339 167.51830742635 679.125216730425</t>
  </si>
  <si>
    <t>-497.07846320542 99.1978517961993 765.812118109826</t>
  </si>
  <si>
    <t>-621.721373947562 28.7619020569514 -208.567292520627</t>
  </si>
  <si>
    <t>-508.876685101192 -34.2431180038807 228.41567075567</t>
  </si>
  <si>
    <t>-693.791615796796 34.4602054754373 655.174665351459</t>
  </si>
  <si>
    <t>-578.645795356052 -64.4295812564665 744.089014226642</t>
  </si>
  <si>
    <t>9763-20170724T160711.726550300.bin</t>
  </si>
  <si>
    <t>-591.927376887016 121.473923838083 -224.97450327869</t>
  </si>
  <si>
    <t>-628.565146739643 113.367864320919 -340.125649069704</t>
  </si>
  <si>
    <t>-645.837682847066 98.8056964491141 -459.206176787336</t>
  </si>
  <si>
    <t>-653.565121372763 82.4179045110068 -567.21807237069</t>
  </si>
  <si>
    <t>-653.630246398786 62.5295028605117 -674.918149967111</t>
  </si>
  <si>
    <t>-645.904941994743 30.9585680172545 -823.72531710991</t>
  </si>
  <si>
    <t>-631.939532495308 71.1376850564016 -762.54100970904</t>
  </si>
  <si>
    <t>-532.817112899734 179.652633130803 -757.438429076923</t>
  </si>
  <si>
    <t>-416.018753927314 136.547754266253 -466.429367658181</t>
  </si>
  <si>
    <t>-242.599262045766 38.3046897722991 -299.348439683637</t>
  </si>
  <si>
    <t>-666.706683307503 18.7178680909558 -753.224490898232</t>
  </si>
  <si>
    <t>-561.546111568265 213.956476175333 -240.734227636761</t>
  </si>
  <si>
    <t>-572.089307996894 192.686345184634 214.341665975789</t>
  </si>
  <si>
    <t>-634.056108729558 167.530490258316 679.171636817837</t>
  </si>
  <si>
    <t>-497.142209831743 99.099207827066 765.862190764883</t>
  </si>
  <si>
    <t>-622.210158996024 29.2083830420199 -208.561723651153</t>
  </si>
  <si>
    <t>-509.231681094317 -34.2208666289678 228.32526636039</t>
  </si>
  <si>
    <t>-693.876466700464 34.541798683473 655.169116962775</t>
  </si>
  <si>
    <t>-578.778656081535 -64.5337521861136 743.93874641965</t>
  </si>
  <si>
    <t>9763-20170724T160711.790715700.bin</t>
  </si>
  <si>
    <t>-592.572048303586 122.075805419792 -225.186107480189</t>
  </si>
  <si>
    <t>-629.187182816569 114.262692018176 -340.364744652464</t>
  </si>
  <si>
    <t>-646.178292479558 99.9769362786183 -459.519034719949</t>
  </si>
  <si>
    <t>-653.545188978702 83.826715309129 -567.591969391288</t>
  </si>
  <si>
    <t>-653.143932953473 64.1621087393301 -675.332378365426</t>
  </si>
  <si>
    <t>-644.661969988424 32.8862853773055 -824.160726877922</t>
  </si>
  <si>
    <t>-608.537046874897 1.35322577295506 -914.069800314091</t>
  </si>
  <si>
    <t>-630.941365147749 72.901660258653 -762.813951806168</t>
  </si>
  <si>
    <t>-531.591556135158 181.141364522151 -756.972790497869</t>
  </si>
  <si>
    <t>-416.89890952574 138.422993342049 -465.070586611748</t>
  </si>
  <si>
    <t>-245.111372983429 38.7301512606532 -297.164399212012</t>
  </si>
  <si>
    <t>-665.888581037961 20.5480674527407 -753.803708802553</t>
  </si>
  <si>
    <t>-561.741447227998 214.320008114503 -240.76969328825</t>
  </si>
  <si>
    <t>-572.575582794037 192.960766718011 214.295266329708</t>
  </si>
  <si>
    <t>-634.090006389989 167.565060302223 679.216825476727</t>
  </si>
  <si>
    <t>-497.308167378892 98.8473545044185 765.889293264565</t>
  </si>
  <si>
    <t>-623.329076926122 30.0329317060975 -208.9145522039</t>
  </si>
  <si>
    <t>-510.84693813101 -34.8250280904467 227.89074854216</t>
  </si>
  <si>
    <t>-694.127143632408 34.4927599844516 655.223516775505</t>
  </si>
  <si>
    <t>-578.924939834976 -64.6690970896404 743.761011372296</t>
  </si>
  <si>
    <t>9763-20170724T160711.823373400.bin</t>
  </si>
  <si>
    <t>-592.965963357595 122.297837024067 -225.292796954265</t>
  </si>
  <si>
    <t>-629.562029702987 114.630184400243 -340.487197553591</t>
  </si>
  <si>
    <t>-646.426178387401 100.53862856973 -459.682798445368</t>
  </si>
  <si>
    <t>-653.632066012992 84.5814829151172 -567.795151676043</t>
  </si>
  <si>
    <t>-653.022573031481 65.1263370875702 -675.572630958498</t>
  </si>
  <si>
    <t>-644.201255187052 34.1579416936154 -824.445511685283</t>
  </si>
  <si>
    <t>-607.920496179542 2.74369472080252 -914.333363051837</t>
  </si>
  <si>
    <t>-630.623432660349 74.0482505916857 -762.985618512323</t>
  </si>
  <si>
    <t>-531.248452566991 182.269645889695 -756.701616537106</t>
  </si>
  <si>
    <t>-417.9593936826 139.033752179744 -464.327816161982</t>
  </si>
  <si>
    <t>-246.720178548657 38.9518453153248 -296.09350510291</t>
  </si>
  <si>
    <t>-665.585460336513 21.6726639160684 -754.162113470602</t>
  </si>
  <si>
    <t>-562.006258377706 214.359766087067 -240.799836684619</t>
  </si>
  <si>
    <t>-572.793780254081 192.92466162278 214.262658134837</t>
  </si>
  <si>
    <t>-634.157794574711 167.488100504059 679.237147381103</t>
  </si>
  <si>
    <t>-497.360365485278 98.7690457750459 765.883933070067</t>
  </si>
  <si>
    <t>-623.784850349822 30.3895323918941 -209.168127443987</t>
  </si>
  <si>
    <t>-511.888530896294 -35.5045765646382 227.632599331291</t>
  </si>
  <si>
    <t>-694.235919676936 34.4661429376204 655.2470124491</t>
  </si>
  <si>
    <t>-579.00944827598 -64.7268830066469 743.717991607706</t>
  </si>
  <si>
    <t>9763-20170724T160711.897076800.bin</t>
  </si>
  <si>
    <t>-593.790601797367 122.368938919185 -225.582472451877</t>
  </si>
  <si>
    <t>-630.434865533674 114.998159281072 -340.780908974936</t>
  </si>
  <si>
    <t>-647.075776222353 101.399617809061 -460.065011735079</t>
  </si>
  <si>
    <t>-653.962132960942 85.9563805868929 -568.272918326986</t>
  </si>
  <si>
    <t>-652.912763541012 67.076483671151 -676.14920997578</t>
  </si>
  <si>
    <t>-643.353376686422 36.9656717294172 -825.152510261064</t>
  </si>
  <si>
    <t>-606.665073202878 5.98934926775087 -915.026928061292</t>
  </si>
  <si>
    <t>-630.136586666699 76.536700543081 -763.408173901743</t>
  </si>
  <si>
    <t>-531.041711581943 184.934879965878 -756.003919159583</t>
  </si>
  <si>
    <t>-420.251782519011 139.337056689304 -463.031840982967</t>
  </si>
  <si>
    <t>-249.433742738025 38.6460430337718 -294.732877379968</t>
  </si>
  <si>
    <t>-665.029667372977 24.0408089508919 -755.038288497398</t>
  </si>
  <si>
    <t>-562.991161436268 214.267796131212 -240.760977280162</t>
  </si>
  <si>
    <t>-573.190564548246 192.504475035367 214.299365102513</t>
  </si>
  <si>
    <t>-634.467279315567 167.361581905926 679.454023593431</t>
  </si>
  <si>
    <t>-497.437066920492 98.7592929898829 765.825061992357</t>
  </si>
  <si>
    <t>-624.432030793929 30.573293715712 -209.751863763401</t>
  </si>
  <si>
    <t>-514.099032113764 -37.375968114834 227.131606430997</t>
  </si>
  <si>
    <t>-694.339599916915 34.3399814902689 655.280976844016</t>
  </si>
  <si>
    <t>-579.118421785891 -64.8516730307199 743.760366165839</t>
  </si>
  <si>
    <t>9763-20170724T160711.921780100.bin</t>
  </si>
  <si>
    <t>-594.249128156231 122.331670345213 -225.584417585328</t>
  </si>
  <si>
    <t>-630.961791695622 114.941429924258 -340.759767987283</t>
  </si>
  <si>
    <t>-647.540814608258 101.559260594213 -460.077095605584</t>
  </si>
  <si>
    <t>-654.310156589762 86.400043033738 -568.332434515032</t>
  </si>
  <si>
    <t>-653.079246464146 67.886888057646 -676.27032928512</t>
  </si>
  <si>
    <t>-643.19716449357 38.3673379836132 -825.370815322171</t>
  </si>
  <si>
    <t>-606.276205674464 7.75028621750084 -915.273129571071</t>
  </si>
  <si>
    <t>-630.172753067437 77.7301435229429 -763.452783552865</t>
  </si>
  <si>
    <t>-531.330884369216 186.337925969925 -755.518204217656</t>
  </si>
  <si>
    <t>-421.344857100042 139.535368151247 -462.433277426815</t>
  </si>
  <si>
    <t>-250.356609912603 38.9281560489399 -294.257035181514</t>
  </si>
  <si>
    <t>-664.966551290091 25.1275637324168 -755.344253061151</t>
  </si>
  <si>
    <t>-563.763228828714 214.15069540937 -240.662047199462</t>
  </si>
  <si>
    <t>-573.617202048117 192.330483468563 214.403253025953</t>
  </si>
  <si>
    <t>-634.733503408901 167.278675397028 679.670820581631</t>
  </si>
  <si>
    <t>-497.46503286174 98.8070829819553 765.766797345875</t>
  </si>
  <si>
    <t>-624.56042012514 30.65459932512 -209.844480403469</t>
  </si>
  <si>
    <t>-515.071453865586 -38.1028620353557 227.12492774753</t>
  </si>
  <si>
    <t>-694.440934834399 34.2561727709949 655.446559920566</t>
  </si>
  <si>
    <t>-579.121770631449 -64.8708181668021 743.870772328892</t>
  </si>
  <si>
    <t>9763-20170724T160711.989961500.bin</t>
  </si>
  <si>
    <t>-595.015681337405 122.174273113371 -225.527520954337</t>
  </si>
  <si>
    <t>-631.783855573801 114.591784157765 -340.672657500416</t>
  </si>
  <si>
    <t>-648.36091887621 101.453609551155 -460.017391744654</t>
  </si>
  <si>
    <t>-655.088629403317 86.6937109738817 -568.330484639194</t>
  </si>
  <si>
    <t>-653.765423946537 68.7575731618701 -676.364741908704</t>
  </si>
  <si>
    <t>-643.692164241785 40.2233007209734 -825.644166716117</t>
  </si>
  <si>
    <t>-606.426306800819 10.3888207957243 -915.667073491177</t>
  </si>
  <si>
    <t>-630.962829913296 79.3115939711192 -763.491151583496</t>
  </si>
  <si>
    <t>-533.554633957304 189.1468650916 -755.286337043306</t>
  </si>
  <si>
    <t>-423.362251289522 141.495494840002 -462.415767298912</t>
  </si>
  <si>
    <t>-253.166186625805 40.8518948643955 -293.459419615808</t>
  </si>
  <si>
    <t>-665.335679161887 26.3860918256537 -755.694044474454</t>
  </si>
  <si>
    <t>-565.268144654306 213.923455484041 -240.480328040223</t>
  </si>
  <si>
    <t>-574.72403583113 192.274122573225 214.601590126961</t>
  </si>
  <si>
    <t>-635.147142801887 167.263433389112 680.013175763823</t>
  </si>
  <si>
    <t>-497.517241324446 98.9044718708737 765.620284448879</t>
  </si>
  <si>
    <t>-624.601838505377 30.5289990191723 -209.848214190272</t>
  </si>
  <si>
    <t>-516.360029946128 -38.4543382513962 227.396199834172</t>
  </si>
  <si>
    <t>-694.540156254353 34.4151471834773 656.00703392954</t>
  </si>
  <si>
    <t>-579.153961483881 -64.8523412205868 744.185856397608</t>
  </si>
  <si>
    <t>9763-20170724T160712.021047900.bin</t>
  </si>
  <si>
    <t>-595.322998277331 122.122500780985 -225.471472354084</t>
  </si>
  <si>
    <t>-632.093303407032 114.402841070172 -340.606893471032</t>
  </si>
  <si>
    <t>-648.713727645871 101.341058430113 -459.953932371653</t>
  </si>
  <si>
    <t>-655.48848614269 86.7439522376367 -568.286216414705</t>
  </si>
  <si>
    <t>-654.213724325265 69.0669678753961 -676.363716697043</t>
  </si>
  <si>
    <t>-644.202296754583 40.9954755974736 -825.734872884608</t>
  </si>
  <si>
    <t>-606.829264155443 11.5877101576277 -915.853925224968</t>
  </si>
  <si>
    <t>-631.587715968883 79.9778084280654 -763.492178063088</t>
  </si>
  <si>
    <t>-535.140012786227 190.718014412182 -755.481646052775</t>
  </si>
  <si>
    <t>-425.092573398656 143.747633292417 -462.44645084678</t>
  </si>
  <si>
    <t>-255.903895619259 42.7386087430452 -292.698477418588</t>
  </si>
  <si>
    <t>-665.676478895785 26.8545396605618 -755.793393938997</t>
  </si>
  <si>
    <t>-565.964536147451 213.854837053929 -240.468431191954</t>
  </si>
  <si>
    <t>-575.167315085802 192.226465560791 214.619770080142</t>
  </si>
  <si>
    <t>-635.28538982312 167.255566295323 680.120082324434</t>
  </si>
  <si>
    <t>-497.532811445053 98.9376287908208 765.56247079352</t>
  </si>
  <si>
    <t>-624.480176724064 30.5600010564435 -209.81180276971</t>
  </si>
  <si>
    <t>-516.780525877139 -38.3224015992007 227.582391196788</t>
  </si>
  <si>
    <t>-694.586892219378 34.4650218356896 656.309832545438</t>
  </si>
  <si>
    <t>-579.075942760525 -64.7883735679934 744.341030323574</t>
  </si>
  <si>
    <t>9763-20170724T160712.089229600.bin</t>
  </si>
  <si>
    <t>-595.484220876875 121.932490623169 -225.390090835202</t>
  </si>
  <si>
    <t>-632.300161334962 114.04807480457 -340.499735389374</t>
  </si>
  <si>
    <t>-649.05427988076 101.118149471302 -459.84238925947</t>
  </si>
  <si>
    <t>-655.971011234908 86.7781178712764 -568.199935684083</t>
  </si>
  <si>
    <t>-654.848120061253 69.5041931391875 -676.34440337669</t>
  </si>
  <si>
    <t>-645.046418220541 42.1514202037342 -825.862864012488</t>
  </si>
  <si>
    <t>-607.585112402492 13.5022960348651 -916.189236306589</t>
  </si>
  <si>
    <t>-632.614539324144 80.9986963777801 -763.498936705055</t>
  </si>
  <si>
    <t>-538.27893473052 193.549887630167 -756.025611276924</t>
  </si>
  <si>
    <t>-432.483759410038 149.848690401706 -460.92605454673</t>
  </si>
  <si>
    <t>-263.934919718659 46.9063596570663 -291.7035495645</t>
  </si>
  <si>
    <t>-666.152103092775 27.5097617694551 -755.912140860127</t>
  </si>
  <si>
    <t>-566.651875134337 213.353320889393 -240.41329375905</t>
  </si>
  <si>
    <t>-575.565787280736 191.890443846728 214.688447739202</t>
  </si>
  <si>
    <t>-635.479592665166 167.264516462515 680.259483588499</t>
  </si>
  <si>
    <t>-497.473583768258 99.1746270875076 765.474564966886</t>
  </si>
  <si>
    <t>-624.247334604352 30.4440313164985 -209.738484197528</t>
  </si>
  <si>
    <t>-517.19374634102 -37.5382282722387 227.954982161918</t>
  </si>
  <si>
    <t>-694.514075228734 34.6877803522534 656.848213709961</t>
  </si>
  <si>
    <t>-579.076096016378 -64.7904725274941 744.721200140727</t>
  </si>
  <si>
    <t>9763-20170724T160712.124866500.bin</t>
  </si>
  <si>
    <t>-595.392858859867 121.565623637517 -225.276380164129</t>
  </si>
  <si>
    <t>-632.224018103086 113.616094977873 -340.376633609172</t>
  </si>
  <si>
    <t>-649.014638811983 100.717713662318 -459.717682431847</t>
  </si>
  <si>
    <t>-655.966265407562 86.4579751827193 -568.083667075452</t>
  </si>
  <si>
    <t>-654.874985667817 69.322471854299 -676.250447068111</t>
  </si>
  <si>
    <t>-645.10809103431 42.2282761548911 -825.818233474138</t>
  </si>
  <si>
    <t>-607.626244216263 13.9273785877012 -916.245704732796</t>
  </si>
  <si>
    <t>-632.812090471359 81.0577155591627 -763.416256074288</t>
  </si>
  <si>
    <t>-539.411381834991 194.377455736021 -756.045952408023</t>
  </si>
  <si>
    <t>-436.634730202207 154.199066324728 -459.383161545785</t>
  </si>
  <si>
    <t>-267.284902860619 51.1059563552626 -291.054649693216</t>
  </si>
  <si>
    <t>-666.04715824596 27.3755590915537 -755.861948709957</t>
  </si>
  <si>
    <t>-566.666768567778 212.971258799188 -240.374183979503</t>
  </si>
  <si>
    <t>-575.499451441966 191.584864567863 214.732626545201</t>
  </si>
  <si>
    <t>-635.537270978469 167.241417138667 680.292722751755</t>
  </si>
  <si>
    <t>-497.463000005373 99.2262959255759 765.45695860712</t>
  </si>
  <si>
    <t>-623.987897880104 30.0545192530228 -209.619097352708</t>
  </si>
  <si>
    <t>-517.162838838262 -37.5110771155648 228.194791508753</t>
  </si>
  <si>
    <t>-694.594171702082 34.5332642219671 657.103988305194</t>
  </si>
  <si>
    <t>-578.84029007635 -64.634314814919 744.912534154138</t>
  </si>
  <si>
    <t>9763-20170724T160712.188033400.bin</t>
  </si>
  <si>
    <t>-594.845879683548 120.762325853962 -225.090900426595</t>
  </si>
  <si>
    <t>-631.658762782148 112.766334264734 -340.19383493295</t>
  </si>
  <si>
    <t>-648.506687392369 100.002903009116 -459.541307452633</t>
  </si>
  <si>
    <t>-655.527674088642 85.9669779029498 -567.931958325742</t>
  </si>
  <si>
    <t>-654.513075416558 69.1712834729519 -676.152738115647</t>
  </si>
  <si>
    <t>-644.848405689237 42.6833361630206 -825.835728556983</t>
  </si>
  <si>
    <t>-607.320363451852 15.056996313393 -916.452579424976</t>
  </si>
  <si>
    <t>-632.830210196103 81.4477904421301 -763.339374341068</t>
  </si>
  <si>
    <t>-540.657685714654 195.821575876165 -755.858784403198</t>
  </si>
  <si>
    <t>-447.506696943018 162.479215202457 -455.197129681352</t>
  </si>
  <si>
    <t>-272.932289394805 62.3482690388978 -290.45598167449</t>
  </si>
  <si>
    <t>-665.419273578118 27.359032717543 -755.871877901196</t>
  </si>
  <si>
    <t>-566.372120507124 212.230675154551 -240.219783041747</t>
  </si>
  <si>
    <t>-574.932171079455 190.825585913288 214.891458439075</t>
  </si>
  <si>
    <t>-635.640255969617 167.231879955232 680.398392122272</t>
  </si>
  <si>
    <t>-497.410891117388 99.4067450878908 765.462488749655</t>
  </si>
  <si>
    <t>-623.164604920478 29.2971811513037 -209.407190517972</t>
  </si>
  <si>
    <t>-516.902328201529 -37.7646720061975 228.620979662335</t>
  </si>
  <si>
    <t>-694.527940892605 34.5318808944151 657.415591203941</t>
  </si>
  <si>
    <t>-578.876646773685 -64.7034990372479 745.282712778107</t>
  </si>
  <si>
    <t>9763-20170724T160712.225138600.bin</t>
  </si>
  <si>
    <t>-594.49170334298 120.201349192982 -225.021099008338</t>
  </si>
  <si>
    <t>-631.416730200942 112.161529667125 -340.085017544389</t>
  </si>
  <si>
    <t>-648.354961934804 99.4201483613126 -459.422053203082</t>
  </si>
  <si>
    <t>-655.441575685814 85.4446037096093 -567.816283446056</t>
  </si>
  <si>
    <t>-654.471144270369 68.7573427431898 -676.054172754425</t>
  </si>
  <si>
    <t>-644.840339145757 42.4764877761058 -825.775857093865</t>
  </si>
  <si>
    <t>-607.311752679145 15.1470719817332 -916.482447832103</t>
  </si>
  <si>
    <t>-633.013057735776 81.2724259872325 -763.262481973454</t>
  </si>
  <si>
    <t>-541.487683143121 196.085491024985 -755.557774125585</t>
  </si>
  <si>
    <t>-452.271187187032 165.287252580625 -453.435089585379</t>
  </si>
  <si>
    <t>-269.640715688587 71.1779311802457 -293.962281633799</t>
  </si>
  <si>
    <t>-665.190147181111 26.9376505867547 -755.794822408718</t>
  </si>
  <si>
    <t>-566.256103369553 211.738586258151 -240.133078235586</t>
  </si>
  <si>
    <t>-574.536243273541 190.23941744547 214.978804209649</t>
  </si>
  <si>
    <t>-635.719370087626 167.163184320111 680.452752217403</t>
  </si>
  <si>
    <t>-497.339745349262 99.5745582237546 765.46074461611</t>
  </si>
  <si>
    <t>-622.611437574159 28.6895286460456 -209.283211929309</t>
  </si>
  <si>
    <t>-516.736494958892 -38.0754232299503 228.884116659699</t>
  </si>
  <si>
    <t>-694.567848713391 34.4263635910661 657.587270505564</t>
  </si>
  <si>
    <t>-578.716519075859 -64.5745846165873 745.455314001031</t>
  </si>
  <si>
    <t>9763-20170724T160712.302855500.bin</t>
  </si>
  <si>
    <t>-594.028893269686 119.509782951547 -224.761364024841</t>
  </si>
  <si>
    <t>-631.500269799957 111.300883950671 -339.636630856943</t>
  </si>
  <si>
    <t>-648.76008357149 98.7224672492646 -458.944781902541</t>
  </si>
  <si>
    <t>-656.025034008833 85.0405680594113 -567.364751928473</t>
  </si>
  <si>
    <t>-655.109072023066 68.7975103817091 -675.670717603136</t>
  </si>
  <si>
    <t>-645.414166777606 43.2954830288352 -825.522762434871</t>
  </si>
  <si>
    <t>-607.824627025758 16.6478768062811 -916.406840833248</t>
  </si>
  <si>
    <t>-634.027999352891 81.9979948969419 -762.869756158692</t>
  </si>
  <si>
    <t>-544.289738166981 198.199726751909 -754.712778300192</t>
  </si>
  <si>
    <t>-457.708152516721 166.226661348908 -451.946285803633</t>
  </si>
  <si>
    <t>-255.121886053169 87.7359462066277 -308.977438742685</t>
  </si>
  <si>
    <t>-665.379626614339 27.160800866342 -755.565903438034</t>
  </si>
  <si>
    <t>-566.648729211097 211.384066859716 -239.890656047626</t>
  </si>
  <si>
    <t>-573.348724974974 189.223627697532 215.215510769234</t>
  </si>
  <si>
    <t>-635.858360348657 167.103605556386 680.587300093319</t>
  </si>
  <si>
    <t>-497.292249125862 99.731808497542 765.463549700348</t>
  </si>
  <si>
    <t>-621.265428086276 27.8683583149466 -208.879570762999</t>
  </si>
  <si>
    <t>-515.973121829575 -38.4867405051803 229.490424311403</t>
  </si>
  <si>
    <t>-694.512717903692 34.4917331321187 657.845429780872</t>
  </si>
  <si>
    <t>-578.948690141203 -64.797089231387 745.766957580886</t>
  </si>
  <si>
    <t>9763-20170724T160712.326420500.bin</t>
  </si>
  <si>
    <t>-593.870228249122 119.264878179196 -224.646873396276</t>
  </si>
  <si>
    <t>-631.648254006925 110.923910608028 -339.412105577632</t>
  </si>
  <si>
    <t>-649.213553575517 98.511161672033 -458.692977892072</t>
  </si>
  <si>
    <t>-656.742285621457 85.0994707818372 -567.128776470493</t>
  </si>
  <si>
    <t>-656.070753766526 69.2450421719088 -675.494091037418</t>
  </si>
  <si>
    <t>-646.688778114891 44.4047564976975 -825.477202501482</t>
  </si>
  <si>
    <t>-609.143575265364 18.1292439299384 -916.487941915565</t>
  </si>
  <si>
    <t>-635.342532729122 82.9238488976384 -762.704084192837</t>
  </si>
  <si>
    <t>-546.379285513746 199.697138500938 -754.207999078754</t>
  </si>
  <si>
    <t>-459.509930279206 162.916561842687 -452.070341491603</t>
  </si>
  <si>
    <t>-252.747346913049 89.9097423805508 -312.208571304376</t>
  </si>
  <si>
    <t>-666.337415223908 27.8678569196979 -755.524527409394</t>
  </si>
  <si>
    <t>-567.08424674984 211.320287605772 -239.770088098524</t>
  </si>
  <si>
    <t>-573.056382266966 188.930814018977 215.335052611283</t>
  </si>
  <si>
    <t>-635.94432146168 167.062218744139 680.661217026624</t>
  </si>
  <si>
    <t>-497.250122762795 99.8491020683402 765.454046424771</t>
  </si>
  <si>
    <t>-620.50438191655 27.420934263652 -208.775136915114</t>
  </si>
  <si>
    <t>-515.661453498596 -38.5168588297631 229.7655010177</t>
  </si>
  <si>
    <t>-694.574189367903 34.3041168351949 657.976049569075</t>
  </si>
  <si>
    <t>-578.741490444557 -64.6573419751819 745.913117852266</t>
  </si>
  <si>
    <t>9763-20170724T160712.391599000.bin</t>
  </si>
  <si>
    <t>-593.703432111856 119.083528640771 -224.348686322705</t>
  </si>
  <si>
    <t>-631.753362866067 110.366780365413 -338.996032732465</t>
  </si>
  <si>
    <t>-649.643132982117 98.151982269454 -458.249262317949</t>
  </si>
  <si>
    <t>-657.469856330784 85.1430509143736 -566.712826619311</t>
  </si>
  <si>
    <t>-657.090792883744 69.9074365231029 -675.168310684346</t>
  </si>
  <si>
    <t>-648.10065905952 46.1442023337727 -825.349860969342</t>
  </si>
  <si>
    <t>-610.655949638633 20.4954310574974 -916.580341364056</t>
  </si>
  <si>
    <t>-636.766680083676 84.3070127525571 -762.35734263823</t>
  </si>
  <si>
    <t>-548.165594429259 201.306209333596 -753.195805504887</t>
  </si>
  <si>
    <t>-459.603786966456 154.69665746893 -452.911777902232</t>
  </si>
  <si>
    <t>-249.535006506611 87.3182729692619 -315.168154523168</t>
  </si>
  <si>
    <t>-667.39046833454 29.0102385627501 -755.440966491622</t>
  </si>
  <si>
    <t>-567.899143376467 211.365789996352 -239.613273466405</t>
  </si>
  <si>
    <t>-573.195624196233 189.105563636762 215.506583487085</t>
  </si>
  <si>
    <t>-636.036984377721 167.109027540041 680.805714333356</t>
  </si>
  <si>
    <t>-497.140356247828 100.125185148822 765.448515859105</t>
  </si>
  <si>
    <t>-619.352541490623 26.9135357173357 -208.402244155356</t>
  </si>
  <si>
    <t>-514.879981709649 -37.9952079805046 230.38010645795</t>
  </si>
  <si>
    <t>-694.548942155383 34.3717643964228 658.292011678746</t>
  </si>
  <si>
    <t>-578.853476393031 -64.7694603291804 746.207264060391</t>
  </si>
  <si>
    <t>9763-20170724T160712.423689300.bin</t>
  </si>
  <si>
    <t>-593.77349971095 118.933530333722 -224.181969064104</t>
  </si>
  <si>
    <t>-631.868534345508 110.046607699881 -338.801287039464</t>
  </si>
  <si>
    <t>-649.838296925993 97.9111238862938 -458.050603197607</t>
  </si>
  <si>
    <t>-657.745200028858 85.0709633634006 -566.528437090813</t>
  </si>
  <si>
    <t>-657.450045031807 70.0980454831754 -675.020879825556</t>
  </si>
  <si>
    <t>-648.576482943066 46.7946667988174 -825.281303232852</t>
  </si>
  <si>
    <t>-611.21118129825 21.398572293203 -916.614999327311</t>
  </si>
  <si>
    <t>-637.216387562768 84.7769414159616 -762.184368559157</t>
  </si>
  <si>
    <t>-548.407341347598 201.576788319333 -752.715746642246</t>
  </si>
  <si>
    <t>-457.488883755915 152.86352494845 -453.471559826781</t>
  </si>
  <si>
    <t>-247.950632262685 84.4904274669241 -315.410452066988</t>
  </si>
  <si>
    <t>-667.789012242075 29.4345789712652 -755.406976356597</t>
  </si>
  <si>
    <t>-568.216046332711 211.326723284013 -239.552801557476</t>
  </si>
  <si>
    <t>-573.466777199915 189.339153601539 215.580793236879</t>
  </si>
  <si>
    <t>-636.073420645424 167.130535087133 680.876540991163</t>
  </si>
  <si>
    <t>-497.135002772158 100.153935958694 765.456464058835</t>
  </si>
  <si>
    <t>-619.184702724385 26.5416792116705 -208.148804006682</t>
  </si>
  <si>
    <t>-514.502230867547 -37.7780217547925 230.670356700951</t>
  </si>
  <si>
    <t>-694.575514204023 34.3251590169416 658.416197980479</t>
  </si>
  <si>
    <t>-578.75151908901 -64.6834820151187 746.311615178289</t>
  </si>
  <si>
    <t>9763-20170724T160712.493897900.bin</t>
  </si>
  <si>
    <t>-593.923388710257 118.365884360996 -223.923521190091</t>
  </si>
  <si>
    <t>-632.133911107063 109.366714608991 -338.49574375455</t>
  </si>
  <si>
    <t>-650.249250937924 97.3220539818271 -457.73204924089</t>
  </si>
  <si>
    <t>-658.292707518122 84.6483435902001 -566.219560430558</t>
  </si>
  <si>
    <t>-658.134404466328 69.9266068530446 -674.746586380201</t>
  </si>
  <si>
    <t>-649.446600938062 47.060854662471 -825.085121952301</t>
  </si>
  <si>
    <t>-612.302923195247 21.8760528079465 -916.567614533979</t>
  </si>
  <si>
    <t>-637.997421881423 84.8532457406525 -761.890385853724</t>
  </si>
  <si>
    <t>-548.593899248694 201.196907238132 -752.056792490858</t>
  </si>
  <si>
    <t>-453.0015696079 149.623374597632 -454.754819982484</t>
  </si>
  <si>
    <t>-242.087024597456 79.3543035001946 -319.775705447624</t>
  </si>
  <si>
    <t>-668.583991030897 29.5031752044281 -755.23950881175</t>
  </si>
  <si>
    <t>-568.358491507159 210.699365029919 -239.457611920564</t>
  </si>
  <si>
    <t>-573.675397314277 189.195305744063 215.698319826648</t>
  </si>
  <si>
    <t>-636.138131757673 167.168695267478 681.019211275556</t>
  </si>
  <si>
    <t>-497.140005389525 100.175898012328 765.488191501912</t>
  </si>
  <si>
    <t>-619.368079034652 25.9761524113505 -207.731318588766</t>
  </si>
  <si>
    <t>-514.477809163956 -38.3349360509549 231.039501293317</t>
  </si>
  <si>
    <t>-694.639843425005 34.2489742808837 658.620713286339</t>
  </si>
  <si>
    <t>-578.617768929852 -64.5645751903421 746.474420464435</t>
  </si>
  <si>
    <t>9763-20170724T160712.526016800.bin</t>
  </si>
  <si>
    <t>-594.125962565321 117.973623205962 -223.863920119948</t>
  </si>
  <si>
    <t>-632.385967879921 109.002724633358 -338.421724953565</t>
  </si>
  <si>
    <t>-650.569834819158 97.0111385235755 -457.653021801858</t>
  </si>
  <si>
    <t>-658.68217239472 84.394427104382 -566.142083393819</t>
  </si>
  <si>
    <t>-658.598960332395 69.7383136963053 -674.677861981119</t>
  </si>
  <si>
    <t>-650.021296502352 46.9723589677053 -825.037955333262</t>
  </si>
  <si>
    <t>-612.969835146841 21.8310807011987 -916.569848601672</t>
  </si>
  <si>
    <t>-638.486411205012 84.7016340536104 -761.821214440039</t>
  </si>
  <si>
    <t>-548.646513479256 200.682882933727 -751.832987045533</t>
  </si>
  <si>
    <t>-450.566615564029 147.831494576467 -455.567367042905</t>
  </si>
  <si>
    <t>-241.786843894639 75.2895429782309 -318.488367564481</t>
  </si>
  <si>
    <t>-669.14689419023 29.3895338431616 -755.195439278667</t>
  </si>
  <si>
    <t>-568.504132257889 210.37610051938 -239.433146242937</t>
  </si>
  <si>
    <t>-573.503985514193 188.832643952104 215.724581339846</t>
  </si>
  <si>
    <t>-636.167221648134 167.157477422446 681.057415583422</t>
  </si>
  <si>
    <t>-497.14476002006 100.171625674621 765.491789465177</t>
  </si>
  <si>
    <t>-619.613837869158 25.5396043414703 -207.674136814624</t>
  </si>
  <si>
    <t>-514.738675917813 -38.7954714737396 231.09681911054</t>
  </si>
  <si>
    <t>-694.68706589559 34.212867107673 658.725754804613</t>
  </si>
  <si>
    <t>-578.819590740856 -64.768239223401 746.594876467507</t>
  </si>
  <si>
    <t>9763-20170724T160712.594703100.bin</t>
  </si>
  <si>
    <t>-594.654473019416 117.066036223457 -223.745955780592</t>
  </si>
  <si>
    <t>-633.032185756894 108.296510622387 -338.280005170645</t>
  </si>
  <si>
    <t>-651.282232520286 96.4654645907742 -457.517307191049</t>
  </si>
  <si>
    <t>-659.435219996973 83.9651185246094 -566.016708334296</t>
  </si>
  <si>
    <t>-659.375438948512 69.3905565169991 -674.563677888526</t>
  </si>
  <si>
    <t>-650.815099621004 46.6960902085734 -824.935418649328</t>
  </si>
  <si>
    <t>-613.885493081298 21.524053872799 -916.508121070716</t>
  </si>
  <si>
    <t>-639.089295357931 84.2957843167574 -761.676612008162</t>
  </si>
  <si>
    <t>-548.079287463526 199.341954463406 -751.574732539088</t>
  </si>
  <si>
    <t>-447.382865452548 144.231136238873 -456.601649382307</t>
  </si>
  <si>
    <t>-241.886239495477 69.309571896029 -315.889177912365</t>
  </si>
  <si>
    <t>-670.116257728032 29.1796148732856 -755.124675627476</t>
  </si>
  <si>
    <t>-568.728545590058 209.412096051759 -239.307141901499</t>
  </si>
  <si>
    <t>-573.117474635213 187.941852616351 215.86031791278</t>
  </si>
  <si>
    <t>-636.176533346825 167.192721436418 681.124202391696</t>
  </si>
  <si>
    <t>-497.189358182014 100.088760355669 765.522866294208</t>
  </si>
  <si>
    <t>-620.464956637501 24.7522038030656 -207.527490594426</t>
  </si>
  <si>
    <t>-515.51236020503 -40.0177225208599 231.160900090097</t>
  </si>
  <si>
    <t>-694.841210803318 34.0144991537416 658.895200931881</t>
  </si>
  <si>
    <t>-578.866269060687 -64.821021736396 746.786401770916</t>
  </si>
  <si>
    <t>9763-20170724T160712.623897400.bin</t>
  </si>
  <si>
    <t>-594.999703125152 116.697965275411 -223.709512335118</t>
  </si>
  <si>
    <t>-633.444113914959 108.041274448088 -338.229812661222</t>
  </si>
  <si>
    <t>-651.73326822868 96.2767940820725 -457.467617543952</t>
  </si>
  <si>
    <t>-659.910197785255 83.8209561385347 -565.970323162023</t>
  </si>
  <si>
    <t>-659.862452154102 69.2778829151735 -674.52142849556</t>
  </si>
  <si>
    <t>-651.306383931158 46.6155206873154 -824.898446628854</t>
  </si>
  <si>
    <t>-614.427281296448 21.4248522732969 -916.486279193056</t>
  </si>
  <si>
    <t>-639.529377670417 84.1746503392087 -761.624921837343</t>
  </si>
  <si>
    <t>-548.187186032468 198.999253150854 -751.493808208082</t>
  </si>
  <si>
    <t>-447.183711051957 143.572907357718 -456.684664105404</t>
  </si>
  <si>
    <t>-242.543487620897 68.8843573157994 -314.607017982289</t>
  </si>
  <si>
    <t>-670.655028063838 29.111124020518 -755.097702042292</t>
  </si>
  <si>
    <t>-568.778728590899 209.030129497402 -239.278775102814</t>
  </si>
  <si>
    <t>-573.092594939284 187.595685690782 215.891113673079</t>
  </si>
  <si>
    <t>-636.160722082742 167.236700606534 681.151556122008</t>
  </si>
  <si>
    <t>-497.241828464629 99.9809363268446 765.541832380116</t>
  </si>
  <si>
    <t>-621.121320885636 24.4267416568059 -207.453541493185</t>
  </si>
  <si>
    <t>-515.901913821194 -40.4400996728825 231.156599369391</t>
  </si>
  <si>
    <t>-694.870601639107 34.0187195758988 658.961277993721</t>
  </si>
  <si>
    <t>-578.972866599175 -64.9063453580336 746.853578796204</t>
  </si>
  <si>
    <t>9763-20170724T160712.689071700.bin</t>
  </si>
  <si>
    <t>-595.619120939481 115.920281839416 -223.654588177438</t>
  </si>
  <si>
    <t>-634.135193104973 107.353544039357 -338.157475067045</t>
  </si>
  <si>
    <t>-652.511838933834 95.5479943546834 -457.37790244038</t>
  </si>
  <si>
    <t>-660.774045297947 83.0191713009442 -565.865705511679</t>
  </si>
  <si>
    <t>-660.816229974885 68.3782466386629 -674.403704455996</t>
  </si>
  <si>
    <t>-652.387703600314 45.5639528488898 -824.764859563358</t>
  </si>
  <si>
    <t>-615.573182258797 20.3157344791332 -916.362837046681</t>
  </si>
  <si>
    <t>-640.564400224827 83.1911432429645 -761.540431955259</t>
  </si>
  <si>
    <t>-549.479415720505 198.201708445654 -751.522042354875</t>
  </si>
  <si>
    <t>-447.059335829174 143.781988780098 -457.014351040329</t>
  </si>
  <si>
    <t>-247.835307088406 64.7861438544332 -309.66610483815</t>
  </si>
  <si>
    <t>-671.669658172467 28.1260782897673 -754.928971255884</t>
  </si>
  <si>
    <t>-568.878367394124 208.129480517667 -239.328570241421</t>
  </si>
  <si>
    <t>-573.071964827377 186.941024365083 215.8538977253</t>
  </si>
  <si>
    <t>-636.149758363282 167.295607079933 681.191719486244</t>
  </si>
  <si>
    <t>-497.311142833805 99.838546951323 765.55335935894</t>
  </si>
  <si>
    <t>-622.140420628603 23.836641415186 -207.328995466505</t>
  </si>
  <si>
    <t>-516.74696779128 -41.3886681424817 231.186130969073</t>
  </si>
  <si>
    <t>-695.019607971947 33.85223685187 659.128452730183</t>
  </si>
  <si>
    <t>-579.259055745325 -65.2395840632119 747.013719098267</t>
  </si>
  <si>
    <t>9763-20170724T160712.726191000.bin</t>
  </si>
  <si>
    <t>-595.911382390948 115.501324843424 -223.66744253918</t>
  </si>
  <si>
    <t>-634.519378364362 107.01481331923 -338.145311648064</t>
  </si>
  <si>
    <t>-652.998943580369 95.2299417461463 -457.35177343809</t>
  </si>
  <si>
    <t>-661.358532271528 82.698837934425 -565.831963891769</t>
  </si>
  <si>
    <t>-661.502529190839 68.0363250499545 -674.366855697124</t>
  </si>
  <si>
    <t>-653.219929746905 45.1737295964344 -824.728819112878</t>
  </si>
  <si>
    <t>-616.424707296871 19.9227897213634 -916.33387540132</t>
  </si>
  <si>
    <t>-641.346359299315 82.8271448723926 -761.529513863657</t>
  </si>
  <si>
    <t>-550.436390984701 197.996493442256 -751.684214979171</t>
  </si>
  <si>
    <t>-447.14371662328 144.361223900291 -457.337471472159</t>
  </si>
  <si>
    <t>-251.105078643861 62.8701743754925 -307.103973738117</t>
  </si>
  <si>
    <t>-672.423176916219 27.7521895294099 -754.867122863465</t>
  </si>
  <si>
    <t>-569.124168221312 207.652924332623 -239.338220856808</t>
  </si>
  <si>
    <t>-573.057382129658 186.520043689538 215.849247859972</t>
  </si>
  <si>
    <t>-636.167751561087 167.272454158449 681.204024276207</t>
  </si>
  <si>
    <t>-497.328806558951 99.8019382575392 765.554426411016</t>
  </si>
  <si>
    <t>-622.522381994656 23.5000135167936 -207.376585495949</t>
  </si>
  <si>
    <t>-517.138814169785 -41.8624083782911 231.120546405398</t>
  </si>
  <si>
    <t>-695.073157589103 33.7369923374738 659.16443090871</t>
  </si>
  <si>
    <t>-579.208121864075 -65.1927931301282 747.094533165953</t>
  </si>
  <si>
    <t>9763-20170724T160712.791363500.bin</t>
  </si>
  <si>
    <t>-596.425563257331 114.936205629076 -223.854811887052</t>
  </si>
  <si>
    <t>-635.103694335049 106.563093821953 -338.317420541056</t>
  </si>
  <si>
    <t>-653.820802391682 94.7940905724636 -457.488478615476</t>
  </si>
  <si>
    <t>-662.466036109764 82.2414359365371 -565.94362226283</t>
  </si>
  <si>
    <t>-662.96690402045 67.5239747248274 -674.470078672298</t>
  </si>
  <si>
    <t>-655.254328163292 44.552182844646 -824.845746129581</t>
  </si>
  <si>
    <t>-618.613802893587 19.2518292867198 -916.499172139617</t>
  </si>
  <si>
    <t>-643.155433458725 82.2591327908428 -761.721110268991</t>
  </si>
  <si>
    <t>-552.602053129064 197.736213802039 -752.415547350804</t>
  </si>
  <si>
    <t>-447.775197592237 145.889915619046 -458.290465094107</t>
  </si>
  <si>
    <t>-251.124932431021 64.837705032782 -308.62005147317</t>
  </si>
  <si>
    <t>-674.178411730329 27.1737900183459 -754.897357302876</t>
  </si>
  <si>
    <t>-569.692012444547 206.906015240114 -239.387321530347</t>
  </si>
  <si>
    <t>-573.285689058779 185.900480321309 215.808755085393</t>
  </si>
  <si>
    <t>-636.174584753484 167.306049642103 681.228207498667</t>
  </si>
  <si>
    <t>-497.305107381613 99.8594580098143 765.547466280842</t>
  </si>
  <si>
    <t>-623.025145977271 23.1148550712865 -207.622689999095</t>
  </si>
  <si>
    <t>-517.797325336453 -42.3629606720447 230.894613776309</t>
  </si>
  <si>
    <t>-695.069220089658 33.5391423805129 659.164449847323</t>
  </si>
  <si>
    <t>-579.277711477196 -65.309579391899 747.282358279434</t>
  </si>
  <si>
    <t>9763-20170724T160712.826096700.bin</t>
  </si>
  <si>
    <t>-596.635647884847 114.810556029719 -223.886922668836</t>
  </si>
  <si>
    <t>-635.348504771024 106.491083798057 -338.341685602062</t>
  </si>
  <si>
    <t>-654.177240011094 94.7359885453002 -457.496475830364</t>
  </si>
  <si>
    <t>-662.955727464271 82.1815860762754 -565.940811535518</t>
  </si>
  <si>
    <t>-663.622265494478 67.4492352889174 -674.464414424277</t>
  </si>
  <si>
    <t>-656.173452969017 44.4441054831027 -824.848256477348</t>
  </si>
  <si>
    <t>-619.664094624049 19.1269356214193 -916.549348746349</t>
  </si>
  <si>
    <t>-643.951846552767 82.1584592434351 -761.751670175233</t>
  </si>
  <si>
    <t>-553.419145456632 197.649888213716 -752.580989481651</t>
  </si>
  <si>
    <t>-448.537617101334 146.544756081233 -458.345788192879</t>
  </si>
  <si>
    <t>-252.465902094017 65.2622657786599 -308.042418780882</t>
  </si>
  <si>
    <t>-674.986827588507 27.0878230381272 -754.864444801049</t>
  </si>
  <si>
    <t>-569.868271128822 206.738201403099 -239.417324600928</t>
  </si>
  <si>
    <t>-573.441501009948 185.790085576012 215.781584165512</t>
  </si>
  <si>
    <t>-636.183126259663 167.305823262703 681.233398732842</t>
  </si>
  <si>
    <t>-497.282728011066 99.9085624227318 765.541152884674</t>
  </si>
  <si>
    <t>-623.25617685354 22.9650014758186 -207.705160624318</t>
  </si>
  <si>
    <t>-518.101610387534 -42.4065007899985 230.845585124545</t>
  </si>
  <si>
    <t>-695.146006660748 33.3330400703289 659.225313176662</t>
  </si>
  <si>
    <t>-579.288227596126 -65.3974684896996 747.388648927341</t>
  </si>
  <si>
    <t>9763-20170724T160712.900330000.bin</t>
  </si>
  <si>
    <t>-597.013677446458 114.828720749374 -223.886924750948</t>
  </si>
  <si>
    <t>-635.911899506487 106.62598580313 -338.287294108684</t>
  </si>
  <si>
    <t>-654.996547463019 94.9654235891812 -457.410647097125</t>
  </si>
  <si>
    <t>-664.033402611482 82.4919126154095 -565.843042288108</t>
  </si>
  <si>
    <t>-664.983553320584 67.8387924286258 -674.375285878265</t>
  </si>
  <si>
    <t>-657.953119040238 44.9447012753501 -824.796091920497</t>
  </si>
  <si>
    <t>-621.787004979057 19.662006424089 -916.642668240269</t>
  </si>
  <si>
    <t>-645.54676968691 82.6075624205193 -761.704826127336</t>
  </si>
  <si>
    <t>-554.934708692862 198.047033302231 -752.453422133757</t>
  </si>
  <si>
    <t>-450.73190241135 145.470944338046 -458.236302529124</t>
  </si>
  <si>
    <t>-255.711505979648 64.0786792758101 -306.630164412774</t>
  </si>
  <si>
    <t>-676.580925300162 27.5417448190458 -754.774250735627</t>
  </si>
  <si>
    <t>-570.128061317685 206.722963136943 -239.435793282929</t>
  </si>
  <si>
    <t>-573.399137941083 185.635334722124 215.758956748204</t>
  </si>
  <si>
    <t>-636.162364287747 167.369240499719 681.240174145503</t>
  </si>
  <si>
    <t>-497.301513090922 99.869756586151 765.531275407228</t>
  </si>
  <si>
    <t>-623.78029020513 23.0098152469793 -207.703213452617</t>
  </si>
  <si>
    <t>-518.469111282165 -42.4487790440191 230.796962959357</t>
  </si>
  <si>
    <t>-695.125328183231 33.3267081051467 659.33151625691</t>
  </si>
  <si>
    <t>-579.364043176547 -65.4556137418722 747.563515371235</t>
  </si>
  <si>
    <t>9763-20170724T160712.922391500.bin</t>
  </si>
  <si>
    <t>-597.189173909845 114.901256406883 -223.79043863111</t>
  </si>
  <si>
    <t>-636.19490272509 106.703371073449 -338.15454745666</t>
  </si>
  <si>
    <t>-655.333534463036 95.0867140251717 -457.273664867477</t>
  </si>
  <si>
    <t>-664.395034893275 82.666223519434 -565.710036491432</t>
  </si>
  <si>
    <t>-665.34504806511 68.0776426616858 -674.250946942105</t>
  </si>
  <si>
    <t>-658.288306443109 45.2837316821901 -824.685747607941</t>
  </si>
  <si>
    <t>-622.214425476382 20.0898253915807 -916.59297008469</t>
  </si>
  <si>
    <t>-645.88099173517 82.8979717095706 -761.565715655993</t>
  </si>
  <si>
    <t>-555.059574872641 198.125502892353 -752.054008030354</t>
  </si>
  <si>
    <t>-450.765480403574 144.669521733905 -458.027894476905</t>
  </si>
  <si>
    <t>-255.36841825798 63.9597444292872 -306.541993083651</t>
  </si>
  <si>
    <t>-676.940344126851 27.840752039717 -754.680409836632</t>
  </si>
  <si>
    <t>-570.312056139255 206.830947335062 -239.374819397929</t>
  </si>
  <si>
    <t>-573.297866538415 185.597506134873 215.815171781679</t>
  </si>
  <si>
    <t>-636.186261465634 167.349333654691 681.262579028375</t>
  </si>
  <si>
    <t>-497.266182545288 99.9470459990382 765.533868898115</t>
  </si>
  <si>
    <t>-623.896739097835 23.0384392194258 -207.555913808758</t>
  </si>
  <si>
    <t>-518.379390443974 -42.4772538755931 230.886219984127</t>
  </si>
  <si>
    <t>-695.10217926821 33.3739845189239 659.362496349862</t>
  </si>
  <si>
    <t>-579.453505997976 -65.5083130901191 747.630213595244</t>
  </si>
  <si>
    <t>9763-20170724T160712.995597400.bin</t>
  </si>
  <si>
    <t>-597.54008091989 114.527462179551 -223.661165965338</t>
  </si>
  <si>
    <t>-636.69220128197 106.180833004992 -337.964601349533</t>
  </si>
  <si>
    <t>-656.043570277227 94.5846393853451 -457.051126707343</t>
  </si>
  <si>
    <t>-665.320797043705 82.2426938071749 -565.478334519758</t>
  </si>
  <si>
    <t>-666.507447587902 67.7876572016107 -674.034762818618</t>
  </si>
  <si>
    <t>-659.800012655108 45.2309563134513 -824.521429077393</t>
  </si>
  <si>
    <t>-623.963428173782 20.1897706755269 -916.56300805254</t>
  </si>
  <si>
    <t>-647.212735646727 82.7272428010385 -761.366685426564</t>
  </si>
  <si>
    <t>-556.187501141884 197.874013717844 -751.826772701886</t>
  </si>
  <si>
    <t>-447.970469957324 143.670942413232 -459.359158757911</t>
  </si>
  <si>
    <t>-250.463238277036 64.3153825927861 -309.908070042957</t>
  </si>
  <si>
    <t>-678.323010745661 27.6958838349628 -754.504667790213</t>
  </si>
  <si>
    <t>-570.848095202304 206.631696487066 -239.347681458041</t>
  </si>
  <si>
    <t>-573.543816294055 185.552613650714 215.851314021247</t>
  </si>
  <si>
    <t>-636.128935390519 167.364661020814 681.218461599976</t>
  </si>
  <si>
    <t>-497.175446727608 100.113426584659 765.555351128023</t>
  </si>
  <si>
    <t>-624.066108366914 22.49372394484 -207.295145773903</t>
  </si>
  <si>
    <t>-517.720030057967 -42.3997367493876 231.039244791862</t>
  </si>
  <si>
    <t>-695.113754772659 33.2213366139647 659.316441387767</t>
  </si>
  <si>
    <t>-579.277672562468 -65.3820679659541 747.650364549589</t>
  </si>
  <si>
    <t>9763-20170724T160713.022675600.bin</t>
  </si>
  <si>
    <t>-597.741985211794 114.541490274085 -223.651032313218</t>
  </si>
  <si>
    <t>-636.926136302269 106.112219324779 -337.937157981893</t>
  </si>
  <si>
    <t>-656.425618039096 94.4311965171471 -456.99151208935</t>
  </si>
  <si>
    <t>-665.885303437581 82.0088599835531 -565.393643005565</t>
  </si>
  <si>
    <t>-667.303968829855 67.4673013673057 -673.935697777991</t>
  </si>
  <si>
    <t>-660.970628636547 44.7825040105945 -824.419360687097</t>
  </si>
  <si>
    <t>-625.290590206041 19.7162388970596 -916.514848258919</t>
  </si>
  <si>
    <t>-648.188183768936 82.3115724731765 -761.323308689786</t>
  </si>
  <si>
    <t>-557.134444479676 197.404118679459 -752.10403815265</t>
  </si>
  <si>
    <t>-446.805700371625 144.036201265094 -460.272596262349</t>
  </si>
  <si>
    <t>-248.605542693544 64.9648966990219 -311.590144872486</t>
  </si>
  <si>
    <t>-679.357698965281 27.3280620911628 -754.346638488123</t>
  </si>
  <si>
    <t>-571.176607836424 206.723467014989 -239.391652628107</t>
  </si>
  <si>
    <t>-573.858735039276 185.757811978821 215.812590414716</t>
  </si>
  <si>
    <t>-636.089224553124 167.402481406083 681.224298681885</t>
  </si>
  <si>
    <t>-497.158585617395 100.133715550877 765.584831995695</t>
  </si>
  <si>
    <t>-624.175140054617 22.4840511288849 -207.21498093969</t>
  </si>
  <si>
    <t>-517.435388967082 -42.1562299754394 231.061108167179</t>
  </si>
  <si>
    <t>-695.061567023069 33.3026932169525 659.271578854876</t>
  </si>
  <si>
    <t>-579.330348764015 -65.4125425868262 747.618062600324</t>
  </si>
  <si>
    <t>9763-20170724T160713.091861600.bin</t>
  </si>
  <si>
    <t>-598.240220602728 114.810331626736 -223.631571972531</t>
  </si>
  <si>
    <t>-637.576532223243 106.430410113185 -337.869172652461</t>
  </si>
  <si>
    <t>-657.362119306629 94.6468553806533 -456.865941651826</t>
  </si>
  <si>
    <t>-667.140167942535 82.0660288297433 -565.221678518601</t>
  </si>
  <si>
    <t>-668.939354249369 67.2989101361727 -673.727702984589</t>
  </si>
  <si>
    <t>-663.202373462267 44.2289307422986 -824.176481590559</t>
  </si>
  <si>
    <t>-627.884747075516 19.0082635611873 -916.369653494636</t>
  </si>
  <si>
    <t>-650.054921584736 81.855645017424 -761.213961135608</t>
  </si>
  <si>
    <t>-558.759681302183 196.784462658476 -752.493110691875</t>
  </si>
  <si>
    <t>-447.817827909262 144.292442682414 -460.735142419367</t>
  </si>
  <si>
    <t>-249.431093470192 65.4400824250472 -312.185148201455</t>
  </si>
  <si>
    <t>-681.426646706529 27.0177802759779 -754.001270003884</t>
  </si>
  <si>
    <t>-571.583630570829 207.132324208186 -239.401462184266</t>
  </si>
  <si>
    <t>-574.174906446667 186.107991518658 215.800672195497</t>
  </si>
  <si>
    <t>-636.094399918818 167.454652680079 681.303043657139</t>
  </si>
  <si>
    <t>-497.094238939234 100.259824091052 765.60796268568</t>
  </si>
  <si>
    <t>-624.785642753541 22.5244216853207 -207.205080485615</t>
  </si>
  <si>
    <t>-517.537184560249 -41.7674203267698 230.998053764424</t>
  </si>
  <si>
    <t>-695.152762268412 33.277389849148 659.308509520535</t>
  </si>
  <si>
    <t>-579.366726205727 -65.452736196017 747.566459769013</t>
  </si>
  <si>
    <t>9763-20170724T160713.123962800.bin</t>
  </si>
  <si>
    <t>-598.45161842517 115.055625956568 -223.506464960956</t>
  </si>
  <si>
    <t>-637.864697331841 106.730071038804 -337.721634160256</t>
  </si>
  <si>
    <t>-657.712803151158 94.9944455508162 -456.712745774584</t>
  </si>
  <si>
    <t>-667.541144799865 82.4527836555499 -565.068414461435</t>
  </si>
  <si>
    <t>-669.384376274655 67.7200239510137 -673.578503724004</t>
  </si>
  <si>
    <t>-663.701876664385 44.6925592794967 -824.03594663118</t>
  </si>
  <si>
    <t>-628.479015534936 19.4523100765393 -916.259906429905</t>
  </si>
  <si>
    <t>-650.453517256301 82.2579230871108 -761.057738167153</t>
  </si>
  <si>
    <t>-558.847046246164 196.893825471923 -752.370302210476</t>
  </si>
  <si>
    <t>-448.356492900756 144.358283580958 -460.449006720176</t>
  </si>
  <si>
    <t>-250.116495706764 66.017151867183 -311.433402089548</t>
  </si>
  <si>
    <t>-681.978848393026 27.5051268813118 -753.868514044971</t>
  </si>
  <si>
    <t>-571.554726951625 207.373213469317 -239.345979305022</t>
  </si>
  <si>
    <t>-574.104787733935 186.200723831133 215.849534711743</t>
  </si>
  <si>
    <t>-636.066119892024 167.559946378771 681.334993930747</t>
  </si>
  <si>
    <t>-497.161019476218 100.130864341992 765.609534558058</t>
  </si>
  <si>
    <t>-625.241894825519 22.7311639331556 -207.042130489411</t>
  </si>
  <si>
    <t>-517.717703837171 -41.8832308377125 231.046042354008</t>
  </si>
  <si>
    <t>-695.229468242062 33.2459897241147 659.353620138904</t>
  </si>
  <si>
    <t>-579.362432478757 -65.4402567768705 747.554332966558</t>
  </si>
  <si>
    <t>9763-20170724T160713.188139200.bin</t>
  </si>
  <si>
    <t>-598.794080607062 115.135542546484 -223.338591366401</t>
  </si>
  <si>
    <t>-638.46346149914 107.016981417132 -337.479848110012</t>
  </si>
  <si>
    <t>-658.596173885268 95.4842235438077 -456.442997253609</t>
  </si>
  <si>
    <t>-668.68999862221 83.1293781006948 -564.795782622446</t>
  </si>
  <si>
    <t>-670.803803029632 68.5911801103707 -673.326947301308</t>
  </si>
  <si>
    <t>-665.499542834345 45.8458591820915 -823.841106815041</t>
  </si>
  <si>
    <t>-630.547131785897 20.517862847764 -916.144010555306</t>
  </si>
  <si>
    <t>-651.95041446309 83.2129271148021 -760.809064899905</t>
  </si>
  <si>
    <t>-559.678286450777 197.404142715479 -752.077951711408</t>
  </si>
  <si>
    <t>-450.32907249064 143.743931106385 -459.931461267691</t>
  </si>
  <si>
    <t>-252.148094456145 67.0984425204297 -309.958801399759</t>
  </si>
  <si>
    <t>-683.742633035512 28.6069747719366 -753.677634054505</t>
  </si>
  <si>
    <t>-571.274297356087 207.291576143406 -239.253657803192</t>
  </si>
  <si>
    <t>-574.020123776626 186.053019422546 215.937602752914</t>
  </si>
  <si>
    <t>-636.088900605225 167.617593559827 681.401834286521</t>
  </si>
  <si>
    <t>-497.249390250923 99.9665258196694 765.606580144822</t>
  </si>
  <si>
    <t>-626.200138468973 23.0507346369118 -206.72193082365</t>
  </si>
  <si>
    <t>-518.250418373698 -42.5175801922965 231.119729283016</t>
  </si>
  <si>
    <t>-695.302154581249 33.3005665453584 659.434673026514</t>
  </si>
  <si>
    <t>-579.520896527074 -65.5416591113483 747.573372397465</t>
  </si>
  <si>
    <t>9763-20170724T160713.222231600.bin</t>
  </si>
  <si>
    <t>-599.023382605594 115.126083627362 -223.201691312772</t>
  </si>
  <si>
    <t>-638.775433917418 107.101042491076 -337.320716311224</t>
  </si>
  <si>
    <t>-659.016773266104 95.5873351255807 -456.26746144042</t>
  </si>
  <si>
    <t>-669.219991749499 83.22325285236 -564.608867959673</t>
  </si>
  <si>
    <t>-671.454392838277 68.652138594633 -673.133182415485</t>
  </si>
  <si>
    <t>-666.329510859892 45.8384928530445 -823.643193666208</t>
  </si>
  <si>
    <t>-631.512291437642 20.414057125771 -915.970664097789</t>
  </si>
  <si>
    <t>-652.62757620493 83.1899561400221 -760.634926136023</t>
  </si>
  <si>
    <t>-560.115388240725 197.166722283064 -752.007643327865</t>
  </si>
  <si>
    <t>-450.728142977228 143.475886526847 -459.881160993432</t>
  </si>
  <si>
    <t>-252.077144954677 67.7451101861466 -310.065770656943</t>
  </si>
  <si>
    <t>-684.566674827519 28.6756636533405 -753.459547687509</t>
  </si>
  <si>
    <t>-571.13031585 207.265057747181 -239.229512200724</t>
  </si>
  <si>
    <t>-574.068566177487 186.042862503253 215.96123055899</t>
  </si>
  <si>
    <t>-636.027710174249 167.758588954684 681.421805267415</t>
  </si>
  <si>
    <t>-497.313123376883 99.8337931333576 765.612004481599</t>
  </si>
  <si>
    <t>-626.783843712932 23.0576780492113 -206.53474366596</t>
  </si>
  <si>
    <t>-518.463007473527 -42.8458825021503 231.164923368957</t>
  </si>
  <si>
    <t>-695.358766783298 33.2838326983597 659.475562045007</t>
  </si>
  <si>
    <t>-579.618425084275 -65.6341444733175 747.58298603741</t>
  </si>
  <si>
    <t>9763-20170724T160713.290412700.bin</t>
  </si>
  <si>
    <t>-599.561279479933 114.880469815075 -223.251613666412</t>
  </si>
  <si>
    <t>-639.490452692072 107.152924822069 -337.329376352249</t>
  </si>
  <si>
    <t>-659.987579646895 95.8462986486793 -456.251956864849</t>
  </si>
  <si>
    <t>-670.455494018024 83.6326678181899 -564.585343482155</t>
  </si>
  <si>
    <t>-672.987964170034 69.1767333197911 -673.11854891458</t>
  </si>
  <si>
    <t>-668.312182097061 46.4872523243791 -823.661960933754</t>
  </si>
  <si>
    <t>-633.678989317353 20.9824216263755 -916.036386464713</t>
  </si>
  <si>
    <t>-654.244897248167 83.6849083918644 -760.643278067094</t>
  </si>
  <si>
    <t>-560.958979117269 197.057238350525 -752.444913440006</t>
  </si>
  <si>
    <t>-450.633703646286 144.572259516483 -460.451999630622</t>
  </si>
  <si>
    <t>-252.331180432059 68.1318775539155 -310.535267160419</t>
  </si>
  <si>
    <t>-686.517253177394 29.3683698211837 -753.459127493083</t>
  </si>
  <si>
    <t>-571.060370528326 206.770312027568 -239.263069468826</t>
  </si>
  <si>
    <t>-573.982788644779 185.572852151819 215.929020943044</t>
  </si>
  <si>
    <t>-636.022508970464 167.77158482143 681.436426185103</t>
  </si>
  <si>
    <t>-497.412201406481 99.6156511685774 765.611643525866</t>
  </si>
  <si>
    <t>-627.906061879368 23.1131916311042 -206.597990699689</t>
  </si>
  <si>
    <t>-519.175270138177 -43.5327483359683 230.887564496225</t>
  </si>
  <si>
    <t>-695.328120344703 33.3118459287898 659.403675332494</t>
  </si>
  <si>
    <t>-579.821378666474 -65.7965189929128 747.603632879838</t>
  </si>
  <si>
    <t>9763-20170724T160713.321499400.bin</t>
  </si>
  <si>
    <t>-599.916305195384 114.735723680765 -223.354007067903</t>
  </si>
  <si>
    <t>-639.954060673356 107.219763948666 -337.407910473919</t>
  </si>
  <si>
    <t>-660.693016685939 96.0841221401306 -456.304711101423</t>
  </si>
  <si>
    <t>-671.434515837445 84.0118127095941 -564.627100709178</t>
  </si>
  <si>
    <t>-674.294760787102 69.6864641314385 -673.16963485503</t>
  </si>
  <si>
    <t>-670.129637915119 47.1694827462293 -823.753907068917</t>
  </si>
  <si>
    <t>-635.696545760631 21.6364197684982 -916.195304063935</t>
  </si>
  <si>
    <t>-655.775326855265 84.2524279722713 -760.7323122286</t>
  </si>
  <si>
    <t>-562.098020812549 197.351017990258 -752.801553481414</t>
  </si>
  <si>
    <t>-451.398139351931 144.925543030587 -460.939742780292</t>
  </si>
  <si>
    <t>-252.475785790361 68.934438178778 -311.61693680836</t>
  </si>
  <si>
    <t>-688.169815435902 30.0126759176305 -753.517666898729</t>
  </si>
  <si>
    <t>-571.142497393184 206.449913956547 -239.285061588868</t>
  </si>
  <si>
    <t>-573.942077754815 185.149585961399 215.902926363095</t>
  </si>
  <si>
    <t>-636.037256176722 167.726076144707 681.423856532836</t>
  </si>
  <si>
    <t>-497.424139842898 99.5780785812713 765.600817070696</t>
  </si>
  <si>
    <t>-628.5743989588 23.1350774348016 -206.741460183642</t>
  </si>
  <si>
    <t>-519.80327299958 -43.7423561605924 230.698731354365</t>
  </si>
  <si>
    <t>-695.365794682858 33.2636835421945 659.432680828849</t>
  </si>
  <si>
    <t>-579.932631869647 -65.9081111641874 747.657673752236</t>
  </si>
  <si>
    <t>9763-20170724T160713.391685800.bin</t>
  </si>
  <si>
    <t>-600.802275869164 114.751359916159 -223.395028930708</t>
  </si>
  <si>
    <t>-641.030361592346 107.654370001461 -337.408768848845</t>
  </si>
  <si>
    <t>-662.328181594516 96.6257345518445 -456.216811123172</t>
  </si>
  <si>
    <t>-673.730127332113 84.5460074929974 -564.470734980728</t>
  </si>
  <si>
    <t>-677.405955833332 70.1232597918747 -672.975672924552</t>
  </si>
  <si>
    <t>-674.534138885565 47.3895409444042 -823.557602160838</t>
  </si>
  <si>
    <t>-640.816269798222 21.7058869386137 -916.220802605724</t>
  </si>
  <si>
    <t>-659.611731754964 84.5470060026121 -760.712114183735</t>
  </si>
  <si>
    <t>-565.921052052649 197.665004202274 -753.526501980994</t>
  </si>
  <si>
    <t>-454.535900924159 143.968777297808 -462.156846657601</t>
  </si>
  <si>
    <t>-256.090389566274 68.453533896773 -311.960653968404</t>
  </si>
  <si>
    <t>-691.997945859648 30.3499879016729 -753.147530382699</t>
  </si>
  <si>
    <t>-571.374191625082 206.311437485189 -239.275540000501</t>
  </si>
  <si>
    <t>-573.843005782108 184.616633065898 215.895797370555</t>
  </si>
  <si>
    <t>-636.005656864974 167.799622818652 681.42618018254</t>
  </si>
  <si>
    <t>-497.55665606229 99.3056130591121 765.592446924568</t>
  </si>
  <si>
    <t>-630.042339458832 23.3197505366884 -206.894685539106</t>
  </si>
  <si>
    <t>-521.216859736861 -44.2837673697381 230.420396096743</t>
  </si>
  <si>
    <t>-695.520688788135 33.1718983837552 659.5976574058</t>
  </si>
  <si>
    <t>-580.094024632642 -66.0451387014434 747.780279201384</t>
  </si>
  <si>
    <t>9763-20170724T160713.421772200.bin</t>
  </si>
  <si>
    <t>-601.165511128926 114.92740344715 -223.394270523808</t>
  </si>
  <si>
    <t>-641.588274238568 107.993376119958 -337.349288327592</t>
  </si>
  <si>
    <t>-663.136028090144 96.9636309649979 -456.112038036849</t>
  </si>
  <si>
    <t>-674.78740613126 84.823929086911 -564.332811935939</t>
  </si>
  <si>
    <t>-678.736285526523 70.2871034091086 -672.812839250281</t>
  </si>
  <si>
    <t>-676.268348645483 47.3430708142848 -823.370145722421</t>
  </si>
  <si>
    <t>-642.856305472929 21.6881155624621 -916.151772849758</t>
  </si>
  <si>
    <t>-661.195985401702 84.5991365225252 -760.618686722361</t>
  </si>
  <si>
    <t>-567.591361157286 197.762010636716 -753.753232583661</t>
  </si>
  <si>
    <t>-455.541578987043 144.149691427117 -462.623155240963</t>
  </si>
  <si>
    <t>-257.13847842589 68.7523263261953 -312.311797457141</t>
  </si>
  <si>
    <t>-693.524553208756 30.3912066412206 -752.887729570517</t>
  </si>
  <si>
    <t>-571.558095493833 206.547530955897 -239.240972234365</t>
  </si>
  <si>
    <t>-573.798332501549 184.655862562332 215.92211345036</t>
  </si>
  <si>
    <t>-635.970556227246 167.88224092072 681.435490903199</t>
  </si>
  <si>
    <t>-497.614612739544 99.1940925360095 765.59652731285</t>
  </si>
  <si>
    <t>-630.585118538371 23.4482351844567 -206.870303405299</t>
  </si>
  <si>
    <t>-521.726573229583 -44.65978377387 230.35825498409</t>
  </si>
  <si>
    <t>-695.667201699346 33.003223516889 659.679653535836</t>
  </si>
  <si>
    <t>-580.099183947417 -66.0825469397537 747.824727918873</t>
  </si>
  <si>
    <t>9763-20170724T160713.490956400.bin</t>
  </si>
  <si>
    <t>-601.510757773771 115.698973018044 -223.334698096405</t>
  </si>
  <si>
    <t>-642.054586431571 108.784133630165 -337.247833468201</t>
  </si>
  <si>
    <t>-663.909252610118 97.7120438168547 -455.950563615723</t>
  </si>
  <si>
    <t>-675.915655321239 85.512266227767 -564.125820572063</t>
  </si>
  <si>
    <t>-680.297140560079 70.8956318136791 -672.578520041289</t>
  </si>
  <si>
    <t>-678.511162865518 47.8213175647245 -823.125555525308</t>
  </si>
  <si>
    <t>-645.507121168157 22.3402481114877 -916.100969178887</t>
  </si>
  <si>
    <t>-663.151359922972 85.1295109076411 -760.474971720845</t>
  </si>
  <si>
    <t>-569.488938766612 198.304769029146 -754.182303301531</t>
  </si>
  <si>
    <t>-455.612977749566 145.701317325654 -463.577219136569</t>
  </si>
  <si>
    <t>-258.038728336088 69.0565318297308 -312.805692754095</t>
  </si>
  <si>
    <t>-695.451364031633 30.932558630672 -752.551379143725</t>
  </si>
  <si>
    <t>-571.842623144249 207.43222387481 -239.186771794254</t>
  </si>
  <si>
    <t>-573.948198184073 185.315544563966 215.965982994967</t>
  </si>
  <si>
    <t>-635.886237768393 168.065607541828 681.456986976557</t>
  </si>
  <si>
    <t>-497.70207561122 99.0240424503834 765.611070422355</t>
  </si>
  <si>
    <t>-630.94407732662 24.0808962382034 -206.782302365318</t>
  </si>
  <si>
    <t>-521.947667909959 -44.7431001874477 230.299715249849</t>
  </si>
  <si>
    <t>-695.708223984348 33.0063137326629 659.69183982238</t>
  </si>
  <si>
    <t>-580.249076839875 -66.1740929808097 747.873142531617</t>
  </si>
  <si>
    <t>9763-20170724T160713.522584400.bin</t>
  </si>
  <si>
    <t>-601.566916225396 116.122843936561 -223.279732474236</t>
  </si>
  <si>
    <t>-642.074315552985 109.103498806592 -337.199348064999</t>
  </si>
  <si>
    <t>-664.041408523799 97.930499576883 -455.871983175427</t>
  </si>
  <si>
    <t>-676.212104073815 85.6409179355699 -564.018536220701</t>
  </si>
  <si>
    <t>-680.821608658152 70.9351170324248 -672.449850711486</t>
  </si>
  <si>
    <t>-679.418891718749 47.7373437961612 -822.981946382419</t>
  </si>
  <si>
    <t>-646.587797342511 22.2584936700173 -916.019059368649</t>
  </si>
  <si>
    <t>-663.878966356455 85.084827908782 -760.399217530962</t>
  </si>
  <si>
    <t>-570.166445204275 198.266041110664 -754.426238300732</t>
  </si>
  <si>
    <t>-455.625879896367 145.705658205138 -464.074518134384</t>
  </si>
  <si>
    <t>-258.210002556823 68.4083889575586 -313.428757567779</t>
  </si>
  <si>
    <t>-696.200108624063 30.9184841880315 -752.352963672983</t>
  </si>
  <si>
    <t>-571.975066079989 207.878090647109 -239.200787004948</t>
  </si>
  <si>
    <t>-574.142147046852 185.784361129415 215.952945792938</t>
  </si>
  <si>
    <t>-635.824553651052 168.151181757468 681.442807669727</t>
  </si>
  <si>
    <t>-497.713499204836 98.9905520260061 765.619076811358</t>
  </si>
  <si>
    <t>-630.926131225589 24.4078716820625 -206.711432794616</t>
  </si>
  <si>
    <t>-521.782307290348 -44.3488586898602 230.344425965425</t>
  </si>
  <si>
    <t>-695.74123334965 32.9454425319514 659.702023938285</t>
  </si>
  <si>
    <t>-580.244893739543 -66.1950798185219 747.879499393681</t>
  </si>
  <si>
    <t>9763-20170724T160713.592769700.bin</t>
  </si>
  <si>
    <t>-601.490730255555 116.817251463994 -223.216446704219</t>
  </si>
  <si>
    <t>-642.034313935957 109.64148230592 -337.113446272081</t>
  </si>
  <si>
    <t>-664.245057843764 98.331944499366 -455.72780556657</t>
  </si>
  <si>
    <t>-676.724013443653 85.9206306099181 -563.825305133972</t>
  </si>
  <si>
    <t>-681.731541220818 71.090752758081 -672.221966447754</t>
  </si>
  <si>
    <t>-680.977069250482 47.7140310931238 -822.731074285026</t>
  </si>
  <si>
    <t>-648.427247876724 22.1810428094748 -915.85221638633</t>
  </si>
  <si>
    <t>-665.099431111193 85.0959039080458 -760.253843139944</t>
  </si>
  <si>
    <t>-571.154454308956 198.098317452725 -754.761861199027</t>
  </si>
  <si>
    <t>-456.232790756578 145.790838241818 -464.515158298324</t>
  </si>
  <si>
    <t>-261.44816767283 65.3385302918462 -312.106458331439</t>
  </si>
  <si>
    <t>-697.522374597831 31.0191045126289 -752.017203816694</t>
  </si>
  <si>
    <t>-572.185795813954 208.744208683819 -239.198072981314</t>
  </si>
  <si>
    <t>-574.144483848294 186.27861915184 215.938334622929</t>
  </si>
  <si>
    <t>-635.792320116168 168.184080359895 681.442237488052</t>
  </si>
  <si>
    <t>-497.659424001563 99.0686393523663 765.619867571978</t>
  </si>
  <si>
    <t>-630.694232739461 24.9290911699006 -206.631827107441</t>
  </si>
  <si>
    <t>-521.167824453494 -43.4758797609836 230.383443356379</t>
  </si>
  <si>
    <t>-695.689508613949 33.0124481550317 659.682208517433</t>
  </si>
  <si>
    <t>-580.124520607941 -66.0448184688437 747.863293819285</t>
  </si>
  <si>
    <t>9763-20170724T160713.624624800.bin</t>
  </si>
  <si>
    <t>-601.519388440265 117.039526539999 -223.158070425491</t>
  </si>
  <si>
    <t>-642.087943188025 109.793949415355 -337.041741333909</t>
  </si>
  <si>
    <t>-664.449597656689 98.4449132874481 -455.623838611334</t>
  </si>
  <si>
    <t>-677.117334658296 86.0083053125747 -563.696652298485</t>
  </si>
  <si>
    <t>-682.366316663279 71.162164108857 -672.079714513575</t>
  </si>
  <si>
    <t>-682.002382186761 47.7708028253205 -822.587892001435</t>
  </si>
  <si>
    <t>-649.639596169723 22.1914758103508 -915.761602704481</t>
  </si>
  <si>
    <t>-665.932845519797 85.1413078196963 -760.152887832547</t>
  </si>
  <si>
    <t>-571.935791645422 198.109504308813 -754.825979576251</t>
  </si>
  <si>
    <t>-457.191818980293 145.521677419357 -464.559748208776</t>
  </si>
  <si>
    <t>-262.807379741385 64.3413448373719 -312.026190095948</t>
  </si>
  <si>
    <t>-698.393940138909 31.1002442072329 -751.832460253069</t>
  </si>
  <si>
    <t>-572.323651612802 208.980980117054 -239.157738839322</t>
  </si>
  <si>
    <t>-574.121418037157 186.407576539969 215.974028298051</t>
  </si>
  <si>
    <t>-635.834827592151 168.116212721218 681.458972257341</t>
  </si>
  <si>
    <t>-497.602175985797 99.1720189532157 765.6132596988</t>
  </si>
  <si>
    <t>-630.638669290179 25.1106271481895 -206.528420554496</t>
  </si>
  <si>
    <t>-520.932096118785 -43.1872174128262 230.458451415791</t>
  </si>
  <si>
    <t>-695.700409725378 33.0064483756546 659.700329984024</t>
  </si>
  <si>
    <t>-580.127009957215 -66.0507959219124 747.870395598164</t>
  </si>
  <si>
    <t>9763-20170724T160713.688789900.bin</t>
  </si>
  <si>
    <t>-601.432318143795 117.25427226257 -223.04887810999</t>
  </si>
  <si>
    <t>-642.172520054038 109.974187413661 -336.869077864256</t>
  </si>
  <si>
    <t>-664.883961564867 98.6112493977473 -455.383387455839</t>
  </si>
  <si>
    <t>-677.940313210577 86.1716787453258 -563.409438564526</t>
  </si>
  <si>
    <t>-683.649437549071 71.3327902667895 -671.770245900718</t>
  </si>
  <si>
    <t>-683.998170077072 47.9626535945454 -822.281774299669</t>
  </si>
  <si>
    <t>-652.010858647195 22.2992377882795 -915.561882450216</t>
  </si>
  <si>
    <t>-667.615116361122 85.3137247033128 -759.916752993946</t>
  </si>
  <si>
    <t>-573.530721261707 198.205019403935 -754.796528023563</t>
  </si>
  <si>
    <t>-458.361974520966 145.286767251728 -464.758709527837</t>
  </si>
  <si>
    <t>-263.380870617522 64.1282949643057 -312.976810802294</t>
  </si>
  <si>
    <t>-700.072669212353 31.2926433696935 -751.453496303533</t>
  </si>
  <si>
    <t>-572.327144524447 209.193101773586 -239.080628316549</t>
  </si>
  <si>
    <t>-573.752470620466 186.283437336292 216.035581760058</t>
  </si>
  <si>
    <t>-635.83401797541 168.136117944829 681.474624131495</t>
  </si>
  <si>
    <t>-497.569798075531 99.2285335044453 765.607003073335</t>
  </si>
  <si>
    <t>-630.385885415568 25.3813685613611 -206.349594802106</t>
  </si>
  <si>
    <t>-520.502287674686 -43.1802938710562 230.55151633131</t>
  </si>
  <si>
    <t>-695.6317959221 33.1113901564386 659.665405658055</t>
  </si>
  <si>
    <t>-580.197896983061 -66.0712798535053 747.877206058372</t>
  </si>
  <si>
    <t>9763-20170724T160713.724509300.bin</t>
  </si>
  <si>
    <t>-601.417444007985 117.338350402974 -222.962319226612</t>
  </si>
  <si>
    <t>-642.232336997177 110.056519775118 -336.755735692241</t>
  </si>
  <si>
    <t>-665.129561262351 98.6969303251221 -455.234556203955</t>
  </si>
  <si>
    <t>-678.398771375704 86.2657327648071 -563.23565764779</t>
  </si>
  <si>
    <t>-684.365078959657 71.4420967312024 -671.584673999621</t>
  </si>
  <si>
    <t>-685.116230831369 48.1018914276078 -822.099488197612</t>
  </si>
  <si>
    <t>-653.324374496638 22.3833048037179 -915.431166408022</t>
  </si>
  <si>
    <t>-668.564481914744 85.4394932376463 -759.77070017593</t>
  </si>
  <si>
    <t>-574.446204520483 198.332600556146 -754.836930023863</t>
  </si>
  <si>
    <t>-458.766429356133 145.08204872663 -465.063359313758</t>
  </si>
  <si>
    <t>-263.561456174894 64.3402352043845 -313.346983166159</t>
  </si>
  <si>
    <t>-701.003285974186 31.418890093925 -751.231991426424</t>
  </si>
  <si>
    <t>-572.305223249971 209.281504404295 -239.032236316703</t>
  </si>
  <si>
    <t>-573.549937168376 186.215906192518 216.076704344994</t>
  </si>
  <si>
    <t>-635.849623507939 168.108248873363 681.486662805566</t>
  </si>
  <si>
    <t>-497.542704412457 99.2701514418659 765.605803045628</t>
  </si>
  <si>
    <t>-630.374531182612 25.4380847710354 -206.225407340084</t>
  </si>
  <si>
    <t>-520.387368044398 -43.3344604386612 230.616447948906</t>
  </si>
  <si>
    <t>-695.627598760408 33.0873183100548 659.641166051592</t>
  </si>
  <si>
    <t>-580.149482361044 -66.0271682482844 747.871745666219</t>
  </si>
  <si>
    <t>9763-20170724T160713.787676200.bin</t>
  </si>
  <si>
    <t>-601.376107216516 117.424676320713 -222.872768999551</t>
  </si>
  <si>
    <t>-642.277608521977 110.166181173106 -336.636482428051</t>
  </si>
  <si>
    <t>-665.41145453745 98.7268114099302 -455.061835045597</t>
  </si>
  <si>
    <t>-678.958773186182 86.1848962333265 -563.01557201515</t>
  </si>
  <si>
    <t>-685.268620167177 71.2140540913867 -671.32492093477</t>
  </si>
  <si>
    <t>-686.566314305342 47.6328762482567 -821.798260463532</t>
  </si>
  <si>
    <t>-655.135566769192 21.7249371706391 -915.199935473815</t>
  </si>
  <si>
    <t>-669.767925923295 85.0581290779414 -759.588238535361</t>
  </si>
  <si>
    <t>-575.693719737551 197.968481863835 -755.129611583481</t>
  </si>
  <si>
    <t>-458.492537390007 145.285505975713 -465.864010194849</t>
  </si>
  <si>
    <t>-263.312300916783 63.9679613991193 -314.423505978459</t>
  </si>
  <si>
    <t>-702.216287255348 31.075547005109 -750.84864727819</t>
  </si>
  <si>
    <t>-572.249576949269 209.408031641104 -238.952781273956</t>
  </si>
  <si>
    <t>-573.183176601088 185.977201851717 216.138137570289</t>
  </si>
  <si>
    <t>-635.872174232435 168.068835518691 681.501791787617</t>
  </si>
  <si>
    <t>-497.520979289867 99.2971942533873 765.602463206215</t>
  </si>
  <si>
    <t>-630.360654471996 25.5393147372295 -206.143325386928</t>
  </si>
  <si>
    <t>-520.276275426626 -43.1618551577017 230.685265461338</t>
  </si>
  <si>
    <t>-695.610898894611 33.2102569211022 659.682162164542</t>
  </si>
  <si>
    <t>-580.292010684954 -66.0972366036119 747.903976162645</t>
  </si>
  <si>
    <t>9763-20170724T160713.822783800.bin</t>
  </si>
  <si>
    <t>-601.339990680417 117.577944544455 -222.872152283002</t>
  </si>
  <si>
    <t>-642.259624272602 110.317756852852 -336.629326110099</t>
  </si>
  <si>
    <t>-665.473971307985 98.8384520003567 -455.034885187024</t>
  </si>
  <si>
    <t>-679.120617159756 86.2470943978265 -562.970382310571</t>
  </si>
  <si>
    <t>-685.556615725974 71.2148700739672 -671.26380585161</t>
  </si>
  <si>
    <t>-687.057859800948 47.5369013711966 -821.720094730783</t>
  </si>
  <si>
    <t>-655.779267419462 21.5689326937313 -915.156284839582</t>
  </si>
  <si>
    <t>-670.181949063641 85.0059643868701 -759.557469802887</t>
  </si>
  <si>
    <t>-576.14298082301 197.980669578752 -755.326806033167</t>
  </si>
  <si>
    <t>-458.326620565296 145.820385119209 -466.216542064921</t>
  </si>
  <si>
    <t>-263.419864037859 63.6044776281738 -314.909128781811</t>
  </si>
  <si>
    <t>-702.605262539027 31.0213714591866 -750.738187306768</t>
  </si>
  <si>
    <t>-572.209344284007 209.548688789135 -238.939110408715</t>
  </si>
  <si>
    <t>-573.082678438594 185.993925965116 216.145580490671</t>
  </si>
  <si>
    <t>-635.862151292237 168.075048389764 681.494745563028</t>
  </si>
  <si>
    <t>-497.517412501295 99.2916580981089 765.59637134738</t>
  </si>
  <si>
    <t>-630.31890941571 25.730522435204 -206.149146411505</t>
  </si>
  <si>
    <t>-520.284094569234 -43.0794529985262 230.67491329136</t>
  </si>
  <si>
    <t>-695.634285685147 33.1726134736407 659.702424034794</t>
  </si>
  <si>
    <t>-580.390136031032 -66.2165261868663 747.929969103132</t>
  </si>
  <si>
    <t>9763-20170724T160713.888961600.bin</t>
  </si>
  <si>
    <t>-601.327462949247 117.870834245154 -222.888964794229</t>
  </si>
  <si>
    <t>-642.23430461935 110.609586421476 -336.650652791451</t>
  </si>
  <si>
    <t>-665.587519784019 99.0529957458564 -455.021371087734</t>
  </si>
  <si>
    <t>-679.42507952724 86.3630966463843 -562.921033917567</t>
  </si>
  <si>
    <t>-686.119167139865 71.2047378961213 -671.181222627503</t>
  </si>
  <si>
    <t>-688.050119588454 47.3238860223685 -821.60068260529</t>
  </si>
  <si>
    <t>-657.036115746356 21.2312171373178 -915.090072228725</t>
  </si>
  <si>
    <t>-670.98739703508 84.8713521743184 -759.536302490628</t>
  </si>
  <si>
    <t>-577.131644852799 198.006917751791 -755.743015826778</t>
  </si>
  <si>
    <t>-458.45628923233 147.062277337392 -466.767340889081</t>
  </si>
  <si>
    <t>-265.558030029678 62.3239573963522 -314.282175176764</t>
  </si>
  <si>
    <t>-703.404025926836 30.9095442651735 -750.55310960075</t>
  </si>
  <si>
    <t>-572.200389919378 209.845176232958 -238.93560381412</t>
  </si>
  <si>
    <t>-573.032433898585 186.051455842465 216.13680005737</t>
  </si>
  <si>
    <t>-635.847071376187 168.095806581102 681.487396641485</t>
  </si>
  <si>
    <t>-497.486922241542 99.3414897655616 765.587497385852</t>
  </si>
  <si>
    <t>-630.268954917608 25.9852134068678 -206.208975415957</t>
  </si>
  <si>
    <t>-520.422535219748 -42.8288193539427 230.66178065822</t>
  </si>
  <si>
    <t>-695.676187974609 33.1130723343178 659.768081760329</t>
  </si>
  <si>
    <t>-580.317445961219 -66.1448987237256 747.993502545221</t>
  </si>
  <si>
    <t>9763-20170724T160713.927106700.bin</t>
  </si>
  <si>
    <t>-601.287534311159 118.111947520909 -222.927707755227</t>
  </si>
  <si>
    <t>-642.197090860526 110.869198982097 -336.689569224456</t>
  </si>
  <si>
    <t>-665.601469587664 99.2568429409941 -455.044798086402</t>
  </si>
  <si>
    <t>-679.507761771578 86.4865313117032 -562.926045353862</t>
  </si>
  <si>
    <t>-686.294307385846 71.2183778434337 -671.165050375897</t>
  </si>
  <si>
    <t>-688.379922450258 47.1544720690179 -821.553255606165</t>
  </si>
  <si>
    <t>-657.468048000668 20.9480162353525 -915.044729285007</t>
  </si>
  <si>
    <t>-671.240868146388 84.7699823537105 -759.551239869954</t>
  </si>
  <si>
    <t>-577.385325380491 197.93011031494 -756.00987215449</t>
  </si>
  <si>
    <t>-458.770398007096 147.463077703728 -466.925473802349</t>
  </si>
  <si>
    <t>-265.957828718211 62.6581550631481 -314.369221402759</t>
  </si>
  <si>
    <t>-703.673300685092 30.8340669338465 -750.470992832909</t>
  </si>
  <si>
    <t>-572.169603276683 210.035636466157 -238.94798800336</t>
  </si>
  <si>
    <t>-573.018370946336 186.165556242338 216.120327655314</t>
  </si>
  <si>
    <t>-635.832134117656 168.122611872305 681.47776691142</t>
  </si>
  <si>
    <t>-497.48784735609 99.3373274210185 765.57859278152</t>
  </si>
  <si>
    <t>-630.225865101853 26.2949453132535 -206.260866816276</t>
  </si>
  <si>
    <t>-520.526062204442 -42.6112695320735 230.632168881757</t>
  </si>
  <si>
    <t>-695.599374316216 33.2982224960035 659.809811330955</t>
  </si>
  <si>
    <t>-580.58639616403 -66.3390320356089 748.059127458371</t>
  </si>
  <si>
    <t>9763-20170724T160713.992279600.bin</t>
  </si>
  <si>
    <t>-601.359948944463 118.521516839744 -222.935542442565</t>
  </si>
  <si>
    <t>-642.292662194647 111.340071545383 -336.692959698035</t>
  </si>
  <si>
    <t>-665.806046367992 99.6699713444734 -455.020855187406</t>
  </si>
  <si>
    <t>-679.849376983017 86.8008126475397 -562.872663946498</t>
  </si>
  <si>
    <t>-686.813849875198 71.3878663383161 -671.079802245979</t>
  </si>
  <si>
    <t>-689.191109680776 47.0758451839342 -821.423657975755</t>
  </si>
  <si>
    <t>-658.462983950879 20.6316029351808 -914.908893004693</t>
  </si>
  <si>
    <t>-671.892689503765 84.770391071695 -759.514178398216</t>
  </si>
  <si>
    <t>-578.034961252748 197.920255967495 -756.397460394581</t>
  </si>
  <si>
    <t>-459.514334844325 148.247756000649 -467.136727902353</t>
  </si>
  <si>
    <t>-267.815582710589 62.6564206716519 -313.618828231613</t>
  </si>
  <si>
    <t>-704.385844688856 30.8958858736733 -750.28840186589</t>
  </si>
  <si>
    <t>-572.155635737263 210.411839866556 -238.941532105786</t>
  </si>
  <si>
    <t>-573.025236677676 186.321631009237 216.115107985957</t>
  </si>
  <si>
    <t>-635.847275075282 168.103408825787 681.4745647854</t>
  </si>
  <si>
    <t>-497.443415170424 99.4307439482704 765.569489690282</t>
  </si>
  <si>
    <t>-630.417633327128 26.6785889399446 -206.272450771062</t>
  </si>
  <si>
    <t>-520.804166035073 -42.4676125651204 230.60441317324</t>
  </si>
  <si>
    <t>-695.677137306138 33.200436019572 659.921717351746</t>
  </si>
  <si>
    <t>-580.426414916368 -66.1838561897159 748.146123339581</t>
  </si>
  <si>
    <t>9763-20170724T160714.024473900.bin</t>
  </si>
  <si>
    <t>-601.412629282856 118.700489206511 -222.921881767717</t>
  </si>
  <si>
    <t>-642.356743340387 111.547317667618 -336.677086161708</t>
  </si>
  <si>
    <t>-665.904041227245 99.8474877017859 -454.995251258547</t>
  </si>
  <si>
    <t>-679.989347032483 86.9272501385369 -562.835549309196</t>
  </si>
  <si>
    <t>-687.007935158658 71.4394432505724 -671.02846159672</t>
  </si>
  <si>
    <t>-689.474358130891 46.9983740569157 -821.350045665295</t>
  </si>
  <si>
    <t>-658.841772509127 20.4214447034365 -914.828825282254</t>
  </si>
  <si>
    <t>-672.104437007557 84.7256158056218 -759.480272671506</t>
  </si>
  <si>
    <t>-578.237217124881 197.886721712925 -756.528616586829</t>
  </si>
  <si>
    <t>-460.239454679604 148.296355052885 -467.040367763153</t>
  </si>
  <si>
    <t>-270.645086015859 60.6224753741508 -312.09087999655</t>
  </si>
  <si>
    <t>-704.661600813708 30.9000169669011 -750.194439931663</t>
  </si>
  <si>
    <t>-572.118155551807 210.584894051503 -238.927761767688</t>
  </si>
  <si>
    <t>-573.004532938706 186.407193217209 216.124208446739</t>
  </si>
  <si>
    <t>-635.815438266812 168.166922064519 681.471626922516</t>
  </si>
  <si>
    <t>-497.43623383814 99.4468076584647 765.56825574568</t>
  </si>
  <si>
    <t>-630.549272246896 26.8695432355462 -206.244410929991</t>
  </si>
  <si>
    <t>-520.921449097118 -42.4450357494636 230.602156579202</t>
  </si>
  <si>
    <t>-695.711525678112 33.152898914331 659.969057391445</t>
  </si>
  <si>
    <t>-580.474120980326 -66.2505836212736 748.18921978404</t>
  </si>
  <si>
    <t>9763-20170724T160714.088646000.bin</t>
  </si>
  <si>
    <t>-601.519712002312 118.986812292471 -222.846689506237</t>
  </si>
  <si>
    <t>-642.534218553475 111.91346052869 -336.58146725992</t>
  </si>
  <si>
    <t>-666.122110987063 100.215182460882 -454.89165398535</t>
  </si>
  <si>
    <t>-680.233317746083 87.2637885053541 -562.72491042521</t>
  </si>
  <si>
    <t>-687.268022145396 71.7122980010445 -670.907640956146</t>
  </si>
  <si>
    <t>-689.747469672383 47.149294276245 -821.20905440481</t>
  </si>
  <si>
    <t>-659.225182484545 20.4037407590124 -914.675953636169</t>
  </si>
  <si>
    <t>-672.313456902869 84.8918815952873 -759.366698326489</t>
  </si>
  <si>
    <t>-578.294760288267 197.947121168076 -756.682028630285</t>
  </si>
  <si>
    <t>-462.263718585374 149.301936799078 -466.239959139628</t>
  </si>
  <si>
    <t>-277.777847267574 55.9465013965153 -308.468554745952</t>
  </si>
  <si>
    <t>-704.987300016097 31.1434724448968 -750.043973443896</t>
  </si>
  <si>
    <t>-572.008039870643 210.875039177381 -238.903137847894</t>
  </si>
  <si>
    <t>-572.961759035476 186.603197509153 216.143709147898</t>
  </si>
  <si>
    <t>-635.749379865084 168.290043407199 681.471658440332</t>
  </si>
  <si>
    <t>-497.493116645554 99.3410208677828 765.58317212326</t>
  </si>
  <si>
    <t>-630.852905318704 27.1881067757386 -206.133875385073</t>
  </si>
  <si>
    <t>-520.956509050395 -42.4061063795616 230.600659682263</t>
  </si>
  <si>
    <t>-695.688735656733 33.2217170894146 660.004243390378</t>
  </si>
  <si>
    <t>-580.410319614434 -66.1360627404047 748.222322856737</t>
  </si>
  <si>
    <t>9763-20170724T160714.126753400.bin</t>
  </si>
  <si>
    <t>-601.600755293255 119.054357344744 -222.778734573154</t>
  </si>
  <si>
    <t>-642.647879400362 112.027690153926 -336.504531946822</t>
  </si>
  <si>
    <t>-666.222081474918 100.308375008795 -454.815538753974</t>
  </si>
  <si>
    <t>-680.302695833505 87.310813687684 -562.647026584663</t>
  </si>
  <si>
    <t>-687.289636337256 71.6860556154609 -670.822306611991</t>
  </si>
  <si>
    <t>-689.685668550517 46.9934353522804 -821.103799406231</t>
  </si>
  <si>
    <t>-659.156509629346 20.1444970364632 -914.538847061506</t>
  </si>
  <si>
    <t>-672.260460698715 84.7742551685596 -759.282473255407</t>
  </si>
  <si>
    <t>-578.211358974864 197.772981131653 -756.73848342461</t>
  </si>
  <si>
    <t>-463.171920408941 150.435076527448 -465.686560266853</t>
  </si>
  <si>
    <t>-278.390643445725 56.9730834319384 -308.324486239697</t>
  </si>
  <si>
    <t>-704.990594354684 31.0639884508598 -749.935620343617</t>
  </si>
  <si>
    <t>-571.952413374398 210.885833924182 -238.871195465211</t>
  </si>
  <si>
    <t>-572.934009542387 186.593279308314 216.174443285419</t>
  </si>
  <si>
    <t>-635.757275096572 168.269596462679 681.480978519118</t>
  </si>
  <si>
    <t>-497.480734977404 99.3604314538563 765.59178334323</t>
  </si>
  <si>
    <t>-631.116593529239 27.2864430164796 -206.019053925489</t>
  </si>
  <si>
    <t>-521.010045870241 -42.5447643796222 230.624792328182</t>
  </si>
  <si>
    <t>-695.755704226012 33.1036488151112 660.021912950795</t>
  </si>
  <si>
    <t>-580.357371201208 -66.1328417146153 748.219741170026</t>
  </si>
  <si>
    <t>9763-20170724T160714.190922000.bin</t>
  </si>
  <si>
    <t>-601.730277794291 119.161953097336 -222.737187599545</t>
  </si>
  <si>
    <t>-642.903855482858 112.274940997673 -336.425993309211</t>
  </si>
  <si>
    <t>-666.506479177776 100.539649061695 -454.729630089002</t>
  </si>
  <si>
    <t>-680.573025021638 87.4693973212845 -562.554336822813</t>
  </si>
  <si>
    <t>-687.505938225832 71.717816935565 -670.714724395641</t>
  </si>
  <si>
    <t>-689.785796724796 46.7958353439008 -820.9601001034</t>
  </si>
  <si>
    <t>-659.234375390988 19.7771903032644 -914.338878305184</t>
  </si>
  <si>
    <t>-672.407423826751 84.6704243786148 -759.182923029277</t>
  </si>
  <si>
    <t>-578.44333028254 197.776016343896 -756.784333759468</t>
  </si>
  <si>
    <t>-465.668599689428 152.40496085397 -464.535316418026</t>
  </si>
  <si>
    <t>-281.812796599741 57.0485696214398 -307.225880166704</t>
  </si>
  <si>
    <t>-705.146603831161 30.9756887860999 -749.779441106932</t>
  </si>
  <si>
    <t>-571.812240289323 210.946214309636 -238.838713870113</t>
  </si>
  <si>
    <t>-572.747013750153 186.477589626861 216.197674374843</t>
  </si>
  <si>
    <t>-635.722709793475 168.336213603687 681.498281432632</t>
  </si>
  <si>
    <t>-497.507611816987 99.2994000585406 765.605473109595</t>
  </si>
  <si>
    <t>-631.513056490703 27.4326855458337 -205.963563600896</t>
  </si>
  <si>
    <t>-521.206702550082 -42.6621672972778 230.587551408628</t>
  </si>
  <si>
    <t>-695.765930924401 33.1926077648357 660.051789350867</t>
  </si>
  <si>
    <t>-580.434653156857 -66.159702498041 748.206904502371</t>
  </si>
  <si>
    <t>9763-20170724T160714.228027900.bin</t>
  </si>
  <si>
    <t>-601.790989676805 119.16152334406 -222.666939688554</t>
  </si>
  <si>
    <t>-642.981217766939 112.311408163698 -336.351726895976</t>
  </si>
  <si>
    <t>-666.568305088298 100.541973403235 -454.655073053498</t>
  </si>
  <si>
    <t>-680.607825287204 87.4153989087908 -562.476539000994</t>
  </si>
  <si>
    <t>-687.501237812324 71.5837008319315 -670.627676113581</t>
  </si>
  <si>
    <t>-689.713094034191 46.5278544299154 -820.851877981725</t>
  </si>
  <si>
    <t>-659.130125674469 19.4414675813161 -914.200659128505</t>
  </si>
  <si>
    <t>-672.382134066232 84.4690843211724 -759.102283974553</t>
  </si>
  <si>
    <t>-578.701544420614 197.784064323455 -756.824990955773</t>
  </si>
  <si>
    <t>-466.901341183255 152.68992221147 -464.158923382477</t>
  </si>
  <si>
    <t>-284.640263462976 54.990936773479 -306.431733589834</t>
  </si>
  <si>
    <t>-705.08663487559 30.7595746128832 -749.662510088163</t>
  </si>
  <si>
    <t>-571.768891905261 210.997760004592 -238.790415189791</t>
  </si>
  <si>
    <t>-572.604638189595 186.390586777189 216.23868638742</t>
  </si>
  <si>
    <t>-635.707206787502 168.372635768924 681.510542499895</t>
  </si>
  <si>
    <t>-497.585987244412 99.144892110269 765.615005695778</t>
  </si>
  <si>
    <t>-631.64732921409 27.404434723883 -205.889821755813</t>
  </si>
  <si>
    <t>-521.277412705813 -42.7790705937753 230.630996585695</t>
  </si>
  <si>
    <t>-695.784714391045 33.2725010527408 660.088050754065</t>
  </si>
  <si>
    <t>-580.502987760886 -66.1811635792315 748.193695918492</t>
  </si>
  <si>
    <t>9763-20170724T160714.288193300.bin</t>
  </si>
  <si>
    <t>-601.800813273838 119.085448652316 -222.522520407663</t>
  </si>
  <si>
    <t>-643.11914618322 112.263262767437 -336.16258244265</t>
  </si>
  <si>
    <t>-666.71350157953 100.510083599153 -454.466071470486</t>
  </si>
  <si>
    <t>-680.706998723115 87.395920366323 -562.294946716038</t>
  </si>
  <si>
    <t>-687.499882389935 71.5762672193696 -670.454166939982</t>
  </si>
  <si>
    <t>-689.514251724994 46.5380163814273 -820.684232862078</t>
  </si>
  <si>
    <t>-658.81894023445 19.4454792696415 -913.994392552661</t>
  </si>
  <si>
    <t>-672.278747720567 84.4803237857438 -758.908603995849</t>
  </si>
  <si>
    <t>-579.046139054661 198.209175151918 -756.969212162084</t>
  </si>
  <si>
    <t>-468.988627445814 155.986395598566 -463.216259741624</t>
  </si>
  <si>
    <t>-288.803961259504 53.3095690621494 -306.267068200859</t>
  </si>
  <si>
    <t>-704.967196564137 30.7529743332918 -749.515750881292</t>
  </si>
  <si>
    <t>-571.571087042355 210.816623352576 -238.729554105789</t>
  </si>
  <si>
    <t>-572.535224930837 186.287017972935 216.303484182766</t>
  </si>
  <si>
    <t>-635.699325417251 168.388859129713 681.529137498756</t>
  </si>
  <si>
    <t>-497.555745494825 99.1981376555796 765.6273290082</t>
  </si>
  <si>
    <t>-631.899786954672 27.4202901657109 -205.641667889084</t>
  </si>
  <si>
    <t>-521.273337261007 -43.0472059932849 230.768439249158</t>
  </si>
  <si>
    <t>-695.822129188525 33.4152558267901 660.133325268459</t>
  </si>
  <si>
    <t>-580.610502505134 -66.2182672584484 748.127371279467</t>
  </si>
  <si>
    <t>9763-20170724T160714.326152900.bin</t>
  </si>
  <si>
    <t>-601.77301156527 118.939620567587 -222.457191857891</t>
  </si>
  <si>
    <t>-643.115403638763 112.083194773041 -336.086352656818</t>
  </si>
  <si>
    <t>-666.755970314054 100.224484176762 -454.370133685866</t>
  </si>
  <si>
    <t>-680.800835593092 86.9911939134543 -562.177689210203</t>
  </si>
  <si>
    <t>-687.654447839311 71.0322099912898 -670.312692338136</t>
  </si>
  <si>
    <t>-689.762383345451 45.7825893288218 -820.506104974858</t>
  </si>
  <si>
    <t>-659.076783127925 18.6033470199377 -913.794137497757</t>
  </si>
  <si>
    <t>-672.491465721017 83.8138109972499 -758.794852539943</t>
  </si>
  <si>
    <t>-579.800272218073 197.989424509904 -757.284857317032</t>
  </si>
  <si>
    <t>-470.682730459116 158.252472433769 -462.835210280456</t>
  </si>
  <si>
    <t>-293.136719831964 51.442034070998 -305.637925468706</t>
  </si>
  <si>
    <t>-705.167800434909 30.0958469117249 -749.3053956381</t>
  </si>
  <si>
    <t>-571.371607170216 210.607295623573 -238.734835347738</t>
  </si>
  <si>
    <t>-572.549578162017 186.168084177125 216.302490634857</t>
  </si>
  <si>
    <t>-635.70444492473 168.377056672515 681.538050283667</t>
  </si>
  <si>
    <t>-497.562262767312 99.1808579315082 765.634050404916</t>
  </si>
  <si>
    <t>-632.048727433896 27.2866134618237 -205.488171160661</t>
  </si>
  <si>
    <t>-521.202494617352 -43.1163698195451 230.876576776374</t>
  </si>
  <si>
    <t>-695.880340441452 33.3793093537897 660.159176359219</t>
  </si>
  <si>
    <t>-580.552312558205 -66.1710370692697 748.094865325392</t>
  </si>
  <si>
    <t>9763-20170724T160714.392325400.bin</t>
  </si>
  <si>
    <t>-601.363809589736 118.722971459109 -222.45135649567</t>
  </si>
  <si>
    <t>-642.675916024293 111.909757411408 -336.094298744638</t>
  </si>
  <si>
    <t>-666.346057999432 99.9939157967381 -454.366365877127</t>
  </si>
  <si>
    <t>-680.44261604165 86.6781518855851 -562.157028380492</t>
  </si>
  <si>
    <t>-687.372544444608 70.6117791243198 -670.271348408247</t>
  </si>
  <si>
    <t>-689.611290360734 45.1922602518225 -820.434050006279</t>
  </si>
  <si>
    <t>-658.8858814974 17.9568172925538 -913.692533719609</t>
  </si>
  <si>
    <t>-672.282166352137 83.2903590797825 -758.780590319113</t>
  </si>
  <si>
    <t>-580.098294139028 197.849961654558 -757.849444702874</t>
  </si>
  <si>
    <t>-475.500300641224 165.122127391659 -460.907778993751</t>
  </si>
  <si>
    <t>-300.7820339563 52.8129382599859 -304.375969405326</t>
  </si>
  <si>
    <t>-704.959313672526 29.5887954618709 -749.202801872991</t>
  </si>
  <si>
    <t>-570.636902992203 210.374482025618 -238.770952152213</t>
  </si>
  <si>
    <t>-572.355167814137 186.08395604151 216.272704071237</t>
  </si>
  <si>
    <t>-635.618991758359 168.545885528198 681.53473810565</t>
  </si>
  <si>
    <t>-497.670458063603 98.967613356087 765.633415021009</t>
  </si>
  <si>
    <t>-631.918541125671 27.2131769401753 -205.479136963612</t>
  </si>
  <si>
    <t>-521.222615859539 -43.2675844948653 230.911150092531</t>
  </si>
  <si>
    <t>-695.906971635844 33.39774790042 660.183039212851</t>
  </si>
  <si>
    <t>-580.689615818753 -66.3082588720265 748.087434830809</t>
  </si>
  <si>
    <t>9763-20170724T160714.424299400.bin</t>
  </si>
  <si>
    <t>-601.09261820781 118.56773965394 -222.474026225003</t>
  </si>
  <si>
    <t>-642.373886366747 111.798073422273 -336.130716348119</t>
  </si>
  <si>
    <t>-665.992296107604 99.8260124792178 -454.407495035828</t>
  </si>
  <si>
    <t>-680.034899521717 86.4228547844207 -562.194366118963</t>
  </si>
  <si>
    <t>-686.904166788412 70.2353874437101 -670.294409683857</t>
  </si>
  <si>
    <t>-689.052346151415 44.6147321467065 -820.42433170351</t>
  </si>
  <si>
    <t>-658.278180405185 17.2980071668906 -913.6430703154</t>
  </si>
  <si>
    <t>-671.774531948156 82.8037759671863 -758.812718705352</t>
  </si>
  <si>
    <t>-579.455215707751 197.259595651336 -757.92897929863</t>
  </si>
  <si>
    <t>-477.475601583996 168.337203102308 -459.684436280059</t>
  </si>
  <si>
    <t>-302.030235596292 55.627387411261 -304.257620378434</t>
  </si>
  <si>
    <t>-704.429211897967 29.0983091434493 -749.180271973982</t>
  </si>
  <si>
    <t>-570.275836117958 210.139315314879 -238.773856897866</t>
  </si>
  <si>
    <t>-572.161215495876 185.885652453015 216.271073377478</t>
  </si>
  <si>
    <t>-635.654484956598 168.479620008432 681.533289127647</t>
  </si>
  <si>
    <t>-497.691645588663 98.9195037720183 765.623405709254</t>
  </si>
  <si>
    <t>-631.785479033113 27.0627484062934 -205.513103103473</t>
  </si>
  <si>
    <t>-521.261162011009 -43.3790906771521 230.92700958435</t>
  </si>
  <si>
    <t>-695.895813566095 33.4376927132994 660.199222450184</t>
  </si>
  <si>
    <t>-580.753839694513 -66.3378382731935 748.123481619437</t>
  </si>
  <si>
    <t>9763-20170724T160714.500513000.bin</t>
  </si>
  <si>
    <t>-600.616709576298 118.210630451771 -222.480349473668</t>
  </si>
  <si>
    <t>-641.905762298444 111.50172286936 -336.137762112884</t>
  </si>
  <si>
    <t>-665.52270096232 99.471570460656 -454.409019903431</t>
  </si>
  <si>
    <t>-679.56077883071 85.9741597021423 -562.184706789369</t>
  </si>
  <si>
    <t>-686.422692729717 69.6543720109987 -670.265404792189</t>
  </si>
  <si>
    <t>-688.558068473718 43.8134406506335 -820.357652226764</t>
  </si>
  <si>
    <t>-657.754195304328 16.3693437681825 -913.529112431703</t>
  </si>
  <si>
    <t>-671.368403285676 82.1419258914621 -758.807942460328</t>
  </si>
  <si>
    <t>-579.159977612471 196.691427580444 -758.053715630286</t>
  </si>
  <si>
    <t>-481.46508623667 171.629876155608 -458.030706724676</t>
  </si>
  <si>
    <t>-300.617355048172 62.2415239399654 -306.471004786134</t>
  </si>
  <si>
    <t>-703.858041225166 28.3525981488374 -749.084891621136</t>
  </si>
  <si>
    <t>-569.840363486911 209.859691965628 -238.713520266225</t>
  </si>
  <si>
    <t>-571.535361042231 185.359973891745 216.318912774491</t>
  </si>
  <si>
    <t>-635.683770365755 168.426783027307 681.522704551115</t>
  </si>
  <si>
    <t>-497.739356386524 98.8183366329301 765.603143551126</t>
  </si>
  <si>
    <t>-631.193521003636 26.7054684773482 -205.557993415329</t>
  </si>
  <si>
    <t>-521.224390379148 -44.0488960018968 230.971766139668</t>
  </si>
  <si>
    <t>-695.946887981674 33.155206071174 660.138901429485</t>
  </si>
  <si>
    <t>-580.602750611332 -66.2544088183629 748.212566429731</t>
  </si>
  <si>
    <t>9763-20170724T160714.526115200.bin</t>
  </si>
  <si>
    <t>-600.314069337665 118.071648548185 -222.461079397949</t>
  </si>
  <si>
    <t>-641.571928440072 111.341860748524 -336.128663508365</t>
  </si>
  <si>
    <t>-665.17812654033 99.3402000091883 -454.404901942419</t>
  </si>
  <si>
    <t>-679.213891071234 85.8895667619061 -562.186698850707</t>
  </si>
  <si>
    <t>-686.080061711783 69.6379153567523 -670.27746415061</t>
  </si>
  <si>
    <t>-688.227169055964 43.9143037095284 -820.389637592746</t>
  </si>
  <si>
    <t>-657.419328641087 16.5215556620674 -913.574952439631</t>
  </si>
  <si>
    <t>-671.072120382047 82.2178169679009 -758.814772016964</t>
  </si>
  <si>
    <t>-579.13732015523 196.940525871745 -758.007806116174</t>
  </si>
  <si>
    <t>-481.915313354005 172.673717976603 -457.765916090818</t>
  </si>
  <si>
    <t>-297.737438560196 64.5505120609484 -309.341036334679</t>
  </si>
  <si>
    <t>-703.482181557813 28.3745656355266 -749.124463770039</t>
  </si>
  <si>
    <t>-569.654885075201 209.630281874632 -238.676097141904</t>
  </si>
  <si>
    <t>-571.29969270427 185.126197918868 216.35633816484</t>
  </si>
  <si>
    <t>-635.720196785935 168.360557047177 681.525265740937</t>
  </si>
  <si>
    <t>-497.689124841948 98.9127605625861 765.596313164056</t>
  </si>
  <si>
    <t>-630.763811565263 26.6108065812109 -205.549743553716</t>
  </si>
  <si>
    <t>-521.017793813453 -44.1389126535162 231.036937724452</t>
  </si>
  <si>
    <t>-695.89053436863 33.1858933888254 660.10181969849</t>
  </si>
  <si>
    <t>-580.771335863127 -66.3998676110014 748.2707126508</t>
  </si>
  <si>
    <t>9763-20170724T160714.592290500.bin</t>
  </si>
  <si>
    <t>-599.657593447977 117.867263042137 -222.396312146988</t>
  </si>
  <si>
    <t>-640.850264131981 111.006691501417 -336.079598020292</t>
  </si>
  <si>
    <t>-664.517058742808 99.0458981920758 -454.347996762454</t>
  </si>
  <si>
    <t>-678.656849110235 85.7021107278924 -562.129500178407</t>
  </si>
  <si>
    <t>-685.674532799265 69.6263459265451 -670.236614741449</t>
  </si>
  <si>
    <t>-688.079541082513 44.2181003659164 -820.398791354201</t>
  </si>
  <si>
    <t>-657.366348086604 16.9959413835907 -913.665236462517</t>
  </si>
  <si>
    <t>-670.864732632013 82.4191120067169 -758.776838439803</t>
  </si>
  <si>
    <t>-579.021432251405 197.271506130518 -757.986824391007</t>
  </si>
  <si>
    <t>-482.643747793201 172.494261752935 -457.514445241355</t>
  </si>
  <si>
    <t>-297.544530651439 63.1812875644773 -311.121044021741</t>
  </si>
  <si>
    <t>-703.16617573154 28.5016793708496 -749.136531843877</t>
  </si>
  <si>
    <t>-569.274163105706 209.471441561155 -238.626875912421</t>
  </si>
  <si>
    <t>-571.022884191203 185.030792114095 216.408619261023</t>
  </si>
  <si>
    <t>-635.691771294071 168.398322382088 681.523449820846</t>
  </si>
  <si>
    <t>-497.654409332888 98.9682673668594 765.598786001921</t>
  </si>
  <si>
    <t>-629.857661778529 26.336570132298 -205.485886254005</t>
  </si>
  <si>
    <t>-520.404844023952 -44.1367977435023 231.219144101864</t>
  </si>
  <si>
    <t>-695.852353835081 33.1448138577437 660.04948506222</t>
  </si>
  <si>
    <t>-580.790214502201 -66.4030626975134 748.335595424796</t>
  </si>
  <si>
    <t>9763-20170724T160714.620414200.bin</t>
  </si>
  <si>
    <t>-599.360304613013 117.784259434696 -222.316153604924</t>
  </si>
  <si>
    <t>-640.509156079657 110.834449410406 -336.009849516922</t>
  </si>
  <si>
    <t>-664.24679653729 98.8848390392156 -454.265171606642</t>
  </si>
  <si>
    <t>-678.496439545448 85.5930000589185 -562.038606523989</t>
  </si>
  <si>
    <t>-685.668752706605 69.6110568905788 -670.14957266911</t>
  </si>
  <si>
    <t>-688.333894622464 44.3766655747199 -820.336593755246</t>
  </si>
  <si>
    <t>-657.735438018974 17.2801540074954 -913.677360614127</t>
  </si>
  <si>
    <t>-671.016126224237 82.5084631400316 -758.700787478841</t>
  </si>
  <si>
    <t>-579.398297506367 197.509976672862 -758.067569992521</t>
  </si>
  <si>
    <t>-482.948740537132 171.839488122067 -457.693434460566</t>
  </si>
  <si>
    <t>-298.588996594674 61.8062980725683 -310.907051860704</t>
  </si>
  <si>
    <t>-703.293249338381 28.5756547369506 -749.066209116919</t>
  </si>
  <si>
    <t>-569.068889755351 209.42797132543 -238.587230623701</t>
  </si>
  <si>
    <t>-570.979600890065 185.091262652542 216.453097996196</t>
  </si>
  <si>
    <t>-635.693556938392 168.391788511789 681.537081104067</t>
  </si>
  <si>
    <t>-497.591354915722 99.081311117284 765.604573109866</t>
  </si>
  <si>
    <t>-629.500546058915 26.2026213144195 -205.367048921683</t>
  </si>
  <si>
    <t>-520.040059274543 -44.1094878086114 231.362000625077</t>
  </si>
  <si>
    <t>-695.847997712191 33.1470951112726 660.038173945239</t>
  </si>
  <si>
    <t>-580.809744220041 -66.4052149899942 748.350385035191</t>
  </si>
  <si>
    <t>9763-20170724T160714.689602300.bin</t>
  </si>
  <si>
    <t>-598.505564733714 117.52934659603 -222.229895397661</t>
  </si>
  <si>
    <t>-639.55173457847 110.462503155398 -335.953706784877</t>
  </si>
  <si>
    <t>-663.369185567381 98.5913363566569 -454.200702026779</t>
  </si>
  <si>
    <t>-677.761895815002 85.4562971634441 -561.974309641641</t>
  </si>
  <si>
    <t>-685.144749275432 69.7201214574227 -670.107255314162</t>
  </si>
  <si>
    <t>-688.168123772644 44.9229300419247 -820.360242423281</t>
  </si>
  <si>
    <t>-657.767079852784 18.1646805670921 -913.863037141614</t>
  </si>
  <si>
    <t>-670.721552126259 82.8860876620508 -758.656642891829</t>
  </si>
  <si>
    <t>-579.622832159947 198.320073091626 -758.416231709986</t>
  </si>
  <si>
    <t>-480.899736523309 175.361878262258 -458.561504492943</t>
  </si>
  <si>
    <t>-299.064862527516 62.3458444972964 -310.894554038292</t>
  </si>
  <si>
    <t>-702.939207138867 28.903737054552 -749.099418463764</t>
  </si>
  <si>
    <t>-568.200707218177 209.156449391164 -238.565609414056</t>
  </si>
  <si>
    <t>-570.761549188455 185.168479975659 216.49002252446</t>
  </si>
  <si>
    <t>-635.682172048652 168.393191851153 681.550646408211</t>
  </si>
  <si>
    <t>-497.543899234345 99.1577937256034 765.62074281163</t>
  </si>
  <si>
    <t>-628.665691865227 25.936927391911 -205.194916763771</t>
  </si>
  <si>
    <t>-519.362871536352 -44.3215712156548 231.582257415425</t>
  </si>
  <si>
    <t>-695.832879023945 33.1820385681424 659.990134683856</t>
  </si>
  <si>
    <t>-580.953946161392 -66.5222757299191 748.338262900099</t>
  </si>
  <si>
    <t>9763-20170724T160714.721717300.bin</t>
  </si>
  <si>
    <t>-597.845328179024 117.175940822922 -222.109389194733</t>
  </si>
  <si>
    <t>-638.815857969267 110.067017447383 -335.857847517353</t>
  </si>
  <si>
    <t>-662.739054308147 98.1461594376035 -454.078430798562</t>
  </si>
  <si>
    <t>-677.302215418144 84.9713002615201 -561.824461728318</t>
  </si>
  <si>
    <t>-684.929418193132 69.2054630606065 -669.935927011716</t>
  </si>
  <si>
    <t>-688.368267516818 44.3812234731047 -820.175568812424</t>
  </si>
  <si>
    <t>-658.155496379994 17.6437662539163 -913.745356730935</t>
  </si>
  <si>
    <t>-670.747027050773 82.3529323664882 -758.527031680332</t>
  </si>
  <si>
    <t>-579.899815885184 198.04541144421 -758.760282534204</t>
  </si>
  <si>
    <t>-479.72753241899 178.691955307145 -459.131919228053</t>
  </si>
  <si>
    <t>-297.411197483741 65.5729138171112 -312.139178005603</t>
  </si>
  <si>
    <t>-702.946432913222 28.3773189072367 -748.871520471558</t>
  </si>
  <si>
    <t>-567.409004202185 208.707458605565 -238.538205225786</t>
  </si>
  <si>
    <t>-570.503085097886 185.033645693375 216.53065050061</t>
  </si>
  <si>
    <t>-635.66214178171 168.409046042434 681.552743811706</t>
  </si>
  <si>
    <t>-497.59127850904 99.0577264423846 765.638042516476</t>
  </si>
  <si>
    <t>-628.15899140797 25.6418665397973 -205.022086218338</t>
  </si>
  <si>
    <t>-519.032063483264 -44.7036812607166 231.785046295986</t>
  </si>
  <si>
    <t>-695.851351357778 33.152152501538 659.952533948103</t>
  </si>
  <si>
    <t>-580.868219509181 -66.431087480951 748.301656006853</t>
  </si>
  <si>
    <t>9763-20170724T160714.787893400.bin</t>
  </si>
  <si>
    <t>-596.286307510909 116.144234758289 -222.137396117822</t>
  </si>
  <si>
    <t>-637.026332119659 109.168514233765 -335.976639482167</t>
  </si>
  <si>
    <t>-661.063963884277 97.1492198962023 -454.164185565385</t>
  </si>
  <si>
    <t>-675.879266022887 83.8047902848491 -561.854991793224</t>
  </si>
  <si>
    <t>-683.910158721152 67.7971953111398 -669.90173100535</t>
  </si>
  <si>
    <t>-688.069516316187 42.5687764764714 -820.055746554287</t>
  </si>
  <si>
    <t>-658.153026680121 15.7485306235844 -913.696854703472</t>
  </si>
  <si>
    <t>-670.128965353014 80.6921434531157 -758.593000672163</t>
  </si>
  <si>
    <t>-579.111244237872 196.186957347262 -759.867390147986</t>
  </si>
  <si>
    <t>-477.819820355762 185.164687943849 -460.19304531352</t>
  </si>
  <si>
    <t>-294.577325659867 70.4026468131262 -315.645710471988</t>
  </si>
  <si>
    <t>-702.329256881947 26.7710370484335 -748.641400212601</t>
  </si>
  <si>
    <t>-565.613570718496 207.595995129915 -238.504226676426</t>
  </si>
  <si>
    <t>-569.579389134801 184.113776495494 216.567747875667</t>
  </si>
  <si>
    <t>-635.668735494636 168.349550386063 681.534068196998</t>
  </si>
  <si>
    <t>-497.582115159149 99.0606296562244 765.644957503952</t>
  </si>
  <si>
    <t>-626.821602228922 24.7780712912897 -205.179625324557</t>
  </si>
  <si>
    <t>-518.655828728164 -45.6371611114646 231.855289878467</t>
  </si>
  <si>
    <t>-695.787691042473 33.1557634258133 659.782665161428</t>
  </si>
  <si>
    <t>-581.029761326747 -66.5571941381547 748.278176848368</t>
  </si>
  <si>
    <t>9763-20170724T160714.829531500.bin</t>
  </si>
  <si>
    <t>-595.551553554667 115.425080537127 -222.07953627532</t>
  </si>
  <si>
    <t>-636.182003688236 108.53834148659 -335.963389923731</t>
  </si>
  <si>
    <t>-660.254497438505 96.5050113857678 -454.142410872755</t>
  </si>
  <si>
    <t>-675.164658245593 83.1084343235423 -561.813601186729</t>
  </si>
  <si>
    <t>-683.356352218819 67.0103299039345 -669.834917981604</t>
  </si>
  <si>
    <t>-687.809294550601 41.6177682556502 -819.9527974365</t>
  </si>
  <si>
    <t>-658.063673850439 14.7177849694478 -913.625452949223</t>
  </si>
  <si>
    <t>-669.703530379453 79.7818961789835 -758.563897034256</t>
  </si>
  <si>
    <t>-578.593351489437 195.208364577547 -760.010535828612</t>
  </si>
  <si>
    <t>-477.16959468885 185.578677628989 -460.332902906751</t>
  </si>
  <si>
    <t>-294.126112810191 71.0019244140913 -315.386903852462</t>
  </si>
  <si>
    <t>-701.974496236391 25.9244623073785 -748.496531136097</t>
  </si>
  <si>
    <t>-564.739624458705 206.75558410771 -238.398970314362</t>
  </si>
  <si>
    <t>-568.953499291425 183.32241235844 216.673388093872</t>
  </si>
  <si>
    <t>-635.728499870313 168.231426687557 681.550143385314</t>
  </si>
  <si>
    <t>-497.574434749504 99.0620532593523 765.648675856411</t>
  </si>
  <si>
    <t>-626.24636731929 24.125351202018 -205.187028921438</t>
  </si>
  <si>
    <t>-518.46381195739 -46.2034450415997 231.956484068974</t>
  </si>
  <si>
    <t>-695.797267100627 33.0325952921557 659.696967058926</t>
  </si>
  <si>
    <t>-581.018415733223 -66.5846181312781 748.273135004968</t>
  </si>
  <si>
    <t>9763-20170724T160714.894696300.bin</t>
  </si>
  <si>
    <t>-593.983763791575 114.249081160368 -221.909325964577</t>
  </si>
  <si>
    <t>-634.570984579202 107.4524706054 -335.814056841729</t>
  </si>
  <si>
    <t>-658.634918811793 95.53022937469 -454.005985479787</t>
  </si>
  <si>
    <t>-673.55372829607 82.2367406481176 -561.68879815048</t>
  </si>
  <si>
    <t>-681.771394862085 66.2419387149482 -669.723458631438</t>
  </si>
  <si>
    <t>-686.280142199178 40.9900339523383 -819.863470481877</t>
  </si>
  <si>
    <t>-656.717439250212 14.0419978692667 -913.580243950437</t>
  </si>
  <si>
    <t>-668.019856153763 79.0191252913821 -758.43635313354</t>
  </si>
  <si>
    <t>-575.594973773636 193.395447090197 -759.21345970787</t>
  </si>
  <si>
    <t>-474.841805650695 179.710973878935 -459.467412549652</t>
  </si>
  <si>
    <t>-292.617676506555 67.3562115656782 -311.775713932806</t>
  </si>
  <si>
    <t>-700.550383892401 25.3074026795794 -748.425787024247</t>
  </si>
  <si>
    <t>-562.872983259897 205.531898668522 -238.193075825049</t>
  </si>
  <si>
    <t>-567.60898592653 182.173547223968 216.877923136535</t>
  </si>
  <si>
    <t>-635.695674284715 168.288645531992 681.561031830926</t>
  </si>
  <si>
    <t>-497.649843184792 98.9087114440499 765.663840769553</t>
  </si>
  <si>
    <t>-624.900464318375 22.9862725344619 -204.998053990217</t>
  </si>
  <si>
    <t>-517.475193559121 -47.046734552539 232.280845478194</t>
  </si>
  <si>
    <t>-695.751801317337 32.894563498186 659.491085880111</t>
  </si>
  <si>
    <t>-580.911275996231 -66.5103108754545 748.225718771531</t>
  </si>
  <si>
    <t>9763-20170724T160714.920789900.bin</t>
  </si>
  <si>
    <t>-593.387694427494 113.733608180834 -221.808706860346</t>
  </si>
  <si>
    <t>-634.03451335859 106.937150522774 -335.69217652124</t>
  </si>
  <si>
    <t>-658.096456818655 95.1148947952713 -453.894679545029</t>
  </si>
  <si>
    <t>-672.986054097832 81.9475226588368 -561.596986572796</t>
  </si>
  <si>
    <t>-681.146057546002 66.1117771687757 -669.659415292143</t>
  </si>
  <si>
    <t>-685.544100414188 41.112962349559 -819.84502863224</t>
  </si>
  <si>
    <t>-655.996917206673 14.2445491717394 -913.589594703673</t>
  </si>
  <si>
    <t>-667.277853641418 79.0079874079934 -758.33701731457</t>
  </si>
  <si>
    <t>-574.37767763962 193.008625286813 -758.487562519086</t>
  </si>
  <si>
    <t>-473.856525951419 174.09589880805 -458.947759998945</t>
  </si>
  <si>
    <t>-293.984208125454 61.0266586029568 -308.936653988197</t>
  </si>
  <si>
    <t>-699.918318533492 25.340376036713 -748.448067001139</t>
  </si>
  <si>
    <t>-562.177898859244 204.990808308511 -238.102011138586</t>
  </si>
  <si>
    <t>-566.901466650203 181.56296844583 216.965484618009</t>
  </si>
  <si>
    <t>-635.733380796538 168.234031793285 681.570173505826</t>
  </si>
  <si>
    <t>-497.648361159697 98.9171742930089 765.660669130102</t>
  </si>
  <si>
    <t>-624.392261613655 22.5413069027545 -204.836033807409</t>
  </si>
  <si>
    <t>-516.866233004282 -47.237189715398 232.458789813326</t>
  </si>
  <si>
    <t>-695.663894688792 32.9336869891538 659.384488030966</t>
  </si>
  <si>
    <t>-580.985945682389 -66.581282809723 748.20592208172</t>
  </si>
  <si>
    <t>9763-20170724T160714.990978100.bin</t>
  </si>
  <si>
    <t>-592.576085930638 113.037588618284 -221.579561488496</t>
  </si>
  <si>
    <t>-633.338914409676 106.287770306831 -335.424255887436</t>
  </si>
  <si>
    <t>-657.399380923698 94.7140321014756 -453.651571097676</t>
  </si>
  <si>
    <t>-672.235657390756 81.8416304632665 -561.396908529573</t>
  </si>
  <si>
    <t>-680.288435692969 66.3647574364056 -669.519373300665</t>
  </si>
  <si>
    <t>-684.480147053354 41.92543676581 -819.80295117284</t>
  </si>
  <si>
    <t>-654.967036904399 15.2602959120793 -913.616167168427</t>
  </si>
  <si>
    <t>-666.159862492527 79.5079897013729 -758.119612486943</t>
  </si>
  <si>
    <t>-572.579091962182 192.92656052744 -756.944900648942</t>
  </si>
  <si>
    <t>-470.136211877713 164.228249629035 -458.837354632787</t>
  </si>
  <si>
    <t>-292.363876492725 50.7062621355433 -306.680254775564</t>
  </si>
  <si>
    <t>-699.091053882237 25.9701356165181 -748.494668941232</t>
  </si>
  <si>
    <t>-561.218898214307 204.287675621492 -237.917673424474</t>
  </si>
  <si>
    <t>-565.792889777269 180.706003475794 217.143463907016</t>
  </si>
  <si>
    <t>-635.817103671038 168.096031898199 681.593420508266</t>
  </si>
  <si>
    <t>-497.597404447425 99.0049715206919 765.648448387928</t>
  </si>
  <si>
    <t>-623.740073928924 21.9392538508664 -204.51344211177</t>
  </si>
  <si>
    <t>-515.671855975992 -47.3980652767311 232.717943953708</t>
  </si>
  <si>
    <t>-695.504430845693 33.0221611896206 659.181464808698</t>
  </si>
  <si>
    <t>-581.060265494396 -66.6416209113563 748.137496559313</t>
  </si>
  <si>
    <t>9763-20170724T160715.025077200.bin</t>
  </si>
  <si>
    <t>-592.229000749399 112.810010248909 -221.477698036401</t>
  </si>
  <si>
    <t>-633.056449803017 106.107957823989 -335.302056970429</t>
  </si>
  <si>
    <t>-657.091355409978 94.6840676521592 -453.549196108069</t>
  </si>
  <si>
    <t>-671.865699556866 81.9814360622013 -561.323201222238</t>
  </si>
  <si>
    <t>-679.816642238984 66.7050736742692 -669.481732231279</t>
  </si>
  <si>
    <t>-683.824557434011 42.5733423440208 -819.820049838501</t>
  </si>
  <si>
    <t>-654.254292247269 15.9914915181821 -913.638884621169</t>
  </si>
  <si>
    <t>-665.488004542476 79.9739429696747 -758.03106084571</t>
  </si>
  <si>
    <t>-571.322837671484 192.912417347684 -756.280778748852</t>
  </si>
  <si>
    <t>-468.581517873321 159.457376134021 -458.772523962118</t>
  </si>
  <si>
    <t>-292.284948386177 45.4004540964256 -305.303939527216</t>
  </si>
  <si>
    <t>-698.614407727836 26.5277568318402 -748.568922120566</t>
  </si>
  <si>
    <t>-560.734655145626 204.078078751691 -237.843095276192</t>
  </si>
  <si>
    <t>-565.431335467767 180.533049795614 217.218685487469</t>
  </si>
  <si>
    <t>-635.772269701953 168.206877052332 681.615722325578</t>
  </si>
  <si>
    <t>-497.673829373895 98.8618891853118 765.660949012832</t>
  </si>
  <si>
    <t>-623.553168814504 21.6554521641476 -204.357630380289</t>
  </si>
  <si>
    <t>-515.253327206752 -47.6309586757361 232.824527248573</t>
  </si>
  <si>
    <t>-695.534007207739 32.9158545289363 659.095565215998</t>
  </si>
  <si>
    <t>-580.859902692996 -66.4712636848844 748.06499783073</t>
  </si>
  <si>
    <t>9763-20170724T160715.094262500.bin</t>
  </si>
  <si>
    <t>-591.972884014066 112.214454712179 -221.312417790692</t>
  </si>
  <si>
    <t>-632.817601610165 105.65884785207 -335.139259653724</t>
  </si>
  <si>
    <t>-656.7107191212 94.5221723646471 -453.442472161332</t>
  </si>
  <si>
    <t>-671.288395948709 82.1283744643761 -561.279028007421</t>
  </si>
  <si>
    <t>-678.972193116771 67.206379038143 -669.506371984312</t>
  </si>
  <si>
    <t>-682.534268246792 43.6109726543077 -819.941049585676</t>
  </si>
  <si>
    <t>-652.787487153478 17.1223367700679 -913.730451694734</t>
  </si>
  <si>
    <t>-664.197080020171 80.6782018831414 -757.951631317638</t>
  </si>
  <si>
    <t>-568.902922890059 192.640172003837 -755.3304138263</t>
  </si>
  <si>
    <t>-465.174083384738 152.036402550626 -459.057175961157</t>
  </si>
  <si>
    <t>-289.352681746022 39.6468238015718 -303.823470620417</t>
  </si>
  <si>
    <t>-697.719336766113 27.4240934914894 -748.804984868749</t>
  </si>
  <si>
    <t>-559.932297661554 203.38687421719 -237.772274250208</t>
  </si>
  <si>
    <t>-565.196422758448 180.31348220213 217.307411963121</t>
  </si>
  <si>
    <t>-635.722061677604 168.327217340431 681.664285873493</t>
  </si>
  <si>
    <t>-497.790892878928 98.6269364940756 765.69033947346</t>
  </si>
  <si>
    <t>-623.87276149065 21.0933777356915 -204.122040134633</t>
  </si>
  <si>
    <t>-515.222417769356 -48.2840660691313 232.958700890236</t>
  </si>
  <si>
    <t>-695.567108265296 33.0695873108705 659.047563319441</t>
  </si>
  <si>
    <t>-581.104118955543 -66.6339946058761 747.93476201596</t>
  </si>
  <si>
    <t>9763-20170724T160715.127029500.bin</t>
  </si>
  <si>
    <t>-592.105895836377 111.798173069139 -221.272927080549</t>
  </si>
  <si>
    <t>-632.978126505235 105.355539807289 -335.096311713557</t>
  </si>
  <si>
    <t>-656.728728389739 94.3152359687092 -453.437279823533</t>
  </si>
  <si>
    <t>-671.106736490063 81.9997707605851 -561.309604718648</t>
  </si>
  <si>
    <t>-678.519547501721 67.1467427112452 -669.56532881275</t>
  </si>
  <si>
    <t>-681.630529180491 43.6372437209534 -820.023364078545</t>
  </si>
  <si>
    <t>-651.720635724976 17.1257644662392 -913.754496059276</t>
  </si>
  <si>
    <t>-663.432993550706 80.6405729975827 -757.954686093094</t>
  </si>
  <si>
    <t>-567.515271050993 192.044028463121 -754.900304600379</t>
  </si>
  <si>
    <t>-461.948615287444 148.539904703191 -459.689687865245</t>
  </si>
  <si>
    <t>-287.05657464262 36.8460460435651 -302.911883930583</t>
  </si>
  <si>
    <t>-697.074942897621 27.4384818356202 -748.946124200803</t>
  </si>
  <si>
    <t>-559.759197222398 202.90420603796 -237.760491846151</t>
  </si>
  <si>
    <t>-565.059658470484 179.946333055219 217.324669384574</t>
  </si>
  <si>
    <t>-635.733730104809 168.303628690752 681.677953379802</t>
  </si>
  <si>
    <t>-497.783510490486 98.6259207266451 765.691428349955</t>
  </si>
  <si>
    <t>-624.320719568183 20.7556570516865 -204.072362637593</t>
  </si>
  <si>
    <t>-515.57709543289 -48.8105357795521 232.955172831078</t>
  </si>
  <si>
    <t>-695.691304750658 33.0213751808553 659.072338822111</t>
  </si>
  <si>
    <t>-581.085757237389 -66.5998952920668 747.868069960793</t>
  </si>
  <si>
    <t>9763-20170724T160715.189194900.bin</t>
  </si>
  <si>
    <t>-593.151579816842 110.841016631013 -221.332331891844</t>
  </si>
  <si>
    <t>-634.16481777802 104.771622918932 -335.125506985139</t>
  </si>
  <si>
    <t>-657.606887135338 94.0841520737399 -453.560277743911</t>
  </si>
  <si>
    <t>-671.518961615614 82.0684205089478 -561.527554470894</t>
  </si>
  <si>
    <t>-678.277709915973 67.491495153894 -669.863456412994</t>
  </si>
  <si>
    <t>-680.285367497798 44.3363092678055 -820.395207433492</t>
  </si>
  <si>
    <t>-649.953979948893 17.8589254434683 -914.000536206355</t>
  </si>
  <si>
    <t>-662.472827442993 81.1491022507396 -758.101939178506</t>
  </si>
  <si>
    <t>-565.880892853643 191.956466817174 -754.133852321113</t>
  </si>
  <si>
    <t>-456.781651454896 142.47507970775 -461.157440704646</t>
  </si>
  <si>
    <t>-279.826040945909 33.7046779105538 -304.639916235354</t>
  </si>
  <si>
    <t>-696.321251665449 28.0144293775422 -749.47719972499</t>
  </si>
  <si>
    <t>-560.337343926611 201.855915938774 -237.732354070773</t>
  </si>
  <si>
    <t>-564.85648449668 178.786146331179 217.355667192512</t>
  </si>
  <si>
    <t>-635.789154746162 168.152270012755 681.661462627305</t>
  </si>
  <si>
    <t>-497.782202017039 98.6066653772327 765.691215061286</t>
  </si>
  <si>
    <t>-625.799087303644 20.0185363858209 -204.23552626131</t>
  </si>
  <si>
    <t>-516.469815012736 -49.8795948083462 232.592833564921</t>
  </si>
  <si>
    <t>-695.757600359251 32.9149027133321 658.88914141599</t>
  </si>
  <si>
    <t>-581.277379299215 -66.7915442703236 747.750936432881</t>
  </si>
  <si>
    <t>9763-20170724T160715.227303300.bin</t>
  </si>
  <si>
    <t>-593.779446652951 110.490589826316 -221.434282353241</t>
  </si>
  <si>
    <t>-634.728762221276 104.484503049293 -335.253840029734</t>
  </si>
  <si>
    <t>-658.003852908961 93.8581221569366 -453.726970791993</t>
  </si>
  <si>
    <t>-671.723021428608 81.8933828681133 -561.72471429858</t>
  </si>
  <si>
    <t>-678.24773810571 67.3611680691661 -670.081003854449</t>
  </si>
  <si>
    <t>-679.887992566969 44.2603327213287 -820.625575674431</t>
  </si>
  <si>
    <t>-649.394109075907 17.7559686589605 -914.170312528797</t>
  </si>
  <si>
    <t>-662.190552585823 81.0274665395077 -758.272555918593</t>
  </si>
  <si>
    <t>-565.311020781424 191.605227512278 -754.003460393135</t>
  </si>
  <si>
    <t>-453.88572627295 140.002916219379 -462.270908938081</t>
  </si>
  <si>
    <t>-276.627165719007 31.4374855861467 -305.954078548358</t>
  </si>
  <si>
    <t>-696.133953324055 27.9359497704193 -749.756003053595</t>
  </si>
  <si>
    <t>-560.816518336226 201.334383469298 -237.769772955575</t>
  </si>
  <si>
    <t>-564.983956010907 178.339996695068 217.325317106613</t>
  </si>
  <si>
    <t>-635.76981842901 168.179570502451 681.652423090261</t>
  </si>
  <si>
    <t>-497.793769862723 98.5841938133269 765.691649535551</t>
  </si>
  <si>
    <t>-626.551830952863 19.8116965352338 -204.40748356384</t>
  </si>
  <si>
    <t>-517.192425692255 -50.1928565357432 232.396335657101</t>
  </si>
  <si>
    <t>-695.805645668422 32.8692406251132 658.865498002223</t>
  </si>
  <si>
    <t>-581.303685817242 -66.815784170848 747.723269009254</t>
  </si>
  <si>
    <t>9763-20170724T160715.294482200.bin</t>
  </si>
  <si>
    <t>-594.904935317627 109.926812548791 -221.838516020426</t>
  </si>
  <si>
    <t>-635.622760854629 104.141112882669 -335.752548776348</t>
  </si>
  <si>
    <t>-658.564777172071 93.5831745013431 -454.296902684696</t>
  </si>
  <si>
    <t>-671.947381909719 81.6142221204861 -562.336238097111</t>
  </si>
  <si>
    <t>-678.103806168356 67.0103579142192 -670.704502850954</t>
  </si>
  <si>
    <t>-679.203345054668 43.7382576864829 -821.2274998556</t>
  </si>
  <si>
    <t>-648.392026900733 17.164097864465 -914.648447332175</t>
  </si>
  <si>
    <t>-661.674247198793 80.5414292298983 -758.848340228529</t>
  </si>
  <si>
    <t>-564.500412959563 190.812849736777 -754.500310717679</t>
  </si>
  <si>
    <t>-451.248943117651 136.852254876004 -463.90002101139</t>
  </si>
  <si>
    <t>-274.167808885053 29.4539377295428 -306.57879444268</t>
  </si>
  <si>
    <t>-695.75945861329 27.5294011587293 -750.403180967279</t>
  </si>
  <si>
    <t>-561.716743443424 200.758033097966 -237.929511221954</t>
  </si>
  <si>
    <t>-565.830578493434 178.155068759855 217.185734176057</t>
  </si>
  <si>
    <t>-635.825068987998 168.131735423147 681.666006112255</t>
  </si>
  <si>
    <t>-497.892316064795 98.4175924303015 765.677949251316</t>
  </si>
  <si>
    <t>-627.876445499149 19.2710535561271 -205.075466580839</t>
  </si>
  <si>
    <t>-518.805018932534 -50.3047755646705 231.868763017694</t>
  </si>
  <si>
    <t>-696.130160275731 32.6220470246021 659.041325578584</t>
  </si>
  <si>
    <t>-581.395278329847 -66.9006443718752 747.780540641</t>
  </si>
  <si>
    <t>9763-20170724T160715.326170200.bin</t>
  </si>
  <si>
    <t>-595.517886807244 109.80450098289 -222.01461136276</t>
  </si>
  <si>
    <t>-636.07467655035 104.092874173593 -335.989716919093</t>
  </si>
  <si>
    <t>-658.787035739234 93.5661113127051 -454.581099382726</t>
  </si>
  <si>
    <t>-671.93531690532 81.6089498694109 -562.650414368304</t>
  </si>
  <si>
    <t>-677.831895604654 67.000871396808 -671.032543136868</t>
  </si>
  <si>
    <t>-678.544234224026 43.7074436936405 -821.554742756881</t>
  </si>
  <si>
    <t>-647.496006022143 17.1510094943692 -914.902173259333</t>
  </si>
  <si>
    <t>-661.192321054945 80.5300113746785 -759.13736517191</t>
  </si>
  <si>
    <t>-563.958824991665 190.703566528728 -754.562263052914</t>
  </si>
  <si>
    <t>-450.109969373625 137.200799846899 -464.110707089005</t>
  </si>
  <si>
    <t>-273.705703805441 30.6857703385726 -305.434602259578</t>
  </si>
  <si>
    <t>-695.265760241604 27.4981256863575 -750.769228804527</t>
  </si>
  <si>
    <t>-562.181950454821 200.585254417726 -238.02107794989</t>
  </si>
  <si>
    <t>-566.464754237371 178.373450205833 217.111904255629</t>
  </si>
  <si>
    <t>-635.824467969774 168.180827180754 681.685282562495</t>
  </si>
  <si>
    <t>-497.909020954439 98.4025934023964 765.672360519842</t>
  </si>
  <si>
    <t>-628.698009568162 19.1448528644398 -205.306001206858</t>
  </si>
  <si>
    <t>-519.678666627694 -50.4493245257327 231.648315838574</t>
  </si>
  <si>
    <t>-696.256637585444 32.5178134656871 659.099269668969</t>
  </si>
  <si>
    <t>-581.35732873668 -66.8543953152944 747.794381458723</t>
  </si>
  <si>
    <t>9763-20170724T160715.403378900.bin</t>
  </si>
  <si>
    <t>-596.516748963805 109.691477640088 -222.265297029156</t>
  </si>
  <si>
    <t>-636.863962038969 103.96206558503 -336.313880268265</t>
  </si>
  <si>
    <t>-659.068204952621 93.4889843863496 -455.006189438279</t>
  </si>
  <si>
    <t>-671.632606250192 81.6063900740028 -563.153197228014</t>
  </si>
  <si>
    <t>-676.820257521301 67.0969468438641 -671.584864734045</t>
  </si>
  <si>
    <t>-676.417758575784 43.9636980136418 -822.132946680415</t>
  </si>
  <si>
    <t>-644.812179000402 17.5032083986407 -915.320389075791</t>
  </si>
  <si>
    <t>-659.639834808018 80.7892551743182 -759.560575282221</t>
  </si>
  <si>
    <t>-562.398143221038 190.998409980309 -754.181821307247</t>
  </si>
  <si>
    <t>-447.380801650537 136.770683502429 -464.32581600041</t>
  </si>
  <si>
    <t>-271.942183763991 32.1827324269261 -303.314202683994</t>
  </si>
  <si>
    <t>-693.551867291081 27.6096415025827 -751.47964332411</t>
  </si>
  <si>
    <t>-563.30205680806 200.748562184871 -238.244338511611</t>
  </si>
  <si>
    <t>-567.563269209069 178.936743398988 216.908120185369</t>
  </si>
  <si>
    <t>-635.643388753285 168.329282222903 681.530302055092</t>
  </si>
  <si>
    <t>-498.007014893213 98.2140426242022 765.694411717567</t>
  </si>
  <si>
    <t>-629.366843765984 18.7579595278198 -205.690250948348</t>
  </si>
  <si>
    <t>-520.459343081448 -50.8997449289341 231.281865275619</t>
  </si>
  <si>
    <t>-696.470041139722 32.0753262166108 658.911485356133</t>
  </si>
  <si>
    <t>-581.348021968978 -66.9146470786125 747.745131225756</t>
  </si>
  <si>
    <t>9763-20170724T160715.424120900.bin</t>
  </si>
  <si>
    <t>-597.017126605811 109.469952931527 -222.439299624875</t>
  </si>
  <si>
    <t>-637.319240589837 103.683366181451 -336.500953089841</t>
  </si>
  <si>
    <t>-659.336640409615 93.2393820853913 -455.230680091394</t>
  </si>
  <si>
    <t>-671.672961891953 81.4109302017687 -563.40994934921</t>
  </si>
  <si>
    <t>-676.57341468607 66.9791379186188 -671.865155122909</t>
  </si>
  <si>
    <t>-675.710736173651 43.9746567115983 -822.430994211814</t>
  </si>
  <si>
    <t>-643.853855815223 17.5313921023778 -915.537835028003</t>
  </si>
  <si>
    <t>-659.144985589625 80.7595591179584 -759.778251781824</t>
  </si>
  <si>
    <t>-562.046472314103 191.049561064328 -754.048129974682</t>
  </si>
  <si>
    <t>-447.028282954522 136.1948027746 -464.310391068574</t>
  </si>
  <si>
    <t>-271.137264782661 32.5727484759857 -303.167967056278</t>
  </si>
  <si>
    <t>-693.039870632337 27.5473303997853 -751.842396190523</t>
  </si>
  <si>
    <t>-563.96555176378 200.610144671737 -238.433608293704</t>
  </si>
  <si>
    <t>-568.02469152617 179.117576773661 216.735885148422</t>
  </si>
  <si>
    <t>-635.513200957711 168.321478512355 681.400455790065</t>
  </si>
  <si>
    <t>-497.855381984572 98.441970361321 765.725353161618</t>
  </si>
  <si>
    <t>-629.820002075999 18.4314746615462 -205.770422424188</t>
  </si>
  <si>
    <t>-520.400759919481 -51.341042901171 231.05545365142</t>
  </si>
  <si>
    <t>-696.618779870443 31.7075040270274 658.60892262526</t>
  </si>
  <si>
    <t>-581.212491781808 -66.8148849092104 747.593431193902</t>
  </si>
  <si>
    <t>9763-20170724T160715.489294500.bin</t>
  </si>
  <si>
    <t>-597.885185567192 109.302296048558 -222.724500530567</t>
  </si>
  <si>
    <t>-638.129442123576 103.337794589091 -336.797394495544</t>
  </si>
  <si>
    <t>-659.758480052041 92.8305337586739 -455.592784628276</t>
  </si>
  <si>
    <t>-671.604396757006 80.9854050875635 -563.825070531576</t>
  </si>
  <si>
    <t>-675.874369440012 66.5733614384244 -672.309631095708</t>
  </si>
  <si>
    <t>-673.989395374389 43.6315152941488 -822.875699894037</t>
  </si>
  <si>
    <t>-641.5766008026 17.233568711197 -915.803305848879</t>
  </si>
  <si>
    <t>-657.928404927825 80.4393332366608 -760.105079856399</t>
  </si>
  <si>
    <t>-561.121560080972 190.974294674848 -753.957041028862</t>
  </si>
  <si>
    <t>-446.603067021615 135.628974875424 -464.11472439402</t>
  </si>
  <si>
    <t>-269.807494346705 33.481266223682 -303.020839527163</t>
  </si>
  <si>
    <t>-691.718486142741 27.1257910099143 -752.404634366042</t>
  </si>
  <si>
    <t>-565.206493760297 200.64730344149 -238.735643609687</t>
  </si>
  <si>
    <t>-569.440495580949 179.875578085933 216.465675810279</t>
  </si>
  <si>
    <t>-635.453721968476 168.382030738132 681.419739473736</t>
  </si>
  <si>
    <t>-497.86617068944 98.4316085115486 765.80047256304</t>
  </si>
  <si>
    <t>-630.480738392029 17.9529632516835 -206.014898179167</t>
  </si>
  <si>
    <t>-519.973817309747 -50.9080745712445 230.681871384467</t>
  </si>
  <si>
    <t>-696.502846514719 31.7222833430326 658.229689580411</t>
  </si>
  <si>
    <t>-581.410033021555 -67.015434602285 747.381351751947</t>
  </si>
  <si>
    <t>9763-20170724T160715.527419900.bin</t>
  </si>
  <si>
    <t>-598.455525641046 109.228475720517 -222.807906204928</t>
  </si>
  <si>
    <t>-638.693246930538 103.180604510228 -336.878810017047</t>
  </si>
  <si>
    <t>-660.184643264754 92.5798853014417 -455.690778996325</t>
  </si>
  <si>
    <t>-671.851388846355 80.6467587117575 -563.932919873917</t>
  </si>
  <si>
    <t>-675.887202160511 66.1436588357558 -672.41427607649</t>
  </si>
  <si>
    <t>-673.620150166453 43.0720721027606 -822.95521801574</t>
  </si>
  <si>
    <t>-640.947359577647 16.6430811302616 -915.783020688151</t>
  </si>
  <si>
    <t>-657.76905696521 79.9651840013798 -760.181422941432</t>
  </si>
  <si>
    <t>-561.286234972848 190.777606129981 -754.012463104498</t>
  </si>
  <si>
    <t>-446.625918400671 136.103803335425 -464.098759846631</t>
  </si>
  <si>
    <t>-269.147845829874 34.7474597604012 -303.255750155376</t>
  </si>
  <si>
    <t>-691.477463236006 26.5958610914636 -752.509716044972</t>
  </si>
  <si>
    <t>-565.864243683108 200.720446968569 -238.830090258863</t>
  </si>
  <si>
    <t>-570.187150093646 180.264794146251 216.384824672683</t>
  </si>
  <si>
    <t>-635.497784878188 168.39438980133 681.486145804668</t>
  </si>
  <si>
    <t>-497.896257091607 98.3874767550803 765.797229057208</t>
  </si>
  <si>
    <t>-630.949561714285 17.7978280343368 -206.053498274794</t>
  </si>
  <si>
    <t>-520.013082911727 -50.6407940912086 230.600660744311</t>
  </si>
  <si>
    <t>-696.483255230626 31.8151954118757 658.165508790535</t>
  </si>
  <si>
    <t>-581.251494176695 -66.8050081813522 747.267733594018</t>
  </si>
  <si>
    <t>9763-20170724T160715.590586000.bin</t>
  </si>
  <si>
    <t>-599.677220687026 109.258316605874 -222.827647119002</t>
  </si>
  <si>
    <t>-639.913232905085 103.010074728074 -336.888221008123</t>
  </si>
  <si>
    <t>-661.188645286338 92.2099058783551 -455.721317351314</t>
  </si>
  <si>
    <t>-672.57107436336 80.095335959548 -563.973484223219</t>
  </si>
  <si>
    <t>-676.233668311281 65.4086646521187 -672.443362541831</t>
  </si>
  <si>
    <t>-673.356202794551 42.0791734695804 -822.934093087092</t>
  </si>
  <si>
    <t>-640.235772952683 15.5727263994593 -915.580889742967</t>
  </si>
  <si>
    <t>-657.859938699124 79.1414746705536 -760.171212130416</t>
  </si>
  <si>
    <t>-561.858244892137 190.352264270811 -754.020457010882</t>
  </si>
  <si>
    <t>-447.261343748131 136.961697665496 -463.842629705687</t>
  </si>
  <si>
    <t>-268.880316243144 36.6654307315048 -303.334279357033</t>
  </si>
  <si>
    <t>-691.3987304433 25.6621637702654 -752.522051559547</t>
  </si>
  <si>
    <t>-567.329483242949 200.920762782516 -238.901869397914</t>
  </si>
  <si>
    <t>-571.769099544742 181.050683120598 216.337772345272</t>
  </si>
  <si>
    <t>-635.606791487707 168.402735029299 681.605807868713</t>
  </si>
  <si>
    <t>-497.8730229007 98.4625027390377 765.756154900016</t>
  </si>
  <si>
    <t>-631.913197987927 17.6437280176501 -206.049114517017</t>
  </si>
  <si>
    <t>-520.322362865242 -50.5555810261926 230.475782416269</t>
  </si>
  <si>
    <t>-696.506587729152 31.9802936362164 658.107571787421</t>
  </si>
  <si>
    <t>-581.331585606654 -66.8185576283336 747.085204869821</t>
  </si>
  <si>
    <t>9763-20170724T160715.627702800.bin</t>
  </si>
  <si>
    <t>-600.15550585317 109.363144582443 -222.901525256993</t>
  </si>
  <si>
    <t>-640.366572439546 103.004424014314 -336.964977754374</t>
  </si>
  <si>
    <t>-661.583949332063 92.1015854452137 -455.798817418626</t>
  </si>
  <si>
    <t>-672.899626644287 79.899061702879 -564.048237267961</t>
  </si>
  <si>
    <t>-676.481228237653 65.1295679022689 -672.509515831177</t>
  </si>
  <si>
    <t>-673.47615693518 41.6909783966912 -822.980904567632</t>
  </si>
  <si>
    <t>-640.214228671982 15.1339486668703 -915.562500521113</t>
  </si>
  <si>
    <t>-658.101830193423 78.8404856298789 -760.23959485405</t>
  </si>
  <si>
    <t>-562.549511527082 190.457781946493 -754.149283367167</t>
  </si>
  <si>
    <t>-447.672800847189 137.363432275371 -464.027684761577</t>
  </si>
  <si>
    <t>-268.893688873524 37.5648648712397 -303.652058566231</t>
  </si>
  <si>
    <t>-691.509862527998 25.2830766705199 -752.564384222789</t>
  </si>
  <si>
    <t>-567.988523736445 201.180476772944 -239.005101888523</t>
  </si>
  <si>
    <t>-572.665078865942 181.577829508416 216.243804611049</t>
  </si>
  <si>
    <t>-635.562258950241 168.434615700933 681.558190121915</t>
  </si>
  <si>
    <t>-497.839767540262 98.5101162069418 765.740095645064</t>
  </si>
  <si>
    <t>-632.180618050173 17.6944463210164 -206.132277668611</t>
  </si>
  <si>
    <t>-520.629074994275 -50.6473378810012 230.380487178716</t>
  </si>
  <si>
    <t>-696.580454925722 31.9777177529868 658.07528723454</t>
  </si>
  <si>
    <t>-581.319184083153 -66.7775249328695 746.98960252114</t>
  </si>
  <si>
    <t>9763-20170724T160715.695888800.bin</t>
  </si>
  <si>
    <t>-600.785325812008 109.753832513448 -223.10873706462</t>
  </si>
  <si>
    <t>-640.87413989583 103.107164255946 -337.198633226096</t>
  </si>
  <si>
    <t>-661.981565860303 91.910332932031 -456.024861496007</t>
  </si>
  <si>
    <t>-673.203603761048 79.443894798266 -564.253883062541</t>
  </si>
  <si>
    <t>-676.697774306021 64.4141140209854 -672.682294663505</t>
  </si>
  <si>
    <t>-673.577846311897 40.6191717453103 -823.0953598914</t>
  </si>
  <si>
    <t>-640.164128355988 13.9581388408185 -915.592483458553</t>
  </si>
  <si>
    <t>-658.376431341809 77.99283196343 -760.445116150009</t>
  </si>
  <si>
    <t>-563.822086202993 190.481878977648 -754.78412105335</t>
  </si>
  <si>
    <t>-449.371484989308 138.714076386694 -464.254582272183</t>
  </si>
  <si>
    <t>-269.549896254087 39.4325413915612 -304.725847668417</t>
  </si>
  <si>
    <t>-691.540091554577 24.3026977296952 -752.639338920894</t>
  </si>
  <si>
    <t>-568.999286700927 201.736542043375 -239.288566640273</t>
  </si>
  <si>
    <t>-574.511084386897 182.911766631914 215.9837923922</t>
  </si>
  <si>
    <t>-635.500676788114 168.485981197115 681.542841135164</t>
  </si>
  <si>
    <t>-497.771751219682 98.602250268649 765.747999086562</t>
  </si>
  <si>
    <t>-632.395869828039 17.9042251601211 -206.26641484734</t>
  </si>
  <si>
    <t>-521.079431059412 -50.7599534082069 230.255715520505</t>
  </si>
  <si>
    <t>-696.646297120986 32.0470367167013 658.01828727877</t>
  </si>
  <si>
    <t>-581.296717714108 -66.7011088589134 746.825879056477</t>
  </si>
  <si>
    <t>9763-20170724T160715.720959900.bin</t>
  </si>
  <si>
    <t>-600.978475617604 110.026181819657 -223.1627017419</t>
  </si>
  <si>
    <t>-641.03665122037 103.261676821513 -337.256473256934</t>
  </si>
  <si>
    <t>-662.062192032443 91.9120357968163 -456.08268764323</t>
  </si>
  <si>
    <t>-673.189258378426 79.2962666037397 -564.304173562307</t>
  </si>
  <si>
    <t>-676.56773000095 64.1075751528597 -672.714299255276</t>
  </si>
  <si>
    <t>-673.265762065284 40.0832379313065 -823.086828141511</t>
  </si>
  <si>
    <t>-639.75011307275 13.4243147876937 -915.547611696678</t>
  </si>
  <si>
    <t>-658.198399868038 77.5871681965407 -760.482242370564</t>
  </si>
  <si>
    <t>-563.913987339043 190.276187054794 -755.001679187966</t>
  </si>
  <si>
    <t>-450.198003646193 139.945714435639 -463.931744230104</t>
  </si>
  <si>
    <t>-269.391999191693 41.2104741864923 -305.178454794161</t>
  </si>
  <si>
    <t>-691.255175817276 23.8393428776337 -752.621122068861</t>
  </si>
  <si>
    <t>-569.279138780624 202.047478273421 -239.392126347363</t>
  </si>
  <si>
    <t>-575.285115382756 183.626656794444 215.890510371894</t>
  </si>
  <si>
    <t>-635.471533618769 168.581660751415 681.569283981726</t>
  </si>
  <si>
    <t>-497.858482398433 98.4431274848273 765.752066833394</t>
  </si>
  <si>
    <t>-632.508848003681 18.1006504744494 -206.240443520728</t>
  </si>
  <si>
    <t>-521.107026987804 -50.7639992498262 230.228249257951</t>
  </si>
  <si>
    <t>-696.633079869585 32.1033090470794 657.967227969109</t>
  </si>
  <si>
    <t>-581.266171925983 -66.6376445913324 746.760327656809</t>
  </si>
  <si>
    <t>9763-20170724T160715.795161200.bin</t>
  </si>
  <si>
    <t>-601.349812809577 110.314765972094 -223.229285793652</t>
  </si>
  <si>
    <t>-641.297081868235 103.316141261598 -337.347913862783</t>
  </si>
  <si>
    <t>-662.314182985236 91.689971402373 -456.148978756716</t>
  </si>
  <si>
    <t>-673.477766016995 78.811717095065 -564.335656634281</t>
  </si>
  <si>
    <t>-676.938167874103 63.349958775543 -672.704486215769</t>
  </si>
  <si>
    <t>-673.797648524694 38.9371731450663 -823.01802776954</t>
  </si>
  <si>
    <t>-640.249575277832 12.1998204462923 -915.444429851345</t>
  </si>
  <si>
    <t>-658.705477610353 76.6280200527519 -760.531645133966</t>
  </si>
  <si>
    <t>-564.746691689348 189.639718428442 -755.542170400857</t>
  </si>
  <si>
    <t>-451.572085651072 142.731024445585 -463.690747005628</t>
  </si>
  <si>
    <t>-269.176061295579 45.5455055130508 -305.802422941024</t>
  </si>
  <si>
    <t>-691.669033727078 22.8500698732614 -752.486231757944</t>
  </si>
  <si>
    <t>-569.798759696288 202.31224768704 -239.517642551614</t>
  </si>
  <si>
    <t>-576.304681027962 184.428592501882 215.77949109757</t>
  </si>
  <si>
    <t>-635.577838174432 168.512650906826 681.624586576046</t>
  </si>
  <si>
    <t>-497.828650611911 98.5078565855106 765.696009090452</t>
  </si>
  <si>
    <t>-632.739887519883 18.3031080414362 -206.270179594984</t>
  </si>
  <si>
    <t>-521.049419939462 -50.5354946578689 230.128899973331</t>
  </si>
  <si>
    <t>-696.666779925812 32.0404052559575 657.85745812347</t>
  </si>
  <si>
    <t>-581.233119242841 -66.5582632177543 746.721890121295</t>
  </si>
  <si>
    <t>9763-20170724T160715.838281000.bin</t>
  </si>
  <si>
    <t>-601.390874194461 110.370455601166 -223.246315876044</t>
  </si>
  <si>
    <t>-641.299740467711 103.306126397146 -337.374211972441</t>
  </si>
  <si>
    <t>-662.367640909914 91.5690402430998 -456.155277093401</t>
  </si>
  <si>
    <t>-673.61657231623 78.5705380613001 -564.318809627903</t>
  </si>
  <si>
    <t>-677.203410040109 62.9675180583074 -672.663400442185</t>
  </si>
  <si>
    <t>-674.283232674586 38.3350215290925 -822.945551899302</t>
  </si>
  <si>
    <t>-640.773941411228 11.4861759948437 -915.353581860799</t>
  </si>
  <si>
    <t>-659.088947037757 76.1107956216817 -760.535309193889</t>
  </si>
  <si>
    <t>-565.112834832784 189.116351228514 -755.94570013412</t>
  </si>
  <si>
    <t>-452.005500389587 143.508159623777 -463.862206554618</t>
  </si>
  <si>
    <t>-269.324312631122 47.3709612454527 -305.662077588727</t>
  </si>
  <si>
    <t>-692.061738054203 22.357431802202 -752.365304190433</t>
  </si>
  <si>
    <t>-569.972606381555 202.401300194511 -239.535795584887</t>
  </si>
  <si>
    <t>-576.398579669068 184.563880395809 215.764319009168</t>
  </si>
  <si>
    <t>-635.560487331922 168.588197602556 681.629222540312</t>
  </si>
  <si>
    <t>-497.868086212696 98.4324661023356 765.667820276476</t>
  </si>
  <si>
    <t>-632.636443879452 18.3759701618887 -206.319008299286</t>
  </si>
  <si>
    <t>-520.913032617172 -50.360468605646 230.08772784537</t>
  </si>
  <si>
    <t>-696.562705789413 32.1117928876167 657.805802671656</t>
  </si>
  <si>
    <t>-581.196214621165 -66.4951892009119 746.748174285719</t>
  </si>
  <si>
    <t>9763-20170724T160715.899448800.bin</t>
  </si>
  <si>
    <t>-601.184950191708 110.405825535672 -223.305874187734</t>
  </si>
  <si>
    <t>-641.130488976462 103.331777435169 -337.42046111414</t>
  </si>
  <si>
    <t>-662.299321803424 91.4269428895182 -456.166902262963</t>
  </si>
  <si>
    <t>-673.675772689861 78.1938170198644 -564.288606348758</t>
  </si>
  <si>
    <t>-677.434122970891 62.2623801078048 -672.579477831241</t>
  </si>
  <si>
    <t>-674.805602807206 37.0668013036463 -822.773669054966</t>
  </si>
  <si>
    <t>-641.392140542011 9.72424152894746 -915.071485280598</t>
  </si>
  <si>
    <t>-659.332480684252 74.9817347980006 -760.516342021338</t>
  </si>
  <si>
    <t>-564.873580448034 187.616165079414 -756.746558766397</t>
  </si>
  <si>
    <t>-452.091185180406 143.829166721307 -464.25876180264</t>
  </si>
  <si>
    <t>-270.460983556098 48.8461960922009 -304.162753659822</t>
  </si>
  <si>
    <t>-692.604884161916 21.4482908603318 -752.118378111442</t>
  </si>
  <si>
    <t>-570.080429322461 202.393313036981 -239.509290576119</t>
  </si>
  <si>
    <t>-576.105884720796 184.258281984906 215.784521911475</t>
  </si>
  <si>
    <t>-635.608586922144 168.519061109147 681.615310035876</t>
  </si>
  <si>
    <t>-497.804052369147 98.5324249199116 765.611112477105</t>
  </si>
  <si>
    <t>-632.14791903655 18.4372830668349 -206.49683849212</t>
  </si>
  <si>
    <t>-520.577610529188 -49.9481969927288 230.004180330788</t>
  </si>
  <si>
    <t>-696.404908946242 32.1213054279904 657.704663696897</t>
  </si>
  <si>
    <t>-581.210025248693 -66.4982896643724 746.855209614283</t>
  </si>
  <si>
    <t>9763-20170724T160715.923517800.bin</t>
  </si>
  <si>
    <t>-601.053882170319 110.407230840282 -223.300713843141</t>
  </si>
  <si>
    <t>-641.021616184929 103.378741692265 -337.410383617907</t>
  </si>
  <si>
    <t>-662.257824887689 91.4626168127288 -456.143565103844</t>
  </si>
  <si>
    <t>-673.717936915547 78.1877377739422 -564.251429901148</t>
  </si>
  <si>
    <t>-677.585630077495 62.1786138403738 -672.526931849211</t>
  </si>
  <si>
    <t>-675.139080316875 36.8334551900509 -822.699017067244</t>
  </si>
  <si>
    <t>-641.83564241665 9.21399092003571 -914.954217455593</t>
  </si>
  <si>
    <t>-659.469196223703 74.7369347006413 -760.483962665952</t>
  </si>
  <si>
    <t>-564.48270965641 186.952315392504 -756.963448086736</t>
  </si>
  <si>
    <t>-452.629649715833 143.135406803031 -464.123677024769</t>
  </si>
  <si>
    <t>-271.550752265631 48.5446202609558 -303.1732184935</t>
  </si>
  <si>
    <t>-692.973948646931 21.3589397293158 -752.021072905367</t>
  </si>
  <si>
    <t>-569.947306300391 202.24078449755 -239.47753520631</t>
  </si>
  <si>
    <t>-575.851740188059 184.007205709459 215.813965532743</t>
  </si>
  <si>
    <t>-635.632687763838 168.475151208999 681.617437933584</t>
  </si>
  <si>
    <t>-497.7746381972 98.5759372632403 765.598263816967</t>
  </si>
  <si>
    <t>-632.029819849924 18.6098350973127 -206.462353049953</t>
  </si>
  <si>
    <t>-520.402124956808 -49.9957959731209 229.98955811449</t>
  </si>
  <si>
    <t>-696.22660346367 32.2269663286675 657.646675929223</t>
  </si>
  <si>
    <t>-581.232013299189 -66.5137682702928 746.9216654458</t>
  </si>
  <si>
    <t>9763-20170724T160715.989692100.bin</t>
  </si>
  <si>
    <t>-600.864106565688 110.305233775371 -223.085662100639</t>
  </si>
  <si>
    <t>-640.940460993861 103.377348129209 -337.163324891457</t>
  </si>
  <si>
    <t>-662.56596837497 91.3916856198446 -455.81925990211</t>
  </si>
  <si>
    <t>-674.501646922314 77.9786204053407 -563.858627876966</t>
  </si>
  <si>
    <t>-678.97310935224 61.7538419443774 -672.078811092841</t>
  </si>
  <si>
    <t>-677.502999788915 36.0261740033625 -822.198397768734</t>
  </si>
  <si>
    <t>-644.8351169914 7.79163624535818 -914.494815289753</t>
  </si>
  <si>
    <t>-661.12350088314 73.8995690832385 -760.148279516799</t>
  </si>
  <si>
    <t>-565.389495135473 185.487477160365 -757.277208037529</t>
  </si>
  <si>
    <t>-455.572232483657 141.628676763392 -463.674221865908</t>
  </si>
  <si>
    <t>-276.925509805351 44.6393367892465 -301.438318027401</t>
  </si>
  <si>
    <t>-695.183467674371 20.9201554791312 -751.402155825658</t>
  </si>
  <si>
    <t>-569.291769284855 201.869435147838 -239.393753091601</t>
  </si>
  <si>
    <t>-575.438371327717 183.699350856774 215.897084330436</t>
  </si>
  <si>
    <t>-635.658248190429 168.41956192749 681.63436514696</t>
  </si>
  <si>
    <t>-497.773390147111 98.552087626523 765.597536708808</t>
  </si>
  <si>
    <t>-632.335438636056 18.6919095254354 -206.092754446401</t>
  </si>
  <si>
    <t>-520.349299862882 -50.5290813747308 230.170074034216</t>
  </si>
  <si>
    <t>-696.20366912677 32.2420466851108 657.688514169822</t>
  </si>
  <si>
    <t>-581.26961428419 -66.4948031832967 747.045705491302</t>
  </si>
  <si>
    <t>9763-20170724T160716.024602600.bin</t>
  </si>
  <si>
    <t>-600.644232885197 110.212154454372 -222.971640677587</t>
  </si>
  <si>
    <t>-640.704960869623 103.319842296601 -337.05688807094</t>
  </si>
  <si>
    <t>-662.464102788793 91.3116252435802 -455.686221250619</t>
  </si>
  <si>
    <t>-674.585846742962 77.8521509234452 -563.699016610684</t>
  </si>
  <si>
    <t>-679.310875687983 61.5540023297051 -671.897429971756</t>
  </si>
  <si>
    <t>-678.265362395775 35.6951186824306 -821.998121668538</t>
  </si>
  <si>
    <t>-645.868639204375 7.23816541789483 -914.321664866298</t>
  </si>
  <si>
    <t>-661.539167701251 73.5152063130847 -760.007933300247</t>
  </si>
  <si>
    <t>-565.23122056237 184.578345496846 -757.619879422285</t>
  </si>
  <si>
    <t>-457.308364675168 141.43981857602 -463.208803363384</t>
  </si>
  <si>
    <t>-280.139403377135 41.7670788166822 -300.978791597787</t>
  </si>
  <si>
    <t>-695.916783551523 20.7585282006662 -751.158524882393</t>
  </si>
  <si>
    <t>-568.750610365617 201.649135551037 -239.374112341751</t>
  </si>
  <si>
    <t>-575.156390969724 183.565068104718 215.91659505346</t>
  </si>
  <si>
    <t>-635.647587763177 168.438855905912 681.643670309145</t>
  </si>
  <si>
    <t>-497.835642207706 98.4237202295133 765.603528177779</t>
  </si>
  <si>
    <t>-632.373981228734 18.749501753724 -205.937032648382</t>
  </si>
  <si>
    <t>-520.434735238326 -50.8395240172761 230.279238143043</t>
  </si>
  <si>
    <t>-696.212210281586 32.2697416169794 657.736382809692</t>
  </si>
  <si>
    <t>-581.26585609575 -66.4528705807641 747.093506966669</t>
  </si>
  <si>
    <t>9763-20170724T160716.088809700.bin</t>
  </si>
  <si>
    <t>-600.093805286859 110.00670063494 -222.976083908472</t>
  </si>
  <si>
    <t>-640.071214011405 103.335764082978 -337.103735493549</t>
  </si>
  <si>
    <t>-662.027082138106 91.4638492756314 -455.710583930808</t>
  </si>
  <si>
    <t>-674.449820267801 78.086984699501 -563.699361487241</t>
  </si>
  <si>
    <t>-679.602397917432 61.8295191828654 -671.88431712514</t>
  </si>
  <si>
    <t>-679.286743756067 35.9805024919758 -821.990047536431</t>
  </si>
  <si>
    <t>-647.407191185413 7.10097509438401 -914.362544217594</t>
  </si>
  <si>
    <t>-661.957308182794 73.6034082512194 -760.045447733308</t>
  </si>
  <si>
    <t>-564.630119665031 183.79683843005 -758.509695547946</t>
  </si>
  <si>
    <t>-461.959005467698 142.388073466966 -461.979591503009</t>
  </si>
  <si>
    <t>-291.058286635219 35.207153813195 -297.823417159467</t>
  </si>
  <si>
    <t>-696.895491562148 21.2324003678157 -751.100462127581</t>
  </si>
  <si>
    <t>-567.611612153059 201.195867273991 -239.341022817415</t>
  </si>
  <si>
    <t>-574.310756739053 182.977181109971 215.94006845273</t>
  </si>
  <si>
    <t>-635.600320573378 168.493921744936 681.619735601649</t>
  </si>
  <si>
    <t>-497.887720809208 98.288660249146 765.583862315361</t>
  </si>
  <si>
    <t>-632.441983258105 18.9267430382492 -205.950957093273</t>
  </si>
  <si>
    <t>-520.77238078348 -51.5366541058472 230.194059777422</t>
  </si>
  <si>
    <t>-696.120514656504 32.2983977541619 657.737122061784</t>
  </si>
  <si>
    <t>-581.382377721944 -66.5625031716131 747.208893035611</t>
  </si>
  <si>
    <t>9763-20170724T160716.124381700.bin</t>
  </si>
  <si>
    <t>-599.806541053101 109.825463022096 -222.954145371517</t>
  </si>
  <si>
    <t>-639.761275322944 103.276001605926 -337.09673431034</t>
  </si>
  <si>
    <t>-661.752933993169 91.5574029063414 -455.71218397967</t>
  </si>
  <si>
    <t>-674.233002737249 78.3276581368864 -563.712446455256</t>
  </si>
  <si>
    <t>-679.469139067847 62.2227586337754 -671.916167449067</t>
  </si>
  <si>
    <t>-679.296814847755 36.5900623493353 -822.059313487618</t>
  </si>
  <si>
    <t>-647.631457690075 7.619629886344 -914.47684361615</t>
  </si>
  <si>
    <t>-661.78556582559 74.0438853325345 -760.06342366585</t>
  </si>
  <si>
    <t>-564.020387370426 183.875030206974 -758.684048033003</t>
  </si>
  <si>
    <t>-464.142040211538 143.484709642959 -461.061618488769</t>
  </si>
  <si>
    <t>-294.628133638104 34.930848647801 -296.370543404281</t>
  </si>
  <si>
    <t>-696.960473456866 21.8196822254961 -751.187914119947</t>
  </si>
  <si>
    <t>-567.101123774325 200.863587664905 -239.298516422922</t>
  </si>
  <si>
    <t>-573.86520975996 182.583716086732 215.979190133837</t>
  </si>
  <si>
    <t>-635.611629725763 168.451999533492 681.61183023544</t>
  </si>
  <si>
    <t>-497.947993325531 98.1608977396472 765.584475012443</t>
  </si>
  <si>
    <t>-632.336105900545 18.8917058294078 -205.96094897281</t>
  </si>
  <si>
    <t>-520.935068885147 -51.9140004309979 230.197288058532</t>
  </si>
  <si>
    <t>-696.113654094837 32.2502146520651 657.723396853503</t>
  </si>
  <si>
    <t>-581.417705524164 -66.5951779839047 747.266380114352</t>
  </si>
  <si>
    <t>9763-20170724T160716.191559500.bin</t>
  </si>
  <si>
    <t>-599.208146579571 109.357703202079 -222.85684937556</t>
  </si>
  <si>
    <t>-639.303485654814 103.065330112613 -336.964513522996</t>
  </si>
  <si>
    <t>-661.331790455216 91.6094362399247 -455.598780179893</t>
  </si>
  <si>
    <t>-673.800010975235 78.6178088185695 -563.629461501051</t>
  </si>
  <si>
    <t>-678.977202369923 62.7523307531503 -671.871387909931</t>
  </si>
  <si>
    <t>-678.673087943118 37.4533993812463 -822.07090563655</t>
  </si>
  <si>
    <t>-647.244517433292 8.3953678515993 -914.541801931194</t>
  </si>
  <si>
    <t>-661.104155240186 74.6954152916398 -759.96385260314</t>
  </si>
  <si>
    <t>-562.925798869235 184.166472427677 -758.626289517736</t>
  </si>
  <si>
    <t>-469.562132515656 146.081835229969 -458.594637589178</t>
  </si>
  <si>
    <t>-299.992905097932 36.2911301938238 -294.782740927867</t>
  </si>
  <si>
    <t>-696.511059848161 22.5994718027077 -751.260774650853</t>
  </si>
  <si>
    <t>-566.093555427037 200.075934537281 -239.217971892289</t>
  </si>
  <si>
    <t>-573.017124793769 181.684889246258 216.052870940991</t>
  </si>
  <si>
    <t>-635.61461823942 168.354475766692 681.587435576846</t>
  </si>
  <si>
    <t>-497.872645794431 98.2529895363057 765.590039553574</t>
  </si>
  <si>
    <t>-632.209784141389 18.6887472499943 -205.802794606471</t>
  </si>
  <si>
    <t>-520.971253333962 -52.6323987962185 230.312979780878</t>
  </si>
  <si>
    <t>-696.049818203581 32.3011382313146 657.755722191892</t>
  </si>
  <si>
    <t>-581.558912719784 -66.721362140609 747.365373822886</t>
  </si>
  <si>
    <t>9763-20170724T160716.222154700.bin</t>
  </si>
  <si>
    <t>-599.110880414853 109.148226639776 -222.780176170414</t>
  </si>
  <si>
    <t>-639.331768879386 102.971875001025 -336.849936755784</t>
  </si>
  <si>
    <t>-661.375450329265 91.5423776544351 -455.483943968395</t>
  </si>
  <si>
    <t>-673.810878410934 78.542788270584 -563.517287305785</t>
  </si>
  <si>
    <t>-678.907428550163 62.6410432885514 -671.757847273275</t>
  </si>
  <si>
    <t>-678.441084259765 37.2649026417835 -821.943921321291</t>
  </si>
  <si>
    <t>-647.043697278117 8.20172232350797 -914.423743329071</t>
  </si>
  <si>
    <t>-660.945943235838 74.5432198493625 -759.837741822802</t>
  </si>
  <si>
    <t>-562.964821298994 184.223185498415 -758.613237084485</t>
  </si>
  <si>
    <t>-472.349759874936 147.47057091177 -457.574454606987</t>
  </si>
  <si>
    <t>-305.729894133818 33.4043258719159 -293.657512385614</t>
  </si>
  <si>
    <t>-696.348877748109 22.4429422523961 -751.144715645393</t>
  </si>
  <si>
    <t>-565.770361181507 199.804575572653 -239.1795717708</t>
  </si>
  <si>
    <t>-572.682419481786 181.32603212486 216.087873251651</t>
  </si>
  <si>
    <t>-635.615236309259 168.313812747929 681.582562243138</t>
  </si>
  <si>
    <t>-497.872274358676 98.2322077300548 765.600204352248</t>
  </si>
  <si>
    <t>-632.331952762881 18.5919865452911 -205.668973003301</t>
  </si>
  <si>
    <t>-520.989779456648 -52.9880664748976 230.377963280107</t>
  </si>
  <si>
    <t>-696.110844568334 32.2277544902556 657.74322797012</t>
  </si>
  <si>
    <t>-581.689584873983 -66.844591102267 747.386720230165</t>
  </si>
  <si>
    <t>9763-20170724T160716.292342900.bin</t>
  </si>
  <si>
    <t>-599.038630025724 108.976683144838 -222.813517924968</t>
  </si>
  <si>
    <t>-639.4132529678 102.952761786926 -336.837214954805</t>
  </si>
  <si>
    <t>-661.495956343329 91.4225734199631 -455.454082808343</t>
  </si>
  <si>
    <t>-673.924458804085 78.2275168591032 -563.464691366395</t>
  </si>
  <si>
    <t>-678.975881863932 62.0257199237501 -671.662848908075</t>
  </si>
  <si>
    <t>-678.410993659822 36.1245112088191 -821.758786508718</t>
  </si>
  <si>
    <t>-646.94206230951 7.04295547110996 -914.208648405901</t>
  </si>
  <si>
    <t>-660.908351367448 73.5878874220268 -759.766372415507</t>
  </si>
  <si>
    <t>-563.195223775028 183.438496738953 -758.915430671644</t>
  </si>
  <si>
    <t>-477.422734342074 149.600522032045 -456.121324275537</t>
  </si>
  <si>
    <t>-316.767631143759 25.8096013080949 -293.309158767208</t>
  </si>
  <si>
    <t>-696.413611448958 21.5819944809909 -750.92557965719</t>
  </si>
  <si>
    <t>-565.530248155904 199.511657179319 -239.17818423595</t>
  </si>
  <si>
    <t>-571.997343968812 180.645182649732 216.079945147118</t>
  </si>
  <si>
    <t>-635.613431540815 168.242997503845 681.554927367213</t>
  </si>
  <si>
    <t>-497.916518229179 98.1037402444715 765.599921953364</t>
  </si>
  <si>
    <t>-632.311082948106 18.5681499958823 -205.755624604129</t>
  </si>
  <si>
    <t>-521.202058837225 -53.3907211210715 230.288424203136</t>
  </si>
  <si>
    <t>-695.958255244573 32.3120717432005 657.673280997399</t>
  </si>
  <si>
    <t>-581.737879645459 -66.8772961373102 747.443473696617</t>
  </si>
  <si>
    <t>9763-20170724T160716.323441300.bin</t>
  </si>
  <si>
    <t>-599.161128015934 108.95913589498 -222.813940783158</t>
  </si>
  <si>
    <t>-639.538750643478 103.011284813217 -336.840489670242</t>
  </si>
  <si>
    <t>-661.68943086355 91.5340070963098 -455.449798308615</t>
  </si>
  <si>
    <t>-674.208014803115 78.3752179593657 -563.454479129578</t>
  </si>
  <si>
    <t>-679.379316658976 62.1969766735867 -671.650366847112</t>
  </si>
  <si>
    <t>-679.013140070939 36.3141777540234 -821.750195793587</t>
  </si>
  <si>
    <t>-647.532059852 7.25965044784084 -914.204440917285</t>
  </si>
  <si>
    <t>-661.397591069718 73.7495895259385 -759.772773658189</t>
  </si>
  <si>
    <t>-563.611255904731 183.606344377433 -759.067858493858</t>
  </si>
  <si>
    <t>-479.704841887672 150.314377244795 -455.690876730116</t>
  </si>
  <si>
    <t>-322.767004865624 21.5425701754755 -293.116684026389</t>
  </si>
  <si>
    <t>-696.952702299585 21.7834759812606 -750.898709891732</t>
  </si>
  <si>
    <t>-565.638793617273 199.474873705773 -239.144719759817</t>
  </si>
  <si>
    <t>-571.869827844823 180.490337713337 216.111769712464</t>
  </si>
  <si>
    <t>-635.576745699178 168.305181380033 681.55525831957</t>
  </si>
  <si>
    <t>-497.948766939206 98.0323810725276 765.601550890185</t>
  </si>
  <si>
    <t>-632.458017196392 18.5551266590201 -205.850605341563</t>
  </si>
  <si>
    <t>-521.372382446322 -53.5118928583377 230.18150606296</t>
  </si>
  <si>
    <t>-695.937286208848 32.2683713137355 657.627491723709</t>
  </si>
  <si>
    <t>-581.762429364583 -66.9090833907039 747.4687190306</t>
  </si>
  <si>
    <t>9763-20170724T160716.394627300.bin</t>
  </si>
  <si>
    <t>-599.749858120149 109.208313706808 -222.881985447043</t>
  </si>
  <si>
    <t>-640.161946192743 103.335081398033 -336.900293500894</t>
  </si>
  <si>
    <t>-662.407805502842 91.9500689318018 -455.500831331253</t>
  </si>
  <si>
    <t>-675.038912405449 78.8760801486558 -563.502428673113</t>
  </si>
  <si>
    <t>-680.350610280287 62.7804588154097 -671.704102403351</t>
  </si>
  <si>
    <t>-680.209846012587 37.0071428865194 -821.823041656604</t>
  </si>
  <si>
    <t>-648.762422513048 7.95917141880182 -914.290565969181</t>
  </si>
  <si>
    <t>-662.456396732711 74.3674349640819 -759.83980721784</t>
  </si>
  <si>
    <t>-564.543568227274 184.026444251282 -759.117379276626</t>
  </si>
  <si>
    <t>-482.068830669643 151.198786659074 -455.297652916395</t>
  </si>
  <si>
    <t>-328.78665882175 19.1350960185266 -291.878551869751</t>
  </si>
  <si>
    <t>-698.087961244238 22.4545128004149 -750.960338524936</t>
  </si>
  <si>
    <t>-566.250978835058 199.775819377587 -239.126521079299</t>
  </si>
  <si>
    <t>-572.032037988487 180.467391227789 216.122213161261</t>
  </si>
  <si>
    <t>-635.576616031561 168.282623194432 681.561188091055</t>
  </si>
  <si>
    <t>-497.867566869701 98.1586307892831 765.598968597286</t>
  </si>
  <si>
    <t>-633.065727709793 18.7275520789426 -205.988994149</t>
  </si>
  <si>
    <t>-521.936774862441 -53.4924040882408 230.006850069789</t>
  </si>
  <si>
    <t>-696.158584160585 32.0188962992406 657.685727509411</t>
  </si>
  <si>
    <t>-581.677524506003 -66.7827967296316 747.551300284718</t>
  </si>
  <si>
    <t>9763-20170724T160716.425473600.bin</t>
  </si>
  <si>
    <t>-600.094231474015 109.459809970472 -222.872609604086</t>
  </si>
  <si>
    <t>-640.552728064858 103.61024951694 -336.875761987632</t>
  </si>
  <si>
    <t>-662.839697208558 92.3371323804529 -455.47918330543</t>
  </si>
  <si>
    <t>-675.502162500708 79.4015325099599 -563.493815228083</t>
  </si>
  <si>
    <t>-680.836923021548 63.4821091832155 -671.720366177175</t>
  </si>
  <si>
    <t>-680.717007696165 37.9936307411815 -821.888049471461</t>
  </si>
  <si>
    <t>-649.312027369188 9.02362734473013 -914.394358970922</t>
  </si>
  <si>
    <t>-662.986541635745 75.2573538985678 -759.839952996393</t>
  </si>
  <si>
    <t>-565.116030081786 185.035342092625 -758.953639825561</t>
  </si>
  <si>
    <t>-482.847462575961 151.213580291814 -455.186990457829</t>
  </si>
  <si>
    <t>-329.619585895257 20.0415426682284 -291.000668394829</t>
  </si>
  <si>
    <t>-698.553623486945 23.285593428697 -751.046950107025</t>
  </si>
  <si>
    <t>-566.59399934626 200.05670813221 -239.115038786331</t>
  </si>
  <si>
    <t>-572.161674315838 180.62013260568 216.130955997188</t>
  </si>
  <si>
    <t>-635.58044215619 168.279234032541 681.574943721927</t>
  </si>
  <si>
    <t>-497.861647398177 98.157823467792 765.598961872895</t>
  </si>
  <si>
    <t>-633.388224753849 18.9345093918614 -205.99126917806</t>
  </si>
  <si>
    <t>-522.167798247469 -53.2894621016408 229.98046158799</t>
  </si>
  <si>
    <t>-696.194229566106 32.0497767854677 657.774433984191</t>
  </si>
  <si>
    <t>-581.708982334669 -66.7919769503069 747.590602858288</t>
  </si>
  <si>
    <t>9763-20170724T160716.492675400.bin</t>
  </si>
  <si>
    <t>-600.629128600153 110.281713657686 -222.784058121942</t>
  </si>
  <si>
    <t>-641.228436963043 104.400863581517 -336.735464047515</t>
  </si>
  <si>
    <t>-663.599732078679 93.0684905252965 -455.317386876862</t>
  </si>
  <si>
    <t>-676.310120105662 80.0794851972603 -563.319999109577</t>
  </si>
  <si>
    <t>-681.661026240166 64.1131463082752 -671.538853701745</t>
  </si>
  <si>
    <t>-681.527166528905 38.57178957014 -821.697425052765</t>
  </si>
  <si>
    <t>-650.173918569777 9.76723253429168 -914.273165443143</t>
  </si>
  <si>
    <t>-663.949439111784 75.9546279414574 -759.677566846967</t>
  </si>
  <si>
    <t>-567.036485758556 186.505858858311 -758.723399794612</t>
  </si>
  <si>
    <t>-482.855855751616 152.08437291437 -455.548596219592</t>
  </si>
  <si>
    <t>-331.883904502972 18.9298508937475 -290.868872779297</t>
  </si>
  <si>
    <t>-699.223296796801 23.7915353278449 -750.836257205934</t>
  </si>
  <si>
    <t>-567.154862883856 200.979243896626 -239.080635613345</t>
  </si>
  <si>
    <t>-572.429227632942 181.278839751682 216.157579935014</t>
  </si>
  <si>
    <t>-635.525871399747 168.406547433956 681.607751588451</t>
  </si>
  <si>
    <t>-497.906108491638 98.0721790804548 765.615975513641</t>
  </si>
  <si>
    <t>-633.881303748995 19.6692243902894 -205.852628178031</t>
  </si>
  <si>
    <t>-522.400355382365 -52.8125401341974 230.009811725082</t>
  </si>
  <si>
    <t>-696.235443171325 32.1515038240693 657.942581068115</t>
  </si>
  <si>
    <t>-581.731302436984 -66.7749006577876 747.641403817687</t>
  </si>
  <si>
    <t>9763-20170724T160716.522520900.bin</t>
  </si>
  <si>
    <t>-600.84361736133 110.792426616073 -222.82281407345</t>
  </si>
  <si>
    <t>-641.502727172381 104.901103375267 -336.752386820294</t>
  </si>
  <si>
    <t>-663.868825852684 93.5732294282095 -455.335700689583</t>
  </si>
  <si>
    <t>-676.545535968037 80.5959221810672 -563.343562903894</t>
  </si>
  <si>
    <t>-681.832632252829 64.6494960484392 -671.568432175976</t>
  </si>
  <si>
    <t>-681.577523599546 39.1453129279594 -821.733369567167</t>
  </si>
  <si>
    <t>-650.117098538787 10.4929426876013 -914.319869097842</t>
  </si>
  <si>
    <t>-664.118352939534 76.5575351135594 -759.697745721096</t>
  </si>
  <si>
    <t>-567.342230040186 187.275062922271 -758.742612785217</t>
  </si>
  <si>
    <t>-483.283815703043 152.838341816009 -455.535553825923</t>
  </si>
  <si>
    <t>-332.650960707582 18.8862064675682 -291.192641852959</t>
  </si>
  <si>
    <t>-699.262496888778 24.3026526843996 -750.882308771281</t>
  </si>
  <si>
    <t>-567.483452155626 201.60032782597 -239.091585697605</t>
  </si>
  <si>
    <t>-572.559103323268 181.652528279766 216.1380283602</t>
  </si>
  <si>
    <t>-635.514947596728 168.425973068916 681.617678148369</t>
  </si>
  <si>
    <t>-497.866033269187 98.1389336571715 765.617782215272</t>
  </si>
  <si>
    <t>-634.019287442858 20.1254274350756 -205.858210521571</t>
  </si>
  <si>
    <t>-522.397038276124 -52.580249157347 229.930777477174</t>
  </si>
  <si>
    <t>-696.213401162486 32.1985858782382 657.958622119245</t>
  </si>
  <si>
    <t>-581.748718464061 -66.7809452897686 747.649204447088</t>
  </si>
  <si>
    <t>9763-20170724T160716.592705900.bin</t>
  </si>
  <si>
    <t>-601.243637766546 111.855540533847 -222.737533122578</t>
  </si>
  <si>
    <t>-641.934080014542 105.863435286165 -336.65059952244</t>
  </si>
  <si>
    <t>-664.239245827458 94.4496033545254 -455.237120823239</t>
  </si>
  <si>
    <t>-676.820557915038 81.4030848867799 -563.247970875261</t>
  </si>
  <si>
    <t>-681.970853207441 65.3967580586439 -671.470537671658</t>
  </si>
  <si>
    <t>-681.481669065116 39.819947141744 -821.622454431614</t>
  </si>
  <si>
    <t>-649.806627411037 11.4268287437433 -914.215695600213</t>
  </si>
  <si>
    <t>-664.261101030157 77.3544325372757 -759.593940411312</t>
  </si>
  <si>
    <t>-568.007492586184 188.519766748005 -758.543266670682</t>
  </si>
  <si>
    <t>-483.735615991906 153.90469326556 -455.415920223429</t>
  </si>
  <si>
    <t>-333.143156924104 18.810165266299 -291.973384830118</t>
  </si>
  <si>
    <t>-699.135134958049 24.9193540424403 -750.775845378633</t>
  </si>
  <si>
    <t>-568.124117668009 202.749128342515 -239.035542526382</t>
  </si>
  <si>
    <t>-572.956125766547 182.413696732371 216.179565075931</t>
  </si>
  <si>
    <t>-635.491287928198 168.48651653039 681.651653589328</t>
  </si>
  <si>
    <t>-497.814749593105 98.2231109258307 765.626289898839</t>
  </si>
  <si>
    <t>-634.176611384791 20.9925781321831 -205.805644117391</t>
  </si>
  <si>
    <t>-522.233682621196 -51.6997326420001 229.903268622119</t>
  </si>
  <si>
    <t>-696.228385392958 32.2724802835894 658.03427009214</t>
  </si>
  <si>
    <t>-581.914028109377 -66.9174931378807 747.68406770746</t>
  </si>
  <si>
    <t>9763-20170724T160716.622408300.bin</t>
  </si>
  <si>
    <t>-601.399390066881 112.381792131055 -222.70241867031</t>
  </si>
  <si>
    <t>-642.146412109317 106.314707934503 -336.591395557975</t>
  </si>
  <si>
    <t>-664.447938049072 94.8499750279636 -455.173746910899</t>
  </si>
  <si>
    <t>-676.999168337131 81.768171470555 -563.183809259404</t>
  </si>
  <si>
    <t>-682.091419165089 65.7377409477028 -671.405616588034</t>
  </si>
  <si>
    <t>-681.491541892418 40.1395012816624 -821.553425066596</t>
  </si>
  <si>
    <t>-649.729057794368 11.8521446609827 -914.149004677941</t>
  </si>
  <si>
    <t>-664.379645985651 77.7234094958988 -759.524763915993</t>
  </si>
  <si>
    <t>-568.289615675387 189.041164061435 -758.391577883302</t>
  </si>
  <si>
    <t>-483.836347052555 154.268936758557 -455.332588896339</t>
  </si>
  <si>
    <t>-333.105613722016 19.3748728249875 -291.852006085447</t>
  </si>
  <si>
    <t>-699.134304404314 25.208432879517 -750.710478025147</t>
  </si>
  <si>
    <t>-568.434795971303 203.372624668004 -239.016326613554</t>
  </si>
  <si>
    <t>-573.124788849736 182.846813983834 216.191746234422</t>
  </si>
  <si>
    <t>-635.470801725922 168.524625287991 681.66316481535</t>
  </si>
  <si>
    <t>-497.818446188536 98.2079223362475 765.63282827599</t>
  </si>
  <si>
    <t>-634.200411218505 21.4130287545818 -205.716965148845</t>
  </si>
  <si>
    <t>-522.033696669056 -51.1966923794255 229.9482064937</t>
  </si>
  <si>
    <t>-696.196400267083 32.4025379862476 658.098841812823</t>
  </si>
  <si>
    <t>-582.008011981646 -66.9825636348712 747.693063865408</t>
  </si>
  <si>
    <t>9763-20170724T160716.689586100.bin</t>
  </si>
  <si>
    <t>-601.680339284699 113.399328126557 -222.546815918282</t>
  </si>
  <si>
    <t>-642.480530434601 107.184517905066 -336.408763652821</t>
  </si>
  <si>
    <t>-664.771567539032 95.6515740909729 -454.986273079304</t>
  </si>
  <si>
    <t>-677.284532094288 82.5383872932587 -562.997150755547</t>
  </si>
  <si>
    <t>-682.308621077331 66.5051466123698 -671.221637769306</t>
  </si>
  <si>
    <t>-681.58217810052 40.9311910737611 -821.372995422496</t>
  </si>
  <si>
    <t>-649.634373757491 12.7747601781261 -913.944891311939</t>
  </si>
  <si>
    <t>-664.561308017288 78.5299288615563 -759.328320061441</t>
  </si>
  <si>
    <t>-568.506282830364 189.867347277327 -757.910686249884</t>
  </si>
  <si>
    <t>-482.605781446654 154.685966454675 -455.306106408001</t>
  </si>
  <si>
    <t>-331.134726406738 21.5885181934632 -291.039128244066</t>
  </si>
  <si>
    <t>-699.245847204977 25.9638816009713 -750.542972686311</t>
  </si>
  <si>
    <t>-568.888288361421 204.588910649133 -238.968471204228</t>
  </si>
  <si>
    <t>-573.468753879725 183.797124350413 216.228644338615</t>
  </si>
  <si>
    <t>-635.418616603441 168.642836798454 681.702837840047</t>
  </si>
  <si>
    <t>-497.811951846889 98.2136109819876 765.65306718221</t>
  </si>
  <si>
    <t>-634.310238955964 22.2426657469887 -205.481259943279</t>
  </si>
  <si>
    <t>-521.746326063456 -50.4139977409741 230.07361691566</t>
  </si>
  <si>
    <t>-696.177126098861 32.6298497714315 658.196442583264</t>
  </si>
  <si>
    <t>-581.866713805117 -66.7504928203305 747.640197969823</t>
  </si>
  <si>
    <t>9763-20170724T160716.722521300.bin</t>
  </si>
  <si>
    <t>-601.815488254441 113.86245166351 -222.489009874784</t>
  </si>
  <si>
    <t>-642.642327760941 107.611462442582 -336.339368747784</t>
  </si>
  <si>
    <t>-664.942197762045 96.0824542729044 -454.915810340614</t>
  </si>
  <si>
    <t>-677.455539883668 82.9854120016194 -562.928412940007</t>
  </si>
  <si>
    <t>-682.47246316618 66.9787500289099 -671.157220258457</t>
  </si>
  <si>
    <t>-681.728358216515 41.4507532128621 -821.316426076513</t>
  </si>
  <si>
    <t>-649.722736864586 13.3189698920974 -913.875671292364</t>
  </si>
  <si>
    <t>-664.690476350239 79.0149776279868 -759.255374688775</t>
  </si>
  <si>
    <t>-568.49649623404 190.225056860988 -757.756037944931</t>
  </si>
  <si>
    <t>-481.486987765318 154.709717462474 -455.507547501235</t>
  </si>
  <si>
    <t>-329.818562414004 22.6637395076793 -290.575358056349</t>
  </si>
  <si>
    <t>-699.42468404083 26.477268352588 -750.495863420746</t>
  </si>
  <si>
    <t>-569.025981254622 205.070280429292 -238.948531316583</t>
  </si>
  <si>
    <t>-573.576893408337 184.128937899353 216.241977878494</t>
  </si>
  <si>
    <t>-635.395721314984 168.693101902214 681.723246255155</t>
  </si>
  <si>
    <t>-497.804595650732 98.2212197597216 765.663159652771</t>
  </si>
  <si>
    <t>-634.468984342132 22.7057494211988 -205.379193007363</t>
  </si>
  <si>
    <t>-521.706875838369 -50.1304419343796 230.09445641062</t>
  </si>
  <si>
    <t>-696.190514427037 32.7207208882412 658.242403782766</t>
  </si>
  <si>
    <t>-581.95327024321 -66.8083595651349 747.614234921605</t>
  </si>
  <si>
    <t>9763-20170724T160716.794713000.bin</t>
  </si>
  <si>
    <t>-602.213644340856 114.545049397384 -222.413137455051</t>
  </si>
  <si>
    <t>-643.192688996905 108.388875086767 -336.214002613025</t>
  </si>
  <si>
    <t>-665.714657165025 96.840205873574 -454.746404496384</t>
  </si>
  <si>
    <t>-678.460033050433 83.6782944756494 -562.724146343713</t>
  </si>
  <si>
    <t>-683.741505617938 67.5602326154785 -670.923762594</t>
  </si>
  <si>
    <t>-683.400754203391 41.828796492824 -821.04961264189</t>
  </si>
  <si>
    <t>-651.465556054334 13.5339963411573 -913.583601597524</t>
  </si>
  <si>
    <t>-666.12823171537 79.4330489715346 -759.077888192666</t>
  </si>
  <si>
    <t>-569.695450996074 190.483160699876 -757.754899464721</t>
  </si>
  <si>
    <t>-480.369227216763 153.237735254665 -456.391596648184</t>
  </si>
  <si>
    <t>-329.538681271689 22.3746934564076 -289.757146338485</t>
  </si>
  <si>
    <t>-700.974945623893 26.9951183789749 -750.169286656296</t>
  </si>
  <si>
    <t>-569.296994672424 205.804880995489 -238.887717939352</t>
  </si>
  <si>
    <t>-573.691092694206 184.465226017624 216.285898126359</t>
  </si>
  <si>
    <t>-635.368022696021 168.755243299651 681.754949203686</t>
  </si>
  <si>
    <t>-497.88671476259 98.0530984908667 765.681151567884</t>
  </si>
  <si>
    <t>-635.027809053391 23.35460118828 -205.259434088928</t>
  </si>
  <si>
    <t>-521.948299112142 -49.8362611274522 230.072435224927</t>
  </si>
  <si>
    <t>-696.331374213123 32.7976743031966 658.334547780359</t>
  </si>
  <si>
    <t>-581.864532694478 -66.6293111143975 747.526062588538</t>
  </si>
  <si>
    <t>9763-20170724T160716.821793000.bin</t>
  </si>
  <si>
    <t>-602.301223180777 114.879602437106 -222.36381270477</t>
  </si>
  <si>
    <t>-643.30116018105 108.779190075926 -336.159994224242</t>
  </si>
  <si>
    <t>-665.946013749341 97.1348263607269 -454.65974148637</t>
  </si>
  <si>
    <t>-678.849257609505 83.8253196481178 -562.600628785039</t>
  </si>
  <si>
    <t>-684.338676374768 67.4989089426092 -670.758691327808</t>
  </si>
  <si>
    <t>-684.341911296724 41.4150935733312 -820.824088227867</t>
  </si>
  <si>
    <t>-652.531149477075 12.9944584806206 -913.362386552459</t>
  </si>
  <si>
    <t>-666.863647939788 79.1235380550127 -758.973403467006</t>
  </si>
  <si>
    <t>-570.292056258899 189.977114049153 -757.949933287823</t>
  </si>
  <si>
    <t>-480.097410325797 152.448462033122 -456.880570194298</t>
  </si>
  <si>
    <t>-329.793190280979 21.8694797310307 -289.549104789244</t>
  </si>
  <si>
    <t>-701.817297116138 26.7892193835323 -749.876168845087</t>
  </si>
  <si>
    <t>-569.257032456522 206.119992148157 -238.843474800764</t>
  </si>
  <si>
    <t>-573.726917108861 184.676505179063 216.324450082493</t>
  </si>
  <si>
    <t>-635.316476129563 168.86308098371 681.778265878841</t>
  </si>
  <si>
    <t>-497.952859489955 97.9227382015922 765.696207795627</t>
  </si>
  <si>
    <t>-635.198215695352 23.726085898076 -205.209399615656</t>
  </si>
  <si>
    <t>-522.09581470992 -49.8873566776927 230.045237321946</t>
  </si>
  <si>
    <t>-696.364799848855 32.8656799376949 658.345525343649</t>
  </si>
  <si>
    <t>-581.931987828897 -66.6670925751828 747.4626959629</t>
  </si>
  <si>
    <t>9763-20170724T160716.906532900.bin</t>
  </si>
  <si>
    <t>-602.331103978054 115.474251217594 -222.417116342069</t>
  </si>
  <si>
    <t>-643.286606454737 109.482964740113 -336.235230785546</t>
  </si>
  <si>
    <t>-666.023011556291 97.8071530108259 -454.714272476002</t>
  </si>
  <si>
    <t>-679.074126028594 84.4026057052038 -562.625557868651</t>
  </si>
  <si>
    <t>-684.782608311169 67.9098237997534 -670.747101525856</t>
  </si>
  <si>
    <t>-685.1700513615 41.5164847740857 -820.75779508643</t>
  </si>
  <si>
    <t>-653.525759664913 12.8696037244174 -913.283409376619</t>
  </si>
  <si>
    <t>-667.331226076333 79.2201283757631 -759.007318125087</t>
  </si>
  <si>
    <t>-569.615550241237 189.106729298465 -758.478802686807</t>
  </si>
  <si>
    <t>-478.509700944632 151.360417927207 -457.711239903381</t>
  </si>
  <si>
    <t>-332.61916971501 16.3111245564701 -290.021850898924</t>
  </si>
  <si>
    <t>-702.666096704004 27.1692119308268 -749.758163394029</t>
  </si>
  <si>
    <t>-569.043954451505 206.732081893075 -238.859020590525</t>
  </si>
  <si>
    <t>-573.893753309487 185.145046013202 216.298254112162</t>
  </si>
  <si>
    <t>-635.232030007265 168.997798491665 681.779311422045</t>
  </si>
  <si>
    <t>-498.094525367201 97.6433417689022 765.715890820404</t>
  </si>
  <si>
    <t>-635.461613766514 24.2823157703895 -205.315918081357</t>
  </si>
  <si>
    <t>-522.499213637972 -49.9561600714353 229.868882850567</t>
  </si>
  <si>
    <t>-696.420328398714 32.9313834358145 658.295721588376</t>
  </si>
  <si>
    <t>-581.984468294775 -66.6720667473876 747.329988463017</t>
  </si>
  <si>
    <t>9763-20170724T160716.925933600.bin</t>
  </si>
  <si>
    <t>-602.424198383088 115.811187686135 -222.37663736421</t>
  </si>
  <si>
    <t>-643.364153242632 109.865077767503 -336.202629178539</t>
  </si>
  <si>
    <t>-666.134150353988 98.1771433803758 -454.674092082141</t>
  </si>
  <si>
    <t>-679.238388944432 84.7376404257866 -562.574603885429</t>
  </si>
  <si>
    <t>-685.024252805005 68.1858817014488 -670.682962478478</t>
  </si>
  <si>
    <t>-685.545939286595 41.6853955358097 -820.674497970339</t>
  </si>
  <si>
    <t>-654.043736311974 12.8847957992848 -913.200802665366</t>
  </si>
  <si>
    <t>-667.574305403893 79.3819529331709 -758.95805652116</t>
  </si>
  <si>
    <t>-569.527323036209 188.965791301105 -758.639601905231</t>
  </si>
  <si>
    <t>-476.768488390125 150.472295445256 -458.472613987243</t>
  </si>
  <si>
    <t>-333.980884540652 13.2320976031986 -289.893483033747</t>
  </si>
  <si>
    <t>-703.055968880574 27.4400558102018 -749.657561422698</t>
  </si>
  <si>
    <t>-568.954710571113 207.061976668451 -238.860784502928</t>
  </si>
  <si>
    <t>-574.02570775215 185.412868680608 216.291072995456</t>
  </si>
  <si>
    <t>-635.162599114901 169.105273765707 681.774681623762</t>
  </si>
  <si>
    <t>-498.094548247238 97.626821527806 765.719214854211</t>
  </si>
  <si>
    <t>-635.759088943026 24.6364489292464 -205.256682497751</t>
  </si>
  <si>
    <t>-522.691630259161 -49.9387606468517 229.843292323419</t>
  </si>
  <si>
    <t>-696.535497039765 32.887467756256 658.294861613278</t>
  </si>
  <si>
    <t>-582.067222132263 -66.7251583516838 747.277148114468</t>
  </si>
  <si>
    <t>9763-20170724T160716.993112100.bin</t>
  </si>
  <si>
    <t>-602.500666235821 116.601139606132 -222.278033024126</t>
  </si>
  <si>
    <t>-643.514243075562 110.655719024706 -336.077521625076</t>
  </si>
  <si>
    <t>-666.414833503549 98.9410027012491 -454.521163953949</t>
  </si>
  <si>
    <t>-679.660257152744 85.4695229354797 -562.400444769647</t>
  </si>
  <si>
    <t>-685.609268754995 68.8810138396366 -670.494263643243</t>
  </si>
  <si>
    <t>-686.379953019362 42.3261541200793 -820.475038070042</t>
  </si>
  <si>
    <t>-655.182482195709 13.3151875444539 -913.038952316212</t>
  </si>
  <si>
    <t>-668.226000330667 79.9918899607194 -758.793293985476</t>
  </si>
  <si>
    <t>-569.920242104072 189.330046516586 -758.352770497673</t>
  </si>
  <si>
    <t>-473.499262639073 147.003010845111 -459.860688253632</t>
  </si>
  <si>
    <t>-335.934888593795 6.95355270371078 -289.260914737908</t>
  </si>
  <si>
    <t>-703.851955168443 28.1597563515522 -749.433133595194</t>
  </si>
  <si>
    <t>-568.70524822743 207.839495871008 -238.855554472252</t>
  </si>
  <si>
    <t>-574.007208381368 185.967606262344 216.28305436192</t>
  </si>
  <si>
    <t>-635.142286207992 169.1465421381 681.791940649681</t>
  </si>
  <si>
    <t>-498.294744759181 97.2336827687959 765.725257066993</t>
  </si>
  <si>
    <t>-636.104928946794 25.4403456077634 -205.013201691195</t>
  </si>
  <si>
    <t>-522.914404034843 -49.6537085156147 229.965443730754</t>
  </si>
  <si>
    <t>-696.501290494542 33.2023005996473 658.419417685739</t>
  </si>
  <si>
    <t>-582.194892186476 -66.7579964452268 747.219751029188</t>
  </si>
  <si>
    <t>9763-20170724T160717.025000000.bin</t>
  </si>
  <si>
    <t>-602.469856736278 116.874915808884 -222.232766442522</t>
  </si>
  <si>
    <t>-643.488269531049 110.896138795519 -336.028950317104</t>
  </si>
  <si>
    <t>-666.400348451868 99.1953706416684 -454.471676447041</t>
  </si>
  <si>
    <t>-679.658116115464 85.7543048416073 -562.353223302823</t>
  </si>
  <si>
    <t>-685.621024608736 69.213040905895 -670.453574638818</t>
  </si>
  <si>
    <t>-686.411905662547 42.7408325049905 -820.448856605927</t>
  </si>
  <si>
    <t>-655.307748283391 13.7258307175991 -913.042767197026</t>
  </si>
  <si>
    <t>-668.225480220615 80.3565161303422 -758.746132336671</t>
  </si>
  <si>
    <t>-569.709318431468 189.511280741663 -758.13498662321</t>
  </si>
  <si>
    <t>-471.945526959696 145.337799879477 -460.348024509262</t>
  </si>
  <si>
    <t>-335.450264532127 5.58813651820719 -288.647294377553</t>
  </si>
  <si>
    <t>-703.898432972046 28.5514297369041 -749.415046570101</t>
  </si>
  <si>
    <t>-568.616219127659 208.094698971751 -238.85212750926</t>
  </si>
  <si>
    <t>-573.904262962923 186.090009035566 216.28037886919</t>
  </si>
  <si>
    <t>-635.116810649588 169.193751039835 681.783682030624</t>
  </si>
  <si>
    <t>-498.252791457631 97.2973238330794 765.704201456822</t>
  </si>
  <si>
    <t>-636.096201103768 25.698246063419 -204.98162097058</t>
  </si>
  <si>
    <t>-522.839497186831 -49.5496220049122 229.953259901825</t>
  </si>
  <si>
    <t>-696.473794022342 33.2820012590112 658.419122844194</t>
  </si>
  <si>
    <t>-582.249193543314 -66.7891547669469 747.199851400092</t>
  </si>
  <si>
    <t>9763-20170724T160717.091178200.bin</t>
  </si>
  <si>
    <t>-602.500964653006 117.196879673304 -222.253773408048</t>
  </si>
  <si>
    <t>-643.592304609972 111.254726802118 -336.025394135631</t>
  </si>
  <si>
    <t>-666.52359921875 99.613526923474 -454.470247007564</t>
  </si>
  <si>
    <t>-679.776802604167 86.2290569923648 -562.359444038505</t>
  </si>
  <si>
    <t>-685.714119613265 69.7431005735041 -670.469615014745</t>
  </si>
  <si>
    <t>-686.448586032327 43.3432523375241 -820.478042669523</t>
  </si>
  <si>
    <t>-655.426734130342 14.3790892914333 -913.115525417885</t>
  </si>
  <si>
    <t>-668.268638755375 80.9180261459887 -758.748435294866</t>
  </si>
  <si>
    <t>-569.376906498648 189.746713073082 -757.709198279201</t>
  </si>
  <si>
    <t>-470.296317214271 143.118107051497 -460.732913964885</t>
  </si>
  <si>
    <t>-332.35420454571 5.34885531044483 -288.588480056653</t>
  </si>
  <si>
    <t>-703.978555248993 29.1307352220124 -749.459622299299</t>
  </si>
  <si>
    <t>-568.703505407896 208.5307713569 -238.82905552834</t>
  </si>
  <si>
    <t>-573.875895880115 186.281111353989 216.29274414476</t>
  </si>
  <si>
    <t>-635.061901244721 169.213500314329 681.733890219535</t>
  </si>
  <si>
    <t>-498.234716656486 97.2968061147765 765.697115506554</t>
  </si>
  <si>
    <t>-636.127383851804 26.0239695609573 -204.954455544473</t>
  </si>
  <si>
    <t>-522.619652828037 -49.4243918865129 229.880208460492</t>
  </si>
  <si>
    <t>-696.4634017275 33.3108549156386 658.320432584248</t>
  </si>
  <si>
    <t>-582.120173300168 -66.5949297350351 747.134680862306</t>
  </si>
  <si>
    <t>9763-20170724T160717.124299900.bin</t>
  </si>
  <si>
    <t>-602.44831104725 117.471014699106 -222.232554384099</t>
  </si>
  <si>
    <t>-643.528144244408 111.466021138644 -336.005059095653</t>
  </si>
  <si>
    <t>-666.363471723939 99.8123190885376 -454.467255286957</t>
  </si>
  <si>
    <t>-679.493763525249 86.4344679158723 -562.372271579576</t>
  </si>
  <si>
    <t>-685.271607036353 69.9712670070269 -670.494557344101</t>
  </si>
  <si>
    <t>-685.746218550275 43.6183928749192 -820.512234265583</t>
  </si>
  <si>
    <t>-654.666102673302 14.7339022881899 -913.155041874895</t>
  </si>
  <si>
    <t>-667.69896406061 81.1909361587627 -758.742381106764</t>
  </si>
  <si>
    <t>-568.716007114816 189.887832505826 -757.584232141393</t>
  </si>
  <si>
    <t>-469.006132976855 142.165373210059 -460.992502400396</t>
  </si>
  <si>
    <t>-329.755673523128 6.93336724707478 -287.892260331281</t>
  </si>
  <si>
    <t>-703.373539821886 29.3664228581722 -749.525736845107</t>
  </si>
  <si>
    <t>-568.720336877591 208.805708171971 -238.866213223643</t>
  </si>
  <si>
    <t>-573.794968942267 186.454245058663 216.251662328512</t>
  </si>
  <si>
    <t>-634.939166886392 169.255985002005 681.627008979843</t>
  </si>
  <si>
    <t>-498.242927276446 97.2441753482453 765.721890204803</t>
  </si>
  <si>
    <t>-635.944484235426 26.2057619450825 -204.937366068747</t>
  </si>
  <si>
    <t>-522.285660288782 -49.1233997893589 229.878539776777</t>
  </si>
  <si>
    <t>-696.384008199847 33.4449192819163 658.269147996562</t>
  </si>
  <si>
    <t>-582.253720043707 -66.6987934046488 747.089333505023</t>
  </si>
  <si>
    <t>9763-20170724T160717.190476700.bin</t>
  </si>
  <si>
    <t>-602.387411890904 117.652458170203 -222.959430809511</t>
  </si>
  <si>
    <t>-643.562839171137 111.601952692598 -336.695045082859</t>
  </si>
  <si>
    <t>-666.246210329797 100.137137192984 -455.205038301335</t>
  </si>
  <si>
    <t>-679.127939461755 87.0222347643034 -563.172076713689</t>
  </si>
  <si>
    <t>-684.540158134687 70.9124488784487 -671.36647113766</t>
  </si>
  <si>
    <t>-684.380347580427 45.1429125786124 -821.486290365617</t>
  </si>
  <si>
    <t>-652.974597326229 16.5244811313951 -914.101886690104</t>
  </si>
  <si>
    <t>-666.695679423803 82.5421804945167 -759.50661345764</t>
  </si>
  <si>
    <t>-567.645844949414 191.204931206265 -757.441062147246</t>
  </si>
  <si>
    <t>-465.213096746763 140.35636090348 -462.300124291532</t>
  </si>
  <si>
    <t>-322.030426062027 8.07433261818278 -290.130900817169</t>
  </si>
  <si>
    <t>-702.206482499005 30.5480339684332 -750.619240566573</t>
  </si>
  <si>
    <t>-568.460288185692 209.193567296353 -239.926607208671</t>
  </si>
  <si>
    <t>-572.99789777686 186.518894520556 215.18100461388</t>
  </si>
  <si>
    <t>-633.447273257672 169.478639214311 680.031228064969</t>
  </si>
  <si>
    <t>-497.825094194837 97.5749989755541 765.938215566225</t>
  </si>
  <si>
    <t>-636.099350698371 26.1917835422139 -205.452960412216</t>
  </si>
  <si>
    <t>-521.845388983169 -48.7280842870723 229.27766528048</t>
  </si>
  <si>
    <t>-696.400151736436 33.484844291303 657.728742529609</t>
  </si>
  <si>
    <t>-582.120401319217 -66.4603042744732 746.58040348016</t>
  </si>
  <si>
    <t>9763-20170724T160717.221564800.bin</t>
  </si>
  <si>
    <t>-602.416411848704 117.842517851263 -223.611228303389</t>
  </si>
  <si>
    <t>-643.595473931572 111.695730199462 -337.340333129196</t>
  </si>
  <si>
    <t>-666.171481677247 100.236244722055 -455.871191190129</t>
  </si>
  <si>
    <t>-678.906181643139 87.167916862101 -563.861365153882</t>
  </si>
  <si>
    <t>-684.119214420543 71.1460013895025 -672.078549027192</t>
  </si>
  <si>
    <t>-683.625848819936 45.541898869722 -822.225913671185</t>
  </si>
  <si>
    <t>-652.012210851681 16.9743254089992 -914.78648146068</t>
  </si>
  <si>
    <t>-666.139999334054 82.913164387126 -760.173116844539</t>
  </si>
  <si>
    <t>-567.121865416894 191.626555106513 -757.636319161219</t>
  </si>
  <si>
    <t>-462.090737696191 137.767201294417 -463.946348977624</t>
  </si>
  <si>
    <t>-317.465353274637 4.98104681612745 -293.378538593263</t>
  </si>
  <si>
    <t>-701.548427234716 30.8285226764744 -751.407704812593</t>
  </si>
  <si>
    <t>-568.341023221456 209.502367515979 -240.753750171511</t>
  </si>
  <si>
    <t>-572.441669372683 186.656879641509 214.349544093099</t>
  </si>
  <si>
    <t>-632.53548236861 169.805422126721 679.268001515352</t>
  </si>
  <si>
    <t>-497.638058352286 97.7474375037966 766.180887552601</t>
  </si>
  <si>
    <t>-636.322716346765 26.2939678699802 -205.983170027324</t>
  </si>
  <si>
    <t>-521.549438285032 -48.3611801089573 228.656258337856</t>
  </si>
  <si>
    <t>-696.299948204759 33.5085805955675 657.185277715511</t>
  </si>
  <si>
    <t>-582.20288325995 -66.5213126455646 746.176246974984</t>
  </si>
  <si>
    <t>9763-20170724T160717.296772500.bin</t>
  </si>
  <si>
    <t>-602.236558271354 117.631288195791 -225.332911331462</t>
  </si>
  <si>
    <t>-643.425605247511 111.422368816425 -339.055018879132</t>
  </si>
  <si>
    <t>-665.927999899856 100.026229377813 -457.606001312384</t>
  </si>
  <si>
    <t>-678.558911247081 87.0609111300957 -565.620765954613</t>
  </si>
  <si>
    <t>-683.629565342272 71.1843890558921 -673.866267613344</t>
  </si>
  <si>
    <t>-682.897094239184 45.823649388522 -824.053830626061</t>
  </si>
  <si>
    <t>-650.825425750965 17.1705885673539 -916.430138362346</t>
  </si>
  <si>
    <t>-665.524911500867 83.1041137055424 -761.914572322473</t>
  </si>
  <si>
    <t>-566.294033443344 191.578852160549 -758.882838188531</t>
  </si>
  <si>
    <t>-456.867571768364 134.883772256044 -467.339276957209</t>
  </si>
  <si>
    <t>-311.248690021687 1.05041206602959 -298.443258441044</t>
  </si>
  <si>
    <t>-700.917506913573 30.9858248212713 -753.286468100127</t>
  </si>
  <si>
    <t>-568.205868888974 209.632605718119 -242.249452173124</t>
  </si>
  <si>
    <t>-571.885025217008 186.721342091229 212.854037669898</t>
  </si>
  <si>
    <t>-631.603161893813 170.065788917758 678.346194381142</t>
  </si>
  <si>
    <t>-497.446372912747 97.9148339347657 766.321799571733</t>
  </si>
  <si>
    <t>-636.141577919308 25.6016225704566 -207.921814895923</t>
  </si>
  <si>
    <t>-520.997045247766 -47.737964054892 226.843334418241</t>
  </si>
  <si>
    <t>-695.7244408842 32.8726456673674 655.380719804325</t>
  </si>
  <si>
    <t>-581.927266748877 -66.4005357728952 745.594620527749</t>
  </si>
  <si>
    <t>9763-20170724T160717.324440600.bin</t>
  </si>
  <si>
    <t>-602.257884038288 117.403965724802 -226.018039891723</t>
  </si>
  <si>
    <t>-643.363577930638 111.173194257536 -339.769162037717</t>
  </si>
  <si>
    <t>-665.730465721497 99.8024235474222 -458.348224418772</t>
  </si>
  <si>
    <t>-678.216457843287 86.8788187103464 -566.384954764981</t>
  </si>
  <si>
    <t>-683.119191987633 71.0625047456961 -674.646835181548</t>
  </si>
  <si>
    <t>-682.129251753666 45.8040321503217 -824.850289890432</t>
  </si>
  <si>
    <t>-649.777643345086 17.0149837189813 -917.086564454263</t>
  </si>
  <si>
    <t>-664.85773933847 83.0383513212864 -762.655193505817</t>
  </si>
  <si>
    <t>-565.3473627222 191.238224407805 -759.378243559292</t>
  </si>
  <si>
    <t>-455.396740076478 134.892522828909 -467.964036899542</t>
  </si>
  <si>
    <t>-310.346113051331 0.418602956261338 -299.087994926059</t>
  </si>
  <si>
    <t>-700.276755904787 30.9219488329099 -754.124567946907</t>
  </si>
  <si>
    <t>-568.302662343262 209.459735294245 -242.718050888459</t>
  </si>
  <si>
    <t>-572.070662919108 186.647141427717 212.389677899873</t>
  </si>
  <si>
    <t>-631.590530754197 170.002828360822 678.146775469446</t>
  </si>
  <si>
    <t>-497.543591533087 97.7794143106557 766.230334734569</t>
  </si>
  <si>
    <t>-636.140542259742 25.3305921967142 -208.717292852939</t>
  </si>
  <si>
    <t>-520.862320843005 -47.4204256844666 226.111289065881</t>
  </si>
  <si>
    <t>-695.420207999782 32.689215583591 654.952110456602</t>
  </si>
  <si>
    <t>-581.739374837936 -66.2989584844815 745.624734454403</t>
  </si>
  <si>
    <t>9763-20170724T160717.388611000.bin</t>
  </si>
  <si>
    <t>-602.859856824633 116.916905085307 -226.494977222024</t>
  </si>
  <si>
    <t>-643.884776457166 110.660143652144 -340.27370102952</t>
  </si>
  <si>
    <t>-665.983878932667 99.3550476838084 -458.909297330852</t>
  </si>
  <si>
    <t>-678.149420231146 86.5212730675535 -566.993262157999</t>
  </si>
  <si>
    <t>-682.652662019076 70.8219239629439 -675.289673466013</t>
  </si>
  <si>
    <t>-681.025627073783 45.7509330536254 -825.518867054367</t>
  </si>
  <si>
    <t>-648.30844024607 16.5192168666365 -917.486600251905</t>
  </si>
  <si>
    <t>-663.988221067888 82.8876587527675 -763.201045635691</t>
  </si>
  <si>
    <t>-563.985093411004 190.609206655261 -759.146211067762</t>
  </si>
  <si>
    <t>-455.261554284853 134.188729799828 -467.286547437569</t>
  </si>
  <si>
    <t>-699.502909887187 30.8004176807251 -754.893091002716</t>
  </si>
  <si>
    <t>-568.782121180688 209.038281165243 -243.117543209063</t>
  </si>
  <si>
    <t>-572.552917615326 186.470999099394 212.002316392204</t>
  </si>
  <si>
    <t>-631.520245611064 169.938702263727 677.817507854541</t>
  </si>
  <si>
    <t>-497.621950164694 97.6320562379465 766.058696075305</t>
  </si>
  <si>
    <t>-636.77561841859 24.9410206851107 -208.972778231873</t>
  </si>
  <si>
    <t>-521.048311679033 -47.2684758675546 225.826769621196</t>
  </si>
  <si>
    <t>-695.420733043874 32.9760369263627 655.087880272776</t>
  </si>
  <si>
    <t>-581.777349200414 -66.179176513336 745.62479431255</t>
  </si>
  <si>
    <t>9763-20170724T160717.429609100.bin</t>
  </si>
  <si>
    <t>-603.198227877334 116.840010734764 -226.429349545461</t>
  </si>
  <si>
    <t>-644.253932767023 110.565668840998 -340.196183063429</t>
  </si>
  <si>
    <t>-666.197533651649 99.2872135730147 -458.863032652787</t>
  </si>
  <si>
    <t>-678.143562134256 86.491828373976 -566.976009225721</t>
  </si>
  <si>
    <t>-682.347641666977 70.8431600851545 -675.291808647979</t>
  </si>
  <si>
    <t>-680.22171411228 45.854019961731 -825.528337004197</t>
  </si>
  <si>
    <t>-647.318027020029 16.4088766214338 -917.361389125683</t>
  </si>
  <si>
    <t>-663.381697669849 82.9503284004229 -763.132866188671</t>
  </si>
  <si>
    <t>-563.166604671335 190.474421123985 -758.601912117909</t>
  </si>
  <si>
    <t>-455.599824617916 133.365254521764 -466.447618030659</t>
  </si>
  <si>
    <t>-698.943071243228 30.8715165502201 -754.973646694911</t>
  </si>
  <si>
    <t>-569.043673694405 208.918129981006 -243.160330100829</t>
  </si>
  <si>
    <t>-572.75827766416 186.59449463879 211.972083386516</t>
  </si>
  <si>
    <t>-631.446845820145 170.023134591169 677.759725464073</t>
  </si>
  <si>
    <t>-497.728402350945 97.4419847070237 766.048243763626</t>
  </si>
  <si>
    <t>-637.284686383866 24.9002931006326 -208.751969338882</t>
  </si>
  <si>
    <t>-521.266590315758 -47.2927065626243 225.972808689801</t>
  </si>
  <si>
    <t>-695.535915721596 33.2042508796831 655.232905407753</t>
  </si>
  <si>
    <t>-581.754651005121 -66.0633040411046 745.473054550584</t>
  </si>
  <si>
    <t>9763-20170724T160717.488769500.bin</t>
  </si>
  <si>
    <t>-604.039531961168 116.546667044327 -226.396762016519</t>
  </si>
  <si>
    <t>-645.175903554607 110.263153335517 -340.133856352447</t>
  </si>
  <si>
    <t>-666.882235201864 98.9336891218172 -458.839518577488</t>
  </si>
  <si>
    <t>-678.482158254745 86.0692842281605 -566.982086450944</t>
  </si>
  <si>
    <t>-682.209212993343 70.3260545300805 -675.301616088433</t>
  </si>
  <si>
    <t>-679.286284251164 45.1766539673749 -825.498058403449</t>
  </si>
  <si>
    <t>-645.986018543959 15.3106469987308 -917.05172219096</t>
  </si>
  <si>
    <t>-662.789094683282 82.3473633423819 -763.055159404703</t>
  </si>
  <si>
    <t>-562.44547293725 189.736490979065 -758.099844674847</t>
  </si>
  <si>
    <t>-454.139450417448 133.128357740882 -466.121311047568</t>
  </si>
  <si>
    <t>-698.370103971036 30.2615781651418 -755.026183939658</t>
  </si>
  <si>
    <t>-569.719343312232 208.63643437824 -243.34604327927</t>
  </si>
  <si>
    <t>-572.944946365928 186.434076731097 211.796012669548</t>
  </si>
  <si>
    <t>-630.99427832639 170.266926489869 677.413790612377</t>
  </si>
  <si>
    <t>-497.682932361831 97.4341986584293 766.109857073228</t>
  </si>
  <si>
    <t>-638.162504702217 24.6257907914346 -208.622287118519</t>
  </si>
  <si>
    <t>-521.780580070602 -47.2650878993827 226.055339272198</t>
  </si>
  <si>
    <t>-695.804070792696 33.6392619644994 655.282834463272</t>
  </si>
  <si>
    <t>-581.839767596446 -65.947268527015 744.938680209138</t>
  </si>
  <si>
    <t>9763-20170724T160717.524875000.bin</t>
  </si>
  <si>
    <t>-604.524674503499 116.261998363908 -226.53701093013</t>
  </si>
  <si>
    <t>-645.618911903137 110.018605718741 -340.29152417487</t>
  </si>
  <si>
    <t>-667.21533618606 98.6435789535108 -459.012987937247</t>
  </si>
  <si>
    <t>-678.691261563154 85.6994046664158 -567.159163061554</t>
  </si>
  <si>
    <t>-682.27269443228 69.8354967271796 -675.465806783456</t>
  </si>
  <si>
    <t>-679.127742429354 44.4743715616698 -825.622197252399</t>
  </si>
  <si>
    <t>-645.667477575104 14.3755176533896 -917.041368224366</t>
  </si>
  <si>
    <t>-662.706673364562 81.7224094871203 -763.205528211239</t>
  </si>
  <si>
    <t>-562.264079155785 189.012351866742 -758.233900769038</t>
  </si>
  <si>
    <t>-453.552281504695 132.828388359844 -466.324130429063</t>
  </si>
  <si>
    <t>-698.331894562673 29.6693662000107 -755.159923623571</t>
  </si>
  <si>
    <t>-570.186863772815 208.259278250582 -243.469682937499</t>
  </si>
  <si>
    <t>-573.065915413217 186.042220530106 211.674001344089</t>
  </si>
  <si>
    <t>-630.966197683719 170.152319678288 677.344169413862</t>
  </si>
  <si>
    <t>-497.559257098483 97.6174908515513 766.140550318566</t>
  </si>
  <si>
    <t>-638.722179457018 24.4399098546542 -208.832964028517</t>
  </si>
  <si>
    <t>-522.155878865256 -47.3557684160564 225.81090970987</t>
  </si>
  <si>
    <t>-695.849730474367 33.6291524334415 655.032952988974</t>
  </si>
  <si>
    <t>-581.860515646609 -65.9682831966848 744.645011075819</t>
  </si>
  <si>
    <t>9763-20170724T160717.592048600.bin</t>
  </si>
  <si>
    <t>-605.319355561528 115.46575919724 -226.842664036592</t>
  </si>
  <si>
    <t>-646.194345738953 109.226442297101 -340.676413798616</t>
  </si>
  <si>
    <t>-667.523484129806 97.7522440982586 -459.436563300408</t>
  </si>
  <si>
    <t>-678.745133484588 84.6700386951284 -567.592774518014</t>
  </si>
  <si>
    <t>-682.064604547659 68.6164473292415 -675.879993736662</t>
  </si>
  <si>
    <t>-678.552479886761 42.935292878168 -825.973835326578</t>
  </si>
  <si>
    <t>-644.92387346737 12.4200680639742 -917.192867639924</t>
  </si>
  <si>
    <t>-662.228658826553 80.279447853618 -763.588981360089</t>
  </si>
  <si>
    <t>-561.452361404914 187.265658875824 -758.549757061308</t>
  </si>
  <si>
    <t>-452.444212172931 129.827259769953 -466.994814597636</t>
  </si>
  <si>
    <t>-697.984306125618 28.3173777257048 -755.534931158743</t>
  </si>
  <si>
    <t>-570.965710176197 207.381700513073 -243.682573275778</t>
  </si>
  <si>
    <t>-573.648885493006 185.616606936062 211.48416384797</t>
  </si>
  <si>
    <t>-630.909832696993 170.061801043828 677.208452556471</t>
  </si>
  <si>
    <t>-497.634654409431 97.4898608465226 766.172196341397</t>
  </si>
  <si>
    <t>-639.484776941172 23.5594286320561 -209.318937429425</t>
  </si>
  <si>
    <t>-522.990671402097 -47.7354850664228 225.426785613198</t>
  </si>
  <si>
    <t>-696.109538558276 33.6526977497676 654.858566611991</t>
  </si>
  <si>
    <t>-581.75184691084 -65.7714116568709 744.193195698178</t>
  </si>
  <si>
    <t>9763-20170724T160717.623680200.bin</t>
  </si>
  <si>
    <t>-605.571746744336 114.945768320842 -226.963369607624</t>
  </si>
  <si>
    <t>-646.427361944307 108.699472227206 -340.803490697502</t>
  </si>
  <si>
    <t>-667.713233688636 97.1743124390259 -459.566595943839</t>
  </si>
  <si>
    <t>-678.888037872081 84.0255867525329 -567.719643430841</t>
  </si>
  <si>
    <t>-682.154781299425 67.8834959043973 -675.995303949548</t>
  </si>
  <si>
    <t>-678.564737081166 42.0557319834065 -826.06202023216</t>
  </si>
  <si>
    <t>-645.009972992872 11.2781325177441 -917.220140174805</t>
  </si>
  <si>
    <t>-662.23796026275 79.4372478662967 -763.700418580288</t>
  </si>
  <si>
    <t>-561.380508892029 186.344979377907 -758.729435962225</t>
  </si>
  <si>
    <t>-452.484681248815 128.682357004818 -467.176946491636</t>
  </si>
  <si>
    <t>-698.068480484676 27.5301892191906 -755.623957744549</t>
  </si>
  <si>
    <t>-571.230852366171 206.807653030708 -243.792716610563</t>
  </si>
  <si>
    <t>-573.842488827836 185.366696618795 211.38981572357</t>
  </si>
  <si>
    <t>-630.942564085954 169.926640160386 677.185550177043</t>
  </si>
  <si>
    <t>-497.646024957433 97.4471205802549 766.192621892828</t>
  </si>
  <si>
    <t>-639.7526339706 23.0949734788028 -209.419931900261</t>
  </si>
  <si>
    <t>-523.309171103166 -48.2133762412645 225.337113403262</t>
  </si>
  <si>
    <t>-696.208123056294 33.6954594800197 654.731333280898</t>
  </si>
  <si>
    <t>-581.783786325113 -65.7460129634014 743.961226774812</t>
  </si>
  <si>
    <t>9763-20170724T160717.690855500.bin</t>
  </si>
  <si>
    <t>-605.720628809511 113.479534127742 -227.327342739186</t>
  </si>
  <si>
    <t>-646.297815903299 107.195792489278 -341.265043280825</t>
  </si>
  <si>
    <t>-667.442646039528 95.2712539905456 -460.013797024734</t>
  </si>
  <si>
    <t>-678.565213244673 81.6051687040112 -568.108267078887</t>
  </si>
  <si>
    <t>-681.867265284259 64.7852162105148 -676.279519287262</t>
  </si>
  <si>
    <t>-678.429574622787 37.844276184084 -826.154046099689</t>
  </si>
  <si>
    <t>-645.433412168034 5.90016993715062 -917.114498192992</t>
  </si>
  <si>
    <t>-661.891193066951 75.5880048406495 -764.066849643566</t>
  </si>
  <si>
    <t>-560.713685492677 182.249802290819 -759.938842996399</t>
  </si>
  <si>
    <t>-452.237219846234 126.494488737708 -467.859404973284</t>
  </si>
  <si>
    <t>-698.010019630002 23.9417038041038 -755.611461999101</t>
  </si>
  <si>
    <t>-571.355573712593 205.337524970656 -243.95370183711</t>
  </si>
  <si>
    <t>-573.876984113749 184.904748561195 211.275596383746</t>
  </si>
  <si>
    <t>-631.141022654261 169.600946587893 677.15813048367</t>
  </si>
  <si>
    <t>-497.676367207366 97.4238665631799 766.159046361687</t>
  </si>
  <si>
    <t>-639.940272751003 21.6494978754884 -210.033467824348</t>
  </si>
  <si>
    <t>-523.745896914398 -50.1126723240602 224.71556374286</t>
  </si>
  <si>
    <t>-696.306807877549 32.976174314326 653.883021965037</t>
  </si>
  <si>
    <t>-581.803331109171 -65.9066115015523 743.630775181367</t>
  </si>
  <si>
    <t>9763-20170724T160717.726016800.bin</t>
  </si>
  <si>
    <t>-605.84429463758 112.262364035532 -227.668526080544</t>
  </si>
  <si>
    <t>-646.207849192451 106.002306297411 -341.683424184825</t>
  </si>
  <si>
    <t>-667.419820386434 93.7760121555273 -460.389598601041</t>
  </si>
  <si>
    <t>-678.734661909997 79.7038448060623 -568.411844327587</t>
  </si>
  <si>
    <t>-682.369867432458 62.3452377367346 -676.487318327623</t>
  </si>
  <si>
    <t>-679.55034456443 34.5178916816933 -826.212796814811</t>
  </si>
  <si>
    <t>-647.130799193032 1.61306909633868 -917.038011403508</t>
  </si>
  <si>
    <t>-662.614254610245 72.531631820935 -764.398026401604</t>
  </si>
  <si>
    <t>-561.025580896653 178.834917289101 -761.308676548896</t>
  </si>
  <si>
    <t>-453.022572694691 124.834930095483 -468.724546821315</t>
  </si>
  <si>
    <t>-698.981552575263 21.1296003649086 -755.52951319696</t>
  </si>
  <si>
    <t>-571.161870701166 204.150041977584 -244.089461459349</t>
  </si>
  <si>
    <t>-573.608108818252 184.750546039261 211.185538457404</t>
  </si>
  <si>
    <t>-631.391485891313 169.255125001797 677.126650638631</t>
  </si>
  <si>
    <t>-497.430197070717 97.900467249576 766.044612791908</t>
  </si>
  <si>
    <t>-640.382737679199 20.160955587733 -210.658735294146</t>
  </si>
  <si>
    <t>-523.944866684946 -52.5000165256149 223.875800734312</t>
  </si>
  <si>
    <t>-696.036320102543 31.715993322789 652.507085788887</t>
  </si>
  <si>
    <t>-581.515128083529 -65.6509800730107 743.874919993582</t>
  </si>
  <si>
    <t>9763-20170724T160717.791220700.bin</t>
  </si>
  <si>
    <t>-604.933267254102 111.434489344005 -228.408593457394</t>
  </si>
  <si>
    <t>-645.300481429985 105.503329739691 -342.439701133293</t>
  </si>
  <si>
    <t>-666.93252030505 92.5184429037527 -460.989397632953</t>
  </si>
  <si>
    <t>-678.837218017685 77.3205665261157 -568.795552187836</t>
  </si>
  <si>
    <t>-683.297637524834 58.4011618662471 -676.577686965822</t>
  </si>
  <si>
    <t>-681.893795861856 27.956834716827 -825.813127247826</t>
  </si>
  <si>
    <t>-664.010133621016 66.7932273926185 -764.781582546953</t>
  </si>
  <si>
    <t>-561.308938105898 172.058362239844 -764.377987543722</t>
  </si>
  <si>
    <t>-454.843493356796 122.91231149754 -470.377913370072</t>
  </si>
  <si>
    <t>-701.019703980304 16.0618628998907 -754.780488927635</t>
  </si>
  <si>
    <t>-570.622102525795 202.712474956458 -244.363041823835</t>
  </si>
  <si>
    <t>-573.045980240403 184.846183461039 210.974730589991</t>
  </si>
  <si>
    <t>-632.330279151953 168.695708053128 677.415144243478</t>
  </si>
  <si>
    <t>-497.374880930235 98.2415441695173 765.544408930509</t>
  </si>
  <si>
    <t>-639.151642283884 20.2090999658919 -212.067019678146</t>
  </si>
  <si>
    <t>-521.869502639955 -56.1029318746444 221.613719589498</t>
  </si>
  <si>
    <t>-693.675614486952 30.0646384304378 649.009611651953</t>
  </si>
  <si>
    <t>-579.595585985439 -61.746287253831 746.477617531291</t>
  </si>
  <si>
    <t>9763-20170724T160717.854365600.bin</t>
  </si>
  <si>
    <t>-605.451791903481 109.693412626321 -227.347979701852</t>
  </si>
  <si>
    <t>-646.208797156188 103.763924954621 -341.240455510769</t>
  </si>
  <si>
    <t>-668.608277737056 89.5490236697997 -459.506295735444</t>
  </si>
  <si>
    <t>-681.401025975418 72.7477781438765 -566.972135283241</t>
  </si>
  <si>
    <t>-686.969629958765 51.7440817263116 -674.315837980049</t>
  </si>
  <si>
    <t>-687.360162936955 17.9129271734771 -822.826148836627</t>
  </si>
  <si>
    <t>-668.356492385518 57.8487934666332 -762.851958502429</t>
  </si>
  <si>
    <t>-564.743782824038 162.111602337571 -765.968575571596</t>
  </si>
  <si>
    <t>-458.751336200823 119.875759475504 -470.72645788558</t>
  </si>
  <si>
    <t>-706.018229005563 7.91555094025421 -751.377965515724</t>
  </si>
  <si>
    <t>-570.744861200367 200.382695022435 -243.55889363597</t>
  </si>
  <si>
    <t>-573.489769886814 183.85610075978 211.827767778276</t>
  </si>
  <si>
    <t>-633.367849692844 168.377693403602 678.273156758926</t>
  </si>
  <si>
    <t>-497.568215629432 98.0839904690588 765.225797442917</t>
  </si>
  <si>
    <t>-640.409706679891 19.6207127255382 -210.239146234362</t>
  </si>
  <si>
    <t>-523.965472828062 -56.1458517996371 223.763008375322</t>
  </si>
  <si>
    <t>-695.181786023573 28.6616053688099 652.979195565052</t>
  </si>
  <si>
    <t>-579.31689083816 -62.3845540202735 749.049142888496</t>
  </si>
  <si>
    <t>9763-20170724T160717.892468800.bin</t>
  </si>
  <si>
    <t>-606.817049943469 109.934709243879 -226.976825470814</t>
  </si>
  <si>
    <t>-647.476506074187 103.869357664756 -340.897067182627</t>
  </si>
  <si>
    <t>-670.135896169027 88.9842667992468 -459.03067838556</t>
  </si>
  <si>
    <t>-683.329971318704 71.3730021279434 -566.318179910962</t>
  </si>
  <si>
    <t>-689.478495775704 49.363902205999 -673.428671284333</t>
  </si>
  <si>
    <t>-690.871337479404 13.9405700569876 -821.561225879731</t>
  </si>
  <si>
    <t>-671.304823440332 54.4027087280836 -762.123058717831</t>
  </si>
  <si>
    <t>-567.397551604332 158.296700369013 -766.862553222176</t>
  </si>
  <si>
    <t>-461.225580394985 119.399828013418 -471.226337715594</t>
  </si>
  <si>
    <t>-709.20513539074 4.82603993981024 -749.911337688188</t>
  </si>
  <si>
    <t>-571.367943949542 199.258552486946 -243.261284484901</t>
  </si>
  <si>
    <t>-574.334903954191 183.489025942365 212.150819882642</t>
  </si>
  <si>
    <t>-633.889288830438 168.255023766415 678.697119052793</t>
  </si>
  <si>
    <t>-497.674007286104 98.0425185955332 765.063274842407</t>
  </si>
  <si>
    <t>-642.572840528521 21.3633537207229 -209.719455131222</t>
  </si>
  <si>
    <t>-527.513106815044 -53.024561014101 224.890000082945</t>
  </si>
  <si>
    <t>-695.492957619424 31.2782361133759 655.403719393168</t>
  </si>
  <si>
    <t>-580.006995221508 -61.5941378577434 750.173041187563</t>
  </si>
  <si>
    <t>9763-20170724T160717.924560500.bin</t>
  </si>
  <si>
    <t>-608.060859019729 108.45275423829 -226.332464591056</t>
  </si>
  <si>
    <t>-648.58634740595 102.237664774931 -340.292341282047</t>
  </si>
  <si>
    <t>-671.479878130204 86.6911617976502 -458.29557125627</t>
  </si>
  <si>
    <t>-685.055399922142 68.2891963677073 -565.402724319459</t>
  </si>
  <si>
    <t>-691.766098084507 45.3071160171091 -672.274696040532</t>
  </si>
  <si>
    <t>-694.137934038874 8.35128952369564 -820.019914467717</t>
  </si>
  <si>
    <t>-674.063727589881 49.3417981733176 -761.115650207501</t>
  </si>
  <si>
    <t>-569.927164659883 152.945529710892 -767.534962126505</t>
  </si>
  <si>
    <t>-463.188129980763 117.223221428923 -471.702458010714</t>
  </si>
  <si>
    <t>-712.113256621234 0.0643412023864585 -748.178919506912</t>
  </si>
  <si>
    <t>-572.091010794144 197.209799611607 -242.87480874781</t>
  </si>
  <si>
    <t>-575.153846765648 182.242734773961 212.563758218101</t>
  </si>
  <si>
    <t>-634.339974955553 168.12526674175 679.093857123373</t>
  </si>
  <si>
    <t>-497.775309500434 97.9963283976635 764.974782881969</t>
  </si>
  <si>
    <t>-643.950311675245 19.5309153718006 -208.952882102026</t>
  </si>
  <si>
    <t>-528.201061661374 -52.2222228788166 225.916375299881</t>
  </si>
  <si>
    <t>-695.4837696891 32.2004543665701 656.714904673245</t>
  </si>
  <si>
    <t>-580.269342109447 -61.3860561108702 751.111478371289</t>
  </si>
  <si>
    <t>9763-20170724T160717.989734400.bin</t>
  </si>
  <si>
    <t>-609.102866795002 104.108887069113 -225.373290918961</t>
  </si>
  <si>
    <t>-649.922872840678 97.8219087693103 -339.224170718218</t>
  </si>
  <si>
    <t>-673.40137084708 80.9109771491019 -456.924280027006</t>
  </si>
  <si>
    <t>-687.666793790093 60.7656196783407 -563.627179645949</t>
  </si>
  <si>
    <t>-695.258208375074 35.5439869462352 -669.93389912671</t>
  </si>
  <si>
    <t>-678.300813468639 37.2992241647048 -758.993985733729</t>
  </si>
  <si>
    <t>-573.842388797558 140.314998787997 -769.165795437825</t>
  </si>
  <si>
    <t>-466.246912935477 112.313710770956 -472.812508626449</t>
  </si>
  <si>
    <t>-573.680442510655 192.344761294582 -242.297367011864</t>
  </si>
  <si>
    <t>-575.960754105899 179.176851859636 213.201341096636</t>
  </si>
  <si>
    <t>-634.977470869724 167.810798197254 679.63726836578</t>
  </si>
  <si>
    <t>-497.806804763168 98.1166171743776 764.904128352328</t>
  </si>
  <si>
    <t>-644.095661970585 15.9880123585253 -208.053634572601</t>
  </si>
  <si>
    <t>-528.41980418256 -53.061643471219 227.272620011955</t>
  </si>
  <si>
    <t>-693.738622304534 32.8739894820924 657.899155612473</t>
  </si>
  <si>
    <t>-579.816626530504 -61.5044628891567 753.072692013085</t>
  </si>
  <si>
    <t>9763-20170724T160718.026799100.bin</t>
  </si>
  <si>
    <t>-609.451185639351 101.080174096136 -225.22761891479</t>
  </si>
  <si>
    <t>-650.510202227839 94.6465931061816 -338.984157006467</t>
  </si>
  <si>
    <t>-674.282432781543 76.9713224491957 -456.513002319713</t>
  </si>
  <si>
    <t>-688.857734573196 55.8870200381918 -562.992404946349</t>
  </si>
  <si>
    <t>-696.819531142821 29.4833589421514 -668.98449591454</t>
  </si>
  <si>
    <t>-680.208387545994 30.0782605110078 -758.12523881802</t>
  </si>
  <si>
    <t>-575.84262537035 132.926851635202 -770.213716056622</t>
  </si>
  <si>
    <t>-467.556273345045 109.081006849417 -473.74861571573</t>
  </si>
  <si>
    <t>-574.660379653213 189.277084302864 -242.18964189946</t>
  </si>
  <si>
    <t>-576.200603961636 177.254308359352 213.343892920805</t>
  </si>
  <si>
    <t>-635.160055479882 167.692372955151 679.809208286522</t>
  </si>
  <si>
    <t>-497.754095302091 98.2574998046105 764.908595062888</t>
  </si>
  <si>
    <t>-643.942498796364 12.8843501576603 -207.838801102262</t>
  </si>
  <si>
    <t>-528.420459652789 -54.0576427515682 227.857280250344</t>
  </si>
  <si>
    <t>-693.276937306597 33.0873022447377 658.513707600866</t>
  </si>
  <si>
    <t>-579.805223036378 -61.5494066703614 753.968283713269</t>
  </si>
  <si>
    <t>9763-20170724T160718.090967700.bin</t>
  </si>
  <si>
    <t>-610.327826625936 95.1680530852202 -224.83267181238</t>
  </si>
  <si>
    <t>-651.441497055535 87.9687927894599 -338.523706666426</t>
  </si>
  <si>
    <t>-675.560686533841 68.4814092524464 -455.694891963758</t>
  </si>
  <si>
    <t>-690.608106809011 45.3570927071205 -561.683905552134</t>
  </si>
  <si>
    <t>-699.228102676716 16.5289691768528 -666.990480365871</t>
  </si>
  <si>
    <t>-683.346337273657 14.851398889165 -756.250393674352</t>
  </si>
  <si>
    <t>-579.510516849271 117.754976781998 -771.968070290347</t>
  </si>
  <si>
    <t>-469.682904278322 102.096838906261 -475.524316837675</t>
  </si>
  <si>
    <t>-576.746985192138 182.767345169351 -242.160084545035</t>
  </si>
  <si>
    <t>-577.012114321369 173.507781282261 213.440495675297</t>
  </si>
  <si>
    <t>-635.532634943332 167.318575081444 680.12031844442</t>
  </si>
  <si>
    <t>-497.593350427267 98.6311276397164 764.9631166942</t>
  </si>
  <si>
    <t>-643.676913426048 7.60922200082223 -206.930624416493</t>
  </si>
  <si>
    <t>-529.689198120843 -57.0949063165656 229.507055886363</t>
  </si>
  <si>
    <t>-693.146883429322 33.724334303005 660.336180078145</t>
  </si>
  <si>
    <t>-579.942233089097 -61.6618067185184 755.360929461888</t>
  </si>
  <si>
    <t>9763-20170724T160718.123084800.bin</t>
  </si>
  <si>
    <t>-611.192057204258 91.9972172514867 -224.557555986974</t>
  </si>
  <si>
    <t>-652.196459990122 84.4362462386528 -338.26447174492</t>
  </si>
  <si>
    <t>-676.415174375991 64.0353960233094 -455.259474651794</t>
  </si>
  <si>
    <t>-691.657147421434 39.8800016252321 -560.990484055035</t>
  </si>
  <si>
    <t>-700.589354323211 9.82827895653986 -665.928344456403</t>
  </si>
  <si>
    <t>-685.096659792236 7.01354617552579 -755.227908127434</t>
  </si>
  <si>
    <t>-581.733028035531 110.080049238329 -772.825404453482</t>
  </si>
  <si>
    <t>-471.194897231105 99.1286298457753 -476.434508846814</t>
  </si>
  <si>
    <t>-577.987791187171 179.436253372861 -242.101752777791</t>
  </si>
  <si>
    <t>-577.802226194267 171.488121179235 213.52357864981</t>
  </si>
  <si>
    <t>-635.668418247971 167.235889392349 680.304465723539</t>
  </si>
  <si>
    <t>-497.518749548768 98.8206293537407 765.024795882415</t>
  </si>
  <si>
    <t>-644.349549091436 4.61160437145008 -206.377717952176</t>
  </si>
  <si>
    <t>-531.269786173837 -58.4014768005909 230.543346151827</t>
  </si>
  <si>
    <t>-693.612381581421 34.4339758138135 661.865501928826</t>
  </si>
  <si>
    <t>-580.214940565647 -61.7782883835962 755.821523693047</t>
  </si>
  <si>
    <t>9763-20170724T160718.189246000.bin</t>
  </si>
  <si>
    <t>-614.07935757511 86.1903960894667 -224.006951629181</t>
  </si>
  <si>
    <t>-654.884547933611 77.9692701801876 -337.739839608895</t>
  </si>
  <si>
    <t>-679.212882117411 55.5113778732486 -454.334655969485</t>
  </si>
  <si>
    <t>-694.727792518539 28.9706300333132 -559.452357650422</t>
  </si>
  <si>
    <t>-586.886483153248 93.7089680388997 -774.62723089935</t>
  </si>
  <si>
    <t>-475.953985661624 93.3073727250244 -478.181802771406</t>
  </si>
  <si>
    <t>-581.585500777097 173.045268354419 -241.879646249233</t>
  </si>
  <si>
    <t>-579.778159118454 167.423832997708 213.776756790119</t>
  </si>
  <si>
    <t>-635.830888781535 167.217616840243 680.671252428538</t>
  </si>
  <si>
    <t>-497.57183706377 98.8059772260951 765.215879654367</t>
  </si>
  <si>
    <t>-536.743790594365 -59.8155338251706 232.967364006925</t>
  </si>
  <si>
    <t>-695.299437061292 36.0557361822448 665.320740359959</t>
  </si>
  <si>
    <t>-580.770112629528 -61.8459014957364 756.105171222105</t>
  </si>
  <si>
    <t>9763-20170724T160718.226365400.bin</t>
  </si>
  <si>
    <t>-615.903336950947 83.0266163418112 -223.951387055561</t>
  </si>
  <si>
    <t>-656.627445840967 74.636854433388 -337.700952076347</t>
  </si>
  <si>
    <t>-681.026282900736 51.2032505288178 -454.08877968498</t>
  </si>
  <si>
    <t>-696.692305185321 23.4772853126804 -558.877566415898</t>
  </si>
  <si>
    <t>-590.10715301264 85.4308043246076 -775.777556568304</t>
  </si>
  <si>
    <t>-478.767094831419 91.0788186557154 -479.538283518259</t>
  </si>
  <si>
    <t>-583.86926796503 169.526050954993 -241.772519768206</t>
  </si>
  <si>
    <t>-580.476347187938 164.841377382015 213.88551726287</t>
  </si>
  <si>
    <t>-636.009230901241 167.02925271146 680.819414150832</t>
  </si>
  <si>
    <t>-497.421997311942 99.1598577871368 765.263675816812</t>
  </si>
  <si>
    <t>-539.975857380763 -60.6337153689594 233.729507016572</t>
  </si>
  <si>
    <t>-696.21950787404 36.2436195157738 666.568243958399</t>
  </si>
  <si>
    <t>-580.993880950195 -61.9830224994284 756.112057509351</t>
  </si>
  <si>
    <t>9763-20170724T160718.287531100.bin</t>
  </si>
  <si>
    <t>-620.170578700132 76.1100686204829 -224.168828701708</t>
  </si>
  <si>
    <t>-660.612281680293 67.2694708707752 -337.984944149526</t>
  </si>
  <si>
    <t>-684.943727448835 41.647635882518 -453.924862624397</t>
  </si>
  <si>
    <t>-700.696250459495 11.2910785194288 -557.96903590264</t>
  </si>
  <si>
    <t>-596.591743979474 67.2614183630708 -778.34350426729</t>
  </si>
  <si>
    <t>-483.981864977252 85.021549106234 -483.064476949478</t>
  </si>
  <si>
    <t>-589.403188624796 161.877128035435 -241.770452286571</t>
  </si>
  <si>
    <t>-581.234964504772 158.97157974943 213.84174727619</t>
  </si>
  <si>
    <t>-636.27969353462 166.774748660261 680.872816496445</t>
  </si>
  <si>
    <t>-497.122457952948 99.926884891202 765.194454743191</t>
  </si>
  <si>
    <t>-546.394106494783 -62.2020664711774 234.511333384959</t>
  </si>
  <si>
    <t>-697.448865242537 35.9444297788398 668.38146421216</t>
  </si>
  <si>
    <t>-581.069039659494 -62.1343400085022 756.584643946646</t>
  </si>
  <si>
    <t>9763-20170724T160718.324503400.bin</t>
  </si>
  <si>
    <t>-622.446921808254 72.3232081856993 -224.332107113899</t>
  </si>
  <si>
    <t>-662.912775282063 63.246000318175 -338.121076073938</t>
  </si>
  <si>
    <t>-687.189041189063 36.5348698179369 -453.826545513465</t>
  </si>
  <si>
    <t>-702.887945599144 4.87010681157312 -557.488163529146</t>
  </si>
  <si>
    <t>-599.777686354202 57.8387586144588 -779.413954923387</t>
  </si>
  <si>
    <t>-485.996219645928 82.154396685253 -485.052492677322</t>
  </si>
  <si>
    <t>-592.567406756549 157.946872146119 -241.775313850166</t>
  </si>
  <si>
    <t>-581.296515903219 155.75837907728 213.774683421192</t>
  </si>
  <si>
    <t>-636.388841475926 166.665167991404 680.801185923431</t>
  </si>
  <si>
    <t>-496.87626270841 100.509919549917 765.081874938528</t>
  </si>
  <si>
    <t>-549.337014737822 -62.8396055011633 234.790092398672</t>
  </si>
  <si>
    <t>-697.957981421361 35.6256962870245 669.364446542509</t>
  </si>
  <si>
    <t>-581.106857157404 -62.2639273623192 757.153655487347</t>
  </si>
  <si>
    <t>9763-20170724T160718.393688300.bin</t>
  </si>
  <si>
    <t>-627.478803915636 64.6795900765426 -224.471786572679</t>
  </si>
  <si>
    <t>-668.071806085665 55.0004403909431 -338.165804505253</t>
  </si>
  <si>
    <t>-692.043765149003 25.9874560748578 -453.379386076716</t>
  </si>
  <si>
    <t>-605.195453146139 38.2195130042485 -780.474436872866</t>
  </si>
  <si>
    <t>-490.917581534422 73.6997810055686 -487.442268610887</t>
  </si>
  <si>
    <t>-599.250454148354 150.178724271629 -241.71393239394</t>
  </si>
  <si>
    <t>-580.935861652206 149.512746065276 213.611969308141</t>
  </si>
  <si>
    <t>-636.481642568144 166.621738098803 680.522494370033</t>
  </si>
  <si>
    <t>-496.373790894777 101.742469392381 764.807606835311</t>
  </si>
  <si>
    <t>-554.945033687114 -64.4687656244837 235.555782650608</t>
  </si>
  <si>
    <t>-698.944062546847 34.7031818969917 671.492012100509</t>
  </si>
  <si>
    <t>-581.12083195042 -62.5507574830442 758.686438363756</t>
  </si>
  <si>
    <t>9763-20170724T160718.426787100.bin</t>
  </si>
  <si>
    <t>-630.033397417197 60.9511130519033 -224.360962383015</t>
  </si>
  <si>
    <t>-670.780040867091 50.8840035540261 -337.966160061805</t>
  </si>
  <si>
    <t>-694.588913396173 20.7865118873431 -452.935129180834</t>
  </si>
  <si>
    <t>-607.847695246162 29.0093539642889 -780.434760614395</t>
  </si>
  <si>
    <t>-493.335185703335 69.3818476449876 -488.128175796892</t>
  </si>
  <si>
    <t>-602.706749118609 146.372645305119 -241.558526509333</t>
  </si>
  <si>
    <t>-580.401174603468 146.74371494164 213.589774741444</t>
  </si>
  <si>
    <t>-636.490435486561 166.680329266484 680.370592090281</t>
  </si>
  <si>
    <t>-496.049987863353 102.529090217761 764.659426839929</t>
  </si>
  <si>
    <t>-557.508563108064 -65.5394524643295 236.100780052384</t>
  </si>
  <si>
    <t>-699.458499333777 34.0591079174565 672.607655771391</t>
  </si>
  <si>
    <t>-581.053109749052 -62.6581274675964 759.610247137234</t>
  </si>
  <si>
    <t>9763-20170724T160718.491956100.bin</t>
  </si>
  <si>
    <t>-635.356857884986 53.692986089585 -223.841796338461</t>
  </si>
  <si>
    <t>-676.563628871132 43.1780965082946 -337.24031732673</t>
  </si>
  <si>
    <t>-700.109264213897 11.216651119352 -451.759520341176</t>
  </si>
  <si>
    <t>-613.068366234994 11.9980196745007 -779.935286882449</t>
  </si>
  <si>
    <t>-498.360169689082 61.6906750605499 -489.145356825679</t>
  </si>
  <si>
    <t>-609.289845407096 138.991225974358 -240.987631853701</t>
  </si>
  <si>
    <t>-579.174745622166 141.593324742753 213.703381221649</t>
  </si>
  <si>
    <t>-636.425348543562 167.086095586035 680.118616343068</t>
  </si>
  <si>
    <t>-495.381804881142 104.229427211341 764.375720528543</t>
  </si>
  <si>
    <t>-563.081143408398 -68.676387654147 237.332545419335</t>
  </si>
  <si>
    <t>-700.585651939496 32.2310917035679 674.943977578707</t>
  </si>
  <si>
    <t>-581.014589073735 -63.2703365395259 761.695044328031</t>
  </si>
  <si>
    <t>9763-20170724T160718.528585300.bin</t>
  </si>
  <si>
    <t>-637.88464818485 50.4314627164142 -223.586855113872</t>
  </si>
  <si>
    <t>-679.043274022392 39.6723567446998 -336.979996921673</t>
  </si>
  <si>
    <t>-702.305001121946 6.76872542161141 -451.290140977662</t>
  </si>
  <si>
    <t>-614.520477060017 3.42253416813537 -779.488262837931</t>
  </si>
  <si>
    <t>-500.154400337324 57.2285633562278 -489.296045866166</t>
  </si>
  <si>
    <t>-612.216933282979 135.666211399975 -240.716332953693</t>
  </si>
  <si>
    <t>-578.415799846715 139.657175982575 213.705555901589</t>
  </si>
  <si>
    <t>-636.262845160594 167.413279789867 679.859901196957</t>
  </si>
  <si>
    <t>-494.994270608516 105.205596337877 764.22163703557</t>
  </si>
  <si>
    <t>-565.978794356083 -70.6129656516046 237.853358658201</t>
  </si>
  <si>
    <t>-700.973143359166 31.4686452306951 675.833315319323</t>
  </si>
  <si>
    <t>-581.074323474592 -63.5700147972912 762.640206172645</t>
  </si>
  <si>
    <t>9763-20170724T160718.588746000.bin</t>
  </si>
  <si>
    <t>-641.944868728908 44.5534079326803 -223.634611589091</t>
  </si>
  <si>
    <t>-682.672823536613 33.3829925078819 -337.143518359573</t>
  </si>
  <si>
    <t>-501.607684971247 48.775607994171 -490.40391711784</t>
  </si>
  <si>
    <t>-616.731799652935 129.265652416739 -240.734286775622</t>
  </si>
  <si>
    <t>-574.947209770322 137.212234617732 212.971067356118</t>
  </si>
  <si>
    <t>-635.108125976685 169.747674469534 678.655527059223</t>
  </si>
  <si>
    <t>-493.708555846659 108.073091775901 763.18903503668</t>
  </si>
  <si>
    <t>-571.893991487278 -75.1082661049197 238.283663348968</t>
  </si>
  <si>
    <t>-700.65636735196 29.632280659049 677.064970718449</t>
  </si>
  <si>
    <t>-580.982995702427 -64.7274381736142 764.917345787901</t>
  </si>
  <si>
    <t>9763-20170724T160718.624355800.bin</t>
  </si>
  <si>
    <t>-643.121677952925 41.7202986999757 -223.57442278651</t>
  </si>
  <si>
    <t>-683.665542593245 30.2335586941856 -337.117716841266</t>
  </si>
  <si>
    <t>-501.893047669262 43.5715892923838 -490.493672491587</t>
  </si>
  <si>
    <t>-618.044942193583 126.169512596077 -240.598645702504</t>
  </si>
  <si>
    <t>-571.431785051225 137.037588876931 212.575508503511</t>
  </si>
  <si>
    <t>-634.535984100568 171.969351719278 678.144249319115</t>
  </si>
  <si>
    <t>-492.63926853638 110.1238266306 761.714394192391</t>
  </si>
  <si>
    <t>-574.061323745023 -77.6827146867961 238.572037380384</t>
  </si>
  <si>
    <t>-700.335055405743 28.2745016804392 677.600852344344</t>
  </si>
  <si>
    <t>-580.997438576018 -65.5656256880327 766.460724067915</t>
  </si>
  <si>
    <t>9763-20170724T160718.690529700.bin</t>
  </si>
  <si>
    <t>-643.219166762439 44.415549564972 -223.896020634253</t>
  </si>
  <si>
    <t>-683.24148247356 32.4119032378233 -337.57070558078</t>
  </si>
  <si>
    <t>-498.083353684543 42.8578277060185 -491.719628338533</t>
  </si>
  <si>
    <t>-616.318733674309 134.307885452249 -242.143962583861</t>
  </si>
  <si>
    <t>-561.270470822046 152.071225508128 209.864822218958</t>
  </si>
  <si>
    <t>-623.072066207928 198.067906543598 673.531298512776</t>
  </si>
  <si>
    <t>-477.77612317456 141.8602027986 755.221546419429</t>
  </si>
  <si>
    <t>-576.088074866294 -78.8866663319534 239.355424154068</t>
  </si>
  <si>
    <t>-700.495961706083 25.612600309521 679.630892212829</t>
  </si>
  <si>
    <t>-580.846208752163 -66.5301191692949 769.83714192647</t>
  </si>
  <si>
    <t>9763-20170724T160718.724140500.bin</t>
  </si>
  <si>
    <t>-642.272854724341 49.9158078289208 -224.612198326899</t>
  </si>
  <si>
    <t>-681.732606197446 37.5283005536082 -338.442320986517</t>
  </si>
  <si>
    <t>-494.473905124515 46.8157879290377 -493.33389517769</t>
  </si>
  <si>
    <t>-342.931702422752 5.73547818700968 -285.99508715741</t>
  </si>
  <si>
    <t>-614.327419421245 142.643355791988 -243.741719384958</t>
  </si>
  <si>
    <t>-555.488194165061 164.790503114068 207.595243357544</t>
  </si>
  <si>
    <t>-612.380938364035 213.370140049671 671.122750964999</t>
  </si>
  <si>
    <t>-464.714305045619 163.352405066334 752.58624942664</t>
  </si>
  <si>
    <t>-575.644055695142 -77.356436948734 239.220385919149</t>
  </si>
  <si>
    <t>-700.660734063738 25.1902813253464 679.891291278099</t>
  </si>
  <si>
    <t>-580.96669032818 -66.7549188511368 770.240219130467</t>
  </si>
  <si>
    <t>9763-20170724T160718.791318000.bin</t>
  </si>
  <si>
    <t>-641.352419608325 53.3797863381435 -223.580115621751</t>
  </si>
  <si>
    <t>-680.388928150918 39.7178608832057 -337.410227263841</t>
  </si>
  <si>
    <t>-490.56009276118 46.5178804980189 -493.43320215868</t>
  </si>
  <si>
    <t>-339.250942221135 9.46175591743236 -285.167820532365</t>
  </si>
  <si>
    <t>-612.601042892893 145.411371550181 -244.322908730837</t>
  </si>
  <si>
    <t>-546.199121692851 178.13901917856 205.318440008831</t>
  </si>
  <si>
    <t>-586.401596845579 232.010307076682 670.175985807192</t>
  </si>
  <si>
    <t>-435.525003562007 191.61461720028 751.095438389281</t>
  </si>
  <si>
    <t>-572.067605978588 -77.7816460027816 241.092400746211</t>
  </si>
  <si>
    <t>-700.625244848835 26.0748031143373 680.92414146357</t>
  </si>
  <si>
    <t>-580.893096017916 -66.3146172404931 770.767993364181</t>
  </si>
  <si>
    <t>9763-20170724T160718.821428000.bin</t>
  </si>
  <si>
    <t>-641.47084559851 52.9236109320334 -221.654844308957</t>
  </si>
  <si>
    <t>-680.542048392202 38.3856270334059 -335.364551110877</t>
  </si>
  <si>
    <t>-490.225286894055 43.4921774918625 -491.798809866824</t>
  </si>
  <si>
    <t>-338.810894361122 8.32194406503663 -283.283067493832</t>
  </si>
  <si>
    <t>-612.568461975549 144.490728507651 -243.159911511989</t>
  </si>
  <si>
    <t>-541.903615606542 182.855818533429 205.384796566433</t>
  </si>
  <si>
    <t>-572.699612087125 240.23211571675 670.655960663337</t>
  </si>
  <si>
    <t>-420.748313108594 201.412460916658 750.326284473825</t>
  </si>
  <si>
    <t>-568.930942525394 -78.9799663605938 243.124808194497</t>
  </si>
  <si>
    <t>-700.730343171375 27.0266451733023 681.811329493332</t>
  </si>
  <si>
    <t>-580.824292069891 -65.7730743337563 770.998004601272</t>
  </si>
  <si>
    <t>9763-20170724T160718.888606200.bin</t>
  </si>
  <si>
    <t>-641.175731205341 51.8782853721591 -215.785327403721</t>
  </si>
  <si>
    <t>-680.729469604503 35.0295398617159 -329.008179203758</t>
  </si>
  <si>
    <t>-490.209656374833 36.4457792035178 -486.400061385505</t>
  </si>
  <si>
    <t>-338.276242751367 5.02222566967271 -277.663663945126</t>
  </si>
  <si>
    <t>-612.574978057921 142.70305336068 -239.086141564443</t>
  </si>
  <si>
    <t>-533.678277327311 192.487946180768 206.956915162626</t>
  </si>
  <si>
    <t>-544.657914624218 257.532776700383 671.981354411666</t>
  </si>
  <si>
    <t>-393.080621463362 219.08535976311 752.539606086481</t>
  </si>
  <si>
    <t>-560.004009987807 -80.2357211678234 248.888814172281</t>
  </si>
  <si>
    <t>-701.090938520726 29.3214385930507 683.954309912551</t>
  </si>
  <si>
    <t>-580.871197162709 -64.7232560443233 771.397548552132</t>
  </si>
  <si>
    <t>9763-20170724T160718.918691500.bin</t>
  </si>
  <si>
    <t>-640.481768554478 52.1450017698858 -212.469667552314</t>
  </si>
  <si>
    <t>-680.371597229437 34.2072366287127 -325.407139849988</t>
  </si>
  <si>
    <t>-490.226134124445 33.8191426987719 -483.38248937106</t>
  </si>
  <si>
    <t>-337.987525004529 4.14223411495004 -274.612891413825</t>
  </si>
  <si>
    <t>-612.211043597433 142.806126879163 -236.625678855527</t>
  </si>
  <si>
    <t>-529.203700853941 198.414403024837 207.981000242993</t>
  </si>
  <si>
    <t>-531.752010383778 267.615262536017 672.610836339192</t>
  </si>
  <si>
    <t>-380.875408528936 229.31645120963 754.543455538432</t>
  </si>
  <si>
    <t>-554.508659147379 -80.1797664625317 251.86993788674</t>
  </si>
  <si>
    <t>-701.050206684976 30.3234068825361 684.770888384682</t>
  </si>
  <si>
    <t>-580.888770738465 -64.3764328458246 771.584937570837</t>
  </si>
  <si>
    <t>9763-20170724T160718.987368300.bin</t>
  </si>
  <si>
    <t>-638.3136758471 54.2223793528374 -204.620886486583</t>
  </si>
  <si>
    <t>-678.524337629451 34.1444260219448 -317.083273040543</t>
  </si>
  <si>
    <t>-489.149896741741 29.9793547917998 -476.517446453552</t>
  </si>
  <si>
    <t>-336.234036575927 3.61129801309244 -267.798774351229</t>
  </si>
  <si>
    <t>-610.160942423416 144.39533601189 -230.426247891249</t>
  </si>
  <si>
    <t>-518.965964939202 210.395262894316 211.145040573566</t>
  </si>
  <si>
    <t>-511.455432847996 288.342407690449 674.43463260233</t>
  </si>
  <si>
    <t>-361.146181063538 251.488996544385 758.055742818261</t>
  </si>
  <si>
    <t>-541.948738641311 -79.4014011683921 258.292326941055</t>
  </si>
  <si>
    <t>-700.639302454514 31.9651196410771 686.029877091746</t>
  </si>
  <si>
    <t>-580.297507427576 -62.9891209827192 772.314620245308</t>
  </si>
  <si>
    <t>9763-20170724T160719.025377300.bin</t>
  </si>
  <si>
    <t>-636.57007529069 55.8293241668257 -200.590218477232</t>
  </si>
  <si>
    <t>-677.399095181035 35.0434939902182 -312.700689101542</t>
  </si>
  <si>
    <t>-488.706281777105 30.3685364173282 -473.515898753957</t>
  </si>
  <si>
    <t>-335.450989031817 5.24832712971511 -264.892210056966</t>
  </si>
  <si>
    <t>-608.507049483054 145.652847289752 -227.104050582715</t>
  </si>
  <si>
    <t>-513.522114416701 216.53630084365 212.908556762772</t>
  </si>
  <si>
    <t>-506.850336886056 300.32325075094 675.026706320088</t>
  </si>
  <si>
    <t>-357.598264200684 263.127391126086 760.371878404451</t>
  </si>
  <si>
    <t>-535.219792193658 -79.4227262919492 261.389723852357</t>
  </si>
  <si>
    <t>-700.163095438374 32.8448106899996 686.45620316946</t>
  </si>
  <si>
    <t>-580.186099083526 -62.7522410946615 772.538918656718</t>
  </si>
  <si>
    <t>9763-20170724T160719.093560800.bin</t>
  </si>
  <si>
    <t>-631.292200130873 60.0851832962951 -194.845962886089</t>
  </si>
  <si>
    <t>-674.394390996932 37.6286922489874 -305.777030297764</t>
  </si>
  <si>
    <t>-486.904927556894 32.7109688676417 -469.519132328674</t>
  </si>
  <si>
    <t>-333.343721506433 9.60034481016874 -260.888236134593</t>
  </si>
  <si>
    <t>-602.585235273841 148.954816914293 -223.751927268644</t>
  </si>
  <si>
    <t>-509.180270547374 219.357015021506 216.675975147981</t>
  </si>
  <si>
    <t>-506.74648532153 313.565814368482 677.121000232371</t>
  </si>
  <si>
    <t>-360.627657806973 268.311988749874 763.982332231141</t>
  </si>
  <si>
    <t>-524.128385095276 -80.4565765891286 266.467700536931</t>
  </si>
  <si>
    <t>-699.487613787659 34.0616813934503 686.721145041613</t>
  </si>
  <si>
    <t>-580.118153004872 -62.4820271217293 772.591721963437</t>
  </si>
  <si>
    <t>9763-20170724T160719.128334500.bin</t>
  </si>
  <si>
    <t>-628.966334339224 62.726631723252 -195.253491118322</t>
  </si>
  <si>
    <t>-673.343371153521 39.5630483184736 -305.534631559756</t>
  </si>
  <si>
    <t>-487.812935771499 33.2456406635249 -469.877019120986</t>
  </si>
  <si>
    <t>-333.638635105014 11.4940870466642 -261.552294886423</t>
  </si>
  <si>
    <t>-600.678211446609 151.426906645409 -225.383023729186</t>
  </si>
  <si>
    <t>-509.44204653049 220.33272936316 215.735597359339</t>
  </si>
  <si>
    <t>-507.550635182247 311.931871256033 675.811074085183</t>
  </si>
  <si>
    <t>-361.594889863007 266.033931904823 762.608558777375</t>
  </si>
  <si>
    <t>-521.191882792257 -80.6044140734209 266.775686347532</t>
  </si>
  <si>
    <t>-699.249276648512 34.4724559723672 686.242754065154</t>
  </si>
  <si>
    <t>-580.235672258357 -62.5606335644225 772.055636213692</t>
  </si>
  <si>
    <t>9763-20170724T160719.194508800.bin</t>
  </si>
  <si>
    <t>-626.916904487901 70.0408561684253 -198.812019963135</t>
  </si>
  <si>
    <t>-670.876455743629 44.5518511650457 -308.746809718188</t>
  </si>
  <si>
    <t>-486.44021976578 33.8347322993311 -475.146360697632</t>
  </si>
  <si>
    <t>-331.945174440223 13.3509799367375 -266.930749177118</t>
  </si>
  <si>
    <t>-596.801521227518 159.365715374438 -231.298716769054</t>
  </si>
  <si>
    <t>-512.205754827169 225.630943052584 211.544574619953</t>
  </si>
  <si>
    <t>-508.395116616971 312.334113002987 673.061473329613</t>
  </si>
  <si>
    <t>-362.208507636332 266.375401356956 759.437216444528</t>
  </si>
  <si>
    <t>-519.314579052181 -78.5416736938957 264.099121019905</t>
  </si>
  <si>
    <t>-699.281704503524 34.740952171592 683.038881847837</t>
  </si>
  <si>
    <t>-580.542738155452 -62.7738197311851 768.686054377922</t>
  </si>
  <si>
    <t>9763-20170724T160719.227420000.bin</t>
  </si>
  <si>
    <t>-626.592991912687 72.4896133924249 -200.159544404931</t>
  </si>
  <si>
    <t>-670.085794900667 46.2310710808908 -310.099066086338</t>
  </si>
  <si>
    <t>-485.207710279446 34.2823480641189 -478.376820692436</t>
  </si>
  <si>
    <t>-331.190327298048 13.8499866179984 -269.802566155856</t>
  </si>
  <si>
    <t>-596.599269208076 161.53700852939 -232.923136480472</t>
  </si>
  <si>
    <t>-514.458823923542 228.413526794461 210.290309711157</t>
  </si>
  <si>
    <t>-508.178394932411 313.190894862774 672.380667030156</t>
  </si>
  <si>
    <t>-362.384353580744 266.007417744478 758.75961046721</t>
  </si>
  <si>
    <t>-519.020657714451 -77.6093505427 263.057912781907</t>
  </si>
  <si>
    <t>-699.275371034252 34.9343712988809 682.249130987638</t>
  </si>
  <si>
    <t>-580.805538851668 -63.0057263935112 767.783612133659</t>
  </si>
  <si>
    <t>9763-20170724T160719.291608400.bin</t>
  </si>
  <si>
    <t>-627.025963731401 76.3512761192435 -201.98612193806</t>
  </si>
  <si>
    <t>-670.250310847312 49.1146048867113 -311.793363210978</t>
  </si>
  <si>
    <t>-484.151544006589 36.8572093920877 -484.145545217814</t>
  </si>
  <si>
    <t>-331.596626921572 17.1369668435311 -274.43110031587</t>
  </si>
  <si>
    <t>-597.413518528763 165.169412190325 -234.94296209556</t>
  </si>
  <si>
    <t>-519.184826999923 232.601855647766 208.893564410065</t>
  </si>
  <si>
    <t>-507.934582492155 314.064694646826 671.655529081138</t>
  </si>
  <si>
    <t>-362.526217442733 265.635357136098 757.995133017568</t>
  </si>
  <si>
    <t>-519.770289863018 -76.6118296912064 261.700123165914</t>
  </si>
  <si>
    <t>-699.59345955406 34.933018318751 681.399810370022</t>
  </si>
  <si>
    <t>-580.745037488928 -62.8105042458149 766.633402977194</t>
  </si>
  <si>
    <t>9763-20170724T160719.325319700.bin</t>
  </si>
  <si>
    <t>-627.588670445245 77.4709156501388 -202.838797336983</t>
  </si>
  <si>
    <t>-671.006445913762 49.9280195173062 -312.493250684198</t>
  </si>
  <si>
    <t>-485.457492716302 37.6639967854589 -485.704663768005</t>
  </si>
  <si>
    <t>-333.607489926263 17.5918264216641 -275.512501022784</t>
  </si>
  <si>
    <t>-598.013177596087 166.316618955991 -235.890076206334</t>
  </si>
  <si>
    <t>-521.21020464329 233.818189610764 208.184878047822</t>
  </si>
  <si>
    <t>-507.842012498124 314.154980726308 671.28408143947</t>
  </si>
  <si>
    <t>-362.530463128255 265.604990063081 757.718902467552</t>
  </si>
  <si>
    <t>-520.575260641894 -76.1497802621655 261.154143685593</t>
  </si>
  <si>
    <t>-699.669702351749 34.9799132867006 681.219776106866</t>
  </si>
  <si>
    <t>-580.782164938811 -62.8147884439941 766.340071479315</t>
  </si>
  <si>
    <t>9763-20170724T160719.390492900.bin</t>
  </si>
  <si>
    <t>-629.901355258528 77.7637839396857 -203.654553704872</t>
  </si>
  <si>
    <t>-672.976072741276 49.8363316606753 -313.346977930026</t>
  </si>
  <si>
    <t>-488.692887619171 37.0149042734927 -486.648515846041</t>
  </si>
  <si>
    <t>-336.953458249299 17.3781961725474 -276.335440674881</t>
  </si>
  <si>
    <t>-600.219041607321 166.131984489772 -236.891321036714</t>
  </si>
  <si>
    <t>-523.015200794836 234.391200165578 206.99828148456</t>
  </si>
  <si>
    <t>-507.206501194873 314.390497165814 670.092365357218</t>
  </si>
  <si>
    <t>-362.401955509181 265.675082907342 757.28149216213</t>
  </si>
  <si>
    <t>-522.823235409671 -75.0829647196351 260.194806907189</t>
  </si>
  <si>
    <t>-699.829673950727 34.9935997738542 681.315850576403</t>
  </si>
  <si>
    <t>-580.670566487498 -62.6423522394405 766.238402182187</t>
  </si>
  <si>
    <t>9763-20170724T160719.423223200.bin</t>
  </si>
  <si>
    <t>-631.29984524196 77.5194037377075 -204.399641186223</t>
  </si>
  <si>
    <t>-674.569930540625 49.6098974192123 -314.019821231463</t>
  </si>
  <si>
    <t>-490.906746984101 36.844073342246 -487.374360850858</t>
  </si>
  <si>
    <t>-339.183011448983 17.6683765181735 -277.007357767454</t>
  </si>
  <si>
    <t>-601.793656451103 165.866132986344 -237.533207001497</t>
  </si>
  <si>
    <t>-523.604897538004 234.219716138158 206.169454586903</t>
  </si>
  <si>
    <t>-506.518714519283 314.642801781532 669.125791944254</t>
  </si>
  <si>
    <t>-362.332499596646 265.561848326679 757.131024547273</t>
  </si>
  <si>
    <t>-524.397303515838 -74.4275501254842 259.568287859432</t>
  </si>
  <si>
    <t>-699.890716198759 34.9847861637475 681.521546333604</t>
  </si>
  <si>
    <t>-580.730751197502 -62.7079938065228 766.377499637346</t>
  </si>
  <si>
    <t>9763-20170724T160719.492407400.bin</t>
  </si>
  <si>
    <t>-634.706319668902 76.9375416779399 -206.185871996751</t>
  </si>
  <si>
    <t>-677.557274917249 48.7737283117754 -315.905392070999</t>
  </si>
  <si>
    <t>-493.255097714557 34.924887735348 -489.154410528269</t>
  </si>
  <si>
    <t>-342.327721794114 16.8431296382096 -278.118810452463</t>
  </si>
  <si>
    <t>-605.083773935235 165.126742962243 -239.265104119409</t>
  </si>
  <si>
    <t>-525.135731512162 234.754837950162 203.925522178243</t>
  </si>
  <si>
    <t>-504.737086243066 315.038335183855 666.78309893652</t>
  </si>
  <si>
    <t>-362.097099592508 265.497165548753 757.021847144731</t>
  </si>
  <si>
    <t>-528.915678398603 -73.3546903595723 258.201367198483</t>
  </si>
  <si>
    <t>-700.03110667328 34.8995228167287 682.150061310363</t>
  </si>
  <si>
    <t>-580.522394490226 -62.4775976834947 766.878316797151</t>
  </si>
  <si>
    <t>9763-20170724T160719.524521700.bin</t>
  </si>
  <si>
    <t>-636.252560523305 76.2691798348576 -207.235133371595</t>
  </si>
  <si>
    <t>-678.699831965927 48.1285226184109 -317.117469106512</t>
  </si>
  <si>
    <t>-493.951719843138 34.0816105150539 -490.439424482152</t>
  </si>
  <si>
    <t>-343.441186406748 16.2683994961581 -279.083397499979</t>
  </si>
  <si>
    <t>-606.457349848585 164.400393715732 -240.124226467472</t>
  </si>
  <si>
    <t>-526.077966607178 235.174782678542 202.806716953251</t>
  </si>
  <si>
    <t>-503.733237438707 315.329627098238 665.578128075889</t>
  </si>
  <si>
    <t>-361.999479102483 265.416428154643 757.031542687941</t>
  </si>
  <si>
    <t>-531.691492323074 -73.0904365276451 257.425828853059</t>
  </si>
  <si>
    <t>-700.179075089324 34.7065679285004 682.543476442317</t>
  </si>
  <si>
    <t>-580.5651484999 -62.5547089627826 767.256321617859</t>
  </si>
  <si>
    <t>9763-20170724T160719.591679400.bin</t>
  </si>
  <si>
    <t>-639.625392107071 74.545880228123 -209.248811548361</t>
  </si>
  <si>
    <t>-681.016007179611 46.6192503742272 -319.588099390598</t>
  </si>
  <si>
    <t>-495.059772302516 32.4306204020206 -492.462406730197</t>
  </si>
  <si>
    <t>-345.253379024311 15.4724741015748 -280.536706233553</t>
  </si>
  <si>
    <t>-609.715914381486 162.242203199746 -241.590690233972</t>
  </si>
  <si>
    <t>-528.106288007497 235.431573381759 200.72252266059</t>
  </si>
  <si>
    <t>-501.589553011113 316.136973752511 663.19616747547</t>
  </si>
  <si>
    <t>-361.93198458848 265.005861604104 757.137122887457</t>
  </si>
  <si>
    <t>-537.693258061829 -73.0107038515321 255.906751563728</t>
  </si>
  <si>
    <t>-700.14874459608 34.6455057223995 683.365125033709</t>
  </si>
  <si>
    <t>-580.807755175409 -62.9065729698871 768.12850024107</t>
  </si>
  <si>
    <t>9763-20170724T160719.622684000.bin</t>
  </si>
  <si>
    <t>-641.261238893649 73.4249602546297 -210.136909993265</t>
  </si>
  <si>
    <t>-681.977360040997 45.6855133580232 -320.773928601205</t>
  </si>
  <si>
    <t>-495.184582091444 31.8260810380712 -493.246628547271</t>
  </si>
  <si>
    <t>-345.815796221296 15.2378851504934 -280.982946422342</t>
  </si>
  <si>
    <t>-611.243315003507 160.924910291577 -242.182411208368</t>
  </si>
  <si>
    <t>-528.889731998746 235.179121182901 199.815205036218</t>
  </si>
  <si>
    <t>-500.61007035475 316.315027887412 662.053230279078</t>
  </si>
  <si>
    <t>-361.938277107696 264.739890352608 757.203814248707</t>
  </si>
  <si>
    <t>-540.634983116418 -73.1130850972891 255.203813714272</t>
  </si>
  <si>
    <t>-700.125288131675 34.6375549017964 683.808139291882</t>
  </si>
  <si>
    <t>-580.986277873557 -63.1478983851457 768.586743508994</t>
  </si>
  <si>
    <t>9763-20170724T160719.691861200.bin</t>
  </si>
  <si>
    <t>-644.112091303274 70.9854467696166 -211.903498574427</t>
  </si>
  <si>
    <t>-683.785960594544 43.7831542976742 -323.05122195453</t>
  </si>
  <si>
    <t>-495.73614825587 30.5412171384912 -493.896698042505</t>
  </si>
  <si>
    <t>-347.068060122 14.375575609994 -281.109229672082</t>
  </si>
  <si>
    <t>-613.869992186237 158.423211962389 -243.304517015281</t>
  </si>
  <si>
    <t>-530.160497652819 233.858522220037 198.238064395206</t>
  </si>
  <si>
    <t>-499.484058242037 315.405391839602 660.255384455608</t>
  </si>
  <si>
    <t>-362.056094026848 264.119365519561 757.347058002354</t>
  </si>
  <si>
    <t>-546.463383156008 -71.9516249374267 253.919481437989</t>
  </si>
  <si>
    <t>-700.275354334832 34.5176144078973 684.886327761094</t>
  </si>
  <si>
    <t>-580.990389050863 -63.1786046424472 769.562503056651</t>
  </si>
  <si>
    <t>9763-20170724T160719.722949700.bin</t>
  </si>
  <si>
    <t>-645.724426659367 69.5913029051287 -212.864860869455</t>
  </si>
  <si>
    <t>-684.786663906316 42.8121093386417 -324.331655052714</t>
  </si>
  <si>
    <t>-495.994370836453 30.3416863852769 -494.248614509489</t>
  </si>
  <si>
    <t>-347.529546690308 13.8407257500576 -281.345058256239</t>
  </si>
  <si>
    <t>-615.871189289685 157.250369725061 -243.716431443851</t>
  </si>
  <si>
    <t>-530.849992620896 232.848044383002 197.547751221221</t>
  </si>
  <si>
    <t>-499.244770089161 314.409778684565 659.491079367024</t>
  </si>
  <si>
    <t>-362.080718369766 263.93198629292 757.37635246768</t>
  </si>
  <si>
    <t>-549.475358476604 -70.7947170165037 253.12643261381</t>
  </si>
  <si>
    <t>-700.263163891138 34.5295881057421 685.421442601246</t>
  </si>
  <si>
    <t>-581.050845411188 -63.2603597078487 770.091736448956</t>
  </si>
  <si>
    <t>9763-20170724T160719.794140400.bin</t>
  </si>
  <si>
    <t>-649.284698481973 67.1977316636512 -215.171464906226</t>
  </si>
  <si>
    <t>-687.064552081034 41.3619382184543 -327.300754931478</t>
  </si>
  <si>
    <t>-496.868761875101 31.2452676872085 -495.305905781734</t>
  </si>
  <si>
    <t>-348.980268968283 12.1468474106782 -282.218368453639</t>
  </si>
  <si>
    <t>-620.233141476899 155.346014555913 -244.537981551291</t>
  </si>
  <si>
    <t>-532.101790771889 230.801494591369 196.139846503372</t>
  </si>
  <si>
    <t>-499.312263661852 311.428994711033 658.208123509324</t>
  </si>
  <si>
    <t>-362.232262618819 263.393489420087 757.43105095494</t>
  </si>
  <si>
    <t>-556.79193301808 -67.9616913019731 251.328648343886</t>
  </si>
  <si>
    <t>-700.415693932836 34.2478455472487 686.656492829302</t>
  </si>
  <si>
    <t>-580.795888034319 -63.0374654688046 771.333414307291</t>
  </si>
  <si>
    <t>9763-20170724T160719.824072600.bin</t>
  </si>
  <si>
    <t>-650.8236049848 66.0920333006802 -216.512765671174</t>
  </si>
  <si>
    <t>-688.00201393012 40.8622609427246 -328.98063088694</t>
  </si>
  <si>
    <t>-497.543262741148 32.8356442969241 -496.262934024366</t>
  </si>
  <si>
    <t>-349.522801036416 11.965079818405 -283.433401917519</t>
  </si>
  <si>
    <t>-622.166285461337 154.45294448713 -245.079452221922</t>
  </si>
  <si>
    <t>-532.688365225819 229.635822779801 195.373606796798</t>
  </si>
  <si>
    <t>-499.6872115791 308.894949191671 657.596955553488</t>
  </si>
  <si>
    <t>-362.316828655185 263.07814461193 757.465296582477</t>
  </si>
  <si>
    <t>-560.755860649405 -66.4222840738464 250.316079481861</t>
  </si>
  <si>
    <t>-700.356757957477 34.2743004521838 687.317223694368</t>
  </si>
  <si>
    <t>-580.800037269645 -63.0798782907641 772.0040977973</t>
  </si>
  <si>
    <t>9763-20170724T160719.891256800.bin</t>
  </si>
  <si>
    <t>-653.215701900462 63.491194012558 -220.154708661442</t>
  </si>
  <si>
    <t>-689.057300218336 39.7953212899683 -333.387585736262</t>
  </si>
  <si>
    <t>-497.382958444359 37.2707575967013 -499.635133500517</t>
  </si>
  <si>
    <t>-349.035287856423 11.2642383014338 -287.600438355591</t>
  </si>
  <si>
    <t>-625.223301223973 151.907334611302 -246.983902828143</t>
  </si>
  <si>
    <t>-533.549235932498 226.118035265822 193.182295701584</t>
  </si>
  <si>
    <t>-500.92046542814 301.37662535362 655.758763966602</t>
  </si>
  <si>
    <t>-362.382987921119 262.672414375415 757.015210161245</t>
  </si>
  <si>
    <t>-569.939636604585 -63.3351670261313 247.321131341794</t>
  </si>
  <si>
    <t>-700.598951406065 33.9059238348671 688.098693479177</t>
  </si>
  <si>
    <t>-580.807972716722 -63.188675794954 772.752524182558</t>
  </si>
  <si>
    <t>9763-20170724T160719.921337600.bin</t>
  </si>
  <si>
    <t>-654.152476519892 61.9338737196172 -222.592642456234</t>
  </si>
  <si>
    <t>-689.411764829452 39.2598424030978 -336.216768240651</t>
  </si>
  <si>
    <t>-497.442599591884 40.0584927202669 -501.965732036412</t>
  </si>
  <si>
    <t>-348.611893299408 11.297010626268 -290.626576611861</t>
  </si>
  <si>
    <t>-626.785553981703 150.446506387553 -248.426292262553</t>
  </si>
  <si>
    <t>-534.077394196049 223.855544021428 191.65779261355</t>
  </si>
  <si>
    <t>-501.385254775727 296.736398056091 654.517769347595</t>
  </si>
  <si>
    <t>-362.297233215309 262.684400921967 756.686660498024</t>
  </si>
  <si>
    <t>-575.209801942478 -61.4822843475299 245.299093960015</t>
  </si>
  <si>
    <t>-700.764412154765 33.6590924833031 688.22127327891</t>
  </si>
  <si>
    <t>-580.825177362721 -63.2843268729421 772.838452916116</t>
  </si>
  <si>
    <t>9763-20170724T160719.990525300.bin</t>
  </si>
  <si>
    <t>-655.955204271861 59.6777511351956 -227.845962950558</t>
  </si>
  <si>
    <t>-689.89027284188 39.186295306876 -342.285195694969</t>
  </si>
  <si>
    <t>-497.390309295913 46.1468500541118 -506.859017650905</t>
  </si>
  <si>
    <t>-347.282398573015 13.1385628477922 -297.049294280428</t>
  </si>
  <si>
    <t>-629.620230922512 148.557608928685 -251.252453074242</t>
  </si>
  <si>
    <t>-534.419161615643 220.261348969628 188.580339278317</t>
  </si>
  <si>
    <t>-501.890995157175 288.089927582148 652.363812354869</t>
  </si>
  <si>
    <t>-362.098929956032 263.103116995404 756.177862069361</t>
  </si>
  <si>
    <t>-587.146398969893 -56.5510425726086 240.814551553655</t>
  </si>
  <si>
    <t>-701.122472979615 33.1770638533019 688.414849462262</t>
  </si>
  <si>
    <t>-580.978632172764 -63.6713111648514 772.850372754339</t>
  </si>
  <si>
    <t>9763-20170724T160720.022616700.bin</t>
  </si>
  <si>
    <t>-656.773761369056 58.5693381984868 -230.233497276318</t>
  </si>
  <si>
    <t>-690.013474119287 39.3288153645935 -345.093070447686</t>
  </si>
  <si>
    <t>-496.71521706799 49.6689005015376 -509.289541363393</t>
  </si>
  <si>
    <t>-346.136661357761 14.9459948913832 -300.094635150255</t>
  </si>
  <si>
    <t>-630.983875616411 147.56767194231 -252.252410529112</t>
  </si>
  <si>
    <t>-534.421380052593 218.841403019098 187.353621433778</t>
  </si>
  <si>
    <t>-501.95481235902 284.495139504282 651.43380776985</t>
  </si>
  <si>
    <t>-362.016265798535 263.461154755601 755.924341119628</t>
  </si>
  <si>
    <t>-593.628289961236 -53.6034912350829 238.616307173142</t>
  </si>
  <si>
    <t>-701.397245281704 32.8577118460489 688.530862242495</t>
  </si>
  <si>
    <t>-580.968014925839 -63.7675608052782 772.815323854537</t>
  </si>
  <si>
    <t>9763-20170724T160720.089792400.bin</t>
  </si>
  <si>
    <t>-658.26083138263 56.6869208669859 -234.034870910609</t>
  </si>
  <si>
    <t>-690.76435600257 40.1751450532324 -349.528045588827</t>
  </si>
  <si>
    <t>-497.114048067551 57.9612955117341 -512.536235284286</t>
  </si>
  <si>
    <t>-345.345414158561 19.4334834762813 -304.873128469577</t>
  </si>
  <si>
    <t>-633.610545136983 146.292755588814 -253.246118276246</t>
  </si>
  <si>
    <t>-533.984964253481 216.527520000093 185.843341526483</t>
  </si>
  <si>
    <t>-502.445563138124 278.814348851196 650.493213275852</t>
  </si>
  <si>
    <t>-362.060649072316 264.042859423586 755.457001740291</t>
  </si>
  <si>
    <t>-606.105434556445 -47.5374417046858 234.78052867518</t>
  </si>
  <si>
    <t>-701.984539985679 32.1431268074778 688.612240865433</t>
  </si>
  <si>
    <t>-580.800854680237 -63.8337698207879 772.555451321467</t>
  </si>
  <si>
    <t>9763-20170724T160720.121900700.bin</t>
  </si>
  <si>
    <t>-658.934409864596 55.3087174569919 -235.20652642919</t>
  </si>
  <si>
    <t>-691.212258810281 40.2558643980549 -350.961967662937</t>
  </si>
  <si>
    <t>-707.538065705304 0.106173346077412 -464.152420416978</t>
  </si>
  <si>
    <t>-498.044200702374 61.8963745887972 -513.018512238986</t>
  </si>
  <si>
    <t>-345.210670150753 21.4817105651234 -306.498355118094</t>
  </si>
  <si>
    <t>-634.539673273729 144.707441000091 -253.013305536383</t>
  </si>
  <si>
    <t>-533.56436591842 214.770304596266 185.795117967891</t>
  </si>
  <si>
    <t>-502.964248999155 276.194917630169 650.447191867882</t>
  </si>
  <si>
    <t>-362.103517784846 264.51764137431 755.16305946333</t>
  </si>
  <si>
    <t>-611.846398036266 -44.6348990224819 233.220997995121</t>
  </si>
  <si>
    <t>-702.085848416014 32.0856957621759 688.792115725923</t>
  </si>
  <si>
    <t>-580.648385776775 -63.7807150656902 772.4944550171</t>
  </si>
  <si>
    <t>9763-20170724T160720.190081700.bin</t>
  </si>
  <si>
    <t>-660.25096372351 49.9800892316327 -236.338266328753</t>
  </si>
  <si>
    <t>-692.535214159901 38.0991310363429 -352.460486176476</t>
  </si>
  <si>
    <t>-708.963191431536 2.97249154852898 -467.294324753442</t>
  </si>
  <si>
    <t>-501.932102085985 68.346301977549 -511.637110036838</t>
  </si>
  <si>
    <t>-345.729914765069 23.2609543302626 -308.634081848167</t>
  </si>
  <si>
    <t>-636.490729798805 138.510113002117 -251.333653306411</t>
  </si>
  <si>
    <t>-532.687857123284 209.558160295026 186.655851487131</t>
  </si>
  <si>
    <t>-504.491653439119 271.192270852268 651.170915669395</t>
  </si>
  <si>
    <t>-362.290443605226 266.11230640667 754.594998622655</t>
  </si>
  <si>
    <t>-622.728870286411 -39.7430775017347 230.957820012452</t>
  </si>
  <si>
    <t>-702.381538229201 32.3958983293039 689.675320199527</t>
  </si>
  <si>
    <t>-579.833103227592 -62.747969591097 772.57909695493</t>
  </si>
  <si>
    <t>9763-20170724T160720.221935800.bin</t>
  </si>
  <si>
    <t>-660.747683688488 46.8056238035022 -236.677645836469</t>
  </si>
  <si>
    <t>-693.168890207746 36.5035858369279 -352.9124318728</t>
  </si>
  <si>
    <t>-709.690133582 3.946018754134 -468.487621274129</t>
  </si>
  <si>
    <t>-616.673977723045 6.40526697934183 -799.087841328505</t>
  </si>
  <si>
    <t>-504.405667272796 71.1313457349936 -510.31010638822</t>
  </si>
  <si>
    <t>-345.748701888712 24.3231946389014 -309.613714041351</t>
  </si>
  <si>
    <t>-637.375096725035 134.974950636825 -250.114009624508</t>
  </si>
  <si>
    <t>-531.9195847053 207.088533506293 187.306248944886</t>
  </si>
  <si>
    <t>-505.424714375792 269.448595442728 651.833525470618</t>
  </si>
  <si>
    <t>-362.456160529523 267.091172408793 754.293010708567</t>
  </si>
  <si>
    <t>-628.625932437122 -37.7932274096199 229.837896372266</t>
  </si>
  <si>
    <t>-702.535977270558 32.352648661652 689.965713879283</t>
  </si>
  <si>
    <t>-579.486930467778 -62.4012936509694 772.574042294318</t>
  </si>
  <si>
    <t>9763-20170724T160720.293126800.bin</t>
  </si>
  <si>
    <t>-661.388846790661 41.4764968686516 -237.614391295174</t>
  </si>
  <si>
    <t>-693.481399094376 33.6434996163332 -354.132676003716</t>
  </si>
  <si>
    <t>-710.112590206458 5.88969312714949 -470.938885013207</t>
  </si>
  <si>
    <t>-621.465304666612 30.6091225652497 -800.511220605712</t>
  </si>
  <si>
    <t>-508.237396117684 76.6824349576946 -508.547434684233</t>
  </si>
  <si>
    <t>-345.323216720305 24.9160400876083 -312.533860433554</t>
  </si>
  <si>
    <t>-638.912940344893 129.839280697593 -248.33982549355</t>
  </si>
  <si>
    <t>-531.514622637614 204.064656754903 188.253686369918</t>
  </si>
  <si>
    <t>-507.073696934848 267.556490046688 652.746251110801</t>
  </si>
  <si>
    <t>-362.833874607224 268.787323645013 753.428159058885</t>
  </si>
  <si>
    <t>-643.101735159728 -34.3820592952936 227.689567804552</t>
  </si>
  <si>
    <t>-702.650404613229 31.5313182983355 690.40168124511</t>
  </si>
  <si>
    <t>-578.224574630511 -61.8353962812871 772.525870187502</t>
  </si>
  <si>
    <t>9763-20170724T160720.324213500.bin</t>
  </si>
  <si>
    <t>-661.127799852816 39.4318608759393 -238.089203337623</t>
  </si>
  <si>
    <t>-692.939213473426 32.5562501781283 -354.744904175084</t>
  </si>
  <si>
    <t>-709.691756597768 7.01334922257638 -472.03703266352</t>
  </si>
  <si>
    <t>-624.078252156871 42.6655783409462 -800.596337609129</t>
  </si>
  <si>
    <t>-509.431820952706 80.0363557647788 -507.943313874972</t>
  </si>
  <si>
    <t>-343.601118433129 26.689936105452 -314.820716841638</t>
  </si>
  <si>
    <t>-638.869569748801 127.825297098195 -247.709737602237</t>
  </si>
  <si>
    <t>-531.541662773418 203.127957017379 188.716495030431</t>
  </si>
  <si>
    <t>-507.789160011318 267.503681061115 653.023049905339</t>
  </si>
  <si>
    <t>-363.053665986022 269.530542870387 752.978083865485</t>
  </si>
  <si>
    <t>-650.496269146253 -33.016816397459 226.824155715769</t>
  </si>
  <si>
    <t>-702.896748730871 30.9568076446787 690.546205170365</t>
  </si>
  <si>
    <t>-577.700422597006 -61.5645028773522 772.455921971748</t>
  </si>
  <si>
    <t>9763-20170724T160720.392393800.bin</t>
  </si>
  <si>
    <t>-661.337966383734 36.4841160111575 -238.597956560815</t>
  </si>
  <si>
    <t>-691.751782641354 30.79162976265 -355.689366387893</t>
  </si>
  <si>
    <t>-708.16366166883 9.00358569432478 -473.78467218067</t>
  </si>
  <si>
    <t>-627.480118380888 64.6399928455946 -799.451214885006</t>
  </si>
  <si>
    <t>-508.896307722134 86.646406066676 -506.808356131444</t>
  </si>
  <si>
    <t>-337.505359920407 30.14134968436 -319.526881493251</t>
  </si>
  <si>
    <t>-639.357157799536 124.717644793262 -246.853569718644</t>
  </si>
  <si>
    <t>-531.363938584408 202.069250344779 189.049830397857</t>
  </si>
  <si>
    <t>-509.002746499248 268.21071410519 653.118770280775</t>
  </si>
  <si>
    <t>-363.485784468015 270.657276693341 751.923317176684</t>
  </si>
  <si>
    <t>-662.963731920581 -31.3626960023189 225.341311354624</t>
  </si>
  <si>
    <t>-703.254483548367 29.6277507429652 690.323062150947</t>
  </si>
  <si>
    <t>-576.899424445463 -61.2987669534873 772.239370211399</t>
  </si>
  <si>
    <t>9763-20170724T160720.425485200.bin</t>
  </si>
  <si>
    <t>-662.063630221758 35.4206051310957 -238.928697904838</t>
  </si>
  <si>
    <t>-691.899652452988 30.1706533129263 -356.189287419829</t>
  </si>
  <si>
    <t>-708.098409004205 9.9175457059614 -474.586824946199</t>
  </si>
  <si>
    <t>-629.389173767484 73.9212461239451 -798.702300165974</t>
  </si>
  <si>
    <t>-508.313064834966 90.908858200039 -506.746465676293</t>
  </si>
  <si>
    <t>-335.16411152607 32.3414398894711 -321.729216055447</t>
  </si>
  <si>
    <t>-640.230242173131 123.759898502746 -246.701569816084</t>
  </si>
  <si>
    <t>-531.953225458489 201.683642819176 189.029618615938</t>
  </si>
  <si>
    <t>-509.560027383731 268.512414758715 653.03572166378</t>
  </si>
  <si>
    <t>-363.700076873382 271.112097936615 751.329165989931</t>
  </si>
  <si>
    <t>-667.758479711988 -31.1508493743654 224.608703094075</t>
  </si>
  <si>
    <t>-703.351006167367 28.834779023279 690.025754806381</t>
  </si>
  <si>
    <t>-576.673229320898 -61.4439680018313 772.159794249584</t>
  </si>
  <si>
    <t>9763-20170724T160720.492666600.bin</t>
  </si>
  <si>
    <t>-665.217767645285 34.0448240876401 -239.221329774629</t>
  </si>
  <si>
    <t>-694.067318797344 29.5438122849878 -356.759730007027</t>
  </si>
  <si>
    <t>-709.681391400908 11.795921797107 -475.636799751127</t>
  </si>
  <si>
    <t>-632.242023977856 88.4362979513887 -796.213014478255</t>
  </si>
  <si>
    <t>-507.909755378558 98.1391442713327 -505.294584222708</t>
  </si>
  <si>
    <t>-332.810472114059 35.8044580571584 -323.369502740458</t>
  </si>
  <si>
    <t>-643.744132107016 122.737124476869 -246.343788209603</t>
  </si>
  <si>
    <t>-535.598970288057 201.529143720189 189.263963629306</t>
  </si>
  <si>
    <t>-510.681609205851 268.906583493549 653.032973067684</t>
  </si>
  <si>
    <t>-364.141164334889 271.57969555802 750.307101489481</t>
  </si>
  <si>
    <t>-674.62011783141 -31.4007882978954 223.51533961481</t>
  </si>
  <si>
    <t>-703.499384150296 27.4849931080437 689.528248552088</t>
  </si>
  <si>
    <t>-576.220355715609 -61.576477540626 772.060725131004</t>
  </si>
  <si>
    <t>9763-20170724T160720.523415500.bin</t>
  </si>
  <si>
    <t>-667.655915540947 33.5126680959418 -239.562873733149</t>
  </si>
  <si>
    <t>-696.08131375624 29.3096064648012 -357.21549313532</t>
  </si>
  <si>
    <t>-711.378566039481 12.6133322205571 -476.286064066123</t>
  </si>
  <si>
    <t>-633.959098845765 94.3608598007027 -795.274502226536</t>
  </si>
  <si>
    <t>-508.812420829331 100.170886938358 -504.601547830257</t>
  </si>
  <si>
    <t>-333.140402860753 36.4011205666311 -323.729186793509</t>
  </si>
  <si>
    <t>-646.572296538887 122.878994943705 -246.35142722245</t>
  </si>
  <si>
    <t>-538.404267532951 201.761065392843 189.234389152032</t>
  </si>
  <si>
    <t>-511.206354465308 269.108802766645 652.95271285447</t>
  </si>
  <si>
    <t>-364.356027562682 271.732773904613 749.759907881322</t>
  </si>
  <si>
    <t>-677.855431101853 -31.8218052104633 222.66928211625</t>
  </si>
  <si>
    <t>-703.627716738649 26.0851170111482 688.584089268468</t>
  </si>
  <si>
    <t>-576.055016474884 -61.7244306590437 771.999895492128</t>
  </si>
  <si>
    <t>9763-20170724T160720.589591900.bin</t>
  </si>
  <si>
    <t>-674.070430573842 32.6482049338158 -241.532286912723</t>
  </si>
  <si>
    <t>-701.598041786075 29.2033071832541 -359.422700293445</t>
  </si>
  <si>
    <t>-716.277788293247 14.3725247768657 -478.817580517483</t>
  </si>
  <si>
    <t>-638.724817714989 104.22429384067 -794.699738065476</t>
  </si>
  <si>
    <t>-512.318202582621 102.571987749961 -504.519091758066</t>
  </si>
  <si>
    <t>-335.49713457282 35.4877536306155 -325.980314369616</t>
  </si>
  <si>
    <t>-654.220089141162 124.247691667677 -247.046184107386</t>
  </si>
  <si>
    <t>-545.874430546088 202.622759923049 188.586855360441</t>
  </si>
  <si>
    <t>-512.580550818021 269.56733581558 652.585903782969</t>
  </si>
  <si>
    <t>-364.856453831932 271.634185058484 748.067995023022</t>
  </si>
  <si>
    <t>-684.46165908507 -34.1517697003858 219.432500868442</t>
  </si>
  <si>
    <t>-703.879146002998 21.3083214721175 685.187210316008</t>
  </si>
  <si>
    <t>-575.685319654787 -61.8408049479008 772.342697554383</t>
  </si>
  <si>
    <t>9763-20170724T160720.626694700.bin</t>
  </si>
  <si>
    <t>-677.833978279228 32.4528556207351 -242.363685098559</t>
  </si>
  <si>
    <t>-704.847400175175 29.4795386440319 -360.385843485568</t>
  </si>
  <si>
    <t>-719.186313696301 15.5247098420718 -479.927523515546</t>
  </si>
  <si>
    <t>-641.182423627742 108.669764239993 -794.484622427844</t>
  </si>
  <si>
    <t>-514.571896212085 103.719513572067 -504.430357413066</t>
  </si>
  <si>
    <t>-337.457342712983 35.0076900754177 -326.803996641936</t>
  </si>
  <si>
    <t>-658.471135531447 124.954241137531 -247.250888628129</t>
  </si>
  <si>
    <t>-550.169781792936 203.156048694357 188.424460803612</t>
  </si>
  <si>
    <t>-513.50730184567 269.832425401994 652.541125902551</t>
  </si>
  <si>
    <t>-365.145063346158 271.485097142614 747.036995956666</t>
  </si>
  <si>
    <t>-687.470385810887 -35.0613366546013 218.018461363139</t>
  </si>
  <si>
    <t>-704.063362662511 19.678481646484 684.279673889159</t>
  </si>
  <si>
    <t>-575.437840567126 -61.5630472970261 772.590498151614</t>
  </si>
  <si>
    <t>9763-20170724T160720.690883400.bin</t>
  </si>
  <si>
    <t>-684.395693392863 31.6768522705843 -243.480710824677</t>
  </si>
  <si>
    <t>-710.446754634723 29.8104991474363 -361.741660037782</t>
  </si>
  <si>
    <t>-724.172177302817 17.3499528191048 -481.520251088394</t>
  </si>
  <si>
    <t>-731.753011470915 1.42827136345818 -589.612304560366</t>
  </si>
  <si>
    <t>-645.463293202886 115.423767016976 -794.117857858214</t>
  </si>
  <si>
    <t>-518.321677753685 103.784236304543 -504.487481406074</t>
  </si>
  <si>
    <t>-341.107116717228 33.895436104669 -327.420885937288</t>
  </si>
  <si>
    <t>-665.480571686116 124.77033660077 -247.275035654501</t>
  </si>
  <si>
    <t>-558.461686752161 204.014420146981 188.528912115826</t>
  </si>
  <si>
    <t>-515.097077471681 269.984588049164 652.261255403603</t>
  </si>
  <si>
    <t>-365.618912102947 271.430640627795 744.984786525288</t>
  </si>
  <si>
    <t>-692.315143435433 -36.3484100009309 216.068475652507</t>
  </si>
  <si>
    <t>-704.329491684365 17.3590239066305 682.815949157941</t>
  </si>
  <si>
    <t>-575.147860154076 -61.2377597399973 772.694546507774</t>
  </si>
  <si>
    <t>9763-20170724T160720.722706100.bin</t>
  </si>
  <si>
    <t>-687.478828798853 31.5388135283711 -244.02669887419</t>
  </si>
  <si>
    <t>-713.116043589729 30.0806093598469 -362.383915245934</t>
  </si>
  <si>
    <t>-726.593152430224 18.2145563620586 -482.251062810921</t>
  </si>
  <si>
    <t>-734.013583919593 2.90611033330379 -590.442620608391</t>
  </si>
  <si>
    <t>-647.496985661462 118.187145321935 -794.077967959543</t>
  </si>
  <si>
    <t>-519.969119164091 103.738569891324 -504.744150473128</t>
  </si>
  <si>
    <t>-343.176127846445 33.0371194229715 -327.578718437982</t>
  </si>
  <si>
    <t>-668.764649630269 125.140891095346 -247.489198157931</t>
  </si>
  <si>
    <t>-562.638785300182 204.922090943814 188.435046311326</t>
  </si>
  <si>
    <t>-515.679905932354 269.694861514205 652.030509677045</t>
  </si>
  <si>
    <t>-365.804358986648 271.282916988815 744.108270906384</t>
  </si>
  <si>
    <t>-694.236423616111 -36.7436568495095 215.265676628498</t>
  </si>
  <si>
    <t>-704.320064956795 16.4858787013957 682.151934134179</t>
  </si>
  <si>
    <t>-574.949341844561 -61.073342811143 772.657712691139</t>
  </si>
  <si>
    <t>9763-20170724T160720.796901700.bin</t>
  </si>
  <si>
    <t>-693.326893780462 32.853773495691 -244.545144153814</t>
  </si>
  <si>
    <t>-718.225236836292 32.1697760808295 -363.066816165989</t>
  </si>
  <si>
    <t>-731.300966702141 21.3605493348796 -483.078375439579</t>
  </si>
  <si>
    <t>-738.490557211366 7.1250304589114 -591.431993404133</t>
  </si>
  <si>
    <t>-651.464718997324 124.504618623697 -793.613987933897</t>
  </si>
  <si>
    <t>-523.10705792998 106.554761398895 -504.843638714077</t>
  </si>
  <si>
    <t>-346.328585367251 34.492203279817 -328.212980649653</t>
  </si>
  <si>
    <t>-675.013493931219 127.507943417404 -247.569574264134</t>
  </si>
  <si>
    <t>-570.764980799133 206.118472862905 189.019739621572</t>
  </si>
  <si>
    <t>-516.907227671845 267.928856403649 652.245637633842</t>
  </si>
  <si>
    <t>-366.179003083785 270.650743516148 742.893960263817</t>
  </si>
  <si>
    <t>-697.129129843338 -36.3571179275034 214.194764958873</t>
  </si>
  <si>
    <t>-704.135339815606 15.7709105131696 681.462781835692</t>
  </si>
  <si>
    <t>-574.404377970179 -60.5161635804177 772.532349055922</t>
  </si>
  <si>
    <t>9763-20170724T160720.821471000.bin</t>
  </si>
  <si>
    <t>-695.975317496102 33.6909214244738 -244.534128872001</t>
  </si>
  <si>
    <t>-720.6454338831 33.4699936662071 -363.105381169003</t>
  </si>
  <si>
    <t>-733.590520616496 23.1470423887297 -483.17369627688</t>
  </si>
  <si>
    <t>-740.702216296473 9.36048701592131 -591.590601819955</t>
  </si>
  <si>
    <t>-730.864215836479 2.56453124726863 -788.55099263188</t>
  </si>
  <si>
    <t>-653.436865108871 127.497870908782 -793.218249219125</t>
  </si>
  <si>
    <t>-524.339544478558 108.434105448589 -504.849261680185</t>
  </si>
  <si>
    <t>-347.623710389558 35.4723771900524 -328.525330723846</t>
  </si>
  <si>
    <t>-677.97060210639 128.653146465598 -247.250573276873</t>
  </si>
  <si>
    <t>-574.105760416077 206.595108166137 189.550029455775</t>
  </si>
  <si>
    <t>-517.537590935889 266.492956077665 652.637371777802</t>
  </si>
  <si>
    <t>-366.366005608848 270.29926878107 742.50482132316</t>
  </si>
  <si>
    <t>-698.430120294089 -36.0005356826975 213.89295583921</t>
  </si>
  <si>
    <t>-704.099319246631 15.6404987945939 681.281511450302</t>
  </si>
  <si>
    <t>-574.157848061394 -60.2648597431971 772.369922878312</t>
  </si>
  <si>
    <t>9763-20170724T160720.859642200.bin</t>
  </si>
  <si>
    <t>-698.503369315139 34.7141696526144 -244.259887541685</t>
  </si>
  <si>
    <t>-722.969724699813 34.9561394526672 -362.873263248601</t>
  </si>
  <si>
    <t>-735.823642719819 25.0744763967932 -482.9886479304</t>
  </si>
  <si>
    <t>-742.899671988487 11.6798292827905 -591.456931236257</t>
  </si>
  <si>
    <t>-733.104127115153 5.58226546026663 -788.445105948797</t>
  </si>
  <si>
    <t>-655.545125502693 130.44371004414 -792.677554715498</t>
  </si>
  <si>
    <t>-525.632628453167 110.630060534463 -504.725608396439</t>
  </si>
  <si>
    <t>-348.896310131371 36.9776355196225 -328.709434030724</t>
  </si>
  <si>
    <t>-680.834365703575 129.917032474775 -246.657325533676</t>
  </si>
  <si>
    <t>-576.95577286354 207.007766463198 190.291073085444</t>
  </si>
  <si>
    <t>-518.341954346865 265.00033922508 653.393003479632</t>
  </si>
  <si>
    <t>-366.587347420604 269.770011864313 742.226017499399</t>
  </si>
  <si>
    <t>-699.635626786214 -35.5992802288458 213.762599480069</t>
  </si>
  <si>
    <t>-704.132195924537 15.5612586649702 681.203565651952</t>
  </si>
  <si>
    <t>-573.949891110629 -60.0521067848802 772.190921067433</t>
  </si>
  <si>
    <t>9763-20170724T160720.937521600.bin</t>
  </si>
  <si>
    <t>-701.701886788724 36.3077273937131 -243.412274944448</t>
  </si>
  <si>
    <t>-726.049465976107 37.5423163182272 -362.043891972586</t>
  </si>
  <si>
    <t>-738.876668711119 28.4108456320253 -482.221531771374</t>
  </si>
  <si>
    <t>-745.972798228254 15.5969066472114 -590.758637156282</t>
  </si>
  <si>
    <t>-736.340520999049 10.3301206364481 -787.791200214628</t>
  </si>
  <si>
    <t>-658.722264591695 135.168463014724 -791.450781886755</t>
  </si>
  <si>
    <t>-527.505749133233 114.187558272305 -504.173484925141</t>
  </si>
  <si>
    <t>-350.441021284486 39.8007945389263 -328.797564048399</t>
  </si>
  <si>
    <t>-684.049298810323 131.571828503335 -245.042114805498</t>
  </si>
  <si>
    <t>-581.181109086821 206.569546136724 192.50926688962</t>
  </si>
  <si>
    <t>-520.098915255023 261.843738427215 655.405172437207</t>
  </si>
  <si>
    <t>-366.987909901986 268.871663612576 741.724966250829</t>
  </si>
  <si>
    <t>-701.409300982265 -35.2849656220296 213.753735280615</t>
  </si>
  <si>
    <t>-704.313715734985 15.2751665154397 681.088930689555</t>
  </si>
  <si>
    <t>-573.596639630897 -59.6852761778043 771.849509713417</t>
  </si>
  <si>
    <t>9763-20170724T160720.986652200.bin</t>
  </si>
  <si>
    <t>-702.37765148905 37.4860848495546 -243.337155334537</t>
  </si>
  <si>
    <t>-726.640842067913 39.2571539515679 -361.979319622351</t>
  </si>
  <si>
    <t>-739.554035021082 30.582633530885 -482.18160433031</t>
  </si>
  <si>
    <t>-746.800865525496 18.1513418871673 -590.753208223533</t>
  </si>
  <si>
    <t>-749.941652081616 0.972509703842434 -698.872950663712</t>
  </si>
  <si>
    <t>-737.594295391622 13.4996297419705 -787.827819468308</t>
  </si>
  <si>
    <t>-659.790796919307 138.23991280977 -791.311140722636</t>
  </si>
  <si>
    <t>-527.949212987481 116.004884802377 -504.414705002991</t>
  </si>
  <si>
    <t>-350.970514746569 40.9453139590746 -329.238668512956</t>
  </si>
  <si>
    <t>-684.948724334092 133.310497775533 -244.666061489507</t>
  </si>
  <si>
    <t>-583.117296915782 206.331329036076 193.461708753828</t>
  </si>
  <si>
    <t>-521.036431621937 259.614763291609 656.42871927644</t>
  </si>
  <si>
    <t>-367.2099709904 268.438627626559 741.299368920139</t>
  </si>
  <si>
    <t>-701.628405151405 -35.0658946714229 213.516079522002</t>
  </si>
  <si>
    <t>-704.359735585278 14.9639521036818 680.883372235436</t>
  </si>
  <si>
    <t>-573.310795919651 -59.4271688218284 771.633836276923</t>
  </si>
  <si>
    <t>9763-20170724T160721.022716100.bin</t>
  </si>
  <si>
    <t>-701.957280637416 38.4360013406038 -243.382975466556</t>
  </si>
  <si>
    <t>-726.386247261082 40.3303287481897 -361.989245041558</t>
  </si>
  <si>
    <t>-739.505988780804 31.8352960741522 -482.181851977614</t>
  </si>
  <si>
    <t>-746.953948040336 19.5882391595762 -590.760822183668</t>
  </si>
  <si>
    <t>-750.309026043989 2.61509883267559 -698.906688532712</t>
  </si>
  <si>
    <t>-738.100918676679 15.3060847547827 -787.857515238432</t>
  </si>
  <si>
    <t>-660.124806574055 139.91775656355 -791.263088791381</t>
  </si>
  <si>
    <t>-528.102087537015 117.395464810959 -504.472267247793</t>
  </si>
  <si>
    <t>-351.573704449083 41.572749225691 -329.170474076513</t>
  </si>
  <si>
    <t>-684.566944405768 134.657779920081 -244.625054608443</t>
  </si>
  <si>
    <t>-582.742701811146 206.529592840694 193.694311881928</t>
  </si>
  <si>
    <t>-521.71993944573 260.024372581918 657.059167577155</t>
  </si>
  <si>
    <t>-367.411927952079 268.048791122935 741.131681923877</t>
  </si>
  <si>
    <t>-701.181772669284 -34.7569412136645 213.446685271886</t>
  </si>
  <si>
    <t>-704.302358832367 14.9213846866401 680.835214041393</t>
  </si>
  <si>
    <t>-573.195709909488 -59.32568300249 771.62030434077</t>
  </si>
  <si>
    <t>9763-20170724T160721.088888300.bin</t>
  </si>
  <si>
    <t>-701.053607023456 41.2571900666401 -243.165263765341</t>
  </si>
  <si>
    <t>-726.029866119992 43.2597050374011 -361.655595218524</t>
  </si>
  <si>
    <t>-739.689160825949 35.1587129225245 -481.81538726458</t>
  </si>
  <si>
    <t>-747.61154086003 23.3779856353879 -590.412378588048</t>
  </si>
  <si>
    <t>-751.421420650372 6.97760038360116 -698.631476663086</t>
  </si>
  <si>
    <t>-739.514771955659 20.1803857614614 -787.548709092142</t>
  </si>
  <si>
    <t>-661.369456914512 144.686682763123 -790.834830518909</t>
  </si>
  <si>
    <t>-529.174799432389 121.507666317837 -504.175714976562</t>
  </si>
  <si>
    <t>-353.401954685368 45.3020136767261 -328.281760086799</t>
  </si>
  <si>
    <t>-684.937045744248 138.127910393566 -244.094116233713</t>
  </si>
  <si>
    <t>-581.839486947987 207.984933733447 194.25340167357</t>
  </si>
  <si>
    <t>-537.58921900947 267.56839348056 658.741945173624</t>
  </si>
  <si>
    <t>-380.965727852706 263.411274917461 738.712548689557</t>
  </si>
  <si>
    <t>-700.034987449102 -33.3864873882349 213.477806115187</t>
  </si>
  <si>
    <t>-704.043456088415 14.9669025762539 680.798810105487</t>
  </si>
  <si>
    <t>-572.999732243228 -59.1581499004772 771.7742423804</t>
  </si>
  <si>
    <t>9763-20170724T160721.126008700.bin</t>
  </si>
  <si>
    <t>-700.344227531648 42.518450200442 -243.263482609917</t>
  </si>
  <si>
    <t>-725.422467546063 44.6646230354379 -361.729932276457</t>
  </si>
  <si>
    <t>-739.29188757658 36.7522638045034 -481.878067743094</t>
  </si>
  <si>
    <t>-747.443020780311 25.1651871555869 -590.479001991496</t>
  </si>
  <si>
    <t>-751.51666833025 8.98444046452232 -698.721491627493</t>
  </si>
  <si>
    <t>-739.832567264253 22.3793608261435 -787.639547926704</t>
  </si>
  <si>
    <t>-661.793229615003 146.975273413542 -790.953477433017</t>
  </si>
  <si>
    <t>-529.632135864554 123.467221562963 -504.305560864097</t>
  </si>
  <si>
    <t>-354.389330804255 47.154432380037 -327.929968846524</t>
  </si>
  <si>
    <t>-684.74206732349 139.523734356775 -244.422985396948</t>
  </si>
  <si>
    <t>-582.470036414499 206.731299963818 194.531707201388</t>
  </si>
  <si>
    <t>-545.383938803292 268.455563793805 658.657396755066</t>
  </si>
  <si>
    <t>-388.871819503822 250.748389645704 736.976883526204</t>
  </si>
  <si>
    <t>-699.223088705508 -32.4777952311667 213.402328224018</t>
  </si>
  <si>
    <t>-703.795380376474 15.2104397068942 680.7769495766</t>
  </si>
  <si>
    <t>-573.002604897181 -59.2336860441151 771.852924166095</t>
  </si>
  <si>
    <t>9763-20170724T160721.192184400.bin</t>
  </si>
  <si>
    <t>-693.732020538068 44.7888555180177 -244.189451299982</t>
  </si>
  <si>
    <t>-719.102311160383 46.9203338690656 -362.593899001713</t>
  </si>
  <si>
    <t>-733.719066347626 39.2152193344361 -482.666975953603</t>
  </si>
  <si>
    <t>-742.707709758483 27.9300597671931 -591.233431322153</t>
  </si>
  <si>
    <t>-747.763715431448 12.180215125647 -699.498176497008</t>
  </si>
  <si>
    <t>-736.859736357718 25.9692570575016 -788.45504247262</t>
  </si>
  <si>
    <t>-658.888169003915 150.582716571407 -792.171329730949</t>
  </si>
  <si>
    <t>-528.354768714928 127.184965214118 -504.769620880331</t>
  </si>
  <si>
    <t>-354.398973977938 49.3531119912213 -327.784762126746</t>
  </si>
  <si>
    <t>-677.432856762705 140.374227599334 -245.601335424718</t>
  </si>
  <si>
    <t>-580.567380800286 206.567190349179 194.731736195973</t>
  </si>
  <si>
    <t>-543.462810522865 270.127073388322 658.456933215481</t>
  </si>
  <si>
    <t>-390.297072486654 240.118523799731 739.594151603204</t>
  </si>
  <si>
    <t>-694.847854142068 -30.7897078004291 213.031135155578</t>
  </si>
  <si>
    <t>-703.033478477994 15.8014723958715 680.578017457644</t>
  </si>
  <si>
    <t>-573.319692228708 -59.9394182968917 772.126707776503</t>
  </si>
  <si>
    <t>9763-20170724T160721.223274700.bin</t>
  </si>
  <si>
    <t>-688.937653697749 45.9539011231407 -244.496238005462</t>
  </si>
  <si>
    <t>-714.764056101978 48.1308208405248 -362.801185811858</t>
  </si>
  <si>
    <t>-729.878690801146 40.5654834867223 -482.821424280351</t>
  </si>
  <si>
    <t>-739.322465171887 29.4509631382223 -591.367100519083</t>
  </si>
  <si>
    <t>-744.830914910859 13.9194847012616 -699.641160325378</t>
  </si>
  <si>
    <t>-734.225269606438 27.8900595471307 -788.605839869509</t>
  </si>
  <si>
    <t>-656.013784381378 152.362652332212 -792.528670497555</t>
  </si>
  <si>
    <t>-527.513428912412 129.066040142416 -504.203978207506</t>
  </si>
  <si>
    <t>-353.648218631028 50.3790436463455 -327.508472947338</t>
  </si>
  <si>
    <t>-671.641939537129 141.82635348379 -246.221438868855</t>
  </si>
  <si>
    <t>-575.991060196646 207.986177471858 194.382017533091</t>
  </si>
  <si>
    <t>-543.118576828573 271.874872522272 658.377701700259</t>
  </si>
  <si>
    <t>-390.353563222395 243.187229237212 740.738972180169</t>
  </si>
  <si>
    <t>-692.034836381951 -30.0246905006156 212.986802281585</t>
  </si>
  <si>
    <t>-702.684664447148 16.2292215283615 680.614743865108</t>
  </si>
  <si>
    <t>-573.55610583113 -60.4237278280675 772.23160644205</t>
  </si>
  <si>
    <t>9763-20170724T160721.294462500.bin</t>
  </si>
  <si>
    <t>-680.486045639323 48.2871236496162 -245.08469342892</t>
  </si>
  <si>
    <t>-707.103239183324 50.3457150588349 -363.216412784123</t>
  </si>
  <si>
    <t>-723.140234104562 42.8729401452872 -483.122742897449</t>
  </si>
  <si>
    <t>-733.453306002719 31.9366011204631 -591.607205351336</t>
  </si>
  <si>
    <t>-739.85413698707 16.6838851464815 -699.871794453134</t>
  </si>
  <si>
    <t>-729.829094152004 30.8775987120657 -788.868551181343</t>
  </si>
  <si>
    <t>-651.243760910128 155.121093190471 -793.182745392026</t>
  </si>
  <si>
    <t>-526.060787034772 133.588165208915 -503.265990458737</t>
  </si>
  <si>
    <t>-353.461637867047 52.1950155144762 -326.554995294793</t>
  </si>
  <si>
    <t>-661.818289940441 143.520208449622 -247.610503579165</t>
  </si>
  <si>
    <t>-571.280610820555 207.827587517225 194.345613616321</t>
  </si>
  <si>
    <t>-542.799155590032 271.986258810902 658.597706428918</t>
  </si>
  <si>
    <t>-390.66071744072 244.277057824051 742.440407523833</t>
  </si>
  <si>
    <t>-686.527103336857 -27.8890785896774 213.321657585444</t>
  </si>
  <si>
    <t>-702.13320006968 17.7079115025238 681.314860535761</t>
  </si>
  <si>
    <t>-573.874253374397 -61.1946583446245 772.240891940984</t>
  </si>
  <si>
    <t>9763-20170724T160721.327555300.bin</t>
  </si>
  <si>
    <t>-675.922838616274 49.7487005016064 -244.871127531538</t>
  </si>
  <si>
    <t>-702.895269807812 51.7667560318471 -362.92285570098</t>
  </si>
  <si>
    <t>-719.286176057873 44.2742399926096 -482.780171727787</t>
  </si>
  <si>
    <t>-729.913649860005 33.3305143413704 -591.233552347109</t>
  </si>
  <si>
    <t>-736.62029797612 18.0822677776393 -699.480355860103</t>
  </si>
  <si>
    <t>-726.767960192362 32.2557437254054 -788.499540735518</t>
  </si>
  <si>
    <t>-648.022865023287 156.335193561001 -793.047823477754</t>
  </si>
  <si>
    <t>-524.341924913664 135.642742794976 -502.425883478987</t>
  </si>
  <si>
    <t>-352.382804464917 53.5199904414985 -325.428884422916</t>
  </si>
  <si>
    <t>-656.651039239353 144.615820264967 -247.697580167437</t>
  </si>
  <si>
    <t>-569.224824737745 208.924826997628 194.884229153131</t>
  </si>
  <si>
    <t>-542.522344579927 272.214487402348 659.067842329224</t>
  </si>
  <si>
    <t>-390.63661568655 244.565616219411 743.387416394979</t>
  </si>
  <si>
    <t>-683.522726702019 -26.4665436197083 213.990361640292</t>
  </si>
  <si>
    <t>-701.854261018335 19.2596598714581 682.328337296646</t>
  </si>
  <si>
    <t>-573.949327911542 -61.5214834923308 772.096089820042</t>
  </si>
  <si>
    <t>9763-20170724T160721.389720300.bin</t>
  </si>
  <si>
    <t>-668.988653929488 52.5115595914144 -243.436370030046</t>
  </si>
  <si>
    <t>-696.596672733691 54.5989986618408 -361.339903687109</t>
  </si>
  <si>
    <t>-713.468808825039 47.2312493552577 -481.138120971701</t>
  </si>
  <si>
    <t>-724.460690983755 36.4200484730313 -589.568441373149</t>
  </si>
  <si>
    <t>-731.456005598504 21.3235414969447 -697.818270410514</t>
  </si>
  <si>
    <t>-721.705415674207 35.594382428455 -786.832977966286</t>
  </si>
  <si>
    <t>-642.485831603896 159.401497165483 -791.625169145618</t>
  </si>
  <si>
    <t>-521.710854699329 139.559488425027 -499.724706854615</t>
  </si>
  <si>
    <t>-351.140994900579 56.0560656509776 -322.030642785281</t>
  </si>
  <si>
    <t>-649.506133104306 146.238192734211 -246.506988391437</t>
  </si>
  <si>
    <t>-564.256055494618 209.889219844863 196.594190792945</t>
  </si>
  <si>
    <t>-542.248610624657 272.539067473484 660.737820565815</t>
  </si>
  <si>
    <t>-390.491838577748 245.179907269432 745.383451627978</t>
  </si>
  <si>
    <t>-678.756020643653 -24.2135924117665 215.755772703671</t>
  </si>
  <si>
    <t>-701.505886318086 21.536412170635 683.781494741161</t>
  </si>
  <si>
    <t>-574.093010384302 -62.1093783578383 771.604355555607</t>
  </si>
  <si>
    <t>9763-20170724T160721.422346200.bin</t>
  </si>
  <si>
    <t>-666.885513783329 54.0605249665177 -242.589650154444</t>
  </si>
  <si>
    <t>-694.592375548854 56.060569342397 -360.471468583165</t>
  </si>
  <si>
    <t>-711.562540153222 48.6995096541277 -480.256282780686</t>
  </si>
  <si>
    <t>-722.639786066726 37.9320067338135 -588.68236568259</t>
  </si>
  <si>
    <t>-729.715574132791 22.9161240672624 -696.938070959107</t>
  </si>
  <si>
    <t>-720.013501445668 37.2696438204166 -785.944915437144</t>
  </si>
  <si>
    <t>-640.848141544051 161.083364396214 -790.710692558613</t>
  </si>
  <si>
    <t>-520.971747855442 141.624034785928 -498.414299238245</t>
  </si>
  <si>
    <t>-351.104870639678 57.773208441097 -320.211172532221</t>
  </si>
  <si>
    <t>-647.503845070483 147.453899406391 -245.655695420122</t>
  </si>
  <si>
    <t>-562.847311592736 210.350535574715 197.666995394311</t>
  </si>
  <si>
    <t>-542.309680621104 272.580463908159 661.855878261651</t>
  </si>
  <si>
    <t>-390.476693315717 245.283022036433 746.384671282856</t>
  </si>
  <si>
    <t>-677.165418641074 -23.0437178839604 216.68249972755</t>
  </si>
  <si>
    <t>-701.428575140105 22.5800224812347 684.682809633581</t>
  </si>
  <si>
    <t>-574.086863446501 -62.3218066068785 771.396586301888</t>
  </si>
  <si>
    <t>9763-20170724T160721.487649900.bin</t>
  </si>
  <si>
    <t>-663.694662515798 57.1030881766417 -240.739517435522</t>
  </si>
  <si>
    <t>-691.176780601289 59.0700966473912 -358.674566964233</t>
  </si>
  <si>
    <t>-707.996657146758 51.8145823793402 -478.487002543342</t>
  </si>
  <si>
    <t>-718.961682778527 41.2043805926739 -586.939907028536</t>
  </si>
  <si>
    <t>-725.943769658744 26.4105738273395 -695.232409485972</t>
  </si>
  <si>
    <t>-731.661469573646 1.3453621668516 -845.36234806921</t>
  </si>
  <si>
    <t>-716.259902238554 41.0271738297922 -784.19824481226</t>
  </si>
  <si>
    <t>-637.540338525089 165.157886921827 -788.788184103058</t>
  </si>
  <si>
    <t>-519.638046190442 145.732448584006 -495.687618847599</t>
  </si>
  <si>
    <t>-350.958342364687 62.0995326915997 -316.258651091059</t>
  </si>
  <si>
    <t>-644.244258279985 150.266044292861 -244.044502528145</t>
  </si>
  <si>
    <t>-562.460404302023 211.775309042019 200.011428757082</t>
  </si>
  <si>
    <t>-542.433768367183 272.685888328545 664.246190573775</t>
  </si>
  <si>
    <t>-390.424204667506 245.483420946861 748.48774445439</t>
  </si>
  <si>
    <t>-675.711261622025 -20.4021310892272 218.551911661446</t>
  </si>
  <si>
    <t>-701.409868638069 24.4936394479689 686.420911827372</t>
  </si>
  <si>
    <t>-574.226411874296 -62.6859818487853 771.082563650452</t>
  </si>
  <si>
    <t>9763-20170724T160721.523286800.bin</t>
  </si>
  <si>
    <t>-662.639768587655 58.6077217664777 -240.003170566803</t>
  </si>
  <si>
    <t>-690.002043185579 60.5308496632313 -357.966750183459</t>
  </si>
  <si>
    <t>-706.737091118127 53.3032325165093 -477.792727588713</t>
  </si>
  <si>
    <t>-717.63561582836 42.7511105315332 -586.258048499313</t>
  </si>
  <si>
    <t>-724.558570878016 28.0498328087122 -694.566849761108</t>
  </si>
  <si>
    <t>-730.19925758522 3.14996056818359 -844.727463183865</t>
  </si>
  <si>
    <t>-714.895458956063 42.7938379583902 -783.514054920222</t>
  </si>
  <si>
    <t>-636.668000222761 167.241471855767 -787.944497116119</t>
  </si>
  <si>
    <t>-519.616826017777 147.913158069917 -494.496692434084</t>
  </si>
  <si>
    <t>-351.320928199017 64.4821623765931 -314.613892537537</t>
  </si>
  <si>
    <t>-643.320109506309 151.916580374063 -243.355166096819</t>
  </si>
  <si>
    <t>-562.771904479065 212.765256542767 201.017503951941</t>
  </si>
  <si>
    <t>-542.475957817838 272.875665928073 665.3673658214</t>
  </si>
  <si>
    <t>-390.428882491048 245.493559583854 749.483001577619</t>
  </si>
  <si>
    <t>-675.294831223231 -19.4790384048647 219.245102609224</t>
  </si>
  <si>
    <t>-701.399752265275 24.9596993408031 686.905977014626</t>
  </si>
  <si>
    <t>-574.322172324689 -62.9125917402559 771.008631615774</t>
  </si>
  <si>
    <t>9763-20170724T160721.587457200.bin</t>
  </si>
  <si>
    <t>-661.619654072169 60.0402808981523 -238.920031141417</t>
  </si>
  <si>
    <t>-688.708919339366 61.9546242438946 -356.946817821599</t>
  </si>
  <si>
    <t>-705.071852222572 54.8740703709709 -476.833006661708</t>
  </si>
  <si>
    <t>-715.588670965789 44.5174003380437 -585.354801622152</t>
  </si>
  <si>
    <t>-722.081154222933 30.0727897847835 -693.724741505023</t>
  </si>
  <si>
    <t>-727.06917218247 5.59237045509872 -843.977291881077</t>
  </si>
  <si>
    <t>-712.167561428611 45.1245646131711 -782.592666757213</t>
  </si>
  <si>
    <t>-634.582789296995 169.978888956715 -786.532485226342</t>
  </si>
  <si>
    <t>-519.39500365144 151.335647743993 -492.304183757901</t>
  </si>
  <si>
    <t>-351.66249353439 67.4507234513849 -312.106545105557</t>
  </si>
  <si>
    <t>-642.733372697559 153.352047640805 -242.029453056225</t>
  </si>
  <si>
    <t>-563.648523764545 213.84918745892 202.653953250478</t>
  </si>
  <si>
    <t>-542.567704575315 273.02475939268 667.300387729753</t>
  </si>
  <si>
    <t>-390.34808778105 245.774419345565 751.146321886019</t>
  </si>
  <si>
    <t>-674.734458377562 -18.6703569391034 220.053778428019</t>
  </si>
  <si>
    <t>-701.386581189702 25.3013554105323 687.476200354734</t>
  </si>
  <si>
    <t>-574.463214720551 -63.2902425792438 771.055500918433</t>
  </si>
  <si>
    <t>9763-20170724T160721.625570600.bin</t>
  </si>
  <si>
    <t>-661.64725992035 60.1819660038807 -238.519083183847</t>
  </si>
  <si>
    <t>-688.508174327369 62.0722407180899 -356.598346288335</t>
  </si>
  <si>
    <t>-704.636473110736 55.1130696065832 -476.523554350694</t>
  </si>
  <si>
    <t>-714.935567404081 44.9248317523886 -585.082116081723</t>
  </si>
  <si>
    <t>-721.202834647264 30.7062119120067 -693.495254704997</t>
  </si>
  <si>
    <t>-725.867720756941 6.59918650280019 -843.818550115648</t>
  </si>
  <si>
    <t>-711.164497829713 46.0075319285286 -782.306553314868</t>
  </si>
  <si>
    <t>-633.811587043546 171.024641689301 -785.90930026694</t>
  </si>
  <si>
    <t>-519.487669107798 152.457676968779 -491.339280524283</t>
  </si>
  <si>
    <t>-351.942835705481 68.2007233657671 -311.140663665205</t>
  </si>
  <si>
    <t>-643.082674222617 153.505265450902 -241.411670540285</t>
  </si>
  <si>
    <t>-564.338615499463 214.053619686828 203.325279150906</t>
  </si>
  <si>
    <t>-542.622092585371 273.052395851587 668.084779470856</t>
  </si>
  <si>
    <t>-390.303777904647 245.931940725102 751.7935091691</t>
  </si>
  <si>
    <t>-674.926789820739 -18.5964457415944 220.293648998613</t>
  </si>
  <si>
    <t>-701.385872744786 25.3266954036812 687.668862860863</t>
  </si>
  <si>
    <t>-574.52999929345 -63.4685477861883 771.134432697875</t>
  </si>
  <si>
    <t>9763-20170724T160721.692747000.bin</t>
  </si>
  <si>
    <t>-662.651888036545 60.2948999577361 -237.751327558673</t>
  </si>
  <si>
    <t>-689.009282499974 62.2728265182038 -355.942693629127</t>
  </si>
  <si>
    <t>-704.584865090543 55.5335802604584 -475.953307852096</t>
  </si>
  <si>
    <t>-714.361702807294 45.597665119825 -584.583562384996</t>
  </si>
  <si>
    <t>-720.081742704902 31.684311463142 -693.066649020523</t>
  </si>
  <si>
    <t>-723.9574154154 8.05631180271757 -843.488351259757</t>
  </si>
  <si>
    <t>-709.70810181523 47.324606816609 -781.78027866551</t>
  </si>
  <si>
    <t>-633.051394819203 172.774947451536 -784.702898612072</t>
  </si>
  <si>
    <t>-519.773777960422 153.622859317612 -489.766318248315</t>
  </si>
  <si>
    <t>-352.200804340795 69.3339759480759 -309.608835890382</t>
  </si>
  <si>
    <t>-644.601517070198 154.03442087981 -240.310250711404</t>
  </si>
  <si>
    <t>-567.110136198927 214.976138604976 204.592884520503</t>
  </si>
  <si>
    <t>-542.785313643012 273.150748726067 669.454059529146</t>
  </si>
  <si>
    <t>-390.275376995965 246.08610554604 752.830985280447</t>
  </si>
  <si>
    <t>-676.175403780155 -18.6487776666636 220.667712245129</t>
  </si>
  <si>
    <t>-701.491084664778 25.2390075243795 687.974878988227</t>
  </si>
  <si>
    <t>-574.613999815722 -63.6558940312327 771.302033101143</t>
  </si>
  <si>
    <t>9763-20170724T160721.722830500.bin</t>
  </si>
  <si>
    <t>-663.420603840436 60.0506984736248 -237.517883763178</t>
  </si>
  <si>
    <t>-689.572424350995 62.0838780944475 -355.753825388072</t>
  </si>
  <si>
    <t>-704.874922641433 55.472560201682 -475.806672707442</t>
  </si>
  <si>
    <t>-714.375895123999 45.6803243762045 -584.474632597398</t>
  </si>
  <si>
    <t>-719.789910708024 31.9375373913442 -692.9949355418</t>
  </si>
  <si>
    <t>-723.207794926872 8.57346184692801 -843.469011399483</t>
  </si>
  <si>
    <t>-709.204409934709 47.7580957693508 -781.651702903032</t>
  </si>
  <si>
    <t>-632.753436675379 173.361986711897 -784.195297622079</t>
  </si>
  <si>
    <t>-520.241138459223 153.985317496088 -488.980541935398</t>
  </si>
  <si>
    <t>-352.574726322963 69.4947844057228 -309.004551393534</t>
  </si>
  <si>
    <t>-645.468557017301 154.003090280245 -239.875014063757</t>
  </si>
  <si>
    <t>-568.559664906979 215.314688612985 205.078482047875</t>
  </si>
  <si>
    <t>-542.903219033235 273.26666555023 670.027898197429</t>
  </si>
  <si>
    <t>-390.312668396322 246.048282192607 753.20729984929</t>
  </si>
  <si>
    <t>-677.033921487778 -18.7592193705038 220.778786320879</t>
  </si>
  <si>
    <t>-701.585545364165 25.1473961928821 688.102070366597</t>
  </si>
  <si>
    <t>-574.639695608812 -63.7000844505292 771.375040923667</t>
  </si>
  <si>
    <t>9763-20170724T160721.795026100.bin</t>
  </si>
  <si>
    <t>-665.825977410975 59.2069740322495 -236.994888585406</t>
  </si>
  <si>
    <t>-691.287006502836 61.3653616302913 -355.379228487302</t>
  </si>
  <si>
    <t>-705.970812545335 55.01087154783 -475.523254021099</t>
  </si>
  <si>
    <t>-714.94149873597 45.5053968249003 -584.261584384955</t>
  </si>
  <si>
    <t>-719.853445766201 32.104035994885 -692.848574321825</t>
  </si>
  <si>
    <t>-722.601439679034 9.27173736004693 -843.417930973351</t>
  </si>
  <si>
    <t>-708.939198010248 48.2655867378821 -781.403949583708</t>
  </si>
  <si>
    <t>-632.94204829243 174.148587738462 -783.15715176421</t>
  </si>
  <si>
    <t>-521.375442867192 154.118115255438 -487.627279883094</t>
  </si>
  <si>
    <t>-353.408583001434 69.3413697916064 -308.066306797445</t>
  </si>
  <si>
    <t>-648.295067640494 153.469816021664 -238.955429643261</t>
  </si>
  <si>
    <t>-571.929343313301 215.780263019143 205.952830939712</t>
  </si>
  <si>
    <t>-543.12636138953 273.401783961723 670.935139935076</t>
  </si>
  <si>
    <t>-390.311353513403 246.147548445667 753.689517526059</t>
  </si>
  <si>
    <t>-679.402506824451 -19.2802506912608 220.980628786246</t>
  </si>
  <si>
    <t>-701.835533280843 24.926451134897 688.313582982598</t>
  </si>
  <si>
    <t>-574.668973791009 -63.7178581517533 771.466213205293</t>
  </si>
  <si>
    <t>9763-20170724T160721.831749800.bin</t>
  </si>
  <si>
    <t>-667.424362024318 58.6907740242755 -236.692825108322</t>
  </si>
  <si>
    <t>-692.562161089029 60.9779687313589 -355.144019651416</t>
  </si>
  <si>
    <t>-706.944287726979 54.7588138704277 -475.331458283147</t>
  </si>
  <si>
    <t>-715.652490242375 45.3784008080429 -584.102051218318</t>
  </si>
  <si>
    <t>-720.312682158015 32.1049962328239 -692.715745717599</t>
  </si>
  <si>
    <t>-722.722445893366 9.45350409486855 -843.318318036438</t>
  </si>
  <si>
    <t>-709.217467954998 48.380350879944 -781.227806882873</t>
  </si>
  <si>
    <t>-633.319167345815 174.330490701149 -782.633910082075</t>
  </si>
  <si>
    <t>-522.184159473508 153.978496755457 -486.963447608408</t>
  </si>
  <si>
    <t>-354.107908504407 69.0172133426991 -307.592272367388</t>
  </si>
  <si>
    <t>-650.201675622279 153.13628657958 -238.4882199626</t>
  </si>
  <si>
    <t>-573.738345958884 216.011836031703 206.323783440555</t>
  </si>
  <si>
    <t>-543.210484554666 273.483569790999 671.277143903309</t>
  </si>
  <si>
    <t>-390.331764790936 246.080693386943 753.864636530306</t>
  </si>
  <si>
    <t>-680.817653061089 -19.5719737451325 221.061818610227</t>
  </si>
  <si>
    <t>-701.978830313768 24.8116402510268 688.402078305906</t>
  </si>
  <si>
    <t>-574.693926546344 -63.7257981221394 771.487494203169</t>
  </si>
  <si>
    <t>9763-20170724T160721.889845600.bin</t>
  </si>
  <si>
    <t>-670.534813591671 57.7351286337005 -236.204162005697</t>
  </si>
  <si>
    <t>-695.158790194195 60.3479458921029 -354.756401356786</t>
  </si>
  <si>
    <t>-708.98035439808 54.3564381149044 -475.02127833295</t>
  </si>
  <si>
    <t>-717.168400316032 45.1398044980835 -583.846178691296</t>
  </si>
  <si>
    <t>-721.298329234568 31.9871965929703 -692.496134727463</t>
  </si>
  <si>
    <t>-722.963400359818 9.45828613021399 -843.127110035244</t>
  </si>
  <si>
    <t>-709.762116371885 48.3330543607262 -780.938700174004</t>
  </si>
  <si>
    <t>-633.888602393589 174.293373838761 -781.813675182653</t>
  </si>
  <si>
    <t>-523.737016418716 153.67839389498 -485.79355547216</t>
  </si>
  <si>
    <t>-355.357831667828 68.6676558413812 -306.730246762737</t>
  </si>
  <si>
    <t>-653.421846528946 152.497989092204 -237.64810625596</t>
  </si>
  <si>
    <t>-577.309942069125 216.121833589014 207.117711680691</t>
  </si>
  <si>
    <t>-543.366328684586 273.654600725849 671.886738958764</t>
  </si>
  <si>
    <t>-390.363278843224 245.996344653364 754.158108827118</t>
  </si>
  <si>
    <t>-683.362877523346 -20.1669295608458 221.194175089707</t>
  </si>
  <si>
    <t>-702.255708166184 24.6196896436966 688.542247454236</t>
  </si>
  <si>
    <t>-574.792261507514 -63.7749466976456 771.505892657711</t>
  </si>
  <si>
    <t>9763-20170724T160721.925455400.bin</t>
  </si>
  <si>
    <t>-671.874019439974 57.113846506621 -236.040789604691</t>
  </si>
  <si>
    <t>-696.298897808824 59.872548340262 -354.63091588548</t>
  </si>
  <si>
    <t>-709.897955223127 53.9827676714256 -474.926211074747</t>
  </si>
  <si>
    <t>-717.87789921164 44.8388210114927 -583.772619957502</t>
  </si>
  <si>
    <t>-721.79468977986 31.7386826831182 -692.436802626195</t>
  </si>
  <si>
    <t>-723.159854324068 9.26109650871535 -843.078410721952</t>
  </si>
  <si>
    <t>-710.057274163755 48.1039854841417 -780.849241494854</t>
  </si>
  <si>
    <t>-634.125608622477 174.032322054121 -781.473774502492</t>
  </si>
  <si>
    <t>-524.37273763388 153.230266495466 -485.318961491487</t>
  </si>
  <si>
    <t>-355.911968775389 68.2177329548781 -306.333112389314</t>
  </si>
  <si>
    <t>-654.776095665432 151.919364122635 -237.309614144526</t>
  </si>
  <si>
    <t>-578.870424285816 216.091507575546 207.412698555928</t>
  </si>
  <si>
    <t>-543.374776978621 273.612067538278 672.10209570089</t>
  </si>
  <si>
    <t>-390.303248735646 246.064996419792 754.283604860532</t>
  </si>
  <si>
    <t>-684.376774165106 -20.5558750115742 221.225841512216</t>
  </si>
  <si>
    <t>-702.384513591902 24.5309240615625 688.585141912385</t>
  </si>
  <si>
    <t>-574.831025302683 -63.7820181446202 771.497379935496</t>
  </si>
  <si>
    <t>9763-20170724T160721.991631100.bin</t>
  </si>
  <si>
    <t>-674.659748284736 55.6383298256883 -235.655796619866</t>
  </si>
  <si>
    <t>-698.574500377408 58.535182373234 -354.346599384753</t>
  </si>
  <si>
    <t>-711.661278388831 52.7270565340748 -474.702596767726</t>
  </si>
  <si>
    <t>-719.183003595004 43.6319414422901 -583.585635841069</t>
  </si>
  <si>
    <t>-722.650000529067 30.5545961893115 -692.26792456085</t>
  </si>
  <si>
    <t>-723.401648308738 8.08103779434782 -842.914452142405</t>
  </si>
  <si>
    <t>-710.507350102999 46.9031024269595 -780.628746376996</t>
  </si>
  <si>
    <t>-634.572916118431 172.820399064321 -780.750819867394</t>
  </si>
  <si>
    <t>-525.42300531996 151.662050907651 -484.398363132103</t>
  </si>
  <si>
    <t>-356.798535177154 66.5377446952266 -305.619914619959</t>
  </si>
  <si>
    <t>-657.691983492728 150.358576219527 -236.60600183423</t>
  </si>
  <si>
    <t>-580.636873737849 215.585503771881 207.765104027377</t>
  </si>
  <si>
    <t>-543.336021272058 273.760987674888 672.28844934259</t>
  </si>
  <si>
    <t>-390.24696852969 246.109333309556 754.401977274203</t>
  </si>
  <si>
    <t>-686.329586479493 -21.3425087803287 221.335579141997</t>
  </si>
  <si>
    <t>-702.608087376478 24.3897373021532 688.682561440868</t>
  </si>
  <si>
    <t>-574.942387315278 -63.8345751284537 771.516431339107</t>
  </si>
  <si>
    <t>9763-20170724T160722.025743000.bin</t>
  </si>
  <si>
    <t>-675.896873911442 54.7331609923226 -235.472444216413</t>
  </si>
  <si>
    <t>-699.618608325395 57.731234496744 -354.199464560404</t>
  </si>
  <si>
    <t>-712.522758541495 52.0299645948237 -474.580213369881</t>
  </si>
  <si>
    <t>-719.884234398274 43.0337865470983 -583.482630071986</t>
  </si>
  <si>
    <t>-723.19558553439 30.0582466232934 -692.181761959019</t>
  </si>
  <si>
    <t>-723.735618961261 7.72937533285631 -842.850823212095</t>
  </si>
  <si>
    <t>-710.938567670761 46.4956877120985 -780.51038626892</t>
  </si>
  <si>
    <t>-635.099288587564 172.456811647827 -780.312167175534</t>
  </si>
  <si>
    <t>-525.806385204574 151.519306887426 -483.996611541575</t>
  </si>
  <si>
    <t>-357.07630489953 66.294854135399 -305.365781540708</t>
  </si>
  <si>
    <t>-658.878012779246 149.377369913197 -236.30504034619</t>
  </si>
  <si>
    <t>-581.111222050585 215.040910617679 207.877629207518</t>
  </si>
  <si>
    <t>-543.268969628523 273.764888493422 672.292670037545</t>
  </si>
  <si>
    <t>-390.161637027136 246.254878652118 754.419815729222</t>
  </si>
  <si>
    <t>-687.272590119204 -21.793984638844 221.392014026458</t>
  </si>
  <si>
    <t>-702.705093778595 24.3315069657885 688.72748621772</t>
  </si>
  <si>
    <t>-575.035965424902 -63.9192773371731 771.52788183409</t>
  </si>
  <si>
    <t>9763-20170724T160722.089905200.bin</t>
  </si>
  <si>
    <t>-678.330024771948 52.9837220711499 -235.158573235266</t>
  </si>
  <si>
    <t>-701.690984323196 56.2297847357922 -353.950621659501</t>
  </si>
  <si>
    <t>-714.256200860437 50.7678587559201 -474.378380043116</t>
  </si>
  <si>
    <t>-721.322458716391 41.9839347172142 -583.317675685341</t>
  </si>
  <si>
    <t>-724.350952844842 29.2162242994318 -692.049725504424</t>
  </si>
  <si>
    <t>-724.511540042025 7.17157470894517 -842.761343180084</t>
  </si>
  <si>
    <t>-711.889005422457 45.8275384138594 -780.317057395626</t>
  </si>
  <si>
    <t>-636.230460401462 171.939438316478 -779.55038283307</t>
  </si>
  <si>
    <t>-526.830062880705 151.336660686833 -483.251031079</t>
  </si>
  <si>
    <t>-357.804178237436 66.2609444576619 -304.828924968905</t>
  </si>
  <si>
    <t>-661.424014879369 147.516934063504 -235.746018760865</t>
  </si>
  <si>
    <t>-582.254322768907 214.145636407215 208.045053210413</t>
  </si>
  <si>
    <t>-543.088920594413 273.792818240759 672.219642662218</t>
  </si>
  <si>
    <t>-389.992320769912 246.522417612985 754.446605517006</t>
  </si>
  <si>
    <t>-688.953675221547 -22.7253527743435 221.41001894556</t>
  </si>
  <si>
    <t>-702.79480928517 24.2362870766415 688.754418966136</t>
  </si>
  <si>
    <t>-575.253686203991 -64.2265636099557 771.525750166619</t>
  </si>
  <si>
    <t>9763-20170724T160722.129007700.bin</t>
  </si>
  <si>
    <t>-679.662171507746 52.2117027226589 -235.000259259573</t>
  </si>
  <si>
    <t>-702.863896802475 55.5599458612467 -353.820464974852</t>
  </si>
  <si>
    <t>-715.257190120497 50.164350035901 -474.26916779361</t>
  </si>
  <si>
    <t>-722.165679429434 41.4242720722698 -583.222010965399</t>
  </si>
  <si>
    <t>-725.035960145389 28.6833293684786 -691.961464423809</t>
  </si>
  <si>
    <t>-724.978083687092 6.65721855421293 -842.675914543673</t>
  </si>
  <si>
    <t>-712.446517647708 45.3057316979116 -780.20859704032</t>
  </si>
  <si>
    <t>-636.875555621184 171.466847372083 -779.289169845123</t>
  </si>
  <si>
    <t>-527.870136822091 151.129833293406 -482.8259903655</t>
  </si>
  <si>
    <t>-358.744536079763 65.8576693215643 -304.592442381268</t>
  </si>
  <si>
    <t>-662.950315293041 146.69293336925 -235.399128932772</t>
  </si>
  <si>
    <t>-582.924731865419 213.958453401373 208.142141961443</t>
  </si>
  <si>
    <t>-543.007448684806 273.783829694319 672.205240052813</t>
  </si>
  <si>
    <t>-389.892405875405 246.699777475548 754.459580112483</t>
  </si>
  <si>
    <t>-689.833902029752 -23.23137612709 221.430464793406</t>
  </si>
  <si>
    <t>-702.879993901686 24.163932025042 688.770631630508</t>
  </si>
  <si>
    <t>-575.354671424873 -64.3392626573791 771.523185302459</t>
  </si>
  <si>
    <t>9763-20170724T160722.190170900.bin</t>
  </si>
  <si>
    <t>-682.846977695143 50.771552789862 -234.500713451078</t>
  </si>
  <si>
    <t>-705.496417048553 54.2571520000065 -353.423721411055</t>
  </si>
  <si>
    <t>-717.366055484576 48.8982338077253 -473.926561222731</t>
  </si>
  <si>
    <t>-723.819950400619 40.1498559939971 -582.906693641826</t>
  </si>
  <si>
    <t>-726.259024330897 27.3584731409931 -691.650941773048</t>
  </si>
  <si>
    <t>-725.630040539193 5.21830187530099 -842.347375157678</t>
  </si>
  <si>
    <t>-713.360821942736 43.9249888361278 -779.863880235656</t>
  </si>
  <si>
    <t>-638.040605847062 170.213706305331 -778.696765521594</t>
  </si>
  <si>
    <t>-529.994038117472 150.324386473338 -481.852408911715</t>
  </si>
  <si>
    <t>-360.399695799947 64.3045950284691 -304.425217050356</t>
  </si>
  <si>
    <t>-666.422691539694 145.327237308787 -234.655115026098</t>
  </si>
  <si>
    <t>-584.75102713437 213.623424496104 208.428502882902</t>
  </si>
  <si>
    <t>-542.960711322058 273.819225505156 672.254585836686</t>
  </si>
  <si>
    <t>-389.76616750221 246.966567996516 754.436491423997</t>
  </si>
  <si>
    <t>-691.902160328972 -24.1673686154463 221.537191716489</t>
  </si>
  <si>
    <t>-703.162538777304 23.8917262172859 688.780689264297</t>
  </si>
  <si>
    <t>-575.447069412472 -64.3643433471234 771.503945407578</t>
  </si>
  <si>
    <t>9763-20170724T160722.226298400.bin</t>
  </si>
  <si>
    <t>-684.382957203852 49.9887431242926 -234.356028796966</t>
  </si>
  <si>
    <t>-706.869744711022 53.5432285511308 -353.307722492361</t>
  </si>
  <si>
    <t>-718.541314496346 48.2035095197268 -473.830903210352</t>
  </si>
  <si>
    <t>-724.804663260446 39.4508825380556 -582.821744212129</t>
  </si>
  <si>
    <t>-727.043910247179 26.6324154759097 -691.566937635765</t>
  </si>
  <si>
    <t>-726.129080644535 4.43050989447966 -842.252914031058</t>
  </si>
  <si>
    <t>-714.001041389178 43.1723654138289 -779.763756139961</t>
  </si>
  <si>
    <t>-638.878320749896 169.576106077057 -778.448496828668</t>
  </si>
  <si>
    <t>-530.997221289753 149.750975806898 -481.539690044778</t>
  </si>
  <si>
    <t>-360.985834137241 63.7314379335953 -304.512069785712</t>
  </si>
  <si>
    <t>-668.052249597189 144.493821647063 -234.353015381123</t>
  </si>
  <si>
    <t>-585.800777962032 213.478737826572 208.51648873271</t>
  </si>
  <si>
    <t>-542.945660646828 273.896823720176 672.234907496468</t>
  </si>
  <si>
    <t>-389.736371324773 247.006954641084 754.377233926132</t>
  </si>
  <si>
    <t>-693.003292125706 -24.6153022228293 221.564854792029</t>
  </si>
  <si>
    <t>-703.271141931543 23.7757499692939 688.782382299473</t>
  </si>
  <si>
    <t>-575.513059917673 -64.4201694986687 771.50398877484</t>
  </si>
  <si>
    <t>9763-20170724T160722.292465600.bin</t>
  </si>
  <si>
    <t>-687.49593998641 48.4893308525866 -234.047293291659</t>
  </si>
  <si>
    <t>-709.566538812395 52.1531173066769 -353.073623075061</t>
  </si>
  <si>
    <t>-720.855738568622 46.8473698672087 -473.634697215961</t>
  </si>
  <si>
    <t>-726.792278031918 38.0951482725991 -582.643931967199</t>
  </si>
  <si>
    <t>-728.72639829176 25.2470266816945 -691.391488110645</t>
  </si>
  <si>
    <t>-727.412696230795 2.97285962299475 -842.063735630515</t>
  </si>
  <si>
    <t>-715.501642610014 41.7666331004984 -779.564964264124</t>
  </si>
  <si>
    <t>-640.761913378007 168.405054154562 -778.054136727395</t>
  </si>
  <si>
    <t>-532.812817781907 148.364337550366 -481.184473277682</t>
  </si>
  <si>
    <t>-362.248518969326 62.7222216174323 -304.505868004586</t>
  </si>
  <si>
    <t>-671.321596944179 143.230975194005 -233.865656896628</t>
  </si>
  <si>
    <t>-587.943757241719 213.162635095588 208.644721168283</t>
  </si>
  <si>
    <t>-542.967284062128 274.008097287856 672.197483557542</t>
  </si>
  <si>
    <t>-389.661675724519 247.179149113633 754.179928348488</t>
  </si>
  <si>
    <t>-695.554648870806 -25.5043986098428 221.606250335984</t>
  </si>
  <si>
    <t>-703.608906578597 23.4589185840437 688.801033373118</t>
  </si>
  <si>
    <t>-575.523887008672 -64.3056390954978 771.475831026581</t>
  </si>
  <si>
    <t>9763-20170724T160722.325572500.bin</t>
  </si>
  <si>
    <t>-689.005884180416 47.7915198951239 -233.889221106661</t>
  </si>
  <si>
    <t>-710.914190410549 51.5369806246676 -352.942947902042</t>
  </si>
  <si>
    <t>-722.017759334196 46.2594895543389 -473.522561092431</t>
  </si>
  <si>
    <t>-727.778680421033 37.5114097392957 -582.541454567463</t>
  </si>
  <si>
    <t>-729.530478078285 24.6460419883053 -691.290195432539</t>
  </si>
  <si>
    <t>-727.957413484652 2.32568086538117 -841.953150479736</t>
  </si>
  <si>
    <t>-716.187668289346 41.1526834066281 -779.448297742918</t>
  </si>
  <si>
    <t>-641.61111393306 167.860309620294 -777.89814756727</t>
  </si>
  <si>
    <t>-533.38773444568 148.166139569806 -481.10517519876</t>
  </si>
  <si>
    <t>-362.628659605393 62.9276410851583 -304.419648111521</t>
  </si>
  <si>
    <t>-672.925468092331 142.533046638171 -233.59091568471</t>
  </si>
  <si>
    <t>-588.857717536788 212.973688761316 208.708088567608</t>
  </si>
  <si>
    <t>-542.977267270724 274.061594104223 672.148799405075</t>
  </si>
  <si>
    <t>-389.634604144575 247.238826105341 754.063826439565</t>
  </si>
  <si>
    <t>-696.776779836981 -25.8973481406847 221.637715498498</t>
  </si>
  <si>
    <t>-703.725895171813 23.3501176552295 688.81180165716</t>
  </si>
  <si>
    <t>-575.569465274304 -64.3362892207567 771.458827167525</t>
  </si>
  <si>
    <t>9763-20170724T160722.390733700.bin</t>
  </si>
  <si>
    <t>-691.735524619307 46.3265716650044 -233.638584912351</t>
  </si>
  <si>
    <t>-713.412095982372 50.280554046916 -352.728103086336</t>
  </si>
  <si>
    <t>-724.205693600665 45.0314393862536 -473.337078622406</t>
  </si>
  <si>
    <t>-729.659015211891 36.2363127299027 -582.368015491531</t>
  </si>
  <si>
    <t>-731.078265152515 23.2521347411214 -691.10739316655</t>
  </si>
  <si>
    <t>-729.01953657623 0.692628604232596 -841.728820380202</t>
  </si>
  <si>
    <t>-717.475566572823 39.6290447685055 -779.250027903174</t>
  </si>
  <si>
    <t>-643.199672418963 166.540901689382 -777.700711057216</t>
  </si>
  <si>
    <t>-534.658321932113 148.053123494848 -480.946345171682</t>
  </si>
  <si>
    <t>-363.539724510997 63.5279559318733 -304.265991900776</t>
  </si>
  <si>
    <t>-675.625488715453 141.043980232517 -233.162157938518</t>
  </si>
  <si>
    <t>-590.475868363796 212.448039420003 208.775263767512</t>
  </si>
  <si>
    <t>-542.920470969099 274.078880087149 671.969619584524</t>
  </si>
  <si>
    <t>-389.512727925782 247.399100401997 753.809379916579</t>
  </si>
  <si>
    <t>-698.81893973777 -26.7062070246789 221.677564660821</t>
  </si>
  <si>
    <t>-703.978078075635 23.1368098785299 688.82863866928</t>
  </si>
  <si>
    <t>-575.649647748956 -64.3498346763442 771.420473385684</t>
  </si>
  <si>
    <t>9763-20170724T160722.423824700.bin</t>
  </si>
  <si>
    <t>-692.831739148297 45.6148372714981 -233.536904246533</t>
  </si>
  <si>
    <t>-714.41628822008 49.6373182823636 -352.640656968773</t>
  </si>
  <si>
    <t>-725.067707251869 44.3824080388358 -473.262034325954</t>
  </si>
  <si>
    <t>-730.37440897883 35.5511389017411 -582.29733432072</t>
  </si>
  <si>
    <t>-731.630120089958 22.5000438769191 -691.030651819124</t>
  </si>
  <si>
    <t>-717.88054156921 38.8018143914344 -779.164488648938</t>
  </si>
  <si>
    <t>-643.688736099891 165.746427686316 -777.634781437563</t>
  </si>
  <si>
    <t>-535.191257494994 147.971661870941 -480.820902989841</t>
  </si>
  <si>
    <t>-364.153491342433 63.4944771176911 -304.039196814608</t>
  </si>
  <si>
    <t>-676.722508676663 140.293028645665 -232.981906714767</t>
  </si>
  <si>
    <t>-591.075822861387 212.187791595378 208.779916283279</t>
  </si>
  <si>
    <t>-542.875167460825 274.083855230916 671.859807696725</t>
  </si>
  <si>
    <t>-389.449083848321 247.484481295814 753.691473766259</t>
  </si>
  <si>
    <t>-699.629070767194 -27.0871827742169 221.695929572999</t>
  </si>
  <si>
    <t>-704.055004163513 23.0700762774648 688.828969611577</t>
  </si>
  <si>
    <t>-575.752157578194 -64.4669293561903 771.407187342736</t>
  </si>
  <si>
    <t>9763-20170724T160722.491910600.bin</t>
  </si>
  <si>
    <t>-694.75827170006 44.1176886841861 -233.29259048189</t>
  </si>
  <si>
    <t>-716.226978379714 48.3709690899236 -352.409385328716</t>
  </si>
  <si>
    <t>-726.728289438383 43.2040186171423 -473.047685252991</t>
  </si>
  <si>
    <t>-731.888822452399 34.3945468414074 -582.091679395538</t>
  </si>
  <si>
    <t>-732.99058389561 21.3076067889153 -690.8224147135</t>
  </si>
  <si>
    <t>-719.090593390677 37.5364567839079 -778.946042870301</t>
  </si>
  <si>
    <t>-644.863208212231 164.473727965034 -777.423386541745</t>
  </si>
  <si>
    <t>-536.580893828939 148.07432978913 -480.451682836929</t>
  </si>
  <si>
    <t>-365.960912852057 63.3723985015365 -303.374006596515</t>
  </si>
  <si>
    <t>-678.613734612913 138.80770443285 -232.599278973444</t>
  </si>
  <si>
    <t>-591.992404255265 211.487758513841 208.843878271744</t>
  </si>
  <si>
    <t>-542.754617568372 274.078376238223 671.661705458588</t>
  </si>
  <si>
    <t>-389.30231905155 247.70727157281 753.518041062533</t>
  </si>
  <si>
    <t>-701.180221364465 -27.8255877928348 221.728570019622</t>
  </si>
  <si>
    <t>-704.227291367485 22.9186838304772 688.813768257041</t>
  </si>
  <si>
    <t>-575.883444744191 -64.5777460357565 771.371310081554</t>
  </si>
  <si>
    <t>9763-20170724T160722.524497400.bin</t>
  </si>
  <si>
    <t>-695.49707712635 43.3010410697311 -233.223807470709</t>
  </si>
  <si>
    <t>-716.903356787868 47.64965031474 -352.348348660268</t>
  </si>
  <si>
    <t>-727.329705403291 42.5142078405386 -472.994557840752</t>
  </si>
  <si>
    <t>-732.418531794159 33.7079851253286 -582.042236537611</t>
  </si>
  <si>
    <t>-733.44536853309 20.5996097264931 -690.771156829272</t>
  </si>
  <si>
    <t>-719.478401088559 36.7945368789267 -778.8904324993</t>
  </si>
  <si>
    <t>-645.284886017737 163.740726692834 -777.387825548071</t>
  </si>
  <si>
    <t>-537.132116499919 147.806929584153 -480.343543820479</t>
  </si>
  <si>
    <t>-366.761269290847 63.0362477693091 -303.05913875425</t>
  </si>
  <si>
    <t>-679.277372064104 137.884100446259 -232.46294529573</t>
  </si>
  <si>
    <t>-592.159296363801 211.07877627794 208.797320572688</t>
  </si>
  <si>
    <t>-542.646861319183 274.091173484132 671.515996906971</t>
  </si>
  <si>
    <t>-389.190524167877 247.930552503324 753.432341667648</t>
  </si>
  <si>
    <t>-701.847767386142 -28.2257059701835 221.717617191843</t>
  </si>
  <si>
    <t>-704.302226908102 22.8505021246428 688.79732617734</t>
  </si>
  <si>
    <t>-575.979134044009 -64.6802330146752 771.350735869584</t>
  </si>
  <si>
    <t>9763-20170724T160722.588122200.bin</t>
  </si>
  <si>
    <t>-696.762790387765 41.9395911000379 -233.146955220617</t>
  </si>
  <si>
    <t>-718.047113103718 46.3634219092744 -352.290667596478</t>
  </si>
  <si>
    <t>-728.356009206268 41.2186418332742 -472.946373240734</t>
  </si>
  <si>
    <t>-733.342032519699 32.3714904821634 -581.995545343203</t>
  </si>
  <si>
    <t>-734.270427170982 19.1908334639757 -690.71648858006</t>
  </si>
  <si>
    <t>-720.216873523233 35.3047519068434 -778.836812185327</t>
  </si>
  <si>
    <t>-645.975573100428 162.231934081469 -777.439875845223</t>
  </si>
  <si>
    <t>-539.304318269106 147.710105229886 -479.788038403672</t>
  </si>
  <si>
    <t>-370.319538872084 62.8433223528045 -301.227744172919</t>
  </si>
  <si>
    <t>-680.379041065117 136.462865678178 -232.325243122164</t>
  </si>
  <si>
    <t>-592.437966147806 210.397247708094 208.648365638515</t>
  </si>
  <si>
    <t>-542.409844180448 274.095353959674 671.216768273503</t>
  </si>
  <si>
    <t>-388.996095492491 248.178235974471 753.29013250043</t>
  </si>
  <si>
    <t>-702.828167599102 -28.9852983098681 221.728021267954</t>
  </si>
  <si>
    <t>-704.467302211844 22.6935280830935 688.760726649549</t>
  </si>
  <si>
    <t>-576.156807467137 -64.8548119134805 771.315044506326</t>
  </si>
  <si>
    <t>9763-20170724T160722.630241700.bin</t>
  </si>
  <si>
    <t>-697.314557881197 41.2385803367774 -233.128766870198</t>
  </si>
  <si>
    <t>-718.726564815253 45.7166287733589 -352.247592968601</t>
  </si>
  <si>
    <t>-729.038623938279 40.5802185531891 -472.903392415726</t>
  </si>
  <si>
    <t>-733.977652097435 31.7188957257297 -581.953616326049</t>
  </si>
  <si>
    <t>-734.809749116081 18.5009524724228 -690.670905143673</t>
  </si>
  <si>
    <t>-720.658272144469 34.5739228571879 -778.783021039327</t>
  </si>
  <si>
    <t>-646.474620594559 161.520032415798 -777.296073204843</t>
  </si>
  <si>
    <t>-541.194736063902 148.115871598689 -479.097034870667</t>
  </si>
  <si>
    <t>-372.844442120207 62.8650931737895 -300.120691859873</t>
  </si>
  <si>
    <t>-680.966894506369 135.68468908097 -232.241903112878</t>
  </si>
  <si>
    <t>-592.353296502695 209.992712761476 208.534262223826</t>
  </si>
  <si>
    <t>-542.291959221973 274.057050008198 671.041965454445</t>
  </si>
  <si>
    <t>-388.882494478387 248.433065286382 753.215210857542</t>
  </si>
  <si>
    <t>-703.151710444895 -29.3904499094888 221.734555562221</t>
  </si>
  <si>
    <t>-704.533494191553 22.6351687467813 688.751955945387</t>
  </si>
  <si>
    <t>-576.236477248293 -64.936501829706 771.302491963262</t>
  </si>
  <si>
    <t>9763-20170724T160722.690400300.bin</t>
  </si>
  <si>
    <t>-698.695056139832 40.2072218702633 -232.981248230921</t>
  </si>
  <si>
    <t>-720.29624183829 44.6494410422868 -352.067236692519</t>
  </si>
  <si>
    <t>-730.449469833535 39.5068092344352 -472.736253804425</t>
  </si>
  <si>
    <t>-735.102785672054 30.6425120436556 -581.798710042655</t>
  </si>
  <si>
    <t>-735.507186601816 17.4187817128632 -690.517728962388</t>
  </si>
  <si>
    <t>-721.001608017322 33.5160150128013 -778.567791125781</t>
  </si>
  <si>
    <t>-646.802369821117 160.475893194564 -776.771139543795</t>
  </si>
  <si>
    <t>-545.363037333282 148.105573949797 -477.199421428607</t>
  </si>
  <si>
    <t>-376.567308577804 61.638139388886 -299.229032249801</t>
  </si>
  <si>
    <t>-682.408637621944 134.796136566391 -232.107765478987</t>
  </si>
  <si>
    <t>-592.210887121677 209.325107189465 208.309529812842</t>
  </si>
  <si>
    <t>-542.135888516548 274.003795281369 670.752870287234</t>
  </si>
  <si>
    <t>-388.777518636198 248.494813447921 753.057203884464</t>
  </si>
  <si>
    <t>-703.857160762769 -30.0388935819012 221.825679775853</t>
  </si>
  <si>
    <t>-704.748447703824 22.4740241624988 688.777780043847</t>
  </si>
  <si>
    <t>-576.313732407356 -64.9294849492467 771.292387766089</t>
  </si>
  <si>
    <t>9763-20170724T160722.725003400.bin</t>
  </si>
  <si>
    <t>-699.385071231918 39.7156692291715 -232.921556545238</t>
  </si>
  <si>
    <t>-721.12042681971 44.1447141891063 -351.983597087129</t>
  </si>
  <si>
    <t>-731.272488816413 38.9926797564542 -472.652425403098</t>
  </si>
  <si>
    <t>-735.869589816697 30.1176300484294 -581.716339072126</t>
  </si>
  <si>
    <t>-736.162576495971 16.878892281705 -690.433875289791</t>
  </si>
  <si>
    <t>-721.590580723273 32.984178775838 -778.471548729209</t>
  </si>
  <si>
    <t>-647.746284722727 160.132128667864 -776.558100238722</t>
  </si>
  <si>
    <t>-547.316927161239 147.629908238387 -476.651703968076</t>
  </si>
  <si>
    <t>-377.850303318839 61.2423687788582 -299.281203751522</t>
  </si>
  <si>
    <t>-683.191604833255 134.290606589322 -232.02921195339</t>
  </si>
  <si>
    <t>-592.20645402566 209.074996188869 208.182914113333</t>
  </si>
  <si>
    <t>-542.073007228858 273.994654485193 670.60325554825</t>
  </si>
  <si>
    <t>-388.714799932754 248.627167464046 752.951690096766</t>
  </si>
  <si>
    <t>-704.204675183928 -30.3019724110864 221.866421006042</t>
  </si>
  <si>
    <t>-704.849977949775 22.4017890161961 688.79982236403</t>
  </si>
  <si>
    <t>-576.329166762788 -64.8999381523354 771.288143254692</t>
  </si>
  <si>
    <t>9763-20170724T160722.786674000.bin</t>
  </si>
  <si>
    <t>-700.834360528822 38.9083190095287 -232.762440973001</t>
  </si>
  <si>
    <t>-722.570162410996 43.2019874266889 -351.829286127262</t>
  </si>
  <si>
    <t>-732.722076980697 37.9781895662959 -472.495023698357</t>
  </si>
  <si>
    <t>-737.316331631888 29.0655708135566 -581.556042602912</t>
  </si>
  <si>
    <t>-737.602615426207 15.8160513610896 -690.272205838508</t>
  </si>
  <si>
    <t>-723.163853111363 31.9872434941126 -778.319783875562</t>
  </si>
  <si>
    <t>-650.210100580488 159.650029013501 -776.481865354761</t>
  </si>
  <si>
    <t>-549.472065129014 147.551674925307 -476.662458692366</t>
  </si>
  <si>
    <t>-379.445429558776 61.7131123852309 -299.56147113507</t>
  </si>
  <si>
    <t>-684.996607900496 133.65559298533 -231.928157256046</t>
  </si>
  <si>
    <t>-592.505932907034 208.728796272355 207.92087457649</t>
  </si>
  <si>
    <t>-541.933076977326 274.043347903684 670.259529691929</t>
  </si>
  <si>
    <t>-388.586385651229 248.907929987958 752.700450063455</t>
  </si>
  <si>
    <t>-705.053741690668 -30.7408015894337 221.971741568643</t>
  </si>
  <si>
    <t>-705.053987124465 22.2388723547788 688.841419940855</t>
  </si>
  <si>
    <t>-576.359139652792 -64.8486398394718 771.2848245663</t>
  </si>
  <si>
    <t>9763-20170724T160722.827792000.bin</t>
  </si>
  <si>
    <t>-701.435894114082 38.4640633432462 -232.710294565269</t>
  </si>
  <si>
    <t>-723.264319146021 42.7155896614224 -351.761755970028</t>
  </si>
  <si>
    <t>-733.476885882645 37.4716295430251 -472.421460926428</t>
  </si>
  <si>
    <t>-738.112889979904 28.5480236391404 -581.479897513145</t>
  </si>
  <si>
    <t>-738.427592475844 15.2939447460462 -690.195445147497</t>
  </si>
  <si>
    <t>-724.054017377681 31.4851687777611 -778.249909266751</t>
  </si>
  <si>
    <t>-651.409508263062 159.326676917976 -776.511601273906</t>
  </si>
  <si>
    <t>-550.322188687657 147.735247444221 -476.789838945774</t>
  </si>
  <si>
    <t>-380.188009979639 62.1733819928827 -299.658188948076</t>
  </si>
  <si>
    <t>-685.724761548365 133.211689320712 -231.888944747189</t>
  </si>
  <si>
    <t>-592.714349705003 208.575854444061 207.800668258737</t>
  </si>
  <si>
    <t>-541.858473272036 274.038744244044 670.071373331709</t>
  </si>
  <si>
    <t>-388.521979928296 249.0525378936 752.576579370661</t>
  </si>
  <si>
    <t>-705.347202132339 -30.9987428443626 222.024275070248</t>
  </si>
  <si>
    <t>-705.16175350531 22.166696442252 688.871307407133</t>
  </si>
  <si>
    <t>-576.372354690003 -64.8077401265055 771.286382141659</t>
  </si>
  <si>
    <t>9763-20170724T160722.890962400.bin</t>
  </si>
  <si>
    <t>-702.679994528517 37.7851316398737 -232.638763363493</t>
  </si>
  <si>
    <t>-724.613651653832 41.9696298643596 -351.673304184339</t>
  </si>
  <si>
    <t>-734.918927607992 36.6783760450537 -472.322994774</t>
  </si>
  <si>
    <t>-739.632917539708 27.7198095855147 -581.375164892575</t>
  </si>
  <si>
    <t>-740.019721825146 14.4376563699727 -690.087019030907</t>
  </si>
  <si>
    <t>-725.794318273126 30.647780757384 -778.162180749514</t>
  </si>
  <si>
    <t>-653.480249804488 158.678267962467 -776.522992983304</t>
  </si>
  <si>
    <t>-552.417808596107 147.714041001905 -476.769243900007</t>
  </si>
  <si>
    <t>-382.183348229951 62.3102555957021 -299.657786096341</t>
  </si>
  <si>
    <t>-687.259907471445 132.809719237697 -231.864954481391</t>
  </si>
  <si>
    <t>-593.705130617283 208.453912177884 207.661041708287</t>
  </si>
  <si>
    <t>-541.735791479638 274.031709490994 669.791357930112</t>
  </si>
  <si>
    <t>-388.42495282393 249.187376905815 752.386948181594</t>
  </si>
  <si>
    <t>-705.970382954362 -31.4361048113828 222.090327342005</t>
  </si>
  <si>
    <t>-705.373428916796 22.01059768656 688.899795583343</t>
  </si>
  <si>
    <t>-576.36949117838 -64.6918173152735 771.265947791804</t>
  </si>
  <si>
    <t>9763-20170724T160722.921544900.bin</t>
  </si>
  <si>
    <t>-703.234609898059 37.4121477050439 -232.592867551945</t>
  </si>
  <si>
    <t>-725.167708918412 41.5872387582983 -351.627870220933</t>
  </si>
  <si>
    <t>-735.494382938167 36.2907265665017 -472.27558511024</t>
  </si>
  <si>
    <t>-740.23586100763 27.3305252742803 -581.326388271801</t>
  </si>
  <si>
    <t>-740.657649490065 14.0505303851146 -690.038416657833</t>
  </si>
  <si>
    <t>-726.519302230071 30.2867368596249 -778.122780345203</t>
  </si>
  <si>
    <t>-654.486282912314 158.46525020997 -776.478729662565</t>
  </si>
  <si>
    <t>-553.14045115471 147.670191356659 -476.814398489247</t>
  </si>
  <si>
    <t>-382.820218776051 62.3880093106175 -299.726867008954</t>
  </si>
  <si>
    <t>-687.984843482421 132.450919049426 -231.788895088069</t>
  </si>
  <si>
    <t>-594.192007435496 208.381990831673 207.636985653623</t>
  </si>
  <si>
    <t>-541.685376285385 273.997897573791 669.673272899301</t>
  </si>
  <si>
    <t>-388.379816739297 249.247600734395 752.307214959444</t>
  </si>
  <si>
    <t>-706.31889023156 -31.6474896908439 222.108703961192</t>
  </si>
  <si>
    <t>-705.466191125462 21.9486109638428 688.91110975846</t>
  </si>
  <si>
    <t>-576.41478935528 -64.7001703190099 771.259380400889</t>
  </si>
  <si>
    <t>9763-20170724T160722.987220200.bin</t>
  </si>
  <si>
    <t>-704.030057427879 36.4947750055833 -232.55355167534</t>
  </si>
  <si>
    <t>-725.951783041726 40.5991395091255 -351.59308986386</t>
  </si>
  <si>
    <t>-736.244939436448 35.2392668592315 -472.240917898136</t>
  </si>
  <si>
    <t>-740.945817377609 26.226169950475 -581.289160444621</t>
  </si>
  <si>
    <t>-741.316832329859 12.8968985247852 -689.995284433256</t>
  </si>
  <si>
    <t>-727.223680769887 29.1330699296011 -778.086865058158</t>
  </si>
  <si>
    <t>-655.651975344472 157.572575777049 -776.46348943591</t>
  </si>
  <si>
    <t>-554.168886968976 146.544436816186 -476.854223320193</t>
  </si>
  <si>
    <t>-383.450072709937 61.5542666689407 -300.010117642673</t>
  </si>
  <si>
    <t>-688.880479135182 131.639889952779 -231.799807287088</t>
  </si>
  <si>
    <t>-594.788269559951 208.028773569627 207.48262178915</t>
  </si>
  <si>
    <t>-541.552609077032 274.035424573753 669.413504393285</t>
  </si>
  <si>
    <t>-388.276011448527 249.430118837598 752.144427819547</t>
  </si>
  <si>
    <t>-707.064688566326 -32.1265405683384 222.126054438793</t>
  </si>
  <si>
    <t>-705.645338175994 21.7782429533565 688.883476864748</t>
  </si>
  <si>
    <t>-576.443902569167 -64.6481092440381 771.23023282804</t>
  </si>
  <si>
    <t>9763-20170724T160723.023820900.bin</t>
  </si>
  <si>
    <t>-704.373727355832 36.0288046126195 -232.551854786654</t>
  </si>
  <si>
    <t>-726.368710864868 40.129186987961 -351.578045098795</t>
  </si>
  <si>
    <t>-736.692029902696 34.7658542943548 -472.223024172034</t>
  </si>
  <si>
    <t>-741.402043273605 25.7491285731346 -581.270492373165</t>
  </si>
  <si>
    <t>-741.763570905347 12.4154526316468 -689.976229442552</t>
  </si>
  <si>
    <t>-727.68585872723 28.6609808021267 -778.068598626907</t>
  </si>
  <si>
    <t>-656.303371381284 157.21341007455 -776.462627487543</t>
  </si>
  <si>
    <t>-554.761782580831 146.394299115122 -476.86551778385</t>
  </si>
  <si>
    <t>-383.893025534256 61.3554609820217 -300.189797044849</t>
  </si>
  <si>
    <t>-689.243708344768 131.208652145534 -231.799618840412</t>
  </si>
  <si>
    <t>-594.952253305095 207.761098567567 207.41168095575</t>
  </si>
  <si>
    <t>-541.492426117666 274.012158050142 669.290964273399</t>
  </si>
  <si>
    <t>-388.207306826298 249.615698582284 752.067775165871</t>
  </si>
  <si>
    <t>-707.222215782359 -32.4030426479892 222.139591758106</t>
  </si>
  <si>
    <t>-705.729515461561 21.712970553117 688.884162964533</t>
  </si>
  <si>
    <t>-576.465810789431 -64.6313465025046 771.21923965584</t>
  </si>
  <si>
    <t>9763-20170724T160723.088502900.bin</t>
  </si>
  <si>
    <t>-705.031713023532 34.9986745971139 -232.571159389975</t>
  </si>
  <si>
    <t>-727.068122439065 39.0204261068106 -351.592272089138</t>
  </si>
  <si>
    <t>-737.403403909533 33.5508564859142 -472.231429520906</t>
  </si>
  <si>
    <t>-742.111806395572 24.4280069692311 -581.27025423643</t>
  </si>
  <si>
    <t>-742.459158152294 10.9784821195724 -689.961806946183</t>
  </si>
  <si>
    <t>-728.409482623628 27.1430746477545 -778.073457613857</t>
  </si>
  <si>
    <t>-657.436318603192 155.933680030632 -776.623087403699</t>
  </si>
  <si>
    <t>-555.724874365409 145.992381599252 -477.053097848059</t>
  </si>
  <si>
    <t>-384.596015540808 60.7119708159698 -300.746012234932</t>
  </si>
  <si>
    <t>-690.007972715969 130.277477710384 -231.873217953749</t>
  </si>
  <si>
    <t>-595.090349135586 207.231219681479 207.132908206203</t>
  </si>
  <si>
    <t>-541.293544975302 273.833767670303 668.920902304225</t>
  </si>
  <si>
    <t>-388.093423273789 249.694333482634 751.930006397848</t>
  </si>
  <si>
    <t>-707.531474323495 -32.9719667299357 222.159032920198</t>
  </si>
  <si>
    <t>-705.909462227075 21.6006154790821 688.901585904123</t>
  </si>
  <si>
    <t>-576.484775718515 -64.5584946749857 771.177756354174</t>
  </si>
  <si>
    <t>9763-20170724T160723.125607800.bin</t>
  </si>
  <si>
    <t>-705.221364336406 34.5181502049434 -232.560682527266</t>
  </si>
  <si>
    <t>-727.216551187576 38.482654439282 -351.591307152534</t>
  </si>
  <si>
    <t>-737.587959756579 32.9706210028291 -472.225477593019</t>
  </si>
  <si>
    <t>-742.359380387376 23.8183988235189 -581.259061804852</t>
  </si>
  <si>
    <t>-742.799275731363 10.3500277230924 -689.947898182997</t>
  </si>
  <si>
    <t>-728.85065075891 26.5094684946678 -778.076540743887</t>
  </si>
  <si>
    <t>-657.976019039762 155.333332045896 -776.754639859701</t>
  </si>
  <si>
    <t>-556.282852221539 145.805752617338 -477.165154504627</t>
  </si>
  <si>
    <t>-385.028860999324 60.4098275301412 -301.035562237504</t>
  </si>
  <si>
    <t>-690.166676116128 129.821138477095 -231.94193684625</t>
  </si>
  <si>
    <t>-595.200968793378 206.874114230259 207.036383488185</t>
  </si>
  <si>
    <t>-541.217619029507 273.477160054593 668.756703033451</t>
  </si>
  <si>
    <t>-388.049222470689 249.613981165129 751.904198449251</t>
  </si>
  <si>
    <t>-707.721624210829 -33.2198556678709 222.179975972652</t>
  </si>
  <si>
    <t>-705.948499130802 21.5808899882381 688.896306804215</t>
  </si>
  <si>
    <t>-576.542455534518 -64.6221266412363 771.155798909773</t>
  </si>
  <si>
    <t>9763-20170724T160723.189781300.bin</t>
  </si>
  <si>
    <t>-705.58792852235 33.5647037256083 -232.585444351194</t>
  </si>
  <si>
    <t>-727.576644240958 37.4771560539439 -351.618934189101</t>
  </si>
  <si>
    <t>-738.132355309313 31.9691944346268 -472.2374782774</t>
  </si>
  <si>
    <t>-743.143673900698 22.8506899187562 -581.263136438946</t>
  </si>
  <si>
    <t>-743.893249835346 9.45032548781251 -689.958573372008</t>
  </si>
  <si>
    <t>-730.251741320421 25.6931762815302 -778.119940158178</t>
  </si>
  <si>
    <t>-659.677381274798 154.699597183122 -776.873376316979</t>
  </si>
  <si>
    <t>-557.680757359406 145.772226965735 -477.368526979268</t>
  </si>
  <si>
    <t>-386.101235996676 60.047329012513 -301.716097123071</t>
  </si>
  <si>
    <t>-690.661284630715 128.96477959804 -232.041690917762</t>
  </si>
  <si>
    <t>-595.731843145599 205.732419625182 206.994590041178</t>
  </si>
  <si>
    <t>-541.360335409975 271.536335736071 668.715089480666</t>
  </si>
  <si>
    <t>-387.984935044426 249.435997114363 751.968130282394</t>
  </si>
  <si>
    <t>-708.039669479632 -33.7182545370956 222.216757296655</t>
  </si>
  <si>
    <t>-706.009352150109 21.5639925471485 688.876952326939</t>
  </si>
  <si>
    <t>-576.669148523716 -64.7489410468916 771.124773540607</t>
  </si>
  <si>
    <t>9763-20170724T160723.227847400.bin</t>
  </si>
  <si>
    <t>-705.785381859913 33.0044185191837 -232.559857616697</t>
  </si>
  <si>
    <t>-727.716495587172 36.8739794026292 -351.605431621625</t>
  </si>
  <si>
    <t>-738.344447785243 31.362571220576 -472.217457490507</t>
  </si>
  <si>
    <t>-743.471228618215 22.2619527604195 -581.239151209746</t>
  </si>
  <si>
    <t>-744.38468659428 8.90279381690993 -689.938542477216</t>
  </si>
  <si>
    <t>-730.91840932152 25.2002540141752 -778.116867631759</t>
  </si>
  <si>
    <t>-660.475995496585 154.276168365604 -776.900134301581</t>
  </si>
  <si>
    <t>-558.507316369759 145.35770914796 -477.385484635094</t>
  </si>
  <si>
    <t>-386.690473521973 59.6009686090181 -301.980778190524</t>
  </si>
  <si>
    <t>-690.938473289062 128.399415465384 -232.052902922384</t>
  </si>
  <si>
    <t>-595.802094769384 204.930411232811 206.979785981815</t>
  </si>
  <si>
    <t>-541.538491126541 270.203678694095 668.803506786184</t>
  </si>
  <si>
    <t>-387.958586305136 249.405665563043 752.015006980135</t>
  </si>
  <si>
    <t>-708.165226553072 -33.9879141121039 222.244466375915</t>
  </si>
  <si>
    <t>-706.017102605752 21.568663056235 688.869992077131</t>
  </si>
  <si>
    <t>-576.758035316311 -64.8624055423879 771.121291070968</t>
  </si>
  <si>
    <t>9763-20170724T160723.290005400.bin</t>
  </si>
  <si>
    <t>-706.286453339226 31.6599583412992 -232.444588412264</t>
  </si>
  <si>
    <t>-728.346176993445 35.5438760793604 -351.465920149416</t>
  </si>
  <si>
    <t>-739.195557626752 30.0514981484407 -472.059066120247</t>
  </si>
  <si>
    <t>-744.557888851443 20.9737186083125 -581.071376137155</t>
  </si>
  <si>
    <t>-745.740676885572 7.64500929478959 -689.771751999027</t>
  </si>
  <si>
    <t>-732.549092772818 23.9866493682646 -777.983465359459</t>
  </si>
  <si>
    <t>-662.437011226843 153.238472147566 -776.796138061166</t>
  </si>
  <si>
    <t>-560.498916526274 144.309805233331 -477.271495644341</t>
  </si>
  <si>
    <t>-388.273954674316 58.6830619368236 -302.203849320616</t>
  </si>
  <si>
    <t>-691.628653818465 127.112360611211 -231.934626430466</t>
  </si>
  <si>
    <t>-595.753261187563 203.293190697433 206.998254432873</t>
  </si>
  <si>
    <t>-541.843330546997 267.910145203096 668.992925635562</t>
  </si>
  <si>
    <t>-387.947751172566 249.053843203064 752.083715898202</t>
  </si>
  <si>
    <t>-708.413244500209 -34.7469947501438 222.341367921915</t>
  </si>
  <si>
    <t>-706.137091984553 21.5067315147473 688.867777822629</t>
  </si>
  <si>
    <t>-576.90851365045 -64.9723978255824 771.11645683472</t>
  </si>
  <si>
    <t>9763-20170724T160723.321605500.bin</t>
  </si>
  <si>
    <t>-706.608780809339 30.9314840945738 -232.344065850075</t>
  </si>
  <si>
    <t>-728.680130629082 34.8129611536838 -351.363465583922</t>
  </si>
  <si>
    <t>-739.546344348501 29.2986466876864 -471.954021671877</t>
  </si>
  <si>
    <t>-744.92692452951 20.1929791914786 -580.963180501103</t>
  </si>
  <si>
    <t>-746.13136439747 6.82847456510785 -689.658993603864</t>
  </si>
  <si>
    <t>-732.976545491905 23.1426445675993 -777.881091988847</t>
  </si>
  <si>
    <t>-662.98471958607 152.4612748882 -776.75778231151</t>
  </si>
  <si>
    <t>-561.172523649552 143.854600296131 -477.180886614278</t>
  </si>
  <si>
    <t>-388.945969867751 58.2622114854455 -302.098006672337</t>
  </si>
  <si>
    <t>-692.041940587793 126.406821449812 -231.826231631105</t>
  </si>
  <si>
    <t>-595.744448475643 202.538986696875 207.022711698668</t>
  </si>
  <si>
    <t>-541.942073359277 267.107849376372 669.066201130563</t>
  </si>
  <si>
    <t>-387.90531262286 249.133722431374 752.090979540547</t>
  </si>
  <si>
    <t>-708.531577662135 -35.1712589244478 222.392453257477</t>
  </si>
  <si>
    <t>-706.197797014302 21.4754444824725 688.867424991603</t>
  </si>
  <si>
    <t>-576.982575391856 -65.0215413843339 771.118312448647</t>
  </si>
  <si>
    <t>9763-20170724T160723.392285200.bin</t>
  </si>
  <si>
    <t>-707.204457198515 29.7562600089618 -232.156313646606</t>
  </si>
  <si>
    <t>-729.336310231356 33.6105206060195 -351.165298511908</t>
  </si>
  <si>
    <t>-740.278886210092 28.043971825123 -471.746535187393</t>
  </si>
  <si>
    <t>-745.7352698696 18.8817406831245 -580.74714370893</t>
  </si>
  <si>
    <t>-747.022590779768 5.45163903641992 -689.434060852941</t>
  </si>
  <si>
    <t>-733.970919343526 21.7190475823095 -777.680126031714</t>
  </si>
  <si>
    <t>-664.075907964582 151.083119119533 -776.653998198564</t>
  </si>
  <si>
    <t>-563.008157724486 143.400144383815 -476.79983129761</t>
  </si>
  <si>
    <t>-390.901015216179 57.6859830889507 -301.659223095011</t>
  </si>
  <si>
    <t>-692.945353253542 125.311142213679 -231.524286975046</t>
  </si>
  <si>
    <t>-595.678728459831 201.668175706197 207.071791351505</t>
  </si>
  <si>
    <t>-542.03016017701 266.180002813339 669.140565621446</t>
  </si>
  <si>
    <t>-387.843640864773 248.96429115125 752.047969465095</t>
  </si>
  <si>
    <t>-708.975802118558 -35.8153048490567 222.536043718567</t>
  </si>
  <si>
    <t>-706.333286091902 21.425391266868 688.907546131787</t>
  </si>
  <si>
    <t>-577.116857860172 -65.0803633305925 771.147320915496</t>
  </si>
  <si>
    <t>9763-20170724T160723.430394700.bin</t>
  </si>
  <si>
    <t>-707.394747197157 29.3014093651805 -232.107526520349</t>
  </si>
  <si>
    <t>-729.466912044991 33.1017653974914 -351.129254863009</t>
  </si>
  <si>
    <t>-740.42389129474 27.4470743999552 -471.705148521047</t>
  </si>
  <si>
    <t>-745.924766854728 18.1934362244101 -580.695739698851</t>
  </si>
  <si>
    <t>-747.28902830404 4.66118986362289 -689.368922090776</t>
  </si>
  <si>
    <t>-734.317252600545 20.8382826080015 -777.643468344201</t>
  </si>
  <si>
    <t>-664.518786747882 150.273505255929 -776.652480455484</t>
  </si>
  <si>
    <t>-563.442226167766 142.781491215786 -476.796441036611</t>
  </si>
  <si>
    <t>-391.276322807732 57.288406942899 -301.605491373472</t>
  </si>
  <si>
    <t>-693.104790108607 124.854581647731 -231.510563643891</t>
  </si>
  <si>
    <t>-595.684643312215 201.185391891289 207.055987635457</t>
  </si>
  <si>
    <t>-542.070885451842 265.686712669313 669.134588887255</t>
  </si>
  <si>
    <t>-387.807432286535 248.926257882833 751.992021205489</t>
  </si>
  <si>
    <t>-709.268475385832 -36.0614325527374 222.583618435459</t>
  </si>
  <si>
    <t>-706.38836698698 21.3891127129205 688.904720828367</t>
  </si>
  <si>
    <t>-577.194575266786 -65.1397943693848 771.155708374311</t>
  </si>
  <si>
    <t>9763-20170724T160723.489558600.bin</t>
  </si>
  <si>
    <t>-707.781075895075 28.4438568550704 -232.029657087429</t>
  </si>
  <si>
    <t>-729.788070544068 32.1352642996917 -351.066947604231</t>
  </si>
  <si>
    <t>-740.818026301146 26.2422487118176 -471.624698760479</t>
  </si>
  <si>
    <t>-746.44635681173 16.7239625678042 -580.586048531796</t>
  </si>
  <si>
    <t>-748.003495648501 2.87924301636076 -689.217372389029</t>
  </si>
  <si>
    <t>-735.215392476009 18.767410978875 -777.571182877269</t>
  </si>
  <si>
    <t>-665.454472758135 148.214184320388 -776.902456358005</t>
  </si>
  <si>
    <t>-564.302302456386 141.140105147042 -477.06182744667</t>
  </si>
  <si>
    <t>-391.998202880667 56.3391595412913 -301.670355805549</t>
  </si>
  <si>
    <t>-693.636223200714 124.074065317077 -231.494260541109</t>
  </si>
  <si>
    <t>-596.06076124736 200.433768196452 207.032619580577</t>
  </si>
  <si>
    <t>-542.172808306133 264.564466274598 669.132901556328</t>
  </si>
  <si>
    <t>-387.736396519563 248.801129912738 751.864099201008</t>
  </si>
  <si>
    <t>-709.831253597245 -36.5018893257886 222.657349043464</t>
  </si>
  <si>
    <t>-706.558836539661 21.2706388796564 688.908216602681</t>
  </si>
  <si>
    <t>-577.298330382448 -65.1360190003261 771.182891360712</t>
  </si>
  <si>
    <t>9763-20170724T160723.522644000.bin</t>
  </si>
  <si>
    <t>-708.052159257508 27.9969554362133 -232.002005134316</t>
  </si>
  <si>
    <t>-730.024475120881 31.6588413546419 -351.046445601422</t>
  </si>
  <si>
    <t>-741.082894009083 25.6575616136211 -471.596405059092</t>
  </si>
  <si>
    <t>-746.765973041964 16.0106512998218 -580.543538194672</t>
  </si>
  <si>
    <t>-748.408950675213 2.00748358615328 -689.153210642165</t>
  </si>
  <si>
    <t>-735.698264014777 17.7433441520377 -777.545438331354</t>
  </si>
  <si>
    <t>-665.91950064027 147.17961852141 -777.138913234215</t>
  </si>
  <si>
    <t>-564.648382895928 140.765827304384 -477.323691335724</t>
  </si>
  <si>
    <t>-392.367554258625 56.151183680598 -301.819393767093</t>
  </si>
  <si>
    <t>-694.010596549691 123.674408367884 -231.497447087391</t>
  </si>
  <si>
    <t>-596.245568487047 200.009320973481 206.991525027363</t>
  </si>
  <si>
    <t>-542.197102957857 263.961518578394 669.095733312397</t>
  </si>
  <si>
    <t>-387.678186769376 248.839716380823 751.792434506952</t>
  </si>
  <si>
    <t>-710.03496743399 -36.7265116169842 222.684062759383</t>
  </si>
  <si>
    <t>-706.625673252915 21.2420947424639 688.919877912817</t>
  </si>
  <si>
    <t>-577.347950058079 -65.1391687496018 771.194140582023</t>
  </si>
  <si>
    <t>9763-20170724T160723.591815200.bin</t>
  </si>
  <si>
    <t>-708.541058151438 27.2175017901739 -232.042379017581</t>
  </si>
  <si>
    <t>-730.432830421408 30.775923916354 -351.10494654726</t>
  </si>
  <si>
    <t>-741.533330483588 24.5195153644679 -471.637921559207</t>
  </si>
  <si>
    <t>-747.309920051179 14.5839697235749 -580.554336726281</t>
  </si>
  <si>
    <t>-749.105002159085 0.236937772616784 -689.116699963068</t>
  </si>
  <si>
    <t>-736.5349309534 15.650414990175 -777.585702900484</t>
  </si>
  <si>
    <t>-666.623865756726 145.022246970857 -777.646515980031</t>
  </si>
  <si>
    <t>-565.707494961347 139.745986236392 -477.689543002084</t>
  </si>
  <si>
    <t>-393.546317964097 55.413336089734 -301.932345606968</t>
  </si>
  <si>
    <t>-694.533688248066 122.861865911866 -231.612914729758</t>
  </si>
  <si>
    <t>-596.495638384549 199.30696664107 206.795955757576</t>
  </si>
  <si>
    <t>-542.182986317269 262.786544554285 668.954053757525</t>
  </si>
  <si>
    <t>-387.563777422325 248.830753021317 751.668240316791</t>
  </si>
  <si>
    <t>-710.46067148923 -37.1431476638236 222.698540249045</t>
  </si>
  <si>
    <t>-706.783811309672 21.1669458011627 688.916952073613</t>
  </si>
  <si>
    <t>-577.457345250921 -65.1415390638197 771.191026114461</t>
  </si>
  <si>
    <t>9763-20170724T160723.625908700.bin</t>
  </si>
  <si>
    <t>-708.712459148853 26.9007034188558 -232.010756554964</t>
  </si>
  <si>
    <t>-730.559123156981 30.4142370341856 -351.08278476672</t>
  </si>
  <si>
    <t>-741.647354845612 23.9821042943124 -471.607744491544</t>
  </si>
  <si>
    <t>-747.431062247287 13.8356102759087 -580.504221670664</t>
  </si>
  <si>
    <t>-736.690029230631 14.380760341053 -777.545622876466</t>
  </si>
  <si>
    <t>-666.681595906542 143.700431384834 -777.893246976509</t>
  </si>
  <si>
    <t>-565.885539681118 138.926330132354 -477.887270128834</t>
  </si>
  <si>
    <t>-393.977654444035 54.7974205579346 -301.784821690573</t>
  </si>
  <si>
    <t>-694.758286185835 122.558648355007 -231.62258946804</t>
  </si>
  <si>
    <t>-596.523971954468 198.952186722951 206.751358328661</t>
  </si>
  <si>
    <t>-542.208832921556 262.132148781379 668.945747555057</t>
  </si>
  <si>
    <t>-387.500809515366 248.942709575684 751.619732190678</t>
  </si>
  <si>
    <t>-710.617528600036 -37.3300150626239 222.731369856888</t>
  </si>
  <si>
    <t>-706.864928463916 21.1317761533144 688.923966876993</t>
  </si>
  <si>
    <t>-577.519471132133 -65.1542257889384 771.191765576172</t>
  </si>
  <si>
    <t>9763-20170724T160723.691087900.bin</t>
  </si>
  <si>
    <t>-708.836478470927 26.3325567979462 -231.970194147944</t>
  </si>
  <si>
    <t>-730.708455976232 29.8549174412119 -351.037521352346</t>
  </si>
  <si>
    <t>-741.815796476975 23.1230526143565 -471.544233029068</t>
  </si>
  <si>
    <t>-747.624497938657 12.5807938498756 -580.401829334346</t>
  </si>
  <si>
    <t>-736.913081059107 12.083966714194 -777.457811586101</t>
  </si>
  <si>
    <t>-666.629738961219 141.268280542875 -778.605181758011</t>
  </si>
  <si>
    <t>-565.893054468014 137.549351436023 -478.564364619645</t>
  </si>
  <si>
    <t>-394.541302174899 54.1438290092826 -301.578117207656</t>
  </si>
  <si>
    <t>-694.821099712775 121.927986064379 -231.598095514398</t>
  </si>
  <si>
    <t>-596.244804364607 198.281975797553 206.706037855833</t>
  </si>
  <si>
    <t>-542.186951596599 261.51228900264 668.908974660681</t>
  </si>
  <si>
    <t>-387.395172897011 249.031132190353 751.535986178237</t>
  </si>
  <si>
    <t>-710.77606775378 -37.7023493109016 222.779904379905</t>
  </si>
  <si>
    <t>-707.050313202126 21.0586468909537 688.94088187919</t>
  </si>
  <si>
    <t>-577.632184539047 -65.1411351375657 771.18476618396</t>
  </si>
  <si>
    <t>9763-20170724T160723.723674700.bin</t>
  </si>
  <si>
    <t>-708.825391598922 26.0801732803716 -232.01469785918</t>
  </si>
  <si>
    <t>-730.715582996265 29.5696383644729 -351.079669213186</t>
  </si>
  <si>
    <t>-741.853586495911 22.5944208880594 -471.569716362124</t>
  </si>
  <si>
    <t>-747.703804256862 11.7461129467324 -580.395054048052</t>
  </si>
  <si>
    <t>-737.051708198836 10.4566310755604 -777.459547416414</t>
  </si>
  <si>
    <t>-666.635894346531 139.549220964686 -779.099375924557</t>
  </si>
  <si>
    <t>-565.837150064878 136.514568364154 -479.071811674835</t>
  </si>
  <si>
    <t>-394.851539465335 53.3794843566445 -301.604820741661</t>
  </si>
  <si>
    <t>-694.715488079724 121.688835633037 -231.65380043576</t>
  </si>
  <si>
    <t>-595.966281288735 198.111340689379 206.599427330198</t>
  </si>
  <si>
    <t>-542.122776050419 261.511242521879 668.838450850765</t>
  </si>
  <si>
    <t>-387.339267672043 249.066790152801 751.486628381748</t>
  </si>
  <si>
    <t>-710.721575599739 -37.8731660804599 222.783269933596</t>
  </si>
  <si>
    <t>-707.103869152519 21.0403249808178 688.943360897861</t>
  </si>
  <si>
    <t>-577.704290891455 -65.191140180408 771.183212611525</t>
  </si>
  <si>
    <t>9763-20170724T160723.790357500.bin</t>
  </si>
  <si>
    <t>-708.701492330616 25.9115666703767 -232.013811516965</t>
  </si>
  <si>
    <t>-730.530526650312 29.3782685494295 -351.090627368147</t>
  </si>
  <si>
    <t>-741.775622935251 21.8647962026184 -471.538378759817</t>
  </si>
  <si>
    <t>-747.812198059676 10.3236754280865 -580.282133336203</t>
  </si>
  <si>
    <t>-737.590860138168 7.21165452479022 -777.372976103782</t>
  </si>
  <si>
    <t>-666.512419276274 135.920377979046 -780.438879431689</t>
  </si>
  <si>
    <t>-565.688277609381 134.816261713526 -480.406426838694</t>
  </si>
  <si>
    <t>-395.698091529031 52.2840962126577 -301.705990786973</t>
  </si>
  <si>
    <t>-694.509944598617 121.516588502939 -231.692576781579</t>
  </si>
  <si>
    <t>-595.293732865614 197.946726436315 206.45379337177</t>
  </si>
  <si>
    <t>-541.967888119874 261.462855631699 668.690023236784</t>
  </si>
  <si>
    <t>-387.215374024195 249.140908503156 751.414701011312</t>
  </si>
  <si>
    <t>-710.591946411073 -37.9984242218738 222.785158177881</t>
  </si>
  <si>
    <t>-707.208771380205 21.0060659504279 688.941119907512</t>
  </si>
  <si>
    <t>-577.791997536782 -65.2082523868871 771.171905398343</t>
  </si>
  <si>
    <t>9763-20170724T160723.824454200.bin</t>
  </si>
  <si>
    <t>-708.652588086085 26.1216419944908 -232.084732772464</t>
  </si>
  <si>
    <t>-730.619852013506 29.5763947963101 -351.136450215709</t>
  </si>
  <si>
    <t>-741.987766145259 21.6398307384084 -471.545511757016</t>
  </si>
  <si>
    <t>-748.144709752248 9.54879858434106 -580.222885527904</t>
  </si>
  <si>
    <t>-738.093611957383 4.98465578053947 -777.310817249397</t>
  </si>
  <si>
    <t>-666.595800657265 133.429244041916 -781.424810140833</t>
  </si>
  <si>
    <t>-565.607515795012 134.021155245985 -481.445972491554</t>
  </si>
  <si>
    <t>-396.30520445998 52.0249905010196 -301.848038862923</t>
  </si>
  <si>
    <t>-694.413207559599 121.686627927648 -231.752829221067</t>
  </si>
  <si>
    <t>-594.967047137592 197.954064242218 206.369745603419</t>
  </si>
  <si>
    <t>-541.902818257441 261.436575581957 668.640900799282</t>
  </si>
  <si>
    <t>-387.155470012657 249.212417323693 751.389577788899</t>
  </si>
  <si>
    <t>-710.48327261183 -37.913972502879 222.778627196827</t>
  </si>
  <si>
    <t>-707.254908607694 21.0030429438336 688.952587983896</t>
  </si>
  <si>
    <t>-577.840119455308 -65.2224991205312 771.174728869184</t>
  </si>
  <si>
    <t>9763-20170724T160723.890630900.bin</t>
  </si>
  <si>
    <t>-708.716537120488 27.106079656327 -232.282410308115</t>
  </si>
  <si>
    <t>-730.750397685726 30.2759956094289 -351.329795540838</t>
  </si>
  <si>
    <t>-742.335003913701 21.0817021280982 -471.628616670644</t>
  </si>
  <si>
    <t>-748.793798427726 7.46079951758134 -580.107323959593</t>
  </si>
  <si>
    <t>-666.557029289868 126.606348204192 -784.126950406879</t>
  </si>
  <si>
    <t>-565.300055894271 131.416887283854 -484.276859689529</t>
  </si>
  <si>
    <t>-397.997921942816 50.4425887501163 -302.355913205588</t>
  </si>
  <si>
    <t>-694.478655170872 122.78819225525 -232.21545338954</t>
  </si>
  <si>
    <t>-594.583151771342 198.564750631918 205.890085944639</t>
  </si>
  <si>
    <t>-541.690461021131 261.202183776534 668.348037194087</t>
  </si>
  <si>
    <t>-387.030670629955 249.088037272565 751.276136894611</t>
  </si>
  <si>
    <t>-710.53013547095 -37.2743234514751 222.780288645129</t>
  </si>
  <si>
    <t>-707.304857652607 21.0410894800737 688.996557385517</t>
  </si>
  <si>
    <t>-577.967764763967 -65.3050849922788 771.214364037067</t>
  </si>
  <si>
    <t>9763-20170724T160723.922219500.bin</t>
  </si>
  <si>
    <t>-708.728451465744 27.8348436492379 -232.491181513656</t>
  </si>
  <si>
    <t>-730.67840938282 30.7951717881151 -351.559413160405</t>
  </si>
  <si>
    <t>-742.315063821167 20.9104088653673 -471.798506844997</t>
  </si>
  <si>
    <t>-748.900273214508 6.47394872987934 -580.163939442607</t>
  </si>
  <si>
    <t>-666.24424264403 123.078214236309 -785.656111211908</t>
  </si>
  <si>
    <t>-564.602719299838 130.59765237145 -485.991885433331</t>
  </si>
  <si>
    <t>-398.322088414702 50.3087037802131 -302.834929480203</t>
  </si>
  <si>
    <t>-694.518236532143 123.648124603208 -232.564891202964</t>
  </si>
  <si>
    <t>-594.445896581055 198.708029986778 205.623684444682</t>
  </si>
  <si>
    <t>-541.616402796639 260.478303334147 668.185095349838</t>
  </si>
  <si>
    <t>-386.966387556136 248.989954892603 751.220757573379</t>
  </si>
  <si>
    <t>-710.619830218233 -36.7781244942239 222.755853574085</t>
  </si>
  <si>
    <t>-707.323199043815 21.059124069126 689.011427390477</t>
  </si>
  <si>
    <t>-578.041784154192 -65.3571190957834 771.243147590793</t>
  </si>
  <si>
    <t>9763-20170724T160723.988904000.bin</t>
  </si>
  <si>
    <t>-708.908777573739 29.3744542643101 -232.881495099723</t>
  </si>
  <si>
    <t>-730.546593014452 31.9310729816498 -352.016084170119</t>
  </si>
  <si>
    <t>-742.121115697338 20.7520610524784 -472.147801839312</t>
  </si>
  <si>
    <t>-748.793883133188 4.7963999102476 -580.294581220549</t>
  </si>
  <si>
    <t>-665.158642700389 116.671674117267 -788.413669287021</t>
  </si>
  <si>
    <t>-562.446690304327 130.527171689597 -489.341056531494</t>
  </si>
  <si>
    <t>-397.924022270465 51.3445322730238 -304.126482635751</t>
  </si>
  <si>
    <t>-694.913929553361 125.115434968426 -233.23572803567</t>
  </si>
  <si>
    <t>-594.53686676146 198.679921037095 205.136625473123</t>
  </si>
  <si>
    <t>-541.617612485696 257.912201305593 667.987398508708</t>
  </si>
  <si>
    <t>-386.85478776532 248.806286072036 751.108326098243</t>
  </si>
  <si>
    <t>-711.210934293446 -35.6395288908586 222.663491226669</t>
  </si>
  <si>
    <t>-707.293583276978 21.1222967758615 689.012065248783</t>
  </si>
  <si>
    <t>-578.234047320574 -65.5610740772647 771.311160702293</t>
  </si>
  <si>
    <t>9763-20170724T160724.026505000.bin</t>
  </si>
  <si>
    <t>-708.937431395174 29.9566151954864 -233.118908123488</t>
  </si>
  <si>
    <t>-730.444626802546 32.3698516669433 -352.280219148042</t>
  </si>
  <si>
    <t>-741.990092439701 20.6290733005162 -472.360995481622</t>
  </si>
  <si>
    <t>-748.691334172113 4.00548425244028 -580.405558401178</t>
  </si>
  <si>
    <t>-664.948595889114 114.032708222131 -789.59990133719</t>
  </si>
  <si>
    <t>-561.951069451907 130.798165923757 -490.774472169165</t>
  </si>
  <si>
    <t>-397.931677900462 52.0884312389589 -304.913139196007</t>
  </si>
  <si>
    <t>-694.906643392654 125.590792958899 -233.610281939746</t>
  </si>
  <si>
    <t>-594.438830185774 198.521819463798 204.847184640786</t>
  </si>
  <si>
    <t>-541.594937254613 256.548882011443 667.860441399148</t>
  </si>
  <si>
    <t>-386.78132244627 248.809543791705 751.025303398003</t>
  </si>
  <si>
    <t>-711.58516437663 -35.1737022912741 222.614857260899</t>
  </si>
  <si>
    <t>-707.235766958844 21.1726573558462 688.987578977775</t>
  </si>
  <si>
    <t>-578.395254083336 -65.7751433313704 771.350882958632</t>
  </si>
  <si>
    <t>9763-20170724T160724.091190900.bin</t>
  </si>
  <si>
    <t>-708.92060379413 30.9620200316008 -233.513638277475</t>
  </si>
  <si>
    <t>-730.091908649613 33.1337719801197 -352.739682299117</t>
  </si>
  <si>
    <t>-741.480342600924 20.4578800923537 -472.740560771606</t>
  </si>
  <si>
    <t>-748.127430283369 2.72916721191496 -580.612442617099</t>
  </si>
  <si>
    <t>-664.215407292396 109.725568147413 -791.429943305773</t>
  </si>
  <si>
    <t>-562.06033744469 130.527058923828 -492.569018015704</t>
  </si>
  <si>
    <t>-398.115498657503 52.7513874936085 -306.249176748163</t>
  </si>
  <si>
    <t>-694.73093590909 126.464362444455 -234.237107028264</t>
  </si>
  <si>
    <t>-593.7004564033 198.084580912021 204.307106638945</t>
  </si>
  <si>
    <t>-541.560208655389 254.129464869873 667.680335762437</t>
  </si>
  <si>
    <t>-386.646846540825 248.601338188445 750.835521806169</t>
  </si>
  <si>
    <t>-712.444531237651 -34.5783904410068 222.533646406172</t>
  </si>
  <si>
    <t>-707.196557670511 21.2220696495363 688.949386837126</t>
  </si>
  <si>
    <t>-578.839593956121 -66.3219196588436 771.436048462375</t>
  </si>
  <si>
    <t>9763-20170724T160724.123780500.bin</t>
  </si>
  <si>
    <t>-708.839407126238 31.2150689360792 -233.607141243732</t>
  </si>
  <si>
    <t>-729.945025516587 33.3938752582487 -352.844877403601</t>
  </si>
  <si>
    <t>-741.280218691467 20.4439385669411 -472.821377217119</t>
  </si>
  <si>
    <t>-747.886704187076 2.3617341321019 -580.637175831389</t>
  </si>
  <si>
    <t>-663.968843593201 108.425613419613 -792.052673695937</t>
  </si>
  <si>
    <t>-562.346489495053 130.874963775342 -493.129545609869</t>
  </si>
  <si>
    <t>-398.239118181185 53.5099693586349 -306.781668308676</t>
  </si>
  <si>
    <t>-694.555435497141 126.5951647193 -234.359877825829</t>
  </si>
  <si>
    <t>-593.134142265317 197.719844749105 204.174835252269</t>
  </si>
  <si>
    <t>-541.576663941976 253.289147443305 667.661784603418</t>
  </si>
  <si>
    <t>-386.587736680011 248.521092394235 750.723350397196</t>
  </si>
  <si>
    <t>-713.03642069182 -34.356284949605 222.48158458716</t>
  </si>
  <si>
    <t>-707.195174639585 21.2467597867706 688.944436520347</t>
  </si>
  <si>
    <t>-579.090681372365 -66.6323350239763 771.467243104662</t>
  </si>
  <si>
    <t>9763-20170724T160724.189456500.bin</t>
  </si>
  <si>
    <t>-708.603310169304 31.0435961130593 -233.793743678157</t>
  </si>
  <si>
    <t>-729.311818562639 33.1622200313989 -353.102044892018</t>
  </si>
  <si>
    <t>-740.425434562901 19.7858750728292 -473.052540993349</t>
  </si>
  <si>
    <t>-746.899907692399 1.18986345356552 -580.788933302023</t>
  </si>
  <si>
    <t>-663.612982227872 106.324678377561 -792.940197461847</t>
  </si>
  <si>
    <t>-562.513871955424 131.222078573125 -494.033378918155</t>
  </si>
  <si>
    <t>-398.206603919876 54.7443566916177 -307.495564690571</t>
  </si>
  <si>
    <t>-694.118054638098 126.052014831307 -234.540530364491</t>
  </si>
  <si>
    <t>-592.117320440292 197.213872088237 203.853718130201</t>
  </si>
  <si>
    <t>-541.500897631884 252.80469960536 667.483392593289</t>
  </si>
  <si>
    <t>-386.433974767836 248.484164385995 750.423645480164</t>
  </si>
  <si>
    <t>-714.435237376295 -34.3095539286328 222.415693424132</t>
  </si>
  <si>
    <t>-707.226085976864 21.2471727691861 688.88906649817</t>
  </si>
  <si>
    <t>-579.543201449947 -67.1671527177739 771.493536007846</t>
  </si>
  <si>
    <t>9763-20170724T160724.253185400.bin</t>
  </si>
  <si>
    <t>-708.394416193125 30.4616505351642 -233.855257825056</t>
  </si>
  <si>
    <t>-728.785674946305 32.4230664753793 -353.220901009284</t>
  </si>
  <si>
    <t>-739.711038368136 18.8650577379326 -473.168286518863</t>
  </si>
  <si>
    <t>-746.054622473454 0.108678385278154 -580.884688868442</t>
  </si>
  <si>
    <t>-663.577412891517 105.501659348786 -793.188314464723</t>
  </si>
  <si>
    <t>-562.76680480297 131.482513206979 -494.276238368651</t>
  </si>
  <si>
    <t>-398.117808257666 56.0373806926154 -307.619425245573</t>
  </si>
  <si>
    <t>-693.893687878328 125.598636100081 -234.677138656562</t>
  </si>
  <si>
    <t>-592.299481047785 197.072606150773 203.760655350693</t>
  </si>
  <si>
    <t>-541.442140018051 252.783688577255 667.309431857942</t>
  </si>
  <si>
    <t>-386.280247998979 248.240997952141 750.059999534623</t>
  </si>
  <si>
    <t>-716.092303760476 -34.3215016668198 222.388482471396</t>
  </si>
  <si>
    <t>-707.449615180779 21.0887854078801 688.835621189799</t>
  </si>
  <si>
    <t>-579.853941136744 -67.3917376098166 771.503943212859</t>
  </si>
  <si>
    <t>9763-20170724T160724.321868900.bin</t>
  </si>
  <si>
    <t>-708.535265213832 29.8066824827179 -233.80471806501</t>
  </si>
  <si>
    <t>-728.435630287773 31.5860649181698 -353.256073694159</t>
  </si>
  <si>
    <t>-738.992694520642 18.0456048857377 -473.238382958014</t>
  </si>
  <si>
    <t>-663.417287903605 106.050086414283 -792.849795872207</t>
  </si>
  <si>
    <t>-562.59515033807 132.038412664878 -493.942337040467</t>
  </si>
  <si>
    <t>-397.468624250743 57.4427939105269 -307.365834075015</t>
  </si>
  <si>
    <t>-694.311924749003 125.275465032239 -234.7332586807</t>
  </si>
  <si>
    <t>-593.250533416965 197.098867932464 203.770581764767</t>
  </si>
  <si>
    <t>-541.510387835779 252.475964178655 667.294701697457</t>
  </si>
  <si>
    <t>-386.144056958609 247.932565725454 749.660838089145</t>
  </si>
  <si>
    <t>-717.662308585585 -34.4367413562607 222.427156416282</t>
  </si>
  <si>
    <t>-707.677408626306 20.9395435893177 688.791265208646</t>
  </si>
  <si>
    <t>-580.187720772959 -67.6214971336201 771.53684297138</t>
  </si>
  <si>
    <t>9763-20170724T160724.390555600.bin</t>
  </si>
  <si>
    <t>-708.795197756627 29.4170019994622 -233.483296414975</t>
  </si>
  <si>
    <t>-728.420241335625 31.2231022933686 -352.979685241163</t>
  </si>
  <si>
    <t>-738.536845638604 17.9843743852903 -473.033623677097</t>
  </si>
  <si>
    <t>-662.996858127001 108.377502994369 -791.728082905802</t>
  </si>
  <si>
    <t>-562.927628209135 133.589052210144 -492.501178252921</t>
  </si>
  <si>
    <t>-396.910594378643 59.2315566266673 -306.621261024298</t>
  </si>
  <si>
    <t>-695.180392227638 125.534051181388 -234.192826264508</t>
  </si>
  <si>
    <t>-594.703514273307 197.347203890845 204.447027770976</t>
  </si>
  <si>
    <t>-542.302106053046 252.355538652821 668.118200778039</t>
  </si>
  <si>
    <t>-386.230809111415 247.183851246197 749.102937867239</t>
  </si>
  <si>
    <t>-718.899139804195 -34.7071696108023 222.55181207485</t>
  </si>
  <si>
    <t>-707.970553625574 20.7755743765572 688.751369745684</t>
  </si>
  <si>
    <t>-580.46401924456 -67.6937812061526 771.569044390002</t>
  </si>
  <si>
    <t>9763-20170724T160724.425153800.bin</t>
  </si>
  <si>
    <t>-708.678613991867 28.8427374234798 -233.091168410318</t>
  </si>
  <si>
    <t>-728.311630681706 30.7965939536855 -352.584043547048</t>
  </si>
  <si>
    <t>-738.257164190914 17.8249517935415 -472.681391606083</t>
  </si>
  <si>
    <t>-662.833178571162 109.758244607895 -790.806676590172</t>
  </si>
  <si>
    <t>-563.47432072084 134.235743487564 -491.282282271997</t>
  </si>
  <si>
    <t>-396.935162620405 59.8650939727224 -305.875290878924</t>
  </si>
  <si>
    <t>-695.133170716202 124.9063863267 -233.508012511294</t>
  </si>
  <si>
    <t>-594.516911689675 197.00626509545 205.052894132132</t>
  </si>
  <si>
    <t>-543.041854756299 252.767574775577 668.947808874934</t>
  </si>
  <si>
    <t>-386.320149056806 246.741508272786 748.606457857235</t>
  </si>
  <si>
    <t>-719.206007257998 -35.1145745877325 222.716837477859</t>
  </si>
  <si>
    <t>-708.196844475593 20.660543937975 688.786490742151</t>
  </si>
  <si>
    <t>-580.572691673725 -67.6232720692967 771.620977939622</t>
  </si>
  <si>
    <t>9763-20170724T160724.490831600.bin</t>
  </si>
  <si>
    <t>-708.100950218048 26.9408966788189 -232.658306389149</t>
  </si>
  <si>
    <t>-727.933568670005 28.9332803119228 -352.117412354071</t>
  </si>
  <si>
    <t>-737.717890603912 16.5259475600337 -472.287684930342</t>
  </si>
  <si>
    <t>-661.672380405913 111.505195895418 -788.710783720509</t>
  </si>
  <si>
    <t>-565.568418373364 132.40896840321 -487.856703183651</t>
  </si>
  <si>
    <t>-397.273945480608 59.6512045980421 -303.397014188897</t>
  </si>
  <si>
    <t>-694.631701687325 122.916069545602 -232.889866589886</t>
  </si>
  <si>
    <t>-592.458548572383 196.01906432405 205.144661545711</t>
  </si>
  <si>
    <t>-544.349442605651 253.969321821805 669.470709751119</t>
  </si>
  <si>
    <t>-386.437385811633 245.686111284948 746.53332540671</t>
  </si>
  <si>
    <t>-719.400525745624 -36.1434646219684 222.959758773048</t>
  </si>
  <si>
    <t>-708.58994443341 20.3984369885989 688.811932481994</t>
  </si>
  <si>
    <t>-580.743437669328 -67.4861537759841 771.728050304292</t>
  </si>
  <si>
    <t>9763-20170724T160724.522425700.bin</t>
  </si>
  <si>
    <t>-707.669900268074 26.1767995478485 -232.645795821544</t>
  </si>
  <si>
    <t>-727.700040721017 28.0126637019821 -352.074507725795</t>
  </si>
  <si>
    <t>-737.422332921379 15.8906391088303 -472.278837732711</t>
  </si>
  <si>
    <t>-660.600848402212 112.603821905406 -787.59648613014</t>
  </si>
  <si>
    <t>-566.079705061076 130.064085636982 -486.022185109322</t>
  </si>
  <si>
    <t>-396.490750202764 60.6427671468973 -301.462410282777</t>
  </si>
  <si>
    <t>-694.226297424726 122.273122548296 -232.950649056096</t>
  </si>
  <si>
    <t>-590.351902826032 195.434229240716 204.673943274201</t>
  </si>
  <si>
    <t>-544.664939076119 254.137369140488 668.982446609477</t>
  </si>
  <si>
    <t>-386.407049230393 244.850153350693 745.216883519822</t>
  </si>
  <si>
    <t>-719.082658880268 -36.6102393420588 223.056569833145</t>
  </si>
  <si>
    <t>-708.752525532469 20.3210884382568 688.84721393144</t>
  </si>
  <si>
    <t>-580.846930571513 -67.4505436595989 771.791834406526</t>
  </si>
  <si>
    <t>9763-20170724T160724.588102800.bin</t>
  </si>
  <si>
    <t>-706.587918677233 24.5699147025089 -232.674798444658</t>
  </si>
  <si>
    <t>-727.048707878098 25.9314268926603 -352.03692919734</t>
  </si>
  <si>
    <t>-736.613324292832 14.3254236484959 -472.304817397692</t>
  </si>
  <si>
    <t>-658.373381812179 114.642282296823 -785.279848564549</t>
  </si>
  <si>
    <t>-562.982680481088 127.908654737906 -483.765505568183</t>
  </si>
  <si>
    <t>-389.46596072646 68.1457676587493 -299.476738933396</t>
  </si>
  <si>
    <t>-693.306084556678 120.194852787989 -233.436187886566</t>
  </si>
  <si>
    <t>-585.285774331558 193.357343621041 203.183285636122</t>
  </si>
  <si>
    <t>-544.242711817983 253.345349970542 667.623867960132</t>
  </si>
  <si>
    <t>-386.332051852977 239.972590565442 743.971173525224</t>
  </si>
  <si>
    <t>-718.025812899366 -37.7065438073187 223.247147869771</t>
  </si>
  <si>
    <t>-709.100171667434 20.2144975020628 688.947887569012</t>
  </si>
  <si>
    <t>-580.912009987314 -67.1536018647641 771.882317286899</t>
  </si>
  <si>
    <t>9763-20170724T160724.621194600.bin</t>
  </si>
  <si>
    <t>-705.87107586956 23.6879651125414 -232.674834210926</t>
  </si>
  <si>
    <t>-726.2799347315 24.872561306493 -352.047717284344</t>
  </si>
  <si>
    <t>-735.585133248575 13.5153401253438 -472.359822623873</t>
  </si>
  <si>
    <t>-656.453642430188 115.516716219879 -784.561391504422</t>
  </si>
  <si>
    <t>-558.366032540027 127.240303090394 -483.8495383537</t>
  </si>
  <si>
    <t>-383.793550307213 69.6892378032178 -299.854112306621</t>
  </si>
  <si>
    <t>-692.551184950557 119.240093373606 -233.589357720045</t>
  </si>
  <si>
    <t>-582.375694799166 191.753394884309 202.599592437987</t>
  </si>
  <si>
    <t>-541.755839325278 252.290238608023 666.858850046953</t>
  </si>
  <si>
    <t>-384.737481252485 235.668854277443 744.399198475744</t>
  </si>
  <si>
    <t>-717.418784862859 -38.3314576815162 223.288781893297</t>
  </si>
  <si>
    <t>-709.286928061639 20.1421471241651 688.987648817414</t>
  </si>
  <si>
    <t>-580.870664558827 -66.9286558262118 771.881862474752</t>
  </si>
  <si>
    <t>9763-20170724T160724.689378800.bin</t>
  </si>
  <si>
    <t>-700.381507855767 25.1525205352502 -233.326313883739</t>
  </si>
  <si>
    <t>-720.66374312677 26.4202918459196 -352.720008273547</t>
  </si>
  <si>
    <t>-729.609045631283 15.6079121435923 -473.109428322208</t>
  </si>
  <si>
    <t>-733.285791595154 0.66082504317842 -581.543375694458</t>
  </si>
  <si>
    <t>-649.961701976668 120.386607362038 -783.997482053082</t>
  </si>
  <si>
    <t>-541.915997705187 126.812387652502 -486.556710149952</t>
  </si>
  <si>
    <t>-364.866686385735 70.2409477437568 -304.635685415758</t>
  </si>
  <si>
    <t>-685.186442186376 121.934298425356 -234.499002229262</t>
  </si>
  <si>
    <t>-572.361207751632 193.339655934846 201.195184241766</t>
  </si>
  <si>
    <t>-531.492482279606 255.407431494126 665.094206351351</t>
  </si>
  <si>
    <t>-375.477003945623 236.796462232751 744.191197457166</t>
  </si>
  <si>
    <t>-713.988500842777 -38.0345173912381 222.831109174151</t>
  </si>
  <si>
    <t>-709.525920985569 20.052133544486 688.887524031581</t>
  </si>
  <si>
    <t>-580.60830780578 -66.3774200861485 771.6745480137</t>
  </si>
  <si>
    <t>9763-20170724T160724.720465500.bin</t>
  </si>
  <si>
    <t>-697.953390646565 26.3829888237692 -233.672791149698</t>
  </si>
  <si>
    <t>-718.043413782362 27.6941350775037 -353.098391564874</t>
  </si>
  <si>
    <t>-726.822990208369 17.1395720680127 -473.523110787939</t>
  </si>
  <si>
    <t>-730.358327908223 2.50880465499722 -582.004787369461</t>
  </si>
  <si>
    <t>-647.011621892083 123.149270910062 -783.859989173715</t>
  </si>
  <si>
    <t>-533.273426806474 124.763223637107 -488.483659892428</t>
  </si>
  <si>
    <t>-354.251338575612 70.0921252800404 -307.917366079261</t>
  </si>
  <si>
    <t>-682.680322652589 123.440448327564 -234.84577149924</t>
  </si>
  <si>
    <t>-570.001478894436 194.318021612154 200.972406757548</t>
  </si>
  <si>
    <t>-529.932349540392 255.511283440931 664.992162979541</t>
  </si>
  <si>
    <t>-373.961243689835 237.443501241016 744.302295689458</t>
  </si>
  <si>
    <t>-712.388390708707 -37.534173601297 222.548249477415</t>
  </si>
  <si>
    <t>-709.530899738211 20.0934762993427 688.814869121196</t>
  </si>
  <si>
    <t>-580.496473758356 -66.2045944797503 771.557086245035</t>
  </si>
  <si>
    <t>9763-20170724T160724.787652500.bin</t>
  </si>
  <si>
    <t>-696.19830891605 27.4791339858275 -234.257116154237</t>
  </si>
  <si>
    <t>-715.607647369434 28.864604812265 -353.794392432643</t>
  </si>
  <si>
    <t>-724.092344107015 18.8814405060634 -474.288815976973</t>
  </si>
  <si>
    <t>-727.510595106027 4.96957700865778 -582.868985837587</t>
  </si>
  <si>
    <t>-644.007199774212 127.29523676475 -783.495352927861</t>
  </si>
  <si>
    <t>-518.57978241115 120.146717063065 -492.973307802644</t>
  </si>
  <si>
    <t>-335.630683405544 69.7946098114537 -315.107343592761</t>
  </si>
  <si>
    <t>-681.52293321857 123.865350703425 -235.379446299316</t>
  </si>
  <si>
    <t>-572.9662456995 195.258110688583 201.399864629604</t>
  </si>
  <si>
    <t>-530.9179054716 254.880846804261 665.130694617123</t>
  </si>
  <si>
    <t>-375.100728430672 237.874902468092 744.97632299438</t>
  </si>
  <si>
    <t>-710.991505354577 -36.972558996287 222.03732373597</t>
  </si>
  <si>
    <t>-709.420725366474 20.2483318268098 688.621447265697</t>
  </si>
  <si>
    <t>-580.363319591874 -66.065370770368 771.311482123178</t>
  </si>
  <si>
    <t>9763-20170724T160724.828257800.bin</t>
  </si>
  <si>
    <t>-694.954365263084 27.8592916140256 -234.608901501632</t>
  </si>
  <si>
    <t>-714.096348892819 29.2930818686027 -354.188649777152</t>
  </si>
  <si>
    <t>-722.486190478118 19.5828780994411 -474.711989444146</t>
  </si>
  <si>
    <t>-725.884959415148 6.00920894629076 -583.33555121316</t>
  </si>
  <si>
    <t>-642.21180128268 129.068001652247 -783.431289529896</t>
  </si>
  <si>
    <t>-510.978521411635 118.405272911211 -495.593963090928</t>
  </si>
  <si>
    <t>-327.372637051697 69.1898056596547 -318.086837362076</t>
  </si>
  <si>
    <t>-680.104997652986 124.094585153229 -235.786836882376</t>
  </si>
  <si>
    <t>-574.468321646382 196.226386249255 201.586693382204</t>
  </si>
  <si>
    <t>-530.688747960251 254.838944619829 665.230343816908</t>
  </si>
  <si>
    <t>-374.988347123254 238.497585697573 745.441967880491</t>
  </si>
  <si>
    <t>-710.1978262226 -36.7662317351187 221.780534561318</t>
  </si>
  <si>
    <t>-709.35368560296 20.3402746675863 688.527408321623</t>
  </si>
  <si>
    <t>-580.321378614193 -66.0370249133719 771.190203713834</t>
  </si>
  <si>
    <t>9763-20170724T160724.892946200.bin</t>
  </si>
  <si>
    <t>-692.346687301892 28.913385017192 -235.339530030433</t>
  </si>
  <si>
    <t>-710.973860779081 30.253118823194 -355.001742926656</t>
  </si>
  <si>
    <t>-719.135603377382 20.8580194376207 -475.565792468376</t>
  </si>
  <si>
    <t>-722.442908155184 7.73151362649878 -584.246962958083</t>
  </si>
  <si>
    <t>-707.920623486731 2.22735409603706 -781.017210491606</t>
  </si>
  <si>
    <t>-637.695529338683 131.409945985021 -783.514437823088</t>
  </si>
  <si>
    <t>-499.242570656391 117.029823879843 -499.243090896284</t>
  </si>
  <si>
    <t>-315.661562312431 67.8929293032243 -321.688630331173</t>
  </si>
  <si>
    <t>-677.06495962878 124.83568888222 -236.629091812991</t>
  </si>
  <si>
    <t>-577.378894861989 197.417015112025 202.064727232721</t>
  </si>
  <si>
    <t>-530.020155880422 255.096159558374 665.454946087454</t>
  </si>
  <si>
    <t>-374.655002336489 239.572320073326 746.474779755035</t>
  </si>
  <si>
    <t>-708.474474003072 -36.1017545232603 221.288984521055</t>
  </si>
  <si>
    <t>-709.129909173387 20.5263759909296 688.314653501343</t>
  </si>
  <si>
    <t>-580.273470860684 -66.1283300914702 770.961449441729</t>
  </si>
  <si>
    <t>9763-20170724T160724.928037300.bin</t>
  </si>
  <si>
    <t>-691.1522741346 29.6924443877326 -235.606770503555</t>
  </si>
  <si>
    <t>-709.448013605501 30.952244080059 -355.321010019551</t>
  </si>
  <si>
    <t>-717.427685286051 21.6394852510493 -475.903572721256</t>
  </si>
  <si>
    <t>-720.631002122316 8.65284728961888 -584.604742493013</t>
  </si>
  <si>
    <t>-705.953344109914 3.51950749880939 -781.3674790756</t>
  </si>
  <si>
    <t>-635.214328310296 132.425025826383 -783.567514881351</t>
  </si>
  <si>
    <t>-495.970445966828 117.304664236656 -499.721272030341</t>
  </si>
  <si>
    <t>-311.958363372446 70.1190241462757 -322.083746572135</t>
  </si>
  <si>
    <t>-675.76242372282 125.460937311979 -236.895072596038</t>
  </si>
  <si>
    <t>-578.6385969247 197.532392749571 202.457076373246</t>
  </si>
  <si>
    <t>-529.786409171457 255.060768462015 665.786183455264</t>
  </si>
  <si>
    <t>-374.559847609735 239.855021992312 747.131160475116</t>
  </si>
  <si>
    <t>-707.578515278222 -35.6023725877762 221.1018014448</t>
  </si>
  <si>
    <t>-708.968612941817 20.6380739890762 688.234822275006</t>
  </si>
  <si>
    <t>-580.299089445322 -66.2838620654109 770.892172259929</t>
  </si>
  <si>
    <t>9763-20170724T160724.992214000.bin</t>
  </si>
  <si>
    <t>-689.372267493497 31.0834378665463 -235.740557364058</t>
  </si>
  <si>
    <t>-707.310085133155 32.3120459434242 -355.509305505476</t>
  </si>
  <si>
    <t>-714.980111690961 23.1458127379815 -476.123125988924</t>
  </si>
  <si>
    <t>-717.922260347201 10.3605384222976 -584.855564898468</t>
  </si>
  <si>
    <t>-702.645285579457 5.69484764723961 -781.574540576122</t>
  </si>
  <si>
    <t>-631.216174036015 134.226352159609 -783.166191262393</t>
  </si>
  <si>
    <t>-495.778464516153 118.455596889478 -497.519428847705</t>
  </si>
  <si>
    <t>-311.797047387053 72.3607498491087 -319.563764926823</t>
  </si>
  <si>
    <t>-673.895376474155 126.48344121911 -236.891010666654</t>
  </si>
  <si>
    <t>-579.908450305097 198.244689271544 203.193504367709</t>
  </si>
  <si>
    <t>-529.494398805049 255.003240057735 666.5205893654</t>
  </si>
  <si>
    <t>-374.439316711013 240.35863534124 748.294458693562</t>
  </si>
  <si>
    <t>-706.382277834568 -34.7298661002142 220.963743994254</t>
  </si>
  <si>
    <t>-708.646533882537 20.783762723202 688.126359592625</t>
  </si>
  <si>
    <t>-580.427955038194 -66.7322587521196 770.857574947349</t>
  </si>
  <si>
    <t>9763-20170724T160725.020292200.bin</t>
  </si>
  <si>
    <t>-688.787049463203 31.5715530610016 -235.582319693374</t>
  </si>
  <si>
    <t>-706.563059592278 32.9028524204628 -355.374134812421</t>
  </si>
  <si>
    <t>-714.017593861138 23.8824102631056 -476.01260632033</t>
  </si>
  <si>
    <t>-716.740341836986 11.2461163420792 -584.768077964822</t>
  </si>
  <si>
    <t>-700.973693199501 6.88372559330537 -781.451332972609</t>
  </si>
  <si>
    <t>-629.438744411318 135.36646778912 -782.6146807124</t>
  </si>
  <si>
    <t>-497.763687384931 119.73142613101 -495.206559410505</t>
  </si>
  <si>
    <t>-313.474974312132 73.3291310924844 -317.64938373683</t>
  </si>
  <si>
    <t>-672.968641722584 127.012019061607 -236.736958266344</t>
  </si>
  <si>
    <t>-580.01490432184 198.526978974201 203.607153844225</t>
  </si>
  <si>
    <t>-529.42419765068 255.086592127077 666.891724619357</t>
  </si>
  <si>
    <t>-374.43367206952 240.453404618988 748.789981241457</t>
  </si>
  <si>
    <t>-706.19267003929 -34.4334381612516 220.981465997556</t>
  </si>
  <si>
    <t>-708.565111826101 20.7691099486174 688.106499577175</t>
  </si>
  <si>
    <t>-580.484736856329 -66.9191783402418 770.869372136005</t>
  </si>
  <si>
    <t>9763-20170724T160725.088388300.bin</t>
  </si>
  <si>
    <t>-688.018524255262 32.3031499256158 -235.351759611403</t>
  </si>
  <si>
    <t>-705.752426163436 33.7518495524557 -355.148400820222</t>
  </si>
  <si>
    <t>-712.858176265501 24.9652158263129 -475.825171744587</t>
  </si>
  <si>
    <t>-715.131930896598 12.5840019017476 -584.620275662933</t>
  </si>
  <si>
    <t>-698.290041786198 8.8202537347222 -781.216307721721</t>
  </si>
  <si>
    <t>-627.249485946558 137.567360764278 -781.593838784138</t>
  </si>
  <si>
    <t>-502.827217316818 124.424166300844 -490.849030803083</t>
  </si>
  <si>
    <t>-318.694421666513 75.8563319121304 -313.709681371585</t>
  </si>
  <si>
    <t>-672.044790122676 127.59793975728 -236.309602832405</t>
  </si>
  <si>
    <t>-579.577985592268 198.624866908189 204.215919962313</t>
  </si>
  <si>
    <t>-529.411054981352 255.132836025076 667.650294183007</t>
  </si>
  <si>
    <t>-374.458012114944 240.466313243358 749.613586174007</t>
  </si>
  <si>
    <t>-706.2820836129 -33.9506414508442 221.067800047702</t>
  </si>
  <si>
    <t>-708.442797647529 20.7013072538912 688.130585049515</t>
  </si>
  <si>
    <t>-580.52960534499 -67.1862650399951 770.940601059823</t>
  </si>
  <si>
    <t>9763-20170724T160725.156583400.bin</t>
  </si>
  <si>
    <t>-688.333243218871 32.8467093325025 -234.985900203146</t>
  </si>
  <si>
    <t>-705.956250284568 34.3420047393906 -354.798305800402</t>
  </si>
  <si>
    <t>-712.690560406704 25.7035625751996 -475.506946086153</t>
  </si>
  <si>
    <t>-714.518968634791 13.4921175459995 -584.329697720267</t>
  </si>
  <si>
    <t>-696.730176112771 10.1695190455121 -780.843739774167</t>
  </si>
  <si>
    <t>-626.626790421242 139.421685116882 -780.634910265944</t>
  </si>
  <si>
    <t>-508.02171823544 128.483510816187 -487.37841390228</t>
  </si>
  <si>
    <t>-324.557900434279 77.1765155094665 -310.317185402642</t>
  </si>
  <si>
    <t>-672.595240823025 128.145958883317 -235.769204506083</t>
  </si>
  <si>
    <t>-579.659951640506 198.774142110961 204.721886278881</t>
  </si>
  <si>
    <t>-529.476228046912 255.093615734643 668.23416435784</t>
  </si>
  <si>
    <t>-374.496634222034 240.443918947346 750.150040263333</t>
  </si>
  <si>
    <t>-706.457968925338 -33.7163219408105 221.256629007377</t>
  </si>
  <si>
    <t>-708.369208622912 20.6216551429638 688.234384859627</t>
  </si>
  <si>
    <t>-580.522131125113 -67.351783664272 771.055342059033</t>
  </si>
  <si>
    <t>9763-20170724T160725.189669500.bin</t>
  </si>
  <si>
    <t>-688.625461961942 32.8303261183921 -234.75310296803</t>
  </si>
  <si>
    <t>-706.218075862021 34.3762826009504 -354.569334590936</t>
  </si>
  <si>
    <t>-712.828586572038 25.8528194408182 -475.293049401477</t>
  </si>
  <si>
    <t>-714.505440811782 13.7687434065897 -584.1323922034</t>
  </si>
  <si>
    <t>-696.421274537979 10.7601282881865 -780.621656969726</t>
  </si>
  <si>
    <t>-626.723419522745 140.22739728026 -780.182393910197</t>
  </si>
  <si>
    <t>-509.742715666618 129.896209175298 -486.252157190144</t>
  </si>
  <si>
    <t>-326.539354946474 77.4463810588313 -309.256072053265</t>
  </si>
  <si>
    <t>-673.050767048305 128.203719136945 -235.469404339786</t>
  </si>
  <si>
    <t>-580.07520425135 198.965409836499 204.991728473441</t>
  </si>
  <si>
    <t>-529.523928413016 255.12385779203 668.467557779051</t>
  </si>
  <si>
    <t>-374.522274648379 240.491711833693 750.344871784529</t>
  </si>
  <si>
    <t>-706.500420118991 -33.8032876621608 221.363478461723</t>
  </si>
  <si>
    <t>-708.359921512827 20.5769633572233 688.299846293725</t>
  </si>
  <si>
    <t>-580.486455643593 -67.3678134967599 771.110468672619</t>
  </si>
  <si>
    <t>9763-20170724T160725.226274700.bin</t>
  </si>
  <si>
    <t>-688.947307702133 32.7329749786356 -234.576857201493</t>
  </si>
  <si>
    <t>-706.50615650768 34.306834192256 -354.397637813212</t>
  </si>
  <si>
    <t>-713.038044156381 25.8921634619915 -475.133353554199</t>
  </si>
  <si>
    <t>-714.623442506401 13.9376446754686 -583.988340597911</t>
  </si>
  <si>
    <t>-696.395372134672 11.2648857681149 -780.466518670529</t>
  </si>
  <si>
    <t>-627.116850211338 140.976426821596 -779.818311373812</t>
  </si>
  <si>
    <t>-510.630609155025 131.057458735464 -485.677550649541</t>
  </si>
  <si>
    <t>-327.3297725979 77.8284248809773 -309.015409724641</t>
  </si>
  <si>
    <t>-673.541919122214 128.284110924886 -235.249307006298</t>
  </si>
  <si>
    <t>-580.661191210356 199.034983862258 205.233547560418</t>
  </si>
  <si>
    <t>-529.564321383999 255.135200706973 668.676155911877</t>
  </si>
  <si>
    <t>-374.530804689607 240.583663123692 750.507495496235</t>
  </si>
  <si>
    <t>-706.583399526207 -33.9501235778343 221.465141679342</t>
  </si>
  <si>
    <t>-708.377954934944 20.5202059624387 688.358851873736</t>
  </si>
  <si>
    <t>-580.42056559514 -67.3170502286202 771.154003086367</t>
  </si>
  <si>
    <t>9763-20170724T160725.291945500.bin</t>
  </si>
  <si>
    <t>-690.139142987889 32.2936931982129 -234.254345142703</t>
  </si>
  <si>
    <t>-707.604899318522 33.9342771082238 -354.08794930861</t>
  </si>
  <si>
    <t>-714.065548009241 25.6782103029827 -474.838334505884</t>
  </si>
  <si>
    <t>-715.591969339274 13.9052761136691 -583.71398824791</t>
  </si>
  <si>
    <t>-697.3757424621 11.6974837591661 -780.197483005495</t>
  </si>
  <si>
    <t>-628.831946557963 141.789454161067 -779.370510919998</t>
  </si>
  <si>
    <t>-512.61377721746 132.217817190374 -485.112301398685</t>
  </si>
  <si>
    <t>-329.003946984245 77.8911989543842 -309.106403759021</t>
  </si>
  <si>
    <t>-675.218086686039 127.977105049153 -234.734410378936</t>
  </si>
  <si>
    <t>-582.223580333769 199.159502800316 205.654882804518</t>
  </si>
  <si>
    <t>-529.6738391132 255.226132739531 669.021611207811</t>
  </si>
  <si>
    <t>-374.581523957268 240.654962805939 750.738010472476</t>
  </si>
  <si>
    <t>-707.151277423688 -34.275920561083 221.646947514593</t>
  </si>
  <si>
    <t>-708.392440442022 20.4271203636895 688.457802302812</t>
  </si>
  <si>
    <t>-580.338190155123 -67.2944705052209 771.225774057699</t>
  </si>
  <si>
    <t>9763-20170724T160725.325037200.bin</t>
  </si>
  <si>
    <t>-690.799763770015 31.86635384583 -234.115692231516</t>
  </si>
  <si>
    <t>-708.231213027012 33.5611559162264 -353.953468202164</t>
  </si>
  <si>
    <t>-714.671212056077 25.3868282627766 -474.710480179907</t>
  </si>
  <si>
    <t>-716.182723975162 13.6999529220918 -583.595720106118</t>
  </si>
  <si>
    <t>-697.977791743228 11.6923680114342 -780.08163062649</t>
  </si>
  <si>
    <t>-629.689341631366 141.91551285691 -779.196156122997</t>
  </si>
  <si>
    <t>-513.388512602276 132.973708107763 -484.950712377956</t>
  </si>
  <si>
    <t>-329.624897000256 78.4150469212141 -309.177278807693</t>
  </si>
  <si>
    <t>-675.909653482754 127.598085532737 -234.527251010347</t>
  </si>
  <si>
    <t>-582.990516140424 198.972095929447 205.846924681719</t>
  </si>
  <si>
    <t>-529.724236373123 255.208839193005 669.154871861186</t>
  </si>
  <si>
    <t>-374.589600945287 240.740681948063 750.809268260297</t>
  </si>
  <si>
    <t>-707.581733298091 -34.5041493747992 221.713133850915</t>
  </si>
  <si>
    <t>-708.41196359471 20.3672455511739 688.488895464769</t>
  </si>
  <si>
    <t>-580.318897124111 -67.3018366845333 771.252484134733</t>
  </si>
  <si>
    <t>9763-20170724T160725.389210400.bin</t>
  </si>
  <si>
    <t>-691.948784280407 30.7659460195914 -233.869500554619</t>
  </si>
  <si>
    <t>-709.31625211919 32.5899827246581 -353.714683086269</t>
  </si>
  <si>
    <t>-715.74223787353 24.5935285813848 -474.484346601533</t>
  </si>
  <si>
    <t>-717.255343087357 13.0919341088952 -583.389326613691</t>
  </si>
  <si>
    <t>-699.089865158914 11.4942394793179 -779.880077213013</t>
  </si>
  <si>
    <t>-631.01454902445 141.827769746192 -778.823317112097</t>
  </si>
  <si>
    <t>-515.726110292016 133.477198899348 -484.162408302432</t>
  </si>
  <si>
    <t>-331.468481488304 78.554490733545 -309.020595679761</t>
  </si>
  <si>
    <t>-676.979486659645 126.562591740268 -234.14050417543</t>
  </si>
  <si>
    <t>-584.054944517484 198.456403231263 206.147973197344</t>
  </si>
  <si>
    <t>-529.828398668929 255.149427078133 669.357253957173</t>
  </si>
  <si>
    <t>-374.637702028169 240.66999741724 750.903067654423</t>
  </si>
  <si>
    <t>-708.608327205867 -35.0607092062212 221.823805200556</t>
  </si>
  <si>
    <t>-708.379373767512 20.2819573586805 688.510777564478</t>
  </si>
  <si>
    <t>-580.34193252117 -67.4452053682212 771.298889949119</t>
  </si>
  <si>
    <t>9763-20170724T160725.425310300.bin</t>
  </si>
  <si>
    <t>-692.375885993644 30.0579434894489 -233.737287379832</t>
  </si>
  <si>
    <t>-709.716830029615 31.9422968272472 -353.585296815023</t>
  </si>
  <si>
    <t>-716.168129906579 24.0260094311056 -474.358965187068</t>
  </si>
  <si>
    <t>-717.721342138821 12.6087558361946 -583.272177939336</t>
  </si>
  <si>
    <t>-699.652393325022 11.1958422545304 -779.772008260494</t>
  </si>
  <si>
    <t>-631.617615990745 141.567044720357 -778.736499541197</t>
  </si>
  <si>
    <t>-516.81624481527 133.753081142907 -483.870805325809</t>
  </si>
  <si>
    <t>-332.608050381889 78.0988117610693 -308.90795070378</t>
  </si>
  <si>
    <t>-677.289248116617 125.818730589676 -233.976694141708</t>
  </si>
  <si>
    <t>-584.111682577424 198.004057690111 206.210665159493</t>
  </si>
  <si>
    <t>-529.874096503186 255.223794649436 669.372827191082</t>
  </si>
  <si>
    <t>-374.68730068881 240.597590272151 750.899815954601</t>
  </si>
  <si>
    <t>-708.974717126603 -35.3990962406099 221.879201452229</t>
  </si>
  <si>
    <t>-708.332226854074 20.248711707633 688.503771585623</t>
  </si>
  <si>
    <t>-580.458904926258 -67.6895069197885 771.321627035362</t>
  </si>
  <si>
    <t>9763-20170724T160725.490426100.bin</t>
  </si>
  <si>
    <t>-693.091797479877 28.4623569721778 -233.482045266742</t>
  </si>
  <si>
    <t>-710.566928705136 30.5031728618451 -353.307987033932</t>
  </si>
  <si>
    <t>-717.218588530045 22.68783338148 -474.077363056425</t>
  </si>
  <si>
    <t>-718.97478385158 11.3456902266441 -582.995335543012</t>
  </si>
  <si>
    <t>-701.260889323234 10.021813008032 -779.528673816337</t>
  </si>
  <si>
    <t>-633.114841967752 140.315283304247 -778.64824852578</t>
  </si>
  <si>
    <t>-520.060480693912 134.04500389597 -483.071558627874</t>
  </si>
  <si>
    <t>-335.757642163466 77.0130516587049 -308.652874636663</t>
  </si>
  <si>
    <t>-677.751696386026 124.126205860651 -233.672594121049</t>
  </si>
  <si>
    <t>-583.919788114907 196.905705762063 206.277812831203</t>
  </si>
  <si>
    <t>-529.898014288194 255.259314481359 669.291339168915</t>
  </si>
  <si>
    <t>-374.704183208813 240.60601885822 750.799824471086</t>
  </si>
  <si>
    <t>-709.341946483966 -36.2372133901476 222.026305394371</t>
  </si>
  <si>
    <t>-708.240401831174 20.2103557662815 688.506852406895</t>
  </si>
  <si>
    <t>-580.651012770716 -68.0900921847876 771.377214991454</t>
  </si>
  <si>
    <t>9763-20170724T160725.524008600.bin</t>
  </si>
  <si>
    <t>-693.501592251417 27.6281618926446 -233.369898624692</t>
  </si>
  <si>
    <t>-711.111982579258 29.7713781521859 -353.174309299405</t>
  </si>
  <si>
    <t>-717.908255901488 22.0312087187303 -473.94034505338</t>
  </si>
  <si>
    <t>-719.795721584041 10.7488664894552 -582.862399189081</t>
  </si>
  <si>
    <t>-702.286074430846 9.5077453620263 -779.414201775297</t>
  </si>
  <si>
    <t>-633.973205467304 139.720786593103 -778.556335911616</t>
  </si>
  <si>
    <t>-522.018054932771 133.739005126234 -482.555589492327</t>
  </si>
  <si>
    <t>-337.925376491026 76.1042699510258 -308.113136189148</t>
  </si>
  <si>
    <t>-677.977839178773 123.301119948178 -233.536358547733</t>
  </si>
  <si>
    <t>-583.772411265123 196.394932811617 206.282077684359</t>
  </si>
  <si>
    <t>-529.910326773608 255.260929910827 669.251318543157</t>
  </si>
  <si>
    <t>-374.71358852841 240.547181203297 750.743658422162</t>
  </si>
  <si>
    <t>-709.489232333298 -36.721691287828 222.10070424602</t>
  </si>
  <si>
    <t>-708.214391717813 20.1998524822961 688.520350062868</t>
  </si>
  <si>
    <t>-580.722005230372 -68.2344450557632 771.397236085828</t>
  </si>
  <si>
    <t>9763-20170724T160725.591703100.bin</t>
  </si>
  <si>
    <t>-694.357447082071 26.0789544893357 -233.16869044895</t>
  </si>
  <si>
    <t>-712.144891977397 28.30569300914 -352.94543348776</t>
  </si>
  <si>
    <t>-719.257784896546 20.6757804883264 -473.700409397219</t>
  </si>
  <si>
    <t>-721.479701163143 9.51228072720505 -582.628217765279</t>
  </si>
  <si>
    <t>-704.638022327084 8.53502738393763 -779.238018528017</t>
  </si>
  <si>
    <t>-636.091001985536 138.632928321416 -778.452112396898</t>
  </si>
  <si>
    <t>-526.806441341797 132.625663128401 -481.45548551816</t>
  </si>
  <si>
    <t>-342.989081933914 74.8699605775073 -306.762938632036</t>
  </si>
  <si>
    <t>-678.433340296466 121.718269440217 -233.341231913425</t>
  </si>
  <si>
    <t>-583.417937853207 195.242287969086 206.231302467191</t>
  </si>
  <si>
    <t>-529.931333360039 255.225375763084 669.113038366198</t>
  </si>
  <si>
    <t>-374.725670218199 240.435481962962 750.574459432062</t>
  </si>
  <si>
    <t>-709.866297877872 -37.6054638951125 222.26747143205</t>
  </si>
  <si>
    <t>-708.219447974255 20.1585655603869 688.547513414769</t>
  </si>
  <si>
    <t>-580.831634408464 -68.4204662707421 771.430632217901</t>
  </si>
  <si>
    <t>9763-20170724T160725.621328600.bin</t>
  </si>
  <si>
    <t>-694.722492875244 25.3217065354861 -233.133294591576</t>
  </si>
  <si>
    <t>-712.620189189086 27.5811566899349 -352.892810721283</t>
  </si>
  <si>
    <t>-719.913233869127 20.0166379793047 -473.641255371476</t>
  </si>
  <si>
    <t>-722.321106779723 8.92998659999012 -582.572994673141</t>
  </si>
  <si>
    <t>-705.845784687385 8.13625514141881 -779.212961262336</t>
  </si>
  <si>
    <t>-637.218635898787 138.18506238567 -778.340319554493</t>
  </si>
  <si>
    <t>-529.129231079142 132.033545628278 -480.909506841087</t>
  </si>
  <si>
    <t>-345.132173257293 74.4589118164511 -306.346419436824</t>
  </si>
  <si>
    <t>-678.667402132756 120.961575244005 -233.308960304704</t>
  </si>
  <si>
    <t>-583.221294046823 194.719131430774 206.131027223324</t>
  </si>
  <si>
    <t>-529.914029819219 255.203880623259 668.984775173005</t>
  </si>
  <si>
    <t>-374.716479394272 240.414117772576 750.461766347134</t>
  </si>
  <si>
    <t>-710.022937280291 -38.001782402753 222.328865378783</t>
  </si>
  <si>
    <t>-708.198109313145 20.1488203059785 688.546883511059</t>
  </si>
  <si>
    <t>-580.945767447986 -68.6065294756613 771.449469648712</t>
  </si>
  <si>
    <t>9763-20170724T160725.691877400.bin</t>
  </si>
  <si>
    <t>-695.565600007422 23.8599507793001 -233.002843826339</t>
  </si>
  <si>
    <t>-713.768977451384 26.1598539883119 -352.715706447417</t>
  </si>
  <si>
    <t>-721.425918993431 18.6803178789678 -473.446790288326</t>
  </si>
  <si>
    <t>-724.176724349523 7.69557823934997 -582.380886143157</t>
  </si>
  <si>
    <t>-708.348406768393 7.16290932690958 -779.071695359994</t>
  </si>
  <si>
    <t>-639.628463712252 137.166984768543 -778.068148829791</t>
  </si>
  <si>
    <t>-532.545809953438 130.649398703691 -480.281414861951</t>
  </si>
  <si>
    <t>-348.474049564693 72.635727285463 -305.942364075972</t>
  </si>
  <si>
    <t>-679.145299316848 119.467899672992 -233.239913925965</t>
  </si>
  <si>
    <t>-582.720964747507 193.626058965945 205.918958708966</t>
  </si>
  <si>
    <t>-529.89010040466 255.155504770498 668.710823279419</t>
  </si>
  <si>
    <t>-374.706345228868 240.307428077339 750.203663988054</t>
  </si>
  <si>
    <t>-710.328769440251 -38.8348871541864 222.481093547086</t>
  </si>
  <si>
    <t>-708.23423929048 20.1202550355595 688.582397324064</t>
  </si>
  <si>
    <t>-581.099633198906 -68.8106434836204 771.477480331968</t>
  </si>
  <si>
    <t>9763-20170724T160725.792044000.bin</t>
  </si>
  <si>
    <t>-696.877151843569 22.2949263813098 -232.789969224026</t>
  </si>
  <si>
    <t>-715.435227984322 24.7616997617333 -352.445089183703</t>
  </si>
  <si>
    <t>-723.499296251776 17.3943196429577 -473.156498845222</t>
  </si>
  <si>
    <t>-726.635596472117 6.49253732887996 -582.088313312249</t>
  </si>
  <si>
    <t>-711.549448987968 6.07557280453284 -778.840196684216</t>
  </si>
  <si>
    <t>-642.836851119536 136.090958816838 -778.126238957616</t>
  </si>
  <si>
    <t>-535.433376290229 130.157116560185 -480.442795145595</t>
  </si>
  <si>
    <t>-351.231264514882 72.3060983342566 -306.187655658481</t>
  </si>
  <si>
    <t>-680.377491403329 117.969755440629 -232.983733299833</t>
  </si>
  <si>
    <t>-582.443057656991 192.63181632325 205.755440563581</t>
  </si>
  <si>
    <t>-529.861328507875 255.105296980413 668.44254286786</t>
  </si>
  <si>
    <t>-374.682219390917 240.251632346585 749.942862387435</t>
  </si>
  <si>
    <t>-710.955694911625 -39.6964057030016 222.607420086348</t>
  </si>
  <si>
    <t>-708.346955966666 20.0551639872131 688.616790239001</t>
  </si>
  <si>
    <t>-581.121173611544 -68.7788804746638 771.475825338334</t>
  </si>
  <si>
    <t>9763-20170724T160725.822663600.bin</t>
  </si>
  <si>
    <t>-698.416325799545 20.8672148170265 -232.592652941082</t>
  </si>
  <si>
    <t>-717.139783551888 23.3621598154177 -352.221238995281</t>
  </si>
  <si>
    <t>-725.474951328212 15.987329027211 -472.913830293807</t>
  </si>
  <si>
    <t>-728.898052836602 5.06766960479945 -581.83543115562</t>
  </si>
  <si>
    <t>-714.403626924071 4.58494176928639 -778.63394305535</t>
  </si>
  <si>
    <t>-645.595130442812 134.556976487049 -778.38314529476</t>
  </si>
  <si>
    <t>-538.245462384474 129.850738066869 -480.658268779263</t>
  </si>
  <si>
    <t>-354.219085514429 71.6599282492239 -306.330413203783</t>
  </si>
  <si>
    <t>-681.689877272481 116.499870359404 -232.785186959107</t>
  </si>
  <si>
    <t>-582.510056565364 191.666537776122 205.587994566352</t>
  </si>
  <si>
    <t>-529.842036724761 254.991105591319 668.163494673184</t>
  </si>
  <si>
    <t>-374.650445178752 240.25586381321 749.661754692107</t>
  </si>
  <si>
    <t>-711.965128631766 -40.5211566225159 222.743649028635</t>
  </si>
  <si>
    <t>-708.481393427566 19.9629569590413 688.635407094763</t>
  </si>
  <si>
    <t>-581.132208857779 -68.7257358768588 771.460599273911</t>
  </si>
  <si>
    <t>9763-20170724T160725.910404300.bin</t>
  </si>
  <si>
    <t>-700.160761787366 19.4126079865591 -232.449514659356</t>
  </si>
  <si>
    <t>-719.116760692135 21.9561384631972 -352.040493757123</t>
  </si>
  <si>
    <t>-727.817797030368 14.5478178620679 -472.705187945431</t>
  </si>
  <si>
    <t>-731.623682405008 3.57025822800529 -581.60809012119</t>
  </si>
  <si>
    <t>-717.940534245434 2.92273157060049 -778.469165623061</t>
  </si>
  <si>
    <t>-649.211501602433 132.92268984233 -778.746050379716</t>
  </si>
  <si>
    <t>-542.449326860385 129.362948708082 -480.794046094482</t>
  </si>
  <si>
    <t>-358.288821564915 71.7630424657007 -306.411749500844</t>
  </si>
  <si>
    <t>-683.317224142238 115.199364754856 -232.685334548372</t>
  </si>
  <si>
    <t>-583.194826788766 190.951582408448 205.372612067549</t>
  </si>
  <si>
    <t>-529.810381033601 254.968257138961 667.797135936137</t>
  </si>
  <si>
    <t>-374.620699915193 240.229988014928 749.298243690632</t>
  </si>
  <si>
    <t>-713.177964947947 -41.3511120577816 222.852412966359</t>
  </si>
  <si>
    <t>-708.695214169652 19.8074591362495 688.64166513886</t>
  </si>
  <si>
    <t>-581.12063373504 -68.5896880125588 771.431625990879</t>
  </si>
  <si>
    <t>9763-20170724T160725.922451800.bin</t>
  </si>
  <si>
    <t>-700.481170603534 19.1666544853229 -232.418202589716</t>
  </si>
  <si>
    <t>-719.481369351194 21.7064088130787 -352.002352352037</t>
  </si>
  <si>
    <t>-728.258270590987 14.291432124071 -472.661056432722</t>
  </si>
  <si>
    <t>-732.144754460074 3.30799753709061 -581.560754514432</t>
  </si>
  <si>
    <t>-718.644565035063 2.65599163883485 -778.43487662191</t>
  </si>
  <si>
    <t>-649.949716787847 132.678242251877 -778.799081530713</t>
  </si>
  <si>
    <t>-543.246227325841 129.260940274087 -480.824434202074</t>
  </si>
  <si>
    <t>-359.092483605296 71.7534137836178 -306.40432547798</t>
  </si>
  <si>
    <t>-683.675540331969 114.945470134099 -232.659468366954</t>
  </si>
  <si>
    <t>-583.335854867068 190.842471519923 205.323633699075</t>
  </si>
  <si>
    <t>-529.803797046407 254.912475137174 667.717544072585</t>
  </si>
  <si>
    <t>-374.614297006949 240.195768070759 749.223038114195</t>
  </si>
  <si>
    <t>-713.345110245711 -41.4973326069758 222.877217829568</t>
  </si>
  <si>
    <t>-708.6871346437 19.8140795101915 688.641625927353</t>
  </si>
  <si>
    <t>-581.152747127692 -68.6437296049905 771.42873723385</t>
  </si>
  <si>
    <t>9763-20170724T160725.993638900.bin</t>
  </si>
  <si>
    <t>-701.735522815766 18.242787952214 -232.311621192811</t>
  </si>
  <si>
    <t>-720.973347433095 20.8126754454429 -351.856924958618</t>
  </si>
  <si>
    <t>-730.044902471631 13.3809950118507 -472.493073757565</t>
  </si>
  <si>
    <t>-734.219037427097 2.36658467296911 -581.378787700764</t>
  </si>
  <si>
    <t>-721.338641136345 1.64227547010137 -778.297786884564</t>
  </si>
  <si>
    <t>-652.874086781776 131.780269866367 -779.056180523612</t>
  </si>
  <si>
    <t>-546.464280154993 129.219164112057 -480.968036769995</t>
  </si>
  <si>
    <t>-362.327668190584 71.9539321932807 -306.450245647922</t>
  </si>
  <si>
    <t>-684.922641623926 114.103212643082 -232.571810320128</t>
  </si>
  <si>
    <t>-583.75367857283 190.292566611605 205.169791231878</t>
  </si>
  <si>
    <t>-529.764436504392 254.849262327874 667.419246219496</t>
  </si>
  <si>
    <t>-374.57969968473 240.199762398986 748.945873357883</t>
  </si>
  <si>
    <t>-714.030461811386 -42.050734240253 222.972589336088</t>
  </si>
  <si>
    <t>-708.808747550397 19.7606967047891 688.663680668575</t>
  </si>
  <si>
    <t>-581.141702664163 -68.5373686437667 771.416860400655</t>
  </si>
  <si>
    <t>9763-20170724T160726.023224600.bin</t>
  </si>
  <si>
    <t>-702.342459038589 17.8302191629386 -232.266412970369</t>
  </si>
  <si>
    <t>-721.670968575562 20.4260668735794 -351.796597067118</t>
  </si>
  <si>
    <t>-730.85913253352 12.9959763517875 -472.423945009446</t>
  </si>
  <si>
    <t>-735.148621784659 1.97443041848237 -581.30447654276</t>
  </si>
  <si>
    <t>-722.523830668904 1.22630411891373 -778.2416979434</t>
  </si>
  <si>
    <t>-654.178057028276 131.421739516457 -779.20395169122</t>
  </si>
  <si>
    <t>-548.119061795905 129.229429143795 -480.987805863552</t>
  </si>
  <si>
    <t>-363.930479486808 72.12265181867 -306.473010954844</t>
  </si>
  <si>
    <t>-685.517595814077 113.736734169797 -232.522525612591</t>
  </si>
  <si>
    <t>-583.869335101952 190.083670651702 205.080515245383</t>
  </si>
  <si>
    <t>-529.75928126344 254.832711933929 667.309682706599</t>
  </si>
  <si>
    <t>-374.568643935652 240.182777292506 748.82513897448</t>
  </si>
  <si>
    <t>-714.396564833973 -42.296386356692 222.998159847555</t>
  </si>
  <si>
    <t>-708.890874024425 19.7189698701845 688.669264278806</t>
  </si>
  <si>
    <t>-581.136622549725 -68.4710235798698 771.403093324074</t>
  </si>
  <si>
    <t>9763-20170724T160726.092791400.bin</t>
  </si>
  <si>
    <t>-703.429289563201 17.1631550125792 -232.200911243825</t>
  </si>
  <si>
    <t>-722.920962341733 19.7794454147106 -351.704266998559</t>
  </si>
  <si>
    <t>-732.332662720605 12.3471466528149 -472.314097804708</t>
  </si>
  <si>
    <t>-736.847555720311 1.31658533396558 -581.18470036952</t>
  </si>
  <si>
    <t>-724.723625613604 0.552116414189868 -778.155826297033</t>
  </si>
  <si>
    <t>-656.521441284174 130.823122794131 -779.432822908375</t>
  </si>
  <si>
    <t>-551.114075413381 129.37758207613 -480.981337621173</t>
  </si>
  <si>
    <t>-367.020866425851 72.7604120982339 -306.206486159192</t>
  </si>
  <si>
    <t>-686.627270911471 113.098836127598 -232.444291899145</t>
  </si>
  <si>
    <t>-584.191231964653 189.680715271487 204.933906508789</t>
  </si>
  <si>
    <t>-529.74564890911 254.711439674562 667.077624874515</t>
  </si>
  <si>
    <t>-374.541719873663 240.213850879392 748.594916930141</t>
  </si>
  <si>
    <t>-715.122825674288 -42.6516109273441 223.031170477038</t>
  </si>
  <si>
    <t>-709.027161124887 19.6400462956199 688.666270329627</t>
  </si>
  <si>
    <t>-581.12893984974 -68.3700366541427 771.369247271171</t>
  </si>
  <si>
    <t>9763-20170724T160726.126378900.bin</t>
  </si>
  <si>
    <t>-703.854813744776 16.9404982239903 -232.194474392324</t>
  </si>
  <si>
    <t>-723.418559009202 19.5632111561713 -351.685755141752</t>
  </si>
  <si>
    <t>-732.953137806767 12.1236404193066 -472.285494413118</t>
  </si>
  <si>
    <t>-737.597875348785 1.08378551781038 -581.149744655865</t>
  </si>
  <si>
    <t>-725.788159517818 0.313140048843024 -778.141507475895</t>
  </si>
  <si>
    <t>-657.692839591702 130.641471334573 -779.602129131429</t>
  </si>
  <si>
    <t>-552.570943934816 129.636770072911 -481.048065410597</t>
  </si>
  <si>
    <t>-368.559482459175 73.367296974083 -306.074925181543</t>
  </si>
  <si>
    <t>-687.112139398477 112.914315953773 -232.443615644901</t>
  </si>
  <si>
    <t>-584.266974433948 189.568654690667 204.825904668906</t>
  </si>
  <si>
    <t>-529.723059306212 254.640112150697 666.945666608055</t>
  </si>
  <si>
    <t>-374.525267446359 240.202506099284 748.485320309669</t>
  </si>
  <si>
    <t>-715.34124570672 -42.7826596182529 223.035709472324</t>
  </si>
  <si>
    <t>-709.049291700636 19.6241636685877 688.654663425653</t>
  </si>
  <si>
    <t>-581.172243740336 -68.4140921668018 771.360381425049</t>
  </si>
  <si>
    <t>9763-20170724T160726.159972100.bin</t>
  </si>
  <si>
    <t>-704.214985244122 16.7330191877036 -232.190019651569</t>
  </si>
  <si>
    <t>-723.841249062019 19.3583684302209 -351.67111624944</t>
  </si>
  <si>
    <t>-733.474997351319 11.8872363898315 -472.261121659761</t>
  </si>
  <si>
    <t>-738.223047600973 0.807606191802506 -581.116636738287</t>
  </si>
  <si>
    <t>-658.743999979238 130.363193482526 -779.803578829439</t>
  </si>
  <si>
    <t>-553.872944125327 129.900254564888 -481.159896265786</t>
  </si>
  <si>
    <t>-369.907855195453 74.0386538871455 -306.007422470532</t>
  </si>
  <si>
    <t>-687.468557988922 112.686251899372 -232.455772695472</t>
  </si>
  <si>
    <t>-584.31625290623 189.37428036857 204.735420937271</t>
  </si>
  <si>
    <t>-529.695831334016 254.55008314737 666.822272947043</t>
  </si>
  <si>
    <t>-374.504040905405 240.204467393306 748.389473780546</t>
  </si>
  <si>
    <t>-715.523201429112 -42.9296445391408 223.038141541177</t>
  </si>
  <si>
    <t>-709.099695534085 19.5888670620323 688.642082410595</t>
  </si>
  <si>
    <t>-581.1594823168 -68.3577748783389 771.347602557332</t>
  </si>
  <si>
    <t>9763-20170724T160726.222138900.bin</t>
  </si>
  <si>
    <t>-704.804517755515 16.4079949691079 -232.286782144659</t>
  </si>
  <si>
    <t>-724.616292453517 19.020903071879 -351.737572943802</t>
  </si>
  <si>
    <t>-734.500867808187 11.5141184095635 -472.304992272748</t>
  </si>
  <si>
    <t>-739.50202384138 0.394141239305554 -581.145180097087</t>
  </si>
  <si>
    <t>-660.57763581363 129.877822202998 -780.265010801771</t>
  </si>
  <si>
    <t>-556.438203247463 130.796988711071 -481.366447714376</t>
  </si>
  <si>
    <t>-372.794447301855 75.2931663696256 -305.76368595917</t>
  </si>
  <si>
    <t>-688.130757501465 112.376291110885 -232.60534527651</t>
  </si>
  <si>
    <t>-584.629497505674 189.029426576672 204.509628626435</t>
  </si>
  <si>
    <t>-529.639359015634 253.825413573278 666.548688371885</t>
  </si>
  <si>
    <t>-374.458907770777 240.065662828997 748.238238068374</t>
  </si>
  <si>
    <t>-715.829808867788 -43.065284415891 222.981240270917</t>
  </si>
  <si>
    <t>-709.135249155846 19.5754543061737 688.586112487687</t>
  </si>
  <si>
    <t>-581.195473494173 -68.3663731659356 771.297400814781</t>
  </si>
  <si>
    <t>9763-20170724T160726.291330200.bin</t>
  </si>
  <si>
    <t>-705.464529971814 16.4206856976132 -232.382911758224</t>
  </si>
  <si>
    <t>-725.347187308828 19.0045938745811 -351.822331652453</t>
  </si>
  <si>
    <t>-735.408913203236 11.3965177270084 -472.368870037939</t>
  </si>
  <si>
    <t>-740.614303777543 0.158919805267033 -581.187320627901</t>
  </si>
  <si>
    <t>-662.1223293035 129.322595125576 -780.88157337355</t>
  </si>
  <si>
    <t>-558.869308624331 131.772433723688 -481.684439767609</t>
  </si>
  <si>
    <t>-375.792118715591 76.6539487013742 -305.370090053681</t>
  </si>
  <si>
    <t>-688.966996123062 112.471733324208 -232.797037074674</t>
  </si>
  <si>
    <t>-585.235003963666 188.269686795075 204.412246186728</t>
  </si>
  <si>
    <t>-529.689756667272 251.917063335306 666.458070634485</t>
  </si>
  <si>
    <t>-374.420232335566 239.825950770745 748.242396827556</t>
  </si>
  <si>
    <t>-716.11956610421 -43.0635364266154 222.928338047251</t>
  </si>
  <si>
    <t>-709.210281696056 19.5650830213708 688.568445789215</t>
  </si>
  <si>
    <t>-581.236261492176 -68.3339534898587 771.272294478871</t>
  </si>
  <si>
    <t>9763-20170724T160726.319905900.bin</t>
  </si>
  <si>
    <t>-705.766858922619 16.261596635349 -232.44226134034</t>
  </si>
  <si>
    <t>-725.752895836621 18.8352022364863 -351.864744003298</t>
  </si>
  <si>
    <t>-735.905542683263 11.2078922924816 -472.402382056116</t>
  </si>
  <si>
    <t>-662.931725254023 129.11573002627 -781.090648458736</t>
  </si>
  <si>
    <t>-560.069434405348 132.19465126711 -481.764607420286</t>
  </si>
  <si>
    <t>-377.186504547491 77.2205083391068 -305.203730800195</t>
  </si>
  <si>
    <t>-689.369045865577 112.216923048091 -232.88190486642</t>
  </si>
  <si>
    <t>-585.388545616169 187.844638524478 204.297864744368</t>
  </si>
  <si>
    <t>-529.691274624056 250.885718309105 666.402661518132</t>
  </si>
  <si>
    <t>-374.389411295127 239.815057586598 748.27015327289</t>
  </si>
  <si>
    <t>-716.256975873836 -43.1263793002495 222.898935629385</t>
  </si>
  <si>
    <t>-709.231651940553 19.5645990682256 688.547058997833</t>
  </si>
  <si>
    <t>-581.25299103261 -68.3257900438248 771.252895960407</t>
  </si>
  <si>
    <t>9763-20170724T160726.387587300.bin</t>
  </si>
  <si>
    <t>-706.367395654684 15.839998614468 -232.504331366052</t>
  </si>
  <si>
    <t>-726.441757494844 18.3228373663369 -351.913936686277</t>
  </si>
  <si>
    <t>-736.774854839579 10.7127027211232 -472.437380319549</t>
  </si>
  <si>
    <t>-664.925958295008 129.164291288809 -781.300723543253</t>
  </si>
  <si>
    <t>-562.416860530224 132.862904024534 -481.860541730425</t>
  </si>
  <si>
    <t>-379.557946284529 78.2602380978424 -305.159688772656</t>
  </si>
  <si>
    <t>-690.221838276793 111.872199846353 -232.988903039356</t>
  </si>
  <si>
    <t>-585.555461127995 187.112001169449 204.094081162259</t>
  </si>
  <si>
    <t>-529.647381294492 249.319956788618 666.325776445838</t>
  </si>
  <si>
    <t>-374.313370534724 239.935640452279 748.342792377047</t>
  </si>
  <si>
    <t>-716.534540344202 -43.3288920676798 222.867027181826</t>
  </si>
  <si>
    <t>-709.276045024143 19.5523710096418 688.509047112991</t>
  </si>
  <si>
    <t>-581.244674945681 -68.2575066511993 771.218810509902</t>
  </si>
  <si>
    <t>9763-20170724T160726.425691900.bin</t>
  </si>
  <si>
    <t>-706.626751214427 15.7138161721668 -232.503612386518</t>
  </si>
  <si>
    <t>-726.735015002228 18.138129279821 -351.908832721767</t>
  </si>
  <si>
    <t>-737.219276175714 10.5674828940241 -472.421482710287</t>
  </si>
  <si>
    <t>-666.384276165421 129.536368469785 -781.265202947337</t>
  </si>
  <si>
    <t>-563.733499948662 133.439284032941 -481.876134264089</t>
  </si>
  <si>
    <t>-380.877486795862 78.7722214638879 -305.192179406994</t>
  </si>
  <si>
    <t>-690.76062338057 111.7949542334 -232.997758657019</t>
  </si>
  <si>
    <t>-585.78734009693 186.908615034838 204.033351272419</t>
  </si>
  <si>
    <t>-529.605864497358 248.582943142218 666.277821495825</t>
  </si>
  <si>
    <t>-374.277198745662 239.913650606683 748.383578223554</t>
  </si>
  <si>
    <t>-716.625017098655 -43.400495690652 222.862284354732</t>
  </si>
  <si>
    <t>-709.358603223172 19.4922863520212 688.495124980559</t>
  </si>
  <si>
    <t>-581.265011498838 -68.2205208685359 771.211577525642</t>
  </si>
  <si>
    <t>9763-20170724T160726.459787500.bin</t>
  </si>
  <si>
    <t>-706.802940451969 15.6622635954338 -232.511103487111</t>
  </si>
  <si>
    <t>-726.95757175019 18.0443423852041 -351.909274072022</t>
  </si>
  <si>
    <t>-737.57641854484 10.5229314470755 -472.413413823733</t>
  </si>
  <si>
    <t>-667.623837209338 129.995142429885 -781.200955651733</t>
  </si>
  <si>
    <t>-564.857529930569 134.047498648481 -481.85353844842</t>
  </si>
  <si>
    <t>-381.982573937917 79.3647277221869 -305.194053894916</t>
  </si>
  <si>
    <t>-691.139804843193 111.801533651861 -233.02095753919</t>
  </si>
  <si>
    <t>-586.048254378657 186.641580440126 204.02858291416</t>
  </si>
  <si>
    <t>-529.582760704873 247.903450792399 666.279283994797</t>
  </si>
  <si>
    <t>-374.246652043696 239.905751891205 748.439155184735</t>
  </si>
  <si>
    <t>-716.51336481439 -43.4295277976271 222.852371721214</t>
  </si>
  <si>
    <t>-709.405152515866 19.4676201798361 688.482539218383</t>
  </si>
  <si>
    <t>-581.290224135039 -68.2060436502691 771.207420212994</t>
  </si>
  <si>
    <t>9763-20170724T160726.542011900.bin</t>
  </si>
  <si>
    <t>-707.007018832109 15.6145121575714 -232.511176174118</t>
  </si>
  <si>
    <t>-727.239702997134 17.9868872993745 -351.896302565332</t>
  </si>
  <si>
    <t>-737.984576939602 10.5237524101046 -472.392818379001</t>
  </si>
  <si>
    <t>-668.81140750121 130.492341010498 -781.133109651362</t>
  </si>
  <si>
    <t>-566.090168169385 134.59094963409 -481.770951589926</t>
  </si>
  <si>
    <t>-383.216870015628 79.9702441323207 -305.090320746955</t>
  </si>
  <si>
    <t>-691.644143096058 111.762291721083 -232.992724416908</t>
  </si>
  <si>
    <t>-586.395109513821 186.439006468715 204.046992162604</t>
  </si>
  <si>
    <t>-529.569013562824 247.29485576077 666.302083646588</t>
  </si>
  <si>
    <t>-374.215912064373 239.942325986322 748.489802460884</t>
  </si>
  <si>
    <t>-716.328839570761 -43.4852017864757 222.819120319589</t>
  </si>
  <si>
    <t>-709.429612512003 19.4659236694672 688.40522411247</t>
  </si>
  <si>
    <t>-581.31417466058 -68.1987846677052 771.138782178937</t>
  </si>
  <si>
    <t>9763-20170724T160726.587132800.bin</t>
  </si>
  <si>
    <t>-707.883256071079 15.3874955309288 -232.445204093655</t>
  </si>
  <si>
    <t>-728.316608249079 17.7481895426124 -351.796397992309</t>
  </si>
  <si>
    <t>-739.258844996907 10.3050253616964 -472.276363953227</t>
  </si>
  <si>
    <t>-671.464921413275 130.796723148978 -781.0832524738</t>
  </si>
  <si>
    <t>-570.000204746645 135.780344335105 -481.306103260265</t>
  </si>
  <si>
    <t>-387.116147657101 81.1322287217108 -304.645339111108</t>
  </si>
  <si>
    <t>-693.192385507397 111.661813964566 -232.882962211116</t>
  </si>
  <si>
    <t>-587.270794375993 186.024464155832 204.047879596764</t>
  </si>
  <si>
    <t>-529.474940478289 245.52850408215 666.354379519335</t>
  </si>
  <si>
    <t>-374.093544262821 239.935975560509 748.627488162091</t>
  </si>
  <si>
    <t>-715.825501508932 -43.6802137524439 222.833783873193</t>
  </si>
  <si>
    <t>-709.407110419979 19.5432638343752 688.419662788126</t>
  </si>
  <si>
    <t>-581.525894971608 -68.4296556622428 771.188455356726</t>
  </si>
  <si>
    <t>9763-20170724T160726.625240900.bin</t>
  </si>
  <si>
    <t>-708.327655399004 15.4968924237639 -232.419456186867</t>
  </si>
  <si>
    <t>-728.808900083753 17.8258925704597 -351.763010186207</t>
  </si>
  <si>
    <t>-739.782505273851 10.3371186283725 -472.23734554866</t>
  </si>
  <si>
    <t>-672.179872071285 130.738692198438 -781.163151270462</t>
  </si>
  <si>
    <t>-571.215189753176 136.34524613196 -481.228322345856</t>
  </si>
  <si>
    <t>-388.38459142389 81.6647831090415 -304.522259319013</t>
  </si>
  <si>
    <t>-693.923983119832 111.846926839937 -232.84475093802</t>
  </si>
  <si>
    <t>-587.657870568676 185.892845580054 204.056065417032</t>
  </si>
  <si>
    <t>-529.45170004833 244.738116409183 666.398024230325</t>
  </si>
  <si>
    <t>-374.048365014478 239.881741065026 748.676449568939</t>
  </si>
  <si>
    <t>-715.791175593649 -43.6570789827558 222.861892963226</t>
  </si>
  <si>
    <t>-709.395993518554 19.5818790331564 688.434161750248</t>
  </si>
  <si>
    <t>-581.638043484157 -68.5597072089543 771.213870395494</t>
  </si>
  <si>
    <t>9763-20170724T160726.689412300.bin</t>
  </si>
  <si>
    <t>-709.344835566142 15.6510425567615 -232.319927082805</t>
  </si>
  <si>
    <t>-729.879346412496 17.9775941906632 -351.654412459035</t>
  </si>
  <si>
    <t>-740.880104495966 10.4155612779152 -472.121734278436</t>
  </si>
  <si>
    <t>-673.62631049505 130.620731338027 -781.250848680487</t>
  </si>
  <si>
    <t>-573.085256397187 137.329957760199 -481.196424514602</t>
  </si>
  <si>
    <t>-390.471678470798 83.0543050458446 -304.141389737716</t>
  </si>
  <si>
    <t>-695.273998618797 112.042673942279 -232.717379672869</t>
  </si>
  <si>
    <t>-588.448458702708 185.448277341421 204.155084181745</t>
  </si>
  <si>
    <t>-529.458658635997 242.801573361151 666.553650085393</t>
  </si>
  <si>
    <t>-373.971424199884 239.734974153715 748.759627253566</t>
  </si>
  <si>
    <t>-716.201297216722 -43.6098647491665 222.909465021914</t>
  </si>
  <si>
    <t>-709.468882913979 19.5937530815736 688.45203509405</t>
  </si>
  <si>
    <t>-581.752437886375 -68.6056836789912 771.234155742866</t>
  </si>
  <si>
    <t>9763-20170724T160726.722002200.bin</t>
  </si>
  <si>
    <t>-709.895105660196 15.7081832598378 -232.258170085787</t>
  </si>
  <si>
    <t>-730.399021920447 18.0276690328164 -351.598011631736</t>
  </si>
  <si>
    <t>-741.351349822251 10.4301444572707 -472.067503284685</t>
  </si>
  <si>
    <t>-674.11452333822 130.574558755258 -781.249034414338</t>
  </si>
  <si>
    <t>-573.738047730442 137.685365532285 -481.148690836476</t>
  </si>
  <si>
    <t>-391.295217117069 83.3639670710661 -303.931769442276</t>
  </si>
  <si>
    <t>-695.884195098664 112.168174193022 -232.650188079248</t>
  </si>
  <si>
    <t>-588.85270374512 185.186715840239 204.236746468833</t>
  </si>
  <si>
    <t>-529.498085410947 241.863708407112 666.688802508955</t>
  </si>
  <si>
    <t>-373.939570894874 239.753600172275 748.789826619256</t>
  </si>
  <si>
    <t>-716.445036450645 -43.64756566293 222.944926824218</t>
  </si>
  <si>
    <t>-709.543119524647 19.5801961474704 688.470507612376</t>
  </si>
  <si>
    <t>-581.798418129425 -68.5893483684474 771.240901868403</t>
  </si>
  <si>
    <t>9763-20170724T160726.794698900.bin</t>
  </si>
  <si>
    <t>-710.930518854881 15.5939132483691 -232.118828777217</t>
  </si>
  <si>
    <t>-731.449979690307 17.9031151096399 -351.456226658562</t>
  </si>
  <si>
    <t>-742.379206855952 10.2462512557354 -471.924099456523</t>
  </si>
  <si>
    <t>-675.356826958845 130.291479800447 -781.15460726645</t>
  </si>
  <si>
    <t>-575.414458062587 138.091595077909 -480.926532617984</t>
  </si>
  <si>
    <t>-393.13301280264 83.9634509567195 -303.484609538812</t>
  </si>
  <si>
    <t>-697.130144396775 112.112984421023 -232.489843023239</t>
  </si>
  <si>
    <t>-589.545407864507 184.770083324671 204.321521914634</t>
  </si>
  <si>
    <t>-529.490428242792 240.630142646212 666.8057718128</t>
  </si>
  <si>
    <t>-373.860202312115 239.739375541899 748.79346186979</t>
  </si>
  <si>
    <t>-717.009508304066 -43.7943778920162 223.040749398123</t>
  </si>
  <si>
    <t>-709.721867734454 19.545808204979 688.520562589752</t>
  </si>
  <si>
    <t>-581.872935389932 -68.5022066267695 771.259365721518</t>
  </si>
  <si>
    <t>9763-20170724T160726.823786000.bin</t>
  </si>
  <si>
    <t>-711.394494603369 15.4330053797166 -232.03808634365</t>
  </si>
  <si>
    <t>-731.91158078382 17.7610705534219 -351.37566115292</t>
  </si>
  <si>
    <t>-742.834687322309 10.0990872909754 -471.843622844709</t>
  </si>
  <si>
    <t>-675.934954949546 130.134957635202 -781.105293490228</t>
  </si>
  <si>
    <t>-576.260554128988 138.137845451319 -480.793632107023</t>
  </si>
  <si>
    <t>-394.153258451098 83.9294603416331 -303.19729192184</t>
  </si>
  <si>
    <t>-697.644199887819 111.956065815341 -232.375803145882</t>
  </si>
  <si>
    <t>-589.797328390198 184.576772550882 204.376890831613</t>
  </si>
  <si>
    <t>-529.471612739358 240.451370665007 666.838198779602</t>
  </si>
  <si>
    <t>-373.818657543499 239.797184648407 748.784957611578</t>
  </si>
  <si>
    <t>-717.317081320634 -43.917432553013 223.07881484806</t>
  </si>
  <si>
    <t>-709.795527919566 19.5302852935799 688.535107345164</t>
  </si>
  <si>
    <t>-581.874255667953 -68.4218810695907 771.264060168311</t>
  </si>
  <si>
    <t>9763-20170724T160726.890972300.bin</t>
  </si>
  <si>
    <t>-712.287119389553 15.1470014265615 -231.929048761491</t>
  </si>
  <si>
    <t>-732.913884311427 17.5243240457344 -351.246643882026</t>
  </si>
  <si>
    <t>-743.907465754236 9.87281441077789 -471.70897761788</t>
  </si>
  <si>
    <t>-677.356194911147 129.968301029714 -780.972023453368</t>
  </si>
  <si>
    <t>-578.149837226565 138.263043050337 -480.513189759446</t>
  </si>
  <si>
    <t>-396.427592073092 83.7546533777743 -302.614565791117</t>
  </si>
  <si>
    <t>-698.430150082979 111.7783535476 -232.210213380434</t>
  </si>
  <si>
    <t>-590.37525559564 184.539489395061 204.467699555898</t>
  </si>
  <si>
    <t>-529.42050773768 240.467875312122 666.864592884195</t>
  </si>
  <si>
    <t>-373.740957245645 239.833169731004 748.760683025096</t>
  </si>
  <si>
    <t>-718.003251242441 -44.1775972999783 223.157770622577</t>
  </si>
  <si>
    <t>-710.029205572871 19.4645895319143 688.597231026651</t>
  </si>
  <si>
    <t>-581.765478941142 -68.0518577477408 771.258014844896</t>
  </si>
  <si>
    <t>9763-20170724T160726.922556600.bin</t>
  </si>
  <si>
    <t>-712.775091677574 15.1043880947077 -231.874914072918</t>
  </si>
  <si>
    <t>-733.490534686494 17.4996582726685 -351.176775316789</t>
  </si>
  <si>
    <t>-744.537230854484 9.84742140035178 -471.634180810051</t>
  </si>
  <si>
    <t>-678.180938713952 129.958928212128 -780.887505803351</t>
  </si>
  <si>
    <t>-579.173854773116 138.302475880276 -480.364375669292</t>
  </si>
  <si>
    <t>-397.561514651473 83.9500694030164 -302.305784103604</t>
  </si>
  <si>
    <t>-698.871972840603 111.793776878059 -232.121231914532</t>
  </si>
  <si>
    <t>-590.634643311344 184.482840618095 204.523536427777</t>
  </si>
  <si>
    <t>-529.410941241613 240.426989505698 666.892548936223</t>
  </si>
  <si>
    <t>-373.712658714593 239.860095875301 748.753683815668</t>
  </si>
  <si>
    <t>-718.352570419878 -44.2395294699375 223.207104409199</t>
  </si>
  <si>
    <t>-710.129921209861 19.4588224729359 688.64228757119</t>
  </si>
  <si>
    <t>-581.725406240613 -67.896693053227 771.254697591903</t>
  </si>
  <si>
    <t>9763-20170724T160726.988899800.bin</t>
  </si>
  <si>
    <t>-713.814636247698 14.98483934771 -231.732122828137</t>
  </si>
  <si>
    <t>-734.720069456741 17.4346695126901 -350.999781429062</t>
  </si>
  <si>
    <t>-745.855519338099 9.76348592175668 -471.447758420762</t>
  </si>
  <si>
    <t>-679.745847329135 129.769994953693 -780.709573834529</t>
  </si>
  <si>
    <t>-581.029189861318 138.28197441863 -480.095613547083</t>
  </si>
  <si>
    <t>-399.756141147169 84.0600298820084 -301.652033192894</t>
  </si>
  <si>
    <t>-699.782439075045 111.767780125497 -231.957499674231</t>
  </si>
  <si>
    <t>-591.204513906178 184.477026400203 204.59930566522</t>
  </si>
  <si>
    <t>-529.400004595671 240.491746271326 666.931531888084</t>
  </si>
  <si>
    <t>-373.665557729213 239.828330320072 748.723083345461</t>
  </si>
  <si>
    <t>-719.085951939382 -44.3227800709783 223.3020236361</t>
  </si>
  <si>
    <t>-710.366270347822 19.4044058920399 688.712789568736</t>
  </si>
  <si>
    <t>-581.572335688781 -67.4580118936401 771.238863114954</t>
  </si>
  <si>
    <t>9763-20170724T160727.020964300.bin</t>
  </si>
  <si>
    <t>-714.262503089001 14.9163167658633 -231.640086684522</t>
  </si>
  <si>
    <t>-735.163240021985 17.398190397819 -350.90801964032</t>
  </si>
  <si>
    <t>-746.291885085569 9.71305985716208 -471.35564957109</t>
  </si>
  <si>
    <t>-680.256202891652 129.624261988004 -780.629169583226</t>
  </si>
  <si>
    <t>-581.678260842902 138.334855723329 -479.97537978991</t>
  </si>
  <si>
    <t>-400.547354551441 84.0914937468797 -301.393865403908</t>
  </si>
  <si>
    <t>-700.202771443289 111.755610104626 -231.861142470525</t>
  </si>
  <si>
    <t>-591.51489337475 184.468598395553 204.667720893476</t>
  </si>
  <si>
    <t>-529.40154712305 240.459594327602 666.961121441655</t>
  </si>
  <si>
    <t>-373.642776281284 239.865413280699 748.706689743962</t>
  </si>
  <si>
    <t>-719.450355867333 -44.3640999923437 223.334398149741</t>
  </si>
  <si>
    <t>-710.458835413404 19.3759834656109 688.732555608422</t>
  </si>
  <si>
    <t>-581.537496681534 -67.3198437081751 771.234889396499</t>
  </si>
  <si>
    <t>9763-20170724T160727.088744800.bin</t>
  </si>
  <si>
    <t>-715.03648899931 14.8372110299642 -231.494916270711</t>
  </si>
  <si>
    <t>-735.992411107534 17.4070599056477 -350.751217017069</t>
  </si>
  <si>
    <t>-747.102861141128 9.68780196889929 -471.19840523994</t>
  </si>
  <si>
    <t>-681.117961545011 129.354522858844 -780.383054166254</t>
  </si>
  <si>
    <t>-582.685042940464 138.309943728727 -479.688998614251</t>
  </si>
  <si>
    <t>-401.547591852988 84.637761897158 -300.941683839962</t>
  </si>
  <si>
    <t>-701.021037252384 111.77576745335 -231.617820208859</t>
  </si>
  <si>
    <t>-591.946173351488 184.500340868893 204.81262763995</t>
  </si>
  <si>
    <t>-529.455466695812 240.418428449053 667.075302238235</t>
  </si>
  <si>
    <t>-373.619473615516 239.829210084242 748.673779923445</t>
  </si>
  <si>
    <t>-720.082559601087 -44.3873594839536 223.393161263167</t>
  </si>
  <si>
    <t>-710.575118500399 19.3594456298206 688.752799194908</t>
  </si>
  <si>
    <t>-581.491297960369 -67.1211689642744 771.226913018029</t>
  </si>
  <si>
    <t>9763-20170724T160727.121334700.bin</t>
  </si>
  <si>
    <t>-715.422478458485 14.9418101437325 -231.42631283039</t>
  </si>
  <si>
    <t>-736.4093699736 17.5337226200568 -350.676571897925</t>
  </si>
  <si>
    <t>-747.46293320787 9.79695740539751 -471.127886299626</t>
  </si>
  <si>
    <t>-681.289414452931 129.389186811941 -780.181564277836</t>
  </si>
  <si>
    <t>-582.850034661779 138.285705171626 -479.487640548236</t>
  </si>
  <si>
    <t>-401.617110339015 85.1195401174568 -300.686005027235</t>
  </si>
  <si>
    <t>-701.461518725451 112.031483363374 -231.504267483593</t>
  </si>
  <si>
    <t>-592.177629375553 184.652582435906 204.891040516925</t>
  </si>
  <si>
    <t>-529.553009390824 240.432657067944 667.204232772468</t>
  </si>
  <si>
    <t>-373.630328069373 239.709203378387 748.636034054924</t>
  </si>
  <si>
    <t>-720.361246004337 -44.3410241654894 223.420889460885</t>
  </si>
  <si>
    <t>-710.639765582721 19.345933761788 688.764185022152</t>
  </si>
  <si>
    <t>-581.498380645924 -67.0571612434476 771.229429459724</t>
  </si>
  <si>
    <t>9763-20170724T160727.188307700.bin</t>
  </si>
  <si>
    <t>-716.278895649776 15.4817678301897 -231.190314959615</t>
  </si>
  <si>
    <t>-737.298827533901 18.173203862852 -350.432624426834</t>
  </si>
  <si>
    <t>-748.27737571861 10.4178678312535 -470.889649939299</t>
  </si>
  <si>
    <t>-681.977925685261 129.829691827543 -779.667561298726</t>
  </si>
  <si>
    <t>-583.384696708083 138.745368807496 -479.024688174015</t>
  </si>
  <si>
    <t>-402.29716385201 85.9763257116515 -299.958257482442</t>
  </si>
  <si>
    <t>-702.657313065096 113.026132944416 -231.094196992367</t>
  </si>
  <si>
    <t>-593.006117696114 185.350735610978 205.258249303333</t>
  </si>
  <si>
    <t>-529.927737172866 240.504168444647 667.674615553649</t>
  </si>
  <si>
    <t>-373.677229996372 239.205083456785 748.468387856474</t>
  </si>
  <si>
    <t>-721.038896877191 -44.0907423485994 223.513905196367</t>
  </si>
  <si>
    <t>-710.772796741481 19.3432783899664 688.812020596841</t>
  </si>
  <si>
    <t>-581.49404468604 -66.8758609568781 771.254587850127</t>
  </si>
  <si>
    <t>9763-20170724T160727.221399800.bin</t>
  </si>
  <si>
    <t>-716.663013025897 15.7893571003287 -231.030331437653</t>
  </si>
  <si>
    <t>-737.55333995582 18.5075896275794 -350.294806965857</t>
  </si>
  <si>
    <t>-748.457194885562 10.7141218738072 -470.756199551822</t>
  </si>
  <si>
    <t>-682.0979391488 129.884184233885 -779.506106866394</t>
  </si>
  <si>
    <t>-583.505012524715 138.966389450349 -478.868143766466</t>
  </si>
  <si>
    <t>-402.543717004696 86.3428478567707 -299.631510955853</t>
  </si>
  <si>
    <t>-703.218591115903 113.504458201654 -230.888083681052</t>
  </si>
  <si>
    <t>-593.613503170081 185.76339380221 205.486820332782</t>
  </si>
  <si>
    <t>-530.136670654146 240.586211729681 667.908369208016</t>
  </si>
  <si>
    <t>-373.699313431781 238.947855374078 748.333239233223</t>
  </si>
  <si>
    <t>-721.361630070534 -43.9270364699387 223.571341238167</t>
  </si>
  <si>
    <t>-710.790311263617 19.3862787880848 688.833262382463</t>
  </si>
  <si>
    <t>-581.503341878468 -66.8275423728826 771.268497983268</t>
  </si>
  <si>
    <t>9763-20170724T160727.288422100.bin</t>
  </si>
  <si>
    <t>-716.951669487861 15.9507307394169 -230.892106719129</t>
  </si>
  <si>
    <t>-737.704021767649 18.7731767229134 -350.178242699568</t>
  </si>
  <si>
    <t>-748.51197862573 10.8789207071588 -470.641747549614</t>
  </si>
  <si>
    <t>-681.925666006011 129.303426693421 -779.52824987163</t>
  </si>
  <si>
    <t>-583.841193105493 138.955238000744 -478.741885168612</t>
  </si>
  <si>
    <t>-403.111603502725 86.7683855711953 -299.143961033505</t>
  </si>
  <si>
    <t>-703.483967280166 113.680827417841 -230.692330462081</t>
  </si>
  <si>
    <t>-594.727284938659 185.896097542691 205.901993717025</t>
  </si>
  <si>
    <t>-530.33344612009 240.689228931733 668.099193874544</t>
  </si>
  <si>
    <t>-373.670745174731 238.574082272898 748.072906880187</t>
  </si>
  <si>
    <t>-721.60943522132 -43.7957029545139 223.634524621101</t>
  </si>
  <si>
    <t>-710.853494645725 19.4839776363942 688.871900548949</t>
  </si>
  <si>
    <t>-581.529343886997 -66.6937121119886 771.286589537457</t>
  </si>
  <si>
    <t>9763-20170724T160727.331045100.bin</t>
  </si>
  <si>
    <t>-716.891620375974 15.8974392892703 -230.920455873412</t>
  </si>
  <si>
    <t>-737.524448238285 18.7156894402851 -350.227465813081</t>
  </si>
  <si>
    <t>-748.235602109 10.751001276783 -470.694833056197</t>
  </si>
  <si>
    <t>-681.382795458625 128.814948687498 -779.682033860244</t>
  </si>
  <si>
    <t>-583.871837687015 138.740432826507 -478.718098597057</t>
  </si>
  <si>
    <t>-403.349190870929 86.8322536021842 -298.831643223</t>
  </si>
  <si>
    <t>-703.355198787865 113.596535838893 -230.756412603655</t>
  </si>
  <si>
    <t>-595.078038528364 185.916263106659 205.939782217787</t>
  </si>
  <si>
    <t>-530.327835649657 240.682916364428 668.07186735444</t>
  </si>
  <si>
    <t>-373.63496626363 238.524533545322 747.985533468589</t>
  </si>
  <si>
    <t>-721.682685369976 -43.7986148116674 223.623409867331</t>
  </si>
  <si>
    <t>-710.89602446444 19.5212086511362 688.867811962017</t>
  </si>
  <si>
    <t>-581.56555091242 -66.6476302600881 771.281834858322</t>
  </si>
  <si>
    <t>9763-20170724T160727.390307400.bin</t>
  </si>
  <si>
    <t>-716.447425182682 15.5954252207202 -231.103201200888</t>
  </si>
  <si>
    <t>-736.948093866232 18.4024673450945 -350.433249214498</t>
  </si>
  <si>
    <t>-747.561355871792 10.3153538310733 -470.901048369127</t>
  </si>
  <si>
    <t>-680.692974068576 127.961473002695 -780.13639554388</t>
  </si>
  <si>
    <t>-584.013987670976 138.754986462626 -478.933901621371</t>
  </si>
  <si>
    <t>-404.104386662102 87.1097408251912 -298.358858966989</t>
  </si>
  <si>
    <t>-702.701862710981 113.13130865022 -230.999845493777</t>
  </si>
  <si>
    <t>-594.888030953153 185.518325115552 205.799844379879</t>
  </si>
  <si>
    <t>-530.188950226515 240.461736356422 667.886996300445</t>
  </si>
  <si>
    <t>-373.536926393058 238.544001979076 747.887056591747</t>
  </si>
  <si>
    <t>-721.834610511899 -43.8042523018914 223.540885697493</t>
  </si>
  <si>
    <t>-710.95766788473 19.5984415131172 688.82786763743</t>
  </si>
  <si>
    <t>-581.680161226211 -66.6312921929848 771.261294726965</t>
  </si>
  <si>
    <t>9763-20170724T160727.422909000.bin</t>
  </si>
  <si>
    <t>-716.077723819106 15.3906911057838 -231.208683126881</t>
  </si>
  <si>
    <t>-736.512441298011 18.1558184987455 -350.550947621711</t>
  </si>
  <si>
    <t>-747.093182326988 10.0125907492034 -471.018024542949</t>
  </si>
  <si>
    <t>-680.366661059911 127.59199625075 -780.344164514758</t>
  </si>
  <si>
    <t>-583.941183416681 139.129615923627 -479.08805434542</t>
  </si>
  <si>
    <t>-404.2301736607 87.6096529197803 -298.279674629415</t>
  </si>
  <si>
    <t>-702.181686894944 112.807405796657 -231.169805317616</t>
  </si>
  <si>
    <t>-594.291594017631 185.212318674268 205.608089195278</t>
  </si>
  <si>
    <t>-530.086645234637 240.322074772718 667.764519981402</t>
  </si>
  <si>
    <t>-373.482152782606 238.660302848886 747.863132517758</t>
  </si>
  <si>
    <t>-721.838873955688 -43.8185052783617 223.478825866009</t>
  </si>
  <si>
    <t>-710.953437001151 19.6419188321281 688.793058603889</t>
  </si>
  <si>
    <t>-581.745755440106 -66.6695674057271 771.250392028182</t>
  </si>
  <si>
    <t>9763-20170724T160727.493130600.bin</t>
  </si>
  <si>
    <t>-714.945907830411 14.8117691418724 -231.395072497461</t>
  </si>
  <si>
    <t>-735.415323177107 17.5053358596533 -350.733094706665</t>
  </si>
  <si>
    <t>-746.017075438285 9.27056690557674 -471.191948930782</t>
  </si>
  <si>
    <t>-679.717335193034 126.83010662932 -780.656883770976</t>
  </si>
  <si>
    <t>-584.036743109037 140.06702100554 -479.233201610391</t>
  </si>
  <si>
    <t>-404.365275015819 88.6834774999111 -298.346741852487</t>
  </si>
  <si>
    <t>-700.769056961811 111.918460597145 -231.473044599401</t>
  </si>
  <si>
    <t>-592.862912367335 184.325171652321 205.300518603881</t>
  </si>
  <si>
    <t>-529.823321004879 240.050015088672 667.468435395513</t>
  </si>
  <si>
    <t>-373.37241094603 238.890868864843 747.875379305548</t>
  </si>
  <si>
    <t>-721.443436299416 -43.9368370129243 223.390434178085</t>
  </si>
  <si>
    <t>-710.927648969883 19.7497110935583 688.74367757936</t>
  </si>
  <si>
    <t>-581.849330727049 -66.7191317887323 771.238749633878</t>
  </si>
  <si>
    <t>9763-20170724T160727.524735400.bin</t>
  </si>
  <si>
    <t>-714.329024445403 14.4924868835262 -231.494971264705</t>
  </si>
  <si>
    <t>-734.872379221141 17.1421131405209 -350.821273206913</t>
  </si>
  <si>
    <t>-745.512220221212 8.87435170885374 -471.274570024471</t>
  </si>
  <si>
    <t>-679.51459528834 126.529498637325 -780.766714725701</t>
  </si>
  <si>
    <t>-584.229917655717 140.531361409403 -479.252326744491</t>
  </si>
  <si>
    <t>-404.467932278583 89.0982940620645 -298.469719985168</t>
  </si>
  <si>
    <t>-700.016431156602 111.510430777746 -231.664895537271</t>
  </si>
  <si>
    <t>-592.347421967697 183.903938516352 205.169447441805</t>
  </si>
  <si>
    <t>-529.668204940662 239.90113993954 667.314213358161</t>
  </si>
  <si>
    <t>-373.317687527534 239.082228113538 747.920249172801</t>
  </si>
  <si>
    <t>-721.115742967575 -44.0429803267236 223.355489275863</t>
  </si>
  <si>
    <t>-710.940134807039 19.7850741601624 688.724602675604</t>
  </si>
  <si>
    <t>-581.882977200204 -66.7019508761962 771.233750023034</t>
  </si>
  <si>
    <t>9763-20170724T160727.593424200.bin</t>
  </si>
  <si>
    <t>-713.401717211154 14.1032092626908 -231.628627772975</t>
  </si>
  <si>
    <t>-733.924390888492 16.6350805977604 -350.961024934824</t>
  </si>
  <si>
    <t>-744.545471027116 8.29323700928444 -471.410847352479</t>
  </si>
  <si>
    <t>-679.182897245357 126.203248808688 -780.853423787491</t>
  </si>
  <si>
    <t>-584.69812653102 141.384394140238 -479.144384110511</t>
  </si>
  <si>
    <t>-404.68493122052 90.0690765074255 -298.578449763919</t>
  </si>
  <si>
    <t>-699.171882060567 111.105823571555 -231.865784570776</t>
  </si>
  <si>
    <t>-591.617512026828 183.557121242204 204.987220227196</t>
  </si>
  <si>
    <t>-529.461247015705 239.776147890544 667.207797982214</t>
  </si>
  <si>
    <t>-373.23493984621 239.178951599307 748.056278040469</t>
  </si>
  <si>
    <t>-720.531806169436 -44.1375536448379 223.319249918007</t>
  </si>
  <si>
    <t>-710.955506651118 19.8632996712413 688.696808473015</t>
  </si>
  <si>
    <t>-581.990605887281 -66.7372989453816 771.231063890834</t>
  </si>
  <si>
    <t>9763-20170724T160727.622001400.bin</t>
  </si>
  <si>
    <t>-713.120552218417 13.9871234103655 -231.606111713085</t>
  </si>
  <si>
    <t>-733.624093735843 16.4977175858935 -350.942140140648</t>
  </si>
  <si>
    <t>-744.213824186171 8.14262566577713 -471.393956384703</t>
  </si>
  <si>
    <t>-679.085186158136 126.207230196833 -780.82419069894</t>
  </si>
  <si>
    <t>-585.102237015021 141.758429895392 -478.977260128604</t>
  </si>
  <si>
    <t>-404.959958103471 90.5289874249154 -298.515677612299</t>
  </si>
  <si>
    <t>-698.949924107682 110.998708122476 -231.829628175657</t>
  </si>
  <si>
    <t>-591.397285419763 183.441200252197 205.025179346997</t>
  </si>
  <si>
    <t>-529.439324957146 239.755307431787 667.270647301318</t>
  </si>
  <si>
    <t>-373.211892961951 239.172516599924 748.117291212311</t>
  </si>
  <si>
    <t>-720.403961161679 -44.2006399485715 223.336360482473</t>
  </si>
  <si>
    <t>-710.986943905068 19.8764045089574 688.691791081862</t>
  </si>
  <si>
    <t>-581.998811834073 -66.6849113440687 771.230968997918</t>
  </si>
  <si>
    <t>9763-20170724T160727.692693000.bin</t>
  </si>
  <si>
    <t>-712.719017961467 13.6964658345448 -231.567839693815</t>
  </si>
  <si>
    <t>-733.207694414337 16.1826899978598 -350.906969327949</t>
  </si>
  <si>
    <t>-743.745456553922 7.81153430972699 -471.362164220118</t>
  </si>
  <si>
    <t>-679.071226158857 126.194831984836 -780.727974893806</t>
  </si>
  <si>
    <t>-586.01963831366 142.595798602316 -478.637589459064</t>
  </si>
  <si>
    <t>-405.679588461029 91.4325473415001 -298.354976139815</t>
  </si>
  <si>
    <t>-698.612111911894 110.651856917051 -231.759839344339</t>
  </si>
  <si>
    <t>-591.25875176868 183.325609591538 205.105632743174</t>
  </si>
  <si>
    <t>-529.385479667493 239.684930811151 667.355537221272</t>
  </si>
  <si>
    <t>-373.15093745401 239.217779498616 748.189199630392</t>
  </si>
  <si>
    <t>-720.220372799785 -44.3082952506352 223.364279564231</t>
  </si>
  <si>
    <t>-711.026668957035 19.9284934531063 688.693763193951</t>
  </si>
  <si>
    <t>-582.048122484644 -66.639341684878 771.241088708869</t>
  </si>
  <si>
    <t>9763-20170724T160727.724818200.bin</t>
  </si>
  <si>
    <t>-712.639757656157 13.5259997050962 -231.5490369759</t>
  </si>
  <si>
    <t>-733.08074616457 15.9809782132713 -350.896950854391</t>
  </si>
  <si>
    <t>-743.544817240968 7.5730322426632 -471.356021823862</t>
  </si>
  <si>
    <t>-678.999585504022 125.999927203818 -780.716556553246</t>
  </si>
  <si>
    <t>-586.414132915392 142.945827248828 -478.512978819061</t>
  </si>
  <si>
    <t>-406.090000107508 91.841574172418 -298.197649775948</t>
  </si>
  <si>
    <t>-698.60839328736 110.47255426529 -231.732072235907</t>
  </si>
  <si>
    <t>-591.236638732719 183.243821834311 205.112660283525</t>
  </si>
  <si>
    <t>-529.359768057858 239.64429107208 667.378394776764</t>
  </si>
  <si>
    <t>-373.119061938951 239.248729744942 748.200163096945</t>
  </si>
  <si>
    <t>-720.163595875127 -44.4014209806546 223.376420614689</t>
  </si>
  <si>
    <t>-711.056024327518 19.9392974332779 688.693127747361</t>
  </si>
  <si>
    <t>-582.111811035573 -66.6718529390489 771.248611337292</t>
  </si>
  <si>
    <t>9763-20170724T160727.791556700.bin</t>
  </si>
  <si>
    <t>-712.622752037157 13.2059371848241 -231.504491418102</t>
  </si>
  <si>
    <t>-732.972329321996 15.5977882295717 -350.869392086116</t>
  </si>
  <si>
    <t>-743.277436207782 7.16511037606756 -471.340378224657</t>
  </si>
  <si>
    <t>-678.657185850227 125.883432164431 -780.632208358327</t>
  </si>
  <si>
    <t>-587.395060520627 143.919108441402 -478.089490401064</t>
  </si>
  <si>
    <t>-407.074601027409 92.7927936383112 -297.776671137944</t>
  </si>
  <si>
    <t>-698.654278675986 110.101249592188 -231.717005998755</t>
  </si>
  <si>
    <t>-591.226004812745 183.060566786677 205.08242946234</t>
  </si>
  <si>
    <t>-529.286474914589 239.587362555775 667.340149137931</t>
  </si>
  <si>
    <t>-373.050424999096 239.284418050736 748.171632567253</t>
  </si>
  <si>
    <t>-720.167777396916 -44.5152807438981 223.408853045319</t>
  </si>
  <si>
    <t>-711.074182128089 19.981561385707 688.68466651311</t>
  </si>
  <si>
    <t>-582.225810000862 -66.7450840335962 771.268582217841</t>
  </si>
  <si>
    <t>9763-20170724T160727.830666200.bin</t>
  </si>
  <si>
    <t>-712.571426841075 13.0545550358145 -231.526536782595</t>
  </si>
  <si>
    <t>-732.951313207013 15.425656271146 -350.886695117433</t>
  </si>
  <si>
    <t>-743.205600309541 6.94298538374983 -471.358480947234</t>
  </si>
  <si>
    <t>-678.577452075622 125.584027718109 -780.656031359856</t>
  </si>
  <si>
    <t>-588.037532754313 144.38011469979 -477.942551740995</t>
  </si>
  <si>
    <t>-407.745620014557 93.2026177043026 -297.615756122064</t>
  </si>
  <si>
    <t>-698.601753263677 109.921818578157 -231.732727143213</t>
  </si>
  <si>
    <t>-591.119981663698 182.982100062799 205.036777260499</t>
  </si>
  <si>
    <t>-529.244029818468 239.56836166454 667.296885719037</t>
  </si>
  <si>
    <t>-373.013915603507 239.29328639248 748.139915778499</t>
  </si>
  <si>
    <t>-720.12372746042 -44.5526754019727 223.418734297125</t>
  </si>
  <si>
    <t>-711.067214983754 20.0119289827021 688.679619200246</t>
  </si>
  <si>
    <t>-582.308342174207 -66.8286489036605 771.283353137157</t>
  </si>
  <si>
    <t>9763-20170724T160727.889430600.bin</t>
  </si>
  <si>
    <t>-712.664669812944 12.7161926733445 -231.418373173582</t>
  </si>
  <si>
    <t>-732.933137869393 15.0748346772334 -350.797759771337</t>
  </si>
  <si>
    <t>-743.034909108482 6.5379485774788 -471.278560798013</t>
  </si>
  <si>
    <t>-678.272310332458 125.130487381438 -780.579014261852</t>
  </si>
  <si>
    <t>-589.586496182035 145.414537300271 -477.413103449104</t>
  </si>
  <si>
    <t>-409.441764462459 93.9874022928557 -297.010314731677</t>
  </si>
  <si>
    <t>-698.730143614673 109.569788304805 -231.678960704592</t>
  </si>
  <si>
    <t>-590.992555281127 182.753799922922 205.006741781395</t>
  </si>
  <si>
    <t>-529.177529014913 239.461441571239 667.230018352006</t>
  </si>
  <si>
    <t>-372.944687490755 239.153232408172 748.067721652856</t>
  </si>
  <si>
    <t>-720.233842471268 -44.7320959932958 223.47858358065</t>
  </si>
  <si>
    <t>-711.08882806396 20.0481415670899 688.68261364164</t>
  </si>
  <si>
    <t>-582.468023942506 -66.9778604431265 771.306336049817</t>
  </si>
  <si>
    <t>9763-20170724T160727.922530100.bin</t>
  </si>
  <si>
    <t>-712.751490044287 12.5537873891537 -231.39970648755</t>
  </si>
  <si>
    <t>-733.039150098946 14.9297748901804 -350.775485929299</t>
  </si>
  <si>
    <t>-743.099006456863 6.38001284335837 -471.258903409448</t>
  </si>
  <si>
    <t>-678.231707766489 124.930728938982 -780.527172732931</t>
  </si>
  <si>
    <t>-590.363493746551 146.069542752036 -477.18177290801</t>
  </si>
  <si>
    <t>-410.342948857887 94.5501754940717 -296.681246057616</t>
  </si>
  <si>
    <t>-698.790159760454 109.397930703471 -231.653424635979</t>
  </si>
  <si>
    <t>-591.022463775816 182.691526485294 205.006435833092</t>
  </si>
  <si>
    <t>-529.147388901812 239.495546390993 667.207438174063</t>
  </si>
  <si>
    <t>-372.908697893484 239.111775608226 748.033595685511</t>
  </si>
  <si>
    <t>-720.300373818659 -44.7995292160956 223.497216283642</t>
  </si>
  <si>
    <t>-711.091509621272 20.0850030245751 688.68393800636</t>
  </si>
  <si>
    <t>-582.545628966036 -67.0425047331873 771.317237017574</t>
  </si>
  <si>
    <t>9763-20170724T160727.989585600.bin</t>
  </si>
  <si>
    <t>-712.886732737995 12.1101309988385 -231.374009105171</t>
  </si>
  <si>
    <t>-733.110002538636 14.4817118645819 -350.760850150908</t>
  </si>
  <si>
    <t>-743.040150612989 5.90048153783118 -471.252796815046</t>
  </si>
  <si>
    <t>-677.714986275465 124.349309560301 -780.478985359158</t>
  </si>
  <si>
    <t>-591.884881022519 147.35407881322 -476.686029509219</t>
  </si>
  <si>
    <t>-412.029221220586 95.7049882368303 -296.058302970964</t>
  </si>
  <si>
    <t>-698.739474551244 108.860006910149 -231.664056404901</t>
  </si>
  <si>
    <t>-590.942300797727 182.406366664483 204.946145558929</t>
  </si>
  <si>
    <t>-529.067781051321 239.437763685935 667.129925310769</t>
  </si>
  <si>
    <t>-372.830451367115 239.089508126908 747.958814275225</t>
  </si>
  <si>
    <t>-720.524543880884 -45.0516701153247 223.526294029986</t>
  </si>
  <si>
    <t>-711.203432747127 20.0771239080655 688.690125940434</t>
  </si>
  <si>
    <t>-582.621500005155 -66.9989306905009 771.321605931672</t>
  </si>
  <si>
    <t>9763-20170724T160728.022680500.bin</t>
  </si>
  <si>
    <t>-712.9059294214 11.9431554219555 -231.405183343998</t>
  </si>
  <si>
    <t>-733.157628556161 14.3143964141716 -350.787112904186</t>
  </si>
  <si>
    <t>-743.058285753771 5.71292538320131 -471.280084657046</t>
  </si>
  <si>
    <t>-677.58815982626 124.091780529051 -780.484461007389</t>
  </si>
  <si>
    <t>-593.126778664551 148.064843539866 -476.382878993949</t>
  </si>
  <si>
    <t>-413.315155215037 96.1269391979895 -295.79409160604</t>
  </si>
  <si>
    <t>-698.647328279736 108.66247796567 -231.693793573982</t>
  </si>
  <si>
    <t>-590.746444527846 182.259809394193 204.882155605705</t>
  </si>
  <si>
    <t>-529.023418666926 239.408781987289 667.081836759404</t>
  </si>
  <si>
    <t>-372.793543079837 239.028173171843 747.924601206382</t>
  </si>
  <si>
    <t>-720.538396890128 -45.1303859867917 223.528944078864</t>
  </si>
  <si>
    <t>-711.218114576767 20.0986974867415 688.682529433126</t>
  </si>
  <si>
    <t>-582.699727237896 -67.0617666720061 771.323870724455</t>
  </si>
  <si>
    <t>9763-20170724T160728.091867600.bin</t>
  </si>
  <si>
    <t>-712.711454647401 11.673929658413 -231.450491227444</t>
  </si>
  <si>
    <t>-732.983504983382 14.0389496134706 -350.829114173799</t>
  </si>
  <si>
    <t>-742.817965934333 5.4272838126742 -471.326838096267</t>
  </si>
  <si>
    <t>-677.075278926832 123.821631222396 -780.398042469544</t>
  </si>
  <si>
    <t>-595.167992573581 149.740694481026 -475.758053800941</t>
  </si>
  <si>
    <t>-415.523727735751 97.3338791198562 -295.1381648649</t>
  </si>
  <si>
    <t>-698.272815444415 108.246817174495 -231.76820876179</t>
  </si>
  <si>
    <t>-589.854109628364 181.918933327496 204.666678152288</t>
  </si>
  <si>
    <t>-528.913337476941 239.185999658513 666.943760520596</t>
  </si>
  <si>
    <t>-372.712401808444 239.015565536826 747.843478769857</t>
  </si>
  <si>
    <t>-720.322331701277 -45.2194894280447 223.509274241599</t>
  </si>
  <si>
    <t>-711.201518358481 20.1661885077597 688.661753288214</t>
  </si>
  <si>
    <t>-582.88153877878 -67.2531458415503 771.337957823369</t>
  </si>
  <si>
    <t>9763-20170724T160728.123458200.bin</t>
  </si>
  <si>
    <t>-712.650401419561 11.5869538894337 -231.47377681893</t>
  </si>
  <si>
    <t>-732.992240313598 13.9515437590394 -350.840481640934</t>
  </si>
  <si>
    <t>-742.852807918408 5.35617498655938 -471.337202453987</t>
  </si>
  <si>
    <t>-677.115087100093 123.85115684824 -780.328217723006</t>
  </si>
  <si>
    <t>-596.322949096198 150.526832229598 -475.455749267381</t>
  </si>
  <si>
    <t>-416.846166101196 98.0569473828566 -294.687837921404</t>
  </si>
  <si>
    <t>-698.195125873909 108.148231260168 -231.805171075966</t>
  </si>
  <si>
    <t>-589.390409735479 181.706063613738 204.553039774514</t>
  </si>
  <si>
    <t>-528.868167270879 238.81169056556 666.893596911095</t>
  </si>
  <si>
    <t>-372.675010268557 238.926719888068 747.808513419286</t>
  </si>
  <si>
    <t>-720.228099966035 -45.2678256523632 223.500319400175</t>
  </si>
  <si>
    <t>-711.224331446835 20.1732746305549 688.649197153655</t>
  </si>
  <si>
    <t>-582.969720441397 -67.3265296221571 771.341723302456</t>
  </si>
  <si>
    <t>9763-20170724T160728.187740300.bin</t>
  </si>
  <si>
    <t>-712.631697638977 11.5098833613786 -231.520993743285</t>
  </si>
  <si>
    <t>-733.127920685156 13.9235967810635 -350.860227703805</t>
  </si>
  <si>
    <t>-743.039548932609 5.37175075709933 -471.355860274275</t>
  </si>
  <si>
    <t>-677.274722184952 124.004806901169 -780.220703911747</t>
  </si>
  <si>
    <t>-598.614015121429 151.841872605731 -474.894880273267</t>
  </si>
  <si>
    <t>-419.574765548746 99.3859503388792 -293.689518834798</t>
  </si>
  <si>
    <t>-698.149324518937 108.006718478871 -231.868805950837</t>
  </si>
  <si>
    <t>-588.66400789371 181.12565017926 204.392826742761</t>
  </si>
  <si>
    <t>-528.771528561302 237.794407364064 666.83371977202</t>
  </si>
  <si>
    <t>-372.592246790537 238.831862032272 747.768716995734</t>
  </si>
  <si>
    <t>-719.897754198591 -45.2874767954474 223.465858336075</t>
  </si>
  <si>
    <t>-711.20111549303 20.2644718037573 688.633284766872</t>
  </si>
  <si>
    <t>-583.1283162675 -67.4822743281645 771.34589540622</t>
  </si>
  <si>
    <t>9763-20170724T160728.225844200.bin</t>
  </si>
  <si>
    <t>-712.738540138701 11.4580451201716 -231.513123658457</t>
  </si>
  <si>
    <t>-733.303300580746 13.8857317873328 -350.840346105831</t>
  </si>
  <si>
    <t>-743.240412470025 5.3525172736372 -471.335176507483</t>
  </si>
  <si>
    <t>-677.525783783209 124.067641039665 -780.119874349409</t>
  </si>
  <si>
    <t>-599.699920118403 152.509702819677 -474.636085640461</t>
  </si>
  <si>
    <t>-420.911699507888 100.063477012465 -293.18014846396</t>
  </si>
  <si>
    <t>-698.237119521704 107.944059664686 -231.86090964465</t>
  </si>
  <si>
    <t>-588.45837532765 180.878385256247 204.357894623039</t>
  </si>
  <si>
    <t>-528.735933789751 237.32680816013 666.848312561319</t>
  </si>
  <si>
    <t>-372.5516764279 238.841130537528 747.766185379561</t>
  </si>
  <si>
    <t>-719.832815900076 -45.3608110907651 223.466540203911</t>
  </si>
  <si>
    <t>-711.263141480376 20.2589487862542 688.632593499257</t>
  </si>
  <si>
    <t>-583.16231855712 -67.4479035283346 771.344159747423</t>
  </si>
  <si>
    <t>9763-20170724T160728.289531100.bin</t>
  </si>
  <si>
    <t>-712.959176550288 11.201107528291 -231.456072803378</t>
  </si>
  <si>
    <t>-733.627497707991 13.6889712010145 -350.764223545609</t>
  </si>
  <si>
    <t>-743.572279901919 5.21357273387775 -471.262396605913</t>
  </si>
  <si>
    <t>-677.885990234634 124.168327476329 -779.891652452518</t>
  </si>
  <si>
    <t>-601.722812824616 153.793331793184 -474.101292370908</t>
  </si>
  <si>
    <t>-423.334067694523 101.419208824418 -292.231913794368</t>
  </si>
  <si>
    <t>-698.348104610953 107.636230178143 -231.783477837255</t>
  </si>
  <si>
    <t>-588.294198599545 180.579460726919 204.364403625392</t>
  </si>
  <si>
    <t>-528.667336097808 237.087417753534 666.864550475962</t>
  </si>
  <si>
    <t>-372.479278934776 238.947257549567 747.767798164516</t>
  </si>
  <si>
    <t>-719.861961302272 -45.5664137410706 223.492310087954</t>
  </si>
  <si>
    <t>-711.363336056598 20.2665667533081 688.641429635833</t>
  </si>
  <si>
    <t>-583.199731666659 -67.3643673470356 771.336178972656</t>
  </si>
  <si>
    <t>9763-20170724T160728.331145600.bin</t>
  </si>
  <si>
    <t>-713.200556624625 11.1895430730187 -231.433855053361</t>
  </si>
  <si>
    <t>-733.91786712281 13.6812263581085 -350.733483996293</t>
  </si>
  <si>
    <t>-743.880226529348 5.23751082576564 -471.23242722135</t>
  </si>
  <si>
    <t>-678.270691784725 124.371301744475 -779.767703881302</t>
  </si>
  <si>
    <t>-603.014810637042 154.607274693201 -473.812716509301</t>
  </si>
  <si>
    <t>-424.738211165297 102.298423685182 -291.81455521855</t>
  </si>
  <si>
    <t>-698.596379354681 107.698203753598 -231.735445816362</t>
  </si>
  <si>
    <t>-588.475948763996 180.61717330893 204.399890344402</t>
  </si>
  <si>
    <t>-528.635689186758 237.09085170928 666.872470956677</t>
  </si>
  <si>
    <t>-372.444707798471 238.929992166192 747.770785901786</t>
  </si>
  <si>
    <t>-720.022478092435 -45.599752392932 223.510523294343</t>
  </si>
  <si>
    <t>-711.440591827687 20.2541468916838 688.654840647662</t>
  </si>
  <si>
    <t>-583.198713487537 -67.2818683008868 771.328770621966</t>
  </si>
  <si>
    <t>9763-20170724T160728.390310600.bin</t>
  </si>
  <si>
    <t>-713.822965741376 11.1903519421501 -231.379320641205</t>
  </si>
  <si>
    <t>-734.641230235899 13.7181891130226 -350.660482137308</t>
  </si>
  <si>
    <t>-744.565865063395 5.34313758496319 -471.167551401164</t>
  </si>
  <si>
    <t>-678.920231311917 124.866281768208 -779.492202162046</t>
  </si>
  <si>
    <t>-605.647867669928 156.145947854955 -473.160807509385</t>
  </si>
  <si>
    <t>-427.474320817322 104.00490619894 -291.013836524961</t>
  </si>
  <si>
    <t>-699.112392578471 107.67845721741 -231.665128167416</t>
  </si>
  <si>
    <t>-588.80865171319 180.605039010812 204.422441795908</t>
  </si>
  <si>
    <t>-528.567116539661 237.050761386808 666.872779360508</t>
  </si>
  <si>
    <t>-372.381387368518 239.042386278934 747.77751120501</t>
  </si>
  <si>
    <t>-720.605819536374 -45.5738658555831 223.531068920328</t>
  </si>
  <si>
    <t>-711.615461761507 20.2029272288289 688.680062779727</t>
  </si>
  <si>
    <t>-583.137623046286 -67.0289152846485 771.309126617781</t>
  </si>
  <si>
    <t>9763-20170724T160728.422905100.bin</t>
  </si>
  <si>
    <t>-714.248179297633 11.2797371900679 -231.335732883489</t>
  </si>
  <si>
    <t>-735.163061997743 13.832566241862 -350.599466667884</t>
  </si>
  <si>
    <t>-745.062818156822 5.49538778744773 -471.111139986016</t>
  </si>
  <si>
    <t>-679.322069270994 125.242659067149 -779.338043771731</t>
  </si>
  <si>
    <t>-606.981566981466 156.929813493109 -472.827032473774</t>
  </si>
  <si>
    <t>-428.946907846467 104.929075964944 -290.504036665411</t>
  </si>
  <si>
    <t>-699.50630028164 107.85075374626 -231.60651445898</t>
  </si>
  <si>
    <t>-589.062158539253 180.727654527941 204.453903590279</t>
  </si>
  <si>
    <t>-528.558316697653 237.119864493861 666.900131300035</t>
  </si>
  <si>
    <t>-372.359049519925 238.995260331912 747.781225822772</t>
  </si>
  <si>
    <t>-720.889531163902 -45.5424466751019 223.552677974511</t>
  </si>
  <si>
    <t>-711.678737321636 20.1964131917603 688.697835268999</t>
  </si>
  <si>
    <t>-583.071194726776 -66.8696578898423 771.299968093756</t>
  </si>
  <si>
    <t>9763-20170724T160728.487372700.bin</t>
  </si>
  <si>
    <t>-715.181549380728 11.4535164188712 -231.229775917737</t>
  </si>
  <si>
    <t>-736.378688117217 14.097233013528 -350.441758343667</t>
  </si>
  <si>
    <t>-746.268912987156 5.7947440332423 -470.956688634961</t>
  </si>
  <si>
    <t>-680.490316597071 125.734658700846 -779.00659038029</t>
  </si>
  <si>
    <t>-609.853518529386 158.271008341865 -472.187490888307</t>
  </si>
  <si>
    <t>-432.172047270493 106.585637376504 -289.430752383476</t>
  </si>
  <si>
    <t>-700.468441481663 108.199724542427 -231.437179149544</t>
  </si>
  <si>
    <t>-589.564560671253 180.936297684646 204.529899528938</t>
  </si>
  <si>
    <t>-528.557488246082 237.14921900004 666.964630482502</t>
  </si>
  <si>
    <t>-372.321433292031 238.932377451552 747.776691008574</t>
  </si>
  <si>
    <t>-721.45149411529 -45.4851986729939 223.585639632554</t>
  </si>
  <si>
    <t>-711.875177021825 20.1216598165349 688.7319073896</t>
  </si>
  <si>
    <t>-582.966087355953 -66.5463749134731 771.282559635297</t>
  </si>
  <si>
    <t>9763-20170724T160728.524481500.bin</t>
  </si>
  <si>
    <t>-715.665145177566 11.540611352933 -231.138091021872</t>
  </si>
  <si>
    <t>-736.858532673586 14.2029971696363 -350.350232648283</t>
  </si>
  <si>
    <t>-746.69521799889 5.91328917348233 -470.870278103805</t>
  </si>
  <si>
    <t>-680.876424436089 125.954640471043 -778.878364976459</t>
  </si>
  <si>
    <t>-611.086823868068 158.872175779996 -471.905912604966</t>
  </si>
  <si>
    <t>-433.660000205484 107.374763195092 -288.849186156039</t>
  </si>
  <si>
    <t>-701.022061674782 108.317177896671 -231.318313772081</t>
  </si>
  <si>
    <t>-589.95083326084 181.035660487938 204.609270453255</t>
  </si>
  <si>
    <t>-528.567888751702 237.161882378997 667.000117297022</t>
  </si>
  <si>
    <t>-372.308967815535 238.914855256043 747.768884595092</t>
  </si>
  <si>
    <t>-721.766983540212 -45.4301491108151 223.609126204742</t>
  </si>
  <si>
    <t>-711.912520061552 20.1293417666523 688.744540288847</t>
  </si>
  <si>
    <t>-582.9351406447 -66.4532162697262 771.27821325965</t>
  </si>
  <si>
    <t>9763-20170724T160728.589358500.bin</t>
  </si>
  <si>
    <t>-716.415354167239 11.5741174656562 -231.055025311395</t>
  </si>
  <si>
    <t>-737.684008274548 14.3030590439978 -350.252355237862</t>
  </si>
  <si>
    <t>-747.471889557323 6.04880336650081 -470.778881293994</t>
  </si>
  <si>
    <t>-681.69600642007 126.284529031688 -778.693079855793</t>
  </si>
  <si>
    <t>-613.417840648406 160.084097825985 -471.476751372936</t>
  </si>
  <si>
    <t>-436.607886254156 108.84956369155 -287.750485138426</t>
  </si>
  <si>
    <t>-701.784826483654 108.367588625844 -231.180973574572</t>
  </si>
  <si>
    <t>-590.787058051543 181.161317955241 204.75271655672</t>
  </si>
  <si>
    <t>-528.561108403567 237.172543264373 667.043315156086</t>
  </si>
  <si>
    <t>-372.276387784561 238.959184573393 747.761225020969</t>
  </si>
  <si>
    <t>-722.322752585143 -45.4102895010826 223.641134719837</t>
  </si>
  <si>
    <t>-712.044467531449 20.0919087134707 688.766406413913</t>
  </si>
  <si>
    <t>-582.869653435248 -66.2302318314773 771.264061194076</t>
  </si>
  <si>
    <t>9763-20170724T160728.622451600.bin</t>
  </si>
  <si>
    <t>-716.756376779292 11.6226459976074 -231.013626353693</t>
  </si>
  <si>
    <t>-738.0305631202 14.3656747445352 -350.209640695161</t>
  </si>
  <si>
    <t>-747.783076088028 6.1289305288733 -470.740273724477</t>
  </si>
  <si>
    <t>-681.947533192024 126.459954615424 -778.62870464457</t>
  </si>
  <si>
    <t>-614.671776664828 160.745367317437 -471.245036252187</t>
  </si>
  <si>
    <t>-438.120586739348 109.575134097438 -287.252273815984</t>
  </si>
  <si>
    <t>-702.174201525073 108.458842802448 -231.120051101329</t>
  </si>
  <si>
    <t>-591.122471941514 181.274214535641 204.79625796279</t>
  </si>
  <si>
    <t>-528.569988495055 237.199084296459 667.076256616513</t>
  </si>
  <si>
    <t>-372.26551427072 238.933649769134 747.757335274832</t>
  </si>
  <si>
    <t>-722.495154424332 -45.3824870762865 223.658270630731</t>
  </si>
  <si>
    <t>-712.062058317217 20.116370618168 688.779222386908</t>
  </si>
  <si>
    <t>-582.889957865601 -66.2243783161946 771.261676345358</t>
  </si>
  <si>
    <t>9763-20170724T160728.686631200.bin</t>
  </si>
  <si>
    <t>-717.467195918878 11.7866679763313 -230.935062111856</t>
  </si>
  <si>
    <t>-738.862101697215 14.5912112119865 -350.108016758377</t>
  </si>
  <si>
    <t>-748.569876165035 6.38524317270662 -470.644263267427</t>
  </si>
  <si>
    <t>-682.555455265613 126.84554806585 -778.435192143959</t>
  </si>
  <si>
    <t>-617.562659067231 162.071545272403 -470.666901152453</t>
  </si>
  <si>
    <t>-441.447231315208 110.725069435385 -286.306026788267</t>
  </si>
  <si>
    <t>-702.942545916345 108.724389088084 -230.982880626575</t>
  </si>
  <si>
    <t>-591.584725687466 181.462158378531 204.868423985428</t>
  </si>
  <si>
    <t>-528.590088375103 237.215876857954 667.126673833124</t>
  </si>
  <si>
    <t>-372.242296938995 238.824047801374 747.72605226294</t>
  </si>
  <si>
    <t>-722.84626512291 -45.34431745758 223.696670630917</t>
  </si>
  <si>
    <t>-712.148538066837 20.112877489697 688.797548669293</t>
  </si>
  <si>
    <t>-582.882629770387 -66.1070723839064 771.259415673221</t>
  </si>
  <si>
    <t>9763-20170724T160728.723283700.bin</t>
  </si>
  <si>
    <t>-717.820309297834 11.9864878867897 -230.897300572585</t>
  </si>
  <si>
    <t>-739.248780860421 14.810668268015 -350.063819218983</t>
  </si>
  <si>
    <t>-748.935445729434 6.6219336762847 -470.602934592437</t>
  </si>
  <si>
    <t>-682.859411459215 127.161741429978 -778.314507501525</t>
  </si>
  <si>
    <t>-618.843731887235 162.787181660432 -470.387547824948</t>
  </si>
  <si>
    <t>-443.023086321223 111.432765483038 -285.747625011953</t>
  </si>
  <si>
    <t>-703.352255283882 109.004926150506 -230.912672869236</t>
  </si>
  <si>
    <t>-591.773707884496 181.649982154237 204.897566516365</t>
  </si>
  <si>
    <t>-528.624052923022 237.272660361218 667.169390560105</t>
  </si>
  <si>
    <t>-372.237105766633 238.680264155783 747.696850212938</t>
  </si>
  <si>
    <t>-723.03352647033 -45.2574212913573 223.708362458382</t>
  </si>
  <si>
    <t>-712.179053636995 20.1174852072495 688.802832269221</t>
  </si>
  <si>
    <t>-582.901199729891 -66.0866110711313 771.262531759115</t>
  </si>
  <si>
    <t>9763-20170724T160728.790464300.bin</t>
  </si>
  <si>
    <t>-718.54228004628 12.5177929765639 -230.776241132472</t>
  </si>
  <si>
    <t>-740.025029246643 15.3898265213934 -349.931829258195</t>
  </si>
  <si>
    <t>-749.715909409145 7.26569793022782 -470.474940318187</t>
  </si>
  <si>
    <t>-683.769441033222 128.111820293827 -778.053231696965</t>
  </si>
  <si>
    <t>-621.100845184802 164.129892172447 -469.895007262818</t>
  </si>
  <si>
    <t>-446.121460431886 113.0500243088 -284.381887994494</t>
  </si>
  <si>
    <t>-704.267165743732 109.772730532303 -230.718069498439</t>
  </si>
  <si>
    <t>-592.350796569189 182.122017776947 205.054719193163</t>
  </si>
  <si>
    <t>-528.804128176623 237.400371191468 667.362434653683</t>
  </si>
  <si>
    <t>-372.250760115254 238.316272415205 747.572621437389</t>
  </si>
  <si>
    <t>-723.397757050198 -44.9950605693416 223.762335425594</t>
  </si>
  <si>
    <t>-712.205880443191 20.1662521327082 688.831032093474</t>
  </si>
  <si>
    <t>-582.955543755445 -66.0813681387117 771.288383825314</t>
  </si>
  <si>
    <t>9763-20170724T160728.825572000.bin</t>
  </si>
  <si>
    <t>-718.909711034682 12.8414591512937 -230.691824744499</t>
  </si>
  <si>
    <t>-740.383565504191 15.7373740475728 -349.848367761218</t>
  </si>
  <si>
    <t>-750.077663611997 7.63529004671136 -470.39275980342</t>
  </si>
  <si>
    <t>-684.194059611799 128.54738370323 -777.952015694895</t>
  </si>
  <si>
    <t>-621.994306106929 164.686292460238 -469.712914642227</t>
  </si>
  <si>
    <t>-447.545215811833 113.826698680325 -283.640737529342</t>
  </si>
  <si>
    <t>-704.748204202675 110.204809537449 -230.593109828198</t>
  </si>
  <si>
    <t>-592.813266345237 182.311059110874 205.215264040744</t>
  </si>
  <si>
    <t>-528.944945954782 237.46780987811 667.509401528002</t>
  </si>
  <si>
    <t>-372.26481603333 238.084255179125 747.474527473815</t>
  </si>
  <si>
    <t>-723.57356644704 -44.8398746358698 223.80378818155</t>
  </si>
  <si>
    <t>-712.217360082599 20.2055651691642 688.850831938187</t>
  </si>
  <si>
    <t>-582.969665589103 -66.0489276636349 771.305116241728</t>
  </si>
  <si>
    <t>9763-20170724T160728.895769600.bin</t>
  </si>
  <si>
    <t>-719.248836659418 13.333874814452 -230.626873249561</t>
  </si>
  <si>
    <t>-740.723484314402 16.2810022271253 -349.781950775424</t>
  </si>
  <si>
    <t>-750.508471968282 8.23785227118492 -470.323017266592</t>
  </si>
  <si>
    <t>-685.054866346695 129.32864588339 -777.877719467013</t>
  </si>
  <si>
    <t>-623.640008145745 165.719045741965 -469.51078970898</t>
  </si>
  <si>
    <t>-450.25687727119 115.164524228446 -282.362331192562</t>
  </si>
  <si>
    <t>-705.138979490755 110.748151033205 -230.469438546271</t>
  </si>
  <si>
    <t>-593.530403615263 182.378110284286 205.50106976623</t>
  </si>
  <si>
    <t>-529.129350439212 237.522864777254 667.681476892547</t>
  </si>
  <si>
    <t>-372.242287562561 237.678199617344 747.242526559035</t>
  </si>
  <si>
    <t>-723.728100065096 -44.5851972750438 223.837975635002</t>
  </si>
  <si>
    <t>-712.28570125492 20.2603169662489 688.88111517826</t>
  </si>
  <si>
    <t>-583.032339860633 -65.9872152958803 771.333798277282</t>
  </si>
  <si>
    <t>9763-20170724T160728.925344300.bin</t>
  </si>
  <si>
    <t>-719.195678135144 13.4028668118067 -230.664503530365</t>
  </si>
  <si>
    <t>-740.613804247686 16.3405681724876 -349.830122991736</t>
  </si>
  <si>
    <t>-750.438320281126 8.29751175163756 -470.3678556482</t>
  </si>
  <si>
    <t>-685.319342559835 129.439417743345 -777.961962799158</t>
  </si>
  <si>
    <t>-624.150227241325 165.905476774642 -469.555182088955</t>
  </si>
  <si>
    <t>-451.234043213236 115.479410553794 -281.940373250913</t>
  </si>
  <si>
    <t>-705.061848003852 110.790540232789 -230.552403007054</t>
  </si>
  <si>
    <t>-593.646740105527 182.375531028372 205.474957980045</t>
  </si>
  <si>
    <t>-529.128095871021 237.479318232609 667.631218216907</t>
  </si>
  <si>
    <t>-372.214623250407 237.662322211922 747.139989233839</t>
  </si>
  <si>
    <t>-723.642904142201 -44.526943752682 223.811339610365</t>
  </si>
  <si>
    <t>-712.265926535476 20.3213575465318 688.872718098859</t>
  </si>
  <si>
    <t>-583.075403163749 -66.0098458295827 771.336304111027</t>
  </si>
  <si>
    <t>9763-20170724T160728.989695600.bin</t>
  </si>
  <si>
    <t>-719.013661982626 13.5974129113963 -230.758879385187</t>
  </si>
  <si>
    <t>-740.494801890497 16.4919972289854 -349.914218989579</t>
  </si>
  <si>
    <t>-750.474873060095 8.45064051050963 -470.439348969129</t>
  </si>
  <si>
    <t>-685.89164300042 129.65192166575 -778.158037573131</t>
  </si>
  <si>
    <t>-624.851863689201 166.414216529104 -469.760811457354</t>
  </si>
  <si>
    <t>-452.987967063747 115.986155791124 -281.182195945799</t>
  </si>
  <si>
    <t>-705.054640765683 111.028452266283 -230.670869469647</t>
  </si>
  <si>
    <t>-593.341999707398 182.484149911789 205.301661740993</t>
  </si>
  <si>
    <t>-529.082798628655 237.45022275325 667.509455083376</t>
  </si>
  <si>
    <t>-372.160261483484 237.62692028407 747.000305049853</t>
  </si>
  <si>
    <t>-723.342547953182 -44.4395334790825 223.771036510532</t>
  </si>
  <si>
    <t>-712.291344515436 20.4031634958733 688.859062724624</t>
  </si>
  <si>
    <t>-583.165703356251 -66.0088824459938 771.339600086188</t>
  </si>
  <si>
    <t>9763-20170724T160729.022284200.bin</t>
  </si>
  <si>
    <t>-718.958822933851 13.72389923224 -230.799682487183</t>
  </si>
  <si>
    <t>-740.50518696876 16.6142258751358 -349.943353291598</t>
  </si>
  <si>
    <t>-750.60834997512 8.60689957946261 -470.46049219209</t>
  </si>
  <si>
    <t>-686.381523699898 129.951565225125 -778.250500517629</t>
  </si>
  <si>
    <t>-625.086647741661 166.823987626211 -469.916925740848</t>
  </si>
  <si>
    <t>-453.875794104567 116.317456446646 -280.766204059987</t>
  </si>
  <si>
    <t>-705.081957099517 111.132843652132 -230.705635577917</t>
  </si>
  <si>
    <t>-593.090494471699 182.557532832227 205.200484756336</t>
  </si>
  <si>
    <t>-529.058183259605 237.40933061458 667.451121907812</t>
  </si>
  <si>
    <t>-372.135401215663 237.652027896516 746.941430747934</t>
  </si>
  <si>
    <t>-723.218617068284 -44.3507315370712 223.741934692518</t>
  </si>
  <si>
    <t>-712.289662747977 20.4603702483053 688.85648487707</t>
  </si>
  <si>
    <t>-583.194585608196 -65.9971346121615 771.337216438968</t>
  </si>
  <si>
    <t>9763-20170724T160729.091971200.bin</t>
  </si>
  <si>
    <t>-718.886995280192 14.1015085450958 -230.842200251872</t>
  </si>
  <si>
    <t>-740.529027405061 16.9900750117852 -349.968556554194</t>
  </si>
  <si>
    <t>-750.751634511329 8.96725031398478 -470.474545649007</t>
  </si>
  <si>
    <t>-686.858319261778 130.190124322603 -778.458734670738</t>
  </si>
  <si>
    <t>-625.251721875557 167.369765002198 -470.224191654135</t>
  </si>
  <si>
    <t>-454.846813941059 116.750101662729 -280.377270016754</t>
  </si>
  <si>
    <t>-705.093665982822 111.475048380422 -230.753533651852</t>
  </si>
  <si>
    <t>-592.914643136262 182.705180774655 205.136059594175</t>
  </si>
  <si>
    <t>-529.00569712302 237.32492757689 667.386836724541</t>
  </si>
  <si>
    <t>-372.085189374522 237.703622184183 746.880821638487</t>
  </si>
  <si>
    <t>-722.913783634253 -44.1761227606714 223.702156605478</t>
  </si>
  <si>
    <t>-712.334803536443 20.5475944541374 688.865149913991</t>
  </si>
  <si>
    <t>-583.217691931979 -65.8962892834998 771.325686300255</t>
  </si>
  <si>
    <t>9763-20170724T160729.120045600.bin</t>
  </si>
  <si>
    <t>-718.850836933136 14.2427334577999 -230.860656706202</t>
  </si>
  <si>
    <t>-740.602946073407 17.1498678093292 -349.966575656126</t>
  </si>
  <si>
    <t>-750.931600346142 9.1287295220327 -470.463646579258</t>
  </si>
  <si>
    <t>-687.243204897165 130.312018002682 -778.581927694173</t>
  </si>
  <si>
    <t>-625.762028100715 167.801972958301 -470.359985576603</t>
  </si>
  <si>
    <t>-455.593615441709 116.7853665582 -280.407261699016</t>
  </si>
  <si>
    <t>-705.044018787424 111.597935260796 -230.782032623185</t>
  </si>
  <si>
    <t>-592.909927805463 182.79440771009 205.124675196727</t>
  </si>
  <si>
    <t>-528.977336870806 237.289358088897 667.373304694513</t>
  </si>
  <si>
    <t>-372.062485176871 237.760614225171 746.878207452956</t>
  </si>
  <si>
    <t>-722.697607530378 -44.1527652504174 223.694154849392</t>
  </si>
  <si>
    <t>-712.399385727202 20.5679932534401 688.877507811656</t>
  </si>
  <si>
    <t>-583.17369028986 -65.7374292659263 771.312956962509</t>
  </si>
  <si>
    <t>9763-20170724T160729.189239000.bin</t>
  </si>
  <si>
    <t>-718.841745725625 14.5290659030256 -230.934553113823</t>
  </si>
  <si>
    <t>-740.690291039907 17.4081580315451 -350.023466569422</t>
  </si>
  <si>
    <t>-751.199579157435 9.32377572707401 -470.500585837573</t>
  </si>
  <si>
    <t>-688.213336654194 130.244365153148 -778.943221734912</t>
  </si>
  <si>
    <t>-627.042548291121 168.528481516553 -470.757189687735</t>
  </si>
  <si>
    <t>-457.223038696504 117.067022597036 -280.612193535743</t>
  </si>
  <si>
    <t>-704.986378236811 111.892692774508 -230.880495744682</t>
  </si>
  <si>
    <t>-592.81938683879 182.95634672042 205.039484421871</t>
  </si>
  <si>
    <t>-528.911749713482 237.240072925289 667.354545626132</t>
  </si>
  <si>
    <t>-372.020051570195 237.886061375293 746.903818113165</t>
  </si>
  <si>
    <t>-722.398468399035 -44.004233166602 223.658327944549</t>
  </si>
  <si>
    <t>-712.452312995647 20.6521084859867 688.887971725647</t>
  </si>
  <si>
    <t>-583.135745102285 -65.5519257650515 771.287028531304</t>
  </si>
  <si>
    <t>9763-20170724T160729.228848500.bin</t>
  </si>
  <si>
    <t>-718.785443897305 14.6812832874652 -230.926979745677</t>
  </si>
  <si>
    <t>-740.69456868825 17.5807376101307 -350.004193544676</t>
  </si>
  <si>
    <t>-751.332403071173 9.48992735566594 -470.469577660037</t>
  </si>
  <si>
    <t>-688.847933173235 130.36818244271 -779.050160968828</t>
  </si>
  <si>
    <t>-627.841845591312 169.028780709923 -470.878438745113</t>
  </si>
  <si>
    <t>-458.117002155907 117.612768017507 -280.636675948521</t>
  </si>
  <si>
    <t>-704.918505421142 112.004153676364 -230.873675732608</t>
  </si>
  <si>
    <t>-592.723871695538 183.015170662743 205.047723157241</t>
  </si>
  <si>
    <t>-528.881660486523 237.206944385085 667.357067323435</t>
  </si>
  <si>
    <t>-372.002929291637 237.950274615977 746.931074981782</t>
  </si>
  <si>
    <t>-722.32393281161 -43.9360695284754 223.656319813035</t>
  </si>
  <si>
    <t>-712.504996759329 20.6683976214974 688.902221085921</t>
  </si>
  <si>
    <t>-583.104958512095 -65.4356544556781 771.274741104814</t>
  </si>
  <si>
    <t>9763-20170724T160729.289545200.bin</t>
  </si>
  <si>
    <t>-718.853563755251 15.1238353219187 -230.897099347159</t>
  </si>
  <si>
    <t>-740.900283115725 18.0760132849891 -349.947639021611</t>
  </si>
  <si>
    <t>-751.712603650807 10.0032859732535 -470.398814921729</t>
  </si>
  <si>
    <t>-689.770805458844 130.853997780553 -779.214633441357</t>
  </si>
  <si>
    <t>-629.313069085336 170.223135209543 -471.024553014874</t>
  </si>
  <si>
    <t>-459.942214763357 118.900180086507 -280.442559210363</t>
  </si>
  <si>
    <t>-704.972503829358 112.460938990209 -230.821482908677</t>
  </si>
  <si>
    <t>-592.804106363623 183.27055234837 205.139471447877</t>
  </si>
  <si>
    <t>-528.862337279617 237.227230345055 667.457536349247</t>
  </si>
  <si>
    <t>-371.979645213191 237.960305689262 747.023761901016</t>
  </si>
  <si>
    <t>-722.084064687992 -43.7860181932174 223.675309156495</t>
  </si>
  <si>
    <t>-712.566884789825 20.7475456075663 688.944672656889</t>
  </si>
  <si>
    <t>-583.072641871704 -65.2722241310792 771.257190253603</t>
  </si>
  <si>
    <t>9763-20170724T160729.327134600.bin</t>
  </si>
  <si>
    <t>-718.924858367542 15.2973586818068 -230.883205036379</t>
  </si>
  <si>
    <t>-741.055462263672 18.2819849952971 -349.91731051746</t>
  </si>
  <si>
    <t>-751.979041275855 10.2408768642108 -470.360605599377</t>
  </si>
  <si>
    <t>-690.298435640922 131.149388965651 -779.270974066389</t>
  </si>
  <si>
    <t>-630.330224149189 170.764015250723 -471.016754728765</t>
  </si>
  <si>
    <t>-461.108223798399 119.592233249109 -280.261829900958</t>
  </si>
  <si>
    <t>-705.034258099401 112.615526034181 -230.79530265854</t>
  </si>
  <si>
    <t>-592.84234003949 183.363029121076 205.169644970191</t>
  </si>
  <si>
    <t>-528.845634076939 237.194237674164 667.500437527909</t>
  </si>
  <si>
    <t>-371.963352923871 237.967181683738 747.067408964915</t>
  </si>
  <si>
    <t>-721.978383480004 -43.7021292801298 223.685879664423</t>
  </si>
  <si>
    <t>-712.561461268606 20.8049351226978 688.96224931025</t>
  </si>
  <si>
    <t>-583.042173607833 -65.1967396461994 771.254271419656</t>
  </si>
  <si>
    <t>9763-20170724T160729.386343600.bin</t>
  </si>
  <si>
    <t>-719.041628602728 15.6187509624549 -230.85428722952</t>
  </si>
  <si>
    <t>-741.252241676935 18.6287189769389 -349.872836801531</t>
  </si>
  <si>
    <t>-752.319320554531 10.6222854310695 -470.305366343006</t>
  </si>
  <si>
    <t>-691.06428926721 131.587384537861 -779.326259477435</t>
  </si>
  <si>
    <t>-631.731695888357 171.874394099224 -471.036187861528</t>
  </si>
  <si>
    <t>-462.943771279056 120.750036186585 -279.88445950708</t>
  </si>
  <si>
    <t>-705.093830154091 112.905887925724 -230.747649358139</t>
  </si>
  <si>
    <t>-592.705537090221 183.469706640946 205.196471226958</t>
  </si>
  <si>
    <t>-528.818528518556 237.133087373764 667.572275912494</t>
  </si>
  <si>
    <t>-371.937541699255 237.951163619699 747.141249146408</t>
  </si>
  <si>
    <t>-721.853754436426 -43.5469157118173 223.697712330594</t>
  </si>
  <si>
    <t>-712.571387763841 20.8868165638864 688.980612061075</t>
  </si>
  <si>
    <t>-583.016461763903 -65.0750428102644 771.258145326802</t>
  </si>
  <si>
    <t>9763-20170724T160729.424944300.bin</t>
  </si>
  <si>
    <t>-719.014578028574 15.6561564920648 -230.84563801546</t>
  </si>
  <si>
    <t>-741.315867469942 18.6957130975209 -349.846590989523</t>
  </si>
  <si>
    <t>-752.479053504806 10.7318655635477 -470.273014311283</t>
  </si>
  <si>
    <t>-691.424796521719 131.831817091217 -779.311076917151</t>
  </si>
  <si>
    <t>-632.549236607277 172.450403206244 -470.976964311312</t>
  </si>
  <si>
    <t>-463.865987422895 121.204825014353 -279.765103736006</t>
  </si>
  <si>
    <t>-704.977817956316 112.852641198949 -230.728471723781</t>
  </si>
  <si>
    <t>-592.447776896106 183.419889298835 205.178539561917</t>
  </si>
  <si>
    <t>-528.790575049844 237.088732790224 667.572664486177</t>
  </si>
  <si>
    <t>-371.924780540634 237.977751192064 747.170854103862</t>
  </si>
  <si>
    <t>-721.762824262772 -43.5243147157462 223.70424648212</t>
  </si>
  <si>
    <t>-712.58823250068 20.9065946148673 688.988965060303</t>
  </si>
  <si>
    <t>-583.011785212341 -65.0286765869726 771.260410450033</t>
  </si>
  <si>
    <t>9763-20170724T160729.494135900.bin</t>
  </si>
  <si>
    <t>-719.07660603474 15.7177378359636 -230.836054715039</t>
  </si>
  <si>
    <t>-741.454226531481 18.7554548053674 -349.822688373157</t>
  </si>
  <si>
    <t>-752.736162762322 10.8476129035405 -470.241686605729</t>
  </si>
  <si>
    <t>-692.196615458266 132.271745898355 -779.334189616358</t>
  </si>
  <si>
    <t>-634.118081063575 173.321305200787 -470.906018201804</t>
  </si>
  <si>
    <t>-465.829291261449 121.882563862579 -279.398796193262</t>
  </si>
  <si>
    <t>-704.979582309116 112.910893240849 -230.711810412831</t>
  </si>
  <si>
    <t>-592.050120394459 183.372519313687 205.108986625042</t>
  </si>
  <si>
    <t>-528.744317576824 237.046258787697 667.578636984168</t>
  </si>
  <si>
    <t>-371.903525904241 238.01447323284 747.224902829503</t>
  </si>
  <si>
    <t>-721.683097946439 -43.5109111577967 223.71799443653</t>
  </si>
  <si>
    <t>-712.605387347887 20.9542874971141 689.005337567871</t>
  </si>
  <si>
    <t>-583.014224654277 -64.9713783995592 771.263606163415</t>
  </si>
  <si>
    <t>9763-20170724T160729.526721000.bin</t>
  </si>
  <si>
    <t>-719.167007094612 15.7336530622433 -230.807870722661</t>
  </si>
  <si>
    <t>-741.628437395947 18.7847948133099 -349.778341478368</t>
  </si>
  <si>
    <t>-752.983567345825 10.8995590300385 -470.191912933753</t>
  </si>
  <si>
    <t>-692.627664963078 132.413182496117 -779.3372421967</t>
  </si>
  <si>
    <t>-634.917517448886 173.639920017147 -470.863502851483</t>
  </si>
  <si>
    <t>-466.989596932357 122.021312662851 -279.088197967761</t>
  </si>
  <si>
    <t>-705.093563225412 112.938715398891 -230.671669217937</t>
  </si>
  <si>
    <t>-592.020290807683 183.365560476965 205.117461044558</t>
  </si>
  <si>
    <t>-528.728085957633 237.017049066113 667.583777039777</t>
  </si>
  <si>
    <t>-371.893998646656 238.012895936297 747.243010056781</t>
  </si>
  <si>
    <t>-721.651701311349 -43.5186842679962 223.741645531994</t>
  </si>
  <si>
    <t>-712.592439249011 20.9959814277399 689.019682112134</t>
  </si>
  <si>
    <t>-583.006921748725 -64.9459399870595 771.269852753775</t>
  </si>
  <si>
    <t>9763-20170724T160729.590392700.bin</t>
  </si>
  <si>
    <t>-719.537120071125 15.7504453268375 -230.757594016002</t>
  </si>
  <si>
    <t>-742.092845076302 18.813054207026 -349.709899355247</t>
  </si>
  <si>
    <t>-753.569358298633 10.9719075126734 -470.11505190032</t>
  </si>
  <si>
    <t>-693.522497681817 132.626841677262 -779.335993190787</t>
  </si>
  <si>
    <t>-636.402823450242 174.206746377382 -470.799659835686</t>
  </si>
  <si>
    <t>-469.236616260336 122.409721724908 -278.408013307989</t>
  </si>
  <si>
    <t>-705.483738280484 113.003468180929 -230.60970528925</t>
  </si>
  <si>
    <t>-592.33116106035 183.389871369946 205.165239754982</t>
  </si>
  <si>
    <t>-528.728891470297 237.001979727921 667.631663351392</t>
  </si>
  <si>
    <t>-371.885342536299 238.016771139455 747.272028102586</t>
  </si>
  <si>
    <t>-721.585076063837 -43.5665507575193 223.78037815571</t>
  </si>
  <si>
    <t>-712.609158771917 21.0532583185777 689.049359913917</t>
  </si>
  <si>
    <t>-582.986124115799 -64.8575984612248 771.27286275323</t>
  </si>
  <si>
    <t>9763-20170724T160729.624987300.bin</t>
  </si>
  <si>
    <t>-719.714579326024 15.7420537370856 -230.710379785476</t>
  </si>
  <si>
    <t>-742.300830454358 18.7957607197327 -349.657124810794</t>
  </si>
  <si>
    <t>-753.836532097013 10.9648632776414 -470.057160481323</t>
  </si>
  <si>
    <t>-693.986567975258 132.675571635871 -779.319989580999</t>
  </si>
  <si>
    <t>-637.112782830091 174.320096614791 -470.747073934854</t>
  </si>
  <si>
    <t>-470.30382376069 122.542358478498 -278.040283643422</t>
  </si>
  <si>
    <t>-705.726842647943 113.020179704988 -230.55616719413</t>
  </si>
  <si>
    <t>-592.553105006025 183.417337062881 205.211666861581</t>
  </si>
  <si>
    <t>-528.72932941921 236.996409831056 667.6456745531</t>
  </si>
  <si>
    <t>-371.87937260516 237.978429580408 747.273563041535</t>
  </si>
  <si>
    <t>-721.605090380111 -43.5988294516901 223.813693691568</t>
  </si>
  <si>
    <t>-712.626118376713 21.0752159697886 689.063910229817</t>
  </si>
  <si>
    <t>-582.980281873475 -64.8106421785292 771.277575544362</t>
  </si>
  <si>
    <t>9763-20170724T160729.690675400.bin</t>
  </si>
  <si>
    <t>-719.946739287361 15.554807750591 -230.622921584098</t>
  </si>
  <si>
    <t>-742.479663177536 18.6062388159139 -349.57978275394</t>
  </si>
  <si>
    <t>-754.026227556305 10.8122075735537 -469.981194106925</t>
  </si>
  <si>
    <t>-694.376423098329 132.720995309781 -779.280962657294</t>
  </si>
  <si>
    <t>-638.062404741662 174.756037569601 -470.658067521492</t>
  </si>
  <si>
    <t>-471.814380504467 122.898667152837 -277.488658793257</t>
  </si>
  <si>
    <t>-705.936971557019 112.7941491186 -230.471586523651</t>
  </si>
  <si>
    <t>-592.785143882269 183.328933506766 205.279663598489</t>
  </si>
  <si>
    <t>-528.728639940112 236.986386595592 667.665467044679</t>
  </si>
  <si>
    <t>-371.870698208215 237.960276212047 747.27804625876</t>
  </si>
  <si>
    <t>-721.754324373227 -43.672503322241 223.858277545271</t>
  </si>
  <si>
    <t>-712.662711696537 21.0995498802549 689.078095864737</t>
  </si>
  <si>
    <t>-582.957861470009 -64.7063783151523 771.282137039123</t>
  </si>
  <si>
    <t>9763-20170724T160729.722757500.bin</t>
  </si>
  <si>
    <t>-720.028401375025 15.4210561096322 -230.601163747371</t>
  </si>
  <si>
    <t>-742.484821807011 18.4550363738845 -349.573101146802</t>
  </si>
  <si>
    <t>-754.014710524043 10.6557568748849 -469.97582233533</t>
  </si>
  <si>
    <t>-694.556335317256 132.63696333973 -779.284109701594</t>
  </si>
  <si>
    <t>-638.632339036652 174.850113710786 -470.614791167343</t>
  </si>
  <si>
    <t>-472.59282977291 122.893360954502 -277.292718310988</t>
  </si>
  <si>
    <t>-706.027625630547 112.642209241486 -230.454079897197</t>
  </si>
  <si>
    <t>-592.87118724538 183.25866139433 205.282736218514</t>
  </si>
  <si>
    <t>-528.717655923242 236.964123800446 667.650086803696</t>
  </si>
  <si>
    <t>-371.864687419097 237.946035296208 747.272412728384</t>
  </si>
  <si>
    <t>-721.935644342176 -43.724151441706 223.86703487996</t>
  </si>
  <si>
    <t>-712.678931690399 21.0958154320663 689.073385462974</t>
  </si>
  <si>
    <t>-582.949171233949 -64.6694645621335 771.28053132766</t>
  </si>
  <si>
    <t>9763-20170724T160729.787929700.bin</t>
  </si>
  <si>
    <t>-720.045294717376 15.2004975463706 -230.574296152827</t>
  </si>
  <si>
    <t>-742.249101594334 18.1908279251375 -349.594681231931</t>
  </si>
  <si>
    <t>-753.57356360033 10.3698557149435 -470.015413819763</t>
  </si>
  <si>
    <t>-693.98640449075 132.491211934148 -779.30535363032</t>
  </si>
  <si>
    <t>-638.963718913355 175.108190427538 -470.529605677144</t>
  </si>
  <si>
    <t>-473.220682861725 123.034263456133 -276.984772143238</t>
  </si>
  <si>
    <t>-706.084273503929 112.433049708679 -230.442229369263</t>
  </si>
  <si>
    <t>-592.927610129756 183.149225775437 205.278337933071</t>
  </si>
  <si>
    <t>-528.703883034621 236.95438033611 667.617686850521</t>
  </si>
  <si>
    <t>-371.856960009412 237.850320389745 747.252780715367</t>
  </si>
  <si>
    <t>-722.187175825422 -43.7800918273547 223.886292138004</t>
  </si>
  <si>
    <t>-712.615568412691 21.1592148470065 689.05189213272</t>
  </si>
  <si>
    <t>-583.04296358381 -64.8036854902384 771.30046794887</t>
  </si>
  <si>
    <t>9763-20170724T160729.821020700.bin</t>
  </si>
  <si>
    <t>-719.949863281174 15.1229851727783 -230.603901272841</t>
  </si>
  <si>
    <t>-742.083991448608 18.1045300778867 -349.637564020853</t>
  </si>
  <si>
    <t>-753.314799494017 10.246667829357 -470.064700521226</t>
  </si>
  <si>
    <t>-693.573610044621 132.29504090555 -779.31889852093</t>
  </si>
  <si>
    <t>-639.137364609957 175.115573228204 -470.467270601124</t>
  </si>
  <si>
    <t>-473.49837105349 123.127103259742 -276.810558172003</t>
  </si>
  <si>
    <t>-706.026613097892 112.340366436641 -230.452611324455</t>
  </si>
  <si>
    <t>-592.878804655768 183.078684236664 205.266747413325</t>
  </si>
  <si>
    <t>-528.71003394087 236.97000472248 667.611304386229</t>
  </si>
  <si>
    <t>-371.854065011577 237.75749925693 747.229621571324</t>
  </si>
  <si>
    <t>-722.156219139397 -43.7682343416573 223.871297768057</t>
  </si>
  <si>
    <t>-712.560033344537 21.2011170306794 689.030082231276</t>
  </si>
  <si>
    <t>-583.137792343613 -64.9564526024103 771.311718496676</t>
  </si>
  <si>
    <t>9763-20170724T160729.889209900.bin</t>
  </si>
  <si>
    <t>-719.818606701303 15.1549098937005 -230.641278519588</t>
  </si>
  <si>
    <t>-741.777295875473 18.0623677545855 -349.709197296617</t>
  </si>
  <si>
    <t>-752.809647681761 10.1228383681373 -470.149216450211</t>
  </si>
  <si>
    <t>-692.632044674101 131.994357683109 -779.297296880609</t>
  </si>
  <si>
    <t>-639.143006404694 175.149625257332 -470.32690769057</t>
  </si>
  <si>
    <t>-473.894862695605 123.28032959265 -276.304511039962</t>
  </si>
  <si>
    <t>-706.07116125259 112.409187625187 -230.478026278453</t>
  </si>
  <si>
    <t>-592.924730930069 183.070061471972 205.254267496297</t>
  </si>
  <si>
    <t>-528.777354210896 236.986193100166 667.644998085347</t>
  </si>
  <si>
    <t>-371.849980050319 237.430378487398 747.125244995985</t>
  </si>
  <si>
    <t>-722.270289633314 -43.5976247890319 223.84417777274</t>
  </si>
  <si>
    <t>-712.499698894262 21.2541786889874 688.99722534827</t>
  </si>
  <si>
    <t>-583.273853625782 -65.1266268561685 771.353438512499</t>
  </si>
  <si>
    <t>9763-20170724T160729.923305900.bin</t>
  </si>
  <si>
    <t>-719.855271444532 15.1824582517431 -230.633583371558</t>
  </si>
  <si>
    <t>-741.776347711867 18.0834175029174 -349.708644668169</t>
  </si>
  <si>
    <t>-752.75124741454 10.1127366082158 -470.151987943326</t>
  </si>
  <si>
    <t>-692.440296343031 131.878094706059 -779.26413791565</t>
  </si>
  <si>
    <t>-639.133259648331 175.173030835497 -470.281879532434</t>
  </si>
  <si>
    <t>-474.08787672943 123.450282288202 -276.047900942012</t>
  </si>
  <si>
    <t>-706.223251922551 112.480802150958 -230.458576571371</t>
  </si>
  <si>
    <t>-593.145051370654 183.087858358343 205.30007973297</t>
  </si>
  <si>
    <t>-528.82981638528 236.996522069116 667.667349887855</t>
  </si>
  <si>
    <t>-371.85114005212 237.254248164021 747.047048068059</t>
  </si>
  <si>
    <t>-722.42230059202 -43.5297967668573 223.853637185807</t>
  </si>
  <si>
    <t>-712.480698889333 21.2909589083288 688.999397716378</t>
  </si>
  <si>
    <t>-583.309076958366 -65.1545894114356 771.372749382292</t>
  </si>
  <si>
    <t>9763-20170724T160729.987241700.bin</t>
  </si>
  <si>
    <t>-720.155434979848 15.297473874358 -230.592058517702</t>
  </si>
  <si>
    <t>-741.983403642095 18.2152733681626 -349.683613353976</t>
  </si>
  <si>
    <t>-752.828846131746 10.1690105411335 -470.133667041566</t>
  </si>
  <si>
    <t>-692.136679570991 131.562862952437 -779.232596448848</t>
  </si>
  <si>
    <t>-639.08649515913 175.106691358068 -470.240963418356</t>
  </si>
  <si>
    <t>-474.361301377962 123.805153941653 -275.623774472464</t>
  </si>
  <si>
    <t>-706.571229626573 112.6715620844 -230.414725343918</t>
  </si>
  <si>
    <t>-593.789746740677 183.192313851092 205.434846196962</t>
  </si>
  <si>
    <t>-528.901760712866 237.085047651136 667.680455354692</t>
  </si>
  <si>
    <t>-371.838693681558 236.884060812692 746.893347853944</t>
  </si>
  <si>
    <t>-722.787619229523 -43.3947973159638 223.861151791524</t>
  </si>
  <si>
    <t>-712.515044186664 21.3187474219183 688.997239098099</t>
  </si>
  <si>
    <t>-583.324861681216 -65.0831421361788 771.387304759961</t>
  </si>
  <si>
    <t>9763-20170724T160730.025842100.bin</t>
  </si>
  <si>
    <t>-720.204292497199 15.3331032918863 -230.602889408309</t>
  </si>
  <si>
    <t>-741.923128952836 18.2487470758631 -349.714516153467</t>
  </si>
  <si>
    <t>-752.651669123957 10.1691524983451 -470.172850423776</t>
  </si>
  <si>
    <t>-691.627048640074 131.393650077541 -779.262279088999</t>
  </si>
  <si>
    <t>-638.728502575442 175.158168954658 -470.275866588757</t>
  </si>
  <si>
    <t>-474.17617233741 124.085542891085 -275.452350340522</t>
  </si>
  <si>
    <t>-706.612005665791 112.690627388235 -230.43630837799</t>
  </si>
  <si>
    <t>-594.000329268273 183.238058726948 205.45287822093</t>
  </si>
  <si>
    <t>-528.902560554756 237.102865648918 667.646937232443</t>
  </si>
  <si>
    <t>-371.827343886208 236.76478139519 746.835131465375</t>
  </si>
  <si>
    <t>-722.98729672118 -43.3304562098092 223.843649342362</t>
  </si>
  <si>
    <t>-712.517378618913 21.3510243766932 688.986765860882</t>
  </si>
  <si>
    <t>-583.377139110374 -65.115228048501 771.387589490637</t>
  </si>
  <si>
    <t>9763-20170724T160730.088130200.bin</t>
  </si>
  <si>
    <t>-720.237503748698 15.5333702335106 -230.702285730174</t>
  </si>
  <si>
    <t>-741.856848043615 18.4397189166082 -349.832312527821</t>
  </si>
  <si>
    <t>-752.388506181631 10.2731610280209 -470.30212334183</t>
  </si>
  <si>
    <t>-690.607365392608 131.086568040918 -779.333298385891</t>
  </si>
  <si>
    <t>-638.313157672351 175.64687564332 -470.357780423737</t>
  </si>
  <si>
    <t>-473.703741732133 125.495090653855 -275.343455451497</t>
  </si>
  <si>
    <t>-706.588733209748 112.938915207967 -230.553329143508</t>
  </si>
  <si>
    <t>-594.295567475249 183.345128838206 205.440787410293</t>
  </si>
  <si>
    <t>-528.868177090651 237.106046329821 667.594784961492</t>
  </si>
  <si>
    <t>-371.78587697175 236.548190983561 746.767640979605</t>
  </si>
  <si>
    <t>-723.272867486085 -43.1784857202379 223.795180798589</t>
  </si>
  <si>
    <t>-712.556158714717 21.3931373154264 688.956967571809</t>
  </si>
  <si>
    <t>-583.422676542549 -65.0683867323157 771.373329624514</t>
  </si>
  <si>
    <t>9763-20170724T160730.123221600.bin</t>
  </si>
  <si>
    <t>-720.295684192716 15.6592842898228 -230.727579561199</t>
  </si>
  <si>
    <t>-741.918287526213 18.5833742242178 -349.856642680875</t>
  </si>
  <si>
    <t>-752.377402598689 10.3944756729047 -470.331130930035</t>
  </si>
  <si>
    <t>-690.202059330054 131.046501207076 -779.355279707957</t>
  </si>
  <si>
    <t>-638.404984423266 175.935658051856 -470.343416592458</t>
  </si>
  <si>
    <t>-473.57918307927 126.448263125927 -275.342119947762</t>
  </si>
  <si>
    <t>-706.62919773072 113.041842368499 -230.573854696179</t>
  </si>
  <si>
    <t>-594.374258729875 183.395798259072 205.438512509502</t>
  </si>
  <si>
    <t>-528.84608767454 237.110649419126 667.579483354222</t>
  </si>
  <si>
    <t>-371.765143826682 236.444489371462 746.75423845205</t>
  </si>
  <si>
    <t>-723.375934923738 -43.095210557429 223.76870872391</t>
  </si>
  <si>
    <t>-712.586678704654 21.4108909806996 688.95198791278</t>
  </si>
  <si>
    <t>-583.398476854603 -64.9740557261707 771.362899966027</t>
  </si>
  <si>
    <t>9763-20170724T160730.286717900.bin</t>
  </si>
  <si>
    <t>-720.370744405528 15.7715525399656 -230.774553961435</t>
  </si>
  <si>
    <t>-742.017679169023 18.7213403612864 -349.898568066973</t>
  </si>
  <si>
    <t>-752.415272808082 10.5107531061558 -470.376998000416</t>
  </si>
  <si>
    <t>-689.802824949767 130.957859701786 -779.344462497655</t>
  </si>
  <si>
    <t>-638.646642166275 176.318674685082 -470.294961564729</t>
  </si>
  <si>
    <t>-473.477480601194 127.300312224622 -275.465807364879</t>
  </si>
  <si>
    <t>-706.626942605641 113.134311756051 -230.607652526016</t>
  </si>
  <si>
    <t>-594.390566346104 183.440601273012 205.417156710023</t>
  </si>
  <si>
    <t>-528.811750040429 237.099852357216 667.545054182083</t>
  </si>
  <si>
    <t>-371.744074241495 236.352217333703 746.745447666321</t>
  </si>
  <si>
    <t>-723.518316742061 -43.0077568956899 223.730068457276</t>
  </si>
  <si>
    <t>-712.632128921478 21.4148354059143 688.937817666577</t>
  </si>
  <si>
    <t>-583.39022907207 -64.8910260298017 771.34740644656</t>
  </si>
  <si>
    <t>9763-20170724T160730.323818200.bin</t>
  </si>
  <si>
    <t>-720.515183203951 16.4016906889403 -230.956615593082</t>
  </si>
  <si>
    <t>-742.031223430938 19.4383760156616 -350.102047667631</t>
  </si>
  <si>
    <t>-752.023701300889 10.8991554086479 -470.591864474884</t>
  </si>
  <si>
    <t>-688.137364490132 129.724487870102 -779.568404884558</t>
  </si>
  <si>
    <t>-638.281686600486 177.295270186942 -470.638596119901</t>
  </si>
  <si>
    <t>-471.818722170253 129.536060069689 -276.599293797253</t>
  </si>
  <si>
    <t>-706.38429524235 113.662536731726 -230.794093109039</t>
  </si>
  <si>
    <t>-594.222398104909 183.649232564373 205.301355910389</t>
  </si>
  <si>
    <t>-528.567567038202 237.001262899283 667.433310633335</t>
  </si>
  <si>
    <t>-371.629337445368 236.013644642352 746.887056407141</t>
  </si>
  <si>
    <t>-724.381689778273 -42.4675523759256 223.553392130134</t>
  </si>
  <si>
    <t>-712.747788005458 21.4881777022433 688.859451978459</t>
  </si>
  <si>
    <t>-583.41004793708 -64.672730350442 771.270358460227</t>
  </si>
  <si>
    <t>9763-20170724T160730.386998800.bin</t>
  </si>
  <si>
    <t>-720.683657072993 16.7865717938325 -231.018588179935</t>
  </si>
  <si>
    <t>-742.197533330723 19.8214242395015 -350.16447875832</t>
  </si>
  <si>
    <t>-752.057791777985 11.2654504606951 -470.664004810194</t>
  </si>
  <si>
    <t>-687.305693574483 129.87099549691 -779.56182195012</t>
  </si>
  <si>
    <t>-638.122707009739 177.703421762194 -470.564556351739</t>
  </si>
  <si>
    <t>-471.574244103493 130.056578299495 -276.571304458145</t>
  </si>
  <si>
    <t>-706.558125977893 114.050249266913 -230.842202254779</t>
  </si>
  <si>
    <t>-594.334172910377 183.85397472495 205.266602482024</t>
  </si>
  <si>
    <t>-528.502665353497 236.957382310097 667.454190637749</t>
  </si>
  <si>
    <t>-371.600476447099 235.930129287903 746.978918872642</t>
  </si>
  <si>
    <t>-724.478953107404 -42.2595220125966 223.500274003908</t>
  </si>
  <si>
    <t>-712.808854966415 21.508660828101 688.850960007599</t>
  </si>
  <si>
    <t>-583.362567155951 -64.5004688606048 771.25000415923</t>
  </si>
  <si>
    <t>9763-20170724T160730.426107600.bin</t>
  </si>
  <si>
    <t>-720.782097570178 17.0502837400807 -231.022563664629</t>
  </si>
  <si>
    <t>-742.321444055349 20.0845277295364 -350.164006142768</t>
  </si>
  <si>
    <t>-752.194679942981 11.506897172314 -470.660961685904</t>
  </si>
  <si>
    <t>-687.364268576951 130.01449270883 -779.535543154786</t>
  </si>
  <si>
    <t>-638.456174304417 177.762191862729 -470.481641096161</t>
  </si>
  <si>
    <t>-472.038623659046 129.817498170973 -276.449297224058</t>
  </si>
  <si>
    <t>-706.621929571346 114.290020648912 -230.830064777977</t>
  </si>
  <si>
    <t>-594.439592619344 183.974721372242 205.308452375891</t>
  </si>
  <si>
    <t>-528.482759112316 236.93989969175 667.482916969905</t>
  </si>
  <si>
    <t>-371.58840208671 235.893406298858 747.022639856763</t>
  </si>
  <si>
    <t>-724.489819641599 -42.1003567652988 223.496279408085</t>
  </si>
  <si>
    <t>-712.819542514681 21.5430486262953 688.856572487665</t>
  </si>
  <si>
    <t>-583.352724077577 -64.4424058683035 771.248057591119</t>
  </si>
  <si>
    <t>9763-20170724T160730.491285000.bin</t>
  </si>
  <si>
    <t>-720.972968285 17.5272889819385 -230.98337043009</t>
  </si>
  <si>
    <t>-742.566695018985 20.6517396036254 -350.112469120497</t>
  </si>
  <si>
    <t>-752.241329652225 12.0460714622882 -470.62349941861</t>
  </si>
  <si>
    <t>-686.6487651917 130.258463769941 -779.411819141151</t>
  </si>
  <si>
    <t>-637.908436236957 177.637662873779 -470.274759779466</t>
  </si>
  <si>
    <t>-471.620547498554 129.246311901282 -276.242131773049</t>
  </si>
  <si>
    <t>-706.797181291817 114.731672110371 -230.743575590427</t>
  </si>
  <si>
    <t>-594.721170398872 184.261544605712 205.446910499958</t>
  </si>
  <si>
    <t>-528.458617357136 236.910549199458 667.570118890761</t>
  </si>
  <si>
    <t>-371.570123725489 235.80122501134 747.120524540112</t>
  </si>
  <si>
    <t>-724.673469649867 -41.8654066701267 223.477839593046</t>
  </si>
  <si>
    <t>-712.846871917197 21.58098693744 688.856112562221</t>
  </si>
  <si>
    <t>-583.334425987192 -64.345377322062 771.237533479259</t>
  </si>
  <si>
    <t>9763-20170724T160730.524377100.bin</t>
  </si>
  <si>
    <t>-721.139178025298 17.8081459402147 -231.02596058179</t>
  </si>
  <si>
    <t>-742.783708547301 20.9261771204417 -350.146040841974</t>
  </si>
  <si>
    <t>-752.452339609921 12.354505030487 -470.659943555723</t>
  </si>
  <si>
    <t>-686.712520687022 130.826956881089 -779.313873037564</t>
  </si>
  <si>
    <t>-638.451040148598 177.874921745113 -470.051073729501</t>
  </si>
  <si>
    <t>-472.022185328472 129.236252134495 -276.201094296853</t>
  </si>
  <si>
    <t>-706.928741729479 115.080875208296 -230.806577951002</t>
  </si>
  <si>
    <t>-594.891625442286 184.395657312521 205.428210931811</t>
  </si>
  <si>
    <t>-528.451326741245 236.895880505571 667.612092189653</t>
  </si>
  <si>
    <t>-371.562847880035 235.755973433386 747.162013593798</t>
  </si>
  <si>
    <t>-724.704391711794 -41.682898046193 223.460047271631</t>
  </si>
  <si>
    <t>-712.869218909285 21.595241361643 688.859798512929</t>
  </si>
  <si>
    <t>-583.295356547778 -64.2482967091908 771.231005359345</t>
  </si>
  <si>
    <t>9763-20170724T160730.592079700.bin</t>
  </si>
  <si>
    <t>-721.49466927422 18.3817718876428 -230.972377518033</t>
  </si>
  <si>
    <t>-743.157044962016 21.4635714277258 -350.090155552092</t>
  </si>
  <si>
    <t>-752.701557638411 12.784401043504 -470.606259724016</t>
  </si>
  <si>
    <t>-686.519609335438 130.796678980268 -779.197082623255</t>
  </si>
  <si>
    <t>-638.745486953236 177.874554361946 -469.863124654592</t>
  </si>
  <si>
    <t>-472.137687435493 128.633204731852 -276.319423909775</t>
  </si>
  <si>
    <t>-707.432159832618 115.617908900347 -230.723962600741</t>
  </si>
  <si>
    <t>-595.142474769903 184.750590702 205.47480145299</t>
  </si>
  <si>
    <t>-528.458491541792 236.869824941328 667.667761596488</t>
  </si>
  <si>
    <t>-371.551304946239 235.729199255964 747.181077861215</t>
  </si>
  <si>
    <t>-724.809760767015 -41.3858190119558 223.483417718515</t>
  </si>
  <si>
    <t>-712.896780599549 21.6423111211 688.895373407988</t>
  </si>
  <si>
    <t>-583.275784938199 -64.1444577086943 771.251543138802</t>
  </si>
  <si>
    <t>9763-20170724T160730.624165000.bin</t>
  </si>
  <si>
    <t>-721.616404131412 18.5781530142333 -230.958989244811</t>
  </si>
  <si>
    <t>-743.36989974759 21.6806505021116 -350.059671228533</t>
  </si>
  <si>
    <t>-752.96935009606 12.9879735557104 -470.570349306912</t>
  </si>
  <si>
    <t>-756.783304574411 0.142384028387141 -579.268653471909</t>
  </si>
  <si>
    <t>-686.697206736588 130.858863006354 -779.180909950183</t>
  </si>
  <si>
    <t>-639.416750246657 178.145761474983 -469.802915503833</t>
  </si>
  <si>
    <t>-472.754166930586 127.995931509576 -276.539761044812</t>
  </si>
  <si>
    <t>-707.504214741257 115.87120599687 -230.724757107334</t>
  </si>
  <si>
    <t>-595.287501873518 184.840061420409 205.518676660662</t>
  </si>
  <si>
    <t>-528.462578873531 236.872306703057 667.691921157345</t>
  </si>
  <si>
    <t>-371.548358211639 235.708150906489 747.19077449973</t>
  </si>
  <si>
    <t>-724.882023082468 -41.3062774187099 223.514057522257</t>
  </si>
  <si>
    <t>-712.930764847606 21.6509374017646 688.912638591059</t>
  </si>
  <si>
    <t>-583.256184767198 -64.0684889614022 771.254564847339</t>
  </si>
  <si>
    <t>9763-20170724T160730.693880600.bin</t>
  </si>
  <si>
    <t>-721.943558512334 18.9594023558147 -230.927846772114</t>
  </si>
  <si>
    <t>-743.735316384461 22.1009902661217 -350.020509738792</t>
  </si>
  <si>
    <t>-753.304026617411 13.2975833847061 -470.525648993916</t>
  </si>
  <si>
    <t>-757.065235637132 0.290711214855719 -579.206586305991</t>
  </si>
  <si>
    <t>-686.754769016477 130.486226908256 -779.319229269591</t>
  </si>
  <si>
    <t>-639.465111290035 178.514861879288 -470.057042145318</t>
  </si>
  <si>
    <t>-472.881112770451 127.197027049687 -277.032892886791</t>
  </si>
  <si>
    <t>-707.722453280639 116.210526735971 -230.668967184234</t>
  </si>
  <si>
    <t>-595.570370225292 184.989741285664 205.621063338359</t>
  </si>
  <si>
    <t>-528.465558036254 236.891190520365 667.751226848208</t>
  </si>
  <si>
    <t>-371.539857337878 235.586993398952 747.225368371516</t>
  </si>
  <si>
    <t>-724.868556474995 -41.1423009599573 223.536585974627</t>
  </si>
  <si>
    <t>-712.978046451975 21.7098595676055 688.959922598932</t>
  </si>
  <si>
    <t>-583.197123156879 -63.8916258611371 771.257030149361</t>
  </si>
  <si>
    <t>9763-20170724T160730.722957100.bin</t>
  </si>
  <si>
    <t>-722.081300333965 19.1087385501312 -230.930772426239</t>
  </si>
  <si>
    <t>-743.960149066158 22.2551831986125 -350.007376311507</t>
  </si>
  <si>
    <t>-753.582642016571 13.46045330739 -470.508893191106</t>
  </si>
  <si>
    <t>-757.378659263538 0.461985261128348 -579.189552467595</t>
  </si>
  <si>
    <t>-686.976516127687 130.647924811655 -779.328868205929</t>
  </si>
  <si>
    <t>-639.771061937133 178.68086907321 -470.054436051453</t>
  </si>
  <si>
    <t>-473.047942123465 127.573705169537 -277.09453941241</t>
  </si>
  <si>
    <t>-707.802671170607 116.386605056845 -230.675227697791</t>
  </si>
  <si>
    <t>-595.601197907384 185.062646500906 205.618405858296</t>
  </si>
  <si>
    <t>-528.475901183468 236.883583028314 667.786664336272</t>
  </si>
  <si>
    <t>-371.537198028314 235.535574784419 747.23429683038</t>
  </si>
  <si>
    <t>-724.788938518487 -41.1042034422621 223.56378571464</t>
  </si>
  <si>
    <t>-712.983468012559 21.7558148559199 688.984220581047</t>
  </si>
  <si>
    <t>-583.179958628563 -63.8349716200642 771.256801768265</t>
  </si>
  <si>
    <t>9763-20170724T160730.792167500.bin</t>
  </si>
  <si>
    <t>-722.307165185635 19.2916071810357 -230.912621545547</t>
  </si>
  <si>
    <t>-744.366895505374 22.4646207019728 -349.955024283987</t>
  </si>
  <si>
    <t>-754.111809828478 13.6448046793489 -470.444931085834</t>
  </si>
  <si>
    <t>-757.994870150443 0.601711566183667 -579.117060943482</t>
  </si>
  <si>
    <t>-687.746242963196 130.666618747821 -779.285811765037</t>
  </si>
  <si>
    <t>-640.109316373203 178.720264895542 -470.080843595462</t>
  </si>
  <si>
    <t>-473.414072795856 127.977670855005 -277.000704810549</t>
  </si>
  <si>
    <t>-707.904049694639 116.582105020422 -230.652021634504</t>
  </si>
  <si>
    <t>-595.437353142044 185.031422409751 205.608983352733</t>
  </si>
  <si>
    <t>-528.504944606624 236.845045133787 667.835713180939</t>
  </si>
  <si>
    <t>-371.535808129516 235.457669811658 747.222381806777</t>
  </si>
  <si>
    <t>-724.693948884422 -41.0108140502905 223.596795946519</t>
  </si>
  <si>
    <t>-713.011584004004 21.8207814238824 689.024242281576</t>
  </si>
  <si>
    <t>-583.144985735714 -63.7105937082122 771.259030445389</t>
  </si>
  <si>
    <t>9763-20170724T160730.827760300.bin</t>
  </si>
  <si>
    <t>-722.419165246265 19.3606610958457 -230.868424516129</t>
  </si>
  <si>
    <t>-744.526553812161 22.5437344409629 -349.90177121739</t>
  </si>
  <si>
    <t>-754.300031087465 13.7241889558386 -470.389342570559</t>
  </si>
  <si>
    <t>-758.20165749045 0.67645062366114 -579.060343739796</t>
  </si>
  <si>
    <t>-687.876689627877 130.680091858653 -779.244317290127</t>
  </si>
  <si>
    <t>-640.398704188516 178.802182031193 -470.025447337402</t>
  </si>
  <si>
    <t>-473.496894756262 128.120591243361 -277.107719597384</t>
  </si>
  <si>
    <t>-708.000132765336 116.608617846036 -230.606792447113</t>
  </si>
  <si>
    <t>-595.345685356865 185.018186178676 205.611906983759</t>
  </si>
  <si>
    <t>-528.526887083291 236.825610087709 667.858778967327</t>
  </si>
  <si>
    <t>-371.536373415456 235.445337720638 747.203308262916</t>
  </si>
  <si>
    <t>-724.705950634266 -40.9889564027621 223.621423408694</t>
  </si>
  <si>
    <t>-713.009512768335 21.8553632681737 689.03930851121</t>
  </si>
  <si>
    <t>-583.146737568072 -63.6908336858696 771.264716421882</t>
  </si>
  <si>
    <t>9763-20170724T160730.890972300.bin</t>
  </si>
  <si>
    <t>-722.604369930179 19.5083855863045 -230.857189876744</t>
  </si>
  <si>
    <t>-744.951710351797 22.7216680261099 -349.84495228621</t>
  </si>
  <si>
    <t>-754.888476796671 13.9282196557074 -470.320979397781</t>
  </si>
  <si>
    <t>-758.906001470804 0.900045392349739 -578.990241113622</t>
  </si>
  <si>
    <t>-688.702651727961 130.927491391874 -779.1914391304</t>
  </si>
  <si>
    <t>-641.219452621635 179.435836465887 -470.033863320627</t>
  </si>
  <si>
    <t>-474.273096347951 127.847231296369 -277.395260318491</t>
  </si>
  <si>
    <t>-708.112157482372 116.799285753852 -230.584257139323</t>
  </si>
  <si>
    <t>-595.285533535199 185.03033809681 205.617938974853</t>
  </si>
  <si>
    <t>-528.590853632172 236.825328694618 667.901852402574</t>
  </si>
  <si>
    <t>-371.547349513954 235.397339505849 747.140716519793</t>
  </si>
  <si>
    <t>-724.596848708938 -40.919440228939 223.651835334563</t>
  </si>
  <si>
    <t>-713.019131920402 21.9152868249114 689.068658324839</t>
  </si>
  <si>
    <t>-583.101348907985 -63.5643004511294 771.2764614765</t>
  </si>
  <si>
    <t>9763-20170724T160730.923056200.bin</t>
  </si>
  <si>
    <t>-722.765301475201 19.5675151359981 -230.846106776947</t>
  </si>
  <si>
    <t>-745.182333979242 22.778126118403 -349.820677904736</t>
  </si>
  <si>
    <t>-755.181347093946 14.0113859937337 -470.293593615512</t>
  </si>
  <si>
    <t>-759.251483091767 1.01846038442363 -578.965054168839</t>
  </si>
  <si>
    <t>-689.004600449137 131.080652359715 -779.113640037438</t>
  </si>
  <si>
    <t>-641.792872498968 179.481922939666 -469.897657768735</t>
  </si>
  <si>
    <t>-474.776235308595 127.400053819911 -277.452778343271</t>
  </si>
  <si>
    <t>-708.210221530624 116.864779691129 -230.594158781168</t>
  </si>
  <si>
    <t>-595.351541537964 185.014666850642 205.612380799542</t>
  </si>
  <si>
    <t>-528.625791910534 236.819173098143 667.91659470489</t>
  </si>
  <si>
    <t>-371.553717104355 235.357712971987 747.098226625976</t>
  </si>
  <si>
    <t>-724.550687660945 -40.9051745790673 223.675226687625</t>
  </si>
  <si>
    <t>-713.027489077847 21.9489114634309 689.090419918212</t>
  </si>
  <si>
    <t>-583.076085693407 -63.4929659216691 771.284281863936</t>
  </si>
  <si>
    <t>9763-20170724T160730.990247500.bin</t>
  </si>
  <si>
    <t>-723.099678911796 19.6721275165489 -230.738987330044</t>
  </si>
  <si>
    <t>-745.638442194379 22.8976657966393 -349.690242486702</t>
  </si>
  <si>
    <t>-755.767238718081 14.1605552481417 -470.154459320446</t>
  </si>
  <si>
    <t>-759.955905028341 1.20095036073644 -578.825401729852</t>
  </si>
  <si>
    <t>-689.828756456992 131.307081539375 -778.874353330551</t>
  </si>
  <si>
    <t>-642.717426017989 179.137569862067 -469.554180246992</t>
  </si>
  <si>
    <t>-475.715065292265 126.256861413259 -277.315091317819</t>
  </si>
  <si>
    <t>-708.35142063897 116.996787278975 -230.528730056401</t>
  </si>
  <si>
    <t>-595.430391876314 184.970360571637 205.689220882287</t>
  </si>
  <si>
    <t>-528.727282349547 236.782687102152 667.982420132086</t>
  </si>
  <si>
    <t>-371.572223538534 235.347193669787 746.999626895639</t>
  </si>
  <si>
    <t>-724.735387960016 -40.8692452142398 223.765108458485</t>
  </si>
  <si>
    <t>-713.075307859599 21.9895920890685 689.139512005382</t>
  </si>
  <si>
    <t>-583.028270524185 -63.345031163964 771.293516318555</t>
  </si>
  <si>
    <t>9763-20170724T160731.023334300.bin</t>
  </si>
  <si>
    <t>-723.262468781596 19.660696906775 -230.680176650854</t>
  </si>
  <si>
    <t>-745.808347331748 22.9107588870691 -349.629399327453</t>
  </si>
  <si>
    <t>-755.973934859604 14.2091912362882 -470.093198272866</t>
  </si>
  <si>
    <t>-760.206942375424 1.28697456645455 -578.766802910809</t>
  </si>
  <si>
    <t>-690.142089300233 131.46336351 -778.746504907022</t>
  </si>
  <si>
    <t>-642.994967124344 178.941294750013 -469.37731200409</t>
  </si>
  <si>
    <t>-476.067113759406 125.76837775032 -277.154144191054</t>
  </si>
  <si>
    <t>-708.475047388953 116.974171010631 -230.46014064394</t>
  </si>
  <si>
    <t>-595.412830891364 184.930479305883 205.723913753288</t>
  </si>
  <si>
    <t>-528.814550554915 236.782384415388 668.056876503494</t>
  </si>
  <si>
    <t>-371.588209594479 235.32792988536 746.931632950136</t>
  </si>
  <si>
    <t>-724.866481967539 -40.8863273020654 223.808654375136</t>
  </si>
  <si>
    <t>-713.096243682723 22.0058240721889 689.160503548599</t>
  </si>
  <si>
    <t>-583.002283568176 -63.2752332097389 771.295835503065</t>
  </si>
  <si>
    <t>9763-20170724T160731.093528700.bin</t>
  </si>
  <si>
    <t>-723.460814909654 19.5257449661869 -230.551374656172</t>
  </si>
  <si>
    <t>-745.967745211949 22.7989353536825 -349.50747123347</t>
  </si>
  <si>
    <t>-756.147585035091 14.1440391272538 -469.973255513539</t>
  </si>
  <si>
    <t>-760.413296881812 1.27546944830397 -578.651914268857</t>
  </si>
  <si>
    <t>-690.496290553778 131.606527813769 -778.535169013423</t>
  </si>
  <si>
    <t>-643.269924000781 178.74349638568 -469.126210730003</t>
  </si>
  <si>
    <t>-476.250376144345 125.676269101377 -276.953301010749</t>
  </si>
  <si>
    <t>-708.611899757844 116.776745949365 -230.306487515284</t>
  </si>
  <si>
    <t>-595.294590968611 184.6532912919 205.823744040185</t>
  </si>
  <si>
    <t>-528.99888818054 236.615819821423 668.17074155038</t>
  </si>
  <si>
    <t>-371.628136111196 235.337467867862 746.760430077506</t>
  </si>
  <si>
    <t>-724.897661304315 -41.0212168129308 223.901129424585</t>
  </si>
  <si>
    <t>-713.110254569459 22.0708065060678 689.209821759846</t>
  </si>
  <si>
    <t>-583.007447586203 -63.2284852391531 771.312205359324</t>
  </si>
  <si>
    <t>9763-20170724T160731.155663400.bin</t>
  </si>
  <si>
    <t>-723.509650491161 19.2469728556271 -230.563939027599</t>
  </si>
  <si>
    <t>-746.099231171884 22.5198617333949 -349.504250123029</t>
  </si>
  <si>
    <t>-756.342419110624 13.9224163458421 -469.968979002327</t>
  </si>
  <si>
    <t>-760.655300095999 1.12902803821339 -578.654667039059</t>
  </si>
  <si>
    <t>-690.767906137695 131.642123790705 -778.460935785663</t>
  </si>
  <si>
    <t>-643.587371174207 179.047383765487 -469.086004733764</t>
  </si>
  <si>
    <t>-476.416475854387 126.314724042765 -276.952575589148</t>
  </si>
  <si>
    <t>-708.674752693724 116.481279996684 -230.329211946974</t>
  </si>
  <si>
    <t>-595.120066614442 184.326935180907 205.744179056891</t>
  </si>
  <si>
    <t>-529.037913836674 236.480625483573 668.072865057939</t>
  </si>
  <si>
    <t>-371.639894509547 235.243942125592 746.608578312294</t>
  </si>
  <si>
    <t>-724.699377793072 -41.2242651080387 223.931963405241</t>
  </si>
  <si>
    <t>-713.139997591625 22.1174709182098 689.239472985716</t>
  </si>
  <si>
    <t>-582.955793119184 -63.090046881827 771.308091832719</t>
  </si>
  <si>
    <t>9763-20170724T160731.187749200.bin</t>
  </si>
  <si>
    <t>-723.507080132792 19.0932673007201 -230.566629970866</t>
  </si>
  <si>
    <t>-746.11535817936 22.3687609874362 -349.503296794149</t>
  </si>
  <si>
    <t>-756.378855127448 13.7397837298317 -469.963980459472</t>
  </si>
  <si>
    <t>-760.711526690139 0.90401397669325 -578.643910361551</t>
  </si>
  <si>
    <t>-690.964366404726 131.350076622977 -778.465146454003</t>
  </si>
  <si>
    <t>-643.644726018633 178.989177446939 -469.147213501771</t>
  </si>
  <si>
    <t>-476.356006181327 126.486621501483 -277.053453162621</t>
  </si>
  <si>
    <t>-708.628231006221 116.269159300204 -230.353333228378</t>
  </si>
  <si>
    <t>-594.967996039395 184.143513038804 205.688056098795</t>
  </si>
  <si>
    <t>-528.989051816783 236.419955379969 667.955245604156</t>
  </si>
  <si>
    <t>-371.631873852785 235.191053988586 746.572690456769</t>
  </si>
  <si>
    <t>-724.574959003992 -41.320641404056 223.928074854404</t>
  </si>
  <si>
    <t>-713.122613262882 22.1678710251308 689.244805663146</t>
  </si>
  <si>
    <t>-582.953225729635 -63.0745993023866 771.300662595292</t>
  </si>
  <si>
    <t>9763-20170724T160731.228868900.bin</t>
  </si>
  <si>
    <t>-723.447364890475 18.9133336870068 -230.595480188505</t>
  </si>
  <si>
    <t>-746.111471348639 22.2147528254045 -349.520810271147</t>
  </si>
  <si>
    <t>-756.363130708683 13.5926833155629 -469.982931472613</t>
  </si>
  <si>
    <t>-760.657360050646 0.754653042894006 -578.664149456899</t>
  </si>
  <si>
    <t>-690.771131287665 131.148512753408 -778.455615101437</t>
  </si>
  <si>
    <t>-643.417680144435 178.994128239068 -469.174694711407</t>
  </si>
  <si>
    <t>-475.999738205296 126.775112149112 -277.11631905334</t>
  </si>
  <si>
    <t>-708.487876782652 116.040872037114 -230.413266411945</t>
  </si>
  <si>
    <t>-594.750784990284 183.934310856475 205.60511699999</t>
  </si>
  <si>
    <t>-528.907909163145 236.37001134378 667.828103654656</t>
  </si>
  <si>
    <t>-371.617131894104 235.130949710896 746.578241589395</t>
  </si>
  <si>
    <t>-724.543698412861 -41.4298674680458 223.907412010128</t>
  </si>
  <si>
    <t>-713.128592093215 22.1922897218901 689.232895253486</t>
  </si>
  <si>
    <t>-582.944565286612 -63.0386555281518 771.277529993205</t>
  </si>
  <si>
    <t>9763-20170724T160731.293691300.bin</t>
  </si>
  <si>
    <t>-723.333206594395 18.5973313248014 -230.733851535368</t>
  </si>
  <si>
    <t>-746.074487547963 21.9001800307906 -349.644546095176</t>
  </si>
  <si>
    <t>-756.32177755837 13.2971415554655 -470.108262011357</t>
  </si>
  <si>
    <t>-760.579109564307 0.480922164686945 -578.793500992624</t>
  </si>
  <si>
    <t>-690.237269017131 130.820933372368 -778.489731419558</t>
  </si>
  <si>
    <t>-643.255589746818 179.019816800339 -469.207132434128</t>
  </si>
  <si>
    <t>-475.65942354928 127.361777581547 -277.152306781118</t>
  </si>
  <si>
    <t>-708.139230718884 115.626075574344 -230.616371969859</t>
  </si>
  <si>
    <t>-594.120639582659 183.197677460343 205.378405841696</t>
  </si>
  <si>
    <t>-528.766455197039 236.311145312334 667.657919942402</t>
  </si>
  <si>
    <t>-371.5985858758 234.964930780514 746.65131069438</t>
  </si>
  <si>
    <t>-724.374637365099 -41.5588005320981 223.840629211333</t>
  </si>
  <si>
    <t>-713.102672785789 22.2556531057758 689.191352394114</t>
  </si>
  <si>
    <t>-582.965154072025 -63.0521908871713 771.229795198506</t>
  </si>
  <si>
    <t>9763-20170724T160731.324775200.bin</t>
  </si>
  <si>
    <t>-723.266477609423 18.4537877403375 -230.803177524634</t>
  </si>
  <si>
    <t>-746.025240281083 21.7303132278719 -349.711152448139</t>
  </si>
  <si>
    <t>-756.288773854503 13.1468838104008 -470.175146017806</t>
  </si>
  <si>
    <t>-760.560140046896 0.365772344674951 -578.86380620069</t>
  </si>
  <si>
    <t>-689.972776726367 130.705863212238 -778.485412377319</t>
  </si>
  <si>
    <t>-643.082751117741 178.962019746467 -469.197832238518</t>
  </si>
  <si>
    <t>-475.590355467084 127.412386341246 -277.023511286288</t>
  </si>
  <si>
    <t>-707.927893230621 115.431972081136 -230.723055387876</t>
  </si>
  <si>
    <t>-593.743076087131 182.614008575386 205.288497609625</t>
  </si>
  <si>
    <t>-528.712283535405 236.240478146133 667.591018369954</t>
  </si>
  <si>
    <t>-371.594884190245 234.922248491791 746.685013685672</t>
  </si>
  <si>
    <t>-724.327239915257 -41.5770052212022 223.815164483528</t>
  </si>
  <si>
    <t>-713.093866370908 22.2787211399418 689.176820153711</t>
  </si>
  <si>
    <t>-582.972292640765 -63.0516814354228 771.217122997876</t>
  </si>
  <si>
    <t>9763-20170724T160731.393985900.bin</t>
  </si>
  <si>
    <t>-723.115798552707 18.0644107114381 -230.787635314858</t>
  </si>
  <si>
    <t>-745.94289310526 21.3583207427725 -349.682100828623</t>
  </si>
  <si>
    <t>-756.280114346597 12.7561637574418 -470.138297322083</t>
  </si>
  <si>
    <t>-689.966081040783 130.138189003832 -778.397257654425</t>
  </si>
  <si>
    <t>-643.101696496665 178.503439154206 -469.122685435743</t>
  </si>
  <si>
    <t>-475.845418877603 126.502520497205 -276.864341051411</t>
  </si>
  <si>
    <t>-707.52270764176 114.922540853089 -230.746892026273</t>
  </si>
  <si>
    <t>-592.772202554331 181.609039557535 205.192296679349</t>
  </si>
  <si>
    <t>-528.590012942189 236.073133349546 667.447505052275</t>
  </si>
  <si>
    <t>-371.578282407546 234.803386211163 746.752077919405</t>
  </si>
  <si>
    <t>-724.430819284473 -41.6804442439698 223.829067481762</t>
  </si>
  <si>
    <t>-713.044569870911 22.3330661933942 689.156222660213</t>
  </si>
  <si>
    <t>-582.988636788023 -63.0820580985467 771.212452605628</t>
  </si>
  <si>
    <t>9763-20170724T160731.455155100.bin</t>
  </si>
  <si>
    <t>-723.094982189133 17.6013464400764 -230.767344867617</t>
  </si>
  <si>
    <t>-745.910973282572 20.9437313253236 -349.662587564357</t>
  </si>
  <si>
    <t>-756.197672334672 12.3681227893464 -470.124985150479</t>
  </si>
  <si>
    <t>-689.868282207095 129.896680789996 -778.271254088095</t>
  </si>
  <si>
    <t>-643.257583824774 178.141352925544 -468.939666841965</t>
  </si>
  <si>
    <t>-475.808413502461 125.911342518026 -276.911437463609</t>
  </si>
  <si>
    <t>-707.346320310503 114.379311655987 -230.729530796338</t>
  </si>
  <si>
    <t>-591.886433734002 181.169514141713 205.006336764226</t>
  </si>
  <si>
    <t>-528.49567701941 235.974611300212 667.341553337843</t>
  </si>
  <si>
    <t>-371.57078549498 234.717541972794 746.817934533224</t>
  </si>
  <si>
    <t>-724.754823064104 -41.8282950652854 223.819684291006</t>
  </si>
  <si>
    <t>-712.988479893684 22.3608768037711 689.114829482679</t>
  </si>
  <si>
    <t>-583.007825989299 -63.1366623330059 771.204511732821</t>
  </si>
  <si>
    <t>9763-20170724T160731.489250400.bin</t>
  </si>
  <si>
    <t>-723.066498873279 17.4789313663473 -230.789238139831</t>
  </si>
  <si>
    <t>-745.832387253586 20.7717013072197 -349.695344647235</t>
  </si>
  <si>
    <t>-756.044036697145 12.1819648647909 -470.163196469468</t>
  </si>
  <si>
    <t>-689.648534496365 129.824751230486 -778.195315282057</t>
  </si>
  <si>
    <t>-643.270804513072 177.947293010504 -468.809720484422</t>
  </si>
  <si>
    <t>-475.671384038399 125.704401857654 -276.916060981028</t>
  </si>
  <si>
    <t>-707.348653662227 114.229294259985 -230.742831279323</t>
  </si>
  <si>
    <t>-591.614415005437 181.077539555151 204.911350986064</t>
  </si>
  <si>
    <t>-528.486037848931 235.939313496369 667.320444517144</t>
  </si>
  <si>
    <t>-371.575165208125 234.669643164769 746.824377041024</t>
  </si>
  <si>
    <t>-724.845588997621 -41.8554053305206 223.826633318634</t>
  </si>
  <si>
    <t>-712.953628341028 22.378055228633 689.105365089301</t>
  </si>
  <si>
    <t>-583.01739429612 -63.1699372340083 771.212788802993</t>
  </si>
  <si>
    <t>9763-20170724T160731.523338300.bin</t>
  </si>
  <si>
    <t>-723.058789925971 17.4471568461322 -230.786593653139</t>
  </si>
  <si>
    <t>-745.753532453979 20.7013341946588 -349.707500698392</t>
  </si>
  <si>
    <t>-755.872168716997 12.1301815334868 -470.184554454949</t>
  </si>
  <si>
    <t>-689.221918459865 129.938496014317 -778.077988884277</t>
  </si>
  <si>
    <t>-643.1894271058 178.102787943776 -468.647139081969</t>
  </si>
  <si>
    <t>-475.471763252363 125.728951000754 -276.892601510448</t>
  </si>
  <si>
    <t>-707.401959417185 114.203193389223 -230.733061685325</t>
  </si>
  <si>
    <t>-591.540620071741 181.010464391218 204.893609951545</t>
  </si>
  <si>
    <t>-528.494256097008 235.917274979263 667.309891571498</t>
  </si>
  <si>
    <t>-371.581575583109 234.654825169147 746.81037739953</t>
  </si>
  <si>
    <t>-724.883434691735 -41.823801542557 223.829200211928</t>
  </si>
  <si>
    <t>-712.931652646632 22.3909614789084 689.103587228686</t>
  </si>
  <si>
    <t>-583.03885473426 -63.2079417157618 771.226644482337</t>
  </si>
  <si>
    <t>9763-20170724T160731.592545500.bin</t>
  </si>
  <si>
    <t>-722.993069657154 17.4595134194401 -230.808740718873</t>
  </si>
  <si>
    <t>-745.596338893854 20.65502119045 -349.748639357242</t>
  </si>
  <si>
    <t>-755.61512403659 12.1273558270477 -470.236963744055</t>
  </si>
  <si>
    <t>-688.557326126481 130.212521321283 -777.913999450726</t>
  </si>
  <si>
    <t>-643.406003841937 178.405631189913 -468.357883803696</t>
  </si>
  <si>
    <t>-475.363342472715 125.482587147693 -277.039070186489</t>
  </si>
  <si>
    <t>-707.430876931066 114.17930582949 -230.753277424553</t>
  </si>
  <si>
    <t>-591.855236356661 181.021320759373 204.943864001376</t>
  </si>
  <si>
    <t>-528.522890207621 235.906555761821 667.302135301247</t>
  </si>
  <si>
    <t>-371.593100160615 234.669896796057 746.769321114154</t>
  </si>
  <si>
    <t>-724.924411842095 -41.7221641902286 223.827112323282</t>
  </si>
  <si>
    <t>-712.89814734559 22.4142732378446 689.095478686046</t>
  </si>
  <si>
    <t>-583.038430721058 -63.2044890864056 771.250137798125</t>
  </si>
  <si>
    <t>9763-20170724T160731.626636500.bin</t>
  </si>
  <si>
    <t>-723.070557591118 17.4505786013026 -230.799278287771</t>
  </si>
  <si>
    <t>-745.56895393298 20.6302877860808 -349.759377857196</t>
  </si>
  <si>
    <t>-755.515367467232 12.1267439517596 -470.255585012331</t>
  </si>
  <si>
    <t>-688.30606852889 130.339653101076 -777.850985530745</t>
  </si>
  <si>
    <t>-643.312824034231 178.482618076977 -468.264052418151</t>
  </si>
  <si>
    <t>-475.255381751383 125.2255117055 -277.050984199755</t>
  </si>
  <si>
    <t>-707.532359037937 114.191838016877 -230.753030764938</t>
  </si>
  <si>
    <t>-592.1239456696 181.10374844548 204.977693350047</t>
  </si>
  <si>
    <t>-528.540565196139 235.934303683409 667.306626769345</t>
  </si>
  <si>
    <t>-371.595485712997 234.693110399887 746.743424094926</t>
  </si>
  <si>
    <t>-725.091056849288 -41.6992131861612 223.819729278292</t>
  </si>
  <si>
    <t>-712.89262728102 22.4098881454406 689.08190710567</t>
  </si>
  <si>
    <t>-583.042041146153 -63.2075604389149 771.252395013632</t>
  </si>
  <si>
    <t>9763-20170724T160731.688813900.bin</t>
  </si>
  <si>
    <t>-723.391997897611 17.4596071357455 -230.788511135492</t>
  </si>
  <si>
    <t>-745.762144106589 20.6668560403389 -349.772091561603</t>
  </si>
  <si>
    <t>-755.646599513391 12.1788709003033 -470.274508944102</t>
  </si>
  <si>
    <t>-688.458379009007 130.417845097222 -777.783549336892</t>
  </si>
  <si>
    <t>-643.595825274786 178.590386448427 -468.182264010097</t>
  </si>
  <si>
    <t>-475.746210817999 125.053045341725 -276.864922928911</t>
  </si>
  <si>
    <t>-707.897319375838 114.263742009413 -230.708128209612</t>
  </si>
  <si>
    <t>-592.764767300867 181.333477253566 205.071329008157</t>
  </si>
  <si>
    <t>-528.597923323909 236.057837223229 667.338840917169</t>
  </si>
  <si>
    <t>-371.608155297987 234.658525137798 746.684859518022</t>
  </si>
  <si>
    <t>-725.690019566788 -41.5982172521492 223.789076160794</t>
  </si>
  <si>
    <t>-712.87603324191 22.3968165869273 689.043281490487</t>
  </si>
  <si>
    <t>-583.043457408364 -63.211338383908 771.251914369038</t>
  </si>
  <si>
    <t>9763-20170724T160731.726912400.bin</t>
  </si>
  <si>
    <t>-723.589723943898 17.4720941303233 -230.762785581057</t>
  </si>
  <si>
    <t>-745.835585374963 20.699250878271 -349.769094359525</t>
  </si>
  <si>
    <t>-755.651311427372 12.2538377540386 -470.280084201521</t>
  </si>
  <si>
    <t>-688.177607950865 130.577070726617 -777.742876606749</t>
  </si>
  <si>
    <t>-643.698136305505 179.45809425696 -468.19730586664</t>
  </si>
  <si>
    <t>-475.856249360887 125.873199532999 -276.886597834808</t>
  </si>
  <si>
    <t>-708.086344668396 114.268183717597 -230.664183104048</t>
  </si>
  <si>
    <t>-593.073139520959 181.455725642213 205.128725495534</t>
  </si>
  <si>
    <t>-528.651095616549 236.12694424841 667.380339610936</t>
  </si>
  <si>
    <t>-371.62171470828 234.657296559874 746.64659942797</t>
  </si>
  <si>
    <t>-726.038346942486 -41.5597071519217 223.776237777859</t>
  </si>
  <si>
    <t>-712.874703291991 22.3858545253609 689.02584744938</t>
  </si>
  <si>
    <t>-583.054483630619 -63.2259414540174 771.250160977376</t>
  </si>
  <si>
    <t>9763-20170724T160731.788003000.bin</t>
  </si>
  <si>
    <t>-723.868208283193 17.5936828472436 -230.795304139403</t>
  </si>
  <si>
    <t>-745.999762585588 20.8380409570852 -349.822460381341</t>
  </si>
  <si>
    <t>-755.744402334034 12.361852009341 -470.337015566631</t>
  </si>
  <si>
    <t>-688.246861360067 130.556837876292 -777.857378886206</t>
  </si>
  <si>
    <t>-645.105920512178 181.210410262387 -468.407519491418</t>
  </si>
  <si>
    <t>-476.769739655227 126.94010941543 -277.725240014283</t>
  </si>
  <si>
    <t>-708.197890589658 114.397122736108 -230.671924689523</t>
  </si>
  <si>
    <t>-593.467916657468 181.529347011865 205.204195839206</t>
  </si>
  <si>
    <t>-528.773786515211 236.243403955589 667.459093824981</t>
  </si>
  <si>
    <t>-371.642939590172 234.652406465761 746.521533680844</t>
  </si>
  <si>
    <t>-726.489936802391 -41.4107159817318 223.748365914176</t>
  </si>
  <si>
    <t>-712.841018097125 22.3971925725748 688.993206877613</t>
  </si>
  <si>
    <t>-583.081290305467 -63.2684549558664 771.256948309623</t>
  </si>
  <si>
    <t>9763-20170724T160731.823099400.bin</t>
  </si>
  <si>
    <t>-723.988892985647 17.6691327116155 -230.770142228266</t>
  </si>
  <si>
    <t>-746.104417407429 20.9319617246038 -349.799836773946</t>
  </si>
  <si>
    <t>-755.814871646307 12.4779176328968 -470.318815075961</t>
  </si>
  <si>
    <t>-688.184279281555 130.73218373807 -777.872887644231</t>
  </si>
  <si>
    <t>-645.730428667214 182.512589778862 -468.514376362374</t>
  </si>
  <si>
    <t>-476.899704099171 127.862621359876 -278.37856131271</t>
  </si>
  <si>
    <t>-708.285979404534 114.432187502453 -230.627672337621</t>
  </si>
  <si>
    <t>-593.507796562385 181.539567670965 205.239489467018</t>
  </si>
  <si>
    <t>-528.83694985347 236.260425633931 667.484031065154</t>
  </si>
  <si>
    <t>-371.653315814876 234.644346742427 746.441107898992</t>
  </si>
  <si>
    <t>-726.739465267239 -41.3619979496823 223.758278275185</t>
  </si>
  <si>
    <t>-712.83466352813 22.3992963534454 688.985976785553</t>
  </si>
  <si>
    <t>-583.088963579864 -63.2713980307174 771.26657595696</t>
  </si>
  <si>
    <t>9763-20170724T160731.898029200.bin</t>
  </si>
  <si>
    <t>-724.320796963382 17.884240196094 -230.77295951579</t>
  </si>
  <si>
    <t>-746.502848396237 21.2145702746629 -349.788415184092</t>
  </si>
  <si>
    <t>-756.250900449013 12.7299721256588 -470.302157123221</t>
  </si>
  <si>
    <t>-760.0712563756 0.0689823147793049 -579.021727273172</t>
  </si>
  <si>
    <t>-688.48819059247 130.633636572087 -777.965060453861</t>
  </si>
  <si>
    <t>-647.430682360978 184.919844046277 -468.847774959947</t>
  </si>
  <si>
    <t>-477.896542851895 129.553879503125 -279.546959459825</t>
  </si>
  <si>
    <t>-708.385296128481 114.689807182964 -230.610453319795</t>
  </si>
  <si>
    <t>-593.389520532558 181.497415134025 205.245488142135</t>
  </si>
  <si>
    <t>-529.007233662327 236.211024026782 667.57307149118</t>
  </si>
  <si>
    <t>-371.685080747799 234.653269919417 746.254980746402</t>
  </si>
  <si>
    <t>-726.976342626595 -41.25664143519 223.756713593346</t>
  </si>
  <si>
    <t>-712.841272653912 22.4056108392513 688.988863740916</t>
  </si>
  <si>
    <t>-583.087930405775 -63.2423484776041 771.281061336711</t>
  </si>
  <si>
    <t>9763-20170724T160731.930620600.bin</t>
  </si>
  <si>
    <t>-724.457010250239 17.9866203128875 -230.722132199762</t>
  </si>
  <si>
    <t>-746.674189036554 21.363131221648 -349.729607122461</t>
  </si>
  <si>
    <t>-756.445870890891 12.9162325484624 -470.244054610923</t>
  </si>
  <si>
    <t>-760.283263480234 0.284924733171465 -578.9665642273</t>
  </si>
  <si>
    <t>-688.329618904318 130.763383297493 -777.89325136175</t>
  </si>
  <si>
    <t>-648.06760078226 186.301250852356 -468.893819907307</t>
  </si>
  <si>
    <t>-478.335727390529 130.565910008783 -279.878633058068</t>
  </si>
  <si>
    <t>-708.475939781733 114.714374417698 -230.546428623331</t>
  </si>
  <si>
    <t>-593.289305833255 181.470229844351 205.266964095671</t>
  </si>
  <si>
    <t>-529.122443787954 236.144518749527 667.637253170524</t>
  </si>
  <si>
    <t>-371.711383133473 234.630641850624 746.141621019435</t>
  </si>
  <si>
    <t>-727.048740753995 -41.1813962334888 223.764492969209</t>
  </si>
  <si>
    <t>-712.827835935141 22.4306887518358 688.997869603421</t>
  </si>
  <si>
    <t>-583.098310274236 -63.2456588852888 771.298075669079</t>
  </si>
  <si>
    <t>9763-20170724T160731.990282000.bin</t>
  </si>
  <si>
    <t>-724.54193382139 18.2190469812213 -230.709932706039</t>
  </si>
  <si>
    <t>-746.767391824178 21.6161161150101 -349.71542094316</t>
  </si>
  <si>
    <t>-756.604879526887 13.1135728602014 -470.220590271864</t>
  </si>
  <si>
    <t>-760.527027990285 0.401551532166877 -578.930592681158</t>
  </si>
  <si>
    <t>-688.545592128582 130.539441653137 -778.03601879004</t>
  </si>
  <si>
    <t>-649.382466815739 188.156487674675 -469.275959223721</t>
  </si>
  <si>
    <t>-479.594856867232 131.597867590399 -280.555772195758</t>
  </si>
  <si>
    <t>-708.41451490853 114.841263761561 -230.551306065991</t>
  </si>
  <si>
    <t>-593.063050964787 181.339745282924 205.257906174633</t>
  </si>
  <si>
    <t>-529.261412084178 235.974317457525 667.591580351321</t>
  </si>
  <si>
    <t>-371.750803395224 234.602806060566 745.898903314843</t>
  </si>
  <si>
    <t>-727.009811770462 -41.0949661527429 223.788757868166</t>
  </si>
  <si>
    <t>-712.806154834516 22.4824567069802 689.021445194831</t>
  </si>
  <si>
    <t>-583.133713234903 -63.2861483402567 771.315539454613</t>
  </si>
  <si>
    <t>9763-20170724T160732.022366300.bin</t>
  </si>
  <si>
    <t>-724.549931865906 18.3653680030168 -230.742487641051</t>
  </si>
  <si>
    <t>-746.800192288631 21.7993937665597 -349.742207807958</t>
  </si>
  <si>
    <t>-756.655239379803 13.3166191935393 -470.247368346399</t>
  </si>
  <si>
    <t>-760.590843620714 0.614846157805687 -578.958128210171</t>
  </si>
  <si>
    <t>-688.305089031497 130.611691952465 -778.074410201286</t>
  </si>
  <si>
    <t>-649.583497377789 189.203664507663 -469.442215635465</t>
  </si>
  <si>
    <t>-479.821547619828 132.43896569196 -280.760697263384</t>
  </si>
  <si>
    <t>-708.358318593784 114.954598691816 -230.614316873012</t>
  </si>
  <si>
    <t>-592.961191079452 181.347789996016 205.198924664732</t>
  </si>
  <si>
    <t>-529.232166883376 235.940807753418 667.484742890857</t>
  </si>
  <si>
    <t>-371.744555437095 234.528710043876 745.837751908737</t>
  </si>
  <si>
    <t>-726.988070260997 -41.0041872823979 223.759879647746</t>
  </si>
  <si>
    <t>-712.786154044786 22.5123227592269 689.017161236849</t>
  </si>
  <si>
    <t>-583.141303822907 -63.2987036365519 771.310500403145</t>
  </si>
  <si>
    <t>9763-20170724T160732.092213500.bin</t>
  </si>
  <si>
    <t>-724.491708998687 18.7168273069401 -230.938389716851</t>
  </si>
  <si>
    <t>-746.847818837845 22.2151553961316 -349.916370928404</t>
  </si>
  <si>
    <t>-756.806730409953 13.724774815237 -470.412340534015</t>
  </si>
  <si>
    <t>-760.836702476651 0.986206555683111 -579.115361445853</t>
  </si>
  <si>
    <t>-688.297397088118 130.677864227189 -778.35657796667</t>
  </si>
  <si>
    <t>-650.529210327531 191.113224918952 -469.96186102364</t>
  </si>
  <si>
    <t>-481.016406869484 134.146080311392 -281.117511518832</t>
  </si>
  <si>
    <t>-708.114903157397 115.197100678447 -230.864735328672</t>
  </si>
  <si>
    <t>-592.58081960014 181.377396640938 204.944519348714</t>
  </si>
  <si>
    <t>-529.040833441298 235.837645340146 667.203415325514</t>
  </si>
  <si>
    <t>-371.711385819458 234.400978784778 745.872896630125</t>
  </si>
  <si>
    <t>-726.798082922156 -40.8535812375494 223.650231111189</t>
  </si>
  <si>
    <t>-712.791133494247 22.5549400134153 688.992026617267</t>
  </si>
  <si>
    <t>-583.130438668696 -63.2514618324376 771.265190343634</t>
  </si>
  <si>
    <t>9763-20170724T160732.125318300.bin</t>
  </si>
  <si>
    <t>-724.434601852756 18.9536976249151 -231.029067625446</t>
  </si>
  <si>
    <t>-746.796343889762 22.4537645247144 -350.005978123558</t>
  </si>
  <si>
    <t>-756.807746013053 13.9449684405695 -470.496487306012</t>
  </si>
  <si>
    <t>-760.904987743281 1.18186870734712 -579.19399297734</t>
  </si>
  <si>
    <t>-688.375562898348 130.744656603401 -778.513213084963</t>
  </si>
  <si>
    <t>-650.897036426603 191.827423662372 -470.210683571697</t>
  </si>
  <si>
    <t>-481.735860185051 135.031262598159 -280.999864086729</t>
  </si>
  <si>
    <t>-707.954061747455 115.408320337112 -230.98706326216</t>
  </si>
  <si>
    <t>-592.346317210677 181.41881406611 204.828466739769</t>
  </si>
  <si>
    <t>-528.976460371458 235.846266140984 667.149983065884</t>
  </si>
  <si>
    <t>-371.701964064732 234.327901977841 745.927742634112</t>
  </si>
  <si>
    <t>-726.688621602356 -40.7073892783235 223.581074817274</t>
  </si>
  <si>
    <t>-712.748978854465 22.6026844008506 688.968632559465</t>
  </si>
  <si>
    <t>-583.142314464826 -63.2869870099103 771.240073794689</t>
  </si>
  <si>
    <t>9763-20170724T160732.187473800.bin</t>
  </si>
  <si>
    <t>-724.239093990733 19.37925490461 -231.147942671008</t>
  </si>
  <si>
    <t>-746.723293525684 22.9500433898584 -350.099697156132</t>
  </si>
  <si>
    <t>-756.927341781135 14.4567239194007 -470.57505558007</t>
  </si>
  <si>
    <t>-761.227584820678 1.68572066151887 -579.263930947265</t>
  </si>
  <si>
    <t>-688.810639149919 131.034697352412 -778.708644787685</t>
  </si>
  <si>
    <t>-652.19951393852 192.830720023693 -470.44392344841</t>
  </si>
  <si>
    <t>-483.718626039373 136.034803769027 -280.627145756573</t>
  </si>
  <si>
    <t>-707.6356679097 115.737929064353 -231.081193349233</t>
  </si>
  <si>
    <t>-591.782075943489 181.408337201624 204.720425174493</t>
  </si>
  <si>
    <t>-528.866250293743 235.71203963228 667.09767273331</t>
  </si>
  <si>
    <t>-371.682844272128 234.283290544804 746.058870717603</t>
  </si>
  <si>
    <t>-726.454772343864 -40.4675510143352 223.503086726713</t>
  </si>
  <si>
    <t>-712.732236219013 22.6559917067441 688.94988518141</t>
  </si>
  <si>
    <t>-583.120944790274 -63.2405496079896 771.206882614806</t>
  </si>
  <si>
    <t>9763-20170724T160732.226579000.bin</t>
  </si>
  <si>
    <t>-724.158466149261 19.5750285647296 -231.184190756352</t>
  </si>
  <si>
    <t>-746.703780243205 23.1805323499259 -350.123233286003</t>
  </si>
  <si>
    <t>-757.02001724258 14.7232215174874 -470.591640810362</t>
  </si>
  <si>
    <t>-761.442315143267 1.98532646969443 -579.279503145808</t>
  </si>
  <si>
    <t>-689.092640492341 131.305986305879 -778.732904484419</t>
  </si>
  <si>
    <t>-652.60613287265 193.873341679461 -470.609116130037</t>
  </si>
  <si>
    <t>-484.548962727441 136.520492945619 -280.584086073196</t>
  </si>
  <si>
    <t>-707.452970239454 115.892066273883 -231.119808298035</t>
  </si>
  <si>
    <t>-591.462345301017 181.433984802655 204.664580571031</t>
  </si>
  <si>
    <t>-528.804938831853 235.709931358874 667.081492811578</t>
  </si>
  <si>
    <t>-371.671212128023 234.265562497785 746.141147871328</t>
  </si>
  <si>
    <t>-726.290353879816 -40.3914003259681 223.474100828931</t>
  </si>
  <si>
    <t>-712.704804362502 22.6953471121044 688.941452109046</t>
  </si>
  <si>
    <t>-583.130540377309 -63.2627597033249 771.192449279347</t>
  </si>
  <si>
    <t>9763-20170724T160732.288752200.bin</t>
  </si>
  <si>
    <t>-723.958661876548 19.9682110618537 -231.281654792267</t>
  </si>
  <si>
    <t>-746.571259061652 23.6264050254088 -350.206437002273</t>
  </si>
  <si>
    <t>-757.061738417827 15.216297897927 -470.663066268478</t>
  </si>
  <si>
    <t>-761.684079988241 2.52045396294193 -579.347408765882</t>
  </si>
  <si>
    <t>-689.549728678238 131.813058347464 -778.953269501791</t>
  </si>
  <si>
    <t>-654.150336467859 195.480985067144 -470.928202876904</t>
  </si>
  <si>
    <t>-486.465003059099 137.457625956642 -280.778265619026</t>
  </si>
  <si>
    <t>-707.107232656411 116.221218860705 -231.212011450715</t>
  </si>
  <si>
    <t>-590.992005144341 181.589068387092 204.565491849632</t>
  </si>
  <si>
    <t>-528.666500126415 235.695725534269 667.043990393709</t>
  </si>
  <si>
    <t>-371.644067632728 234.194694562056 746.323372257222</t>
  </si>
  <si>
    <t>-725.964288568744 -40.2066482389957 223.390203277787</t>
  </si>
  <si>
    <t>-712.673921381227 22.7389844923871 688.915222735455</t>
  </si>
  <si>
    <t>-583.100477474164 -63.2264185012796 771.159893803283</t>
  </si>
  <si>
    <t>9763-20170724T160732.322843900.bin</t>
  </si>
  <si>
    <t>-723.867207131239 20.2399713767315 -231.320624922983</t>
  </si>
  <si>
    <t>-746.561087806835 23.9022857783273 -350.229777363074</t>
  </si>
  <si>
    <t>-757.169876953913 15.5314382172583 -470.678588120528</t>
  </si>
  <si>
    <t>-761.912666305864 2.88573113242705 -579.363733440947</t>
  </si>
  <si>
    <t>-689.930220471346 132.268792502183 -778.925441608192</t>
  </si>
  <si>
    <t>-655.071570816057 196.624486355401 -470.981597561562</t>
  </si>
  <si>
    <t>-487.441708145414 138.312291214708 -280.871054632835</t>
  </si>
  <si>
    <t>-706.922681224969 116.478893441956 -231.259449989295</t>
  </si>
  <si>
    <t>-590.876606864288 181.680124060028 204.561252666963</t>
  </si>
  <si>
    <t>-528.628454566114 235.687450445371 667.075790823042</t>
  </si>
  <si>
    <t>-371.641143186379 234.13106806142 746.423520891442</t>
  </si>
  <si>
    <t>-725.75311235535 -40.0697865245425 223.372274472702</t>
  </si>
  <si>
    <t>-712.65590982659 22.7638296297316 688.916949735582</t>
  </si>
  <si>
    <t>-583.103023463984 -63.2375355539969 771.156369179222</t>
  </si>
  <si>
    <t>9763-20170724T160732.389051700.bin</t>
  </si>
  <si>
    <t>-723.789401637715 20.668294086249 -231.327813065266</t>
  </si>
  <si>
    <t>-746.818406552105 24.3932204935365 -350.170580597882</t>
  </si>
  <si>
    <t>-757.713253994003 16.1078568132168 -470.59999759066</t>
  </si>
  <si>
    <t>-762.693776393722 3.54559192048396 -579.284126726967</t>
  </si>
  <si>
    <t>-691.078471241398 133.088470651478 -778.867086329395</t>
  </si>
  <si>
    <t>-656.932074824653 197.822528142291 -470.922741544021</t>
  </si>
  <si>
    <t>-489.808524441929 138.908648990741 -280.552194875791</t>
  </si>
  <si>
    <t>-706.837205832848 116.905528903811 -231.243894889527</t>
  </si>
  <si>
    <t>-590.642032078452 181.870483518253 204.572478636499</t>
  </si>
  <si>
    <t>-528.563813875079 235.646011985353 667.141124816604</t>
  </si>
  <si>
    <t>-371.636310706769 234.083688332456 746.606993873535</t>
  </si>
  <si>
    <t>-725.213100546165 -39.9508288297268 223.382390384316</t>
  </si>
  <si>
    <t>-712.680169790664 22.7896946864328 688.958898517862</t>
  </si>
  <si>
    <t>-583.019579417459 -63.0933420855924 771.152239526111</t>
  </si>
  <si>
    <t>9763-20170724T160732.424140000.bin</t>
  </si>
  <si>
    <t>-723.882057229523 20.8510279584571 -231.279064292179</t>
  </si>
  <si>
    <t>-747.018143843912 24.5998769347336 -350.100346953626</t>
  </si>
  <si>
    <t>-758.021807131481 16.3826495282817 -470.524326116514</t>
  </si>
  <si>
    <t>-763.100467506463 3.89880940835315 -579.212927467225</t>
  </si>
  <si>
    <t>-691.626399473699 133.606020675633 -778.757698360894</t>
  </si>
  <si>
    <t>-657.759643226237 198.187534224523 -470.750374951357</t>
  </si>
  <si>
    <t>-490.826547984484 139.256299213193 -280.218312628709</t>
  </si>
  <si>
    <t>-706.858524043048 117.097625638746 -231.215278204656</t>
  </si>
  <si>
    <t>-590.549719273739 181.923962180198 204.59146733927</t>
  </si>
  <si>
    <t>-528.541433362415 235.612330957917 667.188403304778</t>
  </si>
  <si>
    <t>-371.637042845084 234.057768139451 746.700118544626</t>
  </si>
  <si>
    <t>-724.872880142951 -39.9475466379679 223.403960842735</t>
  </si>
  <si>
    <t>-712.700931227435 22.8098125218387 688.989754506137</t>
  </si>
  <si>
    <t>-582.961755356345 -62.9924707979137 771.143461088055</t>
  </si>
  <si>
    <t>9763-20170724T160732.487239100.bin</t>
  </si>
  <si>
    <t>-724.046262183074 21.1273210603947 -231.134981362016</t>
  </si>
  <si>
    <t>-747.515016230863 24.9367761869701 -349.888999636812</t>
  </si>
  <si>
    <t>-758.755217221375 16.8200948346971 -470.298004550149</t>
  </si>
  <si>
    <t>-764.006676185298 4.44032450465716 -578.990439332559</t>
  </si>
  <si>
    <t>-752.582191287349 0.0566886357776184 -776.019093596783</t>
  </si>
  <si>
    <t>-692.976215785804 134.453293857004 -778.48135577078</t>
  </si>
  <si>
    <t>-659.236213948958 198.379632217775 -470.323486041943</t>
  </si>
  <si>
    <t>-492.657161759408 139.779215303652 -279.379776593188</t>
  </si>
  <si>
    <t>-707.103003655996 117.352792417077 -231.032625274403</t>
  </si>
  <si>
    <t>-590.38223515292 182.028708340413 204.686301023406</t>
  </si>
  <si>
    <t>-528.513576988043 235.56021350139 667.309760855645</t>
  </si>
  <si>
    <t>-371.641110005965 234.051995133048 746.885416322134</t>
  </si>
  <si>
    <t>-724.01681615995 -40.0626813453371 223.507653468158</t>
  </si>
  <si>
    <t>-712.7055581212 22.8935836601017 689.078453199687</t>
  </si>
  <si>
    <t>-582.866800035594 -62.8450598183533 771.14118927969</t>
  </si>
  <si>
    <t>9763-20170724T160732.520327000.bin</t>
  </si>
  <si>
    <t>-724.105240724355 21.2369420073021 -231.072734388476</t>
  </si>
  <si>
    <t>-747.717539815329 25.0621920217714 -349.79762510936</t>
  </si>
  <si>
    <t>-759.054973120276 17.011875890589 -470.202164620589</t>
  </si>
  <si>
    <t>-764.375213340764 4.70983992420997 -578.89983619719</t>
  </si>
  <si>
    <t>-753.032633982129 0.507987142271759 -775.934831270246</t>
  </si>
  <si>
    <t>-693.434488563095 134.921048976053 -778.342850968243</t>
  </si>
  <si>
    <t>-659.947905661057 198.638647017796 -470.11409392193</t>
  </si>
  <si>
    <t>-493.471686375001 140.157182921987 -279.04445944945</t>
  </si>
  <si>
    <t>-707.198954348415 117.481419129993 -230.960508969178</t>
  </si>
  <si>
    <t>-590.325260367114 182.061073866836 204.731781627049</t>
  </si>
  <si>
    <t>-528.511013921814 235.549341557064 667.375593804189</t>
  </si>
  <si>
    <t>-371.64892799936 234.074962883735 746.972203884368</t>
  </si>
  <si>
    <t>-723.578740471636 -40.1225534726416 223.555753476077</t>
  </si>
  <si>
    <t>-712.671877736398 22.9492020906466 689.114390347391</t>
  </si>
  <si>
    <t>-582.839240954776 -62.8263142277881 771.148262175503</t>
  </si>
  <si>
    <t>9763-20170724T160732.588170500.bin</t>
  </si>
  <si>
    <t>-724.156299137877 21.4228133586375 -230.94371543078</t>
  </si>
  <si>
    <t>-748.011289295463 25.2635413194762 -349.619756358566</t>
  </si>
  <si>
    <t>-759.5127675866 17.2876761539962 -470.013539098792</t>
  </si>
  <si>
    <t>-764.947882725986 5.07391679638158 -578.715582926871</t>
  </si>
  <si>
    <t>-753.755445315953 1.08678900838186 -775.760592433943</t>
  </si>
  <si>
    <t>-694.314575850684 135.56660019521 -778.139576700511</t>
  </si>
  <si>
    <t>-661.175216413569 199.253016720753 -469.867013762883</t>
  </si>
  <si>
    <t>-494.927065017009 140.730101571171 -278.611357622077</t>
  </si>
  <si>
    <t>-707.301236266725 117.740175791408 -230.819811125795</t>
  </si>
  <si>
    <t>-590.262174159437 182.110701330083 204.85891629105</t>
  </si>
  <si>
    <t>-528.522241903372 235.596397087534 667.531855470267</t>
  </si>
  <si>
    <t>-371.659364365269 234.112343766425 747.126654261645</t>
  </si>
  <si>
    <t>-722.864645641099 -40.1728848431376 223.647246765393</t>
  </si>
  <si>
    <t>-712.637985659122 23.0178794448248 689.180416773152</t>
  </si>
  <si>
    <t>-582.749630668849 -62.713973424256 771.17175968831</t>
  </si>
  <si>
    <t>9763-20170724T160732.621258400.bin</t>
  </si>
  <si>
    <t>-724.229106111032 21.437706666321 -230.862300471602</t>
  </si>
  <si>
    <t>-748.179574676647 25.3066086034435 -349.518037758606</t>
  </si>
  <si>
    <t>-759.746900616803 17.3881242560597 -469.909454237215</t>
  </si>
  <si>
    <t>-765.22792465636 5.23763192166803 -578.616203447342</t>
  </si>
  <si>
    <t>-754.100887059045 1.39753841001243 -775.666426951005</t>
  </si>
  <si>
    <t>-694.722579357954 135.898251069984 -778.001094181066</t>
  </si>
  <si>
    <t>-661.774631508668 199.700966507165 -469.732012830661</t>
  </si>
  <si>
    <t>-495.621011535324 141.024400246705 -278.441323079631</t>
  </si>
  <si>
    <t>-707.402219793192 117.758961229234 -230.715941648936</t>
  </si>
  <si>
    <t>-590.213931501175 182.135693938689 204.921804096575</t>
  </si>
  <si>
    <t>-528.552092027751 235.625210641578 667.618882637446</t>
  </si>
  <si>
    <t>-371.674529293744 234.132261438167 747.184583160654</t>
  </si>
  <si>
    <t>-722.713308106494 -40.2029780871026 223.689671954912</t>
  </si>
  <si>
    <t>-712.61840462602 23.0351675134195 689.20225767234</t>
  </si>
  <si>
    <t>-582.706200017916 -62.6627677262788 771.191240495074</t>
  </si>
  <si>
    <t>9763-20170724T160732.690211000.bin</t>
  </si>
  <si>
    <t>-724.33943260972 21.4599139559982 -230.748169208055</t>
  </si>
  <si>
    <t>-748.346023174616 25.3631616725841 -349.391543242924</t>
  </si>
  <si>
    <t>-759.975169013039 17.5456702324382 -469.783387221888</t>
  </si>
  <si>
    <t>-765.510845362149 5.51478851875436 -578.50079901554</t>
  </si>
  <si>
    <t>-754.512074932049 1.97572837782604 -775.561342485848</t>
  </si>
  <si>
    <t>-695.193276597426 136.514759084251 -777.776227833863</t>
  </si>
  <si>
    <t>-663.057592320853 200.644218208646 -469.489184138352</t>
  </si>
  <si>
    <t>-497.081701517772 141.770272648066 -278.104993343143</t>
  </si>
  <si>
    <t>-707.478380594524 117.790476668142 -230.566821466632</t>
  </si>
  <si>
    <t>-590.06603950915 182.095928778056 205.021155671304</t>
  </si>
  <si>
    <t>-528.636850696772 235.669082583907 667.769437229667</t>
  </si>
  <si>
    <t>-371.712525960316 234.18019756243 747.242946590487</t>
  </si>
  <si>
    <t>-722.697428264462 -40.2339705004515 223.754079866077</t>
  </si>
  <si>
    <t>-712.587055064567 23.0383263371891 689.22416972982</t>
  </si>
  <si>
    <t>-582.654210113874 -62.6198622500531 771.221980058503</t>
  </si>
  <si>
    <t>9763-20170724T160732.721293800.bin</t>
  </si>
  <si>
    <t>-724.393827054229 21.5068393466734 -230.729636725024</t>
  </si>
  <si>
    <t>-748.438267083226 25.4324545161805 -349.364597922241</t>
  </si>
  <si>
    <t>-760.08665235554 17.6540916669326 -469.757091386401</t>
  </si>
  <si>
    <t>-765.629862688257 5.66652286328258 -578.478962722448</t>
  </si>
  <si>
    <t>-754.637070848676 2.23478321590619 -775.540451042089</t>
  </si>
  <si>
    <t>-695.344905238699 136.787016733528 -777.701457101142</t>
  </si>
  <si>
    <t>-663.70076936635 201.143061144973 -469.410710708087</t>
  </si>
  <si>
    <t>-497.795493302011 142.351712842308 -277.939931123113</t>
  </si>
  <si>
    <t>-707.537279417868 117.844944622557 -230.507507212976</t>
  </si>
  <si>
    <t>-589.993487694291 182.086755574597 205.054338095869</t>
  </si>
  <si>
    <t>-528.69700271166 235.749800508889 667.84447327429</t>
  </si>
  <si>
    <t>-371.733437253345 234.145194470851 747.238191728883</t>
  </si>
  <si>
    <t>-722.741513002399 -40.2198353759591 223.770120237328</t>
  </si>
  <si>
    <t>-712.562912693325 23.043715058724 689.234733068145</t>
  </si>
  <si>
    <t>-582.655454817353 -62.6441934233503 771.241721698794</t>
  </si>
  <si>
    <t>9763-20170724T160732.793492200.bin</t>
  </si>
  <si>
    <t>-724.698105915917 21.596812414137 -230.625410879863</t>
  </si>
  <si>
    <t>-748.819390819534 25.614389961167 -349.241726938526</t>
  </si>
  <si>
    <t>-760.537320230972 17.9273012753833 -469.633407655989</t>
  </si>
  <si>
    <t>-766.137649150218 6.02343400718223 -578.361435524131</t>
  </si>
  <si>
    <t>-755.243469228768 2.75519422375055 -775.430800360848</t>
  </si>
  <si>
    <t>-695.881403099982 137.291508771398 -777.506012046832</t>
  </si>
  <si>
    <t>-665.277342333099 202.338921350262 -469.255302898252</t>
  </si>
  <si>
    <t>-499.42520994383 143.751272084923 -277.676209867484</t>
  </si>
  <si>
    <t>-707.811405056764 117.957551161215 -230.336710442434</t>
  </si>
  <si>
    <t>-589.975763268768 182.099315476223 205.160992656048</t>
  </si>
  <si>
    <t>-528.866399655248 235.822239410073 667.983741119126</t>
  </si>
  <si>
    <t>-371.793999018032 234.165226427397 747.160853581593</t>
  </si>
  <si>
    <t>-722.950727809901 -40.2245401058237 223.818781715245</t>
  </si>
  <si>
    <t>-712.536030557523 23.0392327239088 689.255338320442</t>
  </si>
  <si>
    <t>-582.632850030288 -62.6458549936244 771.272029317439</t>
  </si>
  <si>
    <t>9763-20170724T160732.826581900.bin</t>
  </si>
  <si>
    <t>-724.871132746064 21.6799082167365 -230.584494735411</t>
  </si>
  <si>
    <t>-748.959394847344 25.7377496998158 -349.206124334277</t>
  </si>
  <si>
    <t>-760.64398269511 18.0211310960503 -469.599226647443</t>
  </si>
  <si>
    <t>-766.215303750749 6.06269421117281 -578.322781798105</t>
  </si>
  <si>
    <t>-755.256257214961 2.6231154031866 -775.388275572977</t>
  </si>
  <si>
    <t>-695.855705065763 137.139147190211 -777.544854292714</t>
  </si>
  <si>
    <t>-665.803788525524 202.703581501715 -469.34941934499</t>
  </si>
  <si>
    <t>-500.144032904079 143.888785408491 -277.673387494794</t>
  </si>
  <si>
    <t>-707.961253388585 118.079177551731 -230.281966731054</t>
  </si>
  <si>
    <t>-590.066640594447 182.137085486146 205.212240730525</t>
  </si>
  <si>
    <t>-528.932697890703 235.860221731156 668.041929477811</t>
  </si>
  <si>
    <t>-371.798590841501 234.154093638157 747.09544925337</t>
  </si>
  <si>
    <t>-723.121671296893 -40.1737980399462 223.820278377902</t>
  </si>
  <si>
    <t>-712.506940325058 23.0499954482182 689.256166718763</t>
  </si>
  <si>
    <t>-582.646924318698 -62.6936921741303 771.279971703355</t>
  </si>
  <si>
    <t>9763-20170724T160732.891132700.bin</t>
  </si>
  <si>
    <t>-725.179402552618 21.8915133913392 -230.492140150578</t>
  </si>
  <si>
    <t>-749.181852570244 25.9824932912645 -349.130039696418</t>
  </si>
  <si>
    <t>-760.775525159907 18.0819704792953 -469.519874408065</t>
  </si>
  <si>
    <t>-766.26946140015 5.86832288969322 -578.219010341475</t>
  </si>
  <si>
    <t>-755.129723347603 1.72464796178315 -775.269475226789</t>
  </si>
  <si>
    <t>-695.508284320584 136.129008232693 -777.720248936673</t>
  </si>
  <si>
    <t>-666.297103898338 203.344816163241 -469.79990592393</t>
  </si>
  <si>
    <t>-501.092532932434 143.986920584702 -277.898609776952</t>
  </si>
  <si>
    <t>-708.351432544456 118.288957801735 -230.131296324519</t>
  </si>
  <si>
    <t>-590.366117647876 182.280146149936 205.348052806751</t>
  </si>
  <si>
    <t>-529.188030894739 235.858360754175 668.211786553757</t>
  </si>
  <si>
    <t>-371.875306193307 234.24942197167 746.911616514963</t>
  </si>
  <si>
    <t>-723.477156012602 -40.0640780069521 223.862949209256</t>
  </si>
  <si>
    <t>-712.461393285046 23.0718112844334 689.268269088294</t>
  </si>
  <si>
    <t>-582.649470813019 -62.7309003476303 771.30651251632</t>
  </si>
  <si>
    <t>9763-20170724T160732.924217700.bin</t>
  </si>
  <si>
    <t>-725.326999536165 22.0155963189247 -230.481214840697</t>
  </si>
  <si>
    <t>-749.235787123063 26.0864895032596 -349.138635641754</t>
  </si>
  <si>
    <t>-760.785213357954 18.0370415619946 -469.522959767302</t>
  </si>
  <si>
    <t>-766.264098236806 5.63661481414465 -578.201689665976</t>
  </si>
  <si>
    <t>-755.133133339169 1.01503436529447 -775.248245223912</t>
  </si>
  <si>
    <t>-695.49710053001 135.413839067558 -777.940456679616</t>
  </si>
  <si>
    <t>-666.522283426336 203.323476893225 -470.149996174755</t>
  </si>
  <si>
    <t>-501.437180018927 144.14522596269 -278.0904420942</t>
  </si>
  <si>
    <t>-708.573673468132 118.424139401946 -230.076003394764</t>
  </si>
  <si>
    <t>-590.614183999546 182.378029209483 205.415788441463</t>
  </si>
  <si>
    <t>-529.357294834117 235.866192939765 668.321104204548</t>
  </si>
  <si>
    <t>-371.926479010879 234.256053013178 746.784116347502</t>
  </si>
  <si>
    <t>-723.662810681123 -39.9657659011541 223.875039294061</t>
  </si>
  <si>
    <t>-712.436361309158 23.0886937249761 689.278413846076</t>
  </si>
  <si>
    <t>-582.660920072143 -62.7631180341593 771.323009913096</t>
  </si>
  <si>
    <t>9763-20170724T160732.991410400.bin</t>
  </si>
  <si>
    <t>-725.491122857949 22.1577739580191 -230.390369494635</t>
  </si>
  <si>
    <t>-749.199513814779 26.1893745378668 -349.089388148747</t>
  </si>
  <si>
    <t>-760.598969076766 17.9567031391537 -469.475701554588</t>
  </si>
  <si>
    <t>-765.968389418393 5.33310737830561 -578.134114650249</t>
  </si>
  <si>
    <t>-754.691971681156 0.158351604902009 -775.165772859451</t>
  </si>
  <si>
    <t>-694.977095321651 134.506969453243 -778.185860007931</t>
  </si>
  <si>
    <t>-666.328739823639 203.601465815704 -470.628689062915</t>
  </si>
  <si>
    <t>-501.361227782639 145.094850385577 -278.262529328004</t>
  </si>
  <si>
    <t>-708.87724402664 118.589569817767 -229.975782550096</t>
  </si>
  <si>
    <t>-591.348087726447 182.676755589036 205.612830231749</t>
  </si>
  <si>
    <t>-529.673075955135 235.843238974615 668.453115905006</t>
  </si>
  <si>
    <t>-372.030830505093 234.327299989341 746.492483117139</t>
  </si>
  <si>
    <t>-724.110636274548 -39.7952160823468 223.921895378469</t>
  </si>
  <si>
    <t>-712.432830593821 23.0828672748646 689.299012599591</t>
  </si>
  <si>
    <t>-582.692967181003 -62.8091475205154 771.357749769939</t>
  </si>
  <si>
    <t>9763-20170724T160733.026503600.bin</t>
  </si>
  <si>
    <t>-725.5273680597 22.2962057986542 -230.45204573906</t>
  </si>
  <si>
    <t>-749.157420010261 26.2929706759021 -349.167796346682</t>
  </si>
  <si>
    <t>-760.474652917558 17.9432084932077 -469.553757817563</t>
  </si>
  <si>
    <t>-765.770264014883 5.18138698234748 -578.199646204405</t>
  </si>
  <si>
    <t>-694.88252050234 134.123831040305 -778.402792047683</t>
  </si>
  <si>
    <t>-666.26688981928 203.636593953179 -470.936794164575</t>
  </si>
  <si>
    <t>-501.256141280322 145.717226533498 -278.43008935611</t>
  </si>
  <si>
    <t>-708.993794732921 118.769032915429 -230.048666678076</t>
  </si>
  <si>
    <t>-591.747940153026 182.854264012681 205.616603998762</t>
  </si>
  <si>
    <t>-529.680326693909 235.83777741129 668.357017658651</t>
  </si>
  <si>
    <t>-372.034775401051 234.305323357946 746.389324474426</t>
  </si>
  <si>
    <t>-724.303066138627 -39.6617273308059 223.893532408059</t>
  </si>
  <si>
    <t>-712.412846182494 23.0962609361311 689.290137186444</t>
  </si>
  <si>
    <t>-582.70213407602 -62.8307496767063 771.358368350589</t>
  </si>
  <si>
    <t>9763-20170724T160733.093704300.bin</t>
  </si>
  <si>
    <t>-725.453144412155 22.549050081348 -230.640234815929</t>
  </si>
  <si>
    <t>-748.92601470566 26.5117592344393 -349.388442578544</t>
  </si>
  <si>
    <t>-760.024379506987 18.0099485013309 -469.784082517455</t>
  </si>
  <si>
    <t>-765.099857323652 5.06398023642373 -578.418750101479</t>
  </si>
  <si>
    <t>-694.11304826266 133.716513995829 -778.787989820365</t>
  </si>
  <si>
    <t>-666.050676220971 203.97721433948 -471.441144772135</t>
  </si>
  <si>
    <t>-500.883798296348 147.148456012912 -278.743294708002</t>
  </si>
  <si>
    <t>-709.057300644467 119.039765160393 -230.31562410605</t>
  </si>
  <si>
    <t>-592.213241386346 183.271769075374 205.435855565493</t>
  </si>
  <si>
    <t>-529.527174868596 235.807276487077 668.066713017905</t>
  </si>
  <si>
    <t>-372.011525084093 234.266211545608 746.360740920433</t>
  </si>
  <si>
    <t>-724.702925101902 -39.3296541738307 223.751069906026</t>
  </si>
  <si>
    <t>-712.385342689759 23.1030001964798 689.229791945551</t>
  </si>
  <si>
    <t>-582.709717827909 -62.8382119385512 771.338552534374</t>
  </si>
  <si>
    <t>9763-20170724T160733.124779800.bin</t>
  </si>
  <si>
    <t>-725.391214314196 22.7565118759819 -230.76475731973</t>
  </si>
  <si>
    <t>-748.773804006767 26.6903816091008 -349.531665770588</t>
  </si>
  <si>
    <t>-759.754959488753 18.0347495529218 -469.927157451153</t>
  </si>
  <si>
    <t>-764.716039827716 4.90065628680304 -578.544491001513</t>
  </si>
  <si>
    <t>-693.88209181386 133.239345225348 -779.036959724283</t>
  </si>
  <si>
    <t>-666.060492016398 203.853794121575 -471.749106417089</t>
  </si>
  <si>
    <t>-500.745388449335 147.377878736947 -279.074701710487</t>
  </si>
  <si>
    <t>-709.110208104825 119.248713466157 -230.441301798616</t>
  </si>
  <si>
    <t>-592.351185616841 183.487664923216 205.331917743257</t>
  </si>
  <si>
    <t>-529.440367731844 235.78032116058 667.948830787239</t>
  </si>
  <si>
    <t>-372.003666811042 234.289600037321 746.402742773389</t>
  </si>
  <si>
    <t>-724.937977016735 -39.1301200144678 223.651779959999</t>
  </si>
  <si>
    <t>-712.363549423066 23.1059841758304 689.182643293716</t>
  </si>
  <si>
    <t>-582.71820222602 -62.8554676671054 771.318029819826</t>
  </si>
  <si>
    <t>9763-20170724T160733.192505300.bin</t>
  </si>
  <si>
    <t>-725.30012658551 23.1438152163882 -230.940995651544</t>
  </si>
  <si>
    <t>-748.44199472238 27.034574188129 -349.756438131987</t>
  </si>
  <si>
    <t>-759.125964375586 18.1274447371582 -470.160328775183</t>
  </si>
  <si>
    <t>-763.801772761721 4.68276843169315 -578.752313294402</t>
  </si>
  <si>
    <t>-692.871093907222 132.446268549488 -779.434741867424</t>
  </si>
  <si>
    <t>-665.793600957278 203.837414777173 -472.260196959527</t>
  </si>
  <si>
    <t>-500.755499655098 146.150517485476 -279.706974228952</t>
  </si>
  <si>
    <t>-709.337097388599 119.661236464537 -230.598247849513</t>
  </si>
  <si>
    <t>-592.648301451021 184.002223653155 205.17878337129</t>
  </si>
  <si>
    <t>-529.28235369855 235.702693400614 667.796693251445</t>
  </si>
  <si>
    <t>-371.979667498349 234.277106912521 746.520029981486</t>
  </si>
  <si>
    <t>-725.448153910507 -38.787483361423 223.462820086487</t>
  </si>
  <si>
    <t>-712.35355715885 23.0647113534594 689.070436854314</t>
  </si>
  <si>
    <t>-582.686712398092 -62.8127862930701 771.259668934929</t>
  </si>
  <si>
    <t>9763-20170724T160733.227600900.bin</t>
  </si>
  <si>
    <t>-725.29092243526 23.3623416097123 -231.045435445729</t>
  </si>
  <si>
    <t>-748.386138456534 27.2370057600722 -349.870484566014</t>
  </si>
  <si>
    <t>-758.933269801408 18.1850518520123 -470.275621194376</t>
  </si>
  <si>
    <t>-763.454260533277 4.55505316310746 -578.851019392215</t>
  </si>
  <si>
    <t>-692.374296262114 131.890330328727 -779.69401033342</t>
  </si>
  <si>
    <t>-665.716907187125 203.821364249296 -472.608502043272</t>
  </si>
  <si>
    <t>-500.724296218748 145.948351978971 -280.072238529497</t>
  </si>
  <si>
    <t>-709.511804294905 119.902167723837 -230.668645530606</t>
  </si>
  <si>
    <t>-592.880958935638 184.235476630872 205.125076538169</t>
  </si>
  <si>
    <t>-529.212089135095 235.642488229433 667.748125849403</t>
  </si>
  <si>
    <t>-371.968927357651 234.306372514876 746.591844226706</t>
  </si>
  <si>
    <t>-725.563730915557 -38.6402896545774 223.373401068003</t>
  </si>
  <si>
    <t>-712.337026356487 23.0642349303967 689.025206007729</t>
  </si>
  <si>
    <t>-582.68656743194 -62.8160089874154 771.237454026428</t>
  </si>
  <si>
    <t>9763-20170724T160733.293607700.bin</t>
  </si>
  <si>
    <t>-725.265597374658 24.0675848068547 -231.198608179628</t>
  </si>
  <si>
    <t>-748.19727656705 27.8441603421606 -350.058560952157</t>
  </si>
  <si>
    <t>-758.530509063491 18.5963968684218 -470.46724686109</t>
  </si>
  <si>
    <t>-762.844699461815 4.74764463197562 -579.023515759133</t>
  </si>
  <si>
    <t>-691.547870503295 131.667096068325 -780.066998352779</t>
  </si>
  <si>
    <t>-665.26783037103 204.30369201429 -473.115163090503</t>
  </si>
  <si>
    <t>-500.319681971815 146.915334436333 -280.395764660008</t>
  </si>
  <si>
    <t>-709.783295259838 120.619787221652 -230.768680051153</t>
  </si>
  <si>
    <t>-593.607262589625 184.897804279407 205.154629671956</t>
  </si>
  <si>
    <t>-529.132238728256 235.627098647138 667.773179223718</t>
  </si>
  <si>
    <t>-371.95516383983 234.345351122095 746.749407610876</t>
  </si>
  <si>
    <t>-725.652409920422 -38.2244920234373 223.251987629987</t>
  </si>
  <si>
    <t>-712.306421405967 23.0766710338091 688.97394490772</t>
  </si>
  <si>
    <t>-582.651946144981 -62.7813454820384 771.20307923459</t>
  </si>
  <si>
    <t>9763-20170724T160733.320677100.bin</t>
  </si>
  <si>
    <t>-725.237670052707 24.4438071569525 -231.238519559243</t>
  </si>
  <si>
    <t>-748.117195199228 28.195804370826 -350.109285933332</t>
  </si>
  <si>
    <t>-758.30840862563 18.8249275626072 -470.520539778281</t>
  </si>
  <si>
    <t>-762.461475018291 4.82361553455939 -579.06356396366</t>
  </si>
  <si>
    <t>-691.085695398773 131.440281797956 -780.197226214371</t>
  </si>
  <si>
    <t>-664.728477746462 204.205910689572 -473.282516081495</t>
  </si>
  <si>
    <t>-499.786997106149 147.08788632586 -280.477237318129</t>
  </si>
  <si>
    <t>-709.872812832117 121.064029406303 -230.803215781468</t>
  </si>
  <si>
    <t>-594.079629386257 185.314352077474 205.226027955076</t>
  </si>
  <si>
    <t>-529.114741353089 235.644052045937 667.812725733284</t>
  </si>
  <si>
    <t>-371.956166761468 234.360473930847 746.825789878569</t>
  </si>
  <si>
    <t>-725.685079630282 -37.9770558614998 223.200415525321</t>
  </si>
  <si>
    <t>-712.309982443999 23.073824529838 688.957407646205</t>
  </si>
  <si>
    <t>-582.61528505206 -62.7141109270265 771.196260427796</t>
  </si>
  <si>
    <t>9763-20170724T160733.392425600.bin</t>
  </si>
  <si>
    <t>-725.198483948021 25.2860912710375 -231.336814056621</t>
  </si>
  <si>
    <t>-748.003763153683 28.9762896425364 -350.223816585541</t>
  </si>
  <si>
    <t>-757.989695722437 19.5884120603282 -470.650992012993</t>
  </si>
  <si>
    <t>-761.906635622984 5.5856416865829 -579.202475804158</t>
  </si>
  <si>
    <t>-689.917690584719 132.245459983684 -780.15726246082</t>
  </si>
  <si>
    <t>-664.225824096908 205.063773050619 -473.198596837437</t>
  </si>
  <si>
    <t>-499.330543543598 148.113965524477 -280.304052222268</t>
  </si>
  <si>
    <t>-710.01524853476 121.948211080579 -230.898813669519</t>
  </si>
  <si>
    <t>-594.811617860362 186.084768056543 205.303235331128</t>
  </si>
  <si>
    <t>-529.078521174214 235.636409988924 667.890247336739</t>
  </si>
  <si>
    <t>-371.954779131459 234.343605554564 746.972306669755</t>
  </si>
  <si>
    <t>-725.630589636247 -37.4816852130011 223.139012129817</t>
  </si>
  <si>
    <t>-712.305067488632 23.0735090901915 688.942009142805</t>
  </si>
  <si>
    <t>-582.561266188397 -62.628048918634 771.193463177617</t>
  </si>
  <si>
    <t>9763-20170724T160733.420499200.bin</t>
  </si>
  <si>
    <t>-725.24216981901 25.6636411890427 -231.354523245464</t>
  </si>
  <si>
    <t>-748.100378053105 29.3546759017167 -350.231266219906</t>
  </si>
  <si>
    <t>-758.042801866855 19.9082046931806 -470.657431920986</t>
  </si>
  <si>
    <t>-761.880179923011 5.82944753475226 -579.202021200975</t>
  </si>
  <si>
    <t>-689.996791342274 132.409113639575 -780.169978660012</t>
  </si>
  <si>
    <t>-664.157765517681 204.992144553089 -473.167947986551</t>
  </si>
  <si>
    <t>-499.526298759774 147.928037948152 -280.081910648322</t>
  </si>
  <si>
    <t>-710.152578361645 122.326054324906 -230.879841320207</t>
  </si>
  <si>
    <t>-594.936700666957 186.389257569096 205.329801704721</t>
  </si>
  <si>
    <t>-529.046851064075 235.618500573481 667.907278908335</t>
  </si>
  <si>
    <t>-371.950388626982 234.311257169239 747.043193298326</t>
  </si>
  <si>
    <t>-725.478068655792 -37.3058774400147 223.123342845756</t>
  </si>
  <si>
    <t>-712.28125428223 23.1075744720038 688.953716639807</t>
  </si>
  <si>
    <t>-582.516968971789 -62.5706102616459 771.197192991787</t>
  </si>
  <si>
    <t>9763-20170724T160733.490697600.bin</t>
  </si>
  <si>
    <t>-725.43112939673 26.4815872276772 -231.370515291676</t>
  </si>
  <si>
    <t>-748.472031818515 30.230312878866 -350.21021028723</t>
  </si>
  <si>
    <t>-758.275062330624 20.7691778528358 -470.646753455267</t>
  </si>
  <si>
    <t>-761.856058000105 6.64353407918634 -579.193902975773</t>
  </si>
  <si>
    <t>-689.533517159457 133.192350101809 -780.099111711093</t>
  </si>
  <si>
    <t>-664.314773014854 205.350528451351 -472.945542096475</t>
  </si>
  <si>
    <t>-499.589904645711 148.684529570774 -279.82190413008</t>
  </si>
  <si>
    <t>-710.463296301679 123.1505027974 -230.851906508388</t>
  </si>
  <si>
    <t>-595.033104627533 186.925579368808 205.343353010503</t>
  </si>
  <si>
    <t>-528.993322446671 235.54881106851 667.961442194442</t>
  </si>
  <si>
    <t>-371.948525495985 234.333144015812 747.201322487808</t>
  </si>
  <si>
    <t>-725.272765541558 -36.9046772372656 223.079983733693</t>
  </si>
  <si>
    <t>-712.27962879109 23.1328780145604 688.972896564149</t>
  </si>
  <si>
    <t>-582.448019108398 -62.4706271547316 771.187866110417</t>
  </si>
  <si>
    <t>9763-20170724T160733.523781900.bin</t>
  </si>
  <si>
    <t>-725.592215196552 26.9296138882801 -231.392745964263</t>
  </si>
  <si>
    <t>-748.720897854089 30.7012223797137 -350.214598585972</t>
  </si>
  <si>
    <t>-758.471422569646 21.2318423770525 -470.654730057157</t>
  </si>
  <si>
    <t>-761.948537570215 7.0838459828733 -579.202397944598</t>
  </si>
  <si>
    <t>-689.499600772496 133.623193072013 -780.081124639497</t>
  </si>
  <si>
    <t>-664.532634773666 205.702346174372 -472.888359881745</t>
  </si>
  <si>
    <t>-499.818670429339 149.041584568882 -279.753838994306</t>
  </si>
  <si>
    <t>-710.683197620974 123.64901566028 -230.834338710818</t>
  </si>
  <si>
    <t>-595.0691490401 187.203965946044 205.344292062535</t>
  </si>
  <si>
    <t>-528.981970593576 235.561056735272 668.019332454528</t>
  </si>
  <si>
    <t>-371.950479579041 234.324308619023 747.285220372328</t>
  </si>
  <si>
    <t>-725.076903611151 -36.6922927891496 223.053048958059</t>
  </si>
  <si>
    <t>-712.280134068186 23.1540367716457 688.991435039671</t>
  </si>
  <si>
    <t>-582.388069356606 -62.3788897730922 771.184398528221</t>
  </si>
  <si>
    <t>9763-20170724T160733.591972500.bin</t>
  </si>
  <si>
    <t>-726.000556896089 27.7780223626155 -231.287271074126</t>
  </si>
  <si>
    <t>-749.23819623834 31.6088029702503 -350.085990204086</t>
  </si>
  <si>
    <t>-758.896179181563 22.1875863393479 -470.537373233233</t>
  </si>
  <si>
    <t>-762.210601698994 8.07222565281222 -579.094332875567</t>
  </si>
  <si>
    <t>-689.318312180984 134.654161439439 -779.959901075859</t>
  </si>
  <si>
    <t>-664.908107063729 206.983345809969 -472.781276288521</t>
  </si>
  <si>
    <t>-500.484121499881 150.31629399963 -279.401637078485</t>
  </si>
  <si>
    <t>-711.154050931308 124.526496936256 -230.676867332062</t>
  </si>
  <si>
    <t>-595.335966133042 187.841608627372 205.482467178393</t>
  </si>
  <si>
    <t>-529.015233820272 235.664526046761 668.180561417213</t>
  </si>
  <si>
    <t>-371.971587779016 234.369630375636 747.421448167704</t>
  </si>
  <si>
    <t>-724.683800723398 -36.4174931572932 223.083248593926</t>
  </si>
  <si>
    <t>-712.298787500123 23.18674652032 689.046498930886</t>
  </si>
  <si>
    <t>-582.26377794049 -62.1831935534001 771.182843788067</t>
  </si>
  <si>
    <t>9763-20170724T160733.622063100.bin</t>
  </si>
  <si>
    <t>-726.135972853829 28.1821970460355 -231.225450825503</t>
  </si>
  <si>
    <t>-749.384530509858 32.0609840991183 -350.020561864038</t>
  </si>
  <si>
    <t>-758.966353500457 22.6724672339576 -470.480535992799</t>
  </si>
  <si>
    <t>-762.176207350376 8.57957792616298 -579.043530816877</t>
  </si>
  <si>
    <t>-689.106238267702 135.215614178153 -779.937765633769</t>
  </si>
  <si>
    <t>-665.005563080702 207.804511804702 -472.795840327562</t>
  </si>
  <si>
    <t>-500.777593230044 151.066259161667 -279.270648594081</t>
  </si>
  <si>
    <t>-711.2416100249 124.948058833539 -230.599060969618</t>
  </si>
  <si>
    <t>-595.555902519755 188.149521062067 205.611964235796</t>
  </si>
  <si>
    <t>-529.054762079751 235.748416807127 668.29768494758</t>
  </si>
  <si>
    <t>-371.988289295995 234.37687824838 747.492320897878</t>
  </si>
  <si>
    <t>-724.363548044674 -36.301108188989 223.097624077161</t>
  </si>
  <si>
    <t>-712.280877768462 23.2218809324709 689.069283644653</t>
  </si>
  <si>
    <t>-582.209263062063 -62.1105669112374 771.186634249873</t>
  </si>
  <si>
    <t>9763-20170724T160733.691213500.bin</t>
  </si>
  <si>
    <t>-726.319184310126 28.827235603469 -231.145908984207</t>
  </si>
  <si>
    <t>-749.661854555779 32.838273492333 -349.918173244112</t>
  </si>
  <si>
    <t>-759.167219872758 23.5535576484219 -470.392272230029</t>
  </si>
  <si>
    <t>-762.238046351319 9.54003303402715 -578.969637714169</t>
  </si>
  <si>
    <t>-745.927660712598 0.882957910287359 -775.561795730429</t>
  </si>
  <si>
    <t>-688.570973971493 136.235122861333 -779.591233110635</t>
  </si>
  <si>
    <t>-665.702595257429 209.52133929085 -472.520527604133</t>
  </si>
  <si>
    <t>-501.800773918824 151.702353754212 -279.03892901092</t>
  </si>
  <si>
    <t>-711.283675628507 125.558443152316 -230.441865932515</t>
  </si>
  <si>
    <t>-595.949015278326 188.578024046841 205.888436938156</t>
  </si>
  <si>
    <t>-529.158890823694 235.926624869089 668.561319585734</t>
  </si>
  <si>
    <t>-372.02072909676 234.274550293418 747.608250324682</t>
  </si>
  <si>
    <t>-724.16241141817 -36.004418229408 223.109866319927</t>
  </si>
  <si>
    <t>-712.22832210768 23.2676866924044 689.085725258927</t>
  </si>
  <si>
    <t>-582.201541464266 -62.1284609404636 771.207831702819</t>
  </si>
  <si>
    <t>9763-20170724T160733.724299200.bin</t>
  </si>
  <si>
    <t>-726.367442938802 29.125948980856 -231.116571149192</t>
  </si>
  <si>
    <t>-749.6964924858 33.1701030856625 -349.890364152277</t>
  </si>
  <si>
    <t>-759.167396209163 23.9084142236065 -470.368917436617</t>
  </si>
  <si>
    <t>-762.19838836042 9.91158661229724 -578.949426434317</t>
  </si>
  <si>
    <t>-745.772667161326 1.26945060658659 -775.532172786799</t>
  </si>
  <si>
    <t>-688.369946208931 136.605572681972 -779.458117821251</t>
  </si>
  <si>
    <t>-666.267176974266 210.190649875399 -472.402899683907</t>
  </si>
  <si>
    <t>-502.455033018845 151.814408952234 -279.012449670627</t>
  </si>
  <si>
    <t>-711.242754604272 125.877396246137 -230.397139181531</t>
  </si>
  <si>
    <t>-595.933897577022 188.716191221845 205.966091646236</t>
  </si>
  <si>
    <t>-529.218632543335 235.978029118164 668.683989742801</t>
  </si>
  <si>
    <t>-372.033195507886 234.253283306247 747.634966239791</t>
  </si>
  <si>
    <t>-724.212990397082 -35.8512776608409 223.125855806053</t>
  </si>
  <si>
    <t>-712.198719518224 23.2880756664472 689.09887777928</t>
  </si>
  <si>
    <t>-582.181335940184 -62.121670848675 771.221778194288</t>
  </si>
  <si>
    <t>9763-20170724T160733.790019700.bin</t>
  </si>
  <si>
    <t>-726.621269270278 29.5113850266362 -231.067139078224</t>
  </si>
  <si>
    <t>-750.179551788523 33.7336130649137 -349.789496457536</t>
  </si>
  <si>
    <t>-759.721164538794 24.600203835947 -470.272253835669</t>
  </si>
  <si>
    <t>-762.748922381941 10.6974532800862 -578.865069150455</t>
  </si>
  <si>
    <t>-746.103664205147 2.1613913145618 -775.431562858933</t>
  </si>
  <si>
    <t>-688.434094922422 137.378475683309 -779.087552480912</t>
  </si>
  <si>
    <t>-667.682979143304 211.3810382513 -472.038303728553</t>
  </si>
  <si>
    <t>-504.06730126575 151.771590997278 -278.857811538609</t>
  </si>
  <si>
    <t>-711.245548517143 126.277347680664 -230.268373999075</t>
  </si>
  <si>
    <t>-595.598377537822 188.740929299294 206.059206173555</t>
  </si>
  <si>
    <t>-529.356408866159 236.059650032571 668.875619514603</t>
  </si>
  <si>
    <t>-372.072726839544 234.161704851011 747.627042802351</t>
  </si>
  <si>
    <t>-724.298179934306 -35.687008536305 223.130687063537</t>
  </si>
  <si>
    <t>-712.17765150653 23.2734644020422 689.092358700694</t>
  </si>
  <si>
    <t>-582.137921011293 -62.0712338716521 771.247463737765</t>
  </si>
  <si>
    <t>9763-20170724T160733.824111100.bin</t>
  </si>
  <si>
    <t>-726.803302076245 29.6635414298341 -231.030709783825</t>
  </si>
  <si>
    <t>-750.494006275763 33.9584924458018 -349.724129672257</t>
  </si>
  <si>
    <t>-760.099991076486 24.8784547410103 -470.205818466884</t>
  </si>
  <si>
    <t>-763.156442650693 11.0156938997436 -578.802883729304</t>
  </si>
  <si>
    <t>-746.47161193792 2.52805341298335 -775.366932847879</t>
  </si>
  <si>
    <t>-688.611744468227 137.670755829961 -778.596456641595</t>
  </si>
  <si>
    <t>-668.156169579723 212.423160698897 -471.709134523063</t>
  </si>
  <si>
    <t>-504.870464623955 152.323761907264 -278.40141965948</t>
  </si>
  <si>
    <t>-711.300000492044 126.401338526892 -230.191241169902</t>
  </si>
  <si>
    <t>-595.33377233304 188.711954728865 206.07345433117</t>
  </si>
  <si>
    <t>-529.433999715038 236.076942001114 668.962847410511</t>
  </si>
  <si>
    <t>-372.091429541547 234.141560339031 747.595309906857</t>
  </si>
  <si>
    <t>-724.152761264072 -35.6752936252851 223.127152505321</t>
  </si>
  <si>
    <t>-712.155958813856 23.281464843084 689.095635918456</t>
  </si>
  <si>
    <t>-582.148975402753 -62.0963924536884 771.268146803166</t>
  </si>
  <si>
    <t>9763-20170724T160733.894500600.bin</t>
  </si>
  <si>
    <t>-727.022355475928 29.8751376577839 -230.887285078985</t>
  </si>
  <si>
    <t>-750.898342751033 34.3036134902736 -349.538575653731</t>
  </si>
  <si>
    <t>-760.52917714596 25.3555298594624 -470.02811558415</t>
  </si>
  <si>
    <t>-763.54152357139 11.6075857034887 -578.641132128477</t>
  </si>
  <si>
    <t>-746.52127162807 3.2889618052368 -775.178386539561</t>
  </si>
  <si>
    <t>-688.124965073557 138.237488112601 -777.823104717359</t>
  </si>
  <si>
    <t>-669.459966491182 215.174540117051 -471.361878950017</t>
  </si>
  <si>
    <t>-506.478315062163 154.240093071419 -278.058953412036</t>
  </si>
  <si>
    <t>-711.183521514531 126.558094525615 -230.013361541671</t>
  </si>
  <si>
    <t>-594.822741541503 188.582055478164 206.187120083408</t>
  </si>
  <si>
    <t>-529.703505067424 236.08722284699 669.227372239581</t>
  </si>
  <si>
    <t>-372.160760649836 234.14213725486 747.457924087206</t>
  </si>
  <si>
    <t>-723.526591077519 -35.7723371578654 223.201232381428</t>
  </si>
  <si>
    <t>-712.141641940575 23.3306482966013 689.155193553375</t>
  </si>
  <si>
    <t>-582.119787321626 -62.0456893777389 771.305716364977</t>
  </si>
  <si>
    <t>9763-20170724T160733.931616000.bin</t>
  </si>
  <si>
    <t>-727.069847799622 29.9654291097418 -230.786785974574</t>
  </si>
  <si>
    <t>-751.042570121031 34.445326798244 -349.416524903709</t>
  </si>
  <si>
    <t>-760.708493740718 25.5527566261208 -469.907537928387</t>
  </si>
  <si>
    <t>-763.727080875266 11.8546040289514 -578.526561356183</t>
  </si>
  <si>
    <t>-746.602015779427 3.6085485676897 -775.055198920973</t>
  </si>
  <si>
    <t>-688.062163435831 138.499717814288 -777.595524587545</t>
  </si>
  <si>
    <t>-670.408830376283 216.639855771179 -471.378912258544</t>
  </si>
  <si>
    <t>-507.394721968591 155.134873788873 -278.284096366728</t>
  </si>
  <si>
    <t>-711.078960371788 126.632772339656 -229.889142917142</t>
  </si>
  <si>
    <t>-594.619720225896 188.415034139336 206.319357917724</t>
  </si>
  <si>
    <t>-529.900193938835 236.022646060107 669.429562634565</t>
  </si>
  <si>
    <t>-372.206302031226 234.125391446865 747.3563527769</t>
  </si>
  <si>
    <t>-723.048235726645 -35.7922963647525 223.261490113572</t>
  </si>
  <si>
    <t>-712.060904553925 23.4118520174418 689.187197101126</t>
  </si>
  <si>
    <t>-582.140923363291 -62.1197909594216 771.337341100495</t>
  </si>
  <si>
    <t>9763-20170724T160733.990776400.bin</t>
  </si>
  <si>
    <t>-727.161796835735 29.8418127656514 -230.5284344782</t>
  </si>
  <si>
    <t>-751.221024289215 34.4220459669677 -349.136890408388</t>
  </si>
  <si>
    <t>-760.898118238453 25.5955928516817 -469.63193734394</t>
  </si>
  <si>
    <t>-763.896281306441 11.9415113913499 -578.256904472326</t>
  </si>
  <si>
    <t>-746.614289577799 3.7202843945413 -774.771960393632</t>
  </si>
  <si>
    <t>-688.07757306065 138.590376676988 -777.406841074276</t>
  </si>
  <si>
    <t>-671.898138754046 218.748319379462 -471.630648473821</t>
  </si>
  <si>
    <t>-508.965476802727 155.83325820195 -278.921676850373</t>
  </si>
  <si>
    <t>-711.099103946246 126.409429991627 -229.590668348522</t>
  </si>
  <si>
    <t>-594.301938533303 188.110464128384 206.538914040994</t>
  </si>
  <si>
    <t>-530.25030613243 235.871272420912 669.648388873954</t>
  </si>
  <si>
    <t>-372.301463160923 234.156289061259 747.061181542939</t>
  </si>
  <si>
    <t>-722.732418957655 -35.8675218419435 223.383513677428</t>
  </si>
  <si>
    <t>-712.014707539351 23.4907844499 689.262111524804</t>
  </si>
  <si>
    <t>-582.131707333793 -62.1107061131304 771.398015776311</t>
  </si>
  <si>
    <t>9763-20170724T160734.022861700.bin</t>
  </si>
  <si>
    <t>-727.159086453677 29.7306211204195 -230.499179259655</t>
  </si>
  <si>
    <t>-751.169189015612 34.3192748007482 -349.117376891957</t>
  </si>
  <si>
    <t>-760.834348781579 25.5478689611166 -469.617239191867</t>
  </si>
  <si>
    <t>-763.837230959489 11.9614349806382 -578.250779354296</t>
  </si>
  <si>
    <t>-746.57900591428 3.90108215091686 -774.77271971803</t>
  </si>
  <si>
    <t>-687.90235957396 138.670912184881 -777.239233010655</t>
  </si>
  <si>
    <t>-672.252376165979 220.859239036102 -471.974889100284</t>
  </si>
  <si>
    <t>-509.531622333938 156.962083985858 -279.41011212924</t>
  </si>
  <si>
    <t>-710.996918854455 126.333905704464 -229.578894216379</t>
  </si>
  <si>
    <t>-594.19767435192 187.980886868811 206.557860863106</t>
  </si>
  <si>
    <t>-530.351146692783 235.834953277718 669.6532114849</t>
  </si>
  <si>
    <t>-372.336168021785 234.124171046273 746.930879002236</t>
  </si>
  <si>
    <t>-722.819606243045 -35.8552774180871 223.405199383521</t>
  </si>
  <si>
    <t>-712.029132845439 23.4900933135921 689.276805467352</t>
  </si>
  <si>
    <t>-582.114403403083 -62.0682995158209 771.407423744968</t>
  </si>
  <si>
    <t>9763-20170724T160734.055968300.bin</t>
  </si>
  <si>
    <t>-727.157041760218 29.601389644366 -230.513873239506</t>
  </si>
  <si>
    <t>-751.11004959933 34.2025545446788 -349.143229463444</t>
  </si>
  <si>
    <t>-760.789916408027 25.485806649157 -469.64574490121</t>
  </si>
  <si>
    <t>-763.834955996345 11.9662214164096 -578.286408230696</t>
  </si>
  <si>
    <t>-746.684400357084 4.05750368976442 -774.822338939185</t>
  </si>
  <si>
    <t>-687.755440577721 138.789548639301 -777.253371960069</t>
  </si>
  <si>
    <t>-673.389625303676 222.944758282889 -472.462202898728</t>
  </si>
  <si>
    <t>-510.874920446254 157.973217686286 -280.082946581186</t>
  </si>
  <si>
    <t>-710.95859251074 126.181505243706 -229.602781951535</t>
  </si>
  <si>
    <t>-594.17964548814 187.864414854559 206.534355094783</t>
  </si>
  <si>
    <t>-530.364482963282 235.795507873574 669.564875466376</t>
  </si>
  <si>
    <t>-372.343220991809 234.070481711204 746.829221682511</t>
  </si>
  <si>
    <t>-722.933615068556 -35.8516843090297 223.417648099876</t>
  </si>
  <si>
    <t>-712.012156075721 23.510970017569 689.28044476677</t>
  </si>
  <si>
    <t>-582.10877434946 -62.0719421826625 771.403459634587</t>
  </si>
  <si>
    <t>9763-20170724T160734.125152500.bin</t>
  </si>
  <si>
    <t>-727.100791812342 29.4059808895693 -230.719081816399</t>
  </si>
  <si>
    <t>-750.933233296768 33.9840276522937 -349.373407175104</t>
  </si>
  <si>
    <t>-760.606502924126 25.2785575964908 -469.877528082116</t>
  </si>
  <si>
    <t>-763.691311001525 11.7850887210395 -578.520249526576</t>
  </si>
  <si>
    <t>-746.630603822337 3.93843706942653 -775.064330369702</t>
  </si>
  <si>
    <t>-687.364485601704 138.48683443159 -777.385123024555</t>
  </si>
  <si>
    <t>-676.123423492351 225.87801690654 -473.374192205581</t>
  </si>
  <si>
    <t>-514.280740493923 157.66270733324 -281.552166661117</t>
  </si>
  <si>
    <t>-710.511354149998 125.87890474274 -229.956917283548</t>
  </si>
  <si>
    <t>-594.083397595419 187.515794126555 206.280539589551</t>
  </si>
  <si>
    <t>-530.098046805264 235.693919115383 669.141178690669</t>
  </si>
  <si>
    <t>-372.299399185428 233.790058468315 746.85509316998</t>
  </si>
  <si>
    <t>-723.209600582282 -36.0334940883718 223.368867889327</t>
  </si>
  <si>
    <t>-712.074277282787 23.4835977344524 689.259763780442</t>
  </si>
  <si>
    <t>-582.059464387056 -61.9647872212943 771.346512198948</t>
  </si>
  <si>
    <t>9763-20170724T160734.189346500.bin</t>
  </si>
  <si>
    <t>-727.069842463997 29.1666269083917 -231.057343708337</t>
  </si>
  <si>
    <t>-751.018782490272 33.7337161845803 -349.688698196075</t>
  </si>
  <si>
    <t>-760.846594353282 25.0827055505854 -470.184105604912</t>
  </si>
  <si>
    <t>-764.08698472602 11.6618469086109 -578.831349331977</t>
  </si>
  <si>
    <t>-747.235842592683 3.96586249566303 -775.394999992853</t>
  </si>
  <si>
    <t>-687.228903653297 138.228654944412 -777.189045457999</t>
  </si>
  <si>
    <t>-677.366038005624 225.745995652646 -473.166514476962</t>
  </si>
  <si>
    <t>-515.858834327241 158.351493997988 -280.77256586183</t>
  </si>
  <si>
    <t>-710.124421686228 125.577468626582 -230.433415313626</t>
  </si>
  <si>
    <t>-593.683116751621 186.991824361491 205.831855548019</t>
  </si>
  <si>
    <t>-529.727708126883 235.557970177715 668.686366991242</t>
  </si>
  <si>
    <t>-372.263248615145 233.468580458803 747.070674566493</t>
  </si>
  <si>
    <t>-723.494721253176 -36.2775967243231 223.191804655599</t>
  </si>
  <si>
    <t>-712.15692845332 23.4048866167532 689.164239688776</t>
  </si>
  <si>
    <t>-581.926100634283 -61.7322596192014 771.231949371296</t>
  </si>
  <si>
    <t>9763-20170724T160734.222434400.bin</t>
  </si>
  <si>
    <t>-727.14276732132 29.0825753892045 -231.169182294525</t>
  </si>
  <si>
    <t>-751.099798882178 33.5697366147363 -349.801968258709</t>
  </si>
  <si>
    <t>-760.958740081814 24.9842708034148 -470.299476380154</t>
  </si>
  <si>
    <t>-764.239330921635 11.675454600417 -578.959413454155</t>
  </si>
  <si>
    <t>-747.416063200828 4.27701930683043 -775.530331393675</t>
  </si>
  <si>
    <t>-686.763626462648 138.228544220442 -777.039623041751</t>
  </si>
  <si>
    <t>-676.760342133809 223.366678983514 -472.34702430003</t>
  </si>
  <si>
    <t>-514.382270264432 161.017453384977 -278.98724851893</t>
  </si>
  <si>
    <t>-710.072667472883 125.510118787178 -230.624609817959</t>
  </si>
  <si>
    <t>-593.303515519102 186.732599802565 205.580007450338</t>
  </si>
  <si>
    <t>-529.597845066239 235.467154248731 668.541407404461</t>
  </si>
  <si>
    <t>-372.258474933662 233.348261435745 747.17566482712</t>
  </si>
  <si>
    <t>-723.739094050765 -36.3939076401523 223.114235169201</t>
  </si>
  <si>
    <t>-712.211889439055 23.2903425638183 689.066553351041</t>
  </si>
  <si>
    <t>-581.862515155337 -61.6213418529471 771.17963068174</t>
  </si>
  <si>
    <t>9763-20170724T160734.291199700.bin</t>
  </si>
  <si>
    <t>-727.523560066486 28.921717875055 -231.33522130378</t>
  </si>
  <si>
    <t>-751.643227248672 33.2856762150461 -349.939523374255</t>
  </si>
  <si>
    <t>-761.566238840401 24.8797636724432 -470.444551979796</t>
  </si>
  <si>
    <t>-764.871455179964 11.8383740407044 -579.135937274917</t>
  </si>
  <si>
    <t>-747.960787386378 5.13227794250133 -775.71227115885</t>
  </si>
  <si>
    <t>-686.769710414683 138.862855966756 -777.122583764543</t>
  </si>
  <si>
    <t>-669.140308998964 214.779125559724 -470.345626579463</t>
  </si>
  <si>
    <t>-503.910482700071 168.642858502813 -274.865149277309</t>
  </si>
  <si>
    <t>-710.78058582168 125.501374915454 -230.720924739233</t>
  </si>
  <si>
    <t>-592.526010993871 186.346632216018 205.136155043565</t>
  </si>
  <si>
    <t>-529.453069462905 235.275734239126 668.284761862538</t>
  </si>
  <si>
    <t>-372.268791840682 233.251267129762 747.231045613594</t>
  </si>
  <si>
    <t>-724.01598056695 -36.7238685819959 222.916254508796</t>
  </si>
  <si>
    <t>-712.29226004836 22.9022659900534 688.789579247187</t>
  </si>
  <si>
    <t>-581.66645683741 -61.3370024058891 771.155567711289</t>
  </si>
  <si>
    <t>9763-20170724T160734.323266400.bin</t>
  </si>
  <si>
    <t>-727.889618182573 28.9391785718194 -231.452796242542</t>
  </si>
  <si>
    <t>-752.060788139569 33.2003741111178 -350.050407479137</t>
  </si>
  <si>
    <t>-761.98814009663 24.8688454305941 -470.560154824702</t>
  </si>
  <si>
    <t>-765.279938295258 11.9591419697979 -579.267808392247</t>
  </si>
  <si>
    <t>-748.358205004628 5.65340967226143 -775.851003804413</t>
  </si>
  <si>
    <t>-687.372333266542 139.46096478975 -777.461900464096</t>
  </si>
  <si>
    <t>-661.751058206094 207.549067793486 -469.413586581112</t>
  </si>
  <si>
    <t>-496.671576123786 164.037945668051 -273.205583519647</t>
  </si>
  <si>
    <t>-711.512607787834 125.6568402362 -230.779047806728</t>
  </si>
  <si>
    <t>-592.284875474668 186.337596215782 204.835753517936</t>
  </si>
  <si>
    <t>-529.419230154267 235.209447755454 668.098474276373</t>
  </si>
  <si>
    <t>-372.284439019098 233.277593253477 747.145590873869</t>
  </si>
  <si>
    <t>-723.921274752915 -36.9136373334559 222.74151487676</t>
  </si>
  <si>
    <t>-712.291532508445 22.5938037692883 688.511676517497</t>
  </si>
  <si>
    <t>-581.590891091328 -61.2060390128365 771.206542481301</t>
  </si>
  <si>
    <t>9763-20170724T160734.396478200.bin</t>
  </si>
  <si>
    <t>-728.868924072076 28.9330664776585 -231.723880555073</t>
  </si>
  <si>
    <t>-753.183542092848 33.0908477098628 -350.295994159019</t>
  </si>
  <si>
    <t>-763.113348833398 25.0202695470771 -470.823266772816</t>
  </si>
  <si>
    <t>-766.35692768736 12.473438985837 -579.574819228196</t>
  </si>
  <si>
    <t>-749.360560873156 7.13654422185391 -776.170467511282</t>
  </si>
  <si>
    <t>-688.832826256426 141.076629642856 -777.434303430625</t>
  </si>
  <si>
    <t>-638.940331717067 194.96503664709 -469.549609305338</t>
  </si>
  <si>
    <t>-471.875777044253 153.023311847222 -274.684655749493</t>
  </si>
  <si>
    <t>-713.573467519715 126.049831383057 -230.809121177793</t>
  </si>
  <si>
    <t>-592.984002288544 186.735750626518 204.429976455652</t>
  </si>
  <si>
    <t>-529.501967015148 235.061478171762 667.737303918807</t>
  </si>
  <si>
    <t>-372.351646396979 233.561297463482 746.762952460451</t>
  </si>
  <si>
    <t>-723.426288600117 -37.5873600428745 222.211132748511</t>
  </si>
  <si>
    <t>-712.273067164199 21.814965856759 687.936060740083</t>
  </si>
  <si>
    <t>-581.359863696557 -60.9047307326541 771.378822653394</t>
  </si>
  <si>
    <t>9763-20170724T160734.425556100.bin</t>
  </si>
  <si>
    <t>-729.468661466482 29.1193070557397 -231.836677362947</t>
  </si>
  <si>
    <t>-753.804809591384 33.2679206584278 -350.404577048916</t>
  </si>
  <si>
    <t>-763.68208327603 25.409113464282 -470.950217942217</t>
  </si>
  <si>
    <t>-766.851075412425 13.1317473480578 -579.734658008793</t>
  </si>
  <si>
    <t>-749.72715356859 8.47638517115774 -776.330141573123</t>
  </si>
  <si>
    <t>-689.157377422524 142.442549963793 -777.265949691248</t>
  </si>
  <si>
    <t>-624.979000682694 189.572192671464 -470.922715383707</t>
  </si>
  <si>
    <t>-455.072324308554 148.706496227542 -278.299274141208</t>
  </si>
  <si>
    <t>-714.766567376958 126.449833335087 -230.805114636454</t>
  </si>
  <si>
    <t>-593.976826128491 187.297444502213 204.355899053129</t>
  </si>
  <si>
    <t>-529.561262650862 235.051863913526 667.584066308893</t>
  </si>
  <si>
    <t>-372.386685632617 233.714940035714 746.564266122453</t>
  </si>
  <si>
    <t>-723.157372134988 -37.7277282768202 221.996660691208</t>
  </si>
  <si>
    <t>-712.279573926127 21.628854047045 687.817016170395</t>
  </si>
  <si>
    <t>-581.248461094816 -60.7193127217231 771.442001666798</t>
  </si>
  <si>
    <t>9763-20170724T160734.488309300.bin</t>
  </si>
  <si>
    <t>-730.693655962797 29.7011420000449 -232.279146351825</t>
  </si>
  <si>
    <t>-754.855836637992 33.9256766976878 -350.87996434011</t>
  </si>
  <si>
    <t>-764.595732141754 26.4769136772404 -471.462896983698</t>
  </si>
  <si>
    <t>-767.666217673729 14.6845060891092 -580.303915254469</t>
  </si>
  <si>
    <t>-750.499659479123 11.1663717682359 -776.912767328754</t>
  </si>
  <si>
    <t>-689.529996715246 144.965051726253 -776.934281515953</t>
  </si>
  <si>
    <t>-599.473359455904 175.488273930729 -475.033050955545</t>
  </si>
  <si>
    <t>-424.979515748466 136.361760659712 -286.186397268963</t>
  </si>
  <si>
    <t>-717.117454062231 127.429372242245 -230.924899482987</t>
  </si>
  <si>
    <t>-597.001570087977 188.882461910623 204.337553793073</t>
  </si>
  <si>
    <t>-529.723633825884 235.11984511846 667.3250167175</t>
  </si>
  <si>
    <t>-372.475387141475 234.016193597886 746.162063456147</t>
  </si>
  <si>
    <t>-722.923857359059 -37.9154786420556 221.237516219878</t>
  </si>
  <si>
    <t>-712.248257581206 20.5559068356793 686.781681720775</t>
  </si>
  <si>
    <t>-581.160988819795 -60.4985617453099 771.574440572017</t>
  </si>
  <si>
    <t>9763-20170724T160734.526422300.bin</t>
  </si>
  <si>
    <t>-731.289466590254 29.6292386798921 -233.008902419203</t>
  </si>
  <si>
    <t>-755.136833209481 33.9074079623304 -351.671574589401</t>
  </si>
  <si>
    <t>-764.699522778465 26.6454704768714 -472.279799628962</t>
  </si>
  <si>
    <t>-767.673844612498 15.067301041933 -581.146635667061</t>
  </si>
  <si>
    <t>-750.454304945327 12.0193966101715 -777.756966821884</t>
  </si>
  <si>
    <t>-688.630234593573 145.41909451024 -777.293132641189</t>
  </si>
  <si>
    <t>-586.760066158227 168.854535231015 -478.530049211175</t>
  </si>
  <si>
    <t>-410.469986512117 131.709454417528 -290.955741332641</t>
  </si>
  <si>
    <t>-718.194144201835 127.703158903875 -231.404250607524</t>
  </si>
  <si>
    <t>-598.82348911227 189.509779453186 204.0130050574</t>
  </si>
  <si>
    <t>-529.808463773197 235.157419690586 666.926378133502</t>
  </si>
  <si>
    <t>-372.52512552092 234.089984770565 745.694074830561</t>
  </si>
  <si>
    <t>-723.050227302403 -38.708012231843 220.082231208522</t>
  </si>
  <si>
    <t>-712.130460254839 18.8330310607444 685.169652236849</t>
  </si>
  <si>
    <t>-581.284823719115 -60.6551674614113 771.798481051047</t>
  </si>
  <si>
    <t>9763-20170724T160734.589364900.bin</t>
  </si>
  <si>
    <t>-732.443392063984 29.2265540164585 -235.187457502197</t>
  </si>
  <si>
    <t>-755.628726072914 33.7237912669259 -353.973056700984</t>
  </si>
  <si>
    <t>-764.798384603958 26.7498879651464 -474.629048805179</t>
  </si>
  <si>
    <t>-767.54920619085 15.4419896652134 -583.529841395977</t>
  </si>
  <si>
    <t>-750.019977035259 12.7966216865075 -780.12037870839</t>
  </si>
  <si>
    <t>-685.431319401734 144.934024665471 -779.40795853394</t>
  </si>
  <si>
    <t>-565.708728841555 155.344055203147 -486.58655430252</t>
  </si>
  <si>
    <t>-388.830247841361 119.70925706158 -299.273474130742</t>
  </si>
  <si>
    <t>-719.938965916676 128.264620342768 -233.005762373729</t>
  </si>
  <si>
    <t>-602.636673465371 190.612580389845 202.896291965394</t>
  </si>
  <si>
    <t>-529.948355966343 235.384648985496 665.646283866608</t>
  </si>
  <si>
    <t>-372.618216842168 234.193063058373 744.318545547639</t>
  </si>
  <si>
    <t>-723.684532516949 -40.4384257550225 217.45822548583</t>
  </si>
  <si>
    <t>-711.968625399066 15.9490677644051 682.953424085063</t>
  </si>
  <si>
    <t>-581.544856129293 -60.9630445323648 772.494892473058</t>
  </si>
  <si>
    <t>9763-20170724T160734.623457000.bin</t>
  </si>
  <si>
    <t>-733.029514363029 29.3131351594695 -236.142141322791</t>
  </si>
  <si>
    <t>-755.646166455866 33.9878439259194 -355.030506633706</t>
  </si>
  <si>
    <t>-764.479781895303 27.0540781576726 -475.713760320104</t>
  </si>
  <si>
    <t>-767.039183447383 15.720801620163 -584.616712265524</t>
  </si>
  <si>
    <t>-749.220781123881 12.7904417504685 -781.184249956375</t>
  </si>
  <si>
    <t>-682.789024724018 143.967127989536 -780.562628918936</t>
  </si>
  <si>
    <t>-557.003792068328 150.290473412228 -490.176211623693</t>
  </si>
  <si>
    <t>-379.595602901688 114.751529401276 -303.346558646739</t>
  </si>
  <si>
    <t>-720.548462753529 128.566166826435 -233.754114709072</t>
  </si>
  <si>
    <t>-604.40014329925 191.315077544744 202.399377751764</t>
  </si>
  <si>
    <t>-530.057677402067 235.558490953099 664.996184558901</t>
  </si>
  <si>
    <t>-372.688425268255 234.223375096295 743.587666318592</t>
  </si>
  <si>
    <t>-724.188940835491 -40.6628241198359 216.39862048192</t>
  </si>
  <si>
    <t>-711.843237593547 15.0962426455203 682.150568669357</t>
  </si>
  <si>
    <t>-581.643575400923 -61.0234241265857 772.689823897533</t>
  </si>
  <si>
    <t>9763-20170724T160734.692151800.bin</t>
  </si>
  <si>
    <t>-733.621147983716 30.4961037095622 -237.642423362702</t>
  </si>
  <si>
    <t>-755.096115294593 35.5088723861763 -356.728484496465</t>
  </si>
  <si>
    <t>-763.277190670534 28.4701299339254 -477.451770185386</t>
  </si>
  <si>
    <t>-765.483147368184 16.8569948485219 -586.332994007076</t>
  </si>
  <si>
    <t>-747.094221150905 12.7740516052249 -782.846389998229</t>
  </si>
  <si>
    <t>-677.045872547809 142.09398215979 -783.062970795996</t>
  </si>
  <si>
    <t>-544.965832162006 141.73083450177 -495.41564280129</t>
  </si>
  <si>
    <t>-365.685802604588 106.678347994919 -310.28852584426</t>
  </si>
  <si>
    <t>-720.650664648587 129.680609355826 -235.089914078716</t>
  </si>
  <si>
    <t>-607.380706276694 192.798561025464 201.7667852306</t>
  </si>
  <si>
    <t>-530.195600235298 235.923434163879 663.898115303813</t>
  </si>
  <si>
    <t>-372.752729821474 234.315772770486 742.336881487617</t>
  </si>
  <si>
    <t>-725.457870614473 -40.1474997521627 215.126584681874</t>
  </si>
  <si>
    <t>-711.715598234386 14.6481197443916 681.468519290178</t>
  </si>
  <si>
    <t>-581.768856222685 -61.0621309581893 772.711659031844</t>
  </si>
  <si>
    <t>9763-20170724T160734.724242100.bin</t>
  </si>
  <si>
    <t>-733.847759027475 31.425367666639 -238.087390255046</t>
  </si>
  <si>
    <t>-754.73316904894 36.5540480732568 -357.273489229495</t>
  </si>
  <si>
    <t>-762.605190352931 29.2883577112871 -478.003744270791</t>
  </si>
  <si>
    <t>-764.666620334958 17.3335357226549 -586.850887230986</t>
  </si>
  <si>
    <t>-746.102008550558 12.2059284705931 -783.338321775609</t>
  </si>
  <si>
    <t>-674.475653886745 140.636392226621 -784.289648021905</t>
  </si>
  <si>
    <t>-540.562536761641 138.287682919291 -497.500705966076</t>
  </si>
  <si>
    <t>-361.17035030443 102.974406506465 -312.531931997342</t>
  </si>
  <si>
    <t>-720.497132332217 130.361449774642 -235.532263972377</t>
  </si>
  <si>
    <t>-608.770581486711 193.329673556841 201.743188515321</t>
  </si>
  <si>
    <t>-530.259555558742 236.036677981708 663.605870376622</t>
  </si>
  <si>
    <t>-372.778832664418 234.269897198081 741.965251071173</t>
  </si>
  <si>
    <t>-726.316739895065 -39.4963611607639 214.790712044061</t>
  </si>
  <si>
    <t>-711.718853004345 14.7001986703985 681.305227260519</t>
  </si>
  <si>
    <t>-581.787515042728 -61.0303412006488 772.553472630176</t>
  </si>
  <si>
    <t>9763-20170724T160734.790922700.bin</t>
  </si>
  <si>
    <t>-733.849029140984 33.5427961186522 -238.534293023142</t>
  </si>
  <si>
    <t>-753.720947897039 38.7615528229464 -357.889471782638</t>
  </si>
  <si>
    <t>-760.999434189054 30.501691516841 -478.593104263346</t>
  </si>
  <si>
    <t>-762.75341219144 17.2132269902959 -587.290876071293</t>
  </si>
  <si>
    <t>-743.665744967774 8.37974928007066 -783.640629894707</t>
  </si>
  <si>
    <t>-668.804553487175 134.919818743802 -786.941551254663</t>
  </si>
  <si>
    <t>-533.155381080455 133.282147030265 -500.964571491465</t>
  </si>
  <si>
    <t>-354.986394703282 99.4573419999344 -314.541057292225</t>
  </si>
  <si>
    <t>-719.515657763522 131.571623241163 -236.188130936279</t>
  </si>
  <si>
    <t>-610.220718156509 194.005029265454 201.778044958516</t>
  </si>
  <si>
    <t>-530.082751745687 235.842902820681 663.160072926243</t>
  </si>
  <si>
    <t>-372.646408382075 234.994342289745 741.624133528484</t>
  </si>
  <si>
    <t>-728.047097237262 -37.5678426158643 214.478543928267</t>
  </si>
  <si>
    <t>-711.587553920171 15.1686379135544 681.22001099214</t>
  </si>
  <si>
    <t>-581.686677741451 -60.9481363384634 772.189848436846</t>
  </si>
  <si>
    <t>9763-20170724T160734.824009200.bin</t>
  </si>
  <si>
    <t>-733.558941479984 34.8691691730735 -238.753360872117</t>
  </si>
  <si>
    <t>-753.118145573672 39.9497756954413 -358.166188381467</t>
  </si>
  <si>
    <t>-760.2338017578 30.8450550783066 -478.81872004704</t>
  </si>
  <si>
    <t>-761.939006297571 16.5090556902646 -587.384004433394</t>
  </si>
  <si>
    <t>-742.726891116737 4.94604891574818 -783.607572204603</t>
  </si>
  <si>
    <t>-666.146377005748 130.404480477215 -788.680559320783</t>
  </si>
  <si>
    <t>-530.604772417647 131.589450446933 -502.65033423898</t>
  </si>
  <si>
    <t>-354.166710485991 98.713621432634 -314.419465397862</t>
  </si>
  <si>
    <t>-718.765395682142 132.479436031849 -236.59926452689</t>
  </si>
  <si>
    <t>-609.853568387335 194.507839842744 201.519819468839</t>
  </si>
  <si>
    <t>-530.055386082568 235.805049434874 663.067648921676</t>
  </si>
  <si>
    <t>-372.631063269976 235.324472449093 741.558876614274</t>
  </si>
  <si>
    <t>-728.671636103796 -36.3674239307236 214.459882419833</t>
  </si>
  <si>
    <t>-711.469140188601 15.508731081622 681.289974453714</t>
  </si>
  <si>
    <t>-581.666065617868 -61.0241238986318 772.050027209958</t>
  </si>
  <si>
    <t>9763-20170724T160734.890860500.bin</t>
  </si>
  <si>
    <t>-733.156973179037 38.6084186888666 -238.915870753228</t>
  </si>
  <si>
    <t>-752.316062286074 43.105549749534 -358.416894507775</t>
  </si>
  <si>
    <t>-759.189351159557 31.8867970506033 -478.905449734777</t>
  </si>
  <si>
    <t>-760.822735657141 15.0275562191673 -587.108636527013</t>
  </si>
  <si>
    <t>-661.928173969847 120.511704738346 -792.058593484383</t>
  </si>
  <si>
    <t>-528.773877331691 129.730277037956 -505.054877398659</t>
  </si>
  <si>
    <t>-355.084379993598 100.245764833598 -313.731302493095</t>
  </si>
  <si>
    <t>-718.014558963935 135.878115016817 -237.150887851349</t>
  </si>
  <si>
    <t>-607.847701928823 196.205675913555 200.892005111743</t>
  </si>
  <si>
    <t>-530.201437416358 235.849253340524 662.984748944167</t>
  </si>
  <si>
    <t>-372.703580814314 235.344691079619 741.328364230406</t>
  </si>
  <si>
    <t>-729.661929159224 -33.4077634698444 214.85347227298</t>
  </si>
  <si>
    <t>-711.227654491632 16.4796081132624 681.852276978211</t>
  </si>
  <si>
    <t>-581.579192926843 -61.1194812478152 771.925383942055</t>
  </si>
  <si>
    <t>9763-20170724T160734.922944400.bin</t>
  </si>
  <si>
    <t>-732.756092586723 40.8300530429344 -238.765287054901</t>
  </si>
  <si>
    <t>-751.812791632071 45.0001731863049 -358.294527883507</t>
  </si>
  <si>
    <t>-758.634197677824 32.7542320983482 -478.685900489259</t>
  </si>
  <si>
    <t>-760.27954425446 14.6890049500746 -586.694161764516</t>
  </si>
  <si>
    <t>-660.225039309862 116.259598483387 -793.332025735604</t>
  </si>
  <si>
    <t>-528.527615250102 130.036521002981 -505.838989262074</t>
  </si>
  <si>
    <t>-355.96340454657 101.995551487267 -313.284268734783</t>
  </si>
  <si>
    <t>-717.505370734055 137.997475540943 -237.288106778227</t>
  </si>
  <si>
    <t>-606.58539148559 197.270987851139 200.708689397684</t>
  </si>
  <si>
    <t>-530.327832553563 235.847770644421 663.056920606772</t>
  </si>
  <si>
    <t>-372.760783621866 235.192361139075 741.260101056458</t>
  </si>
  <si>
    <t>-730.383946257274 -31.4894889775744 215.366720050929</t>
  </si>
  <si>
    <t>-711.051978073069 17.4640694502057 682.545013271453</t>
  </si>
  <si>
    <t>-581.532372323537 -61.2234638365285 771.856016919479</t>
  </si>
  <si>
    <t>9763-20170724T160734.988753100.bin</t>
  </si>
  <si>
    <t>-731.557797969106 45.0933522296921 -237.74587108356</t>
  </si>
  <si>
    <t>-750.022982053791 48.7264793131849 -357.385548261594</t>
  </si>
  <si>
    <t>-756.570874720452 34.6976402245875 -477.597313687789</t>
  </si>
  <si>
    <t>-758.158390416135 14.5453759087329 -585.236654080564</t>
  </si>
  <si>
    <t>-656.520464872655 109.541892699459 -794.535418232737</t>
  </si>
  <si>
    <t>-527.686983991922 132.965635983634 -506.36970247769</t>
  </si>
  <si>
    <t>-356.466067391322 105.729418506094 -312.504665347537</t>
  </si>
  <si>
    <t>-716.184304862652 141.777393146175 -236.840868836575</t>
  </si>
  <si>
    <t>-603.952658805464 199.083539574721 201.083530593814</t>
  </si>
  <si>
    <t>-530.647370901191 235.691894956965 663.721780558788</t>
  </si>
  <si>
    <t>-372.856258715555 234.874850052001 741.469973266419</t>
  </si>
  <si>
    <t>-731.838605057938 -27.532733688932 217.04725390391</t>
  </si>
  <si>
    <t>-710.93770088985 19.8924593000731 684.448823903465</t>
  </si>
  <si>
    <t>-581.625186962379 -61.5789235143491 771.536124165551</t>
  </si>
  <si>
    <t>9763-20170724T160735.020836000.bin</t>
  </si>
  <si>
    <t>-730.961167917787 46.9598657538916 -237.010409583163</t>
  </si>
  <si>
    <t>-749.272882932616 50.4747554547287 -356.677243509637</t>
  </si>
  <si>
    <t>-755.775684943957 35.7337814862171 -476.806244456511</t>
  </si>
  <si>
    <t>-757.389453448499 14.712673413992 -584.278794626011</t>
  </si>
  <si>
    <t>-655.245564575227 106.954937532941 -794.707293553138</t>
  </si>
  <si>
    <t>-528.257988828503 134.583954525114 -506.095166829648</t>
  </si>
  <si>
    <t>-357.311751512621 107.133594369887 -312.018225819901</t>
  </si>
  <si>
    <t>-715.491569411513 143.33850737128 -236.33333204724</t>
  </si>
  <si>
    <t>-602.840531391419 199.936713141831 201.57542909846</t>
  </si>
  <si>
    <t>-530.823212923549 235.590341150669 664.286786519868</t>
  </si>
  <si>
    <t>-372.90408160019 234.637162662505 741.773277921172</t>
  </si>
  <si>
    <t>-732.200188511579 -25.7353529727093 218.033962823169</t>
  </si>
  <si>
    <t>-710.921790526843 21.1678146754152 685.478689444428</t>
  </si>
  <si>
    <t>-581.716850587964 -61.7554385268697 771.346783302844</t>
  </si>
  <si>
    <t>9763-20170724T160735.087017300.bin</t>
  </si>
  <si>
    <t>-729.911422937884 49.7736246765205 -235.717661335776</t>
  </si>
  <si>
    <t>-748.143147524536 53.0016726780659 -355.404601938016</t>
  </si>
  <si>
    <t>-754.740226472687 36.9519594468186 -475.360661236259</t>
  </si>
  <si>
    <t>-756.549098612036 14.3621603649676 -582.511480649046</t>
  </si>
  <si>
    <t>-654.200589463416 101.845800175559 -794.793434773126</t>
  </si>
  <si>
    <t>-530.04401467849 134.568529676335 -505.482933433218</t>
  </si>
  <si>
    <t>-359.478237874665 107.519137399776 -311.015294607988</t>
  </si>
  <si>
    <t>-714.564702922909 145.788561103672 -235.424561131853</t>
  </si>
  <si>
    <t>-601.448678549638 201.330799310852 202.499473250436</t>
  </si>
  <si>
    <t>-531.059842940035 235.45585514781 665.446084957293</t>
  </si>
  <si>
    <t>-372.936029017078 234.233353696682 742.510002467672</t>
  </si>
  <si>
    <t>-732.039823594167 -23.1411590636908 219.620828344957</t>
  </si>
  <si>
    <t>-710.854237977269 22.9387826568502 686.894321325823</t>
  </si>
  <si>
    <t>-581.950125601126 -62.1202880175995 771.109502117843</t>
  </si>
  <si>
    <t>9763-20170724T160735.124119400.bin</t>
  </si>
  <si>
    <t>-729.476826187531 50.5895718850045 -235.228242579558</t>
  </si>
  <si>
    <t>-747.604117747727 53.647580983999 -354.935574284032</t>
  </si>
  <si>
    <t>-754.225102224041 37.0580708901973 -474.816896595597</t>
  </si>
  <si>
    <t>-756.12157505084 13.8448209073222 -581.832752204538</t>
  </si>
  <si>
    <t>-653.838367506137 99.5031650057633 -794.866318907208</t>
  </si>
  <si>
    <t>-529.935912733985 134.193982527782 -505.676233825342</t>
  </si>
  <si>
    <t>-359.957530661977 107.576369459217 -310.635477693727</t>
  </si>
  <si>
    <t>-714.263817190589 146.54952357357 -235.0572959182</t>
  </si>
  <si>
    <t>-601.138153618152 201.698396513585 202.914063991575</t>
  </si>
  <si>
    <t>-531.115051795477 235.432961767727 665.87506157738</t>
  </si>
  <si>
    <t>-372.923240689371 234.142598639147 742.798379505639</t>
  </si>
  <si>
    <t>-731.740015488552 -22.5077113450966 220.09039414043</t>
  </si>
  <si>
    <t>-710.802015301546 23.3489059828466 687.244759293495</t>
  </si>
  <si>
    <t>-582.072285396422 -62.3363501850981 771.091079116217</t>
  </si>
  <si>
    <t>9763-20170724T160735.189295000.bin</t>
  </si>
  <si>
    <t>-728.135780509173 51.07454480763 -234.837681177051</t>
  </si>
  <si>
    <t>-746.39534415957 53.8980353101567 -354.530756053435</t>
  </si>
  <si>
    <t>-753.235909479837 36.5022880938527 -474.28526817585</t>
  </si>
  <si>
    <t>-755.38926287381 12.3458793870445 -581.087439772535</t>
  </si>
  <si>
    <t>-653.676587870636 95.4130248969045 -795.624580491132</t>
  </si>
  <si>
    <t>-529.382665400243 133.16658148049 -506.986497795263</t>
  </si>
  <si>
    <t>-360.047650436436 108.472087359665 -311.134855814724</t>
  </si>
  <si>
    <t>-713.328721043613 147.15217510268 -234.813769209252</t>
  </si>
  <si>
    <t>-600.643537528676 202.077746965488 203.299026241317</t>
  </si>
  <si>
    <t>-530.946183129171 235.307701938548 666.256898498984</t>
  </si>
  <si>
    <t>-372.834278309693 234.051400175999 743.345172431134</t>
  </si>
  <si>
    <t>-730.801655076039 -22.0779065078348 220.525513345312</t>
  </si>
  <si>
    <t>-710.712200475288 23.745496421205 687.637680013186</t>
  </si>
  <si>
    <t>-582.200401985464 -62.5523119501127 771.189565815357</t>
  </si>
  <si>
    <t>9763-20170724T160735.221380400.bin</t>
  </si>
  <si>
    <t>-727.388746114335 50.8588966218572 -234.821743433623</t>
  </si>
  <si>
    <t>-745.620739635423 53.5146714656341 -354.522805854892</t>
  </si>
  <si>
    <t>-752.554119164029 35.7658416821746 -474.220248265596</t>
  </si>
  <si>
    <t>-754.851730587568 11.2234648986464 -580.931349210262</t>
  </si>
  <si>
    <t>-653.628066633897 93.3093499693553 -796.112028972138</t>
  </si>
  <si>
    <t>-528.888806424564 132.409933098971 -507.845804898115</t>
  </si>
  <si>
    <t>-359.925345791172 108.413313285554 -311.586954758784</t>
  </si>
  <si>
    <t>-712.889903687118 146.99813797221 -234.886066225165</t>
  </si>
  <si>
    <t>-600.330927454714 201.992401091964 203.25059965605</t>
  </si>
  <si>
    <t>-530.71938464341 235.268550836584 666.240422141084</t>
  </si>
  <si>
    <t>-372.752481008988 234.070064140082 743.625931705778</t>
  </si>
  <si>
    <t>-730.147370096929 -22.1767314423807 220.588818725539</t>
  </si>
  <si>
    <t>-710.653524990169 23.8666155507058 687.743659271397</t>
  </si>
  <si>
    <t>-582.217079354701 -62.5871926212528 771.25011857731</t>
  </si>
  <si>
    <t>9763-20170724T160735.293145800.bin</t>
  </si>
  <si>
    <t>-725.715109222548 50.0121610791784 -234.783434910319</t>
  </si>
  <si>
    <t>-744.122285915442 52.5113200059091 -354.461112729817</t>
  </si>
  <si>
    <t>-751.336529346054 34.2369828371072 -474.062725750808</t>
  </si>
  <si>
    <t>-753.944853083174 9.08387134898908 -580.62441292275</t>
  </si>
  <si>
    <t>-653.816312043293 89.6995697208367 -796.885303464526</t>
  </si>
  <si>
    <t>-528.663558323443 131.229756332222 -509.138434546326</t>
  </si>
  <si>
    <t>-360.296496010316 108.027241153737 -312.272478612612</t>
  </si>
  <si>
    <t>-711.631005778216 146.216541475712 -234.811030555644</t>
  </si>
  <si>
    <t>-599.589672775748 201.527662990721 203.418521223473</t>
  </si>
  <si>
    <t>-530.182897552051 235.151002904801 666.675371124219</t>
  </si>
  <si>
    <t>-372.571413279672 234.05120989946 744.783895926357</t>
  </si>
  <si>
    <t>-728.355199384233 -22.7551894106832 220.713631247829</t>
  </si>
  <si>
    <t>-710.629247837687 24.020012889501 687.915549247825</t>
  </si>
  <si>
    <t>-582.194270375992 -62.4920437744561 771.363937605386</t>
  </si>
  <si>
    <t>9763-20170724T160735.326222700.bin</t>
  </si>
  <si>
    <t>-724.835276020215 49.5991400100449 -234.772450787546</t>
  </si>
  <si>
    <t>-743.541604927814 52.0588877076693 -354.404502647623</t>
  </si>
  <si>
    <t>-750.968756705472 33.5730685196622 -473.960768830006</t>
  </si>
  <si>
    <t>-753.738466298817 8.16109957537287 -580.456737788603</t>
  </si>
  <si>
    <t>-654.153398686151 88.2137581342402 -797.16836382371</t>
  </si>
  <si>
    <t>-529.089751597518 130.753846189381 -509.530394749813</t>
  </si>
  <si>
    <t>-361.138300535394 107.565397510628 -312.308030296947</t>
  </si>
  <si>
    <t>-710.876475152121 145.792511598184 -234.769741257602</t>
  </si>
  <si>
    <t>-599.038930607344 201.256568303097 203.492399206948</t>
  </si>
  <si>
    <t>-530.000172059873 235.070673422795 666.709525963422</t>
  </si>
  <si>
    <t>-372.522231099904 233.989747270106 745.087103271211</t>
  </si>
  <si>
    <t>-727.312300668463 -23.0714920753574 220.790903582971</t>
  </si>
  <si>
    <t>-710.61520911497 24.1082594342422 688.010412608372</t>
  </si>
  <si>
    <t>-582.197744320201 -62.4660098076399 771.421199862576</t>
  </si>
  <si>
    <t>9763-20170724T160735.388919100.bin</t>
  </si>
  <si>
    <t>-723.44340506169 49.0012090760604 -234.874177757607</t>
  </si>
  <si>
    <t>-742.573726032862 51.3511203976243 -354.441448827301</t>
  </si>
  <si>
    <t>-750.364929528151 32.360463001789 -473.895329252319</t>
  </si>
  <si>
    <t>-753.451157285531 6.34133941250229 -580.23590426891</t>
  </si>
  <si>
    <t>-654.924312403178 84.9515492380635 -798.060741627093</t>
  </si>
  <si>
    <t>-530.061502696981 129.411087205645 -510.62584683252</t>
  </si>
  <si>
    <t>-362.849801713265 106.576366766799 -312.734921206751</t>
  </si>
  <si>
    <t>-709.588891668531 145.221349580402 -234.970132377336</t>
  </si>
  <si>
    <t>-597.590374982203 200.959672378868 203.216214769118</t>
  </si>
  <si>
    <t>-529.656880643138 234.914008652267 666.705913927594</t>
  </si>
  <si>
    <t>-372.410059294087 233.904114970217 745.547103691785</t>
  </si>
  <si>
    <t>-725.642644199735 -23.5914632469728 220.857295413668</t>
  </si>
  <si>
    <t>-710.607194235321 24.2254308191648 688.120289708628</t>
  </si>
  <si>
    <t>-582.163416274818 -62.3584046124076 771.480653770304</t>
  </si>
  <si>
    <t>9763-20170724T160735.424015900.bin</t>
  </si>
  <si>
    <t>-722.886930377601 48.9026763562151 -234.898547830832</t>
  </si>
  <si>
    <t>-741.965413649998 51.1501329173689 -354.476003214622</t>
  </si>
  <si>
    <t>-749.872147420959 31.8342758556932 -473.87013505103</t>
  </si>
  <si>
    <t>-753.141381062326 5.44231708607072 -580.113352282665</t>
  </si>
  <si>
    <t>-655.316268179174 83.1266186253147 -798.598983556411</t>
  </si>
  <si>
    <t>-530.287027361349 128.506998595793 -511.380420865797</t>
  </si>
  <si>
    <t>-363.285632566666 106.310894316672 -313.239323498687</t>
  </si>
  <si>
    <t>-709.047044219643 145.169677593916 -235.090864250619</t>
  </si>
  <si>
    <t>-596.725715172605 200.875563604089 203.016939979854</t>
  </si>
  <si>
    <t>-529.539654781312 234.844651680631 666.657334080355</t>
  </si>
  <si>
    <t>-372.386296770475 233.831123383082 745.684518246953</t>
  </si>
  <si>
    <t>-725.263309889277 -23.6421238150949 220.883275609293</t>
  </si>
  <si>
    <t>-710.608932210356 24.2705453614224 688.165532842549</t>
  </si>
  <si>
    <t>-582.140438907798 -62.3056271291648 771.495748012985</t>
  </si>
  <si>
    <t>9763-20170724T160735.488819200.bin</t>
  </si>
  <si>
    <t>-721.502893651327 49.0922599638134 -235.077139890058</t>
  </si>
  <si>
    <t>-740.475576635502 51.063214631886 -354.676467133372</t>
  </si>
  <si>
    <t>-748.602120009296 31.0224450433266 -473.936113788463</t>
  </si>
  <si>
    <t>-752.220393689529 3.81924066004399 -579.963203394334</t>
  </si>
  <si>
    <t>-655.449942988757 79.286988294587 -799.663987775544</t>
  </si>
  <si>
    <t>-529.723397133784 126.6770095368 -513.075019063758</t>
  </si>
  <si>
    <t>-363.215934575429 106.314321945291 -314.322290583732</t>
  </si>
  <si>
    <t>-707.634247597843 145.236504104971 -235.376572255267</t>
  </si>
  <si>
    <t>-595.220036563305 200.787334965495 202.727128802577</t>
  </si>
  <si>
    <t>-529.338885319996 234.803894589099 666.558593441273</t>
  </si>
  <si>
    <t>-372.339896853916 233.634599230373 745.890020778948</t>
  </si>
  <si>
    <t>-724.861450645428 -23.4062117040426 220.93934901587</t>
  </si>
  <si>
    <t>-710.630756275043 24.328014259554 688.243958969354</t>
  </si>
  <si>
    <t>-582.10288007306 -62.2146936299821 771.51732204596</t>
  </si>
  <si>
    <t>9763-20170724T160735.522909500.bin</t>
  </si>
  <si>
    <t>-720.679841336723 49.2463720165465 -235.19372223052</t>
  </si>
  <si>
    <t>-739.609970754791 51.0695225286725 -354.801924479691</t>
  </si>
  <si>
    <t>-747.803915584772 30.6819973374752 -473.998212993246</t>
  </si>
  <si>
    <t>-751.535668855809 3.09560082825396 -579.922423986271</t>
  </si>
  <si>
    <t>-655.012925735952 77.4697896857738 -800.076214760626</t>
  </si>
  <si>
    <t>-528.751099597323 126.265000193927 -513.958968670412</t>
  </si>
  <si>
    <t>-362.582926692897 106.588150138007 -314.853258761664</t>
  </si>
  <si>
    <t>-706.774669365581 145.334718947705 -235.58335820407</t>
  </si>
  <si>
    <t>-594.707276959713 200.832286897008 202.615928650849</t>
  </si>
  <si>
    <t>-529.251141470373 234.829870082563 666.519010255466</t>
  </si>
  <si>
    <t>-372.314188360789 233.510122305268 745.970544248452</t>
  </si>
  <si>
    <t>-724.500173778076 -23.261070779778 220.956476262303</t>
  </si>
  <si>
    <t>-710.591383921747 24.3925329934477 688.285169009743</t>
  </si>
  <si>
    <t>-582.109931604869 -62.2394085453609 771.537398140376</t>
  </si>
  <si>
    <t>9763-20170724T160735.593100800.bin</t>
  </si>
  <si>
    <t>-718.758919003725 49.2900826698708 -235.361488736103</t>
  </si>
  <si>
    <t>-737.560545134434 50.8498025722504 -354.993774873153</t>
  </si>
  <si>
    <t>-745.801719987899 29.7909181075111 -474.070002423932</t>
  </si>
  <si>
    <t>-749.661921749696 1.45421869416032 -579.79131353088</t>
  </si>
  <si>
    <t>-653.259496058949 73.5998228444071 -800.793934914222</t>
  </si>
  <si>
    <t>-526.580918999535 124.971395985181 -515.312269363846</t>
  </si>
  <si>
    <t>-360.974253226202 106.643351038727 -315.611037597542</t>
  </si>
  <si>
    <t>-704.62680471329 145.324823444098 -236.043894266477</t>
  </si>
  <si>
    <t>-593.878578873125 200.706714674657 202.505243656342</t>
  </si>
  <si>
    <t>-529.112378025057 234.821006611868 666.488215852959</t>
  </si>
  <si>
    <t>-372.276927583565 233.303503714762 746.136346223931</t>
  </si>
  <si>
    <t>-723.573439118681 -23.1027235264044 220.978814116194</t>
  </si>
  <si>
    <t>-710.519189211981 24.4931777392467 688.341730509853</t>
  </si>
  <si>
    <t>-582.156542558716 -62.3368636169957 771.570851595236</t>
  </si>
  <si>
    <t>9763-20170724T160735.626185500.bin</t>
  </si>
  <si>
    <t>-717.887348303786 49.2332317846483 -235.437595467321</t>
  </si>
  <si>
    <t>-736.713370619284 50.7323094318117 -355.066693461858</t>
  </si>
  <si>
    <t>-745.021562745633 29.3724031331408 -474.084724735854</t>
  </si>
  <si>
    <t>-748.967141538251 0.675854216541666 -579.705808678404</t>
  </si>
  <si>
    <t>-652.620373426236 71.6894120095062 -801.074594272768</t>
  </si>
  <si>
    <t>-526.01914897033 124.158808620826 -515.758511905609</t>
  </si>
  <si>
    <t>-360.761090492724 106.350701286166 -315.721793573397</t>
  </si>
  <si>
    <t>-703.768650909945 145.242207309796 -236.189035176732</t>
  </si>
  <si>
    <t>-593.440951060866 200.538672895319 202.47688767359</t>
  </si>
  <si>
    <t>-529.031454470623 234.761380254968 666.468096622729</t>
  </si>
  <si>
    <t>-372.251427114903 233.124112851835 746.222820326041</t>
  </si>
  <si>
    <t>-723.048728388754 -23.0756045479088 220.982604174777</t>
  </si>
  <si>
    <t>-710.470831307458 24.5437195780269 688.354354479496</t>
  </si>
  <si>
    <t>-582.169388489853 -62.3777300014165 771.582444865945</t>
  </si>
  <si>
    <t>9763-20170724T160735.691928200.bin</t>
  </si>
  <si>
    <t>-716.178730261552 49.0830335200048 -235.605916630814</t>
  </si>
  <si>
    <t>-735.120444547218 50.4808346533271 -355.218114279514</t>
  </si>
  <si>
    <t>-743.635351670047 28.5070843677445 -474.109594423486</t>
  </si>
  <si>
    <t>-651.963537538803 67.8262724606066 -801.767358955744</t>
  </si>
  <si>
    <t>-525.421739919774 123.009842379922 -516.9373505677</t>
  </si>
  <si>
    <t>-360.938047681197 106.133133508492 -316.182895663961</t>
  </si>
  <si>
    <t>-702.064840596856 144.956709108945 -236.458411357792</t>
  </si>
  <si>
    <t>-592.159602168255 200.175834824845 202.323189207847</t>
  </si>
  <si>
    <t>-528.882091001882 234.573490477489 666.467601750697</t>
  </si>
  <si>
    <t>-372.198365763162 232.917276556818 746.411079926262</t>
  </si>
  <si>
    <t>-721.700035797212 -23.1535567127285 220.967803605613</t>
  </si>
  <si>
    <t>-710.307487524791 24.6811670283523 688.370964763393</t>
  </si>
  <si>
    <t>-582.310609171987 -62.6659705041379 771.622288630063</t>
  </si>
  <si>
    <t>9763-20170724T160735.725014300.bin</t>
  </si>
  <si>
    <t>-715.245233796414 49.0746023037489 -235.68756849356</t>
  </si>
  <si>
    <t>-734.134957535123 50.3705026511479 -355.309114052878</t>
  </si>
  <si>
    <t>-742.700519484335 28.0362361466775 -474.129910065214</t>
  </si>
  <si>
    <t>-651.335259754779 65.6738522441876 -802.18443897913</t>
  </si>
  <si>
    <t>-524.917098240861 122.260221862683 -517.574714120172</t>
  </si>
  <si>
    <t>-360.80224863945 105.947146371291 -316.472181084793</t>
  </si>
  <si>
    <t>-701.139620053392 144.881955490976 -236.632112274404</t>
  </si>
  <si>
    <t>-591.352329692449 200.123071339536 202.176409462774</t>
  </si>
  <si>
    <t>-528.769174205609 234.507950507442 666.408205168313</t>
  </si>
  <si>
    <t>-372.161234710619 232.824111991955 746.499380083923</t>
  </si>
  <si>
    <t>-721.071454483949 -23.0974353786419 220.939887577471</t>
  </si>
  <si>
    <t>-710.251819343835 24.7206522890183 688.365543306767</t>
  </si>
  <si>
    <t>-582.388036242936 -62.8025508017815 771.636506851542</t>
  </si>
  <si>
    <t>9763-20170724T160735.793699600.bin</t>
  </si>
  <si>
    <t>-712.919104978071 49.4005990906358 -236.034365383886</t>
  </si>
  <si>
    <t>-731.863732611432 50.4260266934243 -355.649833251822</t>
  </si>
  <si>
    <t>-740.653765658272 27.2737807427136 -474.297543606794</t>
  </si>
  <si>
    <t>-650.218912823766 61.1553145294201 -803.283146211798</t>
  </si>
  <si>
    <t>-523.485742003937 121.562605291205 -519.600473597643</t>
  </si>
  <si>
    <t>-360.00682068858 106.456470277252 -317.886458342578</t>
  </si>
  <si>
    <t>-698.874903418549 145.081186417345 -237.155657472743</t>
  </si>
  <si>
    <t>-589.69417204593 200.104759472441 201.831424090738</t>
  </si>
  <si>
    <t>-528.544216241798 234.406622298118 666.287242484569</t>
  </si>
  <si>
    <t>-372.086878675272 232.876178935358 746.675432132733</t>
  </si>
  <si>
    <t>-719.376415374762 -22.8431667842349 220.866937311009</t>
  </si>
  <si>
    <t>-710.123380962411 24.7913081631407 688.344416747892</t>
  </si>
  <si>
    <t>-582.525959382214 -63.0618541270526 771.676517874754</t>
  </si>
  <si>
    <t>9763-20170724T160735.820773500.bin</t>
  </si>
  <si>
    <t>-711.73332126875 49.7111222026481 -236.165241536515</t>
  </si>
  <si>
    <t>-730.634291867347 50.5443811164073 -355.789150837907</t>
  </si>
  <si>
    <t>-739.524910413694 26.9126275957553 -474.334769844566</t>
  </si>
  <si>
    <t>-649.593161437076 58.6629216160877 -803.785062697313</t>
  </si>
  <si>
    <t>-522.733946792245 121.34258514944 -520.652092265518</t>
  </si>
  <si>
    <t>-359.387025378776 106.771571545511 -318.79196893481</t>
  </si>
  <si>
    <t>-697.706781994169 145.342591711204 -237.405921096725</t>
  </si>
  <si>
    <t>-588.94923369467 200.271817994027 201.698011661371</t>
  </si>
  <si>
    <t>-528.474067458562 234.450262939593 666.273210731883</t>
  </si>
  <si>
    <t>-372.054558077472 232.934524592331 746.735104907162</t>
  </si>
  <si>
    <t>-718.481702230221 -22.6437603358572 220.853103926262</t>
  </si>
  <si>
    <t>-710.053722947828 24.8465887423595 688.36463416472</t>
  </si>
  <si>
    <t>-582.591963020147 -63.1918913515904 771.708708647785</t>
  </si>
  <si>
    <t>9763-20170724T160735.856883000.bin</t>
  </si>
  <si>
    <t>-710.62674768578 50.1485814792336 -236.270790639436</t>
  </si>
  <si>
    <t>-729.634204787126 50.8150139404686 -355.878964661402</t>
  </si>
  <si>
    <t>-738.643705380543 26.694029473038 -474.316850558749</t>
  </si>
  <si>
    <t>-648.999079229701 56.1628642820706 -804.237546101167</t>
  </si>
  <si>
    <t>-522.377732939926 121.077834478636 -521.502225739601</t>
  </si>
  <si>
    <t>-359.104960900965 107.155428381119 -319.536340937299</t>
  </si>
  <si>
    <t>-696.580573235556 145.752041985251 -237.659556104441</t>
  </si>
  <si>
    <t>-588.300186212596 200.488330043956 201.586352702934</t>
  </si>
  <si>
    <t>-528.437401587792 234.516887170008 666.278840499512</t>
  </si>
  <si>
    <t>-372.029050606227 233.017882985191 746.763124847286</t>
  </si>
  <si>
    <t>-717.642792388283 -22.3948365531323 220.893099333409</t>
  </si>
  <si>
    <t>-709.973142585542 24.936346085954 688.414158290858</t>
  </si>
  <si>
    <t>-582.633743822945 -63.2816852695917 771.755435225997</t>
  </si>
  <si>
    <t>9763-20170724T160735.924062200.bin</t>
  </si>
  <si>
    <t>-708.533145664482 50.8816698079293 -236.60437218721</t>
  </si>
  <si>
    <t>-727.788285703366 51.1860236033315 -356.174281617378</t>
  </si>
  <si>
    <t>-737.053128499183 25.9815493528104 -474.36676543713</t>
  </si>
  <si>
    <t>-648.026525405046 50.4102939199845 -805.141534793353</t>
  </si>
  <si>
    <t>-521.385313570979 119.592442378254 -523.428904684425</t>
  </si>
  <si>
    <t>-358.682294651344 107.307031052688 -320.89782619842</t>
  </si>
  <si>
    <t>-694.365717923401 146.373417875471 -238.341336434153</t>
  </si>
  <si>
    <t>-586.883878676319 200.749759602455 201.145305231289</t>
  </si>
  <si>
    <t>-528.417639450069 234.562131831049 666.073613809812</t>
  </si>
  <si>
    <t>-371.985100151566 233.483197836164 746.517321913177</t>
  </si>
  <si>
    <t>-716.074301836507 -21.9596006449744 220.928344592084</t>
  </si>
  <si>
    <t>-709.872136186417 25.0579688305145 688.503320008532</t>
  </si>
  <si>
    <t>-582.711475653758 -63.4296496242991 771.831719854976</t>
  </si>
  <si>
    <t>9763-20170724T160735.956170200.bin</t>
  </si>
  <si>
    <t>-707.550066979027 51.2467427055067 -236.68856631624</t>
  </si>
  <si>
    <t>-726.864651405284 51.3458877234814 -356.249189752337</t>
  </si>
  <si>
    <t>-736.241991314037 25.5876120590606 -474.313282637536</t>
  </si>
  <si>
    <t>-647.566728693952 47.476109221913 -805.482571350339</t>
  </si>
  <si>
    <t>-520.865513796934 118.789955648836 -524.329052077275</t>
  </si>
  <si>
    <t>-358.504445332688 107.379469538773 -321.472729655169</t>
  </si>
  <si>
    <t>-693.459425970095 146.682134291756 -238.544263723132</t>
  </si>
  <si>
    <t>-586.005915146293 200.866152455833 200.973171078259</t>
  </si>
  <si>
    <t>-528.40885558307 234.606260169478 666.044700667259</t>
  </si>
  <si>
    <t>-371.96852607066 233.72058192283 746.475612531471</t>
  </si>
  <si>
    <t>-715.422026984032 -21.6663988798707 220.981844521619</t>
  </si>
  <si>
    <t>-709.773348298499 25.1594242329043 688.570768786939</t>
  </si>
  <si>
    <t>-582.75478697868 -63.5440073111579 771.886424711509</t>
  </si>
  <si>
    <t>9763-20170724T160736.035880400.bin</t>
  </si>
  <si>
    <t>-706.531259357045 51.6319499140072 -236.7906283388</t>
  </si>
  <si>
    <t>-725.983102030594 51.5355567901056 -356.329097454728</t>
  </si>
  <si>
    <t>-735.506277698296 25.2800901550734 -474.271980782317</t>
  </si>
  <si>
    <t>-647.20190284042 44.88188202076 -805.842150611297</t>
  </si>
  <si>
    <t>-520.283046553959 118.100203769442 -525.276782557686</t>
  </si>
  <si>
    <t>-358.209516000164 107.53705907604 -322.144705685064</t>
  </si>
  <si>
    <t>-692.464911504388 147.069296462159 -238.83111778796</t>
  </si>
  <si>
    <t>-585.059772278113 200.926501872558 200.738199047667</t>
  </si>
  <si>
    <t>-528.427878175703 234.693628238915 665.783070647482</t>
  </si>
  <si>
    <t>-371.957442283063 233.837143321794 746.155689969753</t>
  </si>
  <si>
    <t>-714.755214132806 -21.4039124456094 221.042428431331</t>
  </si>
  <si>
    <t>-709.718930412274 25.212378135878 688.618898292594</t>
  </si>
  <si>
    <t>-582.777329020727 -63.6037823460981 771.931719485445</t>
  </si>
  <si>
    <t>9763-20170724T160736.093562900.bin</t>
  </si>
  <si>
    <t>-703.837549009891 52.4065036083398 -237.138738369283</t>
  </si>
  <si>
    <t>-723.721731401426 51.9337972210608 -356.605018812594</t>
  </si>
  <si>
    <t>-733.750560684696 24.5819820059467 -474.256540939781</t>
  </si>
  <si>
    <t>-646.892413278702 39.0847670369108 -806.683395697092</t>
  </si>
  <si>
    <t>-519.155898011478 116.442701283901 -527.603988793944</t>
  </si>
  <si>
    <t>-357.919332290442 108.147740843928 -323.702027426594</t>
  </si>
  <si>
    <t>-689.888876039823 147.757371496211 -239.484444605628</t>
  </si>
  <si>
    <t>-582.247086006244 201.124606307502 200.086792700683</t>
  </si>
  <si>
    <t>-528.61447213949 234.825552015244 665.665021352858</t>
  </si>
  <si>
    <t>-371.945346210463 234.163970398994 745.651502408089</t>
  </si>
  <si>
    <t>-712.763000777078 -20.8744716272108 221.094290015164</t>
  </si>
  <si>
    <t>-709.532461133673 25.3574354872253 688.713229951518</t>
  </si>
  <si>
    <t>-582.920642666626 -63.9137458835107 772.041580861028</t>
  </si>
  <si>
    <t>9763-20170724T160736.121626700.bin</t>
  </si>
  <si>
    <t>-703.012041564787 52.4768771677404 -237.163436923751</t>
  </si>
  <si>
    <t>-722.969835311637 51.882632805173 -356.616969505369</t>
  </si>
  <si>
    <t>-733.10513811215 24.2499604652312 -474.193769733487</t>
  </si>
  <si>
    <t>-646.663851033068 37.5720051405799 -806.795571611807</t>
  </si>
  <si>
    <t>-518.585617846565 116.160643306106 -528.217061810474</t>
  </si>
  <si>
    <t>-357.689166330453 108.127752701129 -324.036172278914</t>
  </si>
  <si>
    <t>-689.023551211844 147.838933088997 -239.573730899577</t>
  </si>
  <si>
    <t>-581.231523514102 201.099720877848 199.973595815364</t>
  </si>
  <si>
    <t>-528.728714170125 234.831564618011 665.736783923399</t>
  </si>
  <si>
    <t>-371.954619627771 234.330193318556 745.518884635143</t>
  </si>
  <si>
    <t>-712.136907601709 -20.7813107688371 221.172037592242</t>
  </si>
  <si>
    <t>-709.477694535954 25.4376492684646 688.794159436112</t>
  </si>
  <si>
    <t>-582.954682122754 -63.9831137140309 772.096988240554</t>
  </si>
  <si>
    <t>9763-20170724T160736.189811600.bin</t>
  </si>
  <si>
    <t>-701.385153966373 52.3535487333131 -237.091793639496</t>
  </si>
  <si>
    <t>-721.325025909282 51.4716824255586 -356.546628380164</t>
  </si>
  <si>
    <t>-731.66649789846 23.4554234071054 -474.014491392589</t>
  </si>
  <si>
    <t>-646.423203961358 35.5741154182188 -806.915387020603</t>
  </si>
  <si>
    <t>-518.008531732787 115.289692929523 -528.812331046328</t>
  </si>
  <si>
    <t>-357.538019708167 107.898992649946 -324.272289721556</t>
  </si>
  <si>
    <t>-687.376905703768 147.674016978992 -239.717412504276</t>
  </si>
  <si>
    <t>-579.501849840553 200.893578084718 199.81457950757</t>
  </si>
  <si>
    <t>-528.959799209118 234.843381581348 665.767578368783</t>
  </si>
  <si>
    <t>-371.967585133064 234.484278867667 745.120142520183</t>
  </si>
  <si>
    <t>-711.202598067505 -20.720384334664 221.357340514095</t>
  </si>
  <si>
    <t>-709.464318925439 25.4511981535236 688.893053490324</t>
  </si>
  <si>
    <t>-583.052923068382 -64.1329565376134 772.189783372348</t>
  </si>
  <si>
    <t>9763-20170724T160736.223901600.bin</t>
  </si>
  <si>
    <t>-700.577351303883 52.0880212646707 -237.097654604805</t>
  </si>
  <si>
    <t>-720.64401409505 51.1055125016765 -356.530451590896</t>
  </si>
  <si>
    <t>-731.196703867172 23.0845179470052 -473.978478228516</t>
  </si>
  <si>
    <t>-646.793777565003 35.4941720716752 -807.016558767915</t>
  </si>
  <si>
    <t>-518.479821452311 115.17293709384 -528.856546950496</t>
  </si>
  <si>
    <t>-358.147484532302 107.829568791009 -324.206413133621</t>
  </si>
  <si>
    <t>-686.636723059297 147.441955253076 -239.793692333776</t>
  </si>
  <si>
    <t>-578.927249917057 200.749427403163 199.768269485974</t>
  </si>
  <si>
    <t>-529.118359160578 234.803536253986 665.816686965379</t>
  </si>
  <si>
    <t>-371.97799657685 234.543901898416 744.876135557341</t>
  </si>
  <si>
    <t>-710.697041617377 -20.8239178547587 221.446850762906</t>
  </si>
  <si>
    <t>-709.386082382425 25.4976277984449 688.929406771788</t>
  </si>
  <si>
    <t>-583.104009778774 -64.2531586314587 772.242953423688</t>
  </si>
  <si>
    <t>9763-20170724T160736.292653900.bin</t>
  </si>
  <si>
    <t>-699.302978091209 51.1254355186268 -236.967791790611</t>
  </si>
  <si>
    <t>-719.319248204902 50.036570790274 -356.408061556815</t>
  </si>
  <si>
    <t>-729.996817457265 22.1789588702663 -473.88357043066</t>
  </si>
  <si>
    <t>-646.704092512982 36.0825339393587 -806.965756529276</t>
  </si>
  <si>
    <t>-518.780592396787 115.300239735565 -528.494330920968</t>
  </si>
  <si>
    <t>-358.473317547206 107.745997868892 -323.832308788696</t>
  </si>
  <si>
    <t>-685.553391896165 146.502450386019 -239.719418977288</t>
  </si>
  <si>
    <t>-578.012891344478 200.149189733716 199.842608526012</t>
  </si>
  <si>
    <t>-529.451703049583 234.664813563566 665.906228951996</t>
  </si>
  <si>
    <t>-372.020606958601 234.721963822726 744.385329945345</t>
  </si>
  <si>
    <t>-709.76384806197 -21.3420340595264 221.576562946333</t>
  </si>
  <si>
    <t>-709.45077780287 25.4265271006325 688.994371513336</t>
  </si>
  <si>
    <t>-583.141304903035 -64.2735344077582 772.320998886761</t>
  </si>
  <si>
    <t>9763-20170724T160736.325737900.bin</t>
  </si>
  <si>
    <t>-698.847125228526 50.4697683440168 -236.904179934653</t>
  </si>
  <si>
    <t>-718.903674191302 49.388969875667 -356.337741021084</t>
  </si>
  <si>
    <t>-729.615953400982 21.7110936674744 -473.852712592438</t>
  </si>
  <si>
    <t>-646.556345533095 36.7290652805641 -806.831532359483</t>
  </si>
  <si>
    <t>-519.048007400812 115.329169479466 -527.994891301319</t>
  </si>
  <si>
    <t>-358.569225056577 107.766090008592 -323.467547443277</t>
  </si>
  <si>
    <t>-685.163313484863 145.813650923463 -239.704260415798</t>
  </si>
  <si>
    <t>-577.676712998112 199.778369211249 199.831850211872</t>
  </si>
  <si>
    <t>-529.498620482272 234.605525230748 665.827156529323</t>
  </si>
  <si>
    <t>-372.000646023445 234.758790290826 744.171699498609</t>
  </si>
  <si>
    <t>-709.309957310049 -21.7206726184172 221.627310335105</t>
  </si>
  <si>
    <t>-709.427373591954 25.4364161207561 689.012036562006</t>
  </si>
  <si>
    <t>-583.206522211282 -64.3815284902685 772.345990961182</t>
  </si>
  <si>
    <t>9763-20170724T160736.388922300.bin</t>
  </si>
  <si>
    <t>-698.356548057068 49.1482124080324 -236.909097531123</t>
  </si>
  <si>
    <t>-718.474564094496 48.1415842944507 -356.333035699522</t>
  </si>
  <si>
    <t>-729.280038371708 20.932156059122 -473.948677790013</t>
  </si>
  <si>
    <t>-647.236481546089 38.8878978810396 -806.693324762406</t>
  </si>
  <si>
    <t>-520.176276040609 115.999443934269 -527.237154367941</t>
  </si>
  <si>
    <t>-359.375579187652 107.924903681685 -322.98250327305</t>
  </si>
  <si>
    <t>-684.8581662096 144.529803249461 -239.71033913769</t>
  </si>
  <si>
    <t>-577.084561640157 199.04621940011 199.68754658576</t>
  </si>
  <si>
    <t>-529.453413210969 234.49433359617 665.613023378909</t>
  </si>
  <si>
    <t>-371.938452000357 234.755576616576 743.922953432637</t>
  </si>
  <si>
    <t>-708.650652773094 -22.5553442148635 221.633079275446</t>
  </si>
  <si>
    <t>-709.469469399862 25.4146460553031 689.001125927964</t>
  </si>
  <si>
    <t>-583.281243135904 -64.4479333493459 772.336339195877</t>
  </si>
  <si>
    <t>9763-20170724T160736.424015900.bin</t>
  </si>
  <si>
    <t>-698.293496265129 48.5647147756722 -236.96230099141</t>
  </si>
  <si>
    <t>-718.490285710728 47.5986645052672 -356.373114368568</t>
  </si>
  <si>
    <t>-729.349869227705 20.6990104958429 -474.055152056355</t>
  </si>
  <si>
    <t>-647.729469642221 40.5286931923015 -806.624762462867</t>
  </si>
  <si>
    <t>-520.893951918487 116.845131117974 -526.848462338905</t>
  </si>
  <si>
    <t>-359.832639282756 108.095620109609 -322.827014982161</t>
  </si>
  <si>
    <t>-684.850926467684 143.987756685031 -239.786063081142</t>
  </si>
  <si>
    <t>-576.896457490252 198.780919463428 199.533013332364</t>
  </si>
  <si>
    <t>-529.293624226458 234.484385925302 665.367047007794</t>
  </si>
  <si>
    <t>-371.883443932387 234.68543083928 743.887723552892</t>
  </si>
  <si>
    <t>-708.588554918394 -22.8948880233538 221.586477265847</t>
  </si>
  <si>
    <t>-709.473847512519 25.388109882141 688.948716821883</t>
  </si>
  <si>
    <t>-583.32158899732 -64.5104444963711 772.299583320354</t>
  </si>
  <si>
    <t>9763-20170724T160736.490201100.bin</t>
  </si>
  <si>
    <t>-698.410132007936 47.56894538241 -237.067460528491</t>
  </si>
  <si>
    <t>-718.645381134557 46.8066127808218 -356.473350545665</t>
  </si>
  <si>
    <t>-729.615669250487 20.5697930617534 -474.294647411835</t>
  </si>
  <si>
    <t>-649.339193001677 44.2369009210311 -806.547733234445</t>
  </si>
  <si>
    <t>-523.024624610418 119.305731389296 -526.198860189612</t>
  </si>
  <si>
    <t>-360.950997923569 108.750164782844 -323.066482949302</t>
  </si>
  <si>
    <t>-685.007612773937 143.06424633979 -239.865562568187</t>
  </si>
  <si>
    <t>-576.390890184321 198.359257689485 199.227397042755</t>
  </si>
  <si>
    <t>-528.834776164559 234.556877605193 664.920311806264</t>
  </si>
  <si>
    <t>-371.731047171703 234.447185055835 744.052477560305</t>
  </si>
  <si>
    <t>-708.78723420196 -23.4697972938532 221.385512340873</t>
  </si>
  <si>
    <t>-709.616227342657 25.2384827972962 688.800044047481</t>
  </si>
  <si>
    <t>-583.422633353644 -64.5825117017041 772.171963188129</t>
  </si>
  <si>
    <t>9763-20170724T160736.523289300.bin</t>
  </si>
  <si>
    <t>-698.498533448565 47.2183422398143 -237.091367284104</t>
  </si>
  <si>
    <t>-718.8485201218 46.5942882504789 -356.478540961471</t>
  </si>
  <si>
    <t>-729.869537619127 20.6691512709724 -474.364076674575</t>
  </si>
  <si>
    <t>-650.007052631958 45.9950053425691 -806.440613909309</t>
  </si>
  <si>
    <t>-524.212407733671 120.590183857672 -525.731632706047</t>
  </si>
  <si>
    <t>-361.701639968268 108.811410876498 -323.016212945743</t>
  </si>
  <si>
    <t>-685.095501755524 142.697401674797 -239.804297014693</t>
  </si>
  <si>
    <t>-576.18058730207 198.19958604076 199.188513939896</t>
  </si>
  <si>
    <t>-528.665609754451 234.582338176019 664.872153570305</t>
  </si>
  <si>
    <t>-371.667752961577 234.32877291483 744.214256281537</t>
  </si>
  <si>
    <t>-708.916507835128 -23.7243513293267 221.313343791283</t>
  </si>
  <si>
    <t>-709.678289137205 25.1942759844903 688.748409576907</t>
  </si>
  <si>
    <t>-583.41449146318 -64.5448096292655 772.102270032705</t>
  </si>
  <si>
    <t>9763-20170724T160736.589476300.bin</t>
  </si>
  <si>
    <t>-698.899032035515 46.7497921588358 -236.97820845751</t>
  </si>
  <si>
    <t>-719.453240840287 46.2371040839498 -356.330908229971</t>
  </si>
  <si>
    <t>-730.53759418518 20.8028962519556 -474.317362639689</t>
  </si>
  <si>
    <t>-651.267865250806 49.0011677843245 -806.108655361535</t>
  </si>
  <si>
    <t>-526.499366120047 122.553520688028 -524.667708026518</t>
  </si>
  <si>
    <t>-363.572412909296 108.014054895448 -322.46623461158</t>
  </si>
  <si>
    <t>-685.32504156541 142.383390801058 -239.55182354059</t>
  </si>
  <si>
    <t>-576.437001979097 198.100221312972 199.42049749895</t>
  </si>
  <si>
    <t>-528.480781792367 234.678916246992 665.212668745465</t>
  </si>
  <si>
    <t>-371.569977535732 234.182442982944 744.725365972631</t>
  </si>
  <si>
    <t>-709.457017977998 -24.0155501920781 221.316796938238</t>
  </si>
  <si>
    <t>-709.890114978284 25.0973050134369 688.760805467083</t>
  </si>
  <si>
    <t>-583.353774037656 -64.3392995460877 772.026383559058</t>
  </si>
  <si>
    <t>9763-20170724T160736.622564500.bin</t>
  </si>
  <si>
    <t>-699.396557836164 46.6226950182393 -236.923388045597</t>
  </si>
  <si>
    <t>-720.169789839321 46.1227921564434 -356.238201430151</t>
  </si>
  <si>
    <t>-731.349335012938 20.8989714865925 -474.26092070302</t>
  </si>
  <si>
    <t>-652.488357373168 50.4453571739741 -805.903941619021</t>
  </si>
  <si>
    <t>-528.135286948975 123.311398580393 -524.100612856836</t>
  </si>
  <si>
    <t>-365.065290049002 107.372732578049 -322.119962830198</t>
  </si>
  <si>
    <t>-685.788387349194 142.401383241847 -239.438571760782</t>
  </si>
  <si>
    <t>-576.911174649957 198.13082005143 199.534797298762</t>
  </si>
  <si>
    <t>-528.417579064462 234.7594924342 665.26257367848</t>
  </si>
  <si>
    <t>-371.549473838664 234.090289315439 744.858452032607</t>
  </si>
  <si>
    <t>-710.299823931479 -24.0393848468852 221.354892480251</t>
  </si>
  <si>
    <t>-710.081673627423 24.98314866845 688.795279492637</t>
  </si>
  <si>
    <t>-583.182149345636 -64.0040130080183 771.989697240632</t>
  </si>
  <si>
    <t>9763-20170724T160736.691755400.bin</t>
  </si>
  <si>
    <t>-700.487405337035 46.4616276635575 -236.777729497866</t>
  </si>
  <si>
    <t>-721.407355405291 46.0173930787059 -356.067026928728</t>
  </si>
  <si>
    <t>-732.637739999604 21.1451748612076 -474.159476434623</t>
  </si>
  <si>
    <t>-654.688654267966 52.978998213395 -805.609725610944</t>
  </si>
  <si>
    <t>-531.080572541844 124.626311916737 -523.166953868938</t>
  </si>
  <si>
    <t>-367.261668784172 106.774028267011 -321.95382535086</t>
  </si>
  <si>
    <t>-686.809235529123 142.403926460209 -239.2513360624</t>
  </si>
  <si>
    <t>-577.821705186615 198.34412315485 199.667826082686</t>
  </si>
  <si>
    <t>-528.282265487427 234.761231174822 665.334189173516</t>
  </si>
  <si>
    <t>-371.508985033103 234.097039833976 745.11653987545</t>
  </si>
  <si>
    <t>-711.845036400612 -24.0791267541767 221.38260982312</t>
  </si>
  <si>
    <t>-710.406001673744 24.7750930525317 688.857654439776</t>
  </si>
  <si>
    <t>-582.838217984818 -63.3935625072909 771.901358041615</t>
  </si>
  <si>
    <t>9763-20170724T160736.725848600.bin</t>
  </si>
  <si>
    <t>-700.938093538401 46.514646282998 -236.701818513542</t>
  </si>
  <si>
    <t>-721.926353599546 46.1102947562981 -355.979317258864</t>
  </si>
  <si>
    <t>-733.137070850668 21.3782203681262 -474.103121608971</t>
  </si>
  <si>
    <t>-655.312275343144 54.0684607930634 -805.441522408863</t>
  </si>
  <si>
    <t>-532.102557229673 125.341655859423 -522.730235845243</t>
  </si>
  <si>
    <t>-367.943652075812 106.852463496119 -321.852125644461</t>
  </si>
  <si>
    <t>-687.353484316877 142.520019417933 -239.130565673928</t>
  </si>
  <si>
    <t>-578.350324771344 198.501906787084 199.779335173712</t>
  </si>
  <si>
    <t>-528.237054688303 234.781827697878 665.407400728763</t>
  </si>
  <si>
    <t>-371.503894391872 234.115588161104 745.268643275239</t>
  </si>
  <si>
    <t>-712.221461232284 -24.1059797514204 221.405398895842</t>
  </si>
  <si>
    <t>-710.521160219475 24.7106502058641 688.895774654101</t>
  </si>
  <si>
    <t>-582.647818539122 -63.0871412573931 771.862419909991</t>
  </si>
  <si>
    <t>9763-20170724T160736.789026700.bin</t>
  </si>
  <si>
    <t>-701.512690509352 46.8244351840094 -236.618804772966</t>
  </si>
  <si>
    <t>-722.615435040887 46.4509145767304 -355.876194797954</t>
  </si>
  <si>
    <t>-733.824074487427 22.0088897059175 -474.060423485608</t>
  </si>
  <si>
    <t>-656.081703842531 56.2777797949871 -805.227751956587</t>
  </si>
  <si>
    <t>-533.703945506795 126.926509834425 -521.998820277523</t>
  </si>
  <si>
    <t>-369.443466200559 107.264445217315 -321.315186472775</t>
  </si>
  <si>
    <t>-688.182536234118 142.92098015728 -238.955115178964</t>
  </si>
  <si>
    <t>-579.773964251859 198.878882541086 200.105231952723</t>
  </si>
  <si>
    <t>-528.211369422457 234.839306687751 665.650401618499</t>
  </si>
  <si>
    <t>-371.505730189024 234.037762025575 745.564294563763</t>
  </si>
  <si>
    <t>-712.547211638182 -23.9409245722122 221.40236666287</t>
  </si>
  <si>
    <t>-710.633805807595 24.6238374450438 688.921088866346</t>
  </si>
  <si>
    <t>-582.441340195241 -62.7611063061365 771.831144626585</t>
  </si>
  <si>
    <t>9763-20170724T160736.823114900.bin</t>
  </si>
  <si>
    <t>-701.629113973652 47.0218795958492 -236.615646905148</t>
  </si>
  <si>
    <t>-722.775762634197 46.6723959297592 -355.865491823228</t>
  </si>
  <si>
    <t>-734.013269792253 22.3666520308614 -474.075130959706</t>
  </si>
  <si>
    <t>-656.617686616476 57.4973035345326 -805.134207582825</t>
  </si>
  <si>
    <t>-534.367745560121 127.681339442925 -521.734539732757</t>
  </si>
  <si>
    <t>-369.929568238518 107.78643315065 -321.219552232844</t>
  </si>
  <si>
    <t>-688.374455361894 143.172403151118 -238.905063469525</t>
  </si>
  <si>
    <t>-580.455853228923 199.116270820363 200.277761747603</t>
  </si>
  <si>
    <t>-528.189920961546 234.85778831026 665.738461951861</t>
  </si>
  <si>
    <t>-371.506685497066 233.995927006232 745.695642072154</t>
  </si>
  <si>
    <t>-712.624396316618 -23.8178871036469 221.386543063617</t>
  </si>
  <si>
    <t>-710.604303316361 24.6171560872845 688.914791657609</t>
  </si>
  <si>
    <t>-582.390829615878 -62.7357595871424 771.82610536129</t>
  </si>
  <si>
    <t>9763-20170724T160736.893884500.bin</t>
  </si>
  <si>
    <t>-701.872190331197 47.3576345575757 -236.550227176341</t>
  </si>
  <si>
    <t>-722.91722484672 47.0318163691004 -355.818006941989</t>
  </si>
  <si>
    <t>-734.019229512696 22.9004855229177 -474.076225374293</t>
  </si>
  <si>
    <t>-656.808520416173 59.3353440143819 -804.882351928611</t>
  </si>
  <si>
    <t>-535.290080074858 128.690786547987 -520.964543477716</t>
  </si>
  <si>
    <t>-370.686655855859 108.091365244223 -320.656346898165</t>
  </si>
  <si>
    <t>-688.745907961284 143.652428661363 -238.797016143802</t>
  </si>
  <si>
    <t>-581.606895594019 199.54062084223 200.583691029262</t>
  </si>
  <si>
    <t>-528.168014936269 234.923945782164 665.953762458495</t>
  </si>
  <si>
    <t>-371.507977782626 233.929705470963 745.954880815434</t>
  </si>
  <si>
    <t>-713.023047296239 -23.6469416590478 221.346022214618</t>
  </si>
  <si>
    <t>-710.614928147079 24.5130465096474 688.874230876384</t>
  </si>
  <si>
    <t>-582.303586036659 -62.6648312499244 771.818343353288</t>
  </si>
  <si>
    <t>9763-20170724T160736.924968100.bin</t>
  </si>
  <si>
    <t>-702.029586060318 47.5503320318853 -236.496160564607</t>
  </si>
  <si>
    <t>-723.07796101293 47.2672905197696 -355.763523887396</t>
  </si>
  <si>
    <t>-734.105251714288 23.2718083002105 -474.056259766679</t>
  </si>
  <si>
    <t>-656.76334358475 60.4869705989518 -804.712278069782</t>
  </si>
  <si>
    <t>-535.781089884402 129.706501653756 -520.532574414612</t>
  </si>
  <si>
    <t>-371.119146548013 108.702449409636 -320.314289631296</t>
  </si>
  <si>
    <t>-689.042576649458 143.897897889087 -238.676203605423</t>
  </si>
  <si>
    <t>-582.005690477333 199.736343057337 200.735799855848</t>
  </si>
  <si>
    <t>-528.200860544464 234.986987166948 666.09203916525</t>
  </si>
  <si>
    <t>-371.521464092641 233.908407862628 746.054222087842</t>
  </si>
  <si>
    <t>-713.1731073912 -23.5404217950027 221.356240533255</t>
  </si>
  <si>
    <t>-710.600905876734 24.4915286517155 688.87258621095</t>
  </si>
  <si>
    <t>-582.269511660238 -62.6454643591719 771.828676584133</t>
  </si>
  <si>
    <t>9763-20170724T160736.990765100.bin</t>
  </si>
  <si>
    <t>-702.279177015778 47.956939643725 -236.401575398207</t>
  </si>
  <si>
    <t>-723.162656044297 47.6843781655407 -355.69780431077</t>
  </si>
  <si>
    <t>-733.918952632499 23.9444148213372 -474.067215573827</t>
  </si>
  <si>
    <t>-655.967007755082 62.7440321591776 -804.306112690321</t>
  </si>
  <si>
    <t>-536.148482719148 131.420328485732 -519.502142263072</t>
  </si>
  <si>
    <t>-371.565936117179 109.964188093413 -319.266625619547</t>
  </si>
  <si>
    <t>-689.448028346102 144.428443846792 -238.521039655198</t>
  </si>
  <si>
    <t>-582.714575290876 200.160047889538 200.978216521173</t>
  </si>
  <si>
    <t>-528.313044976658 235.164697425981 666.363374674347</t>
  </si>
  <si>
    <t>-371.546808314134 233.981082573014 746.15352398716</t>
  </si>
  <si>
    <t>-713.273466800008 -23.3482240203241 221.372344002049</t>
  </si>
  <si>
    <t>-710.543046714452 24.4644455634232 688.871309625889</t>
  </si>
  <si>
    <t>-582.294027888658 -62.7560239243739 771.867051966033</t>
  </si>
  <si>
    <t>9763-20170724T160737.022886800.bin</t>
  </si>
  <si>
    <t>-702.356492131821 48.1219913203265 -236.321774802433</t>
  </si>
  <si>
    <t>-723.201789495779 47.8795695196266 -355.624838718212</t>
  </si>
  <si>
    <t>-733.875701642055 24.2850202572929 -474.030735141511</t>
  </si>
  <si>
    <t>-655.718044173107 63.8870813396002 -804.062677230888</t>
  </si>
  <si>
    <t>-536.407382849907 132.0515975611 -518.922892026784</t>
  </si>
  <si>
    <t>-371.89844903321 110.484602125546 -318.638722642493</t>
  </si>
  <si>
    <t>-689.666133347189 144.603939493828 -238.379882414486</t>
  </si>
  <si>
    <t>-583.04078436232 200.35661301083 201.142979996668</t>
  </si>
  <si>
    <t>-528.372428559738 235.243044504223 666.477440444327</t>
  </si>
  <si>
    <t>-371.558868395491 234.005608270081 746.173552379082</t>
  </si>
  <si>
    <t>-713.316919303182 -23.2846107483219 221.412384820035</t>
  </si>
  <si>
    <t>-710.530577470063 24.4515044404639 688.886645757551</t>
  </si>
  <si>
    <t>-582.291462948688 -62.7767043248398 771.889539984867</t>
  </si>
  <si>
    <t>9763-20170724T160737.089599900.bin</t>
  </si>
  <si>
    <t>-702.474511599149 48.1863422673425 -236.206693010919</t>
  </si>
  <si>
    <t>-723.179383705776 47.9755545867547 -355.534374071547</t>
  </si>
  <si>
    <t>-733.717051030724 24.6582555248415 -474.007269761805</t>
  </si>
  <si>
    <t>-655.425193637178 65.8360385169667 -803.664508413678</t>
  </si>
  <si>
    <t>-536.954804991135 132.892966877249 -517.912154700841</t>
  </si>
  <si>
    <t>-372.702591140393 110.693249727129 -317.486641382601</t>
  </si>
  <si>
    <t>-689.901056643994 144.726572652661 -238.177222605315</t>
  </si>
  <si>
    <t>-583.416366447415 200.499916352292 201.377052203909</t>
  </si>
  <si>
    <t>-528.504774989201 235.369274021026 666.697809871286</t>
  </si>
  <si>
    <t>-371.580113998615 234.033537350726 746.173284580777</t>
  </si>
  <si>
    <t>-713.626171103904 -23.1717930753719 221.455380527642</t>
  </si>
  <si>
    <t>-710.495147284397 24.4532678091405 688.910495828455</t>
  </si>
  <si>
    <t>-582.328540583562 -62.8639838610818 771.931743500679</t>
  </si>
  <si>
    <t>9763-20170724T160737.124688500.bin</t>
  </si>
  <si>
    <t>-702.442356857521 48.1954917583835 -236.173340487414</t>
  </si>
  <si>
    <t>-723.081808967954 47.9969399804943 -355.512281052525</t>
  </si>
  <si>
    <t>-733.560092445785 24.8251514348501 -474.019027842024</t>
  </si>
  <si>
    <t>-655.311236876594 66.8929584248069 -803.470211846511</t>
  </si>
  <si>
    <t>-537.190119856202 133.360494607657 -517.43578455069</t>
  </si>
  <si>
    <t>-372.990113998362 110.701945355243 -317.018749735884</t>
  </si>
  <si>
    <t>-689.904399010544 144.75873441854 -238.104582259038</t>
  </si>
  <si>
    <t>-583.550156937897 200.547621014827 201.479284975631</t>
  </si>
  <si>
    <t>-528.602366078366 235.436822668603 666.825669526672</t>
  </si>
  <si>
    <t>-371.593280322313 234.043676168578 746.133419804638</t>
  </si>
  <si>
    <t>-713.76843113774 -23.1284457520619 221.474993520966</t>
  </si>
  <si>
    <t>-710.473912737694 24.4457437797057 688.911067694639</t>
  </si>
  <si>
    <t>-582.343231730943 -62.9074096918118 771.949988967067</t>
  </si>
  <si>
    <t>9763-20170724T160737.192877300.bin</t>
  </si>
  <si>
    <t>-702.383036160319 48.1191216726779 -236.076292734818</t>
  </si>
  <si>
    <t>-722.910553799348 47.9057643121253 -355.434544500371</t>
  </si>
  <si>
    <t>-733.265348594475 25.1063642550268 -474.024340375666</t>
  </si>
  <si>
    <t>-655.016373005742 69.4657803834605 -802.965284318074</t>
  </si>
  <si>
    <t>-537.747328980133 134.608101315755 -516.27615343112</t>
  </si>
  <si>
    <t>-373.330562153737 111.07827288911 -316.137313723731</t>
  </si>
  <si>
    <t>-689.966662992083 144.787788337212 -237.945135632937</t>
  </si>
  <si>
    <t>-583.740794693178 200.586358439633 201.668577856627</t>
  </si>
  <si>
    <t>-528.89480669098 235.584849984379 667.110343498283</t>
  </si>
  <si>
    <t>-371.643901358088 234.153444281642 745.936667822161</t>
  </si>
  <si>
    <t>-714.078381315848 -23.0598144398314 221.514449434116</t>
  </si>
  <si>
    <t>-710.422426031147 24.4309229226878 688.91445658709</t>
  </si>
  <si>
    <t>-582.399403710732 -63.0305668912217 772.0053847494</t>
  </si>
  <si>
    <t>9763-20170724T160737.225969400.bin</t>
  </si>
  <si>
    <t>-702.347670283933 48.0423065699704 -236.013463070176</t>
  </si>
  <si>
    <t>-722.859423509463 47.8293269319327 -355.374351984153</t>
  </si>
  <si>
    <t>-733.180120856378 25.2742123913131 -474.013821900497</t>
  </si>
  <si>
    <t>-654.960399459336 71.0592734244437 -802.632022144439</t>
  </si>
  <si>
    <t>-538.202358318452 135.537932132716 -515.584565295267</t>
  </si>
  <si>
    <t>-373.579917557773 111.505042913787 -315.674852802859</t>
  </si>
  <si>
    <t>-689.99252114479 144.739938417756 -237.847884840078</t>
  </si>
  <si>
    <t>-583.865988592003 200.583018099543 201.784218841467</t>
  </si>
  <si>
    <t>-529.068144288628 235.648533363705 667.238699205353</t>
  </si>
  <si>
    <t>-371.673125791553 234.166077389959 745.776185464005</t>
  </si>
  <si>
    <t>-714.06937726714 -23.1054678759701 221.554591644608</t>
  </si>
  <si>
    <t>-710.379764711125 24.4528425974156 688.931032868658</t>
  </si>
  <si>
    <t>-582.442656477053 -63.1212875829608 772.035639384625</t>
  </si>
  <si>
    <t>9763-20170724T160737.290140400.bin</t>
  </si>
  <si>
    <t>-702.596153312813 47.5571306285258 -235.720838801199</t>
  </si>
  <si>
    <t>-723.149831795718 47.4454786503702 -355.074672417996</t>
  </si>
  <si>
    <t>-733.379695451677 25.4700685362038 -473.830679253659</t>
  </si>
  <si>
    <t>-654.855743328542 74.2510246731283 -801.67249112314</t>
  </si>
  <si>
    <t>-539.295811260386 137.157221495674 -513.792390532862</t>
  </si>
  <si>
    <t>-374.268299937971 111.933553088016 -314.363940349338</t>
  </si>
  <si>
    <t>-690.327706963029 144.319900600838 -237.460047086574</t>
  </si>
  <si>
    <t>-584.272129378426 200.348022990808 202.165559024393</t>
  </si>
  <si>
    <t>-529.54721438911 235.68916897877 667.665823422915</t>
  </si>
  <si>
    <t>-371.747263989392 234.165063808896 745.385715355632</t>
  </si>
  <si>
    <t>-714.029257633917 -23.4485235014427 221.714657501977</t>
  </si>
  <si>
    <t>-710.4018570652 24.4672500231234 689.006877069899</t>
  </si>
  <si>
    <t>-582.480730022019 -63.1438064570673 772.097214545597</t>
  </si>
  <si>
    <t>9763-20170724T160737.323236400.bin</t>
  </si>
  <si>
    <t>-702.825114985822 47.0944752754806 -235.562135172636</t>
  </si>
  <si>
    <t>-723.436114973513 47.065159883882 -354.906201358986</t>
  </si>
  <si>
    <t>-733.630835282903 25.4106767766277 -473.724175168352</t>
  </si>
  <si>
    <t>-654.979732811697 75.7975774765459 -801.111624232028</t>
  </si>
  <si>
    <t>-540.052089408048 137.832762230493 -512.789733823139</t>
  </si>
  <si>
    <t>-374.862799799583 111.87015562439 -313.590083070044</t>
  </si>
  <si>
    <t>-690.565151535596 143.841147882425 -237.217082159559</t>
  </si>
  <si>
    <t>-584.353274316788 200.058233694583 202.346705719955</t>
  </si>
  <si>
    <t>-529.773780020957 235.623697686388 667.822200239394</t>
  </si>
  <si>
    <t>-371.771880748057 234.200725442779 745.132639130666</t>
  </si>
  <si>
    <t>-714.051356557461 -23.7361103663852 221.794048482107</t>
  </si>
  <si>
    <t>-710.434893982732 24.4580340584355 689.041688263328</t>
  </si>
  <si>
    <t>-582.443554554189 -63.0627301701038 772.11901588353</t>
  </si>
  <si>
    <t>9763-20170724T160737.392098700.bin</t>
  </si>
  <si>
    <t>-703.406934625307 45.9845784498455 -235.368336893815</t>
  </si>
  <si>
    <t>-724.11690379377 46.1099018121947 -354.695125837931</t>
  </si>
  <si>
    <t>-734.236853663414 25.1583488862864 -473.645523416816</t>
  </si>
  <si>
    <t>-655.383150375112 79.1226190852753 -800.049501152677</t>
  </si>
  <si>
    <t>-541.802803783148 139.174293842071 -510.775376712342</t>
  </si>
  <si>
    <t>-376.044890094728 111.618909981683 -312.263285529497</t>
  </si>
  <si>
    <t>-691.087944025101 142.757619528595 -237.001248463548</t>
  </si>
  <si>
    <t>-584.408480012085 199.448091090794 202.388454627221</t>
  </si>
  <si>
    <t>-529.96041755241 235.527586858193 667.673049674577</t>
  </si>
  <si>
    <t>-371.758536389815 234.246970169052 744.575782087721</t>
  </si>
  <si>
    <t>-714.310464564318 -24.3942640439734 221.869263616508</t>
  </si>
  <si>
    <t>-710.530100846395 24.4049589418426 689.06233171228</t>
  </si>
  <si>
    <t>-582.403459454175 -62.9359942625822 772.120336017789</t>
  </si>
  <si>
    <t>9763-20170724T160737.438726400.bin</t>
  </si>
  <si>
    <t>-703.824081451942 45.2264895413505 -235.326212721278</t>
  </si>
  <si>
    <t>-724.547309243973 45.4544146281823 -354.65052240779</t>
  </si>
  <si>
    <t>-734.556620005346 25.0422134201763 -473.704090473719</t>
  </si>
  <si>
    <t>-655.547908165832 81.83209795218 -799.327806865339</t>
  </si>
  <si>
    <t>-543.235046198815 140.252314843196 -509.225971351563</t>
  </si>
  <si>
    <t>-376.940651177862 111.330453345997 -311.357946050311</t>
  </si>
  <si>
    <t>-691.480741959035 142.011618280431 -236.945119724421</t>
  </si>
  <si>
    <t>-584.569362366217 199.04786470808 202.343489171881</t>
  </si>
  <si>
    <t>-529.91097842949 235.484321160933 667.544569231629</t>
  </si>
  <si>
    <t>-371.736308184713 234.28284638394 744.504497755475</t>
  </si>
  <si>
    <t>-714.696890297908 -24.8178135890216 221.841362347436</t>
  </si>
  <si>
    <t>-710.611998366623 24.3426004985822 689.025204673052</t>
  </si>
  <si>
    <t>-582.418560364924 -62.9076276057535 772.075517792936</t>
  </si>
  <si>
    <t>9763-20170724T160737.491370700.bin</t>
  </si>
  <si>
    <t>-704.384616889858 44.4637989554453 -235.309266785574</t>
  </si>
  <si>
    <t>-725.198956118304 44.8461114522277 -354.617300750009</t>
  </si>
  <si>
    <t>-735.130974406327 25.0150612768978 -473.775482857459</t>
  </si>
  <si>
    <t>-655.945482946579 84.716617626771 -798.61960023215</t>
  </si>
  <si>
    <t>-544.967517100627 141.449246011837 -507.670322115593</t>
  </si>
  <si>
    <t>-378.140842419799 111.06247011307 -310.471059218926</t>
  </si>
  <si>
    <t>-692.007758174242 141.213104788787 -236.833352485047</t>
  </si>
  <si>
    <t>-584.751670515305 198.685503597107 202.314475925084</t>
  </si>
  <si>
    <t>-529.551588536994 235.468369710992 667.339866070554</t>
  </si>
  <si>
    <t>-371.595514988671 234.276941030559 744.747614462859</t>
  </si>
  <si>
    <t>-715.028363518047 -25.3205966572807 221.800890507068</t>
  </si>
  <si>
    <t>-710.706167396174 24.2862175709768 688.994385613656</t>
  </si>
  <si>
    <t>-582.350235552881 -62.7587598432817 772.009037490359</t>
  </si>
  <si>
    <t>9763-20170724T160737.524460700.bin</t>
  </si>
  <si>
    <t>-704.8522939352 43.9753319685415 -235.316921694367</t>
  </si>
  <si>
    <t>-725.670691729116 44.4443566961111 -354.623998331502</t>
  </si>
  <si>
    <t>-735.511202664194 24.9700061224255 -473.848578553766</t>
  </si>
  <si>
    <t>-656.20588797074 86.4934814242019 -798.199608651516</t>
  </si>
  <si>
    <t>-546.220447881351 141.98984616895 -506.635654086874</t>
  </si>
  <si>
    <t>-379.03039195588 110.533390838289 -309.912310938346</t>
  </si>
  <si>
    <t>-692.435781781937 140.756393284827 -236.830400273524</t>
  </si>
  <si>
    <t>-584.92454249991 198.516188303981 202.217191531262</t>
  </si>
  <si>
    <t>-529.355968824424 235.458564920022 667.123454394318</t>
  </si>
  <si>
    <t>-371.555387335509 234.24652689205 744.847353328611</t>
  </si>
  <si>
    <t>-715.253303124398 -25.6344114900182 221.739681599026</t>
  </si>
  <si>
    <t>-710.74059979882 24.273007276965 688.956698743873</t>
  </si>
  <si>
    <t>-582.331744111742 -62.7183796906204 771.945700281536</t>
  </si>
  <si>
    <t>9763-20170724T160737.592660800.bin</t>
  </si>
  <si>
    <t>-705.917706299623 43.0781871988031 -235.297989863834</t>
  </si>
  <si>
    <t>-726.806512839273 43.8180602842156 -354.591379801613</t>
  </si>
  <si>
    <t>-736.49758888925 25.0306438170792 -473.938261957654</t>
  </si>
  <si>
    <t>-657.006650452078 89.8257389812106 -797.363619128077</t>
  </si>
  <si>
    <t>-548.73460002832 143.054784029978 -504.737540224096</t>
  </si>
  <si>
    <t>-380.87827971556 109.558454746151 -308.920533329751</t>
  </si>
  <si>
    <t>-693.570861173752 139.842381709712 -236.667686381609</t>
  </si>
  <si>
    <t>-585.592213534441 198.174345229584 202.18948671247</t>
  </si>
  <si>
    <t>-529.001123061041 235.333935403934 666.911513687408</t>
  </si>
  <si>
    <t>-371.477981683409 234.234706772347 745.197859325142</t>
  </si>
  <si>
    <t>-715.68725150257 -26.3167173832289 221.60301360489</t>
  </si>
  <si>
    <t>-710.865464522119 24.1888816270246 688.844645613269</t>
  </si>
  <si>
    <t>-582.254296596429 -62.5468407825861 771.787969971333</t>
  </si>
  <si>
    <t>9763-20170724T160737.623746100.bin</t>
  </si>
  <si>
    <t>-706.530455164845 42.6407435130025 -235.219348912721</t>
  </si>
  <si>
    <t>-727.447439811831 43.5103565936092 -354.506857520603</t>
  </si>
  <si>
    <t>-737.051868490428 25.047074792074 -473.911353395553</t>
  </si>
  <si>
    <t>-741.604270598703 0.334325241958823 -580.510672436299</t>
  </si>
  <si>
    <t>-657.368039671687 91.3329516642464 -796.921786739505</t>
  </si>
  <si>
    <t>-550.029754583321 143.431891460727 -503.748843841822</t>
  </si>
  <si>
    <t>-381.914448179015 109.004861696291 -308.315743602654</t>
  </si>
  <si>
    <t>-694.269449234701 139.407879380657 -236.470412243726</t>
  </si>
  <si>
    <t>-586.001230695348 198.01652208682 202.278618850311</t>
  </si>
  <si>
    <t>-528.909537298473 235.253248652001 666.970640687993</t>
  </si>
  <si>
    <t>-371.463410905252 234.241378381422 745.41280651758</t>
  </si>
  <si>
    <t>-715.824396706246 -26.7018710167324 221.573650664971</t>
  </si>
  <si>
    <t>-710.970505701156 24.1236033397677 688.814026520311</t>
  </si>
  <si>
    <t>-582.162898663971 -62.359078118232 771.716711851774</t>
  </si>
  <si>
    <t>9763-20170724T160737.689949700.bin</t>
  </si>
  <si>
    <t>-707.797810522231 42.0409776121057 -235.03445399156</t>
  </si>
  <si>
    <t>-728.822943000195 43.1318352892786 -354.301225562781</t>
  </si>
  <si>
    <t>-738.287619291225 25.3063880788025 -473.813779573022</t>
  </si>
  <si>
    <t>-742.598788989387 1.32119872483008 -580.588961141285</t>
  </si>
  <si>
    <t>-658.180932441328 94.5361898644155 -795.964074525898</t>
  </si>
  <si>
    <t>-552.212797788256 144.794902728803 -501.972575092616</t>
  </si>
  <si>
    <t>-383.83845375523 108.807482616962 -307.04424318285</t>
  </si>
  <si>
    <t>-695.624972080913 138.848136552786 -236.052002468449</t>
  </si>
  <si>
    <t>-586.991756379391 197.773086574461 202.564451747334</t>
  </si>
  <si>
    <t>-528.780733597423 235.144113379445 667.168333669062</t>
  </si>
  <si>
    <t>-371.442827637229 234.293644117656 745.829476560838</t>
  </si>
  <si>
    <t>-716.014436834028 -27.2516135768437 221.572879679173</t>
  </si>
  <si>
    <t>-711.092421866994 24.0783664013488 688.799169924992</t>
  </si>
  <si>
    <t>-582.063366978095 -62.154777538412 771.617423939234</t>
  </si>
  <si>
    <t>9763-20170724T160737.725053100.bin</t>
  </si>
  <si>
    <t>-708.34171748718 41.8477392359837 -234.931679949158</t>
  </si>
  <si>
    <t>-729.472709211395 43.0207738341726 -354.179042387818</t>
  </si>
  <si>
    <t>-738.900762984497 25.4655728999969 -473.734417198869</t>
  </si>
  <si>
    <t>-743.112779796464 1.79288337789785 -580.583371159587</t>
  </si>
  <si>
    <t>-658.523104170124 95.9636415379503 -795.475026386121</t>
  </si>
  <si>
    <t>-553.202201660679 145.516016669794 -501.131250571759</t>
  </si>
  <si>
    <t>-384.769543615397 108.913123826038 -306.368071380653</t>
  </si>
  <si>
    <t>-696.192793274382 138.65194495458 -235.833592600717</t>
  </si>
  <si>
    <t>-587.441966413053 197.650067391655 202.743854595468</t>
  </si>
  <si>
    <t>-528.729567512395 235.140707520867 667.293521713632</t>
  </si>
  <si>
    <t>-371.425128177804 234.309540255757 746.021730086208</t>
  </si>
  <si>
    <t>-715.957350082858 -27.5202656443623 221.62118417114</t>
  </si>
  <si>
    <t>-711.112172481972 24.1020642622177 688.82049524709</t>
  </si>
  <si>
    <t>-582.031665076267 -62.1012418834785 771.58961277343</t>
  </si>
  <si>
    <t>9763-20170724T160737.789065800.bin</t>
  </si>
  <si>
    <t>-709.405291647726 41.4895945921226 -234.660287602089</t>
  </si>
  <si>
    <t>-730.730150957185 42.8468125423562 -353.871100333669</t>
  </si>
  <si>
    <t>-740.095587426642 25.7459320087642 -473.497301437644</t>
  </si>
  <si>
    <t>-744.131002457687 2.58245474485489 -580.464557122625</t>
  </si>
  <si>
    <t>-659.29916923284 98.2741911029998 -794.619844951955</t>
  </si>
  <si>
    <t>-555.277195747581 146.71146459339 -499.629207799781</t>
  </si>
  <si>
    <t>-386.756827677752 109.112543366122 -305.131903887627</t>
  </si>
  <si>
    <t>-697.210498827053 138.257919016646 -235.436347394291</t>
  </si>
  <si>
    <t>-588.202521119104 197.464043111039 203.049268226932</t>
  </si>
  <si>
    <t>-528.620805417366 235.104723325957 667.471198775592</t>
  </si>
  <si>
    <t>-371.40600106369 234.24578336481 746.377936266636</t>
  </si>
  <si>
    <t>-716.064252696252 -27.8570675781652 221.714819796409</t>
  </si>
  <si>
    <t>-711.119163578266 24.1197766567711 688.842933558067</t>
  </si>
  <si>
    <t>-581.966632957578 -62.018584297479 771.567275996993</t>
  </si>
  <si>
    <t>9763-20170724T160737.823157900.bin</t>
  </si>
  <si>
    <t>-709.82498925365 41.3038653126257 -234.551346204767</t>
  </si>
  <si>
    <t>-731.175657796091 42.7272048495761 -353.756701123054</t>
  </si>
  <si>
    <t>-740.497099488604 25.7979131826726 -473.410743166134</t>
  </si>
  <si>
    <t>-744.458963094248 2.82881685650477 -580.422823803539</t>
  </si>
  <si>
    <t>-659.542324990134 99.0936803249704 -794.278739202214</t>
  </si>
  <si>
    <t>-556.046873392601 147.232306217826 -499.054094547528</t>
  </si>
  <si>
    <t>-387.514480220768 109.193895541529 -304.65253516118</t>
  </si>
  <si>
    <t>-697.559439019688 138.086430908574 -235.295282283326</t>
  </si>
  <si>
    <t>-588.494701482299 197.353777469005 203.167856263094</t>
  </si>
  <si>
    <t>-528.558255669956 235.08328406385 667.541394306166</t>
  </si>
  <si>
    <t>-371.392968866429 234.233123910655 746.546881022215</t>
  </si>
  <si>
    <t>-716.293303094076 -28.0107146150044 221.758768983555</t>
  </si>
  <si>
    <t>-711.147276252002 24.0928046323659 688.851973927626</t>
  </si>
  <si>
    <t>-581.904576705963 -61.9306693960391 771.555040625607</t>
  </si>
  <si>
    <t>9763-20170724T160737.889879100.bin</t>
  </si>
  <si>
    <t>-710.581635910009 40.9660762441804 -234.334122267325</t>
  </si>
  <si>
    <t>-731.891188554521 42.5383343627373 -353.545038032742</t>
  </si>
  <si>
    <t>-741.095099882447 25.909786209643 -473.250237567383</t>
  </si>
  <si>
    <t>-744.910234142742 3.27049893740309 -580.33780904947</t>
  </si>
  <si>
    <t>-659.804357691531 100.479257670598 -793.722558900324</t>
  </si>
  <si>
    <t>-557.609370222394 148.417098794202 -498.012606280625</t>
  </si>
  <si>
    <t>-389.008719455229 109.319430713404 -303.880563592873</t>
  </si>
  <si>
    <t>-698.256360677711 137.718379725167 -234.966999854149</t>
  </si>
  <si>
    <t>-589.014531389854 197.126359879778 203.433063234239</t>
  </si>
  <si>
    <t>-528.464280755632 235.047243417486 667.710265497285</t>
  </si>
  <si>
    <t>-371.374174576263 234.112138139848 746.863912679975</t>
  </si>
  <si>
    <t>-716.807401721735 -28.2854977987972 221.832679934642</t>
  </si>
  <si>
    <t>-711.216831508385 24.0174396215411 688.862620516097</t>
  </si>
  <si>
    <t>-581.874831084453 -61.8742575407937 771.547416130124</t>
  </si>
  <si>
    <t>9763-20170724T160737.921960300.bin</t>
  </si>
  <si>
    <t>-710.882684233668 40.8059274421146 -234.274486278333</t>
  </si>
  <si>
    <t>-732.154246864426 42.4163161233203 -353.491692338396</t>
  </si>
  <si>
    <t>-741.303348055321 25.8982243776045 -473.216409661054</t>
  </si>
  <si>
    <t>-745.058128454887 3.3870105224064 -580.333164118439</t>
  </si>
  <si>
    <t>-659.863992952534 100.959315026806 -793.573603211323</t>
  </si>
  <si>
    <t>-558.466668947651 148.913567028741 -497.591816560938</t>
  </si>
  <si>
    <t>-389.791789581779 109.33649685137 -303.621473601805</t>
  </si>
  <si>
    <t>-698.476907767635 137.532141392161 -234.881682570552</t>
  </si>
  <si>
    <t>-589.193114102419 196.984889173174 203.501831559255</t>
  </si>
  <si>
    <t>-528.4276213679 234.99890772517 667.769124553807</t>
  </si>
  <si>
    <t>-371.374366053789 234.070986684748 746.996157987663</t>
  </si>
  <si>
    <t>-717.069924132082 -28.3455408572884 221.850588680833</t>
  </si>
  <si>
    <t>-711.208829043521 24.0023245310856 688.859846261931</t>
  </si>
  <si>
    <t>-581.874459105994 -61.8962757394543 771.549376273697</t>
  </si>
  <si>
    <t>9763-20170724T160737.990647700.bin</t>
  </si>
  <si>
    <t>-711.245521973336 40.5015001382408 -234.130178938213</t>
  </si>
  <si>
    <t>-732.176111103945 42.1824911432529 -353.406657678863</t>
  </si>
  <si>
    <t>-741.0943037784 25.8458770881659 -473.173685990996</t>
  </si>
  <si>
    <t>-744.67938742462 3.54664856221871 -580.340643073973</t>
  </si>
  <si>
    <t>-659.320441875987 101.701491099071 -793.302451324458</t>
  </si>
  <si>
    <t>-559.214706359183 150.017801722874 -496.94018769591</t>
  </si>
  <si>
    <t>-390.523539933487 109.694008784367 -303.137777877475</t>
  </si>
  <si>
    <t>-698.778897670396 137.125299594154 -234.642005389856</t>
  </si>
  <si>
    <t>-589.567868316769 196.741642318902 203.737369606368</t>
  </si>
  <si>
    <t>-528.364356638525 234.948277398589 667.89992994156</t>
  </si>
  <si>
    <t>-371.360501386836 233.978019564002 747.224413468766</t>
  </si>
  <si>
    <t>-717.60777495201 -28.466652650369 221.872583489989</t>
  </si>
  <si>
    <t>-711.146245766325 23.9832296869893 688.840653688647</t>
  </si>
  <si>
    <t>-581.944440614835 -62.0776532690622 771.568687086879</t>
  </si>
  <si>
    <t>9763-20170724T160738.024743000.bin</t>
  </si>
  <si>
    <t>-711.315604077401 40.4137652861459 -234.091194298254</t>
  </si>
  <si>
    <t>-732.101586679053 42.1249503924814 -353.392584405451</t>
  </si>
  <si>
    <t>-740.883542493388 25.8742537595142 -473.181376706367</t>
  </si>
  <si>
    <t>-744.344692627835 3.67614500016703 -580.373337882699</t>
  </si>
  <si>
    <t>-658.715071871572 102.08787512864 -793.230893490603</t>
  </si>
  <si>
    <t>-559.34748552076 150.530573699506 -496.641024705673</t>
  </si>
  <si>
    <t>-390.706953162403 109.960193974501 -302.846098524828</t>
  </si>
  <si>
    <t>-698.803243342577 137.017464452322 -234.57688180333</t>
  </si>
  <si>
    <t>-589.694934732095 196.662853701308 203.824189319005</t>
  </si>
  <si>
    <t>-528.34496538162 234.95450534511 667.976822814796</t>
  </si>
  <si>
    <t>-371.351670667298 233.983507601784 747.321874307269</t>
  </si>
  <si>
    <t>-717.743860721601 -28.4954452351756 221.875292478524</t>
  </si>
  <si>
    <t>-711.099554418219 23.9885708336742 688.83057583291</t>
  </si>
  <si>
    <t>-581.993046986022 -62.1899672885602 771.584917828798</t>
  </si>
  <si>
    <t>9763-20170724T160738.089482500.bin</t>
  </si>
  <si>
    <t>-711.400537400275 40.4072053683731 -234.052511658118</t>
  </si>
  <si>
    <t>-732.000769797542 42.1612903176647 -353.385509305983</t>
  </si>
  <si>
    <t>-740.619059958621 25.998162867658 -473.198041798097</t>
  </si>
  <si>
    <t>-743.936842887514 3.89942149468175 -580.415032443952</t>
  </si>
  <si>
    <t>-658.082458289525 102.581976514628 -793.14287952312</t>
  </si>
  <si>
    <t>-559.661580202811 151.408835519131 -496.300463297905</t>
  </si>
  <si>
    <t>-391.309448683595 110.603850815411 -302.304139271374</t>
  </si>
  <si>
    <t>-698.939150686332 136.968809693575 -234.434041105284</t>
  </si>
  <si>
    <t>-589.917822401572 196.692880508003 203.977923027344</t>
  </si>
  <si>
    <t>-528.367022971358 235.116206683239 668.148617131179</t>
  </si>
  <si>
    <t>-371.34700749957 233.992569499814 747.438856601352</t>
  </si>
  <si>
    <t>-717.990861409362 -28.3856488815709 221.872995695332</t>
  </si>
  <si>
    <t>-710.972256524731 24.0286773679111 688.818772310774</t>
  </si>
  <si>
    <t>-582.152358154418 -62.521625442984 771.631751338698</t>
  </si>
  <si>
    <t>9763-20170724T160738.122570300.bin</t>
  </si>
  <si>
    <t>-711.419025074989 40.4373803727367 -233.99462733145</t>
  </si>
  <si>
    <t>-731.859981026073 42.1917545575391 -353.355006890878</t>
  </si>
  <si>
    <t>-740.388718502852 26.0570558212385 -473.177716003634</t>
  </si>
  <si>
    <t>-743.653442122103 3.99704687876851 -580.40434836226</t>
  </si>
  <si>
    <t>-657.693321874584 102.758609443321 -793.107884471627</t>
  </si>
  <si>
    <t>-559.671269495308 151.798638609619 -496.168521444831</t>
  </si>
  <si>
    <t>-391.472280839186 110.976494619925 -302.043146541683</t>
  </si>
  <si>
    <t>-699.014030355484 136.996483344368 -234.351460634013</t>
  </si>
  <si>
    <t>-589.958148495892 196.727471422218 204.051002198336</t>
  </si>
  <si>
    <t>-528.401077966192 235.179633061664 668.230677547311</t>
  </si>
  <si>
    <t>-371.346625033721 234.014297264232 747.452147921553</t>
  </si>
  <si>
    <t>-718.106516712517 -28.3169365173892 221.883545695542</t>
  </si>
  <si>
    <t>-710.941918258294 24.0318066093696 688.818430002393</t>
  </si>
  <si>
    <t>-582.240117673201 -62.6725516265676 771.653887595535</t>
  </si>
  <si>
    <t>9763-20170724T160738.189759100.bin</t>
  </si>
  <si>
    <t>-711.466025903088 40.4787674468685 -233.883971222179</t>
  </si>
  <si>
    <t>-731.794536061208 42.275901333672 -353.262946974206</t>
  </si>
  <si>
    <t>-740.272946029628 26.2072252843161 -473.098067820051</t>
  </si>
  <si>
    <t>-743.513674865399 4.2193132072905 -580.340249862275</t>
  </si>
  <si>
    <t>-657.557561793067 103.153496805711 -793.028433206999</t>
  </si>
  <si>
    <t>-560.186494627168 152.487497446975 -495.923705534681</t>
  </si>
  <si>
    <t>-392.239303209959 111.674362008372 -301.578500906694</t>
  </si>
  <si>
    <t>-699.111790281207 136.990975432124 -234.181255098816</t>
  </si>
  <si>
    <t>-590.043596723455 196.73229287135 204.216737753857</t>
  </si>
  <si>
    <t>-528.473829971023 235.286471763653 668.370837303119</t>
  </si>
  <si>
    <t>-371.336635364841 234.0813723693 747.427550255744</t>
  </si>
  <si>
    <t>-718.166148567954 -28.291494122788 221.939439981702</t>
  </si>
  <si>
    <t>-710.880571447434 24.0539138424267 688.832775705462</t>
  </si>
  <si>
    <t>-582.349742905299 -62.8745143826657 771.698850424876</t>
  </si>
  <si>
    <t>9763-20170724T160738.223849400.bin</t>
  </si>
  <si>
    <t>-711.517839772985 40.5013851789681 -233.853939202945</t>
  </si>
  <si>
    <t>-731.855116833595 42.2968571688193 -353.23128514493</t>
  </si>
  <si>
    <t>-740.34744056684 26.2451400450818 -473.067922169199</t>
  </si>
  <si>
    <t>-743.601249213533 4.28034828200634 -580.314365747683</t>
  </si>
  <si>
    <t>-657.729977330671 103.307867772577 -793.020556783314</t>
  </si>
  <si>
    <t>-560.498480040655 152.815765771676 -495.898947317598</t>
  </si>
  <si>
    <t>-392.628325267112 112.043647665997 -301.478621285399</t>
  </si>
  <si>
    <t>-699.220742485489 137.026065927993 -234.126133320298</t>
  </si>
  <si>
    <t>-590.082389492978 196.775580621753 204.253202142937</t>
  </si>
  <si>
    <t>-528.544768953513 235.342144334719 668.457987805256</t>
  </si>
  <si>
    <t>-371.340358666895 234.129106828396 747.380834572893</t>
  </si>
  <si>
    <t>-718.17755670772 -28.2691736655809 221.96116414623</t>
  </si>
  <si>
    <t>-710.843583365435 24.0722023477936 688.841681820907</t>
  </si>
  <si>
    <t>-582.391512991085 -62.9575384095649 771.723531387779</t>
  </si>
  <si>
    <t>9763-20170724T160738.287819200.bin</t>
  </si>
  <si>
    <t>-711.676003688247 40.6503266136062 -233.775685328384</t>
  </si>
  <si>
    <t>-732.021928413228 42.4618620918559 -353.151532889664</t>
  </si>
  <si>
    <t>-740.506523935611 26.4454494105878 -472.99321161319</t>
  </si>
  <si>
    <t>-743.743772172517 4.52095304103318 -580.248548422428</t>
  </si>
  <si>
    <t>-657.920396967012 103.686038951654 -793.015193266687</t>
  </si>
  <si>
    <t>-561.137771738833 153.684726571325 -495.829278501094</t>
  </si>
  <si>
    <t>-393.414015294036 112.948185584567 -301.275071254749</t>
  </si>
  <si>
    <t>-699.361706825378 137.239605287908 -234.012242350707</t>
  </si>
  <si>
    <t>-590.108595252586 196.931284498863 204.346473334074</t>
  </si>
  <si>
    <t>-528.703062642518 235.472770760502 668.596485728861</t>
  </si>
  <si>
    <t>-371.347505258303 234.200145007795 747.216513154256</t>
  </si>
  <si>
    <t>-718.213556230218 -28.201203635851 222.005603245729</t>
  </si>
  <si>
    <t>-710.882427938714 24.0494300087969 688.886511201689</t>
  </si>
  <si>
    <t>-582.395944123014 -62.9272648821282 771.770708557581</t>
  </si>
  <si>
    <t>9763-20170724T160738.321914400.bin</t>
  </si>
  <si>
    <t>-711.692386681333 40.8213672804186 -233.736219487487</t>
  </si>
  <si>
    <t>-732.054890506545 42.6083588700299 -353.109605661275</t>
  </si>
  <si>
    <t>-740.550493832556 26.5732989589799 -472.948000901661</t>
  </si>
  <si>
    <t>-743.794724531318 4.63457982174305 -580.20030289406</t>
  </si>
  <si>
    <t>-658.035482963992 103.804900607556 -793.037410153299</t>
  </si>
  <si>
    <t>-561.384859152954 154.18704962059 -495.87334943184</t>
  </si>
  <si>
    <t>-393.731990396064 113.487321288464 -301.250364234671</t>
  </si>
  <si>
    <t>-699.415113058924 137.427027526838 -233.977014345013</t>
  </si>
  <si>
    <t>-590.125368246662 197.031242957368 204.384450275381</t>
  </si>
  <si>
    <t>-528.803322834264 235.530449451051 668.667918812083</t>
  </si>
  <si>
    <t>-371.358451279744 234.213363504749 747.108331890367</t>
  </si>
  <si>
    <t>-718.220111771459 -28.0907411341868 222.039423483433</t>
  </si>
  <si>
    <t>-710.85537413152 24.0778857204941 688.909429620857</t>
  </si>
  <si>
    <t>-582.426189790318 -62.9790071400362 771.798243695506</t>
  </si>
  <si>
    <t>9763-20170724T160738.388094400.bin</t>
  </si>
  <si>
    <t>-711.722941141874 41.1152955789562 -233.68649048748</t>
  </si>
  <si>
    <t>-732.062178075518 42.8808613464403 -353.064198590788</t>
  </si>
  <si>
    <t>-740.596446316469 26.8424565528314 -472.899450591022</t>
  </si>
  <si>
    <t>-743.898000836746 4.91074743382023 -580.151264669771</t>
  </si>
  <si>
    <t>-658.464688378817 104.186286562262 -793.162945689508</t>
  </si>
  <si>
    <t>-562.025387869764 155.206033833356 -496.038955270674</t>
  </si>
  <si>
    <t>-394.503351985712 114.53537959696 -301.297380103217</t>
  </si>
  <si>
    <t>-699.524480903997 137.771472376745 -233.895708065367</t>
  </si>
  <si>
    <t>-590.364903442497 197.24118959418 204.51641281921</t>
  </si>
  <si>
    <t>-529.081447356694 235.612098097411 668.864169476922</t>
  </si>
  <si>
    <t>-371.395275853547 234.336572007628 746.81900402906</t>
  </si>
  <si>
    <t>-718.196489131863 -27.9143572025555 222.086402393244</t>
  </si>
  <si>
    <t>-710.853131162335 24.0747441339856 688.939247778115</t>
  </si>
  <si>
    <t>-582.44182444376 -62.9919080073955 771.84550324279</t>
  </si>
  <si>
    <t>9763-20170724T160738.421181200.bin</t>
  </si>
  <si>
    <t>-711.725373814439 41.2885413053091 -233.637913624172</t>
  </si>
  <si>
    <t>-732.059388062365 43.0409377393644 -353.016521268432</t>
  </si>
  <si>
    <t>-740.611759024931 26.9983344488192 -472.849938589701</t>
  </si>
  <si>
    <t>-743.937437891862 5.0678619535156 -580.101306436171</t>
  </si>
  <si>
    <t>-658.633650116313 104.377940980409 -793.189822121324</t>
  </si>
  <si>
    <t>-562.267123004931 155.917953010544 -496.131948600933</t>
  </si>
  <si>
    <t>-394.752534275256 115.29113488668 -301.374811072361</t>
  </si>
  <si>
    <t>-699.565554448267 137.947544353395 -233.829477713932</t>
  </si>
  <si>
    <t>-590.58087630364 197.379425419473 204.631342025411</t>
  </si>
  <si>
    <t>-529.267117763864 235.630067305705 669.001876428219</t>
  </si>
  <si>
    <t>-371.422252636759 234.361048266395 746.635302320121</t>
  </si>
  <si>
    <t>-718.149113150637 -27.8311653184305 222.128472905631</t>
  </si>
  <si>
    <t>-710.842120883272 24.0973816638577 688.968855709364</t>
  </si>
  <si>
    <t>-582.439045945092 -62.9825153842496 771.873942887116</t>
  </si>
  <si>
    <t>9763-20170724T160738.492391500.bin</t>
  </si>
  <si>
    <t>-711.760729207612 41.5364322316032 -233.59813366048</t>
  </si>
  <si>
    <t>-732.16702416775 43.2406321581404 -352.965097279091</t>
  </si>
  <si>
    <t>-740.801422363083 27.1585878530582 -472.787354653818</t>
  </si>
  <si>
    <t>-744.205360793859 5.19591931733567 -580.029703788624</t>
  </si>
  <si>
    <t>-659.199005990672 104.522788069816 -793.25668641085</t>
  </si>
  <si>
    <t>-563.358784529814 156.835020474402 -496.163597171064</t>
  </si>
  <si>
    <t>-395.814251836011 116.12209539221 -301.450000021015</t>
  </si>
  <si>
    <t>-699.713281022721 138.285631079975 -233.811309702466</t>
  </si>
  <si>
    <t>-591.058762440862 197.645975033636 204.741111131957</t>
  </si>
  <si>
    <t>-529.625114746883 235.715849182837 669.048892498705</t>
  </si>
  <si>
    <t>-371.466663237542 234.536421422498 746.042525710985</t>
  </si>
  <si>
    <t>-718.103143157782 -27.7059003977681 222.199866378514</t>
  </si>
  <si>
    <t>-710.87344514336 24.1108261771276 689.03133116801</t>
  </si>
  <si>
    <t>-582.44339012437 -62.945565606102 771.919304590922</t>
  </si>
  <si>
    <t>9763-20170724T160738.524474800.bin</t>
  </si>
  <si>
    <t>-711.842193247041 41.6370211936339 -233.627188362803</t>
  </si>
  <si>
    <t>-732.240746500255 43.3102934727153 -352.995988925758</t>
  </si>
  <si>
    <t>-740.886671511191 27.2045035193596 -472.814209312344</t>
  </si>
  <si>
    <t>-744.309025986903 5.22401716591321 -580.052303262521</t>
  </si>
  <si>
    <t>-659.476244773899 104.564186932 -793.337079703016</t>
  </si>
  <si>
    <t>-563.893934031793 157.16230812912 -496.211412309852</t>
  </si>
  <si>
    <t>-396.2981636169 116.392413326162 -301.553929384686</t>
  </si>
  <si>
    <t>-699.823156896451 138.422173948776 -233.921438719175</t>
  </si>
  <si>
    <t>-591.318103298421 197.788197205115 204.667222343474</t>
  </si>
  <si>
    <t>-529.719827718797 235.758838846914 668.882313443152</t>
  </si>
  <si>
    <t>-371.472347576162 234.605254795944 745.693562654422</t>
  </si>
  <si>
    <t>-718.123631745385 -27.6661024039111 222.186292997394</t>
  </si>
  <si>
    <t>-710.923079337618 24.084306312172 689.037057627418</t>
  </si>
  <si>
    <t>-582.394405663566 -62.8391566614159 771.911673475097</t>
  </si>
  <si>
    <t>9763-20170724T160738.589658200.bin</t>
  </si>
  <si>
    <t>-711.945031621944 41.8087233651031 -233.755832418457</t>
  </si>
  <si>
    <t>-732.334606018984 43.4540149339405 -353.126462914897</t>
  </si>
  <si>
    <t>-740.985341349867 27.3430587365156 -472.943778191771</t>
  </si>
  <si>
    <t>-744.417383319549 5.36729679280529 -580.182382057116</t>
  </si>
  <si>
    <t>-659.902816996476 104.887138676629 -793.534467255711</t>
  </si>
  <si>
    <t>-564.579038968564 157.747517498924 -496.372324194886</t>
  </si>
  <si>
    <t>-396.899458723025 116.893696775573 -301.804668859776</t>
  </si>
  <si>
    <t>-700.061856439119 138.679443045457 -234.117311949208</t>
  </si>
  <si>
    <t>-591.873456343645 198.006943772009 204.554769079024</t>
  </si>
  <si>
    <t>-529.787008057478 235.833940189529 668.704427736547</t>
  </si>
  <si>
    <t>-371.468784342744 234.8066251319 745.371257872992</t>
  </si>
  <si>
    <t>-718.289865697082 -27.5926545015382 222.102643616827</t>
  </si>
  <si>
    <t>-710.988897211567 24.0553292623226 689.009007937448</t>
  </si>
  <si>
    <t>-582.371236161108 -62.7524992148922 771.866784874951</t>
  </si>
  <si>
    <t>9763-20170724T160738.621741100.bin</t>
  </si>
  <si>
    <t>-712.026545749562 41.8369310982785 -233.799368479235</t>
  </si>
  <si>
    <t>-732.391812664622 43.4656507210113 -353.174475759825</t>
  </si>
  <si>
    <t>-741.009849002562 27.3399387138995 -472.991962492898</t>
  </si>
  <si>
    <t>-744.407977749625 5.35230002061599 -580.229384352939</t>
  </si>
  <si>
    <t>-659.995048466891 104.941535141196 -793.586209926008</t>
  </si>
  <si>
    <t>-564.739291540133 157.786352376525 -496.399561900349</t>
  </si>
  <si>
    <t>-397.01919144128 117.035359251194 -301.845240627105</t>
  </si>
  <si>
    <t>-700.173501143899 138.705872472543 -234.161767749684</t>
  </si>
  <si>
    <t>-592.106522307706 198.063304259249 204.53618450718</t>
  </si>
  <si>
    <t>-529.737203547354 235.872441709242 668.663504833733</t>
  </si>
  <si>
    <t>-371.44670487949 234.897991680197 745.388306976439</t>
  </si>
  <si>
    <t>-718.352597783437 -27.584681312255 222.06352702829</t>
  </si>
  <si>
    <t>-711.00426232856 24.052129147645 688.988981975041</t>
  </si>
  <si>
    <t>-582.360055735367 -62.7177800585266 771.84523974153</t>
  </si>
  <si>
    <t>9763-20170724T160738.691953200.bin</t>
  </si>
  <si>
    <t>-712.135719581753 41.8184746854993 -233.852589348465</t>
  </si>
  <si>
    <t>-732.442858736586 43.4444176477432 -353.237662838576</t>
  </si>
  <si>
    <t>-741.004402802044 27.3316807726385 -473.061105738039</t>
  </si>
  <si>
    <t>-744.350989672442 5.36278059324513 -580.303840576441</t>
  </si>
  <si>
    <t>-660.099470641154 105.149371236883 -793.609016596839</t>
  </si>
  <si>
    <t>-565.009680018261 157.945452912177 -496.360520214254</t>
  </si>
  <si>
    <t>-397.317105226737 117.331883507238 -301.753732614372</t>
  </si>
  <si>
    <t>-700.326053468316 138.764700572391 -234.197948737181</t>
  </si>
  <si>
    <t>-592.55231720722 198.172610729847 204.565221186817</t>
  </si>
  <si>
    <t>-529.480338657785 235.863047250489 668.613469081884</t>
  </si>
  <si>
    <t>-371.365010649562 234.917062514098 745.698807214082</t>
  </si>
  <si>
    <t>-718.58924405408 -27.5769453754569 222.014670764195</t>
  </si>
  <si>
    <t>-711.039760699451 24.0402205362291 688.958959807288</t>
  </si>
  <si>
    <t>-582.278035823529 -62.5603803929007 771.809841626047</t>
  </si>
  <si>
    <t>9763-20170724T160738.721029000.bin</t>
  </si>
  <si>
    <t>-712.204938516131 41.7598729453134 -233.889304214336</t>
  </si>
  <si>
    <t>-732.484581919974 43.4035256911886 -353.278703156842</t>
  </si>
  <si>
    <t>-740.975904181788 27.2853755925476 -473.106422529992</t>
  </si>
  <si>
    <t>-744.241273056181 5.30244444997152 -580.348720451904</t>
  </si>
  <si>
    <t>-659.975322163898 105.126753407245 -793.60742653024</t>
  </si>
  <si>
    <t>-564.947417776933 157.985047088913 -496.350222465011</t>
  </si>
  <si>
    <t>-397.261004205687 117.356522221955 -301.741266125935</t>
  </si>
  <si>
    <t>-700.438568103218 138.671620297062 -234.237013021474</t>
  </si>
  <si>
    <t>-592.68832393437 198.181211589301 204.518264274527</t>
  </si>
  <si>
    <t>-529.288260389654 235.835461244603 668.420020201199</t>
  </si>
  <si>
    <t>-371.314683476524 234.885289538812 745.795569233487</t>
  </si>
  <si>
    <t>-718.746509281002 -27.6007397046674 221.973523855166</t>
  </si>
  <si>
    <t>-711.058549745899 24.0273483612091 688.930859101826</t>
  </si>
  <si>
    <t>-582.281248871045 -62.5470918271556 771.784893537242</t>
  </si>
  <si>
    <t>9763-20170724T160738.789786900.bin</t>
  </si>
  <si>
    <t>-712.363179765561 41.6016316589896 -234.050904385895</t>
  </si>
  <si>
    <t>-732.681088892805 43.2309534402063 -353.433912404096</t>
  </si>
  <si>
    <t>-741.075482497229 27.1033116168476 -473.267230614024</t>
  </si>
  <si>
    <t>-744.194960572545 5.11278521781696 -580.512486006555</t>
  </si>
  <si>
    <t>-659.829498265123 105.11096421471 -793.666262783094</t>
  </si>
  <si>
    <t>-565.118764564785 158.096340056695 -496.330335452794</t>
  </si>
  <si>
    <t>-397.31916634248 117.496653709489 -301.812908881862</t>
  </si>
  <si>
    <t>-700.508626903291 138.512510917364 -234.456899198151</t>
  </si>
  <si>
    <t>-592.82375578021 198.098684416399 204.303985552742</t>
  </si>
  <si>
    <t>-528.99866657463 235.800034919465 668.189648557868</t>
  </si>
  <si>
    <t>-371.247198883992 234.906720745417 746.017705575594</t>
  </si>
  <si>
    <t>-718.959351254215 -27.7126171107398 221.867253611096</t>
  </si>
  <si>
    <t>-711.124069057818 23.9789524678874 688.871925932578</t>
  </si>
  <si>
    <t>-582.235235152269 -62.4402908583563 771.714511631784</t>
  </si>
  <si>
    <t>9763-20170724T160738.822874800.bin</t>
  </si>
  <si>
    <t>-712.48652536255 41.4949066052591 -234.085652766195</t>
  </si>
  <si>
    <t>-732.780312367716 43.1148208625584 -353.473061628646</t>
  </si>
  <si>
    <t>-741.102920673658 26.9607196032541 -473.307631355832</t>
  </si>
  <si>
    <t>-744.138012179652 4.93937145811492 -580.548973939492</t>
  </si>
  <si>
    <t>-659.735641657472 104.93619865024 -793.699120133642</t>
  </si>
  <si>
    <t>-565.1526910838 158.214803645614 -496.374927520468</t>
  </si>
  <si>
    <t>-397.312593350852 117.607814392689 -301.894048177715</t>
  </si>
  <si>
    <t>-700.626558372605 138.399799417915 -234.486253557572</t>
  </si>
  <si>
    <t>-592.912161743441 198.056717506849 204.257699453007</t>
  </si>
  <si>
    <t>-528.913406256324 235.763787640537 668.153496229008</t>
  </si>
  <si>
    <t>-371.23242796665 234.921121940592 746.124548206113</t>
  </si>
  <si>
    <t>-719.10365910277 -27.7597382882961 221.83648661633</t>
  </si>
  <si>
    <t>-711.143429398226 23.9691125837282 688.852873660976</t>
  </si>
  <si>
    <t>-582.196633721921 -62.3677619445132 771.691171229529</t>
  </si>
  <si>
    <t>9763-20170724T160738.888052600.bin</t>
  </si>
  <si>
    <t>-712.611414661573 41.2815955226879 -234.077486513743</t>
  </si>
  <si>
    <t>-732.801778189249 42.8923146577026 -353.482518880641</t>
  </si>
  <si>
    <t>-741.019689258088 26.6863713830837 -473.317404331131</t>
  </si>
  <si>
    <t>-743.958325989865 4.60389645757073 -580.548895652857</t>
  </si>
  <si>
    <t>-659.61072384211 104.572879981578 -793.735668530908</t>
  </si>
  <si>
    <t>-565.480025847885 158.625573907659 -496.407728165283</t>
  </si>
  <si>
    <t>-397.572379543962 117.716798255141 -302.048421545893</t>
  </si>
  <si>
    <t>-700.688311067598 138.201484539268 -234.473450856601</t>
  </si>
  <si>
    <t>-593.067163048368 197.898261852295 204.28812117539</t>
  </si>
  <si>
    <t>-528.783357262186 235.71183852471 668.118689812005</t>
  </si>
  <si>
    <t>-371.203231024938 234.887014951807 746.29388697747</t>
  </si>
  <si>
    <t>-719.337504296549 -27.8339617430088 221.828997799564</t>
  </si>
  <si>
    <t>-711.15931951954 23.9601319278884 688.832663524774</t>
  </si>
  <si>
    <t>-582.182652896614 -62.3410671430972 771.661602906505</t>
  </si>
  <si>
    <t>9763-20170724T160738.932169600.bin</t>
  </si>
  <si>
    <t>-712.612013082509 41.143068276303 -234.060277376778</t>
  </si>
  <si>
    <t>-732.763103291517 42.7475227786956 -353.471905088265</t>
  </si>
  <si>
    <t>-740.940701081969 26.5204745870294 -473.306706517767</t>
  </si>
  <si>
    <t>-743.84066872404 4.41496153600201 -580.534465918983</t>
  </si>
  <si>
    <t>-659.527834923613 104.383736000693 -793.720629706996</t>
  </si>
  <si>
    <t>-565.510177466205 158.721716876622 -496.408899473822</t>
  </si>
  <si>
    <t>-397.534996746071 117.674599616337 -302.137034609554</t>
  </si>
  <si>
    <t>-700.665696842615 138.009658254922 -234.453063694422</t>
  </si>
  <si>
    <t>-593.130121378817 197.770317395095 204.320690900412</t>
  </si>
  <si>
    <t>-528.734493064519 235.651372169366 668.120726480716</t>
  </si>
  <si>
    <t>-371.194638944379 234.872528867699 746.377371026899</t>
  </si>
  <si>
    <t>-719.43375233487 -27.898548249279 221.838458346572</t>
  </si>
  <si>
    <t>-711.161038178481 23.9610122103586 688.82526431129</t>
  </si>
  <si>
    <t>-582.183998088569 -62.3392011160988 771.654653394515</t>
  </si>
  <si>
    <t>9763-20170724T160738.989331400.bin</t>
  </si>
  <si>
    <t>-712.666295179243 40.8044753912641 -234.058911869912</t>
  </si>
  <si>
    <t>-732.790648523466 42.4416112050374 -353.474715279814</t>
  </si>
  <si>
    <t>-740.93762264991 26.2227125852232 -473.312740623612</t>
  </si>
  <si>
    <t>-743.805207975626 4.11700612919753 -580.541260278306</t>
  </si>
  <si>
    <t>-659.567857031633 104.149036169698 -793.718144578728</t>
  </si>
  <si>
    <t>-565.654735933301 158.881458583762 -496.445746230587</t>
  </si>
  <si>
    <t>-397.653523040856 117.934305865843 -302.175398632574</t>
  </si>
  <si>
    <t>-700.684296344773 137.633877603849 -234.425829331852</t>
  </si>
  <si>
    <t>-593.207290278256 197.53034829767 204.343785106017</t>
  </si>
  <si>
    <t>-528.624026814828 235.537397219393 668.108629682848</t>
  </si>
  <si>
    <t>-371.168941839792 234.788544679865 746.535904132874</t>
  </si>
  <si>
    <t>-719.59166419362 -28.0730563535299 221.838889447475</t>
  </si>
  <si>
    <t>-711.129915965365 23.97436543144 688.808081836612</t>
  </si>
  <si>
    <t>-582.194391287481 -62.3845912127551 771.640886349625</t>
  </si>
  <si>
    <t>9763-20170724T160739.024426300.bin</t>
  </si>
  <si>
    <t>-712.696868707744 40.6253090309012 -234.052308987914</t>
  </si>
  <si>
    <t>-732.827731818949 42.2738482197606 -353.466758228638</t>
  </si>
  <si>
    <t>-740.974999306634 26.04539542577 -473.303440452768</t>
  </si>
  <si>
    <t>-743.839340392353 3.92361684835987 -580.528748765494</t>
  </si>
  <si>
    <t>-659.62384964407 103.939465413183 -793.712660328623</t>
  </si>
  <si>
    <t>-565.839104400413 158.797445997141 -496.422957811187</t>
  </si>
  <si>
    <t>-397.871389652726 117.88436921698 -302.116350313056</t>
  </si>
  <si>
    <t>-700.686505365606 137.431464918503 -234.416656643586</t>
  </si>
  <si>
    <t>-593.157969323492 197.389466938348 204.331938825751</t>
  </si>
  <si>
    <t>-528.570620881309 235.476439163444 668.098041904691</t>
  </si>
  <si>
    <t>-371.157941854068 234.753753870575 746.610798412196</t>
  </si>
  <si>
    <t>-719.652274198287 -28.1656699306625 221.839480597076</t>
  </si>
  <si>
    <t>-711.146015640483 23.9589948077826 688.804995288076</t>
  </si>
  <si>
    <t>-582.198575890099 -62.3796904282876 771.640345934112</t>
  </si>
  <si>
    <t>9763-20170724T160739.090620300.bin</t>
  </si>
  <si>
    <t>-712.708863567782 40.3196450585815 -234.03679160344</t>
  </si>
  <si>
    <t>-732.853708590149 41.9540295595225 -353.449123832205</t>
  </si>
  <si>
    <t>-741.007386423071 25.7004071855065 -473.282035270192</t>
  </si>
  <si>
    <t>-743.872385187341 3.55287315062515 -580.502048970422</t>
  </si>
  <si>
    <t>-659.642665605428 103.499058662139 -793.700396283794</t>
  </si>
  <si>
    <t>-566.132335369919 158.760841700395 -496.398988980976</t>
  </si>
  <si>
    <t>-398.267802102963 117.833194871123 -302.006436821468</t>
  </si>
  <si>
    <t>-700.589904920002 137.06451054028 -234.415961183027</t>
  </si>
  <si>
    <t>-592.94146967201 197.100085690961 204.292584617426</t>
  </si>
  <si>
    <t>-528.479052421518 235.435935371924 668.083788582172</t>
  </si>
  <si>
    <t>-371.136952408987 234.715636109945 746.737764207231</t>
  </si>
  <si>
    <t>-719.687808790644 -28.2964136504459 221.85527685423</t>
  </si>
  <si>
    <t>-711.122288689706 23.9726615518111 688.803122396247</t>
  </si>
  <si>
    <t>-582.207728378087 -62.4072032422198 771.646761091221</t>
  </si>
  <si>
    <t>9763-20170724T160739.123704300.bin</t>
  </si>
  <si>
    <t>-712.735348738486 40.1603632735919 -233.996484099489</t>
  </si>
  <si>
    <t>-732.900135582049 41.8190937941931 -353.405109507454</t>
  </si>
  <si>
    <t>-741.075091999837 25.5762533063873 -473.23790717205</t>
  </si>
  <si>
    <t>-743.958435577729 3.43398037393081 -580.458630105729</t>
  </si>
  <si>
    <t>-659.779726993109 103.39257282934 -793.66233999419</t>
  </si>
  <si>
    <t>-566.302274604043 158.882468211722 -496.393087706571</t>
  </si>
  <si>
    <t>-398.45413352586 117.994076930709 -301.97819538233</t>
  </si>
  <si>
    <t>-700.607758486036 136.889680938418 -234.355904565638</t>
  </si>
  <si>
    <t>-592.796105850137 197.003310764897 204.301841488207</t>
  </si>
  <si>
    <t>-528.440325711245 235.420299725936 668.075035662979</t>
  </si>
  <si>
    <t>-371.132556088389 234.699583475472 746.797903691365</t>
  </si>
  <si>
    <t>-719.678770933931 -28.3684437556271 221.876146267161</t>
  </si>
  <si>
    <t>-711.069333357399 24.0114030175125 688.803907676254</t>
  </si>
  <si>
    <t>-582.212642726201 -62.4519358496339 771.650472273698</t>
  </si>
  <si>
    <t>9763-20170724T160739.188890900.bin</t>
  </si>
  <si>
    <t>-712.894930091427 39.8797059805943 -233.943981047653</t>
  </si>
  <si>
    <t>-733.065750842819 41.5642458474395 -353.351315142778</t>
  </si>
  <si>
    <t>-741.246920789553 25.3438099230707 -473.186764078112</t>
  </si>
  <si>
    <t>-744.133193263371 3.22176483443673 -580.41142172881</t>
  </si>
  <si>
    <t>-659.983605584805 103.246956150657 -793.575175740985</t>
  </si>
  <si>
    <t>-566.838825251828 159.022513283395 -496.254966041451</t>
  </si>
  <si>
    <t>-399.01923599469 118.138984932423 -301.814269804241</t>
  </si>
  <si>
    <t>-700.671399992649 136.60798276208 -234.306361936096</t>
  </si>
  <si>
    <t>-592.586235491995 196.772002029727 204.277184796345</t>
  </si>
  <si>
    <t>-528.340585850475 235.408980009972 668.049460055856</t>
  </si>
  <si>
    <t>-371.106787810497 234.626915709981 746.919165796584</t>
  </si>
  <si>
    <t>-719.847733189066 -28.5781941835253 221.911179295564</t>
  </si>
  <si>
    <t>-711.104451830052 23.9740687300243 688.807443662062</t>
  </si>
  <si>
    <t>-582.209165791151 -62.4391438876978 771.646292884804</t>
  </si>
  <si>
    <t>9763-20170724T160739.220976300.bin</t>
  </si>
  <si>
    <t>-712.973794533562 39.7227255664848 -233.922853532427</t>
  </si>
  <si>
    <t>-733.151995865306 41.4146236977056 -353.328765370499</t>
  </si>
  <si>
    <t>-741.341000144533 25.2007143904605 -473.164588608596</t>
  </si>
  <si>
    <t>-744.233423415188 3.08470256819305 -580.390400432139</t>
  </si>
  <si>
    <t>-660.147008314304 103.15284054521 -793.532835569379</t>
  </si>
  <si>
    <t>-567.094500370399 159.110298134937 -496.217996394718</t>
  </si>
  <si>
    <t>-399.293621570752 118.277435358607 -301.750514646597</t>
  </si>
  <si>
    <t>-700.692308344867 136.436272940142 -234.292153762798</t>
  </si>
  <si>
    <t>-592.552173632393 196.667612929091 204.268646284913</t>
  </si>
  <si>
    <t>-528.31070482415 235.384387886094 668.04462540133</t>
  </si>
  <si>
    <t>-371.104157781982 234.620044563613 746.968604734002</t>
  </si>
  <si>
    <t>-719.892558588421 -28.70462452949 221.930921422919</t>
  </si>
  <si>
    <t>-711.116562788385 23.9594446084727 688.809178396339</t>
  </si>
  <si>
    <t>-582.17010046734 -62.3825046635154 771.642655525582</t>
  </si>
  <si>
    <t>9763-20170724T160739.289120700.bin</t>
  </si>
  <si>
    <t>-713.112306103741 39.4873916558297 -233.881478922857</t>
  </si>
  <si>
    <t>-733.357904063396 41.1996133757266 -353.27575740662</t>
  </si>
  <si>
    <t>-741.58594682397 24.9886811943513 -473.109189591196</t>
  </si>
  <si>
    <t>-744.500601345617 2.86855874507273 -580.333513344458</t>
  </si>
  <si>
    <t>-660.534371372603 102.977249046 -793.491066060967</t>
  </si>
  <si>
    <t>-567.779884909035 159.317496438403 -496.15524249176</t>
  </si>
  <si>
    <t>-399.98841274934 118.515726152212 -301.673162806052</t>
  </si>
  <si>
    <t>-700.793836191527 136.208272503493 -234.232457134727</t>
  </si>
  <si>
    <t>-592.532131831044 196.492379717721 204.29116188361</t>
  </si>
  <si>
    <t>-528.248871093896 235.375066194043 668.044586148564</t>
  </si>
  <si>
    <t>-371.095815583259 234.501536727924 747.073907175025</t>
  </si>
  <si>
    <t>-719.891696524651 -28.8510374999539 221.966354846373</t>
  </si>
  <si>
    <t>-711.12465913194 23.9662704219827 688.834059263136</t>
  </si>
  <si>
    <t>-582.167842943179 -62.3815408562978 771.645334643879</t>
  </si>
  <si>
    <t>9763-20170724T160739.320203900.bin</t>
  </si>
  <si>
    <t>-713.177243104015 39.3737613328497 -233.85627600502</t>
  </si>
  <si>
    <t>-733.424958133881 41.0842752856036 -353.250072279262</t>
  </si>
  <si>
    <t>-741.650955172782 24.8695780186963 -473.083239670062</t>
  </si>
  <si>
    <t>-744.561092061478 2.74586865122592 -580.307022810236</t>
  </si>
  <si>
    <t>-660.642952649415 102.871370083386 -793.455119382499</t>
  </si>
  <si>
    <t>-568.119379701461 159.386123521244 -496.080421207645</t>
  </si>
  <si>
    <t>-400.342214638979 118.543488442502 -301.594644735898</t>
  </si>
  <si>
    <t>-700.841427493349 136.0627714619 -234.210625537644</t>
  </si>
  <si>
    <t>-592.513872582023 196.382419776091 204.291742051046</t>
  </si>
  <si>
    <t>-528.213284531597 235.328173077443 668.039386366914</t>
  </si>
  <si>
    <t>-371.083306639977 234.465902119053 747.115005326999</t>
  </si>
  <si>
    <t>-719.980542718183 -28.9051188052608 221.984219524048</t>
  </si>
  <si>
    <t>-711.137132354275 23.9551335696408 688.838768416531</t>
  </si>
  <si>
    <t>-582.149574197525 -62.3553204407408 771.641085661008</t>
  </si>
  <si>
    <t>9763-20170724T160739.394412200.bin</t>
  </si>
  <si>
    <t>-713.259872270545 39.0600527200295 -233.832595943227</t>
  </si>
  <si>
    <t>-733.496424250691 40.7579416109945 -353.228490065606</t>
  </si>
  <si>
    <t>-741.696570332401 24.5430422421496 -473.063411087284</t>
  </si>
  <si>
    <t>-744.574145075245 2.42560192577503 -580.289340339024</t>
  </si>
  <si>
    <t>-660.735646573337 102.674046829624 -793.392326171893</t>
  </si>
  <si>
    <t>-568.577600985831 159.426106165643 -495.949313783773</t>
  </si>
  <si>
    <t>-400.841011254952 118.548177262323 -301.43572204703</t>
  </si>
  <si>
    <t>-700.84722514685 135.70107856379 -234.199210699076</t>
  </si>
  <si>
    <t>-592.49592765677 196.127634766253 204.282612045406</t>
  </si>
  <si>
    <t>-528.183310529394 235.252674314628 668.048666046567</t>
  </si>
  <si>
    <t>-371.082755529319 234.412722092539 747.182949406443</t>
  </si>
  <si>
    <t>-720.085367631229 -29.0482318007439 222.013796312944</t>
  </si>
  <si>
    <t>-711.128147946723 23.9465508471733 688.845445056574</t>
  </si>
  <si>
    <t>-582.126058631835 -62.3471871948352 771.642585404784</t>
  </si>
  <si>
    <t>9763-20170724T160739.422484400.bin</t>
  </si>
  <si>
    <t>-713.276030921365 38.9335639356957 -233.806645388133</t>
  </si>
  <si>
    <t>-733.491418368531 40.6219978733325 -353.206408217355</t>
  </si>
  <si>
    <t>-741.684447963225 24.410812847181 -473.042279487823</t>
  </si>
  <si>
    <t>-744.559403807704 2.30317496836233 -580.270250085713</t>
  </si>
  <si>
    <t>-660.804733024612 102.630675536782 -793.386409707926</t>
  </si>
  <si>
    <t>-568.807407520711 159.532018304394 -495.922365438829</t>
  </si>
  <si>
    <t>-401.103392866173 118.703755881389 -301.370238670308</t>
  </si>
  <si>
    <t>-700.861863413887 135.587418640948 -234.171610461648</t>
  </si>
  <si>
    <t>-592.518029131906 196.029118323202 204.310042289493</t>
  </si>
  <si>
    <t>-528.18060599763 235.248240793564 668.073459641852</t>
  </si>
  <si>
    <t>-371.077721014167 234.428069858921 747.203203975638</t>
  </si>
  <si>
    <t>-720.116113936673 -29.1101586812138 222.027684194038</t>
  </si>
  <si>
    <t>-711.126361608204 23.9388171400481 688.853765208302</t>
  </si>
  <si>
    <t>-582.108895097847 -62.3341436596932 771.648545664328</t>
  </si>
  <si>
    <t>9763-20170724T160739.498692800.bin</t>
  </si>
  <si>
    <t>-713.319511889348 38.731158969882 -233.754611331306</t>
  </si>
  <si>
    <t>-733.507140543436 40.4012341836376 -353.159172285173</t>
  </si>
  <si>
    <t>-741.617329995255 24.1845630825733 -473.000003529232</t>
  </si>
  <si>
    <t>-744.391281064565 2.07833928795822 -580.230927099441</t>
  </si>
  <si>
    <t>-660.593804888622 102.519064308019 -793.329842622858</t>
  </si>
  <si>
    <t>-569.034542530199 159.807411482752 -495.804835270342</t>
  </si>
  <si>
    <t>-401.377094118471 118.96334937907 -301.215996207676</t>
  </si>
  <si>
    <t>-700.893571815022 135.393277828331 -234.111575741994</t>
  </si>
  <si>
    <t>-592.637861271666 195.925670695496 204.379311659664</t>
  </si>
  <si>
    <t>-528.21132116389 235.301063466628 668.119672228306</t>
  </si>
  <si>
    <t>-371.085985799603 234.438860788077 747.204386240189</t>
  </si>
  <si>
    <t>-720.281308917319 -29.1925288225164 222.074076599212</t>
  </si>
  <si>
    <t>-711.137397914546 23.9146548376111 688.86955516483</t>
  </si>
  <si>
    <t>-582.100937526553 -62.333287099777 771.660856173964</t>
  </si>
  <si>
    <t>9763-20170724T160739.523759700.bin</t>
  </si>
  <si>
    <t>-713.367902465477 38.6358264307419 -233.718215159918</t>
  </si>
  <si>
    <t>-733.520115245139 40.2976227679999 -353.129065316416</t>
  </si>
  <si>
    <t>-741.579209145501 24.0832741902377 -472.973571380991</t>
  </si>
  <si>
    <t>-744.299124219228 1.98396865170344 -580.207285079668</t>
  </si>
  <si>
    <t>-660.494306730756 102.534603655243 -793.282871322742</t>
  </si>
  <si>
    <t>-569.199694720983 160.061433915992 -495.722671228005</t>
  </si>
  <si>
    <t>-401.506587710787 119.198295756266 -301.168456657568</t>
  </si>
  <si>
    <t>-700.964236818315 135.292530032504 -234.074941044923</t>
  </si>
  <si>
    <t>-592.73820424448 195.905244771857 204.412151287215</t>
  </si>
  <si>
    <t>-528.242164273542 235.356841097548 668.144763807429</t>
  </si>
  <si>
    <t>-371.094082917493 234.474464026233 747.183953217963</t>
  </si>
  <si>
    <t>-720.368570062139 -29.2385859326614 222.094072535649</t>
  </si>
  <si>
    <t>-711.109237491224 23.9204644448753 688.867444258916</t>
  </si>
  <si>
    <t>-582.107555362955 -62.3725408990151 771.665965031899</t>
  </si>
  <si>
    <t>9763-20170724T160739.586469900.bin</t>
  </si>
  <si>
    <t>-713.360070150482 38.4096236083376 -233.678511643668</t>
  </si>
  <si>
    <t>-733.455756856818 40.0351179511035 -353.099247792946</t>
  </si>
  <si>
    <t>-741.431259924338 23.7713557502509 -472.942658266203</t>
  </si>
  <si>
    <t>-744.063501991068 1.62356368987071 -580.168599502531</t>
  </si>
  <si>
    <t>-660.278013798801 102.169985038314 -793.24096384429</t>
  </si>
  <si>
    <t>-569.585607276602 160.125219386939 -495.579643247301</t>
  </si>
  <si>
    <t>-401.933871137455 119.124578346794 -301.018793610042</t>
  </si>
  <si>
    <t>-701.027420108599 135.079964542115 -234.017633068157</t>
  </si>
  <si>
    <t>-592.817392853846 195.817266012352 204.456102969399</t>
  </si>
  <si>
    <t>-528.350736786492 235.406916349996 668.235847766087</t>
  </si>
  <si>
    <t>-371.109522240105 234.504283656888 747.089687159891</t>
  </si>
  <si>
    <t>-720.331756481832 -29.3210604218509 222.127360840994</t>
  </si>
  <si>
    <t>-711.045866049876 23.9369969470522 688.87172954431</t>
  </si>
  <si>
    <t>-582.187491749545 -62.5370884347042 771.704454459355</t>
  </si>
  <si>
    <t>9763-20170724T160739.627582600.bin</t>
  </si>
  <si>
    <t>-713.329037797088 38.3123669834367 -233.624989296792</t>
  </si>
  <si>
    <t>-733.407186293343 39.9259069681241 -353.048795518423</t>
  </si>
  <si>
    <t>-741.364163337338 23.6522341141385 -472.892244852478</t>
  </si>
  <si>
    <t>-743.978115247116 1.49717920381204 -580.117059534968</t>
  </si>
  <si>
    <t>-660.258389121068 102.081092282473 -793.194394663244</t>
  </si>
  <si>
    <t>-569.784398774483 160.292955291896 -495.516800834083</t>
  </si>
  <si>
    <t>-402.159331232991 119.245577226412 -300.942637709401</t>
  </si>
  <si>
    <t>-701.038523103831 134.996337610837 -233.965720214729</t>
  </si>
  <si>
    <t>-592.888764016351 195.780157652336 204.516500262299</t>
  </si>
  <si>
    <t>-528.423491284657 235.489931419476 668.282028615749</t>
  </si>
  <si>
    <t>-371.1221957514 234.516923439732 747.015059933098</t>
  </si>
  <si>
    <t>-720.273683488753 -29.3585764145723 222.160519289905</t>
  </si>
  <si>
    <t>-710.982548122279 23.9775148123665 688.880074048017</t>
  </si>
  <si>
    <t>-582.210236212518 -62.6101188826483 771.728018564744</t>
  </si>
  <si>
    <t>9763-20170724T160739.691307600.bin</t>
  </si>
  <si>
    <t>-713.310443916413 38.1033167061235 -233.543072779841</t>
  </si>
  <si>
    <t>-733.335303013659 39.7274180114393 -352.975718854036</t>
  </si>
  <si>
    <t>-741.235968004557 23.4552026499946 -472.823004168795</t>
  </si>
  <si>
    <t>-743.796156185203 1.29926287780336 -580.048942800857</t>
  </si>
  <si>
    <t>-660.197960680139 101.996837025383 -793.123217710384</t>
  </si>
  <si>
    <t>-570.102103837128 160.486209733601 -495.385181511076</t>
  </si>
  <si>
    <t>-402.533656791208 119.46499959199 -300.757018663187</t>
  </si>
  <si>
    <t>-701.098273599565 134.784602973985 -233.848317159924</t>
  </si>
  <si>
    <t>-592.983286555768 195.753071498166 204.616804190715</t>
  </si>
  <si>
    <t>-528.587242411058 235.587172884069 668.377974653136</t>
  </si>
  <si>
    <t>-371.145650995529 234.606194188754 746.82971066882</t>
  </si>
  <si>
    <t>-720.313213374027 -29.4440389997465 222.207300113166</t>
  </si>
  <si>
    <t>-710.974355626739 23.962716769083 688.892115152054</t>
  </si>
  <si>
    <t>-582.233693389875 -62.6497646233281 771.763291330528</t>
  </si>
  <si>
    <t>9763-20170724T160739.724397200.bin</t>
  </si>
  <si>
    <t>-713.310592650109 38.0887159398253 -233.517786189377</t>
  </si>
  <si>
    <t>-733.279115097307 39.7106075583793 -352.959922094288</t>
  </si>
  <si>
    <t>-741.135760237846 23.4413988291428 -472.810407325318</t>
  </si>
  <si>
    <t>-743.659649680111 1.29163042260848 -580.038498068875</t>
  </si>
  <si>
    <t>-660.087344619195 102.051281853657 -793.086015165949</t>
  </si>
  <si>
    <t>-570.146508921443 160.63162123607 -495.31912479741</t>
  </si>
  <si>
    <t>-402.591908050892 119.643855789526 -300.671989965511</t>
  </si>
  <si>
    <t>-701.132760135517 134.797695519326 -233.811999196702</t>
  </si>
  <si>
    <t>-592.994571613847 195.785494143692 204.644753039183</t>
  </si>
  <si>
    <t>-528.692209004049 235.636182282928 668.440047515116</t>
  </si>
  <si>
    <t>-371.157640223642 234.635957622954 746.705018773115</t>
  </si>
  <si>
    <t>-720.322570836675 -29.4399939012926 222.220051905118</t>
  </si>
  <si>
    <t>-710.923529757304 23.9824028431292 688.887376784909</t>
  </si>
  <si>
    <t>-582.289717309572 -62.7640613143303 771.784321728035</t>
  </si>
  <si>
    <t>9763-20170724T160739.788268600.bin</t>
  </si>
  <si>
    <t>-713.340995056973 38.1879506358628 -233.441439174695</t>
  </si>
  <si>
    <t>-733.304496754456 39.8223254369168 -352.884299621387</t>
  </si>
  <si>
    <t>-741.14961853339 23.5708622362949 -472.737942156757</t>
  </si>
  <si>
    <t>-743.657906956109 1.44029906362039 -579.970467953184</t>
  </si>
  <si>
    <t>-660.130490202006 102.30637014853 -792.976984161408</t>
  </si>
  <si>
    <t>-570.535808959992 160.985956524172 -495.125279723506</t>
  </si>
  <si>
    <t>-403.065887529423 120.047940828213 -300.394905650239</t>
  </si>
  <si>
    <t>-701.287642233947 134.881080173668 -233.672940658656</t>
  </si>
  <si>
    <t>-593.056254158379 195.804412543465 204.769727329672</t>
  </si>
  <si>
    <t>-529.018754808669 235.632592451675 668.661521428575</t>
  </si>
  <si>
    <t>-371.21282877667 234.698637223554 746.378406815041</t>
  </si>
  <si>
    <t>-720.302930519837 -29.3746724060668 222.271591782473</t>
  </si>
  <si>
    <t>-710.845486135365 24.0407296117448 688.916932589441</t>
  </si>
  <si>
    <t>-582.39800134203 -62.9619392522718 771.834319217884</t>
  </si>
  <si>
    <t>9763-20170724T160739.824365700.bin</t>
  </si>
  <si>
    <t>-713.394279000559 38.2094637206114 -233.398499798875</t>
  </si>
  <si>
    <t>-733.350303507463 39.8298703583562 -352.842807787945</t>
  </si>
  <si>
    <t>-741.197448625757 23.5748719172982 -472.695926776327</t>
  </si>
  <si>
    <t>-743.710817111777 1.44568259953689 -579.928552963897</t>
  </si>
  <si>
    <t>-660.223399543919 102.334501438149 -792.941191150323</t>
  </si>
  <si>
    <t>-570.759371287471 161.083872926158 -495.06402146741</t>
  </si>
  <si>
    <t>-403.371827584543 120.093723786304 -300.273659430142</t>
  </si>
  <si>
    <t>-701.374168069827 134.896781339899 -233.615074647751</t>
  </si>
  <si>
    <t>-593.128516399362 195.828794113251 204.822789958592</t>
  </si>
  <si>
    <t>-529.183446211923 235.626724458423 668.738024842296</t>
  </si>
  <si>
    <t>-371.23855042834 234.739360072314 746.172816112956</t>
  </si>
  <si>
    <t>-720.323724122569 -29.3530327434773 222.309544068701</t>
  </si>
  <si>
    <t>-710.873640640688 24.0273954415954 688.942120674402</t>
  </si>
  <si>
    <t>-582.422154054447 -62.9688798868935 771.859982658541</t>
  </si>
  <si>
    <t>9763-20170724T160739.887278600.bin</t>
  </si>
  <si>
    <t>-713.544950168403 38.2360959115947 -233.370365252253</t>
  </si>
  <si>
    <t>-733.53423294814 39.8658159936003 -352.808912320778</t>
  </si>
  <si>
    <t>-741.423369625416 23.6233545778653 -472.660992257613</t>
  </si>
  <si>
    <t>-743.977098275616 1.50726092586297 -579.895338021757</t>
  </si>
  <si>
    <t>-660.653337495452 102.463605612876 -792.943126241326</t>
  </si>
  <si>
    <t>-571.294819228505 161.491433471131 -495.089227403394</t>
  </si>
  <si>
    <t>-403.961560363599 120.475454249988 -300.25772870384</t>
  </si>
  <si>
    <t>-701.531882353087 134.964922474662 -233.617397343733</t>
  </si>
  <si>
    <t>-593.387651698934 195.872872520226 204.848851548625</t>
  </si>
  <si>
    <t>-529.370547021819 235.671769855814 668.636821708035</t>
  </si>
  <si>
    <t>-371.239711880321 234.799849664792 745.691200421613</t>
  </si>
  <si>
    <t>-720.31967681773 -29.3683242928798 222.339832511393</t>
  </si>
  <si>
    <t>-710.926241148001 24.0041863134022 688.969305118823</t>
  </si>
  <si>
    <t>-582.390846225325 -62.8780804914759 771.876654418561</t>
  </si>
  <si>
    <t>9763-20170724T160739.934411900.bin</t>
  </si>
  <si>
    <t>-713.630997712238 38.3007162511092 -233.426055754644</t>
  </si>
  <si>
    <t>-733.629743973046 39.9194724777358 -352.863210316253</t>
  </si>
  <si>
    <t>-741.537061951951 23.6722422635926 -472.713438906025</t>
  </si>
  <si>
    <t>-744.110195770671 1.55472970512574 -579.947071966845</t>
  </si>
  <si>
    <t>-660.869231037316 102.536487960984 -793.003583792904</t>
  </si>
  <si>
    <t>-571.603029076925 161.680232998036 -495.145134829063</t>
  </si>
  <si>
    <t>-404.26299375289 120.726011779996 -300.306339159127</t>
  </si>
  <si>
    <t>-701.621580256505 135.058224944889 -233.720639143212</t>
  </si>
  <si>
    <t>-593.509533179744 195.920757447752 204.759939000261</t>
  </si>
  <si>
    <t>-529.403592928408 235.694646593405 668.497963422002</t>
  </si>
  <si>
    <t>-371.234592053499 234.844128783764 745.474348098085</t>
  </si>
  <si>
    <t>-720.364587099848 -29.3204246178409 222.310542429603</t>
  </si>
  <si>
    <t>-710.915665281182 24.0156931722529 688.956772546306</t>
  </si>
  <si>
    <t>-582.40763508123 -62.8993134452264 771.872268890214</t>
  </si>
  <si>
    <t>9763-20170724T160739.986211400.bin</t>
  </si>
  <si>
    <t>-713.858159260326 38.3941688313889 -233.527918970625</t>
  </si>
  <si>
    <t>-733.863500442189 40.0306107362478 -352.963686480702</t>
  </si>
  <si>
    <t>-741.797389444746 23.8066199511761 -472.815386656164</t>
  </si>
  <si>
    <t>-744.401321637431 1.71318808808087 -580.0531742924</t>
  </si>
  <si>
    <t>-661.374608792062 102.818564662017 -793.124766407735</t>
  </si>
  <si>
    <t>-572.151133246386 162.353558803844 -495.331312150921</t>
  </si>
  <si>
    <t>-404.743856962061 121.522460624474 -300.524507244452</t>
  </si>
  <si>
    <t>-701.81806999885 135.139840705271 -233.853280619742</t>
  </si>
  <si>
    <t>-593.662563219348 196.001470869679 204.616698465728</t>
  </si>
  <si>
    <t>-529.313384601993 235.6976936593 668.33639778822</t>
  </si>
  <si>
    <t>-371.192580251599 234.908541817997 745.41217768364</t>
  </si>
  <si>
    <t>-720.582520390099 -29.297368535091 222.233289709428</t>
  </si>
  <si>
    <t>-710.994522258579 23.9671374522734 688.924547733753</t>
  </si>
  <si>
    <t>-582.397981236557 -62.8238419637628 771.832743700728</t>
  </si>
  <si>
    <t>9763-20170724T160740.024320900.bin</t>
  </si>
  <si>
    <t>-713.968521213317 38.4200156548657 -233.587006019483</t>
  </si>
  <si>
    <t>-734.024768764538 40.0668196354677 -353.014161188747</t>
  </si>
  <si>
    <t>-741.998284365571 23.8492993928999 -472.863901585903</t>
  </si>
  <si>
    <t>-744.633022268217 1.75995020588084 -580.101812091837</t>
  </si>
  <si>
    <t>-661.734188751623 102.913364313916 -793.192589821888</t>
  </si>
  <si>
    <t>-572.589129519674 162.605168937041 -495.407065739402</t>
  </si>
  <si>
    <t>-405.122552841148 121.814263738487 -300.64277864936</t>
  </si>
  <si>
    <t>-701.877450393753 135.198101554525 -233.92673087032</t>
  </si>
  <si>
    <t>-593.682820130437 196.028979062534 204.537866818642</t>
  </si>
  <si>
    <t>-529.174382827366 235.689163966508 668.190812983464</t>
  </si>
  <si>
    <t>-371.154874391461 234.90264574014 745.474148833901</t>
  </si>
  <si>
    <t>-720.642117609707 -29.3076602183653 222.190416397886</t>
  </si>
  <si>
    <t>-711.019409080695 23.9610057200528 688.912279829079</t>
  </si>
  <si>
    <t>-582.343907036329 -62.7251720030781 771.807609756963</t>
  </si>
  <si>
    <t>9763-20170724T160740.091122100.bin</t>
  </si>
  <si>
    <t>-714.245728205781 38.4292068226823 -233.697464904255</t>
  </si>
  <si>
    <t>-734.425600736893 40.1151851920688 -353.103234922613</t>
  </si>
  <si>
    <t>-742.493876715007 23.9494312326892 -472.95361587199</t>
  </si>
  <si>
    <t>-745.202325288869 1.91007468791508 -580.200067848931</t>
  </si>
  <si>
    <t>-662.588830325722 103.24398599763 -793.311428245584</t>
  </si>
  <si>
    <t>-573.522645626137 163.489443021982 -495.613760279271</t>
  </si>
  <si>
    <t>-405.84843161656 122.6336417699 -301.041959288414</t>
  </si>
  <si>
    <t>-702.107095253195 135.205026542758 -234.077588889429</t>
  </si>
  <si>
    <t>-593.678685058745 196.055113711447 204.326566187699</t>
  </si>
  <si>
    <t>-528.8951479333 235.664370945562 667.893374631966</t>
  </si>
  <si>
    <t>-371.072145962183 234.899884503867 745.577668931609</t>
  </si>
  <si>
    <t>-720.756043634328 -29.3795906460732 222.111054058794</t>
  </si>
  <si>
    <t>-711.090278231703 23.9498142481671 688.887782982948</t>
  </si>
  <si>
    <t>-582.277534628218 -62.5852574066296 771.727823588821</t>
  </si>
  <si>
    <t>9763-20170724T160740.123206100.bin</t>
  </si>
  <si>
    <t>-714.445265598735 38.4140356966884 -233.740705212312</t>
  </si>
  <si>
    <t>-734.703816086666 40.1244589247513 -353.132837751833</t>
  </si>
  <si>
    <t>-742.830096264115 23.9924940229582 -472.983849473538</t>
  </si>
  <si>
    <t>-745.582298638397 1.98605467126617 -580.235929585811</t>
  </si>
  <si>
    <t>-663.101277649394 103.427096422428 -793.360426767582</t>
  </si>
  <si>
    <t>-574.217106915323 163.894094711777 -495.65337659323</t>
  </si>
  <si>
    <t>-406.449757409316 122.897899153523 -301.191365695769</t>
  </si>
  <si>
    <t>-702.237076143468 135.221998189703 -234.126915607328</t>
  </si>
  <si>
    <t>-593.699862243369 196.02244021992 204.257177640266</t>
  </si>
  <si>
    <t>-528.800588197988 235.618770410267 667.818798989754</t>
  </si>
  <si>
    <t>-371.054267248949 234.873045629288 745.65864441899</t>
  </si>
  <si>
    <t>-720.815933256836 -29.4374806625251 222.08157106075</t>
  </si>
  <si>
    <t>-711.157555915209 23.9216357671553 688.875633085533</t>
  </si>
  <si>
    <t>-582.199857988997 -62.4265267594903 771.68519096735</t>
  </si>
  <si>
    <t>9763-20170724T160740.188343700.bin</t>
  </si>
  <si>
    <t>-714.761241591596 38.3733375253544 -233.755611641333</t>
  </si>
  <si>
    <t>-735.095348091043 40.1289912567543 -353.13429557991</t>
  </si>
  <si>
    <t>-743.310451714062 24.0539640621244 -472.987014637761</t>
  </si>
  <si>
    <t>-746.1456714803 2.10445430208733 -580.248457816662</t>
  </si>
  <si>
    <t>-664.089593200512 103.785746158998 -793.442289604882</t>
  </si>
  <si>
    <t>-575.511291583779 164.546171785817 -495.703735328686</t>
  </si>
  <si>
    <t>-407.644758706941 123.180477053059 -301.405635121475</t>
  </si>
  <si>
    <t>-702.505410490901 135.166485248368 -234.109158730122</t>
  </si>
  <si>
    <t>-593.781386115797 195.986512731577 204.225898453651</t>
  </si>
  <si>
    <t>-528.680599600715 235.531393207511 667.797892917277</t>
  </si>
  <si>
    <t>-371.033142065091 234.851966729341 745.838265773872</t>
  </si>
  <si>
    <t>-720.953675790227 -29.4947924953565 222.03432897752</t>
  </si>
  <si>
    <t>-711.21164960033 23.9017877274011 688.850173392136</t>
  </si>
  <si>
    <t>-582.097318950115 -62.2464278382472 771.6238506751</t>
  </si>
  <si>
    <t>9763-20170724T160740.253018600.bin</t>
  </si>
  <si>
    <t>-714.860614752234 38.3419533264321 -233.760597816757</t>
  </si>
  <si>
    <t>-735.349068763766 40.1462098574898 -353.112043823797</t>
  </si>
  <si>
    <t>-743.634322952003 24.1421316264475 -472.969419638738</t>
  </si>
  <si>
    <t>-746.494701710356 2.26431801739909 -580.244929526478</t>
  </si>
  <si>
    <t>-664.611283536798 104.208653273487 -793.412269757342</t>
  </si>
  <si>
    <t>-576.559021779745 165.287744613209 -495.582962837397</t>
  </si>
  <si>
    <t>-408.59307840514 123.407814878494 -301.48104701553</t>
  </si>
  <si>
    <t>-702.542525699925 135.133238340381 -234.08426341621</t>
  </si>
  <si>
    <t>-593.742516595512 195.940602961785 204.233786062103</t>
  </si>
  <si>
    <t>-528.564169094886 235.45574949052 667.791898833545</t>
  </si>
  <si>
    <t>-371.014766312228 234.832278393659 746.030667548959</t>
  </si>
  <si>
    <t>-720.823102759778 -29.5841095082274 222.035306839394</t>
  </si>
  <si>
    <t>-711.258727821751 23.8923726857138 688.855446427303</t>
  </si>
  <si>
    <t>-582.010159771596 -62.1000568393611 771.581635161346</t>
  </si>
  <si>
    <t>9763-20170724T160740.297670600.bin</t>
  </si>
  <si>
    <t>-714.932505393987 38.3349384066703 -233.740931348784</t>
  </si>
  <si>
    <t>-735.509205205279 40.1414704760855 -353.077131263869</t>
  </si>
  <si>
    <t>-743.84038959159 24.1527466022771 -472.933399178739</t>
  </si>
  <si>
    <t>-746.724442751655 2.29280246716007 -580.211939129934</t>
  </si>
  <si>
    <t>-664.906730946666 104.332391502409 -793.351329286914</t>
  </si>
  <si>
    <t>-577.253213080924 165.541475809971 -495.430989660772</t>
  </si>
  <si>
    <t>-409.229724630828 123.434932867593 -301.427940289328</t>
  </si>
  <si>
    <t>-702.642674818755 135.131078182467 -234.061101147536</t>
  </si>
  <si>
    <t>-593.690807838599 195.910348287509 204.223004411179</t>
  </si>
  <si>
    <t>-528.509286623699 235.424172577306 667.794043221052</t>
  </si>
  <si>
    <t>-371.004783050054 234.817440819808 746.123340063356</t>
  </si>
  <si>
    <t>-720.721866851347 -29.6095641202699 222.045586374229</t>
  </si>
  <si>
    <t>-711.255285552896 23.9053640127106 688.860384969938</t>
  </si>
  <si>
    <t>-581.995767853336 -62.0842364446528 771.572432015263</t>
  </si>
  <si>
    <t>9763-20170724T160740.323737800.bin</t>
  </si>
  <si>
    <t>-714.982594784393 38.294136542868 -233.717658603119</t>
  </si>
  <si>
    <t>-735.647160632746 40.108834317708 -353.038647306913</t>
  </si>
  <si>
    <t>-744.028859558567 24.1239540706465 -472.891899957226</t>
  </si>
  <si>
    <t>-746.943914914892 2.26416857143454 -580.169604849811</t>
  </si>
  <si>
    <t>-665.236351913794 104.326369991958 -793.297389833967</t>
  </si>
  <si>
    <t>-577.792056182398 165.689272625493 -495.347347744535</t>
  </si>
  <si>
    <t>-409.817054626146 123.481671898692 -301.324131345554</t>
  </si>
  <si>
    <t>-702.745072827432 135.094577243589 -234.015640260038</t>
  </si>
  <si>
    <t>-593.633050842207 195.887920635081 204.226787536875</t>
  </si>
  <si>
    <t>-528.480402911629 235.41002412081 667.819976658633</t>
  </si>
  <si>
    <t>-371.005379372319 234.819005855538 746.208572688928</t>
  </si>
  <si>
    <t>-720.694588251511 -29.6388606975402 222.060926484185</t>
  </si>
  <si>
    <t>-711.236763835722 23.9182072027218 688.86001987778</t>
  </si>
  <si>
    <t>-581.966464159075 -62.0593001278435 771.567742882992</t>
  </si>
  <si>
    <t>9763-20170724T160740.391935100.bin</t>
  </si>
  <si>
    <t>-714.990258723481 38.1832319579328 -233.63092819605</t>
  </si>
  <si>
    <t>-735.611416659055 39.9945245986942 -352.9595207016</t>
  </si>
  <si>
    <t>-744.017550708829 24.0091457860433 -472.810929907758</t>
  </si>
  <si>
    <t>-746.981567336464 2.15210499258956 -580.087846244603</t>
  </si>
  <si>
    <t>-665.584686281194 104.305780881744 -793.239630694527</t>
  </si>
  <si>
    <t>-578.418467577988 165.843631543732 -495.244067351682</t>
  </si>
  <si>
    <t>-410.539134088961 123.730098138934 -301.117783196447</t>
  </si>
  <si>
    <t>-702.764549323232 134.982154953615 -233.939395256155</t>
  </si>
  <si>
    <t>-593.647238135514 195.788735930291 204.299775488178</t>
  </si>
  <si>
    <t>-528.416545002611 235.351857634684 667.861035233165</t>
  </si>
  <si>
    <t>-370.997624017015 234.82652698028 746.362831891931</t>
  </si>
  <si>
    <t>-720.640727814592 -29.6827063759038 222.091515394605</t>
  </si>
  <si>
    <t>-711.242493495572 23.8961030335472 688.869213106765</t>
  </si>
  <si>
    <t>-581.93790714394 -62.0338555385044 771.572775108381</t>
  </si>
  <si>
    <t>9763-20170724T160740.424018300.bin</t>
  </si>
  <si>
    <t>-714.930231599858 38.1409697277695 -233.620203496422</t>
  </si>
  <si>
    <t>-735.548059716836 39.9492953421752 -352.949267556485</t>
  </si>
  <si>
    <t>-743.973653388087 23.9671674498782 -472.799831795056</t>
  </si>
  <si>
    <t>-746.963236255492 2.11665115013398 -580.077358054147</t>
  </si>
  <si>
    <t>-665.755485292872 104.341971417886 -793.260814993712</t>
  </si>
  <si>
    <t>-578.611055932039 166.027612439604 -495.289357687619</t>
  </si>
  <si>
    <t>-410.798171333303 124.056653240478 -301.074795586009</t>
  </si>
  <si>
    <t>-702.747484702165 134.923537554723 -233.917423215791</t>
  </si>
  <si>
    <t>-593.672923464496 195.769622136683 204.326919831643</t>
  </si>
  <si>
    <t>-528.356956684379 235.349549455579 667.843965862179</t>
  </si>
  <si>
    <t>-370.987263562402 234.833383751049 746.444331858648</t>
  </si>
  <si>
    <t>-720.614081125027 -29.6951077877936 222.10328842668</t>
  </si>
  <si>
    <t>-711.244291864373 23.8959150592143 688.876283042768</t>
  </si>
  <si>
    <t>-581.925649687608 -62.0160321045407 771.576573667977</t>
  </si>
  <si>
    <t>9763-20170724T160740.490208500.bin</t>
  </si>
  <si>
    <t>-714.81274776576 38.0282469573576 -233.630231723562</t>
  </si>
  <si>
    <t>-735.381572401677 39.8198321415141 -352.968052466575</t>
  </si>
  <si>
    <t>-743.832815508424 23.8377377945901 -472.816866001099</t>
  </si>
  <si>
    <t>-746.87277242967 1.99728372711661 -580.09495478688</t>
  </si>
  <si>
    <t>-665.967460134863 104.3354836758 -793.35673712885</t>
  </si>
  <si>
    <t>-578.947556011284 166.58542185713 -495.466424681193</t>
  </si>
  <si>
    <t>-411.300837849861 124.881435887445 -301.0508526245</t>
  </si>
  <si>
    <t>-702.609302551887 134.78027352206 -233.939891592024</t>
  </si>
  <si>
    <t>-593.588026744272 195.709670373207 204.306234442666</t>
  </si>
  <si>
    <t>-528.263532489486 235.344475385739 667.854265185968</t>
  </si>
  <si>
    <t>-370.969140675133 234.775269662458 746.605039066644</t>
  </si>
  <si>
    <t>-720.543610801666 -29.7455650026395 222.109083207481</t>
  </si>
  <si>
    <t>-711.192071339316 23.9324413484908 688.880721875005</t>
  </si>
  <si>
    <t>-581.925148020875 -62.0599862550225 771.578251516558</t>
  </si>
  <si>
    <t>9763-20170724T160740.523296700.bin</t>
  </si>
  <si>
    <t>-714.77175968173 37.9528522014957 -233.622553617534</t>
  </si>
  <si>
    <t>-735.339742727189 39.7395829316945 -352.96059071277</t>
  </si>
  <si>
    <t>-743.821736566465 23.7624118954204 -472.807839023559</t>
  </si>
  <si>
    <t>-746.90069572586 1.93157184687948 -580.086876753582</t>
  </si>
  <si>
    <t>-666.087623379273 104.304596410238 -793.388438648639</t>
  </si>
  <si>
    <t>-579.316544313441 166.902708885897 -495.498542245157</t>
  </si>
  <si>
    <t>-411.731602959286 125.23048480581 -301.022817794043</t>
  </si>
  <si>
    <t>-702.538077463038 134.683999636509 -233.93648686162</t>
  </si>
  <si>
    <t>-593.491607674791 195.642579204966 204.299310465565</t>
  </si>
  <si>
    <t>-528.240118765611 235.339332573025 667.87382412692</t>
  </si>
  <si>
    <t>-370.967843460173 234.760710685159 746.668491996617</t>
  </si>
  <si>
    <t>-720.529317759712 -29.7716808655284 222.11795727186</t>
  </si>
  <si>
    <t>-711.174403623408 23.9308531250538 688.879990566808</t>
  </si>
  <si>
    <t>-581.931339822158 -62.0845434761186 771.590911305481</t>
  </si>
  <si>
    <t>9763-20170724T160740.587996000.bin</t>
  </si>
  <si>
    <t>-714.597061079128 37.6713638407418 -233.622763717107</t>
  </si>
  <si>
    <t>-735.118773379843 39.4202396833794 -352.969435280865</t>
  </si>
  <si>
    <t>-743.628395494669 23.4142521845779 -472.81073837724</t>
  </si>
  <si>
    <t>-746.758979553278 1.56474306378027 -580.084461923111</t>
  </si>
  <si>
    <t>-666.129565062015 103.924142281129 -793.48850368882</t>
  </si>
  <si>
    <t>-579.864113538478 166.979963640031 -495.548127872136</t>
  </si>
  <si>
    <t>-412.409856605072 125.512727766648 -300.916204952039</t>
  </si>
  <si>
    <t>-702.328602356625 134.329494616861 -233.945843042841</t>
  </si>
  <si>
    <t>-593.249335707903 195.421158335728 204.263261341528</t>
  </si>
  <si>
    <t>-528.161791582645 235.287552286545 667.8259453206</t>
  </si>
  <si>
    <t>-370.958360696407 234.731483825012 746.758184746504</t>
  </si>
  <si>
    <t>-720.529568544546 -29.8669330169189 222.137030168833</t>
  </si>
  <si>
    <t>-711.101574988815 23.9522040156398 688.87209837568</t>
  </si>
  <si>
    <t>-581.961818859413 -62.1914239075152 771.610910053994</t>
  </si>
  <si>
    <t>9763-20170724T160740.653209800.bin</t>
  </si>
  <si>
    <t>-714.314382325507 37.3608297442534 -233.645831188059</t>
  </si>
  <si>
    <t>-734.785757273821 39.0881857827267 -353.001311549637</t>
  </si>
  <si>
    <t>-743.351174596902 23.088226124826 -472.839590364445</t>
  </si>
  <si>
    <t>-746.573097774572 1.25814000265677 -580.114506250432</t>
  </si>
  <si>
    <t>-666.199413209787 103.673851948474 -793.624004468604</t>
  </si>
  <si>
    <t>-580.131104967293 166.825841602828 -495.647076193646</t>
  </si>
  <si>
    <t>-412.878859037967 125.84457810378 -300.738819319415</t>
  </si>
  <si>
    <t>-702.10979922798 133.980853185245 -233.976622380158</t>
  </si>
  <si>
    <t>-593.030077219461 195.205033236586 204.213775160181</t>
  </si>
  <si>
    <t>-528.06467372309 235.239162726828 667.762978496493</t>
  </si>
  <si>
    <t>-370.938782321429 234.689115887845 746.84921434419</t>
  </si>
  <si>
    <t>-720.168979340149 -29.9920801341207 222.114839655536</t>
  </si>
  <si>
    <t>-710.977895971302 23.9973613267339 688.838702485593</t>
  </si>
  <si>
    <t>-582.094503437367 -62.4784811011336 771.630660037669</t>
  </si>
  <si>
    <t>9763-20170724T160740.691312200.bin</t>
  </si>
  <si>
    <t>-714.124355842759 37.2360857487897 -233.661094208918</t>
  </si>
  <si>
    <t>-734.615229227064 38.9420018807009 -353.013598224591</t>
  </si>
  <si>
    <t>-743.237468284429 22.9407191906578 -472.847537807009</t>
  </si>
  <si>
    <t>-746.525552496292 1.11785976663418 -580.122028818344</t>
  </si>
  <si>
    <t>-666.258104074739 103.53956122826 -793.696749092129</t>
  </si>
  <si>
    <t>-580.195141697255 166.716205052778 -495.723412592213</t>
  </si>
  <si>
    <t>-413.074079169086 126.039823558131 -300.638774926964</t>
  </si>
  <si>
    <t>-702.020452493185 133.832710005217 -233.9900565268</t>
  </si>
  <si>
    <t>-592.939026842039 195.11218874961 204.192211557207</t>
  </si>
  <si>
    <t>-528.037573244927 235.218549418191 667.765260922062</t>
  </si>
  <si>
    <t>-370.927524483131 234.676127941341 746.883402210603</t>
  </si>
  <si>
    <t>-719.873882016533 -30.0561363355084 222.110368317368</t>
  </si>
  <si>
    <t>-710.927867216572 24.0125795840418 688.824326548159</t>
  </si>
  <si>
    <t>-582.178213334132 -62.6326054867047 771.647353076687</t>
  </si>
  <si>
    <t>9763-20170724T160740.724398600.bin</t>
  </si>
  <si>
    <t>-714.021202429711 37.1068447893554 -233.647248392311</t>
  </si>
  <si>
    <t>-734.525995435936 38.7980803838605 -352.997563644838</t>
  </si>
  <si>
    <t>-743.198663893736 22.7849265597249 -472.826274588305</t>
  </si>
  <si>
    <t>-746.54816659617 0.952617613721259 -580.096922627759</t>
  </si>
  <si>
    <t>-666.372445610843 103.317551665294 -793.748791095179</t>
  </si>
  <si>
    <t>-580.267242406328 166.490917893897 -495.786991617304</t>
  </si>
  <si>
    <t>-413.306564047271 126.102904818321 -300.505122876507</t>
  </si>
  <si>
    <t>-701.969869581742 133.687499185453 -233.985774388879</t>
  </si>
  <si>
    <t>-592.951043494301 195.038215943204 204.202073610654</t>
  </si>
  <si>
    <t>-528.034265193493 235.214116623371 667.781656365434</t>
  </si>
  <si>
    <t>-370.925733725344 234.692538881656 746.902625449064</t>
  </si>
  <si>
    <t>-719.63842906011 -30.1402791484545 222.120139760406</t>
  </si>
  <si>
    <t>-710.853382725475 24.0554074242909 688.824107062129</t>
  </si>
  <si>
    <t>-582.201902725977 -62.7171972866377 771.666242101631</t>
  </si>
  <si>
    <t>9763-20170724T160740.790009800.bin</t>
  </si>
  <si>
    <t>-714.094500442735 36.8826993098041 -233.586433031745</t>
  </si>
  <si>
    <t>-734.602410665698 38.5317958691094 -352.936832465769</t>
  </si>
  <si>
    <t>-743.361156987002 22.533004768005 -472.761297906019</t>
  </si>
  <si>
    <t>-746.823434202807 0.735843325013548 -580.035338953962</t>
  </si>
  <si>
    <t>-666.745485945163 103.121210088001 -793.796574292562</t>
  </si>
  <si>
    <t>-580.605956538605 166.07802341559 -495.799042803045</t>
  </si>
  <si>
    <t>-413.946243192497 125.994303865615 -300.197636873335</t>
  </si>
  <si>
    <t>-702.111579204958 133.498008060019 -233.932089408607</t>
  </si>
  <si>
    <t>-593.062848124056 194.957061776577 204.233191903105</t>
  </si>
  <si>
    <t>-528.06165879165 235.26777607853 667.823975389731</t>
  </si>
  <si>
    <t>-370.923086236035 234.729500115817 746.884931905876</t>
  </si>
  <si>
    <t>-719.633431629149 -30.2506722727321 222.161330414291</t>
  </si>
  <si>
    <t>-710.835643058671 24.0384699127462 688.829230829283</t>
  </si>
  <si>
    <t>-582.234571105778 -62.7869483080169 771.69429580154</t>
  </si>
  <si>
    <t>9763-20170724T160740.824100500.bin</t>
  </si>
  <si>
    <t>-714.213695701956 36.8179424928317 -233.554723700908</t>
  </si>
  <si>
    <t>-734.751185399144 38.4544472570306 -352.900177817099</t>
  </si>
  <si>
    <t>-743.548872834721 22.4266287170362 -472.717808869276</t>
  </si>
  <si>
    <t>-747.050522811683 0.597023959637681 -579.984183970323</t>
  </si>
  <si>
    <t>-667.149969274448 102.923164257723 -793.825745283463</t>
  </si>
  <si>
    <t>-580.855264207443 165.722154201425 -495.839557691879</t>
  </si>
  <si>
    <t>-414.321736489824 125.686797449277 -300.120928144842</t>
  </si>
  <si>
    <t>-702.258278372012 133.442033311992 -233.868293945468</t>
  </si>
  <si>
    <t>-593.079451351406 194.918517614098 204.262203769823</t>
  </si>
  <si>
    <t>-528.109817787348 235.301606322186 667.867687355025</t>
  </si>
  <si>
    <t>-370.932075067199 234.770236223273 746.851308444686</t>
  </si>
  <si>
    <t>-719.684901535197 -30.3260811040625 222.197653256334</t>
  </si>
  <si>
    <t>-710.841557210067 24.0213896531161 688.843134015923</t>
  </si>
  <si>
    <t>-582.225255497437 -62.7814051618504 771.708279074551</t>
  </si>
  <si>
    <t>9763-20170724T160740.889867900.bin</t>
  </si>
  <si>
    <t>-714.662873442155 36.6880833518665 -233.442267401456</t>
  </si>
  <si>
    <t>-735.243831040746 38.3203882021905 -352.780357597798</t>
  </si>
  <si>
    <t>-744.098716783152 22.3110016898008 -472.596317784659</t>
  </si>
  <si>
    <t>-747.655035521934 0.508257452323733 -579.866325594571</t>
  </si>
  <si>
    <t>-667.895866126237 102.925984230646 -793.894441038598</t>
  </si>
  <si>
    <t>-581.884328731478 165.285983545102 -495.734304782479</t>
  </si>
  <si>
    <t>-415.49052698197 125.12431667782 -299.922671268598</t>
  </si>
  <si>
    <t>-702.70060370968 133.357259984867 -233.749480317113</t>
  </si>
  <si>
    <t>-593.298750278933 194.88015240884 204.318759302094</t>
  </si>
  <si>
    <t>-528.223914794133 235.357953695525 667.924317968449</t>
  </si>
  <si>
    <t>-370.950838658992 234.838623597865 746.717810137423</t>
  </si>
  <si>
    <t>-719.91514185981 -30.4642669343637 222.270895511353</t>
  </si>
  <si>
    <t>-710.901372685632 23.967812630809 688.880406776528</t>
  </si>
  <si>
    <t>-582.165939072207 -62.6746605515593 771.728372770175</t>
  </si>
  <si>
    <t>9763-20170724T160740.923962400.bin</t>
  </si>
  <si>
    <t>-714.93652373057 36.6861005985475 -233.41170290996</t>
  </si>
  <si>
    <t>-735.535536249199 38.3148716855515 -352.746693423087</t>
  </si>
  <si>
    <t>-744.418333279556 22.2922375045923 -472.558789111212</t>
  </si>
  <si>
    <t>-748.004514401458 0.473603972624232 -579.824433214893</t>
  </si>
  <si>
    <t>-668.404798655944 102.85946971053 -793.977299538411</t>
  </si>
  <si>
    <t>-582.472841179523 164.965871631312 -495.741358596908</t>
  </si>
  <si>
    <t>-416.215779861161 124.669424656773 -299.841261551091</t>
  </si>
  <si>
    <t>-703.016514336082 133.407253190808 -233.693233220853</t>
  </si>
  <si>
    <t>-593.513613530886 194.921951898685 204.350904782298</t>
  </si>
  <si>
    <t>-528.293977374283 235.412887526559 667.951953656787</t>
  </si>
  <si>
    <t>-370.963376284 234.859689935605 746.63023124765</t>
  </si>
  <si>
    <t>-720.123194852443 -30.4663776456362 222.302897519827</t>
  </si>
  <si>
    <t>-710.923518633598 23.9487484428107 688.901278994706</t>
  </si>
  <si>
    <t>-582.114774045944 -62.5960915753549 771.737333645132</t>
  </si>
  <si>
    <t>9763-20170724T160740.992150900.bin</t>
  </si>
  <si>
    <t>-715.504495094393 36.8188422411456 -233.329363635551</t>
  </si>
  <si>
    <t>-736.017937683076 38.4429843654782 -352.679082743352</t>
  </si>
  <si>
    <t>-744.857547435929 22.4208665182566 -472.494410643068</t>
  </si>
  <si>
    <t>-748.425100563099 0.604116761778869 -579.761240366809</t>
  </si>
  <si>
    <t>-668.757708735486 102.927115735464 -794.11800183013</t>
  </si>
  <si>
    <t>-583.475461679666 164.181411699192 -495.519541603878</t>
  </si>
  <si>
    <t>-417.71139399858 122.173255035474 -299.561286796767</t>
  </si>
  <si>
    <t>-703.620825986625 133.599459137932 -233.596780586015</t>
  </si>
  <si>
    <t>-594.014436417215 195.082891949501 204.425932996551</t>
  </si>
  <si>
    <t>-528.481187192944 235.553638277093 668.030528970151</t>
  </si>
  <si>
    <t>-370.993389511086 234.961232438754 746.393377105208</t>
  </si>
  <si>
    <t>-720.536984973464 -30.3547131023911 222.346153133446</t>
  </si>
  <si>
    <t>-710.898560915447 23.9437219206879 688.917375345955</t>
  </si>
  <si>
    <t>-582.121855222765 -62.6411048861394 771.761430466834</t>
  </si>
  <si>
    <t>9763-20170724T160741.026237000.bin</t>
  </si>
  <si>
    <t>-715.794756798778 36.9481190913318 -233.265440685198</t>
  </si>
  <si>
    <t>-736.291653844795 38.5745231543224 -352.617992415044</t>
  </si>
  <si>
    <t>-745.086968459991 22.5842426861082 -472.440899107155</t>
  </si>
  <si>
    <t>-748.602534255899 0.807121983167917 -579.717354974631</t>
  </si>
  <si>
    <t>-668.716858491966 103.184447099451 -794.116058953637</t>
  </si>
  <si>
    <t>-583.965401248915 163.62681225117 -495.201146275603</t>
  </si>
  <si>
    <t>-419.317651022116 118.613661989206 -298.969124735595</t>
  </si>
  <si>
    <t>-703.958644830229 133.743459081006 -233.51542738154</t>
  </si>
  <si>
    <t>-594.274225406487 195.180410150491 204.494209337438</t>
  </si>
  <si>
    <t>-528.62526775431 235.607415953463 668.109407355759</t>
  </si>
  <si>
    <t>-371.020375792577 235.004353301892 746.236562424711</t>
  </si>
  <si>
    <t>-720.620112357511 -30.2975547652536 222.383889162803</t>
  </si>
  <si>
    <t>-710.889562268207 23.9460661688679 688.932085419453</t>
  </si>
  <si>
    <t>-582.129644848396 -62.6573303617749 771.782833279805</t>
  </si>
  <si>
    <t>9763-20170724T160741.091446200.bin</t>
  </si>
  <si>
    <t>-716.5696241362 37.1860509344988 -233.112462051685</t>
  </si>
  <si>
    <t>-737.102162286433 38.8652177413778 -352.458092121929</t>
  </si>
  <si>
    <t>-745.81282730677 22.8163893520348 -472.279350686647</t>
  </si>
  <si>
    <t>-749.202600737951 0.942316400330128 -579.540118964812</t>
  </si>
  <si>
    <t>-669.293140354917 103.134514716628 -794.170211233559</t>
  </si>
  <si>
    <t>-585.338847922154 161.650931705042 -494.647839325798</t>
  </si>
  <si>
    <t>-422.319004340435 109.361998087985 -298.86113273793</t>
  </si>
  <si>
    <t>-704.910029014451 134.008533544859 -233.237633521427</t>
  </si>
  <si>
    <t>-594.732756374751 195.350924306607 204.661605534599</t>
  </si>
  <si>
    <t>-529.025884671099 235.617755717209 668.338978868312</t>
  </si>
  <si>
    <t>-371.093767481306 235.085110150691 745.803040074434</t>
  </si>
  <si>
    <t>-720.898045864853 -30.1953082753964 222.462458582877</t>
  </si>
  <si>
    <t>-710.867484347372 23.9360622494996 688.958942032165</t>
  </si>
  <si>
    <t>-582.192679374033 -62.7681595671384 771.836482184791</t>
  </si>
  <si>
    <t>9763-20170724T160741.124519900.bin</t>
  </si>
  <si>
    <t>-717.043081163201 37.3267948579364 -233.076689554325</t>
  </si>
  <si>
    <t>-737.575388176006 39.0105418126066 -352.422378422016</t>
  </si>
  <si>
    <t>-746.310276626512 22.9906019827949 -472.245695054375</t>
  </si>
  <si>
    <t>-749.728066825744 1.15453654771432 -579.51337653061</t>
  </si>
  <si>
    <t>-670.117674407048 103.548889715022 -794.276995828171</t>
  </si>
  <si>
    <t>-586.372565822725 161.319606936398 -494.551214574415</t>
  </si>
  <si>
    <t>-424.109466173935 104.06786525501 -299.525573663409</t>
  </si>
  <si>
    <t>-705.498714511863 134.210961394427 -233.167267942201</t>
  </si>
  <si>
    <t>-595.101593432636 195.491641495986 204.685292503594</t>
  </si>
  <si>
    <t>-529.201244648546 235.642320246301 668.344644160032</t>
  </si>
  <si>
    <t>-371.11996174271 235.126611584093 745.503632749356</t>
  </si>
  <si>
    <t>-721.128881905121 -30.1040442713493 222.479292914906</t>
  </si>
  <si>
    <t>-710.872184084762 23.9211250669778 688.969382848736</t>
  </si>
  <si>
    <t>-582.208606250479 -62.7880236656999 771.859185973463</t>
  </si>
  <si>
    <t>9763-20170724T160741.189341600.bin</t>
  </si>
  <si>
    <t>-718.066708753899 37.8606986667048 -233.077169659147</t>
  </si>
  <si>
    <t>-738.642222061389 39.5505409701616 -352.415388534773</t>
  </si>
  <si>
    <t>-747.509149024424 23.5407642214925 -472.230307539216</t>
  </si>
  <si>
    <t>-751.07688070771 1.72038689958299 -579.496309379935</t>
  </si>
  <si>
    <t>-672.715744697846 104.546692538386 -794.627331313905</t>
  </si>
  <si>
    <t>-588.508006173924 161.323293934708 -494.841397762777</t>
  </si>
  <si>
    <t>-427.109883976482 94.3508681216649 -302.20847942447</t>
  </si>
  <si>
    <t>-706.859457485498 134.858361313785 -233.184091680886</t>
  </si>
  <si>
    <t>-596.20780062432 195.996725430595 204.624134201822</t>
  </si>
  <si>
    <t>-529.393023259841 235.742714618796 667.991262643405</t>
  </si>
  <si>
    <t>-371.136062647244 235.277897649142 744.789976689259</t>
  </si>
  <si>
    <t>-721.607535592498 -29.8765207041754 222.457963720648</t>
  </si>
  <si>
    <t>-710.925058042396 23.8908171016826 688.98462366644</t>
  </si>
  <si>
    <t>-582.219543758365 -62.7677355080755 771.862217134175</t>
  </si>
  <si>
    <t>9763-20170724T160741.221427300.bin</t>
  </si>
  <si>
    <t>-718.523959547589 38.155427502239 -233.132837725487</t>
  </si>
  <si>
    <t>-739.161638040229 39.857365573122 -352.460077183487</t>
  </si>
  <si>
    <t>-748.125483052267 23.8689383118683 -472.270786826414</t>
  </si>
  <si>
    <t>-751.794847170673 2.07181022504642 -579.537959102463</t>
  </si>
  <si>
    <t>-674.096495657529 105.141166586159 -794.856286367719</t>
  </si>
  <si>
    <t>-589.454396933377 161.444454747073 -495.103177115323</t>
  </si>
  <si>
    <t>-428.522689533095 89.5070371264896 -303.875536178404</t>
  </si>
  <si>
    <t>-707.493359687642 135.221868566968 -233.269965591209</t>
  </si>
  <si>
    <t>-596.963959284159 196.350126397269 204.570514074987</t>
  </si>
  <si>
    <t>-529.447797085443 235.821561155582 667.847940895614</t>
  </si>
  <si>
    <t>-371.142957977687 235.372896637722 744.547883152972</t>
  </si>
  <si>
    <t>-721.804167399199 -29.7786444428143 222.403676010434</t>
  </si>
  <si>
    <t>-710.980781216005 23.8662474148841 688.973394646831</t>
  </si>
  <si>
    <t>-582.174143712602 -62.6561349334204 771.836158081522</t>
  </si>
  <si>
    <t>9763-20170724T160741.291456100.bin</t>
  </si>
  <si>
    <t>-719.317545566342 38.6894292193599 -233.201654845116</t>
  </si>
  <si>
    <t>-740.026049780135 40.3720616947937 -352.51696786951</t>
  </si>
  <si>
    <t>-749.155246889503 24.4015135543439 -472.317448922734</t>
  </si>
  <si>
    <t>-753.013205952846 2.63635946704585 -579.584676475447</t>
  </si>
  <si>
    <t>-676.804341882134 106.226892780693 -795.253927058428</t>
  </si>
  <si>
    <t>-590.911488492343 161.972712758061 -495.752549868311</t>
  </si>
  <si>
    <t>-430.607748921719 82.6395076290037 -306.937828578004</t>
  </si>
  <si>
    <t>-708.741424677021 135.84107014024 -233.309709360703</t>
  </si>
  <si>
    <t>-598.503385867016 196.988280156097 204.601518025976</t>
  </si>
  <si>
    <t>-529.362978808645 235.944701135113 667.721989118148</t>
  </si>
  <si>
    <t>-371.110677336423 235.588914059897 744.530632420418</t>
  </si>
  <si>
    <t>-722.108019442289 -29.5979648510693 222.293932646685</t>
  </si>
  <si>
    <t>-711.146197353215 23.7914206281803 688.95212844849</t>
  </si>
  <si>
    <t>-582.012768131808 -62.2858506492032 771.769839132007</t>
  </si>
  <si>
    <t>9763-20170724T160741.325548200.bin</t>
  </si>
  <si>
    <t>-719.573101844392 38.9019897843707 -233.199380321568</t>
  </si>
  <si>
    <t>-740.322008188651 40.5671653694421 -352.507846006659</t>
  </si>
  <si>
    <t>-749.507751145596 24.5953879953825 -472.30387757633</t>
  </si>
  <si>
    <t>-753.424492958504 2.83515122517201 -579.570026424744</t>
  </si>
  <si>
    <t>-677.937443557905 106.70800653829 -795.320158217945</t>
  </si>
  <si>
    <t>-591.107107476808 162.615644670773 -496.119522819361</t>
  </si>
  <si>
    <t>-431.15779076828 80.5551231526524 -308.171886019555</t>
  </si>
  <si>
    <t>-709.206413701643 136.146557707916 -233.297192591773</t>
  </si>
  <si>
    <t>-599.13898824145 197.23417213382 204.665192162962</t>
  </si>
  <si>
    <t>-529.236329477482 236.012716734556 667.697973180692</t>
  </si>
  <si>
    <t>-371.071216138219 235.763008235264 744.686742743674</t>
  </si>
  <si>
    <t>-722.176326478018 -29.5109371106223 222.258579116851</t>
  </si>
  <si>
    <t>-711.212466494383 23.7651177241621 688.946136398561</t>
  </si>
  <si>
    <t>-581.881327273026 -62.0448597153384 771.732681831671</t>
  </si>
  <si>
    <t>9763-20170724T160741.389649400.bin</t>
  </si>
  <si>
    <t>-719.87585013144 39.3241533925298 -233.292759349369</t>
  </si>
  <si>
    <t>-740.742523277337 40.9761082324501 -352.580842581713</t>
  </si>
  <si>
    <t>-750.001613671771 25.1081735889045 -472.385032377909</t>
  </si>
  <si>
    <t>-753.962490598833 3.48720981829138 -579.677597410161</t>
  </si>
  <si>
    <t>-679.551817597631 108.226395740595 -795.377544985574</t>
  </si>
  <si>
    <t>-591.743756717247 164.187834445394 -496.472388611777</t>
  </si>
  <si>
    <t>-431.345895884084 79.7779309794589 -309.952788619945</t>
  </si>
  <si>
    <t>-709.880686078742 136.682153242774 -233.365330488025</t>
  </si>
  <si>
    <t>-600.029469452707 197.684909599946 204.663128407373</t>
  </si>
  <si>
    <t>-528.992276427576 236.030677876039 667.450661995323</t>
  </si>
  <si>
    <t>-371.011965468473 235.949819222623 744.818314073486</t>
  </si>
  <si>
    <t>-721.930451018504 -29.3871582572494 222.172191034708</t>
  </si>
  <si>
    <t>-711.308743685974 23.7530557468979 688.931078395461</t>
  </si>
  <si>
    <t>-581.664081976342 -61.6469266620147 771.651185392432</t>
  </si>
  <si>
    <t>9763-20170724T160741.421749200.bin</t>
  </si>
  <si>
    <t>-719.924076466662 39.5338558665933 -233.334375113873</t>
  </si>
  <si>
    <t>-740.881481393983 41.1833446281325 -352.606704181679</t>
  </si>
  <si>
    <t>-750.125656308462 25.3281118109135 -472.41368013986</t>
  </si>
  <si>
    <t>-754.025323251951 3.72510119661433 -579.712121168099</t>
  </si>
  <si>
    <t>-680.074352268506 108.831223566008 -795.332143373037</t>
  </si>
  <si>
    <t>-591.787791441863 164.513182690947 -496.515935470107</t>
  </si>
  <si>
    <t>-430.817593571505 80.0755106908227 -310.502670561315</t>
  </si>
  <si>
    <t>-710.072909107025 136.912826431836 -233.404137128801</t>
  </si>
  <si>
    <t>-600.241589884919 197.863616707947 204.63673212698</t>
  </si>
  <si>
    <t>-528.885436528189 236.033363288399 667.396066370753</t>
  </si>
  <si>
    <t>-370.989038457697 236.011721655763 744.934523223357</t>
  </si>
  <si>
    <t>-721.785283042611 -29.2832007891175 222.121267453828</t>
  </si>
  <si>
    <t>-711.310118592243 23.7826400042347 688.918002833474</t>
  </si>
  <si>
    <t>-581.586605179423 -61.5233776052103 771.611468966756</t>
  </si>
  <si>
    <t>9763-20170724T160741.490647100.bin</t>
  </si>
  <si>
    <t>-719.998051643756 39.8881945038249 -233.419674907253</t>
  </si>
  <si>
    <t>-741.188307283534 41.4785783882928 -352.651451789782</t>
  </si>
  <si>
    <t>-750.401482439058 25.6936088422999 -472.4702676436</t>
  </si>
  <si>
    <t>-754.151855730027 4.20568805492644 -579.797139212223</t>
  </si>
  <si>
    <t>-681.02004788854 110.299243443123 -795.234503115245</t>
  </si>
  <si>
    <t>-591.283755608453 166.144612278856 -496.880782322726</t>
  </si>
  <si>
    <t>-429.64956906852 80.8403532981015 -311.841392462029</t>
  </si>
  <si>
    <t>-710.368556375932 137.302146387624 -233.450044932733</t>
  </si>
  <si>
    <t>-600.317548917849 198.113609464133 204.555026416869</t>
  </si>
  <si>
    <t>-528.761587699001 235.952003412259 667.405019080632</t>
  </si>
  <si>
    <t>-370.974833166537 236.088377206471 745.166214534004</t>
  </si>
  <si>
    <t>-721.525658028537 -29.1229152398955 222.07187260309</t>
  </si>
  <si>
    <t>-711.322912359163 23.7991900717946 688.902559393844</t>
  </si>
  <si>
    <t>-581.43160831243 -61.2817389599716 771.564517251908</t>
  </si>
  <si>
    <t>9763-20170724T160741.523737100.bin</t>
  </si>
  <si>
    <t>-720.098393702239 39.9840877932047 -233.40885736221</t>
  </si>
  <si>
    <t>-741.423440746449 41.5611682017859 -352.616905814457</t>
  </si>
  <si>
    <t>-750.638590739771 25.7942890305621 -472.437927005889</t>
  </si>
  <si>
    <t>-754.331792470786 4.33476947762574 -579.772376873671</t>
  </si>
  <si>
    <t>-681.633188260563 110.819918053068 -795.121080033594</t>
  </si>
  <si>
    <t>-591.10487536147 166.999848180756 -497.069556710339</t>
  </si>
  <si>
    <t>-429.123735524009 81.5940072520805 -312.380695851815</t>
  </si>
  <si>
    <t>-710.583448440927 137.415854143943 -233.419409522835</t>
  </si>
  <si>
    <t>-600.31082235419 198.156837793795 204.53962415131</t>
  </si>
  <si>
    <t>-528.715309192723 235.873078113472 667.420395199741</t>
  </si>
  <si>
    <t>-370.972682470317 236.108441024478 745.271063285241</t>
  </si>
  <si>
    <t>-721.35929455506 -29.1008627996061 222.076822859457</t>
  </si>
  <si>
    <t>-711.341829459835 23.80075174998 688.918958922369</t>
  </si>
  <si>
    <t>-581.322623054802 -61.1096534693031 771.555154512251</t>
  </si>
  <si>
    <t>9763-20170724T160741.593951700.bin</t>
  </si>
  <si>
    <t>-720.347284017681 40.0450180438409 -233.300787412816</t>
  </si>
  <si>
    <t>-741.867459895831 41.6462995448842 -352.473590356763</t>
  </si>
  <si>
    <t>-751.06869428394 25.9756546167221 -472.308076844939</t>
  </si>
  <si>
    <t>-754.657934228146 4.62911085386827 -579.6685885501</t>
  </si>
  <si>
    <t>-682.356197445935 111.766892723989 -794.731864129936</t>
  </si>
  <si>
    <t>-590.629438562307 168.138718658855 -497.08330452051</t>
  </si>
  <si>
    <t>-428.145632804676 82.7736758369335 -312.817668025356</t>
  </si>
  <si>
    <t>-710.960236764402 137.484742091419 -233.267661341207</t>
  </si>
  <si>
    <t>-600.384221323479 198.216860116414 204.616109390979</t>
  </si>
  <si>
    <t>-528.676225591485 235.768300363917 667.500699678273</t>
  </si>
  <si>
    <t>-370.980384051464 236.168175399224 745.445564929019</t>
  </si>
  <si>
    <t>-720.99384253561 -29.1817108074754 222.128155857632</t>
  </si>
  <si>
    <t>-711.334938140946 23.8488234280967 688.966768321298</t>
  </si>
  <si>
    <t>-581.19960761693 -60.9451620387169 771.539675669708</t>
  </si>
  <si>
    <t>9763-20170724T160741.622019300.bin</t>
  </si>
  <si>
    <t>-720.451599160557 40.0253476205792 -233.22964581906</t>
  </si>
  <si>
    <t>-742.095637718364 41.6471328493501 -352.379622064983</t>
  </si>
  <si>
    <t>-751.280442192647 26.0538494687082 -472.225612626878</t>
  </si>
  <si>
    <t>-754.796217779004 4.79609748495045 -579.606131606874</t>
  </si>
  <si>
    <t>-682.36964405305 112.237414743899 -794.409081826473</t>
  </si>
  <si>
    <t>-590.084877343809 168.544486238604 -496.920902826149</t>
  </si>
  <si>
    <t>-427.54243430935 82.9572019834425 -312.809992278776</t>
  </si>
  <si>
    <t>-711.142924367182 137.486531510112 -233.168463786415</t>
  </si>
  <si>
    <t>-600.564983411467 198.225404212851 204.713914045916</t>
  </si>
  <si>
    <t>-528.680780076023 235.747530713893 667.556072470144</t>
  </si>
  <si>
    <t>-370.995220158164 236.177948814323 745.521346977719</t>
  </si>
  <si>
    <t>-720.826916956765 -29.2275347520626 222.164677868884</t>
  </si>
  <si>
    <t>-711.320267391868 23.8750569958434 688.986867155031</t>
  </si>
  <si>
    <t>-581.152305200012 -60.8886986805032 771.539387759711</t>
  </si>
  <si>
    <t>9763-20170724T160741.690213400.bin</t>
  </si>
  <si>
    <t>-720.841580580578 39.889672465541 -233.128585043843</t>
  </si>
  <si>
    <t>-742.670058122253 41.5683970060281 -352.244121980004</t>
  </si>
  <si>
    <t>-751.782408021992 26.1980449914568 -472.124355479956</t>
  </si>
  <si>
    <t>-755.123364155199 5.20065504779132 -579.561813038604</t>
  </si>
  <si>
    <t>-682.251818854649 113.410634712349 -793.746262480819</t>
  </si>
  <si>
    <t>-588.701333097671 169.009136481445 -496.520211822026</t>
  </si>
  <si>
    <t>-426.450912268945 82.3525485036953 -312.652177180252</t>
  </si>
  <si>
    <t>-711.590553237792 137.366668989516 -233.01170952485</t>
  </si>
  <si>
    <t>-600.924983629553 198.158111822917 204.841275854714</t>
  </si>
  <si>
    <t>-528.660389605167 235.664725589814 667.63309556924</t>
  </si>
  <si>
    <t>-371.020992064243 236.169093648599 745.690976322352</t>
  </si>
  <si>
    <t>-720.650529774459 -29.3836907849386 222.215108837461</t>
  </si>
  <si>
    <t>-711.305497071761 23.8768235921859 689.003550732978</t>
  </si>
  <si>
    <t>-581.045245700096 -60.764848370882 771.535775268219</t>
  </si>
  <si>
    <t>9763-20170724T160741.723301300.bin</t>
  </si>
  <si>
    <t>-721.101528800936 39.7597220969169 -233.088594310444</t>
  </si>
  <si>
    <t>-743.016986632163 41.46010159503 -352.187814114025</t>
  </si>
  <si>
    <t>-752.090580098779 26.2076502266418 -472.086086545651</t>
  </si>
  <si>
    <t>-755.343253178323 5.35092836064655 -579.553643914799</t>
  </si>
  <si>
    <t>-682.159985344196 113.950430264288 -793.391829154198</t>
  </si>
  <si>
    <t>-588.085523489016 168.833580906959 -496.19814695887</t>
  </si>
  <si>
    <t>-425.80224408685 81.8569453822258 -312.510384583583</t>
  </si>
  <si>
    <t>-711.847850417489 137.255538783213 -232.94166448675</t>
  </si>
  <si>
    <t>-601.117583401934 198.051392012241 204.894290798482</t>
  </si>
  <si>
    <t>-528.663376895316 235.632360983136 667.67480618742</t>
  </si>
  <si>
    <t>-371.044562256532 236.136915340776 745.77468166018</t>
  </si>
  <si>
    <t>-720.662353006018 -29.518184023148 222.239514953572</t>
  </si>
  <si>
    <t>-711.321608732012 23.8588929154898 689.014891022273</t>
  </si>
  <si>
    <t>-580.984254328176 -60.6797860911001 771.530947069403</t>
  </si>
  <si>
    <t>9763-20170724T160741.789483700.bin</t>
  </si>
  <si>
    <t>-721.727417560262 39.343658443694 -232.905062537096</t>
  </si>
  <si>
    <t>-743.725654993202 41.1900973452848 -351.986750455797</t>
  </si>
  <si>
    <t>-752.633110909501 26.2303475384649 -471.934383621445</t>
  </si>
  <si>
    <t>-755.625211804979 5.69271298635749 -579.471007008713</t>
  </si>
  <si>
    <t>-681.663399585345 115.064464733757 -792.633402554024</t>
  </si>
  <si>
    <t>-586.754654543462 168.088864761989 -495.367659288332</t>
  </si>
  <si>
    <t>-424.165193165141 80.6717218237611 -312.160258229371</t>
  </si>
  <si>
    <t>-712.325854630618 136.804274425576 -232.707398227042</t>
  </si>
  <si>
    <t>-601.469183281552 197.776938806152 205.071989903464</t>
  </si>
  <si>
    <t>-528.641949375467 235.602702985692 667.7228750326</t>
  </si>
  <si>
    <t>-371.086401955279 236.030700691295 745.95075810326</t>
  </si>
  <si>
    <t>-720.682071013423 -29.8874454301431 222.302611601665</t>
  </si>
  <si>
    <t>-711.346864171592 23.8513456335259 689.053627734299</t>
  </si>
  <si>
    <t>-580.860075382071 -60.5173324556035 771.507472543082</t>
  </si>
  <si>
    <t>9763-20170724T160741.823573300.bin</t>
  </si>
  <si>
    <t>-721.985343395282 39.0574161984894 -232.823573063233</t>
  </si>
  <si>
    <t>-744.015740661064 40.9772783027163 -351.898232247006</t>
  </si>
  <si>
    <t>-752.851380843118 26.16672545907 -471.86961114632</t>
  </si>
  <si>
    <t>-755.732824690883 5.79177886986577 -579.440097324053</t>
  </si>
  <si>
    <t>-681.308781077475 115.518805819889 -792.203226628765</t>
  </si>
  <si>
    <t>-585.473908189181 169.475501988434 -495.402643940508</t>
  </si>
  <si>
    <t>-422.806323979004 82.2978217938203 -312.15054751549</t>
  </si>
  <si>
    <t>-712.511960909471 136.505454498293 -232.599337594588</t>
  </si>
  <si>
    <t>-601.607032851076 197.591528414639 205.152075876824</t>
  </si>
  <si>
    <t>-528.612388552634 235.579590376445 667.758465048493</t>
  </si>
  <si>
    <t>-371.094082883047 235.958661858718 746.06130489885</t>
  </si>
  <si>
    <t>-720.759124307305 -30.0590670680783 222.331303034413</t>
  </si>
  <si>
    <t>-711.323575124615 23.8716196931632 689.061261156319</t>
  </si>
  <si>
    <t>-580.824067512615 -60.4974855439968 771.494531165126</t>
  </si>
  <si>
    <t>9763-20170724T160741.888753200.bin</t>
  </si>
  <si>
    <t>-722.152754832155 38.3350398428552 -232.718960202643</t>
  </si>
  <si>
    <t>-743.883549281353 40.3635787393428 -351.846938892978</t>
  </si>
  <si>
    <t>-752.484247876129 25.7610496988716 -471.860929031792</t>
  </si>
  <si>
    <t>-755.178507255374 5.61353783420054 -579.479184980603</t>
  </si>
  <si>
    <t>-679.989596610977 115.729645148876 -792.039919141856</t>
  </si>
  <si>
    <t>-585.460112694636 170.45201122075 -494.961087974916</t>
  </si>
  <si>
    <t>-423.522532379776 82.9994985180465 -311.194036377579</t>
  </si>
  <si>
    <t>-712.429791376385 135.66675929426 -232.461019416506</t>
  </si>
  <si>
    <t>-601.721660637627 197.107397030817 205.290569854518</t>
  </si>
  <si>
    <t>-528.560870114038 235.511651558715 667.831769552144</t>
  </si>
  <si>
    <t>-371.116840520056 235.905871154328 746.284002199762</t>
  </si>
  <si>
    <t>-721.158914589923 -30.4149916707822 222.361597925022</t>
  </si>
  <si>
    <t>-711.281066806252 23.8693579582234 689.037204600882</t>
  </si>
  <si>
    <t>-580.810174524834 -60.5507168585846 771.463589556682</t>
  </si>
  <si>
    <t>9763-20170724T160741.921842200.bin</t>
  </si>
  <si>
    <t>-722.109887330938 37.9708228008619 -232.688046884786</t>
  </si>
  <si>
    <t>-743.680142573829 40.0464688730626 -351.844350177543</t>
  </si>
  <si>
    <t>-752.180266487608 25.507647286875 -471.87318437722</t>
  </si>
  <si>
    <t>-754.804814262975 5.42753576563427 -579.505662649529</t>
  </si>
  <si>
    <t>-679.537442807822 115.709881634246 -791.888458763514</t>
  </si>
  <si>
    <t>-586.087212569095 171.69974301542 -494.704380140668</t>
  </si>
  <si>
    <t>-424.901138832291 83.1542994260528 -310.800083187026</t>
  </si>
  <si>
    <t>-712.162285773707 135.217150262428 -232.416199737261</t>
  </si>
  <si>
    <t>-601.700143044182 196.792736581988 205.378505640584</t>
  </si>
  <si>
    <t>-528.527522342516 235.478843858114 667.855429077076</t>
  </si>
  <si>
    <t>-371.127871048392 235.832599371195 746.396555582254</t>
  </si>
  <si>
    <t>-721.332284913999 -30.6059203380266 222.37311108138</t>
  </si>
  <si>
    <t>-711.224789322501 23.8806939638196 689.015145132488</t>
  </si>
  <si>
    <t>-580.834252748216 -60.6525006447009 771.452719752851</t>
  </si>
  <si>
    <t>9763-20170724T160741.989533100.bin</t>
  </si>
  <si>
    <t>-721.862376450312 37.1134450184627 -232.670144711974</t>
  </si>
  <si>
    <t>-743.312191603246 39.2910159312989 -351.846340255385</t>
  </si>
  <si>
    <t>-751.680573885533 24.8693209658725 -471.898642885236</t>
  </si>
  <si>
    <t>-754.171144447867 4.90724326253394 -579.556278206228</t>
  </si>
  <si>
    <t>-678.7722582408 115.592558498042 -791.519641847479</t>
  </si>
  <si>
    <t>-589.053184880773 173.46251551798 -493.546954618456</t>
  </si>
  <si>
    <t>-428.383198644281 82.5854215467555 -310.329747446915</t>
  </si>
  <si>
    <t>-711.49663631905 134.220142661685 -232.387568172699</t>
  </si>
  <si>
    <t>-601.296105591083 196.140889007373 205.42440800625</t>
  </si>
  <si>
    <t>-528.464187878244 235.416555628763 667.906480327817</t>
  </si>
  <si>
    <t>-371.135467714131 235.625476351378 746.590265432878</t>
  </si>
  <si>
    <t>-721.665705189886 -30.9791209944676 222.388068658549</t>
  </si>
  <si>
    <t>-711.103617687811 23.9228096202175 688.983934735517</t>
  </si>
  <si>
    <t>-580.924267009812 -60.9096639098743 771.447861164871</t>
  </si>
  <si>
    <t>9763-20170724T160742.022623400.bin</t>
  </si>
  <si>
    <t>-721.631282350528 36.6930248991932 -232.657326569175</t>
  </si>
  <si>
    <t>-742.949735414496 38.8864692439952 -351.856826908906</t>
  </si>
  <si>
    <t>-751.229246402424 24.5251254351385 -471.922505270379</t>
  </si>
  <si>
    <t>-753.652165103807 4.63862474532129 -579.595712364492</t>
  </si>
  <si>
    <t>-678.290559941736 115.58590824657 -791.429280537459</t>
  </si>
  <si>
    <t>-590.593292602246 174.060288696602 -492.973067647853</t>
  </si>
  <si>
    <t>-429.536326774785 82.4022598013203 -310.485970916029</t>
  </si>
  <si>
    <t>-711.095269310626 133.768596961098 -232.397961664207</t>
  </si>
  <si>
    <t>-600.909274751517 195.828798885791 205.397983551584</t>
  </si>
  <si>
    <t>-528.457596749667 235.399840024997 667.94985675822</t>
  </si>
  <si>
    <t>-371.14509544179 235.551945450817 746.666394774511</t>
  </si>
  <si>
    <t>-721.678844334921 -31.1226825238905 222.392093517072</t>
  </si>
  <si>
    <t>-710.963862451733 23.997619662033 688.961288058087</t>
  </si>
  <si>
    <t>-581.015196145793 -61.1546730231642 771.459444199612</t>
  </si>
  <si>
    <t>9763-20170724T160742.089878800.bin</t>
  </si>
  <si>
    <t>-721.011781374702 35.9322846075993 -232.641341859176</t>
  </si>
  <si>
    <t>-742.229766043549 38.1608995412209 -351.85804042701</t>
  </si>
  <si>
    <t>-750.459318951008 23.8434785329373 -471.932401395733</t>
  </si>
  <si>
    <t>-752.849970904264 4.00607255717546 -579.615387530976</t>
  </si>
  <si>
    <t>-677.682440608551 115.214530704056 -791.318915886725</t>
  </si>
  <si>
    <t>-593.36549259001 174.865663025075 -492.122209974744</t>
  </si>
  <si>
    <t>-431.467751488812 81.7924461847481 -311.101371852228</t>
  </si>
  <si>
    <t>-710.322916299928 132.887946223809 -232.337106596143</t>
  </si>
  <si>
    <t>-600.015888110375 195.245601877893 205.386074051637</t>
  </si>
  <si>
    <t>-528.486667305672 235.405344960692 668.041915857735</t>
  </si>
  <si>
    <t>-371.163974499236 235.422547072321 746.738220533975</t>
  </si>
  <si>
    <t>-721.385153292302 -31.3789922249168 222.408736925208</t>
  </si>
  <si>
    <t>-710.751820065815 24.0862503335572 688.921429446553</t>
  </si>
  <si>
    <t>-581.20811368666 -61.5859396910478 771.518138527578</t>
  </si>
  <si>
    <t>9763-20170724T160742.121963500.bin</t>
  </si>
  <si>
    <t>-720.686260128564 35.6173811271392 -232.609718534752</t>
  </si>
  <si>
    <t>-741.813920816107 37.8436855746941 -351.842590226316</t>
  </si>
  <si>
    <t>-749.998741520018 23.5569936751942 -471.923540755007</t>
  </si>
  <si>
    <t>-752.362379563437 3.76452886919037 -579.615287900059</t>
  </si>
  <si>
    <t>-677.258615356842 115.144265150925 -791.262122431445</t>
  </si>
  <si>
    <t>-594.283501433272 176.008077305527 -491.934749584853</t>
  </si>
  <si>
    <t>-432.350078412208 81.8292882523403 -311.518623600429</t>
  </si>
  <si>
    <t>-709.884167263195 132.494501440982 -232.320412477177</t>
  </si>
  <si>
    <t>-599.571172572201 194.964056449365 205.385349508817</t>
  </si>
  <si>
    <t>-528.516257001636 235.396874739234 668.084973073493</t>
  </si>
  <si>
    <t>-371.17246205011 235.385086184587 746.738719525887</t>
  </si>
  <si>
    <t>-721.245138126565 -31.487826344166 222.427455397983</t>
  </si>
  <si>
    <t>-710.632680066011 24.143568840133 688.907512991716</t>
  </si>
  <si>
    <t>-581.306449531591 -61.8045994975034 771.558294061047</t>
  </si>
  <si>
    <t>9763-20170724T160742.187143700.bin</t>
  </si>
  <si>
    <t>-720.122146134879 35.0169397858126 -232.572619478291</t>
  </si>
  <si>
    <t>-741.166399165623 37.2463136310762 -351.820209962149</t>
  </si>
  <si>
    <t>-749.343442399388 22.9374664174954 -471.899180858604</t>
  </si>
  <si>
    <t>-751.723835214506 3.12183872809874 -579.586233839711</t>
  </si>
  <si>
    <t>-676.702521526112 114.493366702123 -791.171584368754</t>
  </si>
  <si>
    <t>-596.289762538999 178.005679444224 -491.6950739932</t>
  </si>
  <si>
    <t>-434.839659710162 81.2004147677676 -312.238558469655</t>
  </si>
  <si>
    <t>-709.170416087276 131.784800668557 -232.279949064796</t>
  </si>
  <si>
    <t>-598.848973325711 194.521844421966 205.385387915583</t>
  </si>
  <si>
    <t>-528.602974517326 235.43508491935 668.16175363704</t>
  </si>
  <si>
    <t>-371.186541478622 235.30848123563 746.670302428264</t>
  </si>
  <si>
    <t>-721.222790758085 -31.7118790540574 222.481077700631</t>
  </si>
  <si>
    <t>-710.535896430937 24.1499447978993 688.886770845978</t>
  </si>
  <si>
    <t>-581.472030357426 -62.1159116689507 771.616659530632</t>
  </si>
  <si>
    <t>9763-20170724T160742.220233700.bin</t>
  </si>
  <si>
    <t>-719.974545690689 34.775467258452 -232.55172223532</t>
  </si>
  <si>
    <t>-740.963320665572 36.9993482238353 -351.809181123132</t>
  </si>
  <si>
    <t>-749.120710004175 22.6681049035603 -471.886703681959</t>
  </si>
  <si>
    <t>-751.495903337355 2.82797819037341 -579.569552654707</t>
  </si>
  <si>
    <t>-676.380302157974 114.09954020524 -791.154902164675</t>
  </si>
  <si>
    <t>-597.571302190875 178.527491441048 -491.44787138244</t>
  </si>
  <si>
    <t>-436.047143623854 81.1068059066579 -312.391281180521</t>
  </si>
  <si>
    <t>-708.899459015994 131.566369448489 -232.29422562469</t>
  </si>
  <si>
    <t>-598.595885502913 194.333633847435 205.371181270632</t>
  </si>
  <si>
    <t>-528.649602388806 235.461381441345 668.183840133212</t>
  </si>
  <si>
    <t>-371.189893201862 235.264499923965 746.605471491947</t>
  </si>
  <si>
    <t>-721.237143348579 -31.8519898852237 222.512734753289</t>
  </si>
  <si>
    <t>-710.504217040183 24.1562472363057 688.895246344221</t>
  </si>
  <si>
    <t>-581.485343643087 -62.1658075808555 771.636669972959</t>
  </si>
  <si>
    <t>9763-20170724T160742.288986000.bin</t>
  </si>
  <si>
    <t>-719.772235327045 34.291688700212 -232.473611573048</t>
  </si>
  <si>
    <t>-740.670402318438 36.4829137405548 -351.747551249071</t>
  </si>
  <si>
    <t>-748.788595263636 22.015205348263 -471.811382622311</t>
  </si>
  <si>
    <t>-751.147475591717 2.01589213696411 -579.46513529375</t>
  </si>
  <si>
    <t>-676.180981829101 112.949008232342 -791.208799118911</t>
  </si>
  <si>
    <t>-600.031717430493 179.055564403155 -491.179910853009</t>
  </si>
  <si>
    <t>-438.322473853978 81.3534818221324 -312.444010543063</t>
  </si>
  <si>
    <t>-708.571409000288 131.050597395903 -232.245813263178</t>
  </si>
  <si>
    <t>-598.292409702254 194.040968876668 205.393807348981</t>
  </si>
  <si>
    <t>-528.819227419355 235.478695076056 668.28916659505</t>
  </si>
  <si>
    <t>-371.213971610621 235.230273757004 746.417353320626</t>
  </si>
  <si>
    <t>-721.41968173157 -32.1150679425766 222.588764162351</t>
  </si>
  <si>
    <t>-710.503038181196 24.1312219469366 688.910118906407</t>
  </si>
  <si>
    <t>-581.502352716196 -62.2011204814107 771.669141301504</t>
  </si>
  <si>
    <t>9763-20170724T160742.323075300.bin</t>
  </si>
  <si>
    <t>-719.664629584661 34.0841007834838 -232.43516083307</t>
  </si>
  <si>
    <t>-740.465903480981 36.2480369314546 -351.726481751004</t>
  </si>
  <si>
    <t>-748.544909069221 21.7049336539221 -471.783977176518</t>
  </si>
  <si>
    <t>-750.892517248474 1.62077369697317 -579.422123776412</t>
  </si>
  <si>
    <t>-676.036969648261 112.372302578012 -791.266219154613</t>
  </si>
  <si>
    <t>-600.981742352035 179.879930815944 -491.273503382044</t>
  </si>
  <si>
    <t>-439.513977865619 81.9650825363879 -312.435878498467</t>
  </si>
  <si>
    <t>-708.434449507445 130.878376850575 -232.209740336195</t>
  </si>
  <si>
    <t>-598.224021844588 193.932213155848 205.43793571086</t>
  </si>
  <si>
    <t>-528.947692195486 235.4693525161 668.372537666311</t>
  </si>
  <si>
    <t>-371.233269747354 235.265165329974 746.280331057992</t>
  </si>
  <si>
    <t>-721.54542683646 -32.2162365698496 222.629166485504</t>
  </si>
  <si>
    <t>-710.527558433932 24.0986569272218 688.92131609183</t>
  </si>
  <si>
    <t>-581.516499315846 -62.211405857239 771.687408249299</t>
  </si>
  <si>
    <t>9763-20170724T160742.389258700.bin</t>
  </si>
  <si>
    <t>-719.076048910274 33.8397178165251 -232.443346862497</t>
  </si>
  <si>
    <t>-739.738163863737 35.9248364137661 -351.760393014665</t>
  </si>
  <si>
    <t>-747.763067603799 21.1847767901966 -471.797376667047</t>
  </si>
  <si>
    <t>-750.098975592569 0.879386320762023 -579.394243571518</t>
  </si>
  <si>
    <t>-675.353071836782 111.10378750201 -791.568756044508</t>
  </si>
  <si>
    <t>-602.805126089186 182.20452283582 -491.789351433441</t>
  </si>
  <si>
    <t>-442.207233280439 83.8577537376148 -312.40630093204</t>
  </si>
  <si>
    <t>-707.900764978583 130.58946662129 -232.217303682123</t>
  </si>
  <si>
    <t>-598.143032840057 193.786809143169 205.523510201913</t>
  </si>
  <si>
    <t>-529.269586156495 235.470034766476 668.538320313663</t>
  </si>
  <si>
    <t>-371.273217255958 235.383383174484 745.872995245266</t>
  </si>
  <si>
    <t>-721.371688334702 -32.2242696043768 222.663061702949</t>
  </si>
  <si>
    <t>-710.445567153043 24.1311961020215 688.926377440427</t>
  </si>
  <si>
    <t>-581.614488780971 -62.3987888346096 771.743190963588</t>
  </si>
  <si>
    <t>9763-20170724T160742.451949200.bin</t>
  </si>
  <si>
    <t>-718.725129714629 33.7388252395799 -232.466769037827</t>
  </si>
  <si>
    <t>-739.319695938859 35.7717623565432 -351.79632558333</t>
  </si>
  <si>
    <t>-747.330440100519 20.9389123657472 -471.822863926621</t>
  </si>
  <si>
    <t>-749.674637429753 0.536520191344607 -579.401189604712</t>
  </si>
  <si>
    <t>-674.920605585314 110.493762979234 -791.686513717761</t>
  </si>
  <si>
    <t>-603.520443241087 183.489876703468 -492.087136866789</t>
  </si>
  <si>
    <t>-443.44513378247 84.7485744967976 -312.453947056164</t>
  </si>
  <si>
    <t>-707.57145551559 130.452389416592 -232.275436308025</t>
  </si>
  <si>
    <t>-598.097642521467 193.71941901226 205.526379460099</t>
  </si>
  <si>
    <t>-529.407945711293 235.467980235589 668.546977438364</t>
  </si>
  <si>
    <t>-371.283271892809 235.39408739649 745.618958000335</t>
  </si>
  <si>
    <t>-721.160152817068 -32.2569489684258 222.674917258016</t>
  </si>
  <si>
    <t>-710.413540060129 24.1458529202234 688.932765941256</t>
  </si>
  <si>
    <t>-581.633086304307 -62.4352028955634 771.774910410051</t>
  </si>
  <si>
    <t>9763-20170724T160742.487552200.bin</t>
  </si>
  <si>
    <t>-718.000086514224 33.6224443853653 -232.58132623422</t>
  </si>
  <si>
    <t>-738.579181481035 35.5717033775829 -351.914939858906</t>
  </si>
  <si>
    <t>-746.576275617241 20.5229721514286 -471.915547690206</t>
  </si>
  <si>
    <t>-674.169021354085 109.251733493483 -791.951620347012</t>
  </si>
  <si>
    <t>-605.532974266126 184.726063321328 -492.320311339538</t>
  </si>
  <si>
    <t>-445.78493834668 86.3432891307896 -312.199623401429</t>
  </si>
  <si>
    <t>-706.892570373906 130.325194662789 -232.547929592183</t>
  </si>
  <si>
    <t>-597.819895733038 193.662699447951 205.343767525349</t>
  </si>
  <si>
    <t>-529.577621021954 235.495570362863 668.281914600576</t>
  </si>
  <si>
    <t>-371.292526214563 235.474365590228 745.023935439509</t>
  </si>
  <si>
    <t>-720.795159121284 -32.242419873965 222.636089652396</t>
  </si>
  <si>
    <t>-710.337303045044 24.1960626372522 688.913428020741</t>
  </si>
  <si>
    <t>-581.750949469065 -62.622953774254 771.808069485993</t>
  </si>
  <si>
    <t>9763-20170724T160742.522644000.bin</t>
  </si>
  <si>
    <t>-717.725786958484 33.5815269592879 -232.671406888957</t>
  </si>
  <si>
    <t>-738.265068886985 35.4792712187177 -352.012729323462</t>
  </si>
  <si>
    <t>-746.187358848197 20.3413010001975 -472.007052513629</t>
  </si>
  <si>
    <t>-673.631517122079 108.806298225465 -792.060327475695</t>
  </si>
  <si>
    <t>-606.06785625286 185.03972432794 -492.377577662144</t>
  </si>
  <si>
    <t>-446.518219056162 86.9076309953384 -311.944514898388</t>
  </si>
  <si>
    <t>-706.638052592492 130.283193269024 -232.705225285021</t>
  </si>
  <si>
    <t>-597.594395544499 193.63977529403 205.190990949284</t>
  </si>
  <si>
    <t>-529.594625123205 235.48199048262 668.164492555778</t>
  </si>
  <si>
    <t>-371.278607165793 235.496649158266 744.842817690435</t>
  </si>
  <si>
    <t>-720.713169002689 -32.2142761306659 222.594783685454</t>
  </si>
  <si>
    <t>-710.333089389355 24.1939779944184 688.889735439577</t>
  </si>
  <si>
    <t>-581.770109287082 -62.6400728417461 771.804855733118</t>
  </si>
  <si>
    <t>9763-20170724T160742.589839800.bin</t>
  </si>
  <si>
    <t>-717.367830943996 33.4553364159219 -232.81052947</t>
  </si>
  <si>
    <t>-737.947880675493 35.2733058536207 -352.14597518327</t>
  </si>
  <si>
    <t>-745.805718494238 19.9354921446579 -472.119222515565</t>
  </si>
  <si>
    <t>-673.237045477772 107.771471405785 -792.224178850139</t>
  </si>
  <si>
    <t>-606.61370036936 185.121131574743 -492.616827917713</t>
  </si>
  <si>
    <t>-447.636232246499 88.2105517870857 -311.022363399185</t>
  </si>
  <si>
    <t>-706.415571984345 130.178964917808 -232.865441665036</t>
  </si>
  <si>
    <t>-597.207824719921 193.591000586323 204.981840057675</t>
  </si>
  <si>
    <t>-529.452204028581 235.440540259961 668.013498148965</t>
  </si>
  <si>
    <t>-371.22085310811 235.518744516289 744.866277174605</t>
  </si>
  <si>
    <t>-720.563983541242 -32.3171408005176 222.538138947508</t>
  </si>
  <si>
    <t>-710.369701972458 24.1689420867701 688.858827950865</t>
  </si>
  <si>
    <t>-581.737748170772 -62.5542899469845 771.78298099733</t>
  </si>
  <si>
    <t>9763-20170724T160742.651034500.bin</t>
  </si>
  <si>
    <t>-717.221940602728 33.3655920973883 -232.822294517352</t>
  </si>
  <si>
    <t>-737.722013043389 35.1481224027054 -352.172071075625</t>
  </si>
  <si>
    <t>-745.515088098056 19.7319864698588 -472.139438122039</t>
  </si>
  <si>
    <t>-672.892429776685 107.290495569303 -792.355457098027</t>
  </si>
  <si>
    <t>-606.794824456925 184.905008694424 -492.700157717346</t>
  </si>
  <si>
    <t>-448.199438329332 88.6218732496629 -310.438962124626</t>
  </si>
  <si>
    <t>-706.320297907994 130.117895919976 -232.905583741777</t>
  </si>
  <si>
    <t>-597.113538983009 193.604072954431 204.931247699371</t>
  </si>
  <si>
    <t>-529.245476605934 235.444861564549 667.939702537376</t>
  </si>
  <si>
    <t>-371.143066287868 235.546136276225 745.057255822836</t>
  </si>
  <si>
    <t>-720.565588130989 -32.3497087169833 222.517425095989</t>
  </si>
  <si>
    <t>-710.402474153492 24.1472032507704 688.842367519266</t>
  </si>
  <si>
    <t>-581.761247693019 -62.5607677300748 771.768063351634</t>
  </si>
  <si>
    <t>9763-20170724T160742.656549400.bin</t>
  </si>
  <si>
    <t>-717.063955703762 33.2771918625938 -232.875873312878</t>
  </si>
  <si>
    <t>-737.502272500817 35.0266325968335 -352.236652288533</t>
  </si>
  <si>
    <t>-745.242012652452 19.5352070982162 -472.197935946311</t>
  </si>
  <si>
    <t>-672.624664968654 106.8335474439 -792.470219177907</t>
  </si>
  <si>
    <t>-606.830659083241 184.79461577635 -492.838062957538</t>
  </si>
  <si>
    <t>-448.679433511975 88.8702737210451 -310.00269693014</t>
  </si>
  <si>
    <t>-706.194832064845 130.030052151474 -233.007217741933</t>
  </si>
  <si>
    <t>-597.097640222406 193.583256340438 204.84720078997</t>
  </si>
  <si>
    <t>-529.051837749344 235.404825556504 667.722479187505</t>
  </si>
  <si>
    <t>-371.086619091975 235.550463320701 745.120930339513</t>
  </si>
  <si>
    <t>-720.532100546598 -32.4306888478748 222.49110764315</t>
  </si>
  <si>
    <t>-710.44124228264 24.128103471711 688.829190704274</t>
  </si>
  <si>
    <t>-581.720823951579 -62.475974350411 771.740551254831</t>
  </si>
  <si>
    <t>9763-20170724T160742.730240100.bin</t>
  </si>
  <si>
    <t>-716.834002738458 33.0963416289446 -233.042116608818</t>
  </si>
  <si>
    <t>-737.203301799469 34.7871020565137 -352.415726291916</t>
  </si>
  <si>
    <t>-744.878389347379 19.1871003338188 -472.366966175198</t>
  </si>
  <si>
    <t>-672.287419780298 106.163358942369 -792.735418579784</t>
  </si>
  <si>
    <t>-606.973314432769 184.771197179869 -493.167160720766</t>
  </si>
  <si>
    <t>-449.410641606905 89.6675514067945 -309.397433610682</t>
  </si>
  <si>
    <t>-706.030811910986 129.889926173304 -233.215831115259</t>
  </si>
  <si>
    <t>-597.351799554593 193.583077704859 204.722236648274</t>
  </si>
  <si>
    <t>-528.836145841397 235.360964754356 667.560858317356</t>
  </si>
  <si>
    <t>-371.021477674582 235.570652893746 745.265565196847</t>
  </si>
  <si>
    <t>-720.616206684861 -32.5473042065005 222.411305456425</t>
  </si>
  <si>
    <t>-710.540161324241 24.0791871173872 688.792330288147</t>
  </si>
  <si>
    <t>-581.668140923921 -62.3252058660516 771.676571830634</t>
  </si>
  <si>
    <t>9763-20170724T160742.792223500.bin</t>
  </si>
  <si>
    <t>-716.786920793091 32.8476860483388 -233.121263450112</t>
  </si>
  <si>
    <t>-737.06843273363 34.4902116412761 -352.510325222707</t>
  </si>
  <si>
    <t>-744.645819493415 18.8061085581769 -472.456939037156</t>
  </si>
  <si>
    <t>-672.104173468127 105.61899445768 -792.878815347615</t>
  </si>
  <si>
    <t>-607.5814897282 184.626159884645 -493.24426797471</t>
  </si>
  <si>
    <t>-450.406624512412 89.9007809634888 -308.947655417079</t>
  </si>
  <si>
    <t>-705.934697542077 129.674604602642 -233.331471389872</t>
  </si>
  <si>
    <t>-597.464927952082 193.483191833884 204.641696174772</t>
  </si>
  <si>
    <t>-528.668132440554 235.309755168214 667.454483655232</t>
  </si>
  <si>
    <t>-370.965884825567 235.5517178612 745.386886500963</t>
  </si>
  <si>
    <t>-721.010720107883 -32.6929889664611 222.376781317699</t>
  </si>
  <si>
    <t>-710.659293026422 24.0061141638232 688.767914899113</t>
  </si>
  <si>
    <t>-581.527230240904 -62.0474029836164 771.61242383656</t>
  </si>
  <si>
    <t>9763-20170724T160742.825311700.bin</t>
  </si>
  <si>
    <t>-716.73668104581 32.6858737697614 -233.13501339795</t>
  </si>
  <si>
    <t>-736.979684209906 34.3128863468492 -352.530967841911</t>
  </si>
  <si>
    <t>-744.508105762607 18.5970089771122 -472.476317680766</t>
  </si>
  <si>
    <t>-671.933872795381 105.342196997577 -792.886805882023</t>
  </si>
  <si>
    <t>-607.739762899971 184.466365580008 -493.212599615357</t>
  </si>
  <si>
    <t>-450.81178051019 89.9807622612962 -308.582713776357</t>
  </si>
  <si>
    <t>-705.885577742171 129.493658968425 -233.351312899133</t>
  </si>
  <si>
    <t>-597.414258474333 193.353542765312 204.613889380429</t>
  </si>
  <si>
    <t>-528.607616166643 235.225656101723 667.428970247699</t>
  </si>
  <si>
    <t>-370.952040629989 235.518345888697 745.455363975325</t>
  </si>
  <si>
    <t>-721.201482145592 -32.749458419464 222.359289697833</t>
  </si>
  <si>
    <t>-710.689361074007 23.97800508048 688.749026049067</t>
  </si>
  <si>
    <t>-581.500830591237 -61.997620949287 771.586380570704</t>
  </si>
  <si>
    <t>9763-20170724T160742.888522300.bin</t>
  </si>
  <si>
    <t>-716.484662587407 32.3386516364071 -233.138336527647</t>
  </si>
  <si>
    <t>-736.614894119529 33.9366199379056 -352.553711460665</t>
  </si>
  <si>
    <t>-744.058430202774 18.2074098949129 -472.502679377526</t>
  </si>
  <si>
    <t>-671.485813393142 105.017031092515 -792.927390902763</t>
  </si>
  <si>
    <t>-607.868364292398 184.07872484736 -493.113604711858</t>
  </si>
  <si>
    <t>-451.456382281921 90.2773503668213 -307.698844303795</t>
  </si>
  <si>
    <t>-705.691662539805 129.106134332056 -233.351927336934</t>
  </si>
  <si>
    <t>-597.222754041913 193.134558154457 204.589268127575</t>
  </si>
  <si>
    <t>-528.509553223268 235.115198065623 667.407935228391</t>
  </si>
  <si>
    <t>-370.925918929585 235.445218333841 745.579498121873</t>
  </si>
  <si>
    <t>-721.282411185037 -32.9021810469999 222.3415318047</t>
  </si>
  <si>
    <t>-710.67076011344 23.9667027948271 688.712318376987</t>
  </si>
  <si>
    <t>-581.49046961986 -62.0140532396756 771.557191657028</t>
  </si>
  <si>
    <t>9763-20170724T160742.922614700.bin</t>
  </si>
  <si>
    <t>-716.23314652203 32.2068067830912 -233.156185705123</t>
  </si>
  <si>
    <t>-736.34433479339 33.8065215983113 -352.574773406884</t>
  </si>
  <si>
    <t>-743.793005215073 18.0853829264377 -472.524492044163</t>
  </si>
  <si>
    <t>-671.2691605222 104.949385585909 -792.947482929461</t>
  </si>
  <si>
    <t>-607.901418852543 183.864027978407 -493.04220810282</t>
  </si>
  <si>
    <t>-451.882613967185 90.280132729225 -307.186863500123</t>
  </si>
  <si>
    <t>-705.470001724588 128.969678426942 -233.362817126973</t>
  </si>
  <si>
    <t>-597.145423859788 193.026626920703 204.609971655884</t>
  </si>
  <si>
    <t>-528.465476455907 235.098386514282 667.422032310879</t>
  </si>
  <si>
    <t>-370.906960559078 235.406088910859 745.644056285478</t>
  </si>
  <si>
    <t>-721.150436572038 -32.9668267501559 222.334527541171</t>
  </si>
  <si>
    <t>-710.644895521054 23.9879249533765 688.709476168339</t>
  </si>
  <si>
    <t>-581.494233125843 -62.0353080325401 771.556448410796</t>
  </si>
  <si>
    <t>9763-20170724T160742.988802800.bin</t>
  </si>
  <si>
    <t>-715.496415937056 31.9098244056345 -233.199420587513</t>
  </si>
  <si>
    <t>-735.51730422993 33.4574371547267 -352.633759229503</t>
  </si>
  <si>
    <t>-742.938572284925 17.7106211694399 -472.581853634984</t>
  </si>
  <si>
    <t>-670.544340646995 104.592481789907 -792.993298420409</t>
  </si>
  <si>
    <t>-607.603657686937 183.316006097661 -492.947842685981</t>
  </si>
  <si>
    <t>-452.307333292214 90.0557849084967 -306.326306098915</t>
  </si>
  <si>
    <t>-704.764512356073 128.580070960343 -233.449800017825</t>
  </si>
  <si>
    <t>-596.813156372007 192.827358537385 204.587220255322</t>
  </si>
  <si>
    <t>-528.357927999829 235.064133676196 667.393322627737</t>
  </si>
  <si>
    <t>-370.878133169701 235.369226344314 745.774054634159</t>
  </si>
  <si>
    <t>-720.610081120368 -33.098155303567 222.31732493758</t>
  </si>
  <si>
    <t>-710.58203243117 24.0150640447027 688.686884793903</t>
  </si>
  <si>
    <t>-581.549892527461 -62.1635839668838 771.557023174724</t>
  </si>
  <si>
    <t>9763-20170724T160743.028910500.bin</t>
  </si>
  <si>
    <t>-715.087745577616 31.7270819690898 -233.234653077842</t>
  </si>
  <si>
    <t>-735.109037099566 33.2689831856565 -352.66896038006</t>
  </si>
  <si>
    <t>-742.558590667085 17.5356165937144 -472.61700565478</t>
  </si>
  <si>
    <t>-670.231796301746 104.478069959 -793.056285789677</t>
  </si>
  <si>
    <t>-607.547951027726 183.417489439164 -493.013845951087</t>
  </si>
  <si>
    <t>-452.420047998078 90.6684831756825 -305.99766126226</t>
  </si>
  <si>
    <t>-704.325030289058 128.372900723936 -233.507933051769</t>
  </si>
  <si>
    <t>-596.509056632911 192.683664374599 204.553222293243</t>
  </si>
  <si>
    <t>-528.279485582425 235.041423112716 667.375695426239</t>
  </si>
  <si>
    <t>-370.848141745149 235.319144218743 745.853803572541</t>
  </si>
  <si>
    <t>-720.288522795669 -33.1898647004236 222.310465891673</t>
  </si>
  <si>
    <t>-710.555432573085 24.0331049460917 688.67774113449</t>
  </si>
  <si>
    <t>-581.606396910702 -62.256036985066 771.562237736578</t>
  </si>
  <si>
    <t>9763-20170724T160743.089075900.bin</t>
  </si>
  <si>
    <t>-714.166717908916 31.4401597488679 -233.297280188303</t>
  </si>
  <si>
    <t>-734.122931902687 32.9205241204618 -352.743294424238</t>
  </si>
  <si>
    <t>-741.597939244781 17.1359560535673 -472.682969100918</t>
  </si>
  <si>
    <t>-669.386840550342 103.917235263665 -793.266387468487</t>
  </si>
  <si>
    <t>-608.054409345013 183.769532606902 -493.186182213562</t>
  </si>
  <si>
    <t>-453.380505163364 91.0521353215725 -305.778831717367</t>
  </si>
  <si>
    <t>-703.284037236093 127.966950449501 -233.629821272626</t>
  </si>
  <si>
    <t>-595.662185384129 192.396492074681 204.461547576733</t>
  </si>
  <si>
    <t>-528.155695476551 235.001001400258 667.366285799952</t>
  </si>
  <si>
    <t>-370.806992924622 235.248540594929 746.009780571836</t>
  </si>
  <si>
    <t>-719.628850537993 -33.2570529982681 222.302434359388</t>
  </si>
  <si>
    <t>-710.487933388504 24.0846289658073 688.677393076687</t>
  </si>
  <si>
    <t>-581.685280658968 -62.4004814785103 771.585249612387</t>
  </si>
  <si>
    <t>9763-20170724T160743.122161300.bin</t>
  </si>
  <si>
    <t>-713.720733830307 31.2595878713805 -233.29843696451</t>
  </si>
  <si>
    <t>-733.672573069185 32.7368898918055 -352.745262393431</t>
  </si>
  <si>
    <t>-741.188334254358 16.9443769721033 -472.681364179892</t>
  </si>
  <si>
    <t>-669.137220563375 103.697539155154 -793.322040078885</t>
  </si>
  <si>
    <t>-608.345076206341 184.524842488479 -493.392886575613</t>
  </si>
  <si>
    <t>-453.913833112314 91.7760349617668 -305.801082324343</t>
  </si>
  <si>
    <t>-702.751153217128 127.697526397443 -233.648706470475</t>
  </si>
  <si>
    <t>-595.175361864307 192.208035634716 204.442050886537</t>
  </si>
  <si>
    <t>-528.096745639068 234.972303827669 667.366743962313</t>
  </si>
  <si>
    <t>-370.787024593581 235.202312509184 746.088342391394</t>
  </si>
  <si>
    <t>-719.241111990055 -33.3518399441186 222.322355967453</t>
  </si>
  <si>
    <t>-710.429043106041 24.134777975831 688.683519005519</t>
  </si>
  <si>
    <t>-581.727852867434 -62.4940955155287 771.598871462899</t>
  </si>
  <si>
    <t>9763-20170724T160743.188018200.bin</t>
  </si>
  <si>
    <t>-712.840358644173 30.8948597749945 -233.328542866394</t>
  </si>
  <si>
    <t>-732.795704385766 32.3415082817901 -352.775169445899</t>
  </si>
  <si>
    <t>-740.396004352385 16.4954821510153 -472.698824724608</t>
  </si>
  <si>
    <t>-668.602431007359 103.021216996289 -793.482441036388</t>
  </si>
  <si>
    <t>-609.264124506704 185.15047730087 -493.616009672179</t>
  </si>
  <si>
    <t>-455.265786213414 92.468691235641 -305.635618637951</t>
  </si>
  <si>
    <t>-701.778681722102 127.255577594955 -233.737142828514</t>
  </si>
  <si>
    <t>-594.164074751077 191.852974904493 204.331199005422</t>
  </si>
  <si>
    <t>-527.96705496443 234.900671351914 667.354186462735</t>
  </si>
  <si>
    <t>-370.731342961402 235.090433579338 746.223628404754</t>
  </si>
  <si>
    <t>-718.446556859688 -33.4902561547267 222.339757243214</t>
  </si>
  <si>
    <t>-710.306957126244 24.2208237423008 688.687102579922</t>
  </si>
  <si>
    <t>-581.870335989514 -62.7667170840316 771.637152417406</t>
  </si>
  <si>
    <t>9763-20170724T160743.222110300.bin</t>
  </si>
  <si>
    <t>-712.433314277751 30.7738696627071 -233.306395822937</t>
  </si>
  <si>
    <t>-732.362710157445 32.2119702625596 -352.757447007019</t>
  </si>
  <si>
    <t>-739.999295223093 16.3349869980161 -472.674802321937</t>
  </si>
  <si>
    <t>-668.372970522855 102.70999689686 -793.531122943025</t>
  </si>
  <si>
    <t>-609.532810360967 185.464916405221 -493.738555513332</t>
  </si>
  <si>
    <t>-455.785267120245 92.9894067926532 -305.451427467453</t>
  </si>
  <si>
    <t>-701.370239652201 127.063405296489 -233.732061717976</t>
  </si>
  <si>
    <t>-593.712267770304 191.717644162727 204.317310388289</t>
  </si>
  <si>
    <t>-527.916237771273 234.883728792179 667.369929751561</t>
  </si>
  <si>
    <t>-370.702460555669 235.069176933223 746.283262688218</t>
  </si>
  <si>
    <t>-718.034659756717 -33.5588152448638 222.36124894064</t>
  </si>
  <si>
    <t>-710.269668231511 24.2489275042799 688.693712037744</t>
  </si>
  <si>
    <t>-581.896193269625 -62.8213878023234 771.654707121429</t>
  </si>
  <si>
    <t>9763-20170724T160743.293337600.bin</t>
  </si>
  <si>
    <t>-711.752178570101 30.6487255758293 -233.333311498126</t>
  </si>
  <si>
    <t>-731.709967042914 32.0838951077462 -352.779694676606</t>
  </si>
  <si>
    <t>-739.409135720942 16.1640350345476 -472.68746302723</t>
  </si>
  <si>
    <t>-667.781214571008 102.212398339699 -793.69592258646</t>
  </si>
  <si>
    <t>-609.840564353226 186.2670342781 -494.089857081397</t>
  </si>
  <si>
    <t>-456.8066826979 93.9632245510945 -305.138210977372</t>
  </si>
  <si>
    <t>-700.654580442052 126.876622833285 -233.782565417737</t>
  </si>
  <si>
    <t>-592.984806811687 191.516972801487 204.265939187292</t>
  </si>
  <si>
    <t>-527.795921830884 234.858289437619 667.372005160076</t>
  </si>
  <si>
    <t>-370.643693019926 234.999992118567 746.40771003083</t>
  </si>
  <si>
    <t>-717.247684487259 -33.5973776742999 222.36493130492</t>
  </si>
  <si>
    <t>-710.206941071042 24.2967584327378 688.704525551232</t>
  </si>
  <si>
    <t>-582.010312354807 -63.0061806359574 771.694488120721</t>
  </si>
  <si>
    <t>9763-20170724T160743.325422600.bin</t>
  </si>
  <si>
    <t>-711.496023103264 30.7100534784026 -233.352250944997</t>
  </si>
  <si>
    <t>-731.467083363779 32.1405048749361 -352.796527929738</t>
  </si>
  <si>
    <t>-739.217909638759 16.1909707273985 -472.696879579908</t>
  </si>
  <si>
    <t>-667.594632372944 102.025884004922 -793.741018953647</t>
  </si>
  <si>
    <t>-610.032614911696 186.942202934321 -494.30477088113</t>
  </si>
  <si>
    <t>-457.41244583911 94.6017534979317 -305.036841983419</t>
  </si>
  <si>
    <t>-700.397887329643 126.886897408902 -233.786165403079</t>
  </si>
  <si>
    <t>-592.691380945316 191.491414295741 204.258570451179</t>
  </si>
  <si>
    <t>-527.768994823945 234.865825906748 667.424456720068</t>
  </si>
  <si>
    <t>-370.617071728991 234.993668462517 746.461178807743</t>
  </si>
  <si>
    <t>-716.850688512131 -33.5296680631159 222.361685547031</t>
  </si>
  <si>
    <t>-710.112977479355 24.3667891643258 688.707550764338</t>
  </si>
  <si>
    <t>-582.07480916329 -63.1448767798413 771.722294012871</t>
  </si>
  <si>
    <t>9763-20170724T160743.389656100.bin</t>
  </si>
  <si>
    <t>-711.269774937375 30.9312297688148 -233.338492891187</t>
  </si>
  <si>
    <t>-731.276408730556 32.3541487066286 -352.776883352287</t>
  </si>
  <si>
    <t>-739.147526612538 16.340748791454 -472.660842850437</t>
  </si>
  <si>
    <t>-667.59082989269 101.679459188058 -793.895073587923</t>
  </si>
  <si>
    <t>-611.507893753452 188.397696284047 -494.694760776565</t>
  </si>
  <si>
    <t>-459.390320964199 95.5374843048307 -305.276599470551</t>
  </si>
  <si>
    <t>-700.092393602125 127.155271012372 -233.774312587025</t>
  </si>
  <si>
    <t>-592.352443626098 191.615205963846 204.28359726182</t>
  </si>
  <si>
    <t>-527.747348535023 235.014318438362 667.514338078911</t>
  </si>
  <si>
    <t>-370.575565138905 235.00181492094 746.511706673693</t>
  </si>
  <si>
    <t>-716.556859995701 -33.3945436744355 222.390944262153</t>
  </si>
  <si>
    <t>-710.097206128175 24.4019780009069 688.74553642454</t>
  </si>
  <si>
    <t>-582.154920948667 -63.2305148824707 771.780666825479</t>
  </si>
  <si>
    <t>9763-20170724T160743.421731300.bin</t>
  </si>
  <si>
    <t>-711.242391886847 31.1012530436792 -233.298087884373</t>
  </si>
  <si>
    <t>-731.236923310885 32.5212753306168 -352.738479964256</t>
  </si>
  <si>
    <t>-739.175240325983 16.4634855926745 -472.61204337857</t>
  </si>
  <si>
    <t>-667.880942798795 101.540793862704 -793.974042334712</t>
  </si>
  <si>
    <t>-612.401906116388 189.166315517657 -494.925425966137</t>
  </si>
  <si>
    <t>-460.522544211517 96.1453076623584 -305.394949230143</t>
  </si>
  <si>
    <t>-700.031240462925 127.317790663236 -233.742479642651</t>
  </si>
  <si>
    <t>-592.316213839714 191.707882275962 204.331812590859</t>
  </si>
  <si>
    <t>-527.741602586254 235.072899085965 667.556188438312</t>
  </si>
  <si>
    <t>-370.552012849226 235.013028466497 746.517778548613</t>
  </si>
  <si>
    <t>-716.547125345322 -33.3202186721603 222.414447715442</t>
  </si>
  <si>
    <t>-710.111369747378 24.3872955614436 688.749826112335</t>
  </si>
  <si>
    <t>-582.18601529539 -63.2574095467089 771.798131175923</t>
  </si>
  <si>
    <t>9763-20170724T160743.490542800.bin</t>
  </si>
  <si>
    <t>-711.314027283796 31.4602036270833 -233.243073690472</t>
  </si>
  <si>
    <t>-731.347653761856 32.9209211531506 -352.67631209851</t>
  </si>
  <si>
    <t>-739.44279290957 16.8319222735297 -472.535325555999</t>
  </si>
  <si>
    <t>-668.55731832626 101.546083619982 -794.080171441579</t>
  </si>
  <si>
    <t>-613.683534099992 190.675317926838 -495.364541646137</t>
  </si>
  <si>
    <t>-462.22978040468 97.8245795339144 -305.410499621534</t>
  </si>
  <si>
    <t>-700.0486382672 127.691915291412 -233.666761018701</t>
  </si>
  <si>
    <t>-592.38470706242 191.946057977013 204.44006509879</t>
  </si>
  <si>
    <t>-527.785823125546 235.182358202145 667.696959618516</t>
  </si>
  <si>
    <t>-370.517488571515 235.036797893457 746.501421817423</t>
  </si>
  <si>
    <t>-716.607031340126 -33.1794905126326 222.445544592244</t>
  </si>
  <si>
    <t>-710.176823372678 24.3304058022686 688.77403609979</t>
  </si>
  <si>
    <t>-582.26014936078 -63.3318407961549 771.817190828592</t>
  </si>
  <si>
    <t>9763-20170724T160743.524635200.bin</t>
  </si>
  <si>
    <t>-711.5026886628 31.6958843206551 -233.204236539511</t>
  </si>
  <si>
    <t>-731.54957398931 33.1593560219385 -352.635368349788</t>
  </si>
  <si>
    <t>-739.711972510203 17.0532098764952 -472.487581017235</t>
  </si>
  <si>
    <t>-669.035045269644 101.626277445911 -794.141555048297</t>
  </si>
  <si>
    <t>-614.431138294047 191.165461463797 -495.499078458051</t>
  </si>
  <si>
    <t>-463.18671629478 98.576442417221 -305.250631867993</t>
  </si>
  <si>
    <t>-700.233872816029 127.973100291414 -233.613698553583</t>
  </si>
  <si>
    <t>-592.475722964167 192.128456932606 204.484366231374</t>
  </si>
  <si>
    <t>-527.834465044504 235.266317866346 667.777256848323</t>
  </si>
  <si>
    <t>-370.505361249722 235.073161286514 746.45997001922</t>
  </si>
  <si>
    <t>-716.724619688953 -33.1030760037879 222.465687513653</t>
  </si>
  <si>
    <t>-710.2143738501 24.3024839841344 688.793471200163</t>
  </si>
  <si>
    <t>-582.241159342198 -63.2912595300747 771.821802194598</t>
  </si>
  <si>
    <t>9763-20170724T160743.588726600.bin</t>
  </si>
  <si>
    <t>-712.214008142486 32.2212497035439 -233.114071750675</t>
  </si>
  <si>
    <t>-732.372363764508 33.7282795116957 -352.525816314981</t>
  </si>
  <si>
    <t>-740.732555389449 17.6554411355064 -472.368876188272</t>
  </si>
  <si>
    <t>-670.517698009402 102.143623450521 -794.207941565255</t>
  </si>
  <si>
    <t>-616.180979281129 192.584477448472 -495.788536464497</t>
  </si>
  <si>
    <t>-465.307115109834 100.219882090296 -305.137119931311</t>
  </si>
  <si>
    <t>-700.897895544529 128.654190318602 -233.43350343687</t>
  </si>
  <si>
    <t>-592.859559080655 192.531225595517 204.636273872</t>
  </si>
  <si>
    <t>-528.026936986239 235.407999061639 667.999052183574</t>
  </si>
  <si>
    <t>-370.50780028838 235.188296326887 746.30061402642</t>
  </si>
  <si>
    <t>-717.466477830595 -32.9410590467678 222.527913376431</t>
  </si>
  <si>
    <t>-710.417998121285 24.1493589336699 688.83958135788</t>
  </si>
  <si>
    <t>-582.182848118216 -63.1053615047824 771.8207284453</t>
  </si>
  <si>
    <t>9763-20170724T160743.621815500.bin</t>
  </si>
  <si>
    <t>-712.74230108974 32.4487368457878 -233.048566359742</t>
  </si>
  <si>
    <t>-732.924308574912 33.9619023671978 -352.456152092592</t>
  </si>
  <si>
    <t>-741.370241293454 17.8854343957319 -472.292706280674</t>
  </si>
  <si>
    <t>-671.460255387182 102.297072356481 -794.232389829323</t>
  </si>
  <si>
    <t>-617.266465721238 193.093852441539 -495.895119677905</t>
  </si>
  <si>
    <t>-466.457262191347 100.662657352462 -305.224911793889</t>
  </si>
  <si>
    <t>-701.372473460893 128.948275226821 -233.331730813412</t>
  </si>
  <si>
    <t>-593.197949312128 192.728131183198 204.718493668963</t>
  </si>
  <si>
    <t>-528.162100420887 235.441417907805 668.110394721559</t>
  </si>
  <si>
    <t>-370.522995799458 235.264406246323 746.170771495801</t>
  </si>
  <si>
    <t>-718.095460508667 -32.883368878357 222.560945724146</t>
  </si>
  <si>
    <t>-710.519062032231 24.0647767421237 688.861320804948</t>
  </si>
  <si>
    <t>-582.086906336003 -62.9327547367654 771.807847409211</t>
  </si>
  <si>
    <t>9763-20170724T160743.691775200.bin</t>
  </si>
  <si>
    <t>-713.886475242292 32.7528215824423 -232.900975897001</t>
  </si>
  <si>
    <t>-734.047825948118 34.289943216628 -352.311884239608</t>
  </si>
  <si>
    <t>-742.629591062316 18.2457615854 -472.142891932834</t>
  </si>
  <si>
    <t>-673.394102378184 102.734227098247 -794.217885195989</t>
  </si>
  <si>
    <t>-619.562150004276 194.018385221484 -495.963685800892</t>
  </si>
  <si>
    <t>-468.645696057929 101.160759407515 -305.585792693428</t>
  </si>
  <si>
    <t>-702.350152734487 129.386749440969 -233.113087997783</t>
  </si>
  <si>
    <t>-594.210470806487 193.000220348161 204.970089816764</t>
  </si>
  <si>
    <t>-528.540687949026 235.475385210356 668.393486649008</t>
  </si>
  <si>
    <t>-370.589026379878 235.358716313986 745.819690800003</t>
  </si>
  <si>
    <t>-719.609423984843 -32.7029543805086 222.632535283685</t>
  </si>
  <si>
    <t>-710.771445204339 23.8560610886188 688.92505427566</t>
  </si>
  <si>
    <t>-581.856307399689 -62.5005879579501 771.791990551475</t>
  </si>
  <si>
    <t>9763-20170724T160743.722857000.bin</t>
  </si>
  <si>
    <t>-714.362537835218 32.8994981292876 -232.860492117936</t>
  </si>
  <si>
    <t>-734.507519365504 34.4191239283696 -352.274294404253</t>
  </si>
  <si>
    <t>-743.162046406353 18.3922665912551 -472.102571633857</t>
  </si>
  <si>
    <t>-674.360504257446 103.024858881809 -794.232020189071</t>
  </si>
  <si>
    <t>-620.549381005723 194.237836416153 -495.952263058569</t>
  </si>
  <si>
    <t>-469.56810314658 101.205174267127 -305.711404195073</t>
  </si>
  <si>
    <t>-702.827471863363 129.609374256236 -233.062440623446</t>
  </si>
  <si>
    <t>-594.724128887848 193.173041227894 205.036968168493</t>
  </si>
  <si>
    <t>-528.719977801541 235.534690372609 668.436492959493</t>
  </si>
  <si>
    <t>-370.621079957189 235.458264017428 745.561342039268</t>
  </si>
  <si>
    <t>-720.144239573774 -32.6162561768838 222.669816277994</t>
  </si>
  <si>
    <t>-710.842143394405 23.7912265923831 688.95097018987</t>
  </si>
  <si>
    <t>-581.754893404679 -62.3312993894656 771.793601864852</t>
  </si>
  <si>
    <t>9763-20170724T160743.790690000.bin</t>
  </si>
  <si>
    <t>-715.000880712155 33.2108884171889 -232.930460102642</t>
  </si>
  <si>
    <t>-735.189649059934 34.7393212208312 -352.336838309488</t>
  </si>
  <si>
    <t>-744.024264734598 18.7541455856576 -472.157396714975</t>
  </si>
  <si>
    <t>-676.246244246546 103.676881188401 -794.454997771825</t>
  </si>
  <si>
    <t>-622.223583361869 194.652040220756 -496.140905355521</t>
  </si>
  <si>
    <t>-471.234715728062 101.458515722605 -305.984721670651</t>
  </si>
  <si>
    <t>-703.680887909047 130.017597278944 -233.169898543702</t>
  </si>
  <si>
    <t>-595.553808892027 193.496330655189 204.935824786649</t>
  </si>
  <si>
    <t>-528.941351115595 235.625613074722 668.119290045672</t>
  </si>
  <si>
    <t>-370.671844111128 235.593835059785 744.893321417952</t>
  </si>
  <si>
    <t>-720.528100934121 -32.4483819476491 222.618407129093</t>
  </si>
  <si>
    <t>-710.879137033453 23.7325532478856 688.934108018049</t>
  </si>
  <si>
    <t>-581.689658348346 -62.2326996066408 771.780754032467</t>
  </si>
  <si>
    <t>9763-20170724T160743.825790200.bin</t>
  </si>
  <si>
    <t>-715.169382837462 33.367003442336 -232.998332046397</t>
  </si>
  <si>
    <t>-735.417456737051 34.8877299172625 -352.394813519347</t>
  </si>
  <si>
    <t>-744.326947463285 18.9137480269462 -472.211440513885</t>
  </si>
  <si>
    <t>-676.973708405358 103.984348294592 -794.546925183264</t>
  </si>
  <si>
    <t>-622.875127511694 194.776365948345 -496.190694932716</t>
  </si>
  <si>
    <t>-471.885609276038 101.193888337817 -306.226148965545</t>
  </si>
  <si>
    <t>-703.962455137484 130.222651571111 -233.270569145232</t>
  </si>
  <si>
    <t>-595.789984013163 193.620499370404 204.835787030075</t>
  </si>
  <si>
    <t>-528.972281699062 235.649110223107 668.019035945181</t>
  </si>
  <si>
    <t>-370.678525609306 235.658549758413 744.743030497508</t>
  </si>
  <si>
    <t>-720.412081599794 -32.3857176193524 222.560529815457</t>
  </si>
  <si>
    <t>-710.887530029462 23.7180465986951 688.912831547736</t>
  </si>
  <si>
    <t>-581.712847961971 -62.2565761427879 771.772809900712</t>
  </si>
  <si>
    <t>9763-20170724T160743.899668500.bin</t>
  </si>
  <si>
    <t>-715.463021384969 33.4974865038528 -233.023940427137</t>
  </si>
  <si>
    <t>-735.825727142584 35.0300372942702 -352.400760395223</t>
  </si>
  <si>
    <t>-744.886509287281 19.1123173984327 -472.213474372012</t>
  </si>
  <si>
    <t>-678.432338809825 104.604838811543 -794.64623692572</t>
  </si>
  <si>
    <t>-624.181934602291 194.809486851299 -496.139486987927</t>
  </si>
  <si>
    <t>-472.910571103229 100.746185387477 -306.637339825798</t>
  </si>
  <si>
    <t>-704.644136287504 130.313717958205 -233.243352314319</t>
  </si>
  <si>
    <t>-595.979762794486 193.779688269709 204.731196070734</t>
  </si>
  <si>
    <t>-528.819588007163 235.640006141493 667.897965143676</t>
  </si>
  <si>
    <t>-370.631447962514 235.801736688427 744.839306068151</t>
  </si>
  <si>
    <t>-720.119765988832 -32.3124631226194 222.484259989992</t>
  </si>
  <si>
    <t>-710.820980963546 23.7522988625467 688.869518201741</t>
  </si>
  <si>
    <t>-581.771943785259 -62.3854687155535 771.755835981559</t>
  </si>
  <si>
    <t>9763-20170724T160743.923733900.bin</t>
  </si>
  <si>
    <t>-715.609288783614 33.5377475200066 -233.050113269328</t>
  </si>
  <si>
    <t>-736.021568797881 35.0766775173154 -352.418392394465</t>
  </si>
  <si>
    <t>-745.148402278966 19.1745048397142 -472.228200466468</t>
  </si>
  <si>
    <t>-679.056201825604 104.789038293134 -794.677195879119</t>
  </si>
  <si>
    <t>-624.725549521874 194.751282075035 -496.111984321002</t>
  </si>
  <si>
    <t>-473.365764500188 100.271697301206 -306.887568713551</t>
  </si>
  <si>
    <t>-704.889272232996 130.397413744895 -233.234202960662</t>
  </si>
  <si>
    <t>-595.996346069298 193.850960928415 204.68550057619</t>
  </si>
  <si>
    <t>-528.647782073508 235.658986064794 667.83837258154</t>
  </si>
  <si>
    <t>-370.578036866291 235.877750087777 745.022704542205</t>
  </si>
  <si>
    <t>-719.95323218278 -32.3136655914166 222.456049998284</t>
  </si>
  <si>
    <t>-710.799695240617 23.7617553723085 688.855004371881</t>
  </si>
  <si>
    <t>-581.798309290587 -62.4380506926639 771.750973483317</t>
  </si>
  <si>
    <t>9763-20170724T160743.992444600.bin</t>
  </si>
  <si>
    <t>-715.985484608739 33.646353940095 -233.110484449248</t>
  </si>
  <si>
    <t>-736.533949476408 35.2272867889644 -352.454870429101</t>
  </si>
  <si>
    <t>-745.848151341137 19.3619917644671 -472.255121853146</t>
  </si>
  <si>
    <t>-680.377239195164 105.0214916598 -794.922125445851</t>
  </si>
  <si>
    <t>-625.91408526482 194.963750738646 -496.374984604419</t>
  </si>
  <si>
    <t>-474.311483379969 100.773894783501 -307.200581626485</t>
  </si>
  <si>
    <t>-705.411294850842 130.485532369063 -233.303640177769</t>
  </si>
  <si>
    <t>-596.140908488959 193.901513197637 204.527427817438</t>
  </si>
  <si>
    <t>-528.352724317386 235.623522260125 667.481613064983</t>
  </si>
  <si>
    <t>-370.503893284475 235.893414486693 745.116336585174</t>
  </si>
  <si>
    <t>-719.850317050778 -32.3366386238122 222.378423113353</t>
  </si>
  <si>
    <t>-710.794085133035 23.7625176714896 688.811148148704</t>
  </si>
  <si>
    <t>-581.803543218804 -62.4456165049987 771.715366352927</t>
  </si>
  <si>
    <t>9763-20170724T160744.021523600.bin</t>
  </si>
  <si>
    <t>-716.245335660224 33.6821940513244 -233.17797077358</t>
  </si>
  <si>
    <t>-736.840087184362 35.2938168935104 -352.513974452097</t>
  </si>
  <si>
    <t>-746.237334709232 19.4380156314503 -472.308990014286</t>
  </si>
  <si>
    <t>-680.936327845651 105.013317764364 -795.069778147556</t>
  </si>
  <si>
    <t>-626.566510742431 195.063470338416 -496.538137717263</t>
  </si>
  <si>
    <t>-474.861442517181 101.155380586656 -307.305772252871</t>
  </si>
  <si>
    <t>-705.62293625957 130.509492355511 -233.378813376144</t>
  </si>
  <si>
    <t>-596.205078040233 193.890177143149 204.420533570881</t>
  </si>
  <si>
    <t>-528.265271129208 235.576549798367 667.374620502233</t>
  </si>
  <si>
    <t>-370.49093800136 235.87956434797 745.160900221391</t>
  </si>
  <si>
    <t>-719.965729334831 -32.288924392335 222.31885652275</t>
  </si>
  <si>
    <t>-710.773569891353 23.7707560588649 688.77675254055</t>
  </si>
  <si>
    <t>-581.842184699683 -62.5111532796595 771.696257052869</t>
  </si>
  <si>
    <t>9763-20170724T160744.088775100.bin</t>
  </si>
  <si>
    <t>-716.88940505878 33.7727147315331 -233.248822346459</t>
  </si>
  <si>
    <t>-737.545557607324 35.4714696122776 -352.572956033862</t>
  </si>
  <si>
    <t>-747.032092580369 19.623412729356 -472.361986199707</t>
  </si>
  <si>
    <t>-681.741073630874 104.959167706316 -795.131605738503</t>
  </si>
  <si>
    <t>-627.887947820117 195.935596812923 -496.787306301187</t>
  </si>
  <si>
    <t>-475.81630252674 102.517339012703 -307.606832044019</t>
  </si>
  <si>
    <t>-706.02773101546 130.531996345312 -233.421055005711</t>
  </si>
  <si>
    <t>-596.258756995905 193.767417575983 204.311349966632</t>
  </si>
  <si>
    <t>-528.134601702672 235.465652717959 667.253734473201</t>
  </si>
  <si>
    <t>-370.462617395943 235.743652075094 745.247025731889</t>
  </si>
  <si>
    <t>-720.451496079079 -32.24086679167 222.239539192541</t>
  </si>
  <si>
    <t>-710.761152366068 23.7560598815005 688.71696900244</t>
  </si>
  <si>
    <t>-581.895302645757 -62.6030360394416 771.657980324171</t>
  </si>
  <si>
    <t>9763-20170724T160744.121873200.bin</t>
  </si>
  <si>
    <t>-717.203019471991 33.8110952008039 -233.290239101369</t>
  </si>
  <si>
    <t>-737.907100071104 35.5416178505136 -352.605531809882</t>
  </si>
  <si>
    <t>-747.413387975076 19.6537575606637 -472.387646280552</t>
  </si>
  <si>
    <t>-682.060487941232 104.707460870804 -795.13568159445</t>
  </si>
  <si>
    <t>-628.743688864292 196.271833934308 -496.874965015207</t>
  </si>
  <si>
    <t>-476.661623460463 102.379177678308 -307.937777103705</t>
  </si>
  <si>
    <t>-706.222891144113 130.567273898308 -233.452911898673</t>
  </si>
  <si>
    <t>-596.21222668009 193.695587382233 204.234320213692</t>
  </si>
  <si>
    <t>-528.075293090473 235.39693935731 667.196433653236</t>
  </si>
  <si>
    <t>-370.446991364709 235.657116608045 745.278207808765</t>
  </si>
  <si>
    <t>-720.759328482673 -32.1900785470696 222.204887277672</t>
  </si>
  <si>
    <t>-710.730283039726 23.7655569695689 688.692222633243</t>
  </si>
  <si>
    <t>-581.898701884167 -62.6402857450835 771.637787109436</t>
  </si>
  <si>
    <t>9763-20170724T160744.188045000.bin</t>
  </si>
  <si>
    <t>-717.785907793872 33.9106368216244 -233.251897315662</t>
  </si>
  <si>
    <t>-738.532912099257 35.7219086660091 -352.55862002371</t>
  </si>
  <si>
    <t>-748.035018133789 19.7459791057013 -472.329444886</t>
  </si>
  <si>
    <t>-682.403316418799 104.085027199893 -795.117060019747</t>
  </si>
  <si>
    <t>-629.590937031642 197.594578374745 -497.370529969328</t>
  </si>
  <si>
    <t>-477.784966529171 103.297030640724 -308.4129550553</t>
  </si>
  <si>
    <t>-706.628296851736 130.650196491449 -233.40228327677</t>
  </si>
  <si>
    <t>-596.222146703929 193.628220748057 204.207049024507</t>
  </si>
  <si>
    <t>-527.958045969959 235.343414111476 667.110873318709</t>
  </si>
  <si>
    <t>-370.414245454649 235.551184263476 745.362921814793</t>
  </si>
  <si>
    <t>-721.222143719114 -32.1828203672651 222.194490870668</t>
  </si>
  <si>
    <t>-710.782906360542 23.7154030385341 688.67677534503</t>
  </si>
  <si>
    <t>-581.886732868678 -62.6103101243243 771.605389279936</t>
  </si>
  <si>
    <t>9763-20170724T160744.222139900.bin</t>
  </si>
  <si>
    <t>-718.062473431462 33.9759868225681 -233.261117398465</t>
  </si>
  <si>
    <t>-738.892480672628 35.8392865239655 -352.552586693752</t>
  </si>
  <si>
    <t>-748.441293342399 19.8561502889258 -472.318671231794</t>
  </si>
  <si>
    <t>-682.54140390055 103.891942692032 -795.130369158782</t>
  </si>
  <si>
    <t>-630.123333300151 198.091961486284 -497.531823674363</t>
  </si>
  <si>
    <t>-478.65087605876 103.579861089436 -308.413916595912</t>
  </si>
  <si>
    <t>-706.790223932064 130.749407981837 -233.398558389945</t>
  </si>
  <si>
    <t>-596.350231611342 193.637611255457 204.215144092151</t>
  </si>
  <si>
    <t>-527.908950364617 235.352343715989 667.089383183469</t>
  </si>
  <si>
    <t>-370.409276091495 235.529644323044 745.430613010694</t>
  </si>
  <si>
    <t>-721.393065138715 -32.1660160693605 222.183986236335</t>
  </si>
  <si>
    <t>-710.808893263861 23.6978360807607 688.67758533379</t>
  </si>
  <si>
    <t>-581.857729657377 -62.558133612481 771.593316144884</t>
  </si>
  <si>
    <t>9763-20170724T160744.293884200.bin</t>
  </si>
  <si>
    <t>-718.621113606123 34.2065034682837 -233.267628799516</t>
  </si>
  <si>
    <t>-739.476797603231 36.1256211591347 -352.553698829943</t>
  </si>
  <si>
    <t>-749.059266270457 20.1223346104875 -472.314449995635</t>
  </si>
  <si>
    <t>-682.860384253369 103.755892578403 -795.114557918454</t>
  </si>
  <si>
    <t>-630.906427009572 198.794734438907 -497.701345162141</t>
  </si>
  <si>
    <t>-480.151671112098 104.377625119049 -307.963457256676</t>
  </si>
  <si>
    <t>-707.00719304629 130.954108813202 -233.413629327665</t>
  </si>
  <si>
    <t>-596.580208041559 193.681210740858 204.226453110166</t>
  </si>
  <si>
    <t>-527.782217720062 235.319175034653 667.056211983613</t>
  </si>
  <si>
    <t>-370.382222635402 235.415671946804 745.597367850464</t>
  </si>
  <si>
    <t>-721.873292633703 -32.0365468565742 222.162295591271</t>
  </si>
  <si>
    <t>-710.877566280318 23.647241951054 688.676981894573</t>
  </si>
  <si>
    <t>-581.749899495918 -62.3694555948189 771.566586435062</t>
  </si>
  <si>
    <t>9763-20170724T160744.319944000.bin</t>
  </si>
  <si>
    <t>-718.865551109081 34.330974879229 -233.285890404448</t>
  </si>
  <si>
    <t>-739.772766104049 36.2884211256994 -352.562237364661</t>
  </si>
  <si>
    <t>-749.362371184821 20.2970935337084 -472.324008560162</t>
  </si>
  <si>
    <t>-683.149331246119 103.950508355724 -795.091373945602</t>
  </si>
  <si>
    <t>-631.483736770196 199.261609403088 -497.715173490436</t>
  </si>
  <si>
    <t>-480.923008905493 105.24297631091 -307.62566372515</t>
  </si>
  <si>
    <t>-707.094373015342 131.064563424174 -233.427941223264</t>
  </si>
  <si>
    <t>-596.563344719787 193.697828651166 204.19937250662</t>
  </si>
  <si>
    <t>-527.722595940194 235.288379548337 667.042860865093</t>
  </si>
  <si>
    <t>-370.374652031118 235.334616730151 745.688365933338</t>
  </si>
  <si>
    <t>-722.184911295399 -31.9223147275186 222.150235770192</t>
  </si>
  <si>
    <t>-710.906721324805 23.6159879111683 688.667118232445</t>
  </si>
  <si>
    <t>-581.698886654742 -62.287051625553 771.549674964405</t>
  </si>
  <si>
    <t>9763-20170724T160744.388133500.bin</t>
  </si>
  <si>
    <t>-719.231568774478 34.723053049614 -233.308086014172</t>
  </si>
  <si>
    <t>-740.206246458721 36.7171557113363 -352.572096401627</t>
  </si>
  <si>
    <t>-749.779307200076 20.7586681710011 -472.339523736028</t>
  </si>
  <si>
    <t>-683.658836584112 104.682114580261 -795.005415152287</t>
  </si>
  <si>
    <t>-633.11768548096 200.510464840602 -497.602184509531</t>
  </si>
  <si>
    <t>-482.661155912325 107.116465076487 -307.122673005641</t>
  </si>
  <si>
    <t>-707.336883018335 131.474016977772 -233.401544592402</t>
  </si>
  <si>
    <t>-596.424271072934 193.80908050685 204.171698224808</t>
  </si>
  <si>
    <t>-527.679086920254 235.265679514751 667.101610751425</t>
  </si>
  <si>
    <t>-370.375902950592 235.202228501115 745.836641931753</t>
  </si>
  <si>
    <t>-722.58709411492 -31.6452081512243 222.119342639738</t>
  </si>
  <si>
    <t>-710.9277103794 23.561166671504 688.656773289162</t>
  </si>
  <si>
    <t>-581.618423729166 -62.1929807754971 771.535277327124</t>
  </si>
  <si>
    <t>9763-20170724T160744.421221000.bin</t>
  </si>
  <si>
    <t>-719.39069005505 34.8996609567141 -233.284050524717</t>
  </si>
  <si>
    <t>-740.469359204058 36.9269059451519 -352.529169447547</t>
  </si>
  <si>
    <t>-750.055571181691 20.9874491948262 -472.298068002632</t>
  </si>
  <si>
    <t>-683.930944425962 105.003049538487 -794.899765593937</t>
  </si>
  <si>
    <t>-634.015293027495 201.171879711814 -497.500828756142</t>
  </si>
  <si>
    <t>-483.514139235461 108.193330340659 -306.853290109057</t>
  </si>
  <si>
    <t>-707.45810299058 131.631323301501 -233.369504140348</t>
  </si>
  <si>
    <t>-596.39805316481 193.833120467065 204.185345701358</t>
  </si>
  <si>
    <t>-527.640245970882 235.215360758822 667.086209299356</t>
  </si>
  <si>
    <t>-370.374584045838 235.166116324155 745.896359197066</t>
  </si>
  <si>
    <t>-722.663556793478 -31.5634838044573 222.119286276696</t>
  </si>
  <si>
    <t>-710.945753015956 23.5383571299226 688.665803077975</t>
  </si>
  <si>
    <t>-581.565349469339 -62.1129067139671 771.539705679264</t>
  </si>
  <si>
    <t>9763-20170724T160744.492205700.bin</t>
  </si>
  <si>
    <t>-719.690667297231 35.1610955040849 -233.285265650818</t>
  </si>
  <si>
    <t>-741.058330875579 37.2366491084529 -352.478030309864</t>
  </si>
  <si>
    <t>-750.739179715762 21.3536713283743 -472.24683351205</t>
  </si>
  <si>
    <t>-684.575131283202 105.586057739594 -794.621346082413</t>
  </si>
  <si>
    <t>-635.699921931864 202.389455914033 -497.255548897723</t>
  </si>
  <si>
    <t>-485.170836964634 110.00299364082 -306.342545903012</t>
  </si>
  <si>
    <t>-707.768277399844 131.909718430727 -233.33803244678</t>
  </si>
  <si>
    <t>-596.438471515986 193.93407856028 204.173358195223</t>
  </si>
  <si>
    <t>-527.57579811439 235.178429170762 667.095992671157</t>
  </si>
  <si>
    <t>-370.375403228336 235.141805977244 746.035973813309</t>
  </si>
  <si>
    <t>-722.480355646306 -31.4721773082204 222.110411419201</t>
  </si>
  <si>
    <t>-710.953235930611 23.5333558836821 688.693463584747</t>
  </si>
  <si>
    <t>-581.472321777063 -61.9989798594463 771.533202312348</t>
  </si>
  <si>
    <t>9763-20170724T160744.526285100.bin</t>
  </si>
  <si>
    <t>-719.940865114437 35.2404690514372 -233.242600632188</t>
  </si>
  <si>
    <t>-741.511392675048 37.3603334461434 -352.39801897775</t>
  </si>
  <si>
    <t>-751.266868816709 21.5215766182723 -472.166638040797</t>
  </si>
  <si>
    <t>-685.049978688602 105.86245642011 -794.41711101479</t>
  </si>
  <si>
    <t>-636.595520318721 202.860762459825 -497.045768400627</t>
  </si>
  <si>
    <t>-485.950975027004 111.005215705351 -305.967710768101</t>
  </si>
  <si>
    <t>-708.063878030755 132.00974139119 -233.258547050043</t>
  </si>
  <si>
    <t>-596.54923418992 193.974065242271 204.214372876055</t>
  </si>
  <si>
    <t>-527.583752488678 235.176636905842 667.1494326287</t>
  </si>
  <si>
    <t>-370.38916747526 235.149148144207 746.100932273766</t>
  </si>
  <si>
    <t>-722.376245489283 -31.4758337226453 222.12958850897</t>
  </si>
  <si>
    <t>-710.984564216115 23.5184894031324 688.717814890938</t>
  </si>
  <si>
    <t>-581.378519690899 -61.854180676869 771.526603584492</t>
  </si>
  <si>
    <t>9763-20170724T160744.588478700.bin</t>
  </si>
  <si>
    <t>-720.515575407003 35.4960083880333 -233.06552308069</t>
  </si>
  <si>
    <t>-742.317011595085 37.6997126799486 -352.177410007529</t>
  </si>
  <si>
    <t>-752.11560032927 21.9410256895626 -471.953075073694</t>
  </si>
  <si>
    <t>-756.338295094882 0.273676005857169 -579.226317753484</t>
  </si>
  <si>
    <t>-685.698452951656 106.519546955195 -793.999719689949</t>
  </si>
  <si>
    <t>-638.027921617892 203.775423103616 -496.585890873854</t>
  </si>
  <si>
    <t>-487.07226404751 112.819501815029 -305.322939292562</t>
  </si>
  <si>
    <t>-708.65844848805 132.317338957183 -233.040688069089</t>
  </si>
  <si>
    <t>-596.813209358072 194.130200071846 204.369334965624</t>
  </si>
  <si>
    <t>-527.632497748306 235.244899274147 667.294666508641</t>
  </si>
  <si>
    <t>-370.414546820917 235.207824675315 746.199924221279</t>
  </si>
  <si>
    <t>-722.197201822908 -31.4563763277697 222.200625589214</t>
  </si>
  <si>
    <t>-710.971707967656 23.5408283167051 688.770625847456</t>
  </si>
  <si>
    <t>-581.295504427603 -61.7794692557347 771.523499764251</t>
  </si>
  <si>
    <t>9763-20170724T160744.652646300.bin</t>
  </si>
  <si>
    <t>-721.182232983019 35.7059613130834 -232.882225990366</t>
  </si>
  <si>
    <t>-743.190100396829 37.9841286419264 -351.954812233913</t>
  </si>
  <si>
    <t>-753.009913809898 22.3057554872755 -471.739271526957</t>
  </si>
  <si>
    <t>-757.174468841995 0.709616914389699 -579.029113195148</t>
  </si>
  <si>
    <t>-686.556902940522 107.234412940353 -793.573958095814</t>
  </si>
  <si>
    <t>-639.5330542125 204.557842152484 -496.079435119184</t>
  </si>
  <si>
    <t>-488.296726336773 114.268483841063 -304.7224590476</t>
  </si>
  <si>
    <t>-709.39227315191 132.608519769591 -232.781213537041</t>
  </si>
  <si>
    <t>-597.189013651735 194.315197964099 204.552058443933</t>
  </si>
  <si>
    <t>-527.730752547886 235.376091381079 667.467813971306</t>
  </si>
  <si>
    <t>-370.451778597587 235.259823285631 746.250953061339</t>
  </si>
  <si>
    <t>-722.091197350687 -31.4514052906679 222.303342146821</t>
  </si>
  <si>
    <t>-710.992396647368 23.5490927719916 688.842859711593</t>
  </si>
  <si>
    <t>-581.200630057264 -61.6568697832845 771.532330704225</t>
  </si>
  <si>
    <t>9763-20170724T160744.690276900.bin</t>
  </si>
  <si>
    <t>-721.516681491238 35.7800353514554 -232.79048646472</t>
  </si>
  <si>
    <t>-743.592004667544 38.0904403614252 -351.849895419545</t>
  </si>
  <si>
    <t>-753.392712624907 22.4712227760558 -471.643797292054</t>
  </si>
  <si>
    <t>-757.504599027436 0.936811426560325 -578.948104715874</t>
  </si>
  <si>
    <t>-686.78995886828 107.65084997132 -793.364973829192</t>
  </si>
  <si>
    <t>-640.12452154777 204.897016539881 -495.78847473714</t>
  </si>
  <si>
    <t>-488.705486963535 115.009684792343 -304.38697321017</t>
  </si>
  <si>
    <t>-709.791256204312 132.692034094693 -232.64022645476</t>
  </si>
  <si>
    <t>-597.432362831418 194.396140299366 204.653520446965</t>
  </si>
  <si>
    <t>-527.796156482092 235.397340363749 667.554496517797</t>
  </si>
  <si>
    <t>-370.472831409746 235.305987555826 746.249330370106</t>
  </si>
  <si>
    <t>-722.132263786717 -31.4393626572798 222.351156325351</t>
  </si>
  <si>
    <t>-710.965100726873 23.5656260808039 688.866931263636</t>
  </si>
  <si>
    <t>-581.142888915045 -61.6094774434696 771.540400618812</t>
  </si>
  <si>
    <t>9763-20170724T160744.722363700.bin</t>
  </si>
  <si>
    <t>-721.827382042584 35.8322625188985 -232.724212739974</t>
  </si>
  <si>
    <t>-743.972452189218 38.1647305594749 -351.77023814109</t>
  </si>
  <si>
    <t>-753.791963983863 22.6105304419427 -471.571057057532</t>
  </si>
  <si>
    <t>-757.899038631307 1.15026840610312 -578.890293967178</t>
  </si>
  <si>
    <t>-687.142913016269 108.070860649793 -793.197094291</t>
  </si>
  <si>
    <t>-640.985633216767 205.165818872832 -495.492239072259</t>
  </si>
  <si>
    <t>-489.304433109036 115.894040315567 -304.010093835487</t>
  </si>
  <si>
    <t>-710.152855388052 132.775586777005 -232.518690495997</t>
  </si>
  <si>
    <t>-597.690654136275 194.44837685303 204.752845354474</t>
  </si>
  <si>
    <t>-527.881611912424 235.45344275962 667.652070986794</t>
  </si>
  <si>
    <t>-370.50009421809 235.337941087816 746.230339592847</t>
  </si>
  <si>
    <t>-722.177347207513 -31.4595017011195 222.395375790142</t>
  </si>
  <si>
    <t>-710.962179498878 23.5662618068841 688.89165462609</t>
  </si>
  <si>
    <t>-581.120017125065 -61.5916958178161 771.551465630348</t>
  </si>
  <si>
    <t>9763-20170724T160744.790551800.bin</t>
  </si>
  <si>
    <t>-722.535803265975 35.8596914362533 -232.533778699004</t>
  </si>
  <si>
    <t>-744.786094283964 38.2609915849439 -351.558808595469</t>
  </si>
  <si>
    <t>-754.571736584088 22.8082003395316 -471.375382545024</t>
  </si>
  <si>
    <t>-758.587057764662 1.45115592205025 -578.718794673001</t>
  </si>
  <si>
    <t>-687.807984985149 108.743064619986 -792.777292692611</t>
  </si>
  <si>
    <t>-642.581107999152 205.673461281689 -494.875852264475</t>
  </si>
  <si>
    <t>-490.656272239845 117.21075666696 -303.211453404261</t>
  </si>
  <si>
    <t>-710.868270933411 132.873267864288 -232.258373269715</t>
  </si>
  <si>
    <t>-598.236234568887 194.540828893537 204.970212701209</t>
  </si>
  <si>
    <t>-528.119457885681 235.595446563651 667.870541408579</t>
  </si>
  <si>
    <t>-370.568054787624 235.386218229501 746.107178241228</t>
  </si>
  <si>
    <t>-722.355668724161 -31.5373347067507 222.494043100078</t>
  </si>
  <si>
    <t>-710.96481671757 23.5570738594427 688.949419128783</t>
  </si>
  <si>
    <t>-581.033619389022 -61.4998414107833 771.573381982126</t>
  </si>
  <si>
    <t>9763-20170724T160744.822634700.bin</t>
  </si>
  <si>
    <t>-722.880923151328 35.8644128020524 -232.443821943759</t>
  </si>
  <si>
    <t>-745.221684269698 38.2971993758267 -351.451247689486</t>
  </si>
  <si>
    <t>-754.984849598852 22.9102448591511 -471.278278216402</t>
  </si>
  <si>
    <t>-758.93026288458 1.62523497987991 -578.638476280866</t>
  </si>
  <si>
    <t>-687.997948177867 109.154279227012 -792.570175426708</t>
  </si>
  <si>
    <t>-643.497715241715 206.172714941179 -494.588068337186</t>
  </si>
  <si>
    <t>-491.640802980978 117.7159896053 -302.867071413235</t>
  </si>
  <si>
    <t>-711.210346876082 132.916842181175 -232.141675149963</t>
  </si>
  <si>
    <t>-598.467977886511 194.56391244266 205.061318779487</t>
  </si>
  <si>
    <t>-528.248852292159 235.684151296688 667.956698294021</t>
  </si>
  <si>
    <t>-370.602973160612 235.404406783301 746.003145827603</t>
  </si>
  <si>
    <t>-722.497725506797 -31.5659629448191 222.555237131356</t>
  </si>
  <si>
    <t>-710.962900280554 23.561332117094 688.98150403622</t>
  </si>
  <si>
    <t>-581.018827067581 -61.4917763852982 771.589099673482</t>
  </si>
  <si>
    <t>9763-20170724T160744.893875700.bin</t>
  </si>
  <si>
    <t>-723.618880664638 35.7829299521045 -232.22391683056</t>
  </si>
  <si>
    <t>-746.004043601063 38.2918809355915 -351.221448281207</t>
  </si>
  <si>
    <t>-755.696945947988 22.9794586559049 -471.063627590357</t>
  </si>
  <si>
    <t>-759.529044592638 1.76043417806204 -578.441125389725</t>
  </si>
  <si>
    <t>-688.469132984795 109.531947408815 -792.065164733648</t>
  </si>
  <si>
    <t>-645.344936903344 207.265511199031 -494.114379207324</t>
  </si>
  <si>
    <t>-493.555051532976 119.022093516538 -302.242054885512</t>
  </si>
  <si>
    <t>-711.971912953274 132.875107926221 -231.815617837643</t>
  </si>
  <si>
    <t>-598.778862777036 194.471669448411 205.277987533913</t>
  </si>
  <si>
    <t>-528.637101962602 235.726426825719 668.253067129442</t>
  </si>
  <si>
    <t>-370.696303554812 235.430510534704 745.700547874153</t>
  </si>
  <si>
    <t>-722.856918990161 -31.6664950588001 222.68099967324</t>
  </si>
  <si>
    <t>-710.957668067081 23.5474565772265 689.035885467854</t>
  </si>
  <si>
    <t>-580.978893500431 -61.4654638075783 771.630249169118</t>
  </si>
  <si>
    <t>9763-20170724T160744.921938800.bin</t>
  </si>
  <si>
    <t>-723.926893569093 35.5970541050615 -232.09639306225</t>
  </si>
  <si>
    <t>-746.258308407755 38.1293574148481 -351.103520284256</t>
  </si>
  <si>
    <t>-755.900197114182 22.8411121094357 -470.952837414927</t>
  </si>
  <si>
    <t>-759.68597639459 1.64530102658773 -578.336552396118</t>
  </si>
  <si>
    <t>-688.574488523429 109.506348312683 -791.841665420443</t>
  </si>
  <si>
    <t>-646.096183022857 207.777057402193 -493.974770183499</t>
  </si>
  <si>
    <t>-494.459604514406 119.300920995539 -302.088475414661</t>
  </si>
  <si>
    <t>-712.269558789346 132.698588779643 -231.684591669275</t>
  </si>
  <si>
    <t>-598.894379961624 194.317622449578 205.358665679064</t>
  </si>
  <si>
    <t>-528.837753745432 235.698565048355 668.326965483028</t>
  </si>
  <si>
    <t>-370.756783090628 235.488778566998 745.488338058374</t>
  </si>
  <si>
    <t>-723.06080374884 -31.7594429303626 222.74372505054</t>
  </si>
  <si>
    <t>-710.964608250788 23.5306713793841 689.06008815717</t>
  </si>
  <si>
    <t>-580.942122607413 -61.4156153338224 771.654249248764</t>
  </si>
  <si>
    <t>9763-20170724T160744.986122200.bin</t>
  </si>
  <si>
    <t>-724.291676580958 35.2143342013114 -232.08261192128</t>
  </si>
  <si>
    <t>-746.743406355281 37.7754993024989 -351.06656845463</t>
  </si>
  <si>
    <t>-756.425220363266 22.5319463065684 -470.918391700831</t>
  </si>
  <si>
    <t>-760.21073109634 1.38255141034028 -578.311190962579</t>
  </si>
  <si>
    <t>-689.130807141974 109.408843550515 -791.622645572123</t>
  </si>
  <si>
    <t>-647.53441246059 208.863670338934 -494.024472377629</t>
  </si>
  <si>
    <t>-496.120455916053 120.440849246535 -301.937920871939</t>
  </si>
  <si>
    <t>-712.666082514133 132.298529943067 -231.696035821327</t>
  </si>
  <si>
    <t>-599.134317998866 194.028729691981 205.290957939693</t>
  </si>
  <si>
    <t>-529.085273143584 235.720385569884 668.062487935323</t>
  </si>
  <si>
    <t>-370.827362991688 235.535415169067 744.860159825652</t>
  </si>
  <si>
    <t>-723.083504797021 -32.0130118146153 222.783025373841</t>
  </si>
  <si>
    <t>-710.96674508009 23.5393829929162 689.088303818773</t>
  </si>
  <si>
    <t>-580.900667554426 -61.3538112019994 771.6683782027</t>
  </si>
  <si>
    <t>9763-20170724T160745.024223900.bin</t>
  </si>
  <si>
    <t>-724.451236824559 35.0012444267209 -232.129626187554</t>
  </si>
  <si>
    <t>-746.985870072897 37.5814495938666 -351.09734420709</t>
  </si>
  <si>
    <t>-756.714512693759 22.3606741510696 -470.948331558127</t>
  </si>
  <si>
    <t>-760.526713805189 1.23261230619892 -578.344384413515</t>
  </si>
  <si>
    <t>-689.450122612044 109.310216441856 -791.600038787066</t>
  </si>
  <si>
    <t>-648.201896991501 209.163985811679 -494.087042662097</t>
  </si>
  <si>
    <t>-496.852575939067 121.043051818614 -301.810845594854</t>
  </si>
  <si>
    <t>-712.799936078897 132.115196841743 -231.776258598305</t>
  </si>
  <si>
    <t>-599.202332631936 193.898443434898 205.186185527998</t>
  </si>
  <si>
    <t>-529.132088974768 235.700914433178 667.955552445553</t>
  </si>
  <si>
    <t>-370.845459156949 235.555975493603 744.694320486784</t>
  </si>
  <si>
    <t>-723.063252093787 -32.1078775646777 222.754699192497</t>
  </si>
  <si>
    <t>-710.940116870253 23.570385627613 689.080820551684</t>
  </si>
  <si>
    <t>-580.900128917004 -61.3669950055241 771.656564292481</t>
  </si>
  <si>
    <t>9763-20170724T160745.092218800.bin</t>
  </si>
  <si>
    <t>-724.662122967785 34.5843108755737 -232.143051958999</t>
  </si>
  <si>
    <t>-747.2128426816 37.1652190790869 -351.107842507627</t>
  </si>
  <si>
    <t>-756.948643884446 21.9883704271792 -470.963806229344</t>
  </si>
  <si>
    <t>-760.761726687939 0.91712913383617 -578.370989883957</t>
  </si>
  <si>
    <t>-689.595220178735 109.138842182145 -791.418631841743</t>
  </si>
  <si>
    <t>-648.924291699766 209.275489453114 -493.921203950885</t>
  </si>
  <si>
    <t>-497.773106655722 122.162014727927 -301.031001232006</t>
  </si>
  <si>
    <t>-712.999564181195 131.639233873352 -231.818387827503</t>
  </si>
  <si>
    <t>-599.169815613558 193.579895913113 205.061236642365</t>
  </si>
  <si>
    <t>-529.043678309625 235.624998229956 667.825499316644</t>
  </si>
  <si>
    <t>-370.834577550619 235.495928241796 744.723918261263</t>
  </si>
  <si>
    <t>-723.24655454148 -32.2959529516995 222.729957580485</t>
  </si>
  <si>
    <t>-710.905201644097 23.5893792686657 689.043841768171</t>
  </si>
  <si>
    <t>-580.937771188145 -61.4515899036937 771.627190658829</t>
  </si>
  <si>
    <t>9763-20170724T160745.119291300.bin</t>
  </si>
  <si>
    <t>-724.767240370299 34.3481527887013 -232.12218981815</t>
  </si>
  <si>
    <t>-747.330515254065 36.9401735008234 -351.084308225114</t>
  </si>
  <si>
    <t>-757.058486573576 21.7714980028895 -470.94196687867</t>
  </si>
  <si>
    <t>-760.854759213115 0.706960845835965 -578.351123396425</t>
  </si>
  <si>
    <t>-689.648807799329 108.965051035703 -791.269564776206</t>
  </si>
  <si>
    <t>-649.128573406641 209.120909265584 -493.758054474268</t>
  </si>
  <si>
    <t>-498.039299232861 122.601008454289 -300.552489016595</t>
  </si>
  <si>
    <t>-713.035315474051 131.382355838636 -231.797733154596</t>
  </si>
  <si>
    <t>-599.085886610933 193.390227325762 205.041124846765</t>
  </si>
  <si>
    <t>-528.921913673708 235.594759111217 667.799234157526</t>
  </si>
  <si>
    <t>-370.811346584122 235.484682502279 744.900013003077</t>
  </si>
  <si>
    <t>-723.356262454113 -32.4359707857836 222.738186640377</t>
  </si>
  <si>
    <t>-710.907803579515 23.5826878333303 689.032901190255</t>
  </si>
  <si>
    <t>-580.922008850889 -61.4331915206835 771.613189899635</t>
  </si>
  <si>
    <t>9763-20170724T160745.188478000.bin</t>
  </si>
  <si>
    <t>-724.984075602512 33.8885086306989 -232.16674306066</t>
  </si>
  <si>
    <t>-747.61036942242 36.4645524273596 -351.117289082858</t>
  </si>
  <si>
    <t>-757.325959994027 21.330622503232 -470.980260544789</t>
  </si>
  <si>
    <t>-761.077527546856 0.317265977648958 -578.40102564465</t>
  </si>
  <si>
    <t>-689.813632754182 108.782494226945 -791.132036001683</t>
  </si>
  <si>
    <t>-649.403784542268 208.585114583169 -493.486841507529</t>
  </si>
  <si>
    <t>-498.30208313399 123.328152169172 -299.730348178374</t>
  </si>
  <si>
    <t>-713.278599871224 130.941298760034 -231.884090630331</t>
  </si>
  <si>
    <t>-598.922584230111 193.057925297147 204.833134926741</t>
  </si>
  <si>
    <t>-528.681168092988 235.53405483393 667.437757021273</t>
  </si>
  <si>
    <t>-370.781833321789 235.404887503253 744.970464151504</t>
  </si>
  <si>
    <t>-723.458044810127 -32.6618019436453 222.712617846394</t>
  </si>
  <si>
    <t>-710.884446257639 23.5995852009298 689.005342485762</t>
  </si>
  <si>
    <t>-580.909744116138 -61.4403750479996 771.578304073835</t>
  </si>
  <si>
    <t>9763-20170724T160745.221564500.bin</t>
  </si>
  <si>
    <t>-725.11873770699 33.6317187563193 -232.207207093519</t>
  </si>
  <si>
    <t>-747.790891365775 36.2069073148625 -351.14904327381</t>
  </si>
  <si>
    <t>-757.505466440147 21.0738705428766 -471.012194204704</t>
  </si>
  <si>
    <t>-761.237018162 0.0610975987069651 -578.43379513498</t>
  </si>
  <si>
    <t>-689.982839343123 108.571496739501 -791.091404749445</t>
  </si>
  <si>
    <t>-649.451790000318 208.139565574969 -493.383995367151</t>
  </si>
  <si>
    <t>-498.367245732012 123.3995478083 -299.387584734556</t>
  </si>
  <si>
    <t>-713.453153966344 130.666216655015 -231.940186090183</t>
  </si>
  <si>
    <t>-598.880169494677 192.855379586407 204.709773395418</t>
  </si>
  <si>
    <t>-528.604274861584 235.474844787496 667.309126498197</t>
  </si>
  <si>
    <t>-370.779219490905 235.379060308028 744.992745835637</t>
  </si>
  <si>
    <t>-723.485529061761 -32.8293086213764 222.690848657428</t>
  </si>
  <si>
    <t>-710.892479290306 23.5865220491521 688.983934198934</t>
  </si>
  <si>
    <t>-580.862275840853 -61.3748621095694 771.550424686676</t>
  </si>
  <si>
    <t>9763-20170724T160745.287761700.bin</t>
  </si>
  <si>
    <t>-725.450417631968 33.1429808959178 -232.256200723266</t>
  </si>
  <si>
    <t>-748.146918761172 35.7204609628654 -351.193271195702</t>
  </si>
  <si>
    <t>-757.827491166507 20.6196216562648 -471.063283521652</t>
  </si>
  <si>
    <t>-690.0112261224 108.222635406202 -790.996736102456</t>
  </si>
  <si>
    <t>-649.475818078765 207.131215344892 -493.070314358925</t>
  </si>
  <si>
    <t>-498.617929418544 123.036238865898 -298.617197932181</t>
  </si>
  <si>
    <t>-713.798193582788 130.168855742194 -231.987036217556</t>
  </si>
  <si>
    <t>-599.000509807823 192.424351562654 204.594499976092</t>
  </si>
  <si>
    <t>-528.489505044624 235.334226877595 667.140366584444</t>
  </si>
  <si>
    <t>-370.779591797851 235.337315875448 745.057655755816</t>
  </si>
  <si>
    <t>-723.64200036771 -33.0941622083119 222.641141418366</t>
  </si>
  <si>
    <t>-710.893633250946 23.5751924638992 688.941716785394</t>
  </si>
  <si>
    <t>-580.806962224464 -61.3105862031407 771.497025135278</t>
  </si>
  <si>
    <t>9763-20170724T160745.321852000.bin</t>
  </si>
  <si>
    <t>-725.603939324379 32.9208424033525 -232.265023480149</t>
  </si>
  <si>
    <t>-748.26840987144 35.4987747232033 -351.208172557946</t>
  </si>
  <si>
    <t>-757.92395292865 20.3988779192409 -471.080304291516</t>
  </si>
  <si>
    <t>-689.913376250477 107.941927462495 -790.906187353005</t>
  </si>
  <si>
    <t>-649.295090113614 206.435828637044 -492.853656084359</t>
  </si>
  <si>
    <t>-498.731141425266 122.549857643168 -298.08283154685</t>
  </si>
  <si>
    <t>-713.993090362608 129.910451430275 -231.980821057145</t>
  </si>
  <si>
    <t>-599.157637126041 192.208197679367 204.584679661925</t>
  </si>
  <si>
    <t>-528.441418709492 235.286008850057 667.082552837269</t>
  </si>
  <si>
    <t>-370.780260528429 235.28083981176 745.098562433258</t>
  </si>
  <si>
    <t>-723.782510342854 -33.2228918274714 222.629278230261</t>
  </si>
  <si>
    <t>-710.874838460814 23.570955071812 688.918048344924</t>
  </si>
  <si>
    <t>-580.797934003926 -61.3275576911415 771.475612458043</t>
  </si>
  <si>
    <t>9763-20170724T160745.390044700.bin</t>
  </si>
  <si>
    <t>-725.911532137607 32.4707266341061 -232.266501526103</t>
  </si>
  <si>
    <t>-748.50791463188 35.0442414197382 -351.222673869459</t>
  </si>
  <si>
    <t>-758.169276538013 20.0428203086653 -471.106780779654</t>
  </si>
  <si>
    <t>-689.641645955744 107.775002917419 -790.494114266524</t>
  </si>
  <si>
    <t>-648.4342131511 205.055645439437 -492.124165677245</t>
  </si>
  <si>
    <t>-498.557526465 121.463224568898 -296.698096152574</t>
  </si>
  <si>
    <t>-714.292381736539 129.497196080227 -231.970171273791</t>
  </si>
  <si>
    <t>-599.584017344684 191.822638456767 204.624813254904</t>
  </si>
  <si>
    <t>-528.412299673181 235.195313197612 667.071233494459</t>
  </si>
  <si>
    <t>-370.788920630691 235.218940172604 745.163205897351</t>
  </si>
  <si>
    <t>-724.10518324717 -33.4661919171072 222.615397608315</t>
  </si>
  <si>
    <t>-710.905862189887 23.5081390720177 688.87539011234</t>
  </si>
  <si>
    <t>-580.770255123226 -61.2906635260053 771.442939696683</t>
  </si>
  <si>
    <t>9763-20170724T160745.425163600.bin</t>
  </si>
  <si>
    <t>-726.036126699991 32.1927761204838 -232.229948816977</t>
  </si>
  <si>
    <t>-748.561523861252 34.7595763298352 -351.199800493976</t>
  </si>
  <si>
    <t>-758.287316076771 19.8823002704601 -471.094094653293</t>
  </si>
  <si>
    <t>-689.81603928812 108.084917748166 -790.244015229711</t>
  </si>
  <si>
    <t>-648.001581316026 204.480530420088 -491.671340074035</t>
  </si>
  <si>
    <t>-498.360647774884 120.81106288861 -296.0975758862</t>
  </si>
  <si>
    <t>-714.420623415167 129.192778952538 -231.925819600306</t>
  </si>
  <si>
    <t>-599.759848184713 191.655371427182 204.662164794764</t>
  </si>
  <si>
    <t>-528.39756166502 235.167944063309 667.063666330891</t>
  </si>
  <si>
    <t>-370.788236699723 235.165044792184 745.184239506815</t>
  </si>
  <si>
    <t>-724.234301600289 -33.6086424403188 222.626135931221</t>
  </si>
  <si>
    <t>-710.905487784716 23.4896883456245 688.863746790542</t>
  </si>
  <si>
    <t>-580.752400536196 -61.2745793958015 771.439172178899</t>
  </si>
  <si>
    <t>9763-20170724T160745.487981000.bin</t>
  </si>
  <si>
    <t>-726.050083335019 31.5794708219426 -232.147716998825</t>
  </si>
  <si>
    <t>-748.430098382747 34.151967400393 -351.144841447344</t>
  </si>
  <si>
    <t>-758.372960952906 19.6290506747532 -471.06475973648</t>
  </si>
  <si>
    <t>-690.633891185971 109.349711070553 -789.568574963915</t>
  </si>
  <si>
    <t>-647.110290419614 203.719332391551 -490.593312439263</t>
  </si>
  <si>
    <t>-497.623347941368 119.605441032989 -295.092510301953</t>
  </si>
  <si>
    <t>-714.329032822684 128.55231514401 -231.878074513178</t>
  </si>
  <si>
    <t>-599.868864662668 191.278547368039 204.724717667272</t>
  </si>
  <si>
    <t>-528.353330878202 235.132302353932 667.028879438013</t>
  </si>
  <si>
    <t>-370.790511490397 235.095604758395 745.243399232067</t>
  </si>
  <si>
    <t>-724.36520366945 -33.925391563133 222.663306384698</t>
  </si>
  <si>
    <t>-710.855630187256 23.5006126592327 688.846793672909</t>
  </si>
  <si>
    <t>-580.725006340681 -61.2897988827774 771.430820359146</t>
  </si>
  <si>
    <t>9763-20170724T160745.527088000.bin</t>
  </si>
  <si>
    <t>-726.04526609414 31.2306364082742 -232.102226435231</t>
  </si>
  <si>
    <t>-748.352816892233 33.8307184387966 -351.112453059861</t>
  </si>
  <si>
    <t>-758.332136649763 19.440424843684 -471.045331372012</t>
  </si>
  <si>
    <t>-690.841349178552 109.761870676311 -789.292814550317</t>
  </si>
  <si>
    <t>-646.770803638525 203.077296300163 -490.066810433506</t>
  </si>
  <si>
    <t>-497.073176910344 119.034450478204 -294.696674757526</t>
  </si>
  <si>
    <t>-714.26484262051 128.131445152595 -231.826118986322</t>
  </si>
  <si>
    <t>-599.722322611033 190.989838115005 204.735992013221</t>
  </si>
  <si>
    <t>-528.330560964322 235.058845970569 667.014451661841</t>
  </si>
  <si>
    <t>-370.795752768125 235.058597461699 745.285139676614</t>
  </si>
  <si>
    <t>-724.422602679932 -34.1183698103891 222.689083333941</t>
  </si>
  <si>
    <t>-710.848554158882 23.4968690832975 688.842712738156</t>
  </si>
  <si>
    <t>-580.730940399759 -61.3096866863802 771.430652219685</t>
  </si>
  <si>
    <t>9763-20170724T160745.590297500.bin</t>
  </si>
  <si>
    <t>-725.944184611418 30.5300520406256 -232.065746695483</t>
  </si>
  <si>
    <t>-748.210395968123 33.159537335227 -351.082961776982</t>
  </si>
  <si>
    <t>-758.226729276483 19.0496283552789 -471.04619432621</t>
  </si>
  <si>
    <t>-690.916573523018 110.68663332857 -788.789581799182</t>
  </si>
  <si>
    <t>-646.713448877589 202.727144722094 -489.188381828323</t>
  </si>
  <si>
    <t>-496.171323607806 119.381923887065 -294.16865013185</t>
  </si>
  <si>
    <t>-714.055578355967 127.329915975282 -231.775438128429</t>
  </si>
  <si>
    <t>-599.080305921464 190.286488392533 204.658825065139</t>
  </si>
  <si>
    <t>-528.260391939394 234.915568200208 666.959156721735</t>
  </si>
  <si>
    <t>-370.792416929748 234.918340786029 745.364081044575</t>
  </si>
  <si>
    <t>-724.520668676663 -34.4580980083497 222.720352503164</t>
  </si>
  <si>
    <t>-710.78778441267 23.5144357863858 688.82870596697</t>
  </si>
  <si>
    <t>-580.753825778143 -61.4111759203158 771.426050691958</t>
  </si>
  <si>
    <t>9763-20170724T160745.624387500.bin</t>
  </si>
  <si>
    <t>-725.916420255114 30.2134519017557 -232.097780461021</t>
  </si>
  <si>
    <t>-748.255742091612 32.8683330719218 -351.100781644019</t>
  </si>
  <si>
    <t>-758.327205788014 18.8590468333325 -471.071019825368</t>
  </si>
  <si>
    <t>-691.235326621466 111.01047679477 -788.626170009934</t>
  </si>
  <si>
    <t>-647.212438680801 202.647928745324 -488.875044182627</t>
  </si>
  <si>
    <t>-496.17794425527 119.760007335843 -294.04117228657</t>
  </si>
  <si>
    <t>-714.012915728517 126.98370965441 -231.780023325827</t>
  </si>
  <si>
    <t>-598.673027577495 189.93173252381 204.559174631321</t>
  </si>
  <si>
    <t>-528.214883517383 234.860626946528 666.902062997685</t>
  </si>
  <si>
    <t>-370.791973585006 234.813731290454 745.397620861581</t>
  </si>
  <si>
    <t>-724.440313839852 -34.6093331346765 222.711034562303</t>
  </si>
  <si>
    <t>-710.732916894657 23.5361331516647 688.814598414984</t>
  </si>
  <si>
    <t>-580.778144934773 -61.4973966137352 771.425528865122</t>
  </si>
  <si>
    <t>9763-20170724T160745.691576600.bin</t>
  </si>
  <si>
    <t>-725.95250902595 29.6652065051089 -232.043854307684</t>
  </si>
  <si>
    <t>-748.307923909167 32.316980052608 -351.043834763216</t>
  </si>
  <si>
    <t>-758.429060219461 18.4186262514884 -471.022864960019</t>
  </si>
  <si>
    <t>-691.85364458875 111.268988830499 -788.431879898835</t>
  </si>
  <si>
    <t>-648.165515630733 202.766470029126 -488.589032181428</t>
  </si>
  <si>
    <t>-496.471334851562 120.84834881134 -293.857600932348</t>
  </si>
  <si>
    <t>-714.002108115424 126.386774054499 -231.725142129776</t>
  </si>
  <si>
    <t>-598.019079073869 189.275873377501 204.452024286893</t>
  </si>
  <si>
    <t>-528.12946120782 234.743456138167 666.8141895473</t>
  </si>
  <si>
    <t>-370.784592840029 234.705842137929 745.46623996032</t>
  </si>
  <si>
    <t>-724.355910266938 -34.8877002020786 222.72178408197</t>
  </si>
  <si>
    <t>-710.675002059166 23.5444970612029 688.804199680595</t>
  </si>
  <si>
    <t>-580.810002424241 -61.609406051859 771.432314517315</t>
  </si>
  <si>
    <t>9763-20170724T160745.868947800.bin</t>
  </si>
  <si>
    <t>-725.966401372806 29.4199241662966 -232.027484317761</t>
  </si>
  <si>
    <t>-748.427454270039 32.1013632642851 -351.007025815051</t>
  </si>
  <si>
    <t>-758.642167518631 18.2637424450365 -470.985124095872</t>
  </si>
  <si>
    <t>-692.362391264696 111.389860397129 -788.324929176743</t>
  </si>
  <si>
    <t>-648.668717593627 202.924722420641 -488.494306239219</t>
  </si>
  <si>
    <t>-496.749274280644 121.637188021083 -293.674100114057</t>
  </si>
  <si>
    <t>-714.042663099338 126.11717547004 -231.689958234037</t>
  </si>
  <si>
    <t>-597.846314114766 189.060034725475 204.422666157475</t>
  </si>
  <si>
    <t>-528.095853689646 234.684181506782 666.772897738827</t>
  </si>
  <si>
    <t>-370.789145867932 234.698461091081 745.501118328405</t>
  </si>
  <si>
    <t>-724.26685987724 -35.0407390190119 222.73120549922</t>
  </si>
  <si>
    <t>-710.652235430694 23.5516687084789 688.80578725045</t>
  </si>
  <si>
    <t>-580.780585025556 -61.597755966199 771.428066030222</t>
  </si>
  <si>
    <t>9763-20170724T160745.871951700.bin</t>
  </si>
  <si>
    <t>-726.03668292302 29.2316888831499 -232.016034745939</t>
  </si>
  <si>
    <t>-748.581511572707 31.9209459586855 -350.979522018545</t>
  </si>
  <si>
    <t>-758.871228070854 18.1290259235648 -470.956481700361</t>
  </si>
  <si>
    <t>-692.861815697638 111.505684519942 -788.238096506597</t>
  </si>
  <si>
    <t>-649.069032242582 202.990886204748 -488.406669863183</t>
  </si>
  <si>
    <t>-496.987810476461 122.403139070361 -293.422140674793</t>
  </si>
  <si>
    <t>-714.112116674648 125.952079789194 -231.685394812137</t>
  </si>
  <si>
    <t>-597.780303096955 188.913244901796 204.388510496237</t>
  </si>
  <si>
    <t>-528.05670824345 234.652280641681 666.734562328615</t>
  </si>
  <si>
    <t>-370.790371247021 234.692177783138 745.543005037923</t>
  </si>
  <si>
    <t>-724.109318060262 -35.1897594237525 222.739785003576</t>
  </si>
  <si>
    <t>-710.650724869232 23.5499895944881 688.809891436357</t>
  </si>
  <si>
    <t>-580.76356085385 -61.5870707695083 771.420532350274</t>
  </si>
  <si>
    <t>9763-20170724T160745.923100600.bin</t>
  </si>
  <si>
    <t>-726.949904370322 28.7749796032579 -231.824647316998</t>
  </si>
  <si>
    <t>-749.929322082222 31.5265608853765 -350.70348318862</t>
  </si>
  <si>
    <t>-760.479942741162 18.0854832092634 -470.697607336407</t>
  </si>
  <si>
    <t>-695.295866104633 113.268488093142 -787.53507860661</t>
  </si>
  <si>
    <t>-651.203349880833 203.555797390646 -487.384683065665</t>
  </si>
  <si>
    <t>-498.269307766499 125.436441198915 -292.062944889765</t>
  </si>
  <si>
    <t>-714.990652044128 125.405152504612 -231.442311799242</t>
  </si>
  <si>
    <t>-597.543227113475 188.399965665033 204.327573103989</t>
  </si>
  <si>
    <t>-527.846055464337 234.35011201949 666.707079803991</t>
  </si>
  <si>
    <t>-370.79603541398 234.653829605293 745.945154866942</t>
  </si>
  <si>
    <t>-723.827145398433 -35.5708143689719 222.830802361866</t>
  </si>
  <si>
    <t>-710.612994634165 23.5157402386312 688.854180909188</t>
  </si>
  <si>
    <t>-580.588029619131 -61.450150688795 771.424234716062</t>
  </si>
  <si>
    <t>9763-20170724T160745.989277800.bin</t>
  </si>
  <si>
    <t>-727.667258295273 28.7784144774714 -231.736925020549</t>
  </si>
  <si>
    <t>-750.91946335677 31.5638860105994 -350.561910423602</t>
  </si>
  <si>
    <t>-761.463269864369 18.2701619352317 -470.573065466369</t>
  </si>
  <si>
    <t>-695.99065825191 114.236136190985 -787.202457062843</t>
  </si>
  <si>
    <t>-653.383921247603 203.778541802503 -486.614683407172</t>
  </si>
  <si>
    <t>-499.247613868233 126.230593829219 -292.011615300902</t>
  </si>
  <si>
    <t>-715.581364871577 125.425548050084 -231.330227407052</t>
  </si>
  <si>
    <t>-597.301035307304 188.207966589884 204.245112776621</t>
  </si>
  <si>
    <t>-527.857865592769 234.263518636547 666.722336164163</t>
  </si>
  <si>
    <t>-370.824539852402 234.723194045151 745.992848918931</t>
  </si>
  <si>
    <t>-723.97326916593 -35.6952998828283 222.9026647289</t>
  </si>
  <si>
    <t>-710.605255761087 23.4801551372489 688.884217227593</t>
  </si>
  <si>
    <t>-580.506701808125 -61.3957972536487 771.430867611583</t>
  </si>
  <si>
    <t>9763-20170724T160746.022369100.bin</t>
  </si>
  <si>
    <t>-728.177234893873 28.8371237520566 -231.683089871849</t>
  </si>
  <si>
    <t>-751.572488761796 31.6648799728312 -350.479000829391</t>
  </si>
  <si>
    <t>-762.1144562504 18.4873823578084 -470.50307633138</t>
  </si>
  <si>
    <t>-696.563476051432 115.017606760513 -787.051480346579</t>
  </si>
  <si>
    <t>-654.602298538424 204.018815352904 -486.212409864621</t>
  </si>
  <si>
    <t>-500.288014721081 125.501618870372 -292.139637337353</t>
  </si>
  <si>
    <t>-716.060729329486 125.487953900271 -231.235155301838</t>
  </si>
  <si>
    <t>-597.339956342646 188.149340756406 204.237701833227</t>
  </si>
  <si>
    <t>-527.890155381609 234.269309673307 666.71015805756</t>
  </si>
  <si>
    <t>-370.845135978204 234.726744643149 745.957810749518</t>
  </si>
  <si>
    <t>-724.145308726475 -35.6908506603702 222.926406051437</t>
  </si>
  <si>
    <t>-710.605701932052 23.4548053565804 688.897405776065</t>
  </si>
  <si>
    <t>-580.455268139098 -61.3500099981193 771.435415219881</t>
  </si>
  <si>
    <t>9763-20170724T160746.088456000.bin</t>
  </si>
  <si>
    <t>-729.251798931697 28.9057873091747 -231.515567971076</t>
  </si>
  <si>
    <t>-752.770385989984 31.8168458378962 -350.285072175471</t>
  </si>
  <si>
    <t>-763.154191327195 18.8472182010928 -470.345651225508</t>
  </si>
  <si>
    <t>-767.362631918036 0.50219583206308 -578.237361333122</t>
  </si>
  <si>
    <t>-696.873444337252 116.326868251538 -786.486141684869</t>
  </si>
  <si>
    <t>-655.467358218009 203.913771876212 -485.155251355703</t>
  </si>
  <si>
    <t>-500.474704825332 124.899843173542 -291.826288098995</t>
  </si>
  <si>
    <t>-717.065704374736 125.531887221654 -231.032257130441</t>
  </si>
  <si>
    <t>-597.617069370594 188.092279171346 204.256047627417</t>
  </si>
  <si>
    <t>-528.007942091533 234.274847453447 666.723752757668</t>
  </si>
  <si>
    <t>-370.896634920268 234.836012317867 745.839013148777</t>
  </si>
  <si>
    <t>-724.675943256018 -35.7615306133275 222.994812567348</t>
  </si>
  <si>
    <t>-710.611440246839 23.3880275892216 688.913630947416</t>
  </si>
  <si>
    <t>-580.393580020569 -61.3277734241399 771.436704909681</t>
  </si>
  <si>
    <t>9763-20170724T160746.121545200.bin</t>
  </si>
  <si>
    <t>-729.860477022928 28.994397597723 -231.414906498919</t>
  </si>
  <si>
    <t>-753.513984147039 31.9129716689863 -350.157459490106</t>
  </si>
  <si>
    <t>-763.774235511417 19.0574736264114 -470.240903346882</t>
  </si>
  <si>
    <t>-767.764822397441 0.851906038137258 -578.164400998793</t>
  </si>
  <si>
    <t>-696.460104217702 116.974802552889 -786.147659581209</t>
  </si>
  <si>
    <t>-655.807062612108 202.529044640507 -484.131150274672</t>
  </si>
  <si>
    <t>-499.541868259519 125.750398736311 -290.925901531807</t>
  </si>
  <si>
    <t>-717.732808384152 125.712394336573 -230.903268215542</t>
  </si>
  <si>
    <t>-597.981989788001 188.132019634487 204.322321495812</t>
  </si>
  <si>
    <t>-528.130654724964 234.3407806373 666.792225620853</t>
  </si>
  <si>
    <t>-370.936645572339 234.899965853958 745.743042762892</t>
  </si>
  <si>
    <t>-724.92021894434 -35.812419849447 223.058044740925</t>
  </si>
  <si>
    <t>-710.638473331997 23.345845880559 688.940896798884</t>
  </si>
  <si>
    <t>-580.364764459865 -61.3033700306039 771.444164687541</t>
  </si>
  <si>
    <t>9763-20170724T160746.191582800.bin</t>
  </si>
  <si>
    <t>-731.402595481565 28.9662894794526 -231.160568681593</t>
  </si>
  <si>
    <t>-755.322788458478 31.8559623605936 -349.850334060628</t>
  </si>
  <si>
    <t>-765.24123662678 19.4441395675267 -470.009212539428</t>
  </si>
  <si>
    <t>-768.666531418293 1.81513889277676 -578.047788639308</t>
  </si>
  <si>
    <t>-696.290476564134 119.627192306296 -785.350362524171</t>
  </si>
  <si>
    <t>-651.929868318686 199.059063886338 -482.185479030894</t>
  </si>
  <si>
    <t>-490.878628521134 129.384633958513 -290.22198221071</t>
  </si>
  <si>
    <t>-719.965225632463 125.871711694884 -230.485150258752</t>
  </si>
  <si>
    <t>-599.091332550821 188.174724338273 204.446546426091</t>
  </si>
  <si>
    <t>-528.586518927791 233.862309566281 666.947262492883</t>
  </si>
  <si>
    <t>-371.15158048567 235.048338347355 745.409873294794</t>
  </si>
  <si>
    <t>-725.366641039878 -36.0476989953913 223.186357123118</t>
  </si>
  <si>
    <t>-710.737447711162 23.2104935671525 688.989628685684</t>
  </si>
  <si>
    <t>-580.196454507098 -61.055326526536 771.462849884422</t>
  </si>
  <si>
    <t>9763-20170724T160746.224655900.bin</t>
  </si>
  <si>
    <t>-732.252056980558 28.6832992482891 -231.00558443245</t>
  </si>
  <si>
    <t>-756.270885103446 31.4483655757908 -349.678475935622</t>
  </si>
  <si>
    <t>-765.973990031504 19.3139495413629 -469.883173890972</t>
  </si>
  <si>
    <t>-769.068052590028 2.09143439753097 -577.997373528056</t>
  </si>
  <si>
    <t>-696.935615785561 121.522508352017 -784.972845680752</t>
  </si>
  <si>
    <t>-644.487015122298 197.04574803866 -482.100600702368</t>
  </si>
  <si>
    <t>-480.282850120606 132.749574340807 -290.933028102734</t>
  </si>
  <si>
    <t>-721.467455296326 125.620689034403 -230.253766455156</t>
  </si>
  <si>
    <t>-599.859408087385 187.866952134261 204.481264831076</t>
  </si>
  <si>
    <t>-529.007930488012 232.763002352018 667.076954968845</t>
  </si>
  <si>
    <t>-371.390526555376 235.268305031225 745.140992075737</t>
  </si>
  <si>
    <t>-725.475251776311 -36.3030055898494 223.244035500652</t>
  </si>
  <si>
    <t>-710.829220098373 23.1107050401547 689.024014616094</t>
  </si>
  <si>
    <t>-580.042478991629 -60.7929955542477 771.477088198266</t>
  </si>
  <si>
    <t>9763-20170724T160746.288837900.bin</t>
  </si>
  <si>
    <t>-733.561670710983 26.9316312637175 -230.504944153645</t>
  </si>
  <si>
    <t>-757.766388349703 29.4673685655257 -349.145215354234</t>
  </si>
  <si>
    <t>-767.190974960806 17.9814833983924 -469.435712810495</t>
  </si>
  <si>
    <t>-769.836560436504 1.67799009398573 -577.704212981196</t>
  </si>
  <si>
    <t>-699.544846620156 124.782620757007 -783.750443939038</t>
  </si>
  <si>
    <t>-620.839495683414 189.22430055174 -484.018989206689</t>
  </si>
  <si>
    <t>-452.953653132141 129.13211465091 -294.690351852151</t>
  </si>
  <si>
    <t>-724.613640464028 123.362685722106 -229.45452679939</t>
  </si>
  <si>
    <t>-602.18489864165 185.942323810532 205.002197903267</t>
  </si>
  <si>
    <t>-529.323586908074 228.523874180526 667.498909598484</t>
  </si>
  <si>
    <t>-371.321894894335 235.539165890622 744.503798630053</t>
  </si>
  <si>
    <t>-725.107590003984 -37.3747643965546 223.378128559556</t>
  </si>
  <si>
    <t>-711.018307121454 22.8676831758155 689.101822133044</t>
  </si>
  <si>
    <t>-579.569352894129 -60.0413090722777 771.508005955701</t>
  </si>
  <si>
    <t>9763-20170724T160746.322928900.bin</t>
  </si>
  <si>
    <t>-733.942967503766 26.2576608319066 -230.330688373058</t>
  </si>
  <si>
    <t>-758.119144783368 28.6627374759701 -348.979457981032</t>
  </si>
  <si>
    <t>-767.363475615458 17.5914698530028 -469.322785735317</t>
  </si>
  <si>
    <t>-769.78403551235 1.86709541370237 -577.682196600249</t>
  </si>
  <si>
    <t>-700.335305491428 127.124438009474 -782.83040030504</t>
  </si>
  <si>
    <t>-606.916482227253 183.387796107311 -485.688066525927</t>
  </si>
  <si>
    <t>-435.874910109332 128.825396668036 -297.51335375033</t>
  </si>
  <si>
    <t>-726.017303058848 122.82054798848 -229.187835492158</t>
  </si>
  <si>
    <t>-603.92551695406 185.954959491425 205.283492310806</t>
  </si>
  <si>
    <t>-529.343525313337 228.178857417667 667.407932001658</t>
  </si>
  <si>
    <t>-371.193186999373 237.504184551806 743.860688003454</t>
  </si>
  <si>
    <t>-724.578756329558 -37.8417339002137 223.385955657361</t>
  </si>
  <si>
    <t>-711.09332246997 22.7441296176935 689.117455516252</t>
  </si>
  <si>
    <t>-579.290325254772 -59.622155358489 771.502381766769</t>
  </si>
  <si>
    <t>9763-20170724T160746.386647200.bin</t>
  </si>
  <si>
    <t>-735.092396876285 27.1564013553418 -230.294931704384</t>
  </si>
  <si>
    <t>-759.074806239883 29.3661992102232 -348.98681881755</t>
  </si>
  <si>
    <t>-767.944732834028 19.2708408722169 -469.444271774999</t>
  </si>
  <si>
    <t>-769.953777676053 4.86551814143672 -577.995047631492</t>
  </si>
  <si>
    <t>-701.725796001623 134.387347480389 -780.852469220805</t>
  </si>
  <si>
    <t>-580.644749331658 170.134808942301 -490.597969870345</t>
  </si>
  <si>
    <t>-403.300855128839 128.108344864006 -305.058352490901</t>
  </si>
  <si>
    <t>-729.818425159229 124.875524860694 -228.959969076004</t>
  </si>
  <si>
    <t>-609.721374523842 189.513890767033 205.846010164978</t>
  </si>
  <si>
    <t>-530.304474254772 230.280316000678 667.159461944419</t>
  </si>
  <si>
    <t>-371.86538283475 243.46939658496 742.436345414313</t>
  </si>
  <si>
    <t>-723.894269056901 -37.5274741569488 223.208787350956</t>
  </si>
  <si>
    <t>-711.149625799857 22.599181295883 689.055379948926</t>
  </si>
  <si>
    <t>-578.826673232168 -58.9353737125539 771.434167405496</t>
  </si>
  <si>
    <t>9763-20170724T160746.426752200.bin</t>
  </si>
  <si>
    <t>-735.787033549639 27.9050280921629 -230.341900539887</t>
  </si>
  <si>
    <t>-759.450348615905 30.0768404794051 -349.098564177118</t>
  </si>
  <si>
    <t>-768.122094824895 20.5112618325129 -469.613629117577</t>
  </si>
  <si>
    <t>-770.00131151524 6.79972528001394 -578.256621233708</t>
  </si>
  <si>
    <t>-753.351423049998 0.564463384176861 -774.920497210916</t>
  </si>
  <si>
    <t>-701.546348176838 138.112645233932 -780.015729530323</t>
  </si>
  <si>
    <t>-569.636553801347 163.198244169071 -493.385810959766</t>
  </si>
  <si>
    <t>-390.635801625135 126.269876584803 -308.353301607606</t>
  </si>
  <si>
    <t>-731.56992628884 125.919907215478 -228.880338835903</t>
  </si>
  <si>
    <t>-612.952621146654 191.331931554899 206.215956463671</t>
  </si>
  <si>
    <t>-530.758517060199 231.38446057356 667.14724254481</t>
  </si>
  <si>
    <t>-372.183485059584 246.012206632952 741.870204416629</t>
  </si>
  <si>
    <t>-723.908074422583 -37.1557812864037 223.066468623219</t>
  </si>
  <si>
    <t>-711.146360947868 22.5465789867665 688.980392961687</t>
  </si>
  <si>
    <t>-578.659877519439 -58.7105431434736 771.370459640534</t>
  </si>
  <si>
    <t>9763-20170724T160746.491615800.bin</t>
  </si>
  <si>
    <t>-736.428001353969 28.7648643936534 -230.370550602214</t>
  </si>
  <si>
    <t>-759.325504473485 31.1590321392935 -349.272908088527</t>
  </si>
  <si>
    <t>-767.628852941088 22.5868859067552 -469.888631838717</t>
  </si>
  <si>
    <t>-769.342822464831 10.0608020719585 -578.677400290017</t>
  </si>
  <si>
    <t>-752.615278010678 6.60669823224589 -775.37535179719</t>
  </si>
  <si>
    <t>-698.32920678465 143.26869736341 -778.485076212961</t>
  </si>
  <si>
    <t>-553.577346250201 147.841682791943 -497.038473594843</t>
  </si>
  <si>
    <t>-372.229977120436 120.479362113702 -312.63011877186</t>
  </si>
  <si>
    <t>-732.925212715719 126.643106210002 -228.562411297889</t>
  </si>
  <si>
    <t>-618.026322360479 193.477423869595 207.31507943006</t>
  </si>
  <si>
    <t>-530.46453929986 233.304214745502 667.371671279408</t>
  </si>
  <si>
    <t>-372.358370260798 248.930360816245 742.881446949904</t>
  </si>
  <si>
    <t>-724.11933485015 -36.4892514384057 222.809734641243</t>
  </si>
  <si>
    <t>-710.926216119607 22.6606692588362 688.843816768143</t>
  </si>
  <si>
    <t>-578.597948020699 -58.8163464322265 771.270989737368</t>
  </si>
  <si>
    <t>9763-20170724T160746.523702600.bin</t>
  </si>
  <si>
    <t>-737.172356218569 28.439934737195 -230.253464469856</t>
  </si>
  <si>
    <t>-759.661745296656 31.1279981389491 -349.227412479422</t>
  </si>
  <si>
    <t>-767.802005655351 23.0436814922978 -469.887868146066</t>
  </si>
  <si>
    <t>-769.472494497684 11.0294890128953 -578.735126259285</t>
  </si>
  <si>
    <t>-752.662204417425 8.61540632748029 -775.431668292909</t>
  </si>
  <si>
    <t>-696.665493074887 144.569090717049 -777.764772699385</t>
  </si>
  <si>
    <t>-549.10608138736 141.004008868154 -497.765273441814</t>
  </si>
  <si>
    <t>-366.736602322695 118.202686610234 -313.744918952424</t>
  </si>
  <si>
    <t>-734.195072097366 125.960146297632 -228.242892463687</t>
  </si>
  <si>
    <t>-621.060208887295 193.585715861847 207.973760666126</t>
  </si>
  <si>
    <t>-532.225844148421 233.765138975191 667.50461137683</t>
  </si>
  <si>
    <t>-374.645912281853 250.130313099884 743.952075170299</t>
  </si>
  <si>
    <t>-724.655358628474 -36.5499356190962 222.734094956202</t>
  </si>
  <si>
    <t>-710.756214825785 22.7614649610312 688.761648981398</t>
  </si>
  <si>
    <t>-578.704644560456 -59.1188267874245 771.232912820754</t>
  </si>
  <si>
    <t>9763-20170724T160746.590896300.bin</t>
  </si>
  <si>
    <t>-738.091285421518 27.0084662179802 -230.389474587413</t>
  </si>
  <si>
    <t>-759.854925136883 30.289836840778 -349.48353903818</t>
  </si>
  <si>
    <t>-767.517833744614 22.899872248199 -470.219777723486</t>
  </si>
  <si>
    <t>-768.866318942602 11.5447769286413 -579.14215029104</t>
  </si>
  <si>
    <t>-751.096607151674 10.2536795717385 -775.750203889226</t>
  </si>
  <si>
    <t>-691.642714874563 144.756879924616 -776.999916284915</t>
  </si>
  <si>
    <t>-542.934651724183 131.731688855709 -497.889937427557</t>
  </si>
  <si>
    <t>-362.762148441998 111.436726071865 -311.427971831069</t>
  </si>
  <si>
    <t>-734.021992918993 124.094998369036 -228.430725949683</t>
  </si>
  <si>
    <t>-622.707943863993 192.763018811193 208.091495880452</t>
  </si>
  <si>
    <t>-531.82503073047 234.33723810311 666.726294718365</t>
  </si>
  <si>
    <t>-375.340966967502 251.970313975854 745.118349582676</t>
  </si>
  <si>
    <t>-726.051398857645 -37.053916937369 222.432545678172</t>
  </si>
  <si>
    <t>-710.468184905232 22.8607769966573 688.486905854829</t>
  </si>
  <si>
    <t>-579.063258624153 -59.9398933379489 771.072076865371</t>
  </si>
  <si>
    <t>9763-20170724T160746.626989500.bin</t>
  </si>
  <si>
    <t>-737.966761466991 26.4153293206471 -230.558219199517</t>
  </si>
  <si>
    <t>-759.444799727803 29.872993251694 -349.699067169864</t>
  </si>
  <si>
    <t>-766.86038789639 22.6643762480649 -470.461814866537</t>
  </si>
  <si>
    <t>-768.002630375683 11.473749786878 -579.403595251202</t>
  </si>
  <si>
    <t>-749.595474124932 10.4109818294223 -775.94712780701</t>
  </si>
  <si>
    <t>-688.577982428844 144.227742640054 -776.845938290633</t>
  </si>
  <si>
    <t>-541.111649612933 129.921952729577 -497.14032759299</t>
  </si>
  <si>
    <t>-361.45583289045 111.015741232598 -310.034920636479</t>
  </si>
  <si>
    <t>-732.951501726255 123.309034927614 -228.588169894374</t>
  </si>
  <si>
    <t>-621.550202409426 192.291006185874 207.862187293265</t>
  </si>
  <si>
    <t>-531.439078785202 234.534647470728 666.730936551504</t>
  </si>
  <si>
    <t>-375.266980255238 252.506575808078 745.666224019378</t>
  </si>
  <si>
    <t>-726.652095752105 -37.236355445596 222.294083218321</t>
  </si>
  <si>
    <t>-710.341748174388 22.8659912093776 688.35431469706</t>
  </si>
  <si>
    <t>-579.253603159172 -60.3720289927408 771.00320836975</t>
  </si>
  <si>
    <t>9763-20170724T160746.691170400.bin</t>
  </si>
  <si>
    <t>-737.324917392198 25.2697182543536 -230.601735664199</t>
  </si>
  <si>
    <t>-758.394013180248 29.0752098363816 -349.805012124551</t>
  </si>
  <si>
    <t>-765.420737233767 22.1647060812902 -470.608296465917</t>
  </si>
  <si>
    <t>-766.220894433967 11.223408954678 -579.578502235757</t>
  </si>
  <si>
    <t>-746.718588836824 10.4459172011843 -776.007208927482</t>
  </si>
  <si>
    <t>-683.655690210551 143.266090977811 -776.18452044006</t>
  </si>
  <si>
    <t>-540.297712192702 130.878960094462 -494.260394336219</t>
  </si>
  <si>
    <t>-359.357656536534 111.967878193712 -308.397118331504</t>
  </si>
  <si>
    <t>-730.617632088808 121.818825516798 -228.446832245863</t>
  </si>
  <si>
    <t>-617.602904291962 191.50428326133 207.476559813656</t>
  </si>
  <si>
    <t>-531.078474157887 234.471672237928 667.138091967111</t>
  </si>
  <si>
    <t>-375.214972437687 252.804155863364 746.598765616489</t>
  </si>
  <si>
    <t>-727.874492636045 -37.6104201029962 222.156914285958</t>
  </si>
  <si>
    <t>-710.121786020212 22.8062009481248 688.149223177552</t>
  </si>
  <si>
    <t>-579.612716840406 -61.2037176039871 770.933433599431</t>
  </si>
  <si>
    <t>9763-20170724T160746.753339000.bin</t>
  </si>
  <si>
    <t>-736.801166612562 24.3279977958302 -230.173689624946</t>
  </si>
  <si>
    <t>-757.421061653023 28.459019510341 -349.444594398735</t>
  </si>
  <si>
    <t>-764.146206347894 21.7327050148344 -470.275497795939</t>
  </si>
  <si>
    <t>-764.732261729914 10.9109458849623 -579.259035348016</t>
  </si>
  <si>
    <t>-744.680382096213 10.1818070010474 -775.630907426538</t>
  </si>
  <si>
    <t>-680.672402100301 142.576776116092 -775.512335959475</t>
  </si>
  <si>
    <t>-542.218632525548 134.852747185981 -490.982715374507</t>
  </si>
  <si>
    <t>-360.041576864292 109.916173728108 -307.048662158836</t>
  </si>
  <si>
    <t>-728.849715904682 120.564777470036 -227.771297716622</t>
  </si>
  <si>
    <t>-614.397912008024 190.285154954099 207.771443197874</t>
  </si>
  <si>
    <t>-531.093289844536 233.310096087398 668.140666137549</t>
  </si>
  <si>
    <t>-375.216196827167 252.074483343604 747.473764145386</t>
  </si>
  <si>
    <t>-729.170336978032 -37.9767246682277 222.329346873012</t>
  </si>
  <si>
    <t>-710.000400633496 22.6683660842978 688.090944288645</t>
  </si>
  <si>
    <t>-579.863161606742 -61.8186990600097 770.974870173591</t>
  </si>
  <si>
    <t>9763-20170724T160746.792476000.bin</t>
  </si>
  <si>
    <t>-736.662400958782 23.9176561734712 -229.921165340295</t>
  </si>
  <si>
    <t>-757.12149995087 28.1942747495175 -349.214621904068</t>
  </si>
  <si>
    <t>-763.794020449436 21.5080937007688 -470.050665309122</t>
  </si>
  <si>
    <t>-764.37707165487 10.6851069587583 -579.034033503537</t>
  </si>
  <si>
    <t>-744.313166686494 9.84190831704473 -775.406718036872</t>
  </si>
  <si>
    <t>-680.098025528345 142.134807733891 -775.305356025993</t>
  </si>
  <si>
    <t>-544.562843723092 136.826030264534 -489.318956176701</t>
  </si>
  <si>
    <t>-362.580011278463 107.865536550948 -305.782536837565</t>
  </si>
  <si>
    <t>-728.302658221007 119.962117146276 -227.397000497858</t>
  </si>
  <si>
    <t>-613.533439389495 189.486897707452 208.093606169859</t>
  </si>
  <si>
    <t>-531.109690010223 232.608033629161 668.599192442245</t>
  </si>
  <si>
    <t>-375.211004401391 251.553582641686 747.846680009083</t>
  </si>
  <si>
    <t>-729.584827365145 -38.1909644718571 222.471730144328</t>
  </si>
  <si>
    <t>-709.948273051899 22.620033025632 688.123673467366</t>
  </si>
  <si>
    <t>-579.948491499408 -62.0583547955066 771.028063642855</t>
  </si>
  <si>
    <t>9763-20170724T160746.826568100.bin</t>
  </si>
  <si>
    <t>-736.470662654969 23.5042728130195 -229.743115585368</t>
  </si>
  <si>
    <t>-756.827853925123 27.8748899784182 -349.050674998704</t>
  </si>
  <si>
    <t>-763.495918728349 21.1924488804859 -469.887087578406</t>
  </si>
  <si>
    <t>-764.114024796718 10.3419105822304 -578.86758082548</t>
  </si>
  <si>
    <t>-744.137848585672 9.36541272091449 -775.251173313972</t>
  </si>
  <si>
    <t>-679.774170280238 141.575852611063 -775.076503134728</t>
  </si>
  <si>
    <t>-547.178558814646 138.602692314463 -487.681718513886</t>
  </si>
  <si>
    <t>-365.41254756707 106.847277985619 -304.392906254232</t>
  </si>
  <si>
    <t>-727.69474378249 119.414429451151 -227.213719847064</t>
  </si>
  <si>
    <t>-612.936855867418 188.875977290237 208.289883796088</t>
  </si>
  <si>
    <t>-531.132497391394 232.167413520957 668.874909199531</t>
  </si>
  <si>
    <t>-375.213018294038 251.155898180115 748.071333393336</t>
  </si>
  <si>
    <t>-729.70930132453 -38.4656897959785 222.600019046238</t>
  </si>
  <si>
    <t>-709.939998884234 22.5673137900812 688.178041597773</t>
  </si>
  <si>
    <t>-579.967339602676 -62.1518928870321 771.08324197708</t>
  </si>
  <si>
    <t>9763-20170724T160746.894752700.bin</t>
  </si>
  <si>
    <t>-735.965624316446 22.9749685366689 -229.522661515692</t>
  </si>
  <si>
    <t>-756.162634321587 27.3122613275229 -348.858707682791</t>
  </si>
  <si>
    <t>-762.854665134449 20.4561980785782 -469.684057454186</t>
  </si>
  <si>
    <t>-763.571986982703 9.39883370299617 -578.643083572311</t>
  </si>
  <si>
    <t>-743.918998988328 7.92317763184155 -775.063432821694</t>
  </si>
  <si>
    <t>-679.785462623121 140.244348803238 -774.910792687087</t>
  </si>
  <si>
    <t>-552.356555201126 140.576873114277 -485.173045777712</t>
  </si>
  <si>
    <t>-370.746410621955 104.484826743646 -302.533620290556</t>
  </si>
  <si>
    <t>-727.016665010468 119.018452127113 -227.062741264858</t>
  </si>
  <si>
    <t>-612.555476248455 188.415988792804 208.529155660406</t>
  </si>
  <si>
    <t>-531.303714081136 231.688075067312 669.254242238328</t>
  </si>
  <si>
    <t>-375.2472435625 250.440285160743 748.236849300149</t>
  </si>
  <si>
    <t>-729.449085064781 -38.885418801425 222.821282313973</t>
  </si>
  <si>
    <t>-709.945206707527 22.5056363199601 688.318458324795</t>
  </si>
  <si>
    <t>-579.909767714386 -62.1446180026066 771.195673876356</t>
  </si>
  <si>
    <t>9763-20170724T160746.924831600.bin</t>
  </si>
  <si>
    <t>-735.66980240039 22.8757067308159 -229.421161839176</t>
  </si>
  <si>
    <t>-755.794287145294 27.1718809808292 -348.770895449651</t>
  </si>
  <si>
    <t>-762.513792221862 20.2140277015467 -469.588890485884</t>
  </si>
  <si>
    <t>-763.297589072926 9.04407684435819 -578.536125354506</t>
  </si>
  <si>
    <t>-743.900100355499 7.32762019492793 -774.984431758139</t>
  </si>
  <si>
    <t>-680.211867134472 139.847617695945 -774.901236257542</t>
  </si>
  <si>
    <t>-554.506499025086 141.481351989647 -484.41611607969</t>
  </si>
  <si>
    <t>-373.009037969453 103.361924739451 -302.076730403791</t>
  </si>
  <si>
    <t>-726.877426166187 118.973270761423 -226.958739856202</t>
  </si>
  <si>
    <t>-612.56515657376 188.280629168265 208.686624421127</t>
  </si>
  <si>
    <t>-531.41687904278 231.456559532571 669.441178987094</t>
  </si>
  <si>
    <t>-375.264263769091 250.007263848622 748.281221581988</t>
  </si>
  <si>
    <t>-729.263270882166 -39.0275777980596 222.926329155679</t>
  </si>
  <si>
    <t>-709.945512396833 22.4835587369903 688.382992714515</t>
  </si>
  <si>
    <t>-579.877721359813 -62.1387197407155 771.237967690873</t>
  </si>
  <si>
    <t>9763-20170724T160746.987005100.bin</t>
  </si>
  <si>
    <t>-734.93349955692 22.8142331715133 -229.348744083626</t>
  </si>
  <si>
    <t>-754.963438482574 26.9423455157889 -348.720282111887</t>
  </si>
  <si>
    <t>-761.801624408414 19.7097736278386 -469.51557208536</t>
  </si>
  <si>
    <t>-762.779835391219 8.25798525837172 -578.431783642324</t>
  </si>
  <si>
    <t>-744.089990601644 6.00008441157865 -774.953696763887</t>
  </si>
  <si>
    <t>-681.677539668229 139.138406708733 -775.073527685812</t>
  </si>
  <si>
    <t>-556.945547154843 143.159283046931 -484.19212320659</t>
  </si>
  <si>
    <t>-375.762163539597 101.284125470376 -302.365014996476</t>
  </si>
  <si>
    <t>-726.52013489194 118.99041485868 -226.89363035417</t>
  </si>
  <si>
    <t>-612.775363546478 188.072097974005 208.93603063804</t>
  </si>
  <si>
    <t>-531.713566035966 231.17487346336 669.754841672308</t>
  </si>
  <si>
    <t>-375.325944698821 249.28076875118 748.23157777163</t>
  </si>
  <si>
    <t>-728.821558051777 -39.1202950595509 223.065884496117</t>
  </si>
  <si>
    <t>-709.973345320604 22.444095949468 688.501962917182</t>
  </si>
  <si>
    <t>-579.795668727029 -62.0449282825393 771.320351803394</t>
  </si>
  <si>
    <t>9763-20170724T160747.025104700.bin</t>
  </si>
  <si>
    <t>-734.411291920429 22.7742118719891 -229.35336855464</t>
  </si>
  <si>
    <t>-754.361284551845 26.7782088382569 -348.742569714171</t>
  </si>
  <si>
    <t>-761.239945756249 19.3765009380702 -469.525229890675</t>
  </si>
  <si>
    <t>-762.303327849479 7.75946742911719 -578.423312874061</t>
  </si>
  <si>
    <t>-743.958257732944 5.19957986626514 -774.978710993839</t>
  </si>
  <si>
    <t>-682.018179092475 138.560453668088 -775.289923210582</t>
  </si>
  <si>
    <t>-558.003086945255 143.659861239473 -484.119250986465</t>
  </si>
  <si>
    <t>-376.435842410254 100.755740515319 -302.915900775516</t>
  </si>
  <si>
    <t>-726.184038101412 118.976208809203 -226.956649147734</t>
  </si>
  <si>
    <t>-612.917443764019 188.016944272535 209.003982091219</t>
  </si>
  <si>
    <t>-531.849284921102 231.108692358332 669.823168409879</t>
  </si>
  <si>
    <t>-375.349783883627 249.032247078531 748.118608471814</t>
  </si>
  <si>
    <t>-728.471439168186 -39.1828099848344 223.128118753639</t>
  </si>
  <si>
    <t>-709.949846362606 22.4576418161421 688.553677381063</t>
  </si>
  <si>
    <t>-579.747732838107 -62.0088452079926 771.356651454789</t>
  </si>
  <si>
    <t>9763-20170724T160747.092309400.bin</t>
  </si>
  <si>
    <t>-733.41101033102 22.8149587166631 -229.50807567956</t>
  </si>
  <si>
    <t>-753.316541897273 26.5805444195653 -348.912314897118</t>
  </si>
  <si>
    <t>-760.360696862148 18.8522387047449 -469.66496924412</t>
  </si>
  <si>
    <t>-761.656196580718 6.91625644102828 -578.5260178791</t>
  </si>
  <si>
    <t>-744.034950383839 3.76472489689263 -775.146756258895</t>
  </si>
  <si>
    <t>-683.068673122727 137.574974725179 -775.768466265844</t>
  </si>
  <si>
    <t>-560.921165262889 144.848943880573 -483.855345076337</t>
  </si>
  <si>
    <t>-378.984794350129 99.9136309361518 -303.51675976343</t>
  </si>
  <si>
    <t>-725.480757789035 119.230765049105 -227.274441326768</t>
  </si>
  <si>
    <t>-613.104583172982 188.083936871683 208.946267924921</t>
  </si>
  <si>
    <t>-532.016668060699 231.125130288239 669.748129067073</t>
  </si>
  <si>
    <t>-375.365934867036 248.567678068093 747.849420952869</t>
  </si>
  <si>
    <t>-727.763007141075 -39.2139297727192 223.201624650182</t>
  </si>
  <si>
    <t>-709.886841289808 22.5140438620483 688.636633735101</t>
  </si>
  <si>
    <t>-579.750497528039 -62.0617551842097 771.431405676936</t>
  </si>
  <si>
    <t>9763-20170724T160747.122384800.bin</t>
  </si>
  <si>
    <t>-732.860633944574 22.7350464204667 -229.592006181435</t>
  </si>
  <si>
    <t>-752.624557574389 26.3672763163156 -349.024023699268</t>
  </si>
  <si>
    <t>-759.707212886158 18.4663138876867 -469.763298223263</t>
  </si>
  <si>
    <t>-761.10767264624 6.36799644362941 -578.604986943092</t>
  </si>
  <si>
    <t>-743.897349593974 2.93396607083059 -775.261528831274</t>
  </si>
  <si>
    <t>-683.309815944346 136.926425577746 -776.059679374859</t>
  </si>
  <si>
    <t>-562.216454482624 145.521305361297 -483.743537280602</t>
  </si>
  <si>
    <t>-380.43210883242 99.4336852694335 -303.54256309111</t>
  </si>
  <si>
    <t>-724.90844022179 119.166212810707 -227.49904436429</t>
  </si>
  <si>
    <t>-612.874908476554 188.040548395221 208.806490810414</t>
  </si>
  <si>
    <t>-532.044933480304 231.135096532669 669.650853598121</t>
  </si>
  <si>
    <t>-375.365132648082 248.468903089893 747.718223957226</t>
  </si>
  <si>
    <t>-727.580667434777 -39.2424595697089 223.210000557454</t>
  </si>
  <si>
    <t>-709.861909937241 22.5239904518326 688.646508421629</t>
  </si>
  <si>
    <t>-579.711520086673 -62.0242093657323 771.447418033573</t>
  </si>
  <si>
    <t>9763-20170724T160747.186127500.bin</t>
  </si>
  <si>
    <t>-731.61025789034 22.3315516368959 -229.83752608002</t>
  </si>
  <si>
    <t>-751.350193014651 25.8052334401275 -349.278179607654</t>
  </si>
  <si>
    <t>-758.614109808976 17.6578839958529 -469.990321635321</t>
  </si>
  <si>
    <t>-760.253843909965 5.31694116778181 -578.801476401581</t>
  </si>
  <si>
    <t>-743.74533757864 1.44252491902171 -775.51584632632</t>
  </si>
  <si>
    <t>-683.834552230162 135.723541399851 -776.692772149511</t>
  </si>
  <si>
    <t>-565.330267987746 146.992270539819 -483.40795293218</t>
  </si>
  <si>
    <t>-383.413360261935 100.384353334151 -303.474672065515</t>
  </si>
  <si>
    <t>-723.508507852367 118.7537765992 -227.893684528209</t>
  </si>
  <si>
    <t>-611.802360301442 187.719918126957 208.481162206296</t>
  </si>
  <si>
    <t>-532.086400714748 231.130668994566 669.474301067603</t>
  </si>
  <si>
    <t>-375.368863011303 248.250524017308 747.512779740083</t>
  </si>
  <si>
    <t>-727.141623164495 -39.4107987443376 223.17738709024</t>
  </si>
  <si>
    <t>-709.849631589008 22.5047397301782 688.642150816571</t>
  </si>
  <si>
    <t>-579.743822592183 -62.1046743361399 771.450608453737</t>
  </si>
  <si>
    <t>9763-20170724T160747.225232400.bin</t>
  </si>
  <si>
    <t>-731.103500187478 22.1405132260736 -229.900358603425</t>
  </si>
  <si>
    <t>-750.808675201076 25.5549778784443 -349.348417436625</t>
  </si>
  <si>
    <t>-758.145717997643 17.300432884186 -470.048911779236</t>
  </si>
  <si>
    <t>-759.8921686246 4.85025092006322 -578.845851243088</t>
  </si>
  <si>
    <t>-743.700210686955 0.766948490441791 -775.585113679244</t>
  </si>
  <si>
    <t>-684.071710700518 135.178116790578 -776.97026970382</t>
  </si>
  <si>
    <t>-566.674199789737 147.732048364791 -483.292792334455</t>
  </si>
  <si>
    <t>-385.031832478145 100.699686304418 -303.192572775745</t>
  </si>
  <si>
    <t>-722.945533291127 118.58974941704 -228.028661891105</t>
  </si>
  <si>
    <t>-611.190849743965 187.567745349203 208.331920276751</t>
  </si>
  <si>
    <t>-532.119788766625 231.119969105076 669.422503769438</t>
  </si>
  <si>
    <t>-375.370911829539 248.05968804336 747.437468035335</t>
  </si>
  <si>
    <t>-726.968319001971 -39.5264918377995 223.177210265864</t>
  </si>
  <si>
    <t>-709.820732510012 22.5219837700211 688.642102220427</t>
  </si>
  <si>
    <t>-579.775005066359 -62.1741623254059 771.45624275006</t>
  </si>
  <si>
    <t>9763-20170724T160747.292416200.bin</t>
  </si>
  <si>
    <t>-730.182307205463 21.7638582436468 -230.027511828436</t>
  </si>
  <si>
    <t>-749.857438841979 25.0739786832285 -349.483542219083</t>
  </si>
  <si>
    <t>-757.366404822399 16.6347762628532 -470.160692222677</t>
  </si>
  <si>
    <t>-759.342734417491 3.99911353254538 -578.932364310371</t>
  </si>
  <si>
    <t>-684.493290405562 134.121340501941 -777.418953783784</t>
  </si>
  <si>
    <t>-569.250549974821 149.123948809503 -483.003870344808</t>
  </si>
  <si>
    <t>-388.48783139961 101.093595211126 -302.283096100211</t>
  </si>
  <si>
    <t>-721.821034842085 118.272300904853 -228.295648128888</t>
  </si>
  <si>
    <t>-609.834952715392 187.183441763147 208.0162057979</t>
  </si>
  <si>
    <t>-532.148382158954 231.142620921114 669.304304370983</t>
  </si>
  <si>
    <t>-375.321882858774 247.66334235114 747.253203278767</t>
  </si>
  <si>
    <t>-726.688011858364 -39.7008160375169 223.178085788631</t>
  </si>
  <si>
    <t>-709.767913574264 22.5432294329678 688.629215090076</t>
  </si>
  <si>
    <t>-579.837135125294 -62.3129411340722 771.460001362186</t>
  </si>
  <si>
    <t>9763-20170724T160747.325503000.bin</t>
  </si>
  <si>
    <t>-729.706828723922 21.5396084603669 -230.071823977833</t>
  </si>
  <si>
    <t>-749.34424170257 24.7892895934722 -349.535699760979</t>
  </si>
  <si>
    <t>-756.929573281603 16.2597398064786 -470.201744543632</t>
  </si>
  <si>
    <t>-759.017996762825 3.53674137351663 -578.961136496823</t>
  </si>
  <si>
    <t>-684.649126034258 133.561589276346 -777.566254476832</t>
  </si>
  <si>
    <t>-570.219338124206 149.905179159188 -482.905640310381</t>
  </si>
  <si>
    <t>-389.686545800764 101.983217037763 -301.926440767561</t>
  </si>
  <si>
    <t>-721.211254463255 117.996647833296 -228.411147704423</t>
  </si>
  <si>
    <t>-609.104379168613 186.922879460127 207.867343347793</t>
  </si>
  <si>
    <t>-532.168435780822 231.136750526099 669.238605489843</t>
  </si>
  <si>
    <t>-375.301649376888 247.495512608642 747.140610990824</t>
  </si>
  <si>
    <t>-726.503018292507 -39.8096902562179 223.187352898785</t>
  </si>
  <si>
    <t>-709.775723714653 22.5265162822925 688.62635274701</t>
  </si>
  <si>
    <t>-579.87237333883 -62.3602422948206 771.468798091079</t>
  </si>
  <si>
    <t>9763-20170724T160747.387688500.bin</t>
  </si>
  <si>
    <t>-728.866173023009 21.0646070129874 -230.143728991859</t>
  </si>
  <si>
    <t>-748.500823044632 24.2550285520415 -349.609675734597</t>
  </si>
  <si>
    <t>-756.252803899121 15.6265428471752 -470.258074185245</t>
  </si>
  <si>
    <t>-758.554994524383 2.80740995968881 -579.001907215983</t>
  </si>
  <si>
    <t>-684.898384196225 132.74331582172 -777.841433460868</t>
  </si>
  <si>
    <t>-572.579864506457 151.016923462252 -482.482654691563</t>
  </si>
  <si>
    <t>-392.330826905337 102.713373617846 -301.322212440518</t>
  </si>
  <si>
    <t>-720.207204226622 117.509525168175 -228.594580559394</t>
  </si>
  <si>
    <t>-607.811174549193 186.294343197488 207.631746458168</t>
  </si>
  <si>
    <t>-532.198483342444 231.113691590499 669.12119862416</t>
  </si>
  <si>
    <t>-375.246421557602 247.165961672696 746.914948600801</t>
  </si>
  <si>
    <t>-726.143515020634 -40.0588318364521 223.211235077</t>
  </si>
  <si>
    <t>-709.693093536377 22.5653896481942 688.616972489063</t>
  </si>
  <si>
    <t>-579.9340972515 -62.5141425237048 771.487871214324</t>
  </si>
  <si>
    <t>9763-20170724T160747.425788800.bin</t>
  </si>
  <si>
    <t>-728.501519920414 20.8599779612871 -230.186358149389</t>
  </si>
  <si>
    <t>-748.095134491396 24.0082010329711 -349.660222756075</t>
  </si>
  <si>
    <t>-755.908431075044 15.3366077853914 -470.301394354704</t>
  </si>
  <si>
    <t>-758.305260206131 2.48241110133495 -579.039109598303</t>
  </si>
  <si>
    <t>-684.992488025762 132.406587535756 -778.004277473294</t>
  </si>
  <si>
    <t>-573.863488576887 151.254083458833 -482.231851335197</t>
  </si>
  <si>
    <t>-393.649644216043 102.729475708928 -301.095572486001</t>
  </si>
  <si>
    <t>-719.801591294616 117.290974954891 -228.680148155559</t>
  </si>
  <si>
    <t>-607.264009225458 185.954345524069 207.528802644986</t>
  </si>
  <si>
    <t>-532.211902510961 231.081526582809 669.075306087261</t>
  </si>
  <si>
    <t>-375.215130686771 247.000256558636 746.806452139859</t>
  </si>
  <si>
    <t>-726.025531432067 -40.1725009095367 223.21807348847</t>
  </si>
  <si>
    <t>-709.685595843757 22.5684536372748 688.615772797931</t>
  </si>
  <si>
    <t>-579.964408195927 -62.5618992424729 771.493696726742</t>
  </si>
  <si>
    <t>9763-20170724T160747.487530000.bin</t>
  </si>
  <si>
    <t>-727.826839130059 20.3650228971178 -230.271464371695</t>
  </si>
  <si>
    <t>-747.447603128503 23.4373536808846 -349.742833064813</t>
  </si>
  <si>
    <t>-755.466222308232 14.7223277337389 -470.367461576193</t>
  </si>
  <si>
    <t>-758.115002332971 1.84951429796092 -579.097140366684</t>
  </si>
  <si>
    <t>-685.557503166641 131.866411283133 -778.100004310145</t>
  </si>
  <si>
    <t>-576.29489450512 151.59601120719 -481.690339886424</t>
  </si>
  <si>
    <t>-396.167983761091 102.524301036316 -300.615008057713</t>
  </si>
  <si>
    <t>-718.94026972379 116.76972392831 -228.879814267769</t>
  </si>
  <si>
    <t>-606.252041490253 185.231040876237 207.322024102727</t>
  </si>
  <si>
    <t>-532.223522941001 231.039043734653 668.960028045537</t>
  </si>
  <si>
    <t>-375.158985155824 246.796702362136 746.587261590834</t>
  </si>
  <si>
    <t>-725.719065980224 -40.4665594472342 223.249426164483</t>
  </si>
  <si>
    <t>-709.734603982014 22.5532994885245 688.638343463047</t>
  </si>
  <si>
    <t>-579.997059961071 -62.5687091855168 771.4992057925</t>
  </si>
  <si>
    <t>9763-20170724T160747.524630600.bin</t>
  </si>
  <si>
    <t>-727.452073768535 20.1633495381545 -230.312197589578</t>
  </si>
  <si>
    <t>-747.111490060709 23.1824392623239 -349.778411230268</t>
  </si>
  <si>
    <t>-755.236033367165 14.4473195511523 -470.394571616442</t>
  </si>
  <si>
    <t>-758.004817046075 1.57258572574256 -579.120987750135</t>
  </si>
  <si>
    <t>-685.774663252941 131.65454039754 -778.09848462936</t>
  </si>
  <si>
    <t>-577.386395405872 151.72585941136 -481.390969992709</t>
  </si>
  <si>
    <t>-397.192555152602 102.572615086595 -300.404201215126</t>
  </si>
  <si>
    <t>-718.469256335502 116.572201722974 -228.997076302133</t>
  </si>
  <si>
    <t>-605.777389656092 184.932568248801 207.219745104509</t>
  </si>
  <si>
    <t>-532.221323696306 231.026274870452 668.898683610516</t>
  </si>
  <si>
    <t>-375.133660837492 246.718524279127 746.491909079504</t>
  </si>
  <si>
    <t>-725.471323434021 -40.5850898726737 223.272619949705</t>
  </si>
  <si>
    <t>-709.724692804415 22.5813389846351 688.653578002761</t>
  </si>
  <si>
    <t>-580.067334260928 -62.6708996711027 771.506110944463</t>
  </si>
  <si>
    <t>9763-20170724T160747.588839500.bin</t>
  </si>
  <si>
    <t>-726.67864815321 19.787325271677 -230.381726045939</t>
  </si>
  <si>
    <t>-746.37258828064 22.6999307887411 -349.844989091952</t>
  </si>
  <si>
    <t>-754.676684410987 13.9418954422158 -470.447229528982</t>
  </si>
  <si>
    <t>-757.659614394938 1.08690902195167 -579.17043255364</t>
  </si>
  <si>
    <t>-686.154676556399 131.404541598128 -778.094620007587</t>
  </si>
  <si>
    <t>-579.07774446189 152.213132609556 -480.962071537697</t>
  </si>
  <si>
    <t>-398.822493430856 103.024027627132 -300.046338608892</t>
  </si>
  <si>
    <t>-717.611090238036 116.218856218869 -229.193705681869</t>
  </si>
  <si>
    <t>-604.814773026798 184.520911006761 207.00518920354</t>
  </si>
  <si>
    <t>-532.168342863158 231.056772213483 668.76094018703</t>
  </si>
  <si>
    <t>-375.036159128592 246.537326601897 746.306797840173</t>
  </si>
  <si>
    <t>-725.053595290887 -40.742313147749 223.311100667043</t>
  </si>
  <si>
    <t>-709.711041457033 22.6302099912114 688.676145629164</t>
  </si>
  <si>
    <t>-580.133269747268 -62.7594353156442 771.511637693008</t>
  </si>
  <si>
    <t>9763-20170724T160747.653509100.bin</t>
  </si>
  <si>
    <t>-725.953866690341 19.308055598126 -230.42088753887</t>
  </si>
  <si>
    <t>-745.724334568059 22.1269119746817 -349.873689740109</t>
  </si>
  <si>
    <t>-754.227136973582 13.3856209847049 -470.463286596102</t>
  </si>
  <si>
    <t>-757.43108818046 0.596800781448337 -579.187834905426</t>
  </si>
  <si>
    <t>-686.676639308478 131.290830922782 -778.004695233189</t>
  </si>
  <si>
    <t>-580.723588977782 153.079324246241 -480.53985919973</t>
  </si>
  <si>
    <t>-400.320672512701 103.950075820015 -299.754883355269</t>
  </si>
  <si>
    <t>-716.721309085106 115.721548476543 -229.364405461075</t>
  </si>
  <si>
    <t>-603.851508513586 184.007172238862 206.818088746155</t>
  </si>
  <si>
    <t>-532.101486923149 231.016526251659 668.621705129628</t>
  </si>
  <si>
    <t>-374.958736403674 246.471296385777 746.151269365691</t>
  </si>
  <si>
    <t>-724.615455716474 -40.9867507744923 223.365475720446</t>
  </si>
  <si>
    <t>-709.773044115499 22.6345430839676 688.708201849899</t>
  </si>
  <si>
    <t>-580.17271904653 -62.7543030226952 771.509217787621</t>
  </si>
  <si>
    <t>9763-20170724T160747.688976800.bin</t>
  </si>
  <si>
    <t>-725.633426897708 19.0077929649715 -230.450779013035</t>
  </si>
  <si>
    <t>-745.494036487529 21.7911182203884 -349.889545191339</t>
  </si>
  <si>
    <t>-754.07937025727 13.0590432910531 -470.474039558095</t>
  </si>
  <si>
    <t>-757.351433379958 0.298096941244012 -579.199820678327</t>
  </si>
  <si>
    <t>-686.911412056033 131.17272748593 -778.028430156328</t>
  </si>
  <si>
    <t>-581.550539366269 153.510222339236 -480.39392554659</t>
  </si>
  <si>
    <t>-401.069469904355 104.291380091246 -299.711514646419</t>
  </si>
  <si>
    <t>-716.350741459299 115.420659651066 -229.429449786213</t>
  </si>
  <si>
    <t>-603.318801934406 183.719997514074 206.708862480482</t>
  </si>
  <si>
    <t>-532.067618358482 230.982379642813 668.557233072609</t>
  </si>
  <si>
    <t>-374.926397764223 246.461093304935 746.084882170268</t>
  </si>
  <si>
    <t>-724.382436308109 -41.1236913125913 223.380042179085</t>
  </si>
  <si>
    <t>-709.776145697559 22.6524474633986 688.717632361533</t>
  </si>
  <si>
    <t>-580.21076139472 -62.794576594262 771.513326693143</t>
  </si>
  <si>
    <t>9763-20170724T160747.722063600.bin</t>
  </si>
  <si>
    <t>-725.369011912278 18.7042450457329 -230.470813046319</t>
  </si>
  <si>
    <t>-745.279894273493 21.4535643378058 -349.901982981279</t>
  </si>
  <si>
    <t>-753.907099247901 12.7526951138252 -470.485776064473</t>
  </si>
  <si>
    <t>-757.210306395408 0.0474036615319164 -579.217203565107</t>
  </si>
  <si>
    <t>-687.070688580521 131.195532709884 -778.033562401795</t>
  </si>
  <si>
    <t>-582.243142394439 153.834091624415 -480.233456876281</t>
  </si>
  <si>
    <t>-401.703696437587 104.595205250277 -299.614908865257</t>
  </si>
  <si>
    <t>-716.088648512693 115.134175085854 -229.48219724294</t>
  </si>
  <si>
    <t>-602.740651794662 183.454915928502 206.570751288089</t>
  </si>
  <si>
    <t>-532.027218430688 230.979394759037 668.489794259607</t>
  </si>
  <si>
    <t>-374.883339289245 246.422546685689 746.019215141533</t>
  </si>
  <si>
    <t>-724.166314558051 -41.2691321643283 223.388442269137</t>
  </si>
  <si>
    <t>-709.800706486448 22.640657809585 688.717762756949</t>
  </si>
  <si>
    <t>-580.225044029523 -62.789066608944 771.515241426361</t>
  </si>
  <si>
    <t>9763-20170724T160747.789276700.bin</t>
  </si>
  <si>
    <t>-724.862311758637 18.1746987539468 -230.543768099064</t>
  </si>
  <si>
    <t>-744.895436102766 20.8592113289887 -349.956011137208</t>
  </si>
  <si>
    <t>-753.634719419982 12.1635766267102 -470.531983733281</t>
  </si>
  <si>
    <t>-687.680338340883 131.057147266618 -778.012546868874</t>
  </si>
  <si>
    <t>-583.322263664172 154.217458191214 -480.087692434289</t>
  </si>
  <si>
    <t>-402.723178770567 105.008609600065 -299.520589745346</t>
  </si>
  <si>
    <t>-715.605831328357 114.578322052628 -229.589535730095</t>
  </si>
  <si>
    <t>-601.625125425639 183.015691162711 206.280171529059</t>
  </si>
  <si>
    <t>-531.954743861108 230.925508339603 668.338134116622</t>
  </si>
  <si>
    <t>-374.814637804144 246.367605221716 745.875188555098</t>
  </si>
  <si>
    <t>-723.82700526143 -41.4503896253275 223.359995696455</t>
  </si>
  <si>
    <t>-709.781286102543 22.62728119391 688.68186363237</t>
  </si>
  <si>
    <t>-580.318766113816 -62.9254095924266 771.52935888258</t>
  </si>
  <si>
    <t>9763-20170724T160747.853948800.bin</t>
  </si>
  <si>
    <t>-724.606061944417 17.7893698588703 -230.52669873669</t>
  </si>
  <si>
    <t>-744.643823254457 20.4342866002905 -349.939034937689</t>
  </si>
  <si>
    <t>-753.464229972803 11.7601797244085 -470.510743524244</t>
  </si>
  <si>
    <t>-688.412361273966 131.102642826979 -777.974761073852</t>
  </si>
  <si>
    <t>-584.243324860727 154.047221957741 -479.967169612581</t>
  </si>
  <si>
    <t>-403.820088114164 104.738217476382 -299.251579900295</t>
  </si>
  <si>
    <t>-715.446052435915 114.167443386943 -229.631272824026</t>
  </si>
  <si>
    <t>-601.166020387162 182.699954423158 206.145135229613</t>
  </si>
  <si>
    <t>-531.906689209684 230.859008854448 668.212048501685</t>
  </si>
  <si>
    <t>-374.777635230089 246.476677052257 745.736406000545</t>
  </si>
  <si>
    <t>-723.61812922667 -41.6830126999969 223.363629682359</t>
  </si>
  <si>
    <t>-709.805529416982 22.5841890950032 688.65841777291</t>
  </si>
  <si>
    <t>-580.366023818322 -62.9772836769612 771.532791996519</t>
  </si>
  <si>
    <t>9763-20170724T160747.889579400.bin</t>
  </si>
  <si>
    <t>-724.588285193742 17.6688983605961 -230.530732345636</t>
  </si>
  <si>
    <t>-744.640114596178 20.306738610486 -349.94093804594</t>
  </si>
  <si>
    <t>-753.483143840517 11.6621809340338 -470.513066231148</t>
  </si>
  <si>
    <t>-688.749490421836 131.255982666234 -777.901479570698</t>
  </si>
  <si>
    <t>-584.325339324782 153.956689295061 -479.96441516392</t>
  </si>
  <si>
    <t>-404.11434879941 104.351861674173 -299.118115246133</t>
  </si>
  <si>
    <t>-715.453264519615 114.069812019666 -229.646292596349</t>
  </si>
  <si>
    <t>-601.224686242536 182.623888030949 206.140183974434</t>
  </si>
  <si>
    <t>-531.885537786256 230.871724106216 668.181980985928</t>
  </si>
  <si>
    <t>-374.751035807875 246.509043481217 745.691546920359</t>
  </si>
  <si>
    <t>-723.557451532655 -41.7647886239636 223.360206892754</t>
  </si>
  <si>
    <t>-709.804496159669 22.5823593302896 688.655241990477</t>
  </si>
  <si>
    <t>-580.416641425352 -63.0515470099183 771.535461092432</t>
  </si>
  <si>
    <t>9763-20170724T160747.923666200.bin</t>
  </si>
  <si>
    <t>-724.672440268869 17.6298978472885 -230.532643275202</t>
  </si>
  <si>
    <t>-744.696300117107 20.2389906724686 -349.948072849934</t>
  </si>
  <si>
    <t>-753.537180441909 11.6259419885685 -470.522633682804</t>
  </si>
  <si>
    <t>-689.012693634778 131.510228871216 -777.84668449743</t>
  </si>
  <si>
    <t>-584.090263089479 154.060736626301 -480.073402986933</t>
  </si>
  <si>
    <t>-404.196951841875 103.86505107321 -299.073899111044</t>
  </si>
  <si>
    <t>-715.599041805116 114.076096830216 -229.663039358468</t>
  </si>
  <si>
    <t>-601.427194851506 182.622084612305 206.13960673959</t>
  </si>
  <si>
    <t>-531.867749192941 230.906957649405 668.163149555298</t>
  </si>
  <si>
    <t>-374.717108098202 246.525891590032 745.643702624844</t>
  </si>
  <si>
    <t>-723.572971048607 -41.8019636438717 223.360373805189</t>
  </si>
  <si>
    <t>-709.839854922952 22.55550582515 688.654521444338</t>
  </si>
  <si>
    <t>-580.437683900161 -63.0564334956177 771.535067119837</t>
  </si>
  <si>
    <t>9763-20170724T160747.986839400.bin</t>
  </si>
  <si>
    <t>-725.178786203066 17.7449001658899 -230.524477717267</t>
  </si>
  <si>
    <t>-745.326491016653 20.3178153317438 -349.919790564077</t>
  </si>
  <si>
    <t>-754.249157706988 11.7722202729394 -470.493140270417</t>
  </si>
  <si>
    <t>-690.218022276162 132.203137474633 -777.627336893242</t>
  </si>
  <si>
    <t>-584.022426715959 153.639210758239 -480.223341038933</t>
  </si>
  <si>
    <t>-404.304014638613 102.928973818318 -299.193435026746</t>
  </si>
  <si>
    <t>-716.333600744552 114.243909945329 -229.604631117363</t>
  </si>
  <si>
    <t>-601.937690951522 182.734038928577 206.147991723066</t>
  </si>
  <si>
    <t>-531.862981030408 230.936319906995 668.122893267928</t>
  </si>
  <si>
    <t>-374.677851880259 246.591844220605 745.525721668385</t>
  </si>
  <si>
    <t>-723.658973603959 -41.7997428352712 223.385806066048</t>
  </si>
  <si>
    <t>-709.917116462663 22.5104919767145 688.671653060354</t>
  </si>
  <si>
    <t>-580.434368990107 -62.9983449695251 771.532815405282</t>
  </si>
  <si>
    <t>9763-20170724T160748.018923700.bin</t>
  </si>
  <si>
    <t>-725.617272370832 17.8625852533371 -230.489547543089</t>
  </si>
  <si>
    <t>-745.858209376 20.4465971185336 -349.868922318102</t>
  </si>
  <si>
    <t>-754.772961576818 11.9337243377354 -470.445057935544</t>
  </si>
  <si>
    <t>-690.747369570386 132.561391328169 -777.506034555535</t>
  </si>
  <si>
    <t>-584.004478771839 153.273325462568 -480.246681037493</t>
  </si>
  <si>
    <t>-404.074064150648 102.700702794114 -299.388943698584</t>
  </si>
  <si>
    <t>-716.854713339437 114.386416720735 -229.545243842838</t>
  </si>
  <si>
    <t>-602.252543049915 182.838206274143 206.15913846657</t>
  </si>
  <si>
    <t>-531.86418376801 230.95110851636 668.100833662012</t>
  </si>
  <si>
    <t>-374.667813267769 246.685601381475 745.46501738854</t>
  </si>
  <si>
    <t>-723.796073870211 -41.813524928132 223.397286560729</t>
  </si>
  <si>
    <t>-709.998711321779 22.4609057945408 688.690384070471</t>
  </si>
  <si>
    <t>-580.417235871865 -62.9210516675407 771.52802938951</t>
  </si>
  <si>
    <t>9763-20170724T160748.087013100.bin</t>
  </si>
  <si>
    <t>-726.83580730457 18.2322371275777 -230.420560393868</t>
  </si>
  <si>
    <t>-747.50132646287 20.8340905338794 -349.726765629998</t>
  </si>
  <si>
    <t>-756.567033066363 12.4235342637323 -470.298902486611</t>
  </si>
  <si>
    <t>-760.115993005811 0.160597408299054 -579.073350134252</t>
  </si>
  <si>
    <t>-692.764073837955 133.627534495743 -777.27270074482</t>
  </si>
  <si>
    <t>-584.833231826567 153.43897496213 -480.381212633735</t>
  </si>
  <si>
    <t>-404.379052373833 103.126278060019 -299.973312730754</t>
  </si>
  <si>
    <t>-718.272426363572 114.928750868284 -229.416270599738</t>
  </si>
  <si>
    <t>-603.163329427039 183.167460175532 206.187996304073</t>
  </si>
  <si>
    <t>-531.882837754371 231.000427472533 668.070713653544</t>
  </si>
  <si>
    <t>-374.647337179809 246.754747281746 745.351457680878</t>
  </si>
  <si>
    <t>-724.097005456011 -41.807999216802 223.451529997489</t>
  </si>
  <si>
    <t>-710.204845982795 22.3532474298602 688.749538111248</t>
  </si>
  <si>
    <t>-580.251608634076 -62.5490450814805 771.497740817757</t>
  </si>
  <si>
    <t>9763-20170724T160748.120137200.bin</t>
  </si>
  <si>
    <t>-727.63207038976 18.404050825786 -230.3494639592</t>
  </si>
  <si>
    <t>-748.410485527103 21.0261677572146 -349.635663460312</t>
  </si>
  <si>
    <t>-757.521106048167 12.6625401160356 -470.20774308816</t>
  </si>
  <si>
    <t>-761.08340289529 0.450115698055015 -578.987356352947</t>
  </si>
  <si>
    <t>-693.789380134146 134.034125175641 -777.161639509186</t>
  </si>
  <si>
    <t>-584.970160930034 153.923320623663 -480.599747523716</t>
  </si>
  <si>
    <t>-404.311061479066 104.007793679016 -300.286655407668</t>
  </si>
  <si>
    <t>-719.085946152735 115.183283337754 -229.324475730988</t>
  </si>
  <si>
    <t>-603.763874751704 183.350030694687 206.234702643356</t>
  </si>
  <si>
    <t>-531.909495146369 231.03914534153 668.077450449327</t>
  </si>
  <si>
    <t>-374.646991113942 246.813124228115 745.299401206098</t>
  </si>
  <si>
    <t>-724.335945771465 -41.8124657135943 223.474894302786</t>
  </si>
  <si>
    <t>-710.351990395963 22.2700061303369 688.784844017369</t>
  </si>
  <si>
    <t>-580.140583130662 -62.2919343464 771.47571591707</t>
  </si>
  <si>
    <t>9763-20170724T160748.192313100.bin</t>
  </si>
  <si>
    <t>-729.02238253363 18.7082687247387 -230.130658231787</t>
  </si>
  <si>
    <t>-750.046109142806 21.3793261025296 -349.372704157461</t>
  </si>
  <si>
    <t>-759.281599682848 13.0614796734772 -469.938361427595</t>
  </si>
  <si>
    <t>-762.907389235731 0.886389378304784 -578.720210761779</t>
  </si>
  <si>
    <t>-695.761704634306 134.60426819027 -776.908584392649</t>
  </si>
  <si>
    <t>-585.206738991856 154.534953298255 -480.992138121547</t>
  </si>
  <si>
    <t>-403.964107397003 106.160389469127 -300.84481815637</t>
  </si>
  <si>
    <t>-720.440084692151 115.612862824885 -229.104984924391</t>
  </si>
  <si>
    <t>-605.10856284646 183.657174736924 206.47084189001</t>
  </si>
  <si>
    <t>-531.962097451299 231.130482770285 668.105931691226</t>
  </si>
  <si>
    <t>-374.641100622412 246.856715907198 745.218348820962</t>
  </si>
  <si>
    <t>-724.557682413308 -41.9553986009118 223.586198006935</t>
  </si>
  <si>
    <t>-710.597969178136 22.1366088873031 688.865430184928</t>
  </si>
  <si>
    <t>-579.890870386393 -61.7868786219417 771.42458133632</t>
  </si>
  <si>
    <t>9763-20170724T160748.223388900.bin</t>
  </si>
  <si>
    <t>-729.584024419285 18.7278327299275 -230.020485709319</t>
  </si>
  <si>
    <t>-750.746463099366 21.467001713781 -349.236499569265</t>
  </si>
  <si>
    <t>-759.996235513088 13.1625319759135 -469.801984349876</t>
  </si>
  <si>
    <t>-763.585027569965 0.975324496458825 -578.583608849484</t>
  </si>
  <si>
    <t>-696.319458508853 134.589572069287 -776.717560521399</t>
  </si>
  <si>
    <t>-584.679397367117 154.937719844677 -481.237268722071</t>
  </si>
  <si>
    <t>-403.26711835373 107.051637651571 -301.130160724667</t>
  </si>
  <si>
    <t>-721.071511865572 115.661930130787 -228.95906671889</t>
  </si>
  <si>
    <t>-605.700519634426 183.734236026313 206.601868485827</t>
  </si>
  <si>
    <t>-531.970222108603 231.180508407394 668.119472818059</t>
  </si>
  <si>
    <t>-374.629897725663 246.870544199727 745.199494973557</t>
  </si>
  <si>
    <t>-724.564362964 -42.0232142961979 223.624802410928</t>
  </si>
  <si>
    <t>-710.641696834854 22.1281395715698 688.89305202537</t>
  </si>
  <si>
    <t>-579.82782522144 -61.6660877178854 771.414361000527</t>
  </si>
  <si>
    <t>9763-20170724T160748.288588600.bin</t>
  </si>
  <si>
    <t>-730.564231881062 18.7575380181993 -229.922631622473</t>
  </si>
  <si>
    <t>-751.903369914523 21.557767321342 -349.105676847847</t>
  </si>
  <si>
    <t>-761.124169272121 13.3615141197581 -469.680802700031</t>
  </si>
  <si>
    <t>-764.602944551868 1.28594102420857 -578.478526830511</t>
  </si>
  <si>
    <t>-696.902443864123 135.145463196729 -776.406773373432</t>
  </si>
  <si>
    <t>-583.225885911268 156.155148321333 -481.750421613781</t>
  </si>
  <si>
    <t>-401.670740274661 108.041426453278 -301.848012890655</t>
  </si>
  <si>
    <t>-722.094497523069 115.836964650045 -228.833697822535</t>
  </si>
  <si>
    <t>-606.460884614899 183.710197903619 206.688709842655</t>
  </si>
  <si>
    <t>-531.995048497902 231.204956902616 668.143988795659</t>
  </si>
  <si>
    <t>-374.619618949778 246.863284468528 745.158960796885</t>
  </si>
  <si>
    <t>-724.62537598745 -42.1864796750308 223.664397662828</t>
  </si>
  <si>
    <t>-710.761226551703 22.040591555008 688.90723134228</t>
  </si>
  <si>
    <t>-579.702098759215 -61.4177972305552 771.379743254489</t>
  </si>
  <si>
    <t>9763-20170724T160748.323683500.bin</t>
  </si>
  <si>
    <t>-731.057625219971 18.753480822631 -229.89014172747</t>
  </si>
  <si>
    <t>-752.500197152072 21.5821092638421 -349.053893726366</t>
  </si>
  <si>
    <t>-761.682282994147 13.4451588670602 -469.635974196437</t>
  </si>
  <si>
    <t>-765.067216129471 1.43313077462903 -578.443660286434</t>
  </si>
  <si>
    <t>-697.120056812908 135.40683966091 -776.274572011359</t>
  </si>
  <si>
    <t>-582.200171218866 156.66424262492 -482.118683197841</t>
  </si>
  <si>
    <t>-400.444613255291 108.472648316179 -302.439714071117</t>
  </si>
  <si>
    <t>-722.644644972532 115.812389857511 -228.732135186809</t>
  </si>
  <si>
    <t>-606.561412197371 183.621973499736 206.68056980693</t>
  </si>
  <si>
    <t>-532.013161063347 231.166290171839 668.132339523337</t>
  </si>
  <si>
    <t>-374.629803978211 246.907913419846 745.113968980119</t>
  </si>
  <si>
    <t>-724.707768785336 -42.2626353416856 223.674023045597</t>
  </si>
  <si>
    <t>-710.752789222992 22.0357739615492 688.9043355984</t>
  </si>
  <si>
    <t>-579.67988584734 -61.4001705057324 771.377649050568</t>
  </si>
  <si>
    <t>9763-20170724T160748.401905700.bin</t>
  </si>
  <si>
    <t>-731.954215345497 18.9031069298312 -229.884152505254</t>
  </si>
  <si>
    <t>-753.606525489969 21.7629067947883 -349.009386321306</t>
  </si>
  <si>
    <t>-762.804504827087 13.8328000424156 -469.604147080599</t>
  </si>
  <si>
    <t>-766.117091964958 2.07808980387244 -578.441902337212</t>
  </si>
  <si>
    <t>-753.353928642355 0.555483051193278 -775.435917101451</t>
  </si>
  <si>
    <t>-698.066494930584 136.818239606913 -776.003248157324</t>
  </si>
  <si>
    <t>-580.317794574564 157.227959942768 -482.907847857988</t>
  </si>
  <si>
    <t>-397.884424142177 108.274539946809 -304.123932894968</t>
  </si>
  <si>
    <t>-723.523776547497 115.933346952686 -228.647249288275</t>
  </si>
  <si>
    <t>-606.501839445651 183.551495086319 206.543976728666</t>
  </si>
  <si>
    <t>-532.049925649306 231.106068947096 668.051568207268</t>
  </si>
  <si>
    <t>-374.644623003382 246.949693927077 744.967374445675</t>
  </si>
  <si>
    <t>-725.267947029716 -42.1652734949269 223.672282164821</t>
  </si>
  <si>
    <t>-710.692839647758 22.0465459911113 688.890385905188</t>
  </si>
  <si>
    <t>-579.75070208345 -61.5669688096364 771.391579783756</t>
  </si>
  <si>
    <t>9763-20170724T160748.425972500.bin</t>
  </si>
  <si>
    <t>-732.412051973908 19.0294634821316 -229.867329403765</t>
  </si>
  <si>
    <t>-754.068260613432 21.9066017653695 -348.991261910712</t>
  </si>
  <si>
    <t>-763.180046849591 14.0977794035794 -469.600425790105</t>
  </si>
  <si>
    <t>-766.372095371897 2.49711162665449 -578.458493778094</t>
  </si>
  <si>
    <t>-753.350420475939 1.38493342656102 -775.432829616505</t>
  </si>
  <si>
    <t>-698.453000780283 137.76186650218 -775.800794388452</t>
  </si>
  <si>
    <t>-578.829373479721 157.568221995098 -483.424265793965</t>
  </si>
  <si>
    <t>-395.995817090115 107.815909028934 -305.270906693773</t>
  </si>
  <si>
    <t>-723.932628218452 116.051028091661 -228.619707940744</t>
  </si>
  <si>
    <t>-606.514446119639 183.538332017841 206.485053080501</t>
  </si>
  <si>
    <t>-532.071335600544 231.089316483141 667.996361592752</t>
  </si>
  <si>
    <t>-374.649383531641 246.944939134041 744.875757542991</t>
  </si>
  <si>
    <t>-725.631629385473 -42.0676192475198 223.668005523654</t>
  </si>
  <si>
    <t>-710.66765449605 22.0443402385392 688.882457940986</t>
  </si>
  <si>
    <t>-579.78214791323 -61.6404801956899 771.401216026809</t>
  </si>
  <si>
    <t>9763-20170724T160748.492884200.bin</t>
  </si>
  <si>
    <t>-733.470161555292 19.3886337372853 -229.833504237325</t>
  </si>
  <si>
    <t>-755.440527894446 22.3329204640606 -348.898370805523</t>
  </si>
  <si>
    <t>-764.476014316519 14.7741080994194 -469.529133106814</t>
  </si>
  <si>
    <t>-767.429794695077 3.47285555208327 -578.425439675033</t>
  </si>
  <si>
    <t>-753.734169484534 3.12632316717054 -775.345981720446</t>
  </si>
  <si>
    <t>-699.481242842097 139.822113113163 -775.149517273234</t>
  </si>
  <si>
    <t>-576.987060960747 157.276469281959 -483.813484641251</t>
  </si>
  <si>
    <t>-393.57259159813 104.03560537963 -307.272808167879</t>
  </si>
  <si>
    <t>-725.135800478274 116.461354859987 -228.511808601717</t>
  </si>
  <si>
    <t>-606.994579703802 183.678197189079 206.43897458679</t>
  </si>
  <si>
    <t>-532.113948505705 231.099769498263 667.880538225534</t>
  </si>
  <si>
    <t>-374.649527598801 246.955519595644 744.67291455956</t>
  </si>
  <si>
    <t>-726.237016754028 -41.8616725136144 223.665437927404</t>
  </si>
  <si>
    <t>-710.644911397976 22.02475533756 688.874611937488</t>
  </si>
  <si>
    <t>-579.859269151021 -61.7898081887363 771.420005374408</t>
  </si>
  <si>
    <t>9763-20170724T160748.522956100.bin</t>
  </si>
  <si>
    <t>-734.119221363853 19.5119490922775 -229.768383487576</t>
  </si>
  <si>
    <t>-756.208468313188 22.5006132549472 -348.81014171364</t>
  </si>
  <si>
    <t>-765.097302196383 15.0870986067689 -469.460816122564</t>
  </si>
  <si>
    <t>-767.80787661509 3.95422266086257 -578.380849839602</t>
  </si>
  <si>
    <t>-753.504467843123 4.02219584598515 -775.252719685436</t>
  </si>
  <si>
    <t>-699.375205418504 140.717463251173 -774.82857418902</t>
  </si>
  <si>
    <t>-575.627445535537 156.623285742314 -483.933995206685</t>
  </si>
  <si>
    <t>-392.580089371851 100.247000813804 -307.986696659952</t>
  </si>
  <si>
    <t>-725.955010664623 116.634722849613 -228.407081550386</t>
  </si>
  <si>
    <t>-607.513630043043 183.850324182765 206.462317441763</t>
  </si>
  <si>
    <t>-532.145576530109 231.14029885986 667.843587266878</t>
  </si>
  <si>
    <t>-374.655378852818 246.976509234585 744.587152347292</t>
  </si>
  <si>
    <t>-726.420608292207 -41.8415299252326 223.647413838631</t>
  </si>
  <si>
    <t>-710.685237145717 21.9753144667695 688.868140756099</t>
  </si>
  <si>
    <t>-579.844803777389 -61.7513229333674 771.415967876945</t>
  </si>
  <si>
    <t>9763-20170724T160748.589097600.bin</t>
  </si>
  <si>
    <t>-735.711027030912 19.7706943244195 -229.576737343853</t>
  </si>
  <si>
    <t>-758.080570559792 22.8412711594781 -348.564027779006</t>
  </si>
  <si>
    <t>-766.896048151091 15.7062991031064 -469.237016480606</t>
  </si>
  <si>
    <t>-769.390092572326 4.90088554895578 -578.195091705107</t>
  </si>
  <si>
    <t>-754.59966099795 5.80062691243734 -775.021445805269</t>
  </si>
  <si>
    <t>-701.149025817912 142.816406082355 -774.317256124506</t>
  </si>
  <si>
    <t>-573.23998897792 154.552808601559 -485.02899475633</t>
  </si>
  <si>
    <t>-393.571243702454 85.5991823368745 -310.081475197086</t>
  </si>
  <si>
    <t>-728.052417609417 117.089211993836 -228.12105215254</t>
  </si>
  <si>
    <t>-609.092934203861 184.303405788469 206.607057706483</t>
  </si>
  <si>
    <t>-532.263677617206 231.283321496751 667.749875749828</t>
  </si>
  <si>
    <t>-374.710884361159 247.281744368735 744.331172826653</t>
  </si>
  <si>
    <t>-726.624636243139 -41.7996623725498 223.624014251736</t>
  </si>
  <si>
    <t>-710.765932017122 21.8856353477358 688.850958547066</t>
  </si>
  <si>
    <t>-579.735678962918 -61.5454845081056 771.396889506997</t>
  </si>
  <si>
    <t>9763-20170724T160748.654775700.bin</t>
  </si>
  <si>
    <t>-737.443765585469 20.1808623919221 -229.38398540235</t>
  </si>
  <si>
    <t>-760.112121745293 23.4822116132329 -348.308554377257</t>
  </si>
  <si>
    <t>-768.776872551099 16.741557836373 -469.015007561619</t>
  </si>
  <si>
    <t>-770.949736882465 6.34842112701676 -578.020150426401</t>
  </si>
  <si>
    <t>-755.387181876817 8.1672591005572 -774.774717899292</t>
  </si>
  <si>
    <t>-703.112296659868 145.608052049261 -773.67107738687</t>
  </si>
  <si>
    <t>-570.70546465058 152.660679522447 -486.260433312158</t>
  </si>
  <si>
    <t>-394.55293144961 65.4399577855818 -315.95220256847</t>
  </si>
  <si>
    <t>-730.571249678206 117.632170571734 -227.65146431842</t>
  </si>
  <si>
    <t>-611.020367251388 185.047284406467 206.883320960282</t>
  </si>
  <si>
    <t>-532.338199834879 231.625166244869 667.699194798847</t>
  </si>
  <si>
    <t>-374.770721857992 247.852786043366 744.202140124129</t>
  </si>
  <si>
    <t>-726.673478872768 -41.6928271309332 223.548765615123</t>
  </si>
  <si>
    <t>-710.823448338787 21.8604893209383 688.833697196279</t>
  </si>
  <si>
    <t>-579.651662420351 -61.3699066473664 771.35749187325</t>
  </si>
  <si>
    <t>9763-20170724T160748.691402800.bin</t>
  </si>
  <si>
    <t>-738.328489160711 20.4254576891278 -229.322265549704</t>
  </si>
  <si>
    <t>-761.102398237314 23.8535439007969 -348.223025753407</t>
  </si>
  <si>
    <t>-769.693709773086 17.3509735740813 -468.947876085187</t>
  </si>
  <si>
    <t>-771.728884009614 7.20931730394386 -577.979242020353</t>
  </si>
  <si>
    <t>-755.82235109336 9.57285003938887 -774.696691562624</t>
  </si>
  <si>
    <t>-703.961242555751 147.171087523302 -773.265864853064</t>
  </si>
  <si>
    <t>-570.142544491611 150.715139621962 -486.444836889769</t>
  </si>
  <si>
    <t>-395.648690127168 55.2391359597245 -318.87923140853</t>
  </si>
  <si>
    <t>-731.838201357159 117.967075357126 -227.429104474309</t>
  </si>
  <si>
    <t>-612.137445614263 185.576163374365 207.034190307996</t>
  </si>
  <si>
    <t>-532.412966373202 231.922955612313 667.72279966092</t>
  </si>
  <si>
    <t>-374.834067495932 248.345475497681 744.16063138495</t>
  </si>
  <si>
    <t>-726.771040708352 -41.6017027272487 223.475358522219</t>
  </si>
  <si>
    <t>-710.852699260689 21.8392999574207 688.805157101036</t>
  </si>
  <si>
    <t>-579.617381535418 -61.2903557863001 771.329480499976</t>
  </si>
  <si>
    <t>9763-20170724T160748.723488200.bin</t>
  </si>
  <si>
    <t>-739.240876862527 20.700876340182 -229.297963306927</t>
  </si>
  <si>
    <t>-762.094374155778 24.2463016687448 -348.180113290463</t>
  </si>
  <si>
    <t>-770.622282939946 18.0129605853356 -468.923526044035</t>
  </si>
  <si>
    <t>-772.543475965931 8.16648142582449 -577.98404132005</t>
  </si>
  <si>
    <t>-756.337786989619 11.1826498690868 -774.662265111634</t>
  </si>
  <si>
    <t>-704.591189928973 148.809483971803 -772.885172680648</t>
  </si>
  <si>
    <t>-569.997861453006 148.522105571659 -486.405274899063</t>
  </si>
  <si>
    <t>-396.925210379853 45.8105307426165 -321.668390495492</t>
  </si>
  <si>
    <t>-733.170360638623 118.351442083347 -227.214409542899</t>
  </si>
  <si>
    <t>-613.4706006166 186.102848517363 207.227057461414</t>
  </si>
  <si>
    <t>-532.579128287216 232.244498574633 667.727109617237</t>
  </si>
  <si>
    <t>-374.922890151925 248.805557399831 743.975033412035</t>
  </si>
  <si>
    <t>-727.071738058587 -41.538290400051 223.350834682009</t>
  </si>
  <si>
    <t>-710.863902394631 21.7224930379934 688.655352906683</t>
  </si>
  <si>
    <t>-579.58888514248 -61.2285457145383 771.296163284142</t>
  </si>
  <si>
    <t>9763-20170724T160748.788671300.bin</t>
  </si>
  <si>
    <t>-741.092032927846 21.1592223702978 -229.315822360264</t>
  </si>
  <si>
    <t>-763.719772380261 24.8884560035419 -348.235517367293</t>
  </si>
  <si>
    <t>-771.911754952061 19.0736988726696 -469.023001562863</t>
  </si>
  <si>
    <t>-773.489354162435 9.68625155697532 -578.12969889631</t>
  </si>
  <si>
    <t>-756.58199626174 13.7072558907562 -774.722083000709</t>
  </si>
  <si>
    <t>-704.772996026197 151.329796271315 -772.705758483193</t>
  </si>
  <si>
    <t>-573.102149188135 143.826801362965 -484.96855520528</t>
  </si>
  <si>
    <t>-402.089747357922 27.6884434000153 -327.143590283395</t>
  </si>
  <si>
    <t>-735.560693044935 118.838494489589 -226.993408960812</t>
  </si>
  <si>
    <t>-616.266785809923 187.27982399402 207.451506059574</t>
  </si>
  <si>
    <t>-533.649738870453 233.395329536665 667.560965301433</t>
  </si>
  <si>
    <t>-375.304873197843 249.830132172491 742.39608035421</t>
  </si>
  <si>
    <t>-728.124989607011 -41.5593249638409 223.026800624275</t>
  </si>
  <si>
    <t>-710.904824435149 21.3483313712863 688.296540383504</t>
  </si>
  <si>
    <t>-579.569944559568 -61.1851925325891 771.259644385084</t>
  </si>
  <si>
    <t>9763-20170724T160748.822764800.bin</t>
  </si>
  <si>
    <t>-741.985445242838 21.3232429445748 -229.410545220232</t>
  </si>
  <si>
    <t>-764.439056350708 25.1417864851323 -348.360375382535</t>
  </si>
  <si>
    <t>-772.375230567283 19.4943466068135 -469.173100855244</t>
  </si>
  <si>
    <t>-773.688027759218 10.2877509238976 -578.298475442416</t>
  </si>
  <si>
    <t>-756.24810829845 14.7094390489135 -774.832134976729</t>
  </si>
  <si>
    <t>-704.456376084981 152.30804153694 -772.512835232374</t>
  </si>
  <si>
    <t>-574.980094954421 141.806951545662 -483.874832871117</t>
  </si>
  <si>
    <t>-403.950447076864 23.3518716709862 -327.800240529767</t>
  </si>
  <si>
    <t>-736.537253117106 119.174960574205 -227.053392765509</t>
  </si>
  <si>
    <t>-617.713795265447 187.972236043478 207.46421078211</t>
  </si>
  <si>
    <t>-534.259872001951 233.971834300844 667.411391594703</t>
  </si>
  <si>
    <t>-375.487091237191 250.192625611326 741.381550700225</t>
  </si>
  <si>
    <t>-728.832306984864 -41.6637547603157 222.818133590441</t>
  </si>
  <si>
    <t>-710.967614441321 21.0566240433413 688.059805696237</t>
  </si>
  <si>
    <t>-579.572706590365 -61.1733825782176 771.228995118219</t>
  </si>
  <si>
    <t>9763-20170724T160748.888125200.bin</t>
  </si>
  <si>
    <t>-743.630272794597 21.308221503562 -229.987374192252</t>
  </si>
  <si>
    <t>-765.928269521715 25.2796254956163 -348.96146294071</t>
  </si>
  <si>
    <t>-773.46414295567 19.9063876930693 -469.812219517125</t>
  </si>
  <si>
    <t>-774.312778480037 10.9946622501159 -578.966754010997</t>
  </si>
  <si>
    <t>-755.880449667455 16.082912421017 -775.386907198008</t>
  </si>
  <si>
    <t>-704.254805922254 153.730637621701 -772.426683628933</t>
  </si>
  <si>
    <t>-577.559768421213 140.886428853279 -482.651471780503</t>
  </si>
  <si>
    <t>-407.56031278139 21.5545253458022 -326.119944379905</t>
  </si>
  <si>
    <t>-738.324889451275 119.60774443277 -227.38654745227</t>
  </si>
  <si>
    <t>-620.410166158355 188.447463995212 207.371863882091</t>
  </si>
  <si>
    <t>-534.777242837211 234.316151217755 667.10303435811</t>
  </si>
  <si>
    <t>-375.558928799132 250.121184443027 740.200321224732</t>
  </si>
  <si>
    <t>-730.130390966192 -42.2944698754297 221.917078926449</t>
  </si>
  <si>
    <t>-711.014855175385 19.6248541741625 686.739350569744</t>
  </si>
  <si>
    <t>-579.685106714368 -61.2527622586858 771.325507455721</t>
  </si>
  <si>
    <t>9763-20170724T160748.926226200.bin</t>
  </si>
  <si>
    <t>-744.397618537701 20.9524169503884 -230.46302013435</t>
  </si>
  <si>
    <t>-766.664111067704 25.0041605410988 -349.440232074965</t>
  </si>
  <si>
    <t>-773.958040589033 19.7802592002981 -470.312374171943</t>
  </si>
  <si>
    <t>-774.503161382175 11.0253698200315 -579.481587299433</t>
  </si>
  <si>
    <t>-755.337118395582 16.4432348380951 -775.818130991301</t>
  </si>
  <si>
    <t>-703.446282343818 153.963406101233 -772.466726896844</t>
  </si>
  <si>
    <t>-577.947056758968 140.907938481879 -482.181017804457</t>
  </si>
  <si>
    <t>-408.088971283266 22.4437364562395 -324.839055365975</t>
  </si>
  <si>
    <t>-739.161045960616 119.51221259822 -227.688247039482</t>
  </si>
  <si>
    <t>-621.296695920025 188.177791971593 207.111363781139</t>
  </si>
  <si>
    <t>-534.752195518417 234.217075730842 666.833335621073</t>
  </si>
  <si>
    <t>-375.532324872565 250.047085712111 739.921844765659</t>
  </si>
  <si>
    <t>-730.625748569747 -42.98037524301 221.225315237468</t>
  </si>
  <si>
    <t>-711.011717470488 18.7383660874737 686.064014184132</t>
  </si>
  <si>
    <t>-579.689932151663 -61.2499969678611 771.503819327327</t>
  </si>
  <si>
    <t>9763-20170724T160748.991429100.bin</t>
  </si>
  <si>
    <t>-745.876972086931 20.1020881051481 -231.594970225764</t>
  </si>
  <si>
    <t>-768.168800031257 24.2695681518094 -350.563431415017</t>
  </si>
  <si>
    <t>-775.199649331065 19.2785398492003 -471.461080892452</t>
  </si>
  <si>
    <t>-775.391205879004 10.7709656418103 -580.651007382024</t>
  </si>
  <si>
    <t>-755.330240578602 16.7136996903434 -776.875854111034</t>
  </si>
  <si>
    <t>-703.226970452402 154.1874371398 -773.167128308849</t>
  </si>
  <si>
    <t>-578.863962116536 137.511671564889 -482.578129727649</t>
  </si>
  <si>
    <t>-409.340589060862 15.8529576903729 -327.326564944786</t>
  </si>
  <si>
    <t>-740.724932135646 119.111898123081 -228.497118254266</t>
  </si>
  <si>
    <t>-622.141891210385 187.405688136559 206.165618757778</t>
  </si>
  <si>
    <t>-534.715527573162 233.960494201949 665.992618272788</t>
  </si>
  <si>
    <t>-375.551130133238 250.009224724653 739.154162107144</t>
  </si>
  <si>
    <t>-731.418380438934 -44.1675889584953 219.827122115496</t>
  </si>
  <si>
    <t>-710.938109139904 16.9272601001226 684.514100533998</t>
  </si>
  <si>
    <t>-579.685672125751 -61.0839362269462 771.867190942771</t>
  </si>
  <si>
    <t>9763-20170724T160749.024525400.bin</t>
  </si>
  <si>
    <t>-746.545279958537 19.6244297876128 -232.274167163513</t>
  </si>
  <si>
    <t>-768.906974423714 23.8252654834037 -351.228355578387</t>
  </si>
  <si>
    <t>-775.842920945093 18.9538783673559 -472.136273877682</t>
  </si>
  <si>
    <t>-775.881864780659 10.5831255940511 -581.337072407608</t>
  </si>
  <si>
    <t>-755.392645295883 16.8341144007572 -777.503158107306</t>
  </si>
  <si>
    <t>-703.29633220342 154.286921938563 -773.625068264465</t>
  </si>
  <si>
    <t>-579.236921184817 134.70342406943 -483.087654543593</t>
  </si>
  <si>
    <t>-408.949977337812 11.1913583431874 -330.152408356673</t>
  </si>
  <si>
    <t>-741.529726528708 118.794595692441 -229.007583743239</t>
  </si>
  <si>
    <t>-622.34783285107 187.160499730766 205.479985320508</t>
  </si>
  <si>
    <t>-534.780092088282 233.930187020389 665.371276096285</t>
  </si>
  <si>
    <t>-375.594906147013 250.003438736876 738.482694993926</t>
  </si>
  <si>
    <t>-731.595748220647 -44.8060126855034 219.061691909997</t>
  </si>
  <si>
    <t>-710.788791805761 16.1340671919734 683.83340235413</t>
  </si>
  <si>
    <t>-579.614578942937 -61.0155702423529 772.064762717811</t>
  </si>
  <si>
    <t>9763-20170724T160749.087698600.bin</t>
  </si>
  <si>
    <t>-747.80629953464 19.1585825852319 -233.252323170039</t>
  </si>
  <si>
    <t>-770.103685231589 23.5099039106356 -352.213348737575</t>
  </si>
  <si>
    <t>-776.831524995432 18.997562451789 -473.146956210949</t>
  </si>
  <si>
    <t>-776.623533986371 11.0266024312878 -582.377261564961</t>
  </si>
  <si>
    <t>-755.540326955674 18.1658771191405 -778.440269919528</t>
  </si>
  <si>
    <t>-703.295175134245 155.549310795569 -774.142085223745</t>
  </si>
  <si>
    <t>-580.557067814171 129.210321699485 -483.577590257627</t>
  </si>
  <si>
    <t>-407.112364961738 1.67581478961324 -337.653146299128</t>
  </si>
  <si>
    <t>-742.884087805706 118.574673804038 -229.820299373555</t>
  </si>
  <si>
    <t>-622.9391351552 186.996519575634 204.448332796373</t>
  </si>
  <si>
    <t>-534.810269356242 233.786478150221 664.22495338876</t>
  </si>
  <si>
    <t>-375.624986340958 249.854737654975 737.336830581645</t>
  </si>
  <si>
    <t>-732.170639171719 -45.2722788961789 218.073194296792</t>
  </si>
  <si>
    <t>-710.641489486476 15.5010812524952 683.175437980403</t>
  </si>
  <si>
    <t>-579.41597711076 -60.6169229709794 772.222736775851</t>
  </si>
  <si>
    <t>9763-20170724T160749.119782200.bin</t>
  </si>
  <si>
    <t>-748.259532818782 19.1522613042541 -233.515149163979</t>
  </si>
  <si>
    <t>-770.471166935305 23.6392792461336 -352.487004460935</t>
  </si>
  <si>
    <t>-777.082676087516 19.3756722201003 -473.436002760301</t>
  </si>
  <si>
    <t>-776.757127010892 11.670542205459 -582.685213700283</t>
  </si>
  <si>
    <t>-755.398460457504 19.3747807417205 -778.691244104677</t>
  </si>
  <si>
    <t>-702.886284249907 156.626877738018 -773.859753867978</t>
  </si>
  <si>
    <t>-580.62738739626 127.397365327508 -483.369473541511</t>
  </si>
  <si>
    <t>-405.287096194524 0.908670230732696 -338.806503315649</t>
  </si>
  <si>
    <t>-743.354098584832 118.454698420265 -230.029364844788</t>
  </si>
  <si>
    <t>-623.498887945087 186.929179396453 204.255841021621</t>
  </si>
  <si>
    <t>-534.715893285325 233.653972043828 663.82428894643</t>
  </si>
  <si>
    <t>-375.599237109345 249.741819035859 737.081202094295</t>
  </si>
  <si>
    <t>-732.405206001958 -45.2261321342742 217.799125252262</t>
  </si>
  <si>
    <t>-710.576573343846 15.463041200969 682.98474803999</t>
  </si>
  <si>
    <t>-579.33189311754 -60.4702812394978 772.161396711246</t>
  </si>
  <si>
    <t>9763-20170724T160749.193660400.bin</t>
  </si>
  <si>
    <t>-748.823620028146 19.048658910016 -233.721021619457</t>
  </si>
  <si>
    <t>-770.857466090524 23.8307983147695 -352.71447997533</t>
  </si>
  <si>
    <t>-777.197679805354 20.0231953292646 -473.693253661274</t>
  </si>
  <si>
    <t>-776.588311139763 12.7886973698974 -582.973401258321</t>
  </si>
  <si>
    <t>-769.866287856437 1.60112398970705 -691.713790956224</t>
  </si>
  <si>
    <t>-754.529462585705 21.4557441099776 -778.851338979617</t>
  </si>
  <si>
    <t>-701.396201675524 158.458728839873 -772.858254135487</t>
  </si>
  <si>
    <t>-578.957704619043 126.27620758566 -482.756063030123</t>
  </si>
  <si>
    <t>-400.589511364033 18.7115538693263 -327.01058856976</t>
  </si>
  <si>
    <t>-743.696168368128 118.102006322236 -230.232943422571</t>
  </si>
  <si>
    <t>-624.913948311877 186.563512293142 204.348974018666</t>
  </si>
  <si>
    <t>-534.41004423447 233.296706370262 663.382769110169</t>
  </si>
  <si>
    <t>-375.502695010772 249.385359414897 737.092616788804</t>
  </si>
  <si>
    <t>-732.529328106578 -45.2861608373107 217.509615958166</t>
  </si>
  <si>
    <t>-710.425153780235 15.6353369982264 682.767611701311</t>
  </si>
  <si>
    <t>-579.156217135642 -60.2760187291974 771.927269803289</t>
  </si>
  <si>
    <t>9763-20170724T160749.224742600.bin</t>
  </si>
  <si>
    <t>-748.929331394509 18.8350363712173 -233.719688036699</t>
  </si>
  <si>
    <t>-770.863749792986 23.7261446397767 -352.72722258729</t>
  </si>
  <si>
    <t>-777.088357290749 20.0398533217351 -473.71580749309</t>
  </si>
  <si>
    <t>-776.368897161775 12.918073561809 -583.002553658665</t>
  </si>
  <si>
    <t>-769.53174561041 1.8454769849584 -691.747695981334</t>
  </si>
  <si>
    <t>-754.053531023928 21.7844620571814 -778.840805764555</t>
  </si>
  <si>
    <t>-700.878744321908 158.741999821307 -772.546275011243</t>
  </si>
  <si>
    <t>-576.819433699208 126.75568968209 -483.11164982496</t>
  </si>
  <si>
    <t>-394.297122715922 37.8187952359806 -320.575825654044</t>
  </si>
  <si>
    <t>-743.697630978123 117.802123301997 -230.239439070786</t>
  </si>
  <si>
    <t>-625.453796756339 186.305339962265 204.482820358435</t>
  </si>
  <si>
    <t>-534.284617687099 233.113087780502 663.302664636059</t>
  </si>
  <si>
    <t>-375.462372584284 249.194549280838 737.197119736913</t>
  </si>
  <si>
    <t>-732.567478014246 -45.3563896231051 217.473015664019</t>
  </si>
  <si>
    <t>-710.373449198212 15.8135452748097 682.74286011275</t>
  </si>
  <si>
    <t>-579.116340428976 -60.2431409002591 771.795983670321</t>
  </si>
  <si>
    <t>9763-20170724T160749.291555500.bin</t>
  </si>
  <si>
    <t>-748.92839175854 18.1914374639737 -233.605042461978</t>
  </si>
  <si>
    <t>-770.537670348239 23.236617593858 -352.665453415538</t>
  </si>
  <si>
    <t>-776.542081126465 19.5454850986253 -473.66503542914</t>
  </si>
  <si>
    <t>-775.668598695573 12.3611910807658 -582.946595998995</t>
  </si>
  <si>
    <t>-768.723542177129 1.17205133640982 -691.672870365093</t>
  </si>
  <si>
    <t>-753.131487537972 20.9753712948436 -778.776664972232</t>
  </si>
  <si>
    <t>-699.779308873419 157.858309267084 -772.459876095635</t>
  </si>
  <si>
    <t>-571.387561337972 128.122690271943 -484.679428063163</t>
  </si>
  <si>
    <t>-380.991501006219 71.1987204785823 -316.896667974137</t>
  </si>
  <si>
    <t>-743.445813361288 116.91991012782 -230.115760940302</t>
  </si>
  <si>
    <t>-625.645397121559 185.650283127731 204.690977731845</t>
  </si>
  <si>
    <t>-533.996971441947 232.74193239204 663.268670099578</t>
  </si>
  <si>
    <t>-375.362445829581 248.8477353933 737.560001336679</t>
  </si>
  <si>
    <t>-732.927473358165 -45.590438985402 217.504320748335</t>
  </si>
  <si>
    <t>-710.35120311484 16.0265866595207 682.677028474024</t>
  </si>
  <si>
    <t>-579.135744736875 -60.2786941222259 771.578752817954</t>
  </si>
  <si>
    <t>9763-20170724T160749.323642600.bin</t>
  </si>
  <si>
    <t>-748.788859733309 17.9187060344309 -233.517855450812</t>
  </si>
  <si>
    <t>-770.25783159781 23.0018730270544 -352.602057042606</t>
  </si>
  <si>
    <t>-776.156874311022 19.24624182599 -473.604845952297</t>
  </si>
  <si>
    <t>-775.202381518498 11.9678685660924 -582.879609673596</t>
  </si>
  <si>
    <t>-768.190442375352 0.652282543568163 -691.588517614156</t>
  </si>
  <si>
    <t>-752.575904743439 20.340740508721 -778.714363486442</t>
  </si>
  <si>
    <t>-699.222810723722 157.22084639841 -772.534135992934</t>
  </si>
  <si>
    <t>-568.756497930689 129.171491943207 -485.51844724617</t>
  </si>
  <si>
    <t>-373.458358318677 86.4317625043261 -319.163496191099</t>
  </si>
  <si>
    <t>-743.164952426597 116.555925187824 -230.038615481564</t>
  </si>
  <si>
    <t>-625.391871795548 185.333182051499 204.768117097698</t>
  </si>
  <si>
    <t>-533.819372233355 232.549991421378 663.306041835723</t>
  </si>
  <si>
    <t>-375.303011651665 248.688066696781 737.84240000134</t>
  </si>
  <si>
    <t>-733.052833106833 -45.6947001523943 217.570259873542</t>
  </si>
  <si>
    <t>-710.332264061256 16.2043963753138 682.734025270953</t>
  </si>
  <si>
    <t>-579.121978207453 -60.2743488996914 771.494248248521</t>
  </si>
  <si>
    <t>9763-20170724T160749.389449100.bin</t>
  </si>
  <si>
    <t>-748.017265932705 17.721082290012 -233.252133608653</t>
  </si>
  <si>
    <t>-769.381457473316 22.8161704106383 -352.354704882465</t>
  </si>
  <si>
    <t>-775.184772109272 18.8925396595428 -473.356737528803</t>
  </si>
  <si>
    <t>-774.145885522607 11.4002176191966 -582.616153832714</t>
  </si>
  <si>
    <t>-751.488839619214 19.2788537902129 -778.476931312298</t>
  </si>
  <si>
    <t>-698.579242628337 156.313663302212 -772.445285270583</t>
  </si>
  <si>
    <t>-562.798429249464 131.548558144655 -487.600644929145</t>
  </si>
  <si>
    <t>-353.819820167439 115.598064380678 -333.6020020767</t>
  </si>
  <si>
    <t>-742.462275353493 116.12114520813 -229.797379471242</t>
  </si>
  <si>
    <t>-624.470100215112 185.027394462584 204.929454968666</t>
  </si>
  <si>
    <t>-533.595490237105 232.216489178915 663.50911236628</t>
  </si>
  <si>
    <t>-375.237640544427 248.473404367259 738.355714491071</t>
  </si>
  <si>
    <t>-732.915640258257 -45.3534810990229 217.947993632941</t>
  </si>
  <si>
    <t>-710.206175838026 17.109431416078 683.248200071208</t>
  </si>
  <si>
    <t>-579.064827682717 -60.2801207430748 771.318148474751</t>
  </si>
  <si>
    <t>9763-20170724T160749.426545500.bin</t>
  </si>
  <si>
    <t>-747.403374513205 17.8819192982849 -233.005046898225</t>
  </si>
  <si>
    <t>-768.723862451158 22.9130181533344 -352.118090744766</t>
  </si>
  <si>
    <t>-774.488134626276 18.8871061857153 -473.118624177839</t>
  </si>
  <si>
    <t>-773.414599189483 11.2915495375901 -582.370744137141</t>
  </si>
  <si>
    <t>-750.788323166474 18.9840324932184 -778.245451015602</t>
  </si>
  <si>
    <t>-698.295003942376 156.206112453444 -772.304752518986</t>
  </si>
  <si>
    <t>-559.522166763437 133.634548918818 -488.722605591149</t>
  </si>
  <si>
    <t>-344.060114209644 126.45691638087 -343.23498513053</t>
  </si>
  <si>
    <t>-741.942734664902 116.175935823683 -229.619365227026</t>
  </si>
  <si>
    <t>-623.975495376635 185.107157714081 205.110357791073</t>
  </si>
  <si>
    <t>-533.531217458631 232.151737804113 663.715941393169</t>
  </si>
  <si>
    <t>-375.21932385084 248.501347826595 738.639754031932</t>
  </si>
  <si>
    <t>-732.762529874322 -44.9578285274147 218.332944848275</t>
  </si>
  <si>
    <t>-710.205085882368 17.7822983917977 683.728936771803</t>
  </si>
  <si>
    <t>-579.07762332984 -60.2912547553801 771.213942412861</t>
  </si>
  <si>
    <t>9763-20170724T160749.487747900.bin</t>
  </si>
  <si>
    <t>-745.826993538386 18.6900929087847 -232.094406720095</t>
  </si>
  <si>
    <t>-767.004093790431 23.5456390617926 -351.240247813258</t>
  </si>
  <si>
    <t>-772.732571201702 19.1543009033278 -472.229812253314</t>
  </si>
  <si>
    <t>-771.670566106786 11.1629351970973 -581.453783930053</t>
  </si>
  <si>
    <t>-749.384376495629 18.0405517226375 -777.411564948476</t>
  </si>
  <si>
    <t>-697.928798264182 155.688407783692 -772.018395522244</t>
  </si>
  <si>
    <t>-552.823627116961 138.263459329952 -491.256836010885</t>
  </si>
  <si>
    <t>-326.547362201785 141.571352471412 -363.076761965833</t>
  </si>
  <si>
    <t>-740.880199668741 116.70120530285 -228.921933670991</t>
  </si>
  <si>
    <t>-623.257472844017 185.727088686167 205.886121291368</t>
  </si>
  <si>
    <t>-533.412369730425 232.146874091176 664.441237175926</t>
  </si>
  <si>
    <t>-375.181534661028 248.703876762241 739.490254237621</t>
  </si>
  <si>
    <t>-732.26338443737 -43.7219950391836 219.523273550022</t>
  </si>
  <si>
    <t>-710.379768811145 19.4365713514426 685.060481167986</t>
  </si>
  <si>
    <t>-579.350604855699 -60.5317318872383 770.967040147549</t>
  </si>
  <si>
    <t>9763-20170724T160749.522841800.bin</t>
  </si>
  <si>
    <t>-744.833146843528 19.2216661856817 -231.586797696022</t>
  </si>
  <si>
    <t>-765.907723802743 23.9945212424752 -350.754240245134</t>
  </si>
  <si>
    <t>-771.631356361039 19.3391787669611 -471.734107976103</t>
  </si>
  <si>
    <t>-770.606763854818 11.0419488409359 -580.935621254077</t>
  </si>
  <si>
    <t>-748.576361887268 17.2271930052243 -776.956265602816</t>
  </si>
  <si>
    <t>-697.462445627526 154.99964470973 -771.859041306524</t>
  </si>
  <si>
    <t>-549.080738388825 142.04809372661 -492.571946112745</t>
  </si>
  <si>
    <t>-318.915730926295 147.015463636461 -371.569979354155</t>
  </si>
  <si>
    <t>-740.078903537662 117.031828271223 -228.517480011428</t>
  </si>
  <si>
    <t>-622.909313011405 186.235231837775 206.384669460494</t>
  </si>
  <si>
    <t>-533.316503876811 232.289212376689 664.940616771626</t>
  </si>
  <si>
    <t>-375.166962231033 249.038722673226 740.118630912427</t>
  </si>
  <si>
    <t>-731.644145910092 -43.0320578822796 220.127465828944</t>
  </si>
  <si>
    <t>-710.487133805003 20.1542978293853 685.649698408594</t>
  </si>
  <si>
    <t>-579.514302263216 -60.662419843143 770.845296863352</t>
  </si>
  <si>
    <t>9763-20170724T160749.588961100.bin</t>
  </si>
  <si>
    <t>-742.25582946832 19.9603578997401 -230.756292984746</t>
  </si>
  <si>
    <t>-762.916844471908 24.4546466131687 -350.007016132041</t>
  </si>
  <si>
    <t>-768.530347170532 19.1200431909172 -470.964008778836</t>
  </si>
  <si>
    <t>-767.538576477247 10.0569398724833 -580.104870015101</t>
  </si>
  <si>
    <t>-745.946939357479 14.5135725588009 -776.244168843989</t>
  </si>
  <si>
    <t>-694.965944215066 152.397887986529 -772.361710775382</t>
  </si>
  <si>
    <t>-541.923315964899 152.436584401957 -495.298247630867</t>
  </si>
  <si>
    <t>-307.157237452453 155.060644694116 -383.405088480137</t>
  </si>
  <si>
    <t>-737.560762034986 117.388640945644 -227.918908816684</t>
  </si>
  <si>
    <t>-621.828180614353 187.605441852984 207.205425716313</t>
  </si>
  <si>
    <t>-532.991370299869 232.915507502082 665.983341873831</t>
  </si>
  <si>
    <t>-375.180582946892 250.497700008793 741.680985742702</t>
  </si>
  <si>
    <t>-730.07459564361 -42.0525199126428 220.991947716481</t>
  </si>
  <si>
    <t>-710.450783239754 21.0639633609755 686.348281391316</t>
  </si>
  <si>
    <t>-579.808445534283 -61.0924214802872 770.766376239385</t>
  </si>
  <si>
    <t>9763-20170724T160749.628066000.bin</t>
  </si>
  <si>
    <t>-740.829836094749 20.2535484584678 -230.560851881714</t>
  </si>
  <si>
    <t>-761.333122497867 24.5916563223614 -349.844552114856</t>
  </si>
  <si>
    <t>-766.911010783767 18.8640474864544 -470.785131131847</t>
  </si>
  <si>
    <t>-765.941355738308 9.35510453047641 -579.888311076572</t>
  </si>
  <si>
    <t>-744.506062486629 12.7875085985881 -776.076805298665</t>
  </si>
  <si>
    <t>-693.334199945793 150.620992928901 -773.101594844949</t>
  </si>
  <si>
    <t>-540.246245566504 157.102332838363 -496.139202960572</t>
  </si>
  <si>
    <t>-304.870215945603 158.18572843142 -385.509104904449</t>
  </si>
  <si>
    <t>-736.148541041727 117.631406059444 -227.791765280264</t>
  </si>
  <si>
    <t>-621.161100830388 188.162859780236 207.479276271638</t>
  </si>
  <si>
    <t>-532.868612267537 233.184435068274 666.373516397657</t>
  </si>
  <si>
    <t>-375.16559931044 250.909598863489 742.262183624558</t>
  </si>
  <si>
    <t>-729.158328173942 -41.7168620207374 221.24509387297</t>
  </si>
  <si>
    <t>-710.353797709384 21.3422069435969 686.560996552317</t>
  </si>
  <si>
    <t>-579.930347679897 -61.3249611526917 770.818812561424</t>
  </si>
  <si>
    <t>9763-20170724T160749.688232800.bin</t>
  </si>
  <si>
    <t>-738.196782875356 21.0869050299034 -230.62988813912</t>
  </si>
  <si>
    <t>-758.667809774702 25.1045231491848 -349.930289429511</t>
  </si>
  <si>
    <t>-764.386170428868 18.6724419808966 -470.829091103394</t>
  </si>
  <si>
    <t>-763.613072904157 8.38856776438797 -579.863477291534</t>
  </si>
  <si>
    <t>-742.70848749908 10.1122789546662 -776.148228367888</t>
  </si>
  <si>
    <t>-692.027018782718 148.12208160018 -774.647253542945</t>
  </si>
  <si>
    <t>-541.657160453067 164.641662487513 -496.614472656764</t>
  </si>
  <si>
    <t>-306.101500345578 164.121684991568 -386.363626509825</t>
  </si>
  <si>
    <t>-733.310908462892 118.323859654661 -228.033792290775</t>
  </si>
  <si>
    <t>-619.427413590309 188.583623237908 207.571353753487</t>
  </si>
  <si>
    <t>-532.722410541264 233.227621406643 666.832604053762</t>
  </si>
  <si>
    <t>-375.094082899282 250.891809615895 742.890659627422</t>
  </si>
  <si>
    <t>-727.621993650681 -41.0565530365843 221.48190455605</t>
  </si>
  <si>
    <t>-710.117435447962 21.7467157389174 686.849644134406</t>
  </si>
  <si>
    <t>-580.160539916657 -61.7719896280814 770.988477550497</t>
  </si>
  <si>
    <t>9763-20170724T160749.720319200.bin</t>
  </si>
  <si>
    <t>-737.013539204636 21.4436895774782 -230.697720862343</t>
  </si>
  <si>
    <t>-757.483474373972 25.339001127463 -350.002444306262</t>
  </si>
  <si>
    <t>-763.269532356356 18.6891785477023 -470.886111868785</t>
  </si>
  <si>
    <t>-762.580351756991 8.18104463715736 -579.899628639464</t>
  </si>
  <si>
    <t>-741.924032300796 9.45795455314419 -776.217946087535</t>
  </si>
  <si>
    <t>-691.729281550651 147.652983598011 -775.189667297649</t>
  </si>
  <si>
    <t>-543.499495135534 167.685461550222 -496.240143021778</t>
  </si>
  <si>
    <t>-307.722847851271 166.909204520448 -386.463847813145</t>
  </si>
  <si>
    <t>-731.908720868571 118.610762921115 -228.20195444641</t>
  </si>
  <si>
    <t>-618.069819780608 188.533975550557 207.468924737271</t>
  </si>
  <si>
    <t>-532.613969644947 233.07218644643 667.016415651328</t>
  </si>
  <si>
    <t>-375.051244330821 250.813898469172 743.192071373244</t>
  </si>
  <si>
    <t>-727.178855341993 -40.6972672024131 221.533645926185</t>
  </si>
  <si>
    <t>-710.003923088073 21.8820015848244 686.943121107107</t>
  </si>
  <si>
    <t>-580.22664730048 -61.9156991798368 771.08179275599</t>
  </si>
  <si>
    <t>9763-20170724T160749.790199100.bin</t>
  </si>
  <si>
    <t>-734.771756626371 22.0784634675697 -230.917763670411</t>
  </si>
  <si>
    <t>-755.296031362179 25.7436904740375 -350.220469636037</t>
  </si>
  <si>
    <t>-761.199139750538 18.6838998039004 -471.075255021489</t>
  </si>
  <si>
    <t>-760.629411230399 7.75458793995858 -580.048047008254</t>
  </si>
  <si>
    <t>-740.345207444602 8.20459504804739 -776.415891935268</t>
  </si>
  <si>
    <t>-691.166053555248 146.794227401836 -776.085315634335</t>
  </si>
  <si>
    <t>-547.298410390494 171.64313400796 -495.245870374114</t>
  </si>
  <si>
    <t>-311.203613941595 171.103105896222 -386.154056807353</t>
  </si>
  <si>
    <t>-729.120004476498 119.150991030994 -228.69593065549</t>
  </si>
  <si>
    <t>-614.876135168633 188.584176448582 206.947346899069</t>
  </si>
  <si>
    <t>-532.381777666239 232.765947357919 667.213100831516</t>
  </si>
  <si>
    <t>-374.983964172708 250.703129715145 743.683279717129</t>
  </si>
  <si>
    <t>-726.381900416159 -40.2207973565137 221.594355215957</t>
  </si>
  <si>
    <t>-709.865263128682 22.0195311210714 687.072471661049</t>
  </si>
  <si>
    <t>-580.372557935279 -62.2035617185595 771.224862433793</t>
  </si>
  <si>
    <t>9763-20170724T160749.823287700.bin</t>
  </si>
  <si>
    <t>-733.812618439287 22.3835842297874 -231.005522390831</t>
  </si>
  <si>
    <t>-754.332516797617 25.8878728517691 -350.313738184997</t>
  </si>
  <si>
    <t>-760.272042935017 18.6374321389537 -471.155388167512</t>
  </si>
  <si>
    <t>-759.749178357052 7.52947080093827 -580.110451992934</t>
  </si>
  <si>
    <t>-739.608418145731 7.65456270972027 -776.494920589555</t>
  </si>
  <si>
    <t>-690.924927178944 146.401840874229 -776.566289019963</t>
  </si>
  <si>
    <t>-548.874085340507 173.007105180036 -494.963986243879</t>
  </si>
  <si>
    <t>-312.622518208666 172.743649214647 -386.210992607447</t>
  </si>
  <si>
    <t>-728.090323419192 119.411478623373 -228.881954383542</t>
  </si>
  <si>
    <t>-613.385137246866 188.776610904148 206.650830552618</t>
  </si>
  <si>
    <t>-532.311945571747 232.698510760107 667.25158060745</t>
  </si>
  <si>
    <t>-374.957759874143 250.589345748982 743.822494414157</t>
  </si>
  <si>
    <t>-725.902219896638 -39.9964341858652 221.63827788725</t>
  </si>
  <si>
    <t>-709.762697349516 22.1172065815927 687.143149053294</t>
  </si>
  <si>
    <t>-580.44230107899 -62.3689427201973 771.296804848509</t>
  </si>
  <si>
    <t>9763-20170724T160749.888124500.bin</t>
  </si>
  <si>
    <t>-732.055924569042 22.8681565932386 -231.202932257333</t>
  </si>
  <si>
    <t>-752.612130221173 26.122996770179 -350.51203702603</t>
  </si>
  <si>
    <t>-758.616835330695 18.4501602499497 -471.324236880251</t>
  </si>
  <si>
    <t>-758.162358205327 6.89979107408453 -580.233610738962</t>
  </si>
  <si>
    <t>-738.209442085936 6.09466827926326 -776.643055438892</t>
  </si>
  <si>
    <t>-689.916214083404 144.979736495608 -777.201061646566</t>
  </si>
  <si>
    <t>-549.792188320379 175.093743447611 -494.98736559652</t>
  </si>
  <si>
    <t>-312.590886531632 174.867138521661 -388.321712034183</t>
  </si>
  <si>
    <t>-726.195956332596 119.805087578012 -229.203341257384</t>
  </si>
  <si>
    <t>-611.033314862602 189.008784403324 206.23443904551</t>
  </si>
  <si>
    <t>-532.238826579122 232.587160860147 667.282457234152</t>
  </si>
  <si>
    <t>-374.923619724882 250.457156037885 743.938093993351</t>
  </si>
  <si>
    <t>-725.144727212265 -39.6658201042721 221.728057525425</t>
  </si>
  <si>
    <t>-709.728047651667 22.1909942537129 687.280668228852</t>
  </si>
  <si>
    <t>-580.46390011457 -62.4034721799342 771.411925991016</t>
  </si>
  <si>
    <t>9763-20170724T160749.921207800.bin</t>
  </si>
  <si>
    <t>-731.321088558005 23.160734127614 -231.267030088712</t>
  </si>
  <si>
    <t>-751.789145875026 26.3346215814988 -350.593366657142</t>
  </si>
  <si>
    <t>-757.81547158594 18.4843519603373 -471.393392993308</t>
  </si>
  <si>
    <t>-757.424686924979 6.73993840471553 -580.282119938244</t>
  </si>
  <si>
    <t>-737.709399467602 5.51196008790407 -776.718512039847</t>
  </si>
  <si>
    <t>-689.677344169488 144.488311145641 -777.539152278039</t>
  </si>
  <si>
    <t>-549.353672203045 176.456697204567 -495.628784127815</t>
  </si>
  <si>
    <t>-311.848183685185 176.203462284299 -389.642417895517</t>
  </si>
  <si>
    <t>-725.398224800009 120.067942318261 -229.337454845368</t>
  </si>
  <si>
    <t>-610.397160779986 188.995424074056 206.186756175649</t>
  </si>
  <si>
    <t>-532.218699058974 232.523290573654 667.322495113716</t>
  </si>
  <si>
    <t>-374.907032245234 250.349894598506 743.995618392869</t>
  </si>
  <si>
    <t>-724.773734416041 -39.4954372307448 221.743801427496</t>
  </si>
  <si>
    <t>-709.670329941372 22.2520369339707 687.326194068847</t>
  </si>
  <si>
    <t>-580.491572832427 -62.4849183501838 771.445220334095</t>
  </si>
  <si>
    <t>9763-20170724T160749.988338400.bin</t>
  </si>
  <si>
    <t>-730.009886935318 23.4081526945754 -231.413027339411</t>
  </si>
  <si>
    <t>-750.497094586477 26.506719246999 -350.738138900496</t>
  </si>
  <si>
    <t>-756.74737018815 18.328412423384 -471.504737673697</t>
  </si>
  <si>
    <t>-756.643014296424 6.19273142958309 -580.351300871728</t>
  </si>
  <si>
    <t>-737.633135086929 4.02991129446309 -776.86167078152</t>
  </si>
  <si>
    <t>-689.863704745982 143.095552400873 -778.37003608956</t>
  </si>
  <si>
    <t>-548.146808994368 179.612547899088 -497.711936146159</t>
  </si>
  <si>
    <t>-309.845461828334 178.840985250731 -393.529580012352</t>
  </si>
  <si>
    <t>-723.954804978854 120.292246137869 -229.605901388676</t>
  </si>
  <si>
    <t>-609.691498336019 189.049624061169 206.139515917869</t>
  </si>
  <si>
    <t>-532.125155151484 232.40763724622 667.362789590781</t>
  </si>
  <si>
    <t>-374.863796826381 250.27824284513 744.128931190434</t>
  </si>
  <si>
    <t>-724.257399113556 -39.3281464138622 221.751854200576</t>
  </si>
  <si>
    <t>-709.65239826939 22.3039768709991 687.395508230027</t>
  </si>
  <si>
    <t>-580.41641686004 -62.3905587816555 771.469310607227</t>
  </si>
  <si>
    <t>9763-20170724T160750.026440100.bin</t>
  </si>
  <si>
    <t>-729.450826426276 23.456916376553 -231.488734249879</t>
  </si>
  <si>
    <t>-749.807157222579 26.4954605756429 -350.837846672784</t>
  </si>
  <si>
    <t>-756.111143629973 18.119467315418 -471.588212564867</t>
  </si>
  <si>
    <t>-756.132226065642 5.75357433132717 -580.4088891036</t>
  </si>
  <si>
    <t>-737.509685999531 3.0450022432824 -776.957035247559</t>
  </si>
  <si>
    <t>-689.755047291672 142.119874654314 -778.939538495948</t>
  </si>
  <si>
    <t>-547.205962782634 181.362172628145 -499.071770005956</t>
  </si>
  <si>
    <t>-308.689667645218 180.311338624045 -395.385062932004</t>
  </si>
  <si>
    <t>-723.217580744722 120.309782383494 -229.785671645951</t>
  </si>
  <si>
    <t>-609.488955018921 189.140784548189 206.087877352167</t>
  </si>
  <si>
    <t>-532.072590288686 232.39500040778 667.373235090867</t>
  </si>
  <si>
    <t>-374.8417631172 250.292380591459 744.195575142479</t>
  </si>
  <si>
    <t>-724.086556767816 -39.3162035206246 221.741988649001</t>
  </si>
  <si>
    <t>-709.685670762928 22.2895159452617 687.414938688951</t>
  </si>
  <si>
    <t>-580.401846351576 -62.3536651595946 771.466921464488</t>
  </si>
  <si>
    <t>9763-20170724T160750.090144000.bin</t>
  </si>
  <si>
    <t>-728.249993997572 23.5033662307014 -231.642218931871</t>
  </si>
  <si>
    <t>-748.553307344526 26.4519485037683 -351.002533866305</t>
  </si>
  <si>
    <t>-755.027205540009 17.6616263613234 -471.714610966357</t>
  </si>
  <si>
    <t>-755.295306038241 4.79756042409258 -580.477107146261</t>
  </si>
  <si>
    <t>-737.2890420973 0.880227390440041 -777.077331451662</t>
  </si>
  <si>
    <t>-689.340070584949 139.853956805065 -780.019979252623</t>
  </si>
  <si>
    <t>-545.531023036906 185.469805784428 -501.767664704926</t>
  </si>
  <si>
    <t>-307.139822023553 182.736526805642 -397.824629658359</t>
  </si>
  <si>
    <t>-721.772178938076 120.305926012656 -230.038171062054</t>
  </si>
  <si>
    <t>-609.044749205455 189.276388366334 206.073382742805</t>
  </si>
  <si>
    <t>-532.002814845893 232.426916283509 667.425724799165</t>
  </si>
  <si>
    <t>-374.809075910217 250.295554458496 744.330681026518</t>
  </si>
  <si>
    <t>-723.589471356979 -39.2349414850632 221.725201271431</t>
  </si>
  <si>
    <t>-709.607169979932 22.3608515426567 687.43589844406</t>
  </si>
  <si>
    <t>-580.394824644838 -62.4125734824431 771.466508653979</t>
  </si>
  <si>
    <t>9763-20170724T160750.122227200.bin</t>
  </si>
  <si>
    <t>-727.724033562151 23.5903353204544 -231.71128741117</t>
  </si>
  <si>
    <t>-747.969380306862 26.4720324356913 -351.083052422987</t>
  </si>
  <si>
    <t>-754.492756993343 17.4623223773926 -471.776193306483</t>
  </si>
  <si>
    <t>-754.851074100102 4.34174083870653 -580.507893279918</t>
  </si>
  <si>
    <t>-689.020546692003 138.739196479668 -780.597853064174</t>
  </si>
  <si>
    <t>-544.906922344719 187.450410243423 -503.028600829366</t>
  </si>
  <si>
    <t>-306.644093746154 183.983704181779 -398.813192908119</t>
  </si>
  <si>
    <t>-721.147850911682 120.359575696385 -230.157697272315</t>
  </si>
  <si>
    <t>-608.674384236053 189.303041512876 206.023686078203</t>
  </si>
  <si>
    <t>-531.984786313782 232.422678108713 667.467312618985</t>
  </si>
  <si>
    <t>-374.801252967393 250.27157958669 744.397432776352</t>
  </si>
  <si>
    <t>-723.342208314444 -39.1456772041859 221.720491207774</t>
  </si>
  <si>
    <t>-709.57018215135 22.3965231904119 687.451275806662</t>
  </si>
  <si>
    <t>-580.390356881483 -62.4369041813211 771.471356481495</t>
  </si>
  <si>
    <t>9763-20170724T160750.217988200.bin</t>
  </si>
  <si>
    <t>-726.733432848737 23.8270373968903 -231.794870914995</t>
  </si>
  <si>
    <t>-746.883300660874 26.5701112367988 -351.186075992252</t>
  </si>
  <si>
    <t>-753.441747763614 17.123822174671 -471.843996970485</t>
  </si>
  <si>
    <t>-753.886026926272 3.49682721345835 -580.512924258091</t>
  </si>
  <si>
    <t>-688.235329183171 136.64323346832 -781.599101171455</t>
  </si>
  <si>
    <t>-543.995004046785 189.695036074112 -504.89275328372</t>
  </si>
  <si>
    <t>-306.320679058424 185.812066087483 -399.356508809669</t>
  </si>
  <si>
    <t>-719.99602353737 120.581061486773 -230.349297326849</t>
  </si>
  <si>
    <t>-607.550411290976 189.251019790043 205.882438563308</t>
  </si>
  <si>
    <t>-531.926299050841 232.335922704431 667.520993803347</t>
  </si>
  <si>
    <t>-374.772809877022 250.173247260915 744.515262785106</t>
  </si>
  <si>
    <t>-722.882584123993 -38.9621538757547 221.759147361504</t>
  </si>
  <si>
    <t>-709.458840920675 22.464226350095 687.473864696444</t>
  </si>
  <si>
    <t>-580.451410690159 -62.6144741696487 771.51077736844</t>
  </si>
  <si>
    <t>9763-20170724T160750.254085700.bin</t>
  </si>
  <si>
    <t>-725.936838127272 24.1105074992568 -231.930425495721</t>
  </si>
  <si>
    <t>-746.053989688608 26.7340924937087 -351.32987562858</t>
  </si>
  <si>
    <t>-752.679498229734 16.9747344407278 -471.95899471072</t>
  </si>
  <si>
    <t>-753.227082858894 2.99055392358719 -580.582237105462</t>
  </si>
  <si>
    <t>-687.759017477968 135.2678268997 -782.328939217801</t>
  </si>
  <si>
    <t>-544.196413426431 191.774164599903 -505.954362890046</t>
  </si>
  <si>
    <t>-306.379727137195 188.239842691926 -400.727038183788</t>
  </si>
  <si>
    <t>-719.064143932602 120.816173554543 -230.573009022976</t>
  </si>
  <si>
    <t>-606.287395277266 189.320387462265 205.59921424351</t>
  </si>
  <si>
    <t>-531.864850895577 232.289127461582 667.472284921366</t>
  </si>
  <si>
    <t>-374.741082198414 250.040165847955 744.546928792949</t>
  </si>
  <si>
    <t>-722.54339496377 -38.7759915868744 221.78435330397</t>
  </si>
  <si>
    <t>-709.41546423773 22.4796627027081 687.514300307456</t>
  </si>
  <si>
    <t>-580.522891090834 -62.7628219548581 771.561528963069</t>
  </si>
  <si>
    <t>9763-20170724T160750.290213100.bin</t>
  </si>
  <si>
    <t>-725.530084734916 24.246761046164 -232.014675629895</t>
  </si>
  <si>
    <t>-745.637554640758 26.8176889645872 -351.416844023167</t>
  </si>
  <si>
    <t>-752.314661479001 16.9116547138854 -472.031293675261</t>
  </si>
  <si>
    <t>-752.934834942689 2.75878434167385 -580.632242356344</t>
  </si>
  <si>
    <t>-687.651309213257 134.638992254539 -782.718838858832</t>
  </si>
  <si>
    <t>-544.847981275995 192.636152700706 -506.259557596844</t>
  </si>
  <si>
    <t>-307.292063426026 189.573476488339 -400.4303268948</t>
  </si>
  <si>
    <t>-718.54198823504 120.880842965867 -230.707500177943</t>
  </si>
  <si>
    <t>-605.718445176174 189.345321109274 205.458865314512</t>
  </si>
  <si>
    <t>-531.83261069596 232.281551127582 667.420691597205</t>
  </si>
  <si>
    <t>-374.72246066859 250.016224852536 744.527227668999</t>
  </si>
  <si>
    <t>-722.339245687242 -38.6764624860832 221.777233720492</t>
  </si>
  <si>
    <t>-709.375629190112 22.4984635570797 687.523682432123</t>
  </si>
  <si>
    <t>-580.568246833148 -62.8654071508665 771.578252431543</t>
  </si>
  <si>
    <t>9763-20170724T160750.323301600.bin</t>
  </si>
  <si>
    <t>-725.128497895196 24.3600298717845 -232.088470722024</t>
  </si>
  <si>
    <t>-745.226056481248 26.8757137036521 -351.493485517854</t>
  </si>
  <si>
    <t>-751.968984512581 16.8295064065501 -472.092683150615</t>
  </si>
  <si>
    <t>-752.678935286706 2.51890530188871 -580.672471220356</t>
  </si>
  <si>
    <t>-687.634913520954 134.036623495442 -783.162275054872</t>
  </si>
  <si>
    <t>-545.654976510984 193.162906453342 -506.518148562624</t>
  </si>
  <si>
    <t>-308.179537301579 190.565996634487 -400.495877210361</t>
  </si>
  <si>
    <t>-718.031694902887 120.952477306121 -230.843518488545</t>
  </si>
  <si>
    <t>-605.253758901593 189.334752569776 205.347584721685</t>
  </si>
  <si>
    <t>-531.813517838967 232.284307690049 667.371756684485</t>
  </si>
  <si>
    <t>-374.710336691725 249.976716061348 744.5019405724</t>
  </si>
  <si>
    <t>-722.115793114203 -38.5675737856022 221.767439516707</t>
  </si>
  <si>
    <t>-709.323738809998 22.5228548677298 687.528268679271</t>
  </si>
  <si>
    <t>-580.613068517396 -62.9714344770921 771.598490977357</t>
  </si>
  <si>
    <t>9763-20170724T160750.387506900.bin</t>
  </si>
  <si>
    <t>-724.524165361108 24.4536877456221 -232.153537769201</t>
  </si>
  <si>
    <t>-744.646711535434 26.9010819266766 -351.555767973412</t>
  </si>
  <si>
    <t>-751.518020442052 16.5938632448433 -472.125780622613</t>
  </si>
  <si>
    <t>-752.383912702767 1.97671722241739 -580.663434975584</t>
  </si>
  <si>
    <t>-687.805759114673 132.775261175639 -783.89305468986</t>
  </si>
  <si>
    <t>-548.018350461506 194.085518429888 -506.608494419273</t>
  </si>
  <si>
    <t>-311.503968008515 192.181863811268 -398.444712715578</t>
  </si>
  <si>
    <t>-717.126615905103 120.981011186184 -231.058745961976</t>
  </si>
  <si>
    <t>-604.449922589137 189.169268678793 205.188892878224</t>
  </si>
  <si>
    <t>-531.775927076556 232.279555122527 667.281015673873</t>
  </si>
  <si>
    <t>-374.673948505034 249.831855813759 744.445938387939</t>
  </si>
  <si>
    <t>-721.758884790453 -38.5212658410114 221.797395359304</t>
  </si>
  <si>
    <t>-709.24029608703 22.5672548061418 687.551484936412</t>
  </si>
  <si>
    <t>-580.716211609664 -63.1917080534986 771.637557617915</t>
  </si>
  <si>
    <t>9763-20170724T160750.419593300.bin</t>
  </si>
  <si>
    <t>-724.433169967498 24.4493428330525 -232.176404652644</t>
  </si>
  <si>
    <t>-744.596677298513 26.8849883872106 -351.572029516254</t>
  </si>
  <si>
    <t>-751.555191208463 16.4889282542158 -472.129250958817</t>
  </si>
  <si>
    <t>-752.516983482614 1.76375089734893 -580.651631276333</t>
  </si>
  <si>
    <t>-688.303787058493 132.340648579874 -784.239405577791</t>
  </si>
  <si>
    <t>-549.799233428788 194.608562843908 -506.524823897798</t>
  </si>
  <si>
    <t>-313.371370154791 193.075824963584 -398.166330251277</t>
  </si>
  <si>
    <t>-716.898561588848 121.010933839197 -231.130368519875</t>
  </si>
  <si>
    <t>-604.093493218538 189.058040611906 205.10608934201</t>
  </si>
  <si>
    <t>-531.763133832116 232.250748736157 667.254934197571</t>
  </si>
  <si>
    <t>-374.656561864276 249.719951617488 744.429319330509</t>
  </si>
  <si>
    <t>-721.735602290593 -38.5407158129738 221.815322711037</t>
  </si>
  <si>
    <t>-709.255124122912 22.5540348693874 687.56675844196</t>
  </si>
  <si>
    <t>-580.748416014564 -63.234714731441 771.64901475745</t>
  </si>
  <si>
    <t>9763-20170724T160750.493274900.bin</t>
  </si>
  <si>
    <t>-724.342340838878 24.5008291536346 -232.190976378393</t>
  </si>
  <si>
    <t>-744.63513233313 26.8519908144226 -351.566337004871</t>
  </si>
  <si>
    <t>-751.699115010986 16.3103856285468 -472.104835002492</t>
  </si>
  <si>
    <t>-752.743376135162 1.43285234612631 -580.605708208328</t>
  </si>
  <si>
    <t>-688.887150237811 131.738892265463 -784.55511333049</t>
  </si>
  <si>
    <t>-553.604824086188 195.405974981952 -505.572295698635</t>
  </si>
  <si>
    <t>-317.454107716022 194.566156439794 -396.603529964788</t>
  </si>
  <si>
    <t>-716.610973429857 121.027417369385 -231.237465259032</t>
  </si>
  <si>
    <t>-603.292135393066 188.787880485065 204.910391694799</t>
  </si>
  <si>
    <t>-531.723077938016 232.140502037708 667.18601756202</t>
  </si>
  <si>
    <t>-374.61072145601 249.486149012021 744.376225317232</t>
  </si>
  <si>
    <t>-721.713414514211 -38.5155575499971 221.896894253353</t>
  </si>
  <si>
    <t>-709.228425214282 22.5954291680507 687.626508838705</t>
  </si>
  <si>
    <t>-580.823080676822 -63.3747012371446 771.67839297925</t>
  </si>
  <si>
    <t>9763-20170724T160750.526362700.bin</t>
  </si>
  <si>
    <t>-724.4510980526 24.46304928622 -232.185337483174</t>
  </si>
  <si>
    <t>-744.900046663068 26.7895961324828 -351.534541890384</t>
  </si>
  <si>
    <t>-752.037125108053 16.2199575089498 -472.066258129057</t>
  </si>
  <si>
    <t>-753.110310923405 1.31760203028898 -580.563315409057</t>
  </si>
  <si>
    <t>-689.496426643168 131.692435062003 -784.550894572572</t>
  </si>
  <si>
    <t>-555.229362313052 195.882745530256 -505.197768922765</t>
  </si>
  <si>
    <t>-319.11245466303 195.321035877348 -396.153849333909</t>
  </si>
  <si>
    <t>-716.607335787079 120.974123765689 -231.263110117235</t>
  </si>
  <si>
    <t>-602.897205995239 188.609224397777 204.80253634846</t>
  </si>
  <si>
    <t>-531.709835047405 232.096901097004 667.134508953462</t>
  </si>
  <si>
    <t>-374.592559864579 249.386517247323 744.327378847009</t>
  </si>
  <si>
    <t>-721.759146315427 -38.5800787146313 221.949550709181</t>
  </si>
  <si>
    <t>-709.28335122104 22.5745838836963 687.667477488224</t>
  </si>
  <si>
    <t>-580.829444333363 -63.3527378752528 771.688930381244</t>
  </si>
  <si>
    <t>9763-20170724T160750.589544000.bin</t>
  </si>
  <si>
    <t>-725.115021098208 24.3067206290852 -232.112504104337</t>
  </si>
  <si>
    <t>-745.86159380525 26.6224869977616 -351.410603649063</t>
  </si>
  <si>
    <t>-753.151865240757 15.9546155850219 -471.924550010807</t>
  </si>
  <si>
    <t>-754.303631376894 0.92846165184983 -580.403743371502</t>
  </si>
  <si>
    <t>-691.304578548523 131.184231085428 -784.595533143424</t>
  </si>
  <si>
    <t>-558.934145791201 196.039924391155 -504.492035545365</t>
  </si>
  <si>
    <t>-322.905571738495 196.165293413341 -395.255682852789</t>
  </si>
  <si>
    <t>-717.207947691213 120.929598652461 -231.21550043015</t>
  </si>
  <si>
    <t>-602.407217041154 188.336951610742 204.599443102237</t>
  </si>
  <si>
    <t>-531.705128628721 232.02023601285 667.022198133108</t>
  </si>
  <si>
    <t>-374.571555578053 249.199763222981 744.206428383428</t>
  </si>
  <si>
    <t>-722.295460460174 -38.7121800784817 222.037004841638</t>
  </si>
  <si>
    <t>-709.423367443282 22.4898648299466 687.72693026149</t>
  </si>
  <si>
    <t>-580.677713431058 -63.0623002227117 771.684613714564</t>
  </si>
  <si>
    <t>9763-20170724T160750.621630100.bin</t>
  </si>
  <si>
    <t>-725.608331975612 24.2302995372472 -232.044589619103</t>
  </si>
  <si>
    <t>-746.335114292923 26.5127504488039 -351.346782635276</t>
  </si>
  <si>
    <t>-753.653677137048 15.7865780249151 -471.853796465896</t>
  </si>
  <si>
    <t>-754.851621820485 0.697929439867721 -580.323741543419</t>
  </si>
  <si>
    <t>-692.235198609143 130.877912257492 -784.658780132778</t>
  </si>
  <si>
    <t>-560.687098818979 196.215502293475 -504.280021374906</t>
  </si>
  <si>
    <t>-324.661200332666 196.679452952641 -395.039133875593</t>
  </si>
  <si>
    <t>-717.679722908973 120.894892098044 -231.174220663974</t>
  </si>
  <si>
    <t>-602.374425106287 188.185540801177 204.525569227731</t>
  </si>
  <si>
    <t>-531.70968545236 231.983411130579 666.959218136508</t>
  </si>
  <si>
    <t>-374.565660342985 249.140921819215 744.127339998423</t>
  </si>
  <si>
    <t>-722.691865060331 -38.7652066121675 222.079824728078</t>
  </si>
  <si>
    <t>-709.5153032707 22.4196022051792 687.754156054361</t>
  </si>
  <si>
    <t>-580.623605443981 -62.9420923568969 771.681613589244</t>
  </si>
  <si>
    <t>9763-20170724T160750.692824600.bin</t>
  </si>
  <si>
    <t>-726.409657951299 24.1679001611983 -232.034737163482</t>
  </si>
  <si>
    <t>-747.196546192506 26.4117817766246 -351.327168404345</t>
  </si>
  <si>
    <t>-754.680796147263 15.6136752304014 -471.817595240258</t>
  </si>
  <si>
    <t>-756.071148502948 0.447996812072915 -580.274660308074</t>
  </si>
  <si>
    <t>-694.17248326092 130.539150324571 -784.892057192375</t>
  </si>
  <si>
    <t>-564.508958400404 196.745249633025 -503.839904698786</t>
  </si>
  <si>
    <t>-328.61344253826 197.430619553296 -394.31872779334</t>
  </si>
  <si>
    <t>-718.458617467458 120.867520757443 -231.165151861178</t>
  </si>
  <si>
    <t>-602.880101059346 188.020100128296 204.483560096336</t>
  </si>
  <si>
    <t>-531.755776293263 231.980673451322 666.816362822819</t>
  </si>
  <si>
    <t>-374.568193538923 249.011123417836 743.923803659313</t>
  </si>
  <si>
    <t>-723.444511437327 -38.8061940123525 222.131194339194</t>
  </si>
  <si>
    <t>-709.637960316471 22.3078910925026 687.776716662746</t>
  </si>
  <si>
    <t>-580.55968945566 -62.7976540707591 771.677616230375</t>
  </si>
  <si>
    <t>9763-20170724T160750.725911700.bin</t>
  </si>
  <si>
    <t>-726.811310965689 24.1808399705512 -232.057917010903</t>
  </si>
  <si>
    <t>-747.599246156129 26.4114260417914 -351.350353638677</t>
  </si>
  <si>
    <t>-755.16586626806 15.5844896739513 -471.833044298181</t>
  </si>
  <si>
    <t>-756.663984511235 0.387068955392579 -580.284102685293</t>
  </si>
  <si>
    <t>-695.149702271732 130.4393805632 -785.045222477826</t>
  </si>
  <si>
    <t>-566.441624516947 197.116592644899 -503.665487936632</t>
  </si>
  <si>
    <t>-330.748154117995 197.639714483068 -393.709199425603</t>
  </si>
  <si>
    <t>-718.880585014795 120.914650402862 -231.196887017758</t>
  </si>
  <si>
    <t>-603.382272206651 187.980394561081 204.486437313066</t>
  </si>
  <si>
    <t>-531.796205029985 232.016807254826 666.753282831356</t>
  </si>
  <si>
    <t>-374.56888523645 248.907533778089 743.810185307394</t>
  </si>
  <si>
    <t>-723.763846953389 -38.8029270917673 222.126694863136</t>
  </si>
  <si>
    <t>-709.641855228719 22.2940460095751 687.775526031362</t>
  </si>
  <si>
    <t>-580.5706342405 -62.8277221151964 771.670798556576</t>
  </si>
  <si>
    <t>9763-20170724T160750.791094100.bin</t>
  </si>
  <si>
    <t>-727.701942589451 24.2967680878592 -232.094626572076</t>
  </si>
  <si>
    <t>-748.564884240957 26.526090264704 -351.374026035226</t>
  </si>
  <si>
    <t>-756.324838389575 15.6541276423156 -471.840431434111</t>
  </si>
  <si>
    <t>-758.047333489088 0.397878150442921 -580.280014136715</t>
  </si>
  <si>
    <t>-696.850005528273 130.217164554369 -785.252360144407</t>
  </si>
  <si>
    <t>-570.518650015126 198.120786744425 -503.089728351104</t>
  </si>
  <si>
    <t>-334.721854320803 197.830999629966 -393.354481191742</t>
  </si>
  <si>
    <t>-719.832508033653 121.148704114572 -231.250710887326</t>
  </si>
  <si>
    <t>-604.399499814585 187.908342564237 204.496921950829</t>
  </si>
  <si>
    <t>-531.879891920102 232.116220217498 666.617158724327</t>
  </si>
  <si>
    <t>-374.565389121882 248.666920097105 743.56992529174</t>
  </si>
  <si>
    <t>-724.323367877835 -38.7373999227632 222.11159624483</t>
  </si>
  <si>
    <t>-709.664080829695 22.2514973778354 687.76099962491</t>
  </si>
  <si>
    <t>-580.612433414015 -62.9071663419497 771.648947122935</t>
  </si>
  <si>
    <t>9763-20170724T160750.824182600.bin</t>
  </si>
  <si>
    <t>-728.207733314202 24.3784836120317 -232.113647295845</t>
  </si>
  <si>
    <t>-749.162209367582 26.634866502322 -351.37658027971</t>
  </si>
  <si>
    <t>-757.068707660691 15.7756397119879 -471.834510537947</t>
  </si>
  <si>
    <t>-758.946011476135 0.524825680837694 -580.27223760434</t>
  </si>
  <si>
    <t>-698.034714618352 130.319677028398 -785.344688592694</t>
  </si>
  <si>
    <t>-572.766178629025 198.667598469608 -502.81573541047</t>
  </si>
  <si>
    <t>-337.144170829573 198.043004576505 -392.706994749451</t>
  </si>
  <si>
    <t>-720.34073019359 121.260612950347 -231.249307486152</t>
  </si>
  <si>
    <t>-604.760097484107 187.823648167335 204.489352733338</t>
  </si>
  <si>
    <t>-531.901757342756 232.122186828842 666.553945079022</t>
  </si>
  <si>
    <t>-374.555367066835 248.57699636075 743.462437286639</t>
  </si>
  <si>
    <t>-724.630387866188 -38.7230490557713 222.098942799429</t>
  </si>
  <si>
    <t>-709.740830858212 22.191816759226 687.759021702435</t>
  </si>
  <si>
    <t>-580.618840347906 -62.8733407366919 771.633580410012</t>
  </si>
  <si>
    <t>9763-20170724T160750.890367200.bin</t>
  </si>
  <si>
    <t>-729.003553070538 24.4714711417666 -232.071553864725</t>
  </si>
  <si>
    <t>-750.076247439824 26.7979038253261 -351.312211639277</t>
  </si>
  <si>
    <t>-758.260078221194 15.9643071964983 -471.754112575697</t>
  </si>
  <si>
    <t>-760.45373307783 0.718142653007135 -580.186397208998</t>
  </si>
  <si>
    <t>-699.961047439262 130.372959064154 -785.44777720528</t>
  </si>
  <si>
    <t>-576.72502297948 199.315487098359 -502.170528969175</t>
  </si>
  <si>
    <t>-341.333139179206 198.446441971493 -391.572250540733</t>
  </si>
  <si>
    <t>-721.009996653444 121.323156122175 -231.213153278389</t>
  </si>
  <si>
    <t>-605.026893260144 187.720942736273 204.443757360493</t>
  </si>
  <si>
    <t>-531.902941162082 232.118693093649 666.413899399794</t>
  </si>
  <si>
    <t>-374.52894178654 248.503445758353 743.280493986171</t>
  </si>
  <si>
    <t>-725.19352262253 -38.6425266390888 222.087453096796</t>
  </si>
  <si>
    <t>-709.741484241147 22.1953993993889 687.750328028754</t>
  </si>
  <si>
    <t>-580.645615329502 -62.9300958976271 771.60389004928</t>
  </si>
  <si>
    <t>9763-20170724T160750.924458200.bin</t>
  </si>
  <si>
    <t>-729.387311420279 24.5065377931992 -232.041589635965</t>
  </si>
  <si>
    <t>-750.530134226535 26.8817836852893 -351.268831561901</t>
  </si>
  <si>
    <t>-758.862301077626 16.0602283020376 -471.701566881182</t>
  </si>
  <si>
    <t>-761.222817465567 0.809471599038261 -580.12974157163</t>
  </si>
  <si>
    <t>-700.884282929376 130.353040201688 -785.524138580454</t>
  </si>
  <si>
    <t>-578.623722792549 199.4937461769 -501.872725752153</t>
  </si>
  <si>
    <t>-343.62848797942 198.418376395702 -390.436081551958</t>
  </si>
  <si>
    <t>-721.292486766996 121.368561126837 -231.193761049139</t>
  </si>
  <si>
    <t>-605.128770543578 187.68198780242 204.427802837045</t>
  </si>
  <si>
    <t>-531.912338765846 232.136924624092 666.366933865353</t>
  </si>
  <si>
    <t>-374.519542102985 248.422711894869 743.215929514146</t>
  </si>
  <si>
    <t>-725.374650308431 -38.6526345454372 222.092990363532</t>
  </si>
  <si>
    <t>-709.808182462086 22.1591012937231 687.756125823734</t>
  </si>
  <si>
    <t>-580.661180772418 -62.9084540056488 771.589734512752</t>
  </si>
  <si>
    <t>9763-20170724T160750.988480500.bin</t>
  </si>
  <si>
    <t>-730.132113548497 24.6142657533483 -231.998462023518</t>
  </si>
  <si>
    <t>-751.487771560163 27.0768305799661 -351.186004611426</t>
  </si>
  <si>
    <t>-760.189879128324 16.2344268906866 -471.590764774048</t>
  </si>
  <si>
    <t>-762.953074250381 0.918195591397534 -580.000215963121</t>
  </si>
  <si>
    <t>-702.995842701024 130.040168385299 -785.695266012512</t>
  </si>
  <si>
    <t>-582.198639076793 199.698289334317 -501.543872884228</t>
  </si>
  <si>
    <t>-347.346291367012 198.370300004208 -389.809065311629</t>
  </si>
  <si>
    <t>-721.930364812465 121.499004947728 -231.130243579338</t>
  </si>
  <si>
    <t>-605.266403576238 187.622831296887 204.386466655748</t>
  </si>
  <si>
    <t>-531.918453070362 232.162899008192 666.283926595168</t>
  </si>
  <si>
    <t>-374.499320660005 248.303634658098 743.10969981354</t>
  </si>
  <si>
    <t>-725.679493523233 -38.568039780017 222.09106961653</t>
  </si>
  <si>
    <t>-709.88873197156 22.1201626486741 687.761082267777</t>
  </si>
  <si>
    <t>-580.587881118808 -62.7381740572102 771.569572586326</t>
  </si>
  <si>
    <t>9763-20170724T160751.020598600.bin</t>
  </si>
  <si>
    <t>-730.499676870431 24.7077180122394 -231.981240952642</t>
  </si>
  <si>
    <t>-751.925109877713 27.188841722362 -351.155863278821</t>
  </si>
  <si>
    <t>-760.80425938405 16.323713758426 -471.545574088817</t>
  </si>
  <si>
    <t>-763.774270313644 0.968343473993173 -579.944032985326</t>
  </si>
  <si>
    <t>-704.026016923509 129.868042403504 -785.790199558598</t>
  </si>
  <si>
    <t>-583.72743167242 199.552912342901 -501.433877485567</t>
  </si>
  <si>
    <t>-348.960958957485 198.412176363342 -389.516757850985</t>
  </si>
  <si>
    <t>-722.20733432301 121.602412403352 -231.118935822853</t>
  </si>
  <si>
    <t>-605.312616804674 187.588062170415 204.356979878515</t>
  </si>
  <si>
    <t>-531.910624065772 232.148813140834 666.250129807447</t>
  </si>
  <si>
    <t>-374.488962781946 248.321508526134 743.06404196692</t>
  </si>
  <si>
    <t>-725.77280746541 -38.5397724489903 222.093395806731</t>
  </si>
  <si>
    <t>-709.922788289399 22.1043742663687 687.767292956896</t>
  </si>
  <si>
    <t>-580.58567551163 -62.7098801851791 771.564478824449</t>
  </si>
  <si>
    <t>9763-20170724T160751.088755400.bin</t>
  </si>
  <si>
    <t>-731.272773380514 24.9795068269652 -231.968009606728</t>
  </si>
  <si>
    <t>-752.921338212395 27.4943704666634 -351.101631367246</t>
  </si>
  <si>
    <t>-762.193682249733 16.6022485663004 -471.459349917319</t>
  </si>
  <si>
    <t>-765.595295402771 1.19244406632288 -579.837488905982</t>
  </si>
  <si>
    <t>-706.272408852224 129.726751531259 -785.98805068871</t>
  </si>
  <si>
    <t>-586.274488061201 199.074494920917 -501.42226786228</t>
  </si>
  <si>
    <t>-351.967739029945 198.909856551433 -388.540473194773</t>
  </si>
  <si>
    <t>-722.929103508132 121.934843443214 -231.09004031176</t>
  </si>
  <si>
    <t>-605.444898169016 187.550236750654 204.283168856475</t>
  </si>
  <si>
    <t>-531.899103552314 232.125073957877 666.171026478473</t>
  </si>
  <si>
    <t>-374.46545034046 248.307958334408 742.958017197976</t>
  </si>
  <si>
    <t>-725.978848332896 -38.4617290124129 222.101622520693</t>
  </si>
  <si>
    <t>-709.959181676396 22.0823993743263 687.770170172778</t>
  </si>
  <si>
    <t>-580.541417841654 -62.6327393502424 771.543078998031</t>
  </si>
  <si>
    <t>9763-20170724T160751.123848900.bin</t>
  </si>
  <si>
    <t>-731.686226770552 25.1643502380782 -231.974080687758</t>
  </si>
  <si>
    <t>-753.410409362448 27.6692519732965 -351.09418722342</t>
  </si>
  <si>
    <t>-762.900831640444 16.7692696267179 -471.433952652203</t>
  </si>
  <si>
    <t>-766.560758867699 1.35117837240068 -579.802618846576</t>
  </si>
  <si>
    <t>-707.566117959217 129.763002685196 -786.131644878978</t>
  </si>
  <si>
    <t>-587.674086683649 198.773422167802 -501.439443443739</t>
  </si>
  <si>
    <t>-353.617634652391 199.053190736325 -388.039259995355</t>
  </si>
  <si>
    <t>-723.378617178586 122.125057431615 -231.076899653329</t>
  </si>
  <si>
    <t>-605.527181363071 187.603536494091 204.217543233484</t>
  </si>
  <si>
    <t>-531.909197513142 232.141631464302 666.114649466952</t>
  </si>
  <si>
    <t>-374.462799190123 248.287404919442 742.883244810974</t>
  </si>
  <si>
    <t>-726.103584850263 -38.4030677525186 222.089032065832</t>
  </si>
  <si>
    <t>-710.030431826271 22.0143207085678 687.762607661426</t>
  </si>
  <si>
    <t>-580.552321417431 -62.611789469177 771.532253893611</t>
  </si>
  <si>
    <t>9763-20170724T160751.190038000.bin</t>
  </si>
  <si>
    <t>-732.409468079209 25.6150001404926 -232.02303895185</t>
  </si>
  <si>
    <t>-754.346655343373 28.1522807777999 -351.103320832083</t>
  </si>
  <si>
    <t>-764.129325353584 17.1860220747587 -471.413784542925</t>
  </si>
  <si>
    <t>-768.09743688176 1.658937214464 -579.755947855567</t>
  </si>
  <si>
    <t>-709.092670066185 129.484826825455 -786.334446332213</t>
  </si>
  <si>
    <t>-588.990347849598 198.527223949379 -501.738588425212</t>
  </si>
  <si>
    <t>-355.012298248856 199.682994336224 -388.182453662413</t>
  </si>
  <si>
    <t>-724.009332294729 122.652387002874 -231.125159326758</t>
  </si>
  <si>
    <t>-605.753230247773 187.707124009505 204.123091135174</t>
  </si>
  <si>
    <t>-531.889602927311 232.130204688462 665.975285577037</t>
  </si>
  <si>
    <t>-374.419247716045 248.235023571239 742.703817361966</t>
  </si>
  <si>
    <t>-726.315176452739 -38.2573204443336 222.035198080529</t>
  </si>
  <si>
    <t>-710.120638474647 21.8844511134969 687.720622732918</t>
  </si>
  <si>
    <t>-580.52096464184 -62.5441080809358 771.501578017929</t>
  </si>
  <si>
    <t>9763-20170724T160751.223126900.bin</t>
  </si>
  <si>
    <t>-732.882076753796 25.8923518030654 -232.051232849147</t>
  </si>
  <si>
    <t>-754.9559527969 28.4648438683009 -351.105544374092</t>
  </si>
  <si>
    <t>-764.854514151018 17.5265406253077 -471.40909775497</t>
  </si>
  <si>
    <t>-768.925747566343 2.01455431544355 -579.749492496107</t>
  </si>
  <si>
    <t>-709.38230964006 129.616138072515 -786.421855059525</t>
  </si>
  <si>
    <t>-589.456678277841 198.422683425673 -501.694450119475</t>
  </si>
  <si>
    <t>-356.089519451745 199.549839774176 -386.887983596221</t>
  </si>
  <si>
    <t>-724.435749941281 122.98099881149 -231.161105872674</t>
  </si>
  <si>
    <t>-605.86307066882 187.757181619681 204.042624026963</t>
  </si>
  <si>
    <t>-531.899038556238 232.130989221665 665.905212145241</t>
  </si>
  <si>
    <t>-374.416297074696 248.236337885326 742.608016235568</t>
  </si>
  <si>
    <t>-726.311258669885 -38.1560612895166 221.995262880069</t>
  </si>
  <si>
    <t>-710.167896888453 21.839676143243 687.710942818237</t>
  </si>
  <si>
    <t>-580.485661727653 -62.4694462586785 771.484427044677</t>
  </si>
  <si>
    <t>9763-20170724T160751.288249700.bin</t>
  </si>
  <si>
    <t>-733.941015350474 26.4371062055618 -232.102732069956</t>
  </si>
  <si>
    <t>-756.340923994024 29.1364409613868 -351.093216380899</t>
  </si>
  <si>
    <t>-766.542912924228 18.2315780711469 -471.374521124758</t>
  </si>
  <si>
    <t>-770.895657848122 2.69639955322646 -579.700603185973</t>
  </si>
  <si>
    <t>-710.309001395935 129.542862086602 -786.623739323248</t>
  </si>
  <si>
    <t>-590.198636617988 197.544935704121 -501.781007047917</t>
  </si>
  <si>
    <t>-358.164803527507 198.258876750117 -384.299643266593</t>
  </si>
  <si>
    <t>-725.338165199153 123.52414012436 -231.131286404981</t>
  </si>
  <si>
    <t>-605.694218640236 187.82939533792 203.848940207902</t>
  </si>
  <si>
    <t>-531.901111536735 232.109694025459 665.778606220259</t>
  </si>
  <si>
    <t>-374.395756766604 248.113584698654 742.456009014857</t>
  </si>
  <si>
    <t>-726.211569103508 -38.0481275189404 221.939233574644</t>
  </si>
  <si>
    <t>-710.218604110665 21.8153854479106 687.711826197175</t>
  </si>
  <si>
    <t>-580.456261667927 -62.3953220746889 771.460273404786</t>
  </si>
  <si>
    <t>9763-20170724T160751.320336500.bin</t>
  </si>
  <si>
    <t>-734.493817668217 26.7140178134091 -232.049733846425</t>
  </si>
  <si>
    <t>-757.017002975718 29.4923916480718 -351.015236569054</t>
  </si>
  <si>
    <t>-767.367330538105 18.6069911286279 -471.28560187373</t>
  </si>
  <si>
    <t>-771.872601317623 3.05832744651866 -579.603459296548</t>
  </si>
  <si>
    <t>-710.667854976564 129.472046463505 -786.651135099286</t>
  </si>
  <si>
    <t>-590.596376304571 197.021922733265 -501.684453514051</t>
  </si>
  <si>
    <t>-358.599019690547 197.297267718245 -384.129406571513</t>
  </si>
  <si>
    <t>-725.717162056165 123.804083249408 -231.083457931799</t>
  </si>
  <si>
    <t>-605.528501795089 187.813072789317 203.790277134706</t>
  </si>
  <si>
    <t>-531.887656320687 232.092056432278 665.730618165659</t>
  </si>
  <si>
    <t>-374.38540926998 248.135072033018 742.406315339607</t>
  </si>
  <si>
    <t>-726.272772855339 -37.9542339272207 221.931810256762</t>
  </si>
  <si>
    <t>-710.2249223781 21.8188152364696 687.71295596631</t>
  </si>
  <si>
    <t>-580.484039288999 -62.4387056564642 771.447576464844</t>
  </si>
  <si>
    <t>9763-20170724T160751.388526000.bin</t>
  </si>
  <si>
    <t>-735.764432308206 27.2270291327327 -231.956768580129</t>
  </si>
  <si>
    <t>-758.645915432173 30.3245061906116 -350.845943343488</t>
  </si>
  <si>
    <t>-769.282798836882 19.4916208193854 -471.095970477291</t>
  </si>
  <si>
    <t>-774.026671871488 3.8752844389312 -579.394064013334</t>
  </si>
  <si>
    <t>-711.340221166066 129.176408064102 -786.730631177895</t>
  </si>
  <si>
    <t>-591.627776004134 198.24875644417 -501.977829590093</t>
  </si>
  <si>
    <t>-360.271834939739 196.573565594715 -383.17675946077</t>
  </si>
  <si>
    <t>-726.406440982032 124.130037149626 -230.867930420076</t>
  </si>
  <si>
    <t>-605.171943567786 187.689936679108 203.781373945789</t>
  </si>
  <si>
    <t>-531.831633209366 232.027100403559 665.677341857431</t>
  </si>
  <si>
    <t>-374.332636780697 247.900259031878 742.39490808758</t>
  </si>
  <si>
    <t>-726.448045897844 -37.9032069394177 221.924593115224</t>
  </si>
  <si>
    <t>-710.217310618944 21.8478008741079 687.712967474812</t>
  </si>
  <si>
    <t>-580.53742565053 -62.5310695897597 771.419899077406</t>
  </si>
  <si>
    <t>9763-20170724T160751.424644200.bin</t>
  </si>
  <si>
    <t>-736.473323176954 27.4559073399405 -231.900564706913</t>
  </si>
  <si>
    <t>-759.505273247667 30.7291700618966 -350.756028547472</t>
  </si>
  <si>
    <t>-770.261117341314 19.835426811776 -470.99002782635</t>
  </si>
  <si>
    <t>-775.102615843158 4.06866273679429 -579.261977553909</t>
  </si>
  <si>
    <t>-711.765799052465 128.56638656825 -786.831846663575</t>
  </si>
  <si>
    <t>-592.991946277002 199.508513148131 -502.145775633297</t>
  </si>
  <si>
    <t>-361.757393763119 196.971397476484 -383.124054727569</t>
  </si>
  <si>
    <t>-726.603783113995 124.285827763353 -230.824151663496</t>
  </si>
  <si>
    <t>-604.935378512214 187.529265383164 203.750089171641</t>
  </si>
  <si>
    <t>-531.790369199922 231.98803359383 665.67200463293</t>
  </si>
  <si>
    <t>-374.295118057753 247.736356750077 742.423052078446</t>
  </si>
  <si>
    <t>-726.591054635978 -37.8814808364664 221.915314432516</t>
  </si>
  <si>
    <t>-710.187529961605 21.879541495746 687.708990926982</t>
  </si>
  <si>
    <t>-580.57610178549 -62.6200167994025 771.400140677022</t>
  </si>
  <si>
    <t>9763-20170724T160751.490814300.bin</t>
  </si>
  <si>
    <t>-738.098162215095 28.0393375367232 -231.881429313713</t>
  </si>
  <si>
    <t>-761.517983095213 31.6515003975037 -350.651279174848</t>
  </si>
  <si>
    <t>-772.600013423728 20.6319569788354 -470.844051964732</t>
  </si>
  <si>
    <t>-777.709084110167 4.56923486733717 -579.060206916336</t>
  </si>
  <si>
    <t>-713.034935067575 127.379272301769 -787.268748347043</t>
  </si>
  <si>
    <t>-598.40426082322 200.897605047178 -501.539718269227</t>
  </si>
  <si>
    <t>-369.338092721588 195.712851691698 -378.479404084658</t>
  </si>
  <si>
    <t>-727.029746303396 124.58430534865 -230.752836475806</t>
  </si>
  <si>
    <t>-604.041108728153 187.008338701291 203.56814083828</t>
  </si>
  <si>
    <t>-531.698128228945 231.926756576063 665.589614938095</t>
  </si>
  <si>
    <t>-374.211000521636 247.331628818189 742.427413937037</t>
  </si>
  <si>
    <t>-727.211578526124 -37.7210588363737 221.902718802355</t>
  </si>
  <si>
    <t>-710.111758101965 21.9190921912882 687.676619360378</t>
  </si>
  <si>
    <t>-580.745874568285 -62.937585254442 771.386351926406</t>
  </si>
  <si>
    <t>9763-20170724T160751.523895800.bin</t>
  </si>
  <si>
    <t>-738.958112527443 28.3628190688762 -231.874672242172</t>
  </si>
  <si>
    <t>-762.545533570144 32.1055687085873 -350.607276381594</t>
  </si>
  <si>
    <t>-773.793788475445 20.983774424843 -470.775250247103</t>
  </si>
  <si>
    <t>-779.050528806586 4.73899773135645 -578.957242488373</t>
  </si>
  <si>
    <t>-714.159776566909 126.806348794059 -787.471182435883</t>
  </si>
  <si>
    <t>-601.111343582951 201.547733908425 -501.429230066199</t>
  </si>
  <si>
    <t>-373.905016754062 194.652537494124 -375.049785698347</t>
  </si>
  <si>
    <t>-727.388272002144 124.872031835019 -230.751547987518</t>
  </si>
  <si>
    <t>-603.452318024806 186.727937362644 203.381403725933</t>
  </si>
  <si>
    <t>-531.631981819618 231.865490309813 665.460035594444</t>
  </si>
  <si>
    <t>-374.136431591378 247.110289099437 742.312129341752</t>
  </si>
  <si>
    <t>-727.918114447277 -37.5768580658416 221.865422975193</t>
  </si>
  <si>
    <t>-710.089541967859 21.84961757671 687.600129701689</t>
  </si>
  <si>
    <t>-580.8385107733 -63.1054649005516 771.387471211086</t>
  </si>
  <si>
    <t>9763-20170724T160751.592634300.bin</t>
  </si>
  <si>
    <t>-740.577670560717 29.1407255039792 -231.863890046839</t>
  </si>
  <si>
    <t>-764.423277942478 33.1985561872636 -350.534501393598</t>
  </si>
  <si>
    <t>-775.872800101079 21.885501224893 -470.665726249716</t>
  </si>
  <si>
    <t>-781.296287076011 5.2637456014736 -578.782106062803</t>
  </si>
  <si>
    <t>-716.117057314772 125.843510046791 -787.837097979755</t>
  </si>
  <si>
    <t>-605.982361625809 202.11827979221 -501.064145305433</t>
  </si>
  <si>
    <t>-386.531671049055 188.192153411493 -362.177402913658</t>
  </si>
  <si>
    <t>-728.506618748326 125.655220926347 -230.637448970816</t>
  </si>
  <si>
    <t>-602.46153237423 186.67058220811 203.00693140845</t>
  </si>
  <si>
    <t>-531.619637904247 231.729229720997 665.275787335145</t>
  </si>
  <si>
    <t>-374.02587829404 246.749318783752 741.970754013183</t>
  </si>
  <si>
    <t>-729.548068298182 -37.1317785524934 221.727751766924</t>
  </si>
  <si>
    <t>-710.139115791277 21.6383916103418 687.48472272201</t>
  </si>
  <si>
    <t>-580.867001301877 -63.193893953475 771.36389263328</t>
  </si>
  <si>
    <t>9763-20170724T160751.626734200.bin</t>
  </si>
  <si>
    <t>-741.281038453301 29.6917657853046 -231.839080448419</t>
  </si>
  <si>
    <t>-765.153620614073 33.8554113650462 -350.500702643775</t>
  </si>
  <si>
    <t>-776.606376935077 22.440834076388 -470.62188305559</t>
  </si>
  <si>
    <t>-782.033640310068 5.63920421762055 -578.710281002471</t>
  </si>
  <si>
    <t>-716.557613597879 125.536166440522 -787.957763777531</t>
  </si>
  <si>
    <t>-607.508029936639 202.408170320272 -500.929696743661</t>
  </si>
  <si>
    <t>-392.671475233643 184.850088310049 -355.399443092108</t>
  </si>
  <si>
    <t>-729.201497566398 126.196596737195 -230.544767346285</t>
  </si>
  <si>
    <t>-602.323934119332 186.979029188185 202.889578807002</t>
  </si>
  <si>
    <t>-531.636985573232 231.735439417835 665.216250964259</t>
  </si>
  <si>
    <t>-373.997409505429 246.667265287116 741.834308546213</t>
  </si>
  <si>
    <t>-730.157342858842 -36.7879235644868 221.647300665962</t>
  </si>
  <si>
    <t>-710.143841962849 21.5647473202966 687.427252188247</t>
  </si>
  <si>
    <t>-580.836006437855 -63.1694017846894 771.350551023677</t>
  </si>
  <si>
    <t>9763-20170724T160751.689930600.bin</t>
  </si>
  <si>
    <t>-742.109136001162 31.033564859637 -231.974734413637</t>
  </si>
  <si>
    <t>-765.75389950631 35.2464911070324 -350.680219656454</t>
  </si>
  <si>
    <t>-776.965287139852 23.556384681455 -470.797609662235</t>
  </si>
  <si>
    <t>-782.190112294595 6.36795675524104 -578.835254969206</t>
  </si>
  <si>
    <t>-715.719840167058 124.896508453455 -788.193914085527</t>
  </si>
  <si>
    <t>-609.993570271835 203.030745303896 -500.264732524643</t>
  </si>
  <si>
    <t>-399.422550601162 183.2812217025 -348.89803716269</t>
  </si>
  <si>
    <t>-730.129644168776 127.529465022133 -230.600832829581</t>
  </si>
  <si>
    <t>-602.800307928063 188.067148827228 202.735242957841</t>
  </si>
  <si>
    <t>-531.715624638951 231.930459686427 665.023658234157</t>
  </si>
  <si>
    <t>-373.9794782369 246.702060593574 741.473940671313</t>
  </si>
  <si>
    <t>-730.596494882633 -36.0206239402223 221.416779475107</t>
  </si>
  <si>
    <t>-710.030029227215 21.4499646953484 687.25624557534</t>
  </si>
  <si>
    <t>-580.684669355459 -63.0730283549369 771.334506470038</t>
  </si>
  <si>
    <t>9763-20170724T160751.722022300.bin</t>
  </si>
  <si>
    <t>-742.219988569702 31.7423374529578 -232.13551413046</t>
  </si>
  <si>
    <t>-765.77574976294 35.9785326505585 -350.857995127392</t>
  </si>
  <si>
    <t>-776.837023162963 24.2153224656358 -470.982144763819</t>
  </si>
  <si>
    <t>-781.907563538066 6.91935152077804 -579.009971141695</t>
  </si>
  <si>
    <t>-714.997909166458 125.136699829073 -788.29293646983</t>
  </si>
  <si>
    <t>-611.916037267024 203.631166236156 -499.504296727421</t>
  </si>
  <si>
    <t>-402.375388825976 183.622559377518 -346.748225569612</t>
  </si>
  <si>
    <t>-730.287402628698 128.27313847484 -230.737794396811</t>
  </si>
  <si>
    <t>-603.407424414335 188.614045133034 202.757523544092</t>
  </si>
  <si>
    <t>-531.78308471962 232.029984284459 664.952476407079</t>
  </si>
  <si>
    <t>-373.982561894079 246.732298642111 741.28308754356</t>
  </si>
  <si>
    <t>-730.570246464331 -35.6319408141687 221.286147417321</t>
  </si>
  <si>
    <t>-709.998549660002 21.435907654881 687.202584322784</t>
  </si>
  <si>
    <t>-580.709861941088 -63.1169084079193 771.337992871131</t>
  </si>
  <si>
    <t>9763-20170724T160751.792907200.bin</t>
  </si>
  <si>
    <t>-742.238511256337 32.9714108494254 -232.398726033195</t>
  </si>
  <si>
    <t>-765.577158707015 37.197408697878 -351.164343662216</t>
  </si>
  <si>
    <t>-776.272669156905 25.3109939312774 -471.309629114848</t>
  </si>
  <si>
    <t>-780.955866153409 7.85798677893104 -579.329562543298</t>
  </si>
  <si>
    <t>-713.819530531466 125.930934644988 -788.310248833879</t>
  </si>
  <si>
    <t>-615.359588196693 205.354377669256 -498.165861442073</t>
  </si>
  <si>
    <t>-408.0269290971 184.978669503077 -342.473678197681</t>
  </si>
  <si>
    <t>-730.436826302071 129.575758802515 -231.019120715638</t>
  </si>
  <si>
    <t>-604.684959812822 189.62911446921 202.844583352993</t>
  </si>
  <si>
    <t>-531.796664868602 232.177116746229 664.913384388174</t>
  </si>
  <si>
    <t>-373.943456137514 246.721336047978 741.165462250428</t>
  </si>
  <si>
    <t>-730.613112523424 -35.0064647524453 221.047135046621</t>
  </si>
  <si>
    <t>-709.998718747041 21.3286957040029 687.047364726645</t>
  </si>
  <si>
    <t>-580.687794776376 -63.0277934605456 771.345519513453</t>
  </si>
  <si>
    <t>9763-20170724T160751.823989100.bin</t>
  </si>
  <si>
    <t>-742.202156637099 33.4140877947063 -232.647651251143</t>
  </si>
  <si>
    <t>-765.53002986693 37.6543988201852 -351.414911133066</t>
  </si>
  <si>
    <t>-776.108581508618 25.7622329903929 -471.569885534683</t>
  </si>
  <si>
    <t>-780.640872344991 8.29656210334247 -579.594294124071</t>
  </si>
  <si>
    <t>-713.517266887183 126.52692049672 -788.403170547485</t>
  </si>
  <si>
    <t>-617.484231805291 206.342829276606 -497.553840262616</t>
  </si>
  <si>
    <t>-409.825887562017 186.473319524602 -342.23080082075</t>
  </si>
  <si>
    <t>-730.443471614464 130.189382249641 -231.232412797307</t>
  </si>
  <si>
    <t>-605.109131127556 190.026383967545 202.781957272578</t>
  </si>
  <si>
    <t>-531.755269625602 232.213068267313 664.877949185764</t>
  </si>
  <si>
    <t>-373.908603293429 246.631162033476 741.167121566834</t>
  </si>
  <si>
    <t>-730.529236933918 -34.9027562261879 220.775684088696</t>
  </si>
  <si>
    <t>-709.953787913319 20.981902563062 686.666266811056</t>
  </si>
  <si>
    <t>-580.641902543362 -62.9629362620467 771.372906543726</t>
  </si>
  <si>
    <t>9763-20170724T160751.889177100.bin</t>
  </si>
  <si>
    <t>-742.298359655893 33.6566365960764 -233.563881537098</t>
  </si>
  <si>
    <t>-765.889645913188 37.9129174354321 -352.278341756108</t>
  </si>
  <si>
    <t>-776.268780489239 26.1000163904239 -472.458591587843</t>
  </si>
  <si>
    <t>-780.42177538852 8.73065579159606 -580.513755327723</t>
  </si>
  <si>
    <t>-713.755584969565 127.827363911863 -788.970295972979</t>
  </si>
  <si>
    <t>-620.870058673383 208.368998263424 -497.30001205997</t>
  </si>
  <si>
    <t>-412.985108710613 188.841028266818 -342.236857753451</t>
  </si>
  <si>
    <t>-730.795484616731 130.935947140785 -231.905080470843</t>
  </si>
  <si>
    <t>-605.376358362809 190.432153124517 202.131629730994</t>
  </si>
  <si>
    <t>-531.63857348403 232.239519847141 664.446195005097</t>
  </si>
  <si>
    <t>-373.87806534842 246.724797953101 740.900995144706</t>
  </si>
  <si>
    <t>-730.136556323857 -35.6752318703209 219.579474444259</t>
  </si>
  <si>
    <t>-710.040164136698 19.1713822048609 685.18465387375</t>
  </si>
  <si>
    <t>-580.592929512401 -62.6743570639728 771.71903135315</t>
  </si>
  <si>
    <t>9763-20170724T160751.923257900.bin</t>
  </si>
  <si>
    <t>-742.419356622905 33.3801173195839 -234.353311929797</t>
  </si>
  <si>
    <t>-766.337688693356 37.6219676642002 -353.00284327312</t>
  </si>
  <si>
    <t>-776.707719352447 25.865442099421 -473.189430352162</t>
  </si>
  <si>
    <t>-780.711359963164 8.57110375350635 -581.26215193945</t>
  </si>
  <si>
    <t>-714.291466590941 128.224301245411 -789.49739198231</t>
  </si>
  <si>
    <t>-622.266683062354 208.952235716037 -497.605845363829</t>
  </si>
  <si>
    <t>-414.113511826333 189.679287824611 -342.870828430184</t>
  </si>
  <si>
    <t>-731.117297919253 131.092107899879 -232.499695405711</t>
  </si>
  <si>
    <t>-605.361635912825 190.405749179439 201.464711833422</t>
  </si>
  <si>
    <t>-531.607090436918 232.226504749464 663.969524658898</t>
  </si>
  <si>
    <t>-373.889025699921 246.797548212279 740.495339040752</t>
  </si>
  <si>
    <t>-729.876724770474 -36.5005958097702 218.646267153521</t>
  </si>
  <si>
    <t>-710.131364948875 17.8387320243489 684.226002225064</t>
  </si>
  <si>
    <t>-580.582712614224 -62.5814001267956 771.937218874065</t>
  </si>
  <si>
    <t>9763-20170724T160751.992453800.bin</t>
  </si>
  <si>
    <t>-742.867035842407 32.995094037336 -235.683503055458</t>
  </si>
  <si>
    <t>-766.946280349288 37.1965043803643 -354.301988257967</t>
  </si>
  <si>
    <t>-777.138493350137 25.5498385841095 -474.51445382714</t>
  </si>
  <si>
    <t>-780.841987494381 8.40879425711614 -582.622420680445</t>
  </si>
  <si>
    <t>-714.988374459154 129.023871561297 -790.408429536796</t>
  </si>
  <si>
    <t>-624.465336393195 210.491011661024 -498.252875452127</t>
  </si>
  <si>
    <t>-415.490592138018 191.947414209355 -344.539621380076</t>
  </si>
  <si>
    <t>-731.990010320656 131.391049674082 -233.663366277425</t>
  </si>
  <si>
    <t>-605.697228723427 190.562499433331 200.164417989763</t>
  </si>
  <si>
    <t>-531.612460974303 232.16819094659 662.857500441567</t>
  </si>
  <si>
    <t>-373.931723139282 246.804767953615 739.447740950292</t>
  </si>
  <si>
    <t>-729.510053598214 -37.5198263394004 217.19069633853</t>
  </si>
  <si>
    <t>-710.312476742595 16.3238264688293 683.182381680493</t>
  </si>
  <si>
    <t>-580.584816233239 -62.1689837412889 772.3627047635</t>
  </si>
  <si>
    <t>9763-20170724T160752.026544500.bin</t>
  </si>
  <si>
    <t>-742.914429067241 33.0638692552457 -236.172861515059</t>
  </si>
  <si>
    <t>-766.917609390239 37.2404853860255 -354.807694502864</t>
  </si>
  <si>
    <t>-776.96884272706 25.6221872746582 -475.034697993308</t>
  </si>
  <si>
    <t>-780.516708544636 8.52888548283022 -583.155499625807</t>
  </si>
  <si>
    <t>-714.972717691792 129.52808251532 -790.776588334994</t>
  </si>
  <si>
    <t>-625.151797003922 211.301901058639 -498.489992204938</t>
  </si>
  <si>
    <t>-416.046719789405 192.916021156132 -344.935180986032</t>
  </si>
  <si>
    <t>-732.303399741081 131.684945054827 -234.162060325052</t>
  </si>
  <si>
    <t>-606.245228638292 190.826731543798 199.737996891102</t>
  </si>
  <si>
    <t>-531.653876205579 232.164944100598 662.341467465808</t>
  </si>
  <si>
    <t>-373.979390366909 246.952058553279 738.915922641058</t>
  </si>
  <si>
    <t>-729.414013064964 -37.6946604533048 216.703555891295</t>
  </si>
  <si>
    <t>-710.331893191394 15.857353124655 682.767378814347</t>
  </si>
  <si>
    <t>-580.643454212096 -62.122617313044 772.453156739014</t>
  </si>
  <si>
    <t>9763-20170724T160752.090731100.bin</t>
  </si>
  <si>
    <t>-742.812569172146 33.47832712679 -237.043761594377</t>
  </si>
  <si>
    <t>-766.801316720951 37.7125752752474 -355.679406193351</t>
  </si>
  <si>
    <t>-776.66693637244 26.2421597274122 -475.936054611082</t>
  </si>
  <si>
    <t>-779.969777476621 9.32117333968336 -584.091617222166</t>
  </si>
  <si>
    <t>-715.006179226782 131.200030375635 -791.342102749906</t>
  </si>
  <si>
    <t>-626.945678757395 213.811875845575 -498.755793746592</t>
  </si>
  <si>
    <t>-417.362808278829 195.764030358285 -345.813254805449</t>
  </si>
  <si>
    <t>-732.595763102368 132.315848216582 -234.993251887591</t>
  </si>
  <si>
    <t>-607.883915916206 191.592008455725 199.27740346372</t>
  </si>
  <si>
    <t>-531.723100292466 232.241603302095 661.557917319264</t>
  </si>
  <si>
    <t>-374.041271048948 247.014260877082 738.119723799884</t>
  </si>
  <si>
    <t>-729.105790899167 -37.7426736303557 215.991233016791</t>
  </si>
  <si>
    <t>-710.362725060318 15.4103888965585 682.262151784382</t>
  </si>
  <si>
    <t>-580.56257677064 -61.8039359876109 772.447410531226</t>
  </si>
  <si>
    <t>9763-20170724T160752.123818200.bin</t>
  </si>
  <si>
    <t>-742.842571009777 33.8166478818359 -237.297778352875</t>
  </si>
  <si>
    <t>-766.692218946605 38.0481039276508 -355.96155187704</t>
  </si>
  <si>
    <t>-776.398565783739 26.6486031058132 -476.237959344804</t>
  </si>
  <si>
    <t>-779.546094314343 9.82350804275893 -584.413019272213</t>
  </si>
  <si>
    <t>-714.830232753355 132.156872134321 -791.47216446785</t>
  </si>
  <si>
    <t>-627.960744740699 214.982319439844 -498.590184609993</t>
  </si>
  <si>
    <t>-418.339075090227 196.758928319628 -345.721690082039</t>
  </si>
  <si>
    <t>-732.8130140432 132.732889518681 -235.298789683057</t>
  </si>
  <si>
    <t>-608.842676017889 192.065996507047 199.176358487598</t>
  </si>
  <si>
    <t>-531.770525581771 232.292533965362 661.308379040672</t>
  </si>
  <si>
    <t>-374.069824177736 247.045476652932 737.835216280114</t>
  </si>
  <si>
    <t>-729.076058296971 -37.541411744885 215.786736456063</t>
  </si>
  <si>
    <t>-710.378256338964 15.4494208457697 682.180888247836</t>
  </si>
  <si>
    <t>-580.542611561082 -61.687560526417 772.381245480751</t>
  </si>
  <si>
    <t>9763-20170724T160752.187544600.bin</t>
  </si>
  <si>
    <t>-742.905723617103 34.700729400143 -237.498837407849</t>
  </si>
  <si>
    <t>-766.677708137867 38.9652217637797 -356.177127477975</t>
  </si>
  <si>
    <t>-776.163993409074 27.7173412513691 -476.485330082093</t>
  </si>
  <si>
    <t>-779.048255922256 11.0788533217487 -584.696626001742</t>
  </si>
  <si>
    <t>-714.589013558083 134.226263135394 -791.342952679347</t>
  </si>
  <si>
    <t>-630.278034312197 218.552763214641 -498.141739085668</t>
  </si>
  <si>
    <t>-420.99989782098 199.803625897495 -344.866834273739</t>
  </si>
  <si>
    <t>-733.174114107538 133.597466847446 -235.530380987967</t>
  </si>
  <si>
    <t>-610.42001642799 193.029462880065 199.276375780473</t>
  </si>
  <si>
    <t>-531.822213005268 232.454290303666 661.072816830458</t>
  </si>
  <si>
    <t>-374.11683298101 247.221127287605 737.587250188373</t>
  </si>
  <si>
    <t>-729.12227806149 -36.9036734153055 215.649929734323</t>
  </si>
  <si>
    <t>-710.340312700639 15.7473509841059 682.110778693911</t>
  </si>
  <si>
    <t>-580.489123559431 -61.507466476643 772.187823266883</t>
  </si>
  <si>
    <t>9763-20170724T160752.221633600.bin</t>
  </si>
  <si>
    <t>-742.994399550698 35.1027734866277 -237.585704474313</t>
  </si>
  <si>
    <t>-766.790816232565 39.3938920878986 -356.258048314902</t>
  </si>
  <si>
    <t>-776.226221434265 28.2053557356801 -476.575830936898</t>
  </si>
  <si>
    <t>-779.032039732097 11.6332830454678 -584.799431009712</t>
  </si>
  <si>
    <t>-714.665923422429 135.058966988835 -791.29424902687</t>
  </si>
  <si>
    <t>-632.10445972883 219.846724350939 -497.728546846996</t>
  </si>
  <si>
    <t>-423.092951007098 200.897532113486 -344.114806278677</t>
  </si>
  <si>
    <t>-733.315387319848 134.023070915772 -235.614519152369</t>
  </si>
  <si>
    <t>-611.015986952367 193.44236438305 199.322125533217</t>
  </si>
  <si>
    <t>-531.854552004812 232.569716316159 661.034917590668</t>
  </si>
  <si>
    <t>-374.151798834214 247.416878489746 737.539612592005</t>
  </si>
  <si>
    <t>-729.167801815178 -36.6506449062265 215.561710459698</t>
  </si>
  <si>
    <t>-710.366433550648 15.7706935471706 682.032123822117</t>
  </si>
  <si>
    <t>-580.455373672311 -61.3907197326075 772.102891853109</t>
  </si>
  <si>
    <t>9763-20170724T160752.292337200.bin</t>
  </si>
  <si>
    <t>-743.417362073914 35.6667634483476 -237.57858429664</t>
  </si>
  <si>
    <t>-767.193802567526 39.9824237760793 -356.253935808671</t>
  </si>
  <si>
    <t>-776.479911223376 28.9278402992154 -476.595722314421</t>
  </si>
  <si>
    <t>-779.092906872023 12.5218025788963 -584.849417991555</t>
  </si>
  <si>
    <t>-714.909708964622 136.600531033081 -790.87618049327</t>
  </si>
  <si>
    <t>-635.416235965273 222.350771623861 -496.743789331822</t>
  </si>
  <si>
    <t>-427.381794401285 203.00872353264 -341.857785584008</t>
  </si>
  <si>
    <t>-733.882559045045 134.57647096712 -235.569967779862</t>
  </si>
  <si>
    <t>-611.859137053826 194.050071393814 199.436818187974</t>
  </si>
  <si>
    <t>-531.897432143749 232.667542954676 660.982574224383</t>
  </si>
  <si>
    <t>-374.196325156012 247.668284559102 737.460435659571</t>
  </si>
  <si>
    <t>-729.248593098782 -36.3300309289978 215.427133493843</t>
  </si>
  <si>
    <t>-710.386425644559 15.7825944689378 681.883096673971</t>
  </si>
  <si>
    <t>-580.41287760191 -61.1928172678204 772.02279737012</t>
  </si>
  <si>
    <t>9763-20170724T160752.324419100.bin</t>
  </si>
  <si>
    <t>-743.660763275483 35.907718802722 -237.629354673592</t>
  </si>
  <si>
    <t>-767.608735393135 40.2670666864246 -356.268744940768</t>
  </si>
  <si>
    <t>-776.921555953011 29.3029368150212 -476.616693484801</t>
  </si>
  <si>
    <t>-779.497014603714 12.9955584110992 -584.886205223987</t>
  </si>
  <si>
    <t>-715.48783524519 137.44756449181 -790.63632694383</t>
  </si>
  <si>
    <t>-637.417663303337 223.55420841601 -496.226848708169</t>
  </si>
  <si>
    <t>-429.977320990618 204.354749317577 -340.52877813295</t>
  </si>
  <si>
    <t>-734.208562492926 134.881015215274 -235.567721544539</t>
  </si>
  <si>
    <t>-612.167535381023 194.225786162488 199.451674214165</t>
  </si>
  <si>
    <t>-531.919537351655 232.629979019859 660.970838998819</t>
  </si>
  <si>
    <t>-374.214382655924 247.728701351167 737.420913753067</t>
  </si>
  <si>
    <t>-729.203957505046 -36.2541332462049 215.33794981211</t>
  </si>
  <si>
    <t>-710.342786808477 15.7638434752014 681.779947219704</t>
  </si>
  <si>
    <t>-580.376153359184 -61.113685222379 772.013179289888</t>
  </si>
  <si>
    <t>9763-20170724T160752.389597200.bin</t>
  </si>
  <si>
    <t>-744.464602576547 36.2678933673897 -237.6850784233</t>
  </si>
  <si>
    <t>-768.607891610215 40.6989482399933 -356.282129105629</t>
  </si>
  <si>
    <t>-777.894837613372 29.90856455007 -476.647685776616</t>
  </si>
  <si>
    <t>-780.352465619072 13.7963450807142 -584.949293490935</t>
  </si>
  <si>
    <t>-764.285872551012 0.133939111956352 -781.399256593212</t>
  </si>
  <si>
    <t>-716.590170823574 138.957238332544 -790.29072311302</t>
  </si>
  <si>
    <t>-641.907128670387 225.968764124549 -495.269375839067</t>
  </si>
  <si>
    <t>-435.924109109637 206.525431069269 -337.678046474572</t>
  </si>
  <si>
    <t>-735.121687615568 135.252632435284 -235.524604613249</t>
  </si>
  <si>
    <t>-612.605882053875 194.428776684007 199.384206288714</t>
  </si>
  <si>
    <t>-531.968719383541 232.553429978816 660.887914375035</t>
  </si>
  <si>
    <t>-374.249011723118 247.703590119696 737.297756927956</t>
  </si>
  <si>
    <t>-729.248477103022 -36.0684355517492 215.105332658589</t>
  </si>
  <si>
    <t>-710.261938765122 15.6457253325168 681.549648410589</t>
  </si>
  <si>
    <t>-580.280662766789 -60.8935137003168 772.048935953934</t>
  </si>
  <si>
    <t>9763-20170724T160752.423689000.bin</t>
  </si>
  <si>
    <t>-744.861752416552 36.4522196659652 -237.72286276245</t>
  </si>
  <si>
    <t>-769.11704170083 40.9179742748775 -356.295831816194</t>
  </si>
  <si>
    <t>-778.404955833922 30.2160236565987 -476.669256019166</t>
  </si>
  <si>
    <t>-780.814518096723 14.2051186364813 -584.986868151315</t>
  </si>
  <si>
    <t>-764.59257299678 0.79429005213683 -781.43838234258</t>
  </si>
  <si>
    <t>-717.290216856031 139.755893588188 -790.103586598244</t>
  </si>
  <si>
    <t>-644.550494638463 227.18462645258 -494.720288768265</t>
  </si>
  <si>
    <t>-439.188772645576 207.466460810528 -336.354013575905</t>
  </si>
  <si>
    <t>-735.53504062774 135.46781631965 -235.51852976735</t>
  </si>
  <si>
    <t>-612.69325272657 194.433758570709 199.326963396955</t>
  </si>
  <si>
    <t>-531.989663703519 232.488399803799 660.848211069173</t>
  </si>
  <si>
    <t>-374.260374879623 247.646453841618 737.236869872871</t>
  </si>
  <si>
    <t>-729.328129062542 -35.8467339105118 215.023408097165</t>
  </si>
  <si>
    <t>-710.162845289145 15.7133265372886 681.501191778243</t>
  </si>
  <si>
    <t>-580.236485686868 -60.8349552708071 772.071679981688</t>
  </si>
  <si>
    <t>9763-20170724T160752.490887300.bin</t>
  </si>
  <si>
    <t>-745.69582246778 36.5888822467764 -237.65832309522</t>
  </si>
  <si>
    <t>-770.160370529266 41.1375653069997 -356.185073906817</t>
  </si>
  <si>
    <t>-779.401779809181 30.6223971010231 -476.578611527497</t>
  </si>
  <si>
    <t>-781.657970672288 14.8214328811496 -584.93016673711</t>
  </si>
  <si>
    <t>-765.008588925749 1.92580023784922 -781.374982969272</t>
  </si>
  <si>
    <t>-718.494533317251 141.189360407364 -789.61510511729</t>
  </si>
  <si>
    <t>-649.373353925642 228.862610845702 -493.436406923387</t>
  </si>
  <si>
    <t>-445.5719927698 207.8401749487 -333.233157096229</t>
  </si>
  <si>
    <t>-736.556987618571 135.693186601707 -235.376526431816</t>
  </si>
  <si>
    <t>-612.671262671774 194.275200362879 199.224623425424</t>
  </si>
  <si>
    <t>-532.025686165693 232.266114992252 660.752600070606</t>
  </si>
  <si>
    <t>-374.287442768667 247.467936743708 737.114219469499</t>
  </si>
  <si>
    <t>-729.655781169765 -35.2686629783184 214.925627054929</t>
  </si>
  <si>
    <t>-710.056433867193 15.8159182601669 681.432473346322</t>
  </si>
  <si>
    <t>-580.106426970611 -60.5995426672057 772.081176087275</t>
  </si>
  <si>
    <t>9763-20170724T160752.523993100.bin</t>
  </si>
  <si>
    <t>-746.127113307215 36.6148780060398 -237.641565896094</t>
  </si>
  <si>
    <t>-770.717398921507 41.2002085285947 -356.140870264192</t>
  </si>
  <si>
    <t>-779.979128643846 30.7807949037342 -476.541044846336</t>
  </si>
  <si>
    <t>-782.208047864712 15.0889384278394 -584.909167758309</t>
  </si>
  <si>
    <t>-765.460338696694 2.46106104176374 -781.360535218377</t>
  </si>
  <si>
    <t>-719.281303131896 141.839285116919 -789.387341055674</t>
  </si>
  <si>
    <t>-651.572437398559 229.334382478878 -492.829942129548</t>
  </si>
  <si>
    <t>-447.961112651438 208.325700417366 -332.383234091205</t>
  </si>
  <si>
    <t>-737.093945845949 135.766086051579 -235.312259308319</t>
  </si>
  <si>
    <t>-612.661658012386 194.192516461353 199.153608521698</t>
  </si>
  <si>
    <t>-532.054676971656 232.141681875964 660.697064544158</t>
  </si>
  <si>
    <t>-374.307734626307 247.359456076932 737.037452656564</t>
  </si>
  <si>
    <t>-729.757149348808 -34.9376356061578 214.893230697676</t>
  </si>
  <si>
    <t>-709.983819507575 15.9227794324283 681.421462608019</t>
  </si>
  <si>
    <t>-580.015479060017 -60.4566753448737 772.074239345884</t>
  </si>
  <si>
    <t>9763-20170724T160752.589211800.bin</t>
  </si>
  <si>
    <t>-746.885626402067 36.9787993981527 -237.60989485925</t>
  </si>
  <si>
    <t>-771.886892324458 41.6016170950843 -356.021834100186</t>
  </si>
  <si>
    <t>-781.281130732853 31.3360767654017 -476.425044684085</t>
  </si>
  <si>
    <t>-783.509248282522 15.8276217282494 -584.819543269615</t>
  </si>
  <si>
    <t>-766.595772970911 3.6700256339002 -781.280486200434</t>
  </si>
  <si>
    <t>-721.246128302458 143.338143418615 -788.945846568363</t>
  </si>
  <si>
    <t>-655.303217918788 230.02417812786 -491.753509130925</t>
  </si>
  <si>
    <t>-452.313036324576 208.659911216517 -330.568620746851</t>
  </si>
  <si>
    <t>-738.161721001011 136.208623386541 -235.216414102728</t>
  </si>
  <si>
    <t>-612.706871102711 194.182319388909 199.015967519246</t>
  </si>
  <si>
    <t>-532.131045026772 231.958599495804 660.579088971342</t>
  </si>
  <si>
    <t>-374.343607496189 247.1679129289 736.837506881554</t>
  </si>
  <si>
    <t>-729.134601166322 -34.0689526976942 214.832310224525</t>
  </si>
  <si>
    <t>-709.699511822186 16.252499881957 681.380195842118</t>
  </si>
  <si>
    <t>-579.785738826255 -60.1865302547949 772.060949353316</t>
  </si>
  <si>
    <t>9763-20170724T160752.624274300.bin</t>
  </si>
  <si>
    <t>-747.335384286588 37.2336728136456 -237.585372943789</t>
  </si>
  <si>
    <t>-772.551190855957 41.8369208210081 -355.952561334617</t>
  </si>
  <si>
    <t>-781.988548353285 31.6559255742127 -476.359628053955</t>
  </si>
  <si>
    <t>-784.18276334801 16.262951029825 -584.771203796387</t>
  </si>
  <si>
    <t>-767.092366551909 4.42072339063566 -781.231121540741</t>
  </si>
  <si>
    <t>-722.041050604314 144.193942461224 -788.711338456352</t>
  </si>
  <si>
    <t>-656.70001804938 230.347051303128 -491.231434114821</t>
  </si>
  <si>
    <t>-454.154389402796 208.655055178303 -329.531720915665</t>
  </si>
  <si>
    <t>-738.757587761426 136.513125964843 -235.189342331095</t>
  </si>
  <si>
    <t>-612.894685419038 194.252789683936 198.956176048533</t>
  </si>
  <si>
    <t>-532.176238821377 231.904665069023 660.499046714936</t>
  </si>
  <si>
    <t>-374.363952139396 247.113849898155 736.705829384013</t>
  </si>
  <si>
    <t>-729.097034205262 -33.5952964790949 214.752479273447</t>
  </si>
  <si>
    <t>-709.652822826434 16.250239602241 681.302538910889</t>
  </si>
  <si>
    <t>-579.62937420738 -59.9189386319433 772.053153061444</t>
  </si>
  <si>
    <t>9763-20170724T160752.688040200.bin</t>
  </si>
  <si>
    <t>-748.176785484299 37.8724992582027 -237.673710912141</t>
  </si>
  <si>
    <t>-773.578126903243 42.4507161002539 -356.002282450479</t>
  </si>
  <si>
    <t>-783.108878606355 32.4246876331774 -476.414878253265</t>
  </si>
  <si>
    <t>-785.348488523771 17.2391210693886 -584.854856027379</t>
  </si>
  <si>
    <t>-768.359252016226 5.95441014013727 -781.351240323689</t>
  </si>
  <si>
    <t>-723.899050741153 145.950360638332 -788.372721986063</t>
  </si>
  <si>
    <t>-658.846740354812 230.815930019998 -490.459706683218</t>
  </si>
  <si>
    <t>-456.58095105445 208.637112457757 -328.476007870165</t>
  </si>
  <si>
    <t>-739.875751370169 137.247553156723 -235.23057339273</t>
  </si>
  <si>
    <t>-613.642223932793 194.734355118996 198.840845522193</t>
  </si>
  <si>
    <t>-532.268074607544 231.927865190573 660.320013571762</t>
  </si>
  <si>
    <t>-374.426408175624 247.21255902194 736.450942146566</t>
  </si>
  <si>
    <t>-729.671631749902 -32.8404190576234 214.560838319211</t>
  </si>
  <si>
    <t>-709.663070269541 16.1664688866354 681.1987971281</t>
  </si>
  <si>
    <t>-579.417941303637 -59.5695614109129 771.993999145366</t>
  </si>
  <si>
    <t>9763-20170724T160752.753213100.bin</t>
  </si>
  <si>
    <t>-748.953049152055 38.2382419826938 -237.679828972932</t>
  </si>
  <si>
    <t>-774.408026741685 42.8482810983976 -355.995451610008</t>
  </si>
  <si>
    <t>-784.045984127246 33.0463144404407 -476.418079542404</t>
  </si>
  <si>
    <t>-786.402786227717 18.1374564810917 -584.894072855048</t>
  </si>
  <si>
    <t>-769.801297761226 7.556460487197 -781.459332246654</t>
  </si>
  <si>
    <t>-725.890053803427 147.760867677349 -787.990580891049</t>
  </si>
  <si>
    <t>-660.280351699985 231.814582279365 -489.969581469111</t>
  </si>
  <si>
    <t>-457.776585148902 209.416452831492 -328.313846166874</t>
  </si>
  <si>
    <t>-741.04573489385 137.705959103486 -235.157813110397</t>
  </si>
  <si>
    <t>-614.927872421527 195.327832409791 198.929317227572</t>
  </si>
  <si>
    <t>-532.379517799705 232.005412808121 660.204644288892</t>
  </si>
  <si>
    <t>-374.507510956241 247.384056982849 736.253389402883</t>
  </si>
  <si>
    <t>-729.85481207111 -32.5982923796194 214.45490845786</t>
  </si>
  <si>
    <t>-709.801275538439 16.0750619825219 681.143911959358</t>
  </si>
  <si>
    <t>-579.225697383043 -59.1828989324963 771.861991734511</t>
  </si>
  <si>
    <t>9763-20170724T160752.789091600.bin</t>
  </si>
  <si>
    <t>-749.18498617997 38.2891940907621 -237.734181132284</t>
  </si>
  <si>
    <t>-774.750370413696 42.9192499888666 -356.02529720088</t>
  </si>
  <si>
    <t>-784.492077296495 33.2503474495802 -476.450236242877</t>
  </si>
  <si>
    <t>-786.940175179265 18.502999111714 -584.946286883884</t>
  </si>
  <si>
    <t>-770.558298796935 8.32038717398609 -781.548541730088</t>
  </si>
  <si>
    <t>-726.949591952579 148.615618579626 -787.843446154752</t>
  </si>
  <si>
    <t>-661.260519263259 232.183967476916 -489.703408247136</t>
  </si>
  <si>
    <t>-458.570814812111 209.69658146754 -328.293298915325</t>
  </si>
  <si>
    <t>-741.538795082158 137.768674859476 -235.11303627944</t>
  </si>
  <si>
    <t>-615.740591062346 195.562704601078 199.044045386222</t>
  </si>
  <si>
    <t>-532.447011146852 232.055637930803 660.193405725341</t>
  </si>
  <si>
    <t>-374.55106516403 247.457375052099 736.187765973489</t>
  </si>
  <si>
    <t>-729.677799792595 -32.5992402756249 214.375010020914</t>
  </si>
  <si>
    <t>-709.827831027562 16.0680522332077 681.115985335844</t>
  </si>
  <si>
    <t>-579.144229668301 -59.0340128539883 771.807674580186</t>
  </si>
  <si>
    <t>9763-20170724T160752.823181600.bin</t>
  </si>
  <si>
    <t>-749.392523751277 38.275561993014 -237.721953581514</t>
  </si>
  <si>
    <t>-774.899439864343 42.9075172006785 -356.025544436013</t>
  </si>
  <si>
    <t>-784.658484903336 33.3553685607694 -476.458470374587</t>
  </si>
  <si>
    <t>-787.153551159735 18.7580124028145 -584.973646826467</t>
  </si>
  <si>
    <t>-770.991907662461 8.964160043128 -781.61202957441</t>
  </si>
  <si>
    <t>-727.704768532123 149.360798418663 -787.677758383225</t>
  </si>
  <si>
    <t>-661.755724172131 232.633491937229 -489.512462712821</t>
  </si>
  <si>
    <t>-458.988048150734 209.938500577331 -328.229155281325</t>
  </si>
  <si>
    <t>-741.94817960614 137.787437301369 -235.070904463764</t>
  </si>
  <si>
    <t>-616.561250342487 195.738542452336 199.184134223224</t>
  </si>
  <si>
    <t>-532.520369694504 232.104801209903 660.201611015622</t>
  </si>
  <si>
    <t>-374.602595947931 247.587062254994 736.134553824911</t>
  </si>
  <si>
    <t>-729.513744958356 -32.6670223552699 214.307642408145</t>
  </si>
  <si>
    <t>-709.845526677723 16.0636343000801 681.060676183197</t>
  </si>
  <si>
    <t>-579.072080428365 -58.8763510500939 771.75695287376</t>
  </si>
  <si>
    <t>9763-20170724T160752.890369600.bin</t>
  </si>
  <si>
    <t>-749.508289444585 38.2539349607277 -237.752935194931</t>
  </si>
  <si>
    <t>-775.109835108095 42.9030481386476 -356.03543332961</t>
  </si>
  <si>
    <t>-785.016335508507 33.598230578295 -476.47572031109</t>
  </si>
  <si>
    <t>-787.664101221978 19.3132064891793 -585.028740497553</t>
  </si>
  <si>
    <t>-771.941275152006 10.3198991205811 -781.735600235863</t>
  </si>
  <si>
    <t>-729.338448303898 150.957961535174 -787.306193745131</t>
  </si>
  <si>
    <t>-663.217417046915 233.719177449366 -489.03643213702</t>
  </si>
  <si>
    <t>-460.292743494406 210.868472792666 -327.972902652007</t>
  </si>
  <si>
    <t>-742.448085248441 137.885376020419 -235.019295255217</t>
  </si>
  <si>
    <t>-617.886076789264 195.961604721502 199.456331525383</t>
  </si>
  <si>
    <t>-532.65028124288 232.126676929708 660.286416340214</t>
  </si>
  <si>
    <t>-374.696774835924 247.776867088624 736.110294510345</t>
  </si>
  <si>
    <t>-729.275038174195 -32.6797360641253 214.188854550544</t>
  </si>
  <si>
    <t>-709.863999047421 16.0857338637363 680.974109894854</t>
  </si>
  <si>
    <t>-578.920878467047 -58.562566666762 771.666097844701</t>
  </si>
  <si>
    <t>9763-20170724T160752.920449300.bin</t>
  </si>
  <si>
    <t>-749.570848392038 38.2387107225197 -237.752821196184</t>
  </si>
  <si>
    <t>-775.166460573583 42.8816694748177 -356.036842592231</t>
  </si>
  <si>
    <t>-785.129542952053 33.6533699906729 -476.47824224579</t>
  </si>
  <si>
    <t>-787.852252776158 19.4714197851042 -585.043011532578</t>
  </si>
  <si>
    <t>-772.379360631319 10.7586977573308 -781.780976580142</t>
  </si>
  <si>
    <t>-730.14598122698 151.509216851097 -787.190390083186</t>
  </si>
  <si>
    <t>-664.045873030295 233.844532933968 -488.798315362379</t>
  </si>
  <si>
    <t>-461.350404550421 210.862446652787 -327.465034236399</t>
  </si>
  <si>
    <t>-742.64912162151 137.830284453871 -234.972255302565</t>
  </si>
  <si>
    <t>-618.251674181034 196.02516745956 199.534693244605</t>
  </si>
  <si>
    <t>-532.698214923277 232.11507094809 660.338461228275</t>
  </si>
  <si>
    <t>-374.736118137252 247.809801873862 736.135133484739</t>
  </si>
  <si>
    <t>-729.197547527936 -32.6919217735906 214.165612427745</t>
  </si>
  <si>
    <t>-709.877798895222 16.1299507688425 680.972000671697</t>
  </si>
  <si>
    <t>-578.867385477956 -58.4412160717593 771.630279943978</t>
  </si>
  <si>
    <t>9763-20170724T160752.992425900.bin</t>
  </si>
  <si>
    <t>-749.544359478797 38.1441485493765 -237.705009472809</t>
  </si>
  <si>
    <t>-775.257111977076 42.7791927326834 -355.963851505573</t>
  </si>
  <si>
    <t>-785.411759773617 33.7211657912426 -476.402225392381</t>
  </si>
  <si>
    <t>-788.33275011173 19.7657000558488 -584.991253295495</t>
  </si>
  <si>
    <t>-773.367975002892 11.6604540050287 -781.789827505807</t>
  </si>
  <si>
    <t>-731.619109014242 152.566196632209 -786.816257889963</t>
  </si>
  <si>
    <t>-665.732220399648 234.229177259885 -488.19224504307</t>
  </si>
  <si>
    <t>-463.437473077751 211.274895889672 -326.352761710649</t>
  </si>
  <si>
    <t>-742.808390528868 137.699506145993 -234.872228139436</t>
  </si>
  <si>
    <t>-618.423251594605 196.065712547399 199.615267836473</t>
  </si>
  <si>
    <t>-532.77482919784 232.04407238499 660.433377245969</t>
  </si>
  <si>
    <t>-374.807554480337 247.801367783331 736.206684625449</t>
  </si>
  <si>
    <t>-728.874129272409 -32.7693759600747 214.168542516883</t>
  </si>
  <si>
    <t>-709.847873607859 16.2334988736595 680.946549106531</t>
  </si>
  <si>
    <t>-578.750081773449 -58.2066134762129 771.586224079559</t>
  </si>
  <si>
    <t>9763-20170724T160753.025511700.bin</t>
  </si>
  <si>
    <t>-749.417596220304 38.0491709089001 -237.675964085993</t>
  </si>
  <si>
    <t>-775.211226798431 42.6761396139896 -355.917609883505</t>
  </si>
  <si>
    <t>-785.475497343522 33.684943814065 -476.351829876824</t>
  </si>
  <si>
    <t>-788.50516210504 19.8199914666134 -584.949411093897</t>
  </si>
  <si>
    <t>-785.543684500508 0.124823230468564 -692.644135203322</t>
  </si>
  <si>
    <t>-773.783967419643 11.9562311527702 -781.77383741009</t>
  </si>
  <si>
    <t>-732.194975805662 152.924060058242 -786.646280768332</t>
  </si>
  <si>
    <t>-666.535765159491 234.075602609286 -487.832850414329</t>
  </si>
  <si>
    <t>-464.420868016406 211.257289430065 -325.749705071274</t>
  </si>
  <si>
    <t>-742.757444831372 137.591050394438 -234.830063432497</t>
  </si>
  <si>
    <t>-618.318552183101 195.961316274348 199.641465411884</t>
  </si>
  <si>
    <t>-532.802427392478 231.977688047948 660.475556515234</t>
  </si>
  <si>
    <t>-374.843204665649 247.81430287331 736.248655972124</t>
  </si>
  <si>
    <t>-728.633245528269 -32.7920331568148 214.156585485134</t>
  </si>
  <si>
    <t>-709.795285405416 16.2996266202706 680.932727094345</t>
  </si>
  <si>
    <t>-578.702094780526 -58.131759910407 771.586228844564</t>
  </si>
  <si>
    <t>9763-20170724T160753.089688000.bin</t>
  </si>
  <si>
    <t>-749.092520025999 37.7815895295917 -237.620922034296</t>
  </si>
  <si>
    <t>-774.995843188188 42.4034252956767 -355.838694065761</t>
  </si>
  <si>
    <t>-785.446213486534 33.488220429454 -476.262401683138</t>
  </si>
  <si>
    <t>-788.67404294808 19.7235270839697 -584.866991106778</t>
  </si>
  <si>
    <t>-785.939472477196 0.15888895222497 -692.591672495489</t>
  </si>
  <si>
    <t>-774.386069675671 12.1171042730066 -781.731434232749</t>
  </si>
  <si>
    <t>-732.83587305623 153.104241996352 -786.367305912971</t>
  </si>
  <si>
    <t>-667.376148188788 233.160253234279 -487.214829978979</t>
  </si>
  <si>
    <t>-466.137688016821 210.117991592341 -324.076113089568</t>
  </si>
  <si>
    <t>-742.492324368947 137.243493940769 -234.772012550771</t>
  </si>
  <si>
    <t>-617.9215517661 195.657089389077 199.655913060911</t>
  </si>
  <si>
    <t>-532.837807631476 231.801891909254 660.553255243375</t>
  </si>
  <si>
    <t>-374.910920074553 247.805471194318 736.358909863436</t>
  </si>
  <si>
    <t>-728.208888406122 -32.8974809244753 214.162353329046</t>
  </si>
  <si>
    <t>-709.695743493098 16.4418765983187 680.914589005049</t>
  </si>
  <si>
    <t>-578.629550073301 -57.9996971522176 771.59874181991</t>
  </si>
  <si>
    <t>9763-20170724T160753.123777300.bin</t>
  </si>
  <si>
    <t>-748.891434123785 37.6153996693736 -237.616193999998</t>
  </si>
  <si>
    <t>-774.826316089355 42.22461880221 -355.827668042442</t>
  </si>
  <si>
    <t>-785.370347249314 33.2905899368666 -476.241900867347</t>
  </si>
  <si>
    <t>-788.708694055194 19.5063140847103 -584.840684314948</t>
  </si>
  <si>
    <t>-774.666409125429 11.8549850408961 -781.721592989056</t>
  </si>
  <si>
    <t>-733.065520426888 152.829540790479 -786.345488894949</t>
  </si>
  <si>
    <t>-667.65743727939 232.360627226456 -487.041551000779</t>
  </si>
  <si>
    <t>-466.763821291575 209.441368992429 -323.461388063897</t>
  </si>
  <si>
    <t>-742.29216012411 137.029715268734 -234.763524759258</t>
  </si>
  <si>
    <t>-617.667026050382 195.503923147132 199.640678481788</t>
  </si>
  <si>
    <t>-532.853964785313 231.701772961814 660.584052516096</t>
  </si>
  <si>
    <t>-374.938238156723 247.737225166419 736.406367128209</t>
  </si>
  <si>
    <t>-728.043527669269 -32.9518149676092 214.185025846178</t>
  </si>
  <si>
    <t>-709.644186073223 16.5210110406454 680.925364627313</t>
  </si>
  <si>
    <t>-578.585765497739 -57.9344530704188 771.609402688334</t>
  </si>
  <si>
    <t>9763-20170724T160753.186952200.bin</t>
  </si>
  <si>
    <t>-748.523066222375 37.1868507088614 -237.602109405502</t>
  </si>
  <si>
    <t>-774.408446773355 41.7629750023216 -355.82562371749</t>
  </si>
  <si>
    <t>-785.083468289552 32.7803238612007 -476.224684488414</t>
  </si>
  <si>
    <t>-788.613278681248 18.9492283123552 -584.811480592269</t>
  </si>
  <si>
    <t>-775.030343273838 11.1958513358434 -781.721620073486</t>
  </si>
  <si>
    <t>-733.184163879522 152.088645259837 -786.325089021608</t>
  </si>
  <si>
    <t>-667.912429312588 231.562996472104 -486.976514673034</t>
  </si>
  <si>
    <t>-467.711243149963 208.930441742581 -322.509836640983</t>
  </si>
  <si>
    <t>-741.776163997403 136.501729366407 -234.799088750781</t>
  </si>
  <si>
    <t>-617.016298418096 195.046098460158 199.557030072261</t>
  </si>
  <si>
    <t>-532.875098608343 231.499703440103 660.616473984558</t>
  </si>
  <si>
    <t>-374.98225616181 247.526510509303 736.488068467644</t>
  </si>
  <si>
    <t>-727.830577267946 -33.1395517367171 214.23708833098</t>
  </si>
  <si>
    <t>-709.540693670587 16.6726117906414 680.929395012623</t>
  </si>
  <si>
    <t>-578.520092279937 -57.845993018148 771.616196701238</t>
  </si>
  <si>
    <t>9763-20170724T160753.222046800.bin</t>
  </si>
  <si>
    <t>-748.301539293173 36.9184179124507 -237.608917402043</t>
  </si>
  <si>
    <t>-774.218259209644 41.4735999739733 -355.826549052277</t>
  </si>
  <si>
    <t>-784.988798522759 32.4600622988237 -476.214676041287</t>
  </si>
  <si>
    <t>-788.630369727308 18.5984182866455 -584.793888842129</t>
  </si>
  <si>
    <t>-775.275941721594 10.780223536392 -781.717187059055</t>
  </si>
  <si>
    <t>-733.288699255335 151.642848032669 -786.383373373397</t>
  </si>
  <si>
    <t>-668.320670682237 231.236395034905 -487.000216761852</t>
  </si>
  <si>
    <t>-468.492579650095 208.863950507189 -322.044969234186</t>
  </si>
  <si>
    <t>-741.439978349255 136.131300938266 -234.835087301273</t>
  </si>
  <si>
    <t>-616.585372933898 194.730769397038 199.486319414917</t>
  </si>
  <si>
    <t>-532.876369864673 231.387819526152 660.615301759878</t>
  </si>
  <si>
    <t>-374.998676513947 247.388043616414 736.524098890162</t>
  </si>
  <si>
    <t>-727.633390955162 -33.3061073077315 214.266275605034</t>
  </si>
  <si>
    <t>-709.466434995203 16.7522899857922 680.926993280203</t>
  </si>
  <si>
    <t>-578.50686712587 -57.8487593121311 771.634127377674</t>
  </si>
  <si>
    <t>9763-20170724T160753.290235300.bin</t>
  </si>
  <si>
    <t>-747.852345806301 36.2300014912996 -237.594734188274</t>
  </si>
  <si>
    <t>-773.818930707532 40.789246732963 -355.801070311977</t>
  </si>
  <si>
    <t>-784.798457877625 31.711201714716 -476.165536060474</t>
  </si>
  <si>
    <t>-788.692645504324 17.7672986342461 -584.725483192085</t>
  </si>
  <si>
    <t>-775.866925801995 9.7299063181888 -781.677493832603</t>
  </si>
  <si>
    <t>-733.661976355428 150.513202765067 -786.535554881981</t>
  </si>
  <si>
    <t>-669.264636889532 230.902372076995 -487.241805207311</t>
  </si>
  <si>
    <t>-470.122952346837 209.232843981471 -321.365084520575</t>
  </si>
  <si>
    <t>-740.781405069633 135.325780538082 -234.884985975523</t>
  </si>
  <si>
    <t>-615.399329949209 193.894648278211 199.288613738551</t>
  </si>
  <si>
    <t>-532.868632698987 231.120153260219 660.583956840204</t>
  </si>
  <si>
    <t>-375.026303518631 247.127676372234 736.564726205313</t>
  </si>
  <si>
    <t>-727.256866726049 -33.6889129557071 214.307426712082</t>
  </si>
  <si>
    <t>-709.30408101663 16.9272997927683 680.927944886406</t>
  </si>
  <si>
    <t>-578.470882196568 -57.8586969101398 771.665164128077</t>
  </si>
  <si>
    <t>9763-20170724T160753.325329200.bin</t>
  </si>
  <si>
    <t>-747.642976425865 35.8280110561648 -237.553016447989</t>
  </si>
  <si>
    <t>-773.639172440679 40.3726729410016 -355.753441171196</t>
  </si>
  <si>
    <t>-784.689974482587 31.2543963668597 -476.108325200024</t>
  </si>
  <si>
    <t>-788.665182781524 17.2649913120806 -584.659443218594</t>
  </si>
  <si>
    <t>-776.003050832423 9.12001726462313 -781.618261853846</t>
  </si>
  <si>
    <t>-733.726428808463 149.879911965897 -786.606424068218</t>
  </si>
  <si>
    <t>-669.520365602242 230.501955319342 -487.334279210441</t>
  </si>
  <si>
    <t>-470.615645504502 209.584043542312 -321.07725820834</t>
  </si>
  <si>
    <t>-740.516542424655 134.805056978063 -234.877374762545</t>
  </si>
  <si>
    <t>-614.654612208604 193.423194579395 199.150636618585</t>
  </si>
  <si>
    <t>-532.857016162034 230.944338554926 660.553395503938</t>
  </si>
  <si>
    <t>-375.035898730418 246.966838051094 736.574951871866</t>
  </si>
  <si>
    <t>-727.016427411582 -33.8996103198747 214.341861641494</t>
  </si>
  <si>
    <t>-709.192601386478 17.0302912676045 680.913013126862</t>
  </si>
  <si>
    <t>-578.468298729568 -57.9024001814098 771.686151731541</t>
  </si>
  <si>
    <t>9763-20170724T160753.389515400.bin</t>
  </si>
  <si>
    <t>-747.294745588195 35.0392788424333 -237.51795031781</t>
  </si>
  <si>
    <t>-773.449663940236 39.5746597937177 -355.683767567568</t>
  </si>
  <si>
    <t>-784.702895328341 30.3548590662692 -476.012238784801</t>
  </si>
  <si>
    <t>-788.875593199564 16.2410177120835 -584.539856154978</t>
  </si>
  <si>
    <t>-776.593333275252 7.7938257423973 -781.513333668841</t>
  </si>
  <si>
    <t>-734.4692379915 148.576592014617 -786.750617014633</t>
  </si>
  <si>
    <t>-670.406152867303 229.464929258136 -487.519685846272</t>
  </si>
  <si>
    <t>-472.013437657529 209.842685665783 -320.494689188228</t>
  </si>
  <si>
    <t>-740.084912002884 133.825115470263 -234.848924389237</t>
  </si>
  <si>
    <t>-613.061212933017 192.434155817099 198.841752685798</t>
  </si>
  <si>
    <t>-532.815688911144 230.518319558526 660.455862974576</t>
  </si>
  <si>
    <t>-375.038933577462 246.548982010882 736.567805889809</t>
  </si>
  <si>
    <t>-726.598026381046 -34.3664862561645 214.403089705362</t>
  </si>
  <si>
    <t>-709.00540640392 17.2313199978448 680.92524475125</t>
  </si>
  <si>
    <t>-578.412124057261 -57.9155910374363 771.70986154855</t>
  </si>
  <si>
    <t>9763-20170724T160753.422596900.bin</t>
  </si>
  <si>
    <t>-747.093682696132 34.7595129963877 -237.493832201488</t>
  </si>
  <si>
    <t>-773.252590105985 39.2516892695171 -355.660532421871</t>
  </si>
  <si>
    <t>-784.539325446485 29.9273877693438 -475.977706601705</t>
  </si>
  <si>
    <t>-788.753769129342 15.6971266832879 -584.488438547887</t>
  </si>
  <si>
    <t>-776.584411843125 6.98899438805984 -781.46039787816</t>
  </si>
  <si>
    <t>-734.584007850651 147.818166174879 -786.866156532947</t>
  </si>
  <si>
    <t>-670.519133047623 228.8275815516 -487.668300249846</t>
  </si>
  <si>
    <t>-472.285500146464 209.790338813968 -320.386892908188</t>
  </si>
  <si>
    <t>-739.884223271001 133.501741347494 -234.868935653397</t>
  </si>
  <si>
    <t>-612.292621729677 192.02340385299 198.666821146052</t>
  </si>
  <si>
    <t>-532.800674107798 230.346906480449 660.394064335625</t>
  </si>
  <si>
    <t>-375.052713878667 246.458845647707 736.548632680362</t>
  </si>
  <si>
    <t>-726.37237678346 -34.5311314184082 214.448280036074</t>
  </si>
  <si>
    <t>-708.901715176458 17.3621945598343 680.946696251615</t>
  </si>
  <si>
    <t>-578.40447005819 -57.9687358025697 771.716927992696</t>
  </si>
  <si>
    <t>9763-20170724T160753.487319100.bin</t>
  </si>
  <si>
    <t>-746.400366376542 34.3929522909891 -237.569345148024</t>
  </si>
  <si>
    <t>-772.681233206372 38.7548252872161 -355.713818893294</t>
  </si>
  <si>
    <t>-784.094721781531 29.2656765329075 -476.006167440489</t>
  </si>
  <si>
    <t>-788.422366371046 14.8767889366818 -584.491477356458</t>
  </si>
  <si>
    <t>-776.488215700118 5.86752341509805 -781.46594946973</t>
  </si>
  <si>
    <t>-734.62529405831 146.704890417904 -787.189784654478</t>
  </si>
  <si>
    <t>-670.666494747534 227.844148172222 -488.004464953648</t>
  </si>
  <si>
    <t>-472.537577659312 209.803995349634 -320.48862548661</t>
  </si>
  <si>
    <t>-739.251492951505 132.978243126988 -235.011809079315</t>
  </si>
  <si>
    <t>-611.013934314903 191.477696127092 198.336302000219</t>
  </si>
  <si>
    <t>-532.801604464257 230.099908252195 660.244880181171</t>
  </si>
  <si>
    <t>-375.086036829441 246.267035257954 736.454722483518</t>
  </si>
  <si>
    <t>-725.708614093961 -34.7024681025769 214.524387261168</t>
  </si>
  <si>
    <t>-708.708991358942 17.6492628688006 681.007683084344</t>
  </si>
  <si>
    <t>-578.329497310991 -57.9666293793141 771.710171404139</t>
  </si>
  <si>
    <t>9763-20170724T160753.521407400.bin</t>
  </si>
  <si>
    <t>-746.060423758128 34.3178203827199 -237.621908493382</t>
  </si>
  <si>
    <t>-772.410940397062 38.58761692178 -355.754125480379</t>
  </si>
  <si>
    <t>-783.927008851824 28.9936238092516 -476.028356396662</t>
  </si>
  <si>
    <t>-788.359336030853 14.5071700476469 -584.49650815268</t>
  </si>
  <si>
    <t>-776.65835666875 5.3168158217693 -781.477472168494</t>
  </si>
  <si>
    <t>-734.844235897807 146.187294918211 -787.412639142187</t>
  </si>
  <si>
    <t>-670.765208132398 227.30745408524 -488.247915282848</t>
  </si>
  <si>
    <t>-472.783049356743 209.555484268269 -320.527863284416</t>
  </si>
  <si>
    <t>-738.926893764402 132.888941552735 -235.143152489974</t>
  </si>
  <si>
    <t>-610.565858122128 191.312935379623 198.178599705247</t>
  </si>
  <si>
    <t>-532.838367275724 230.041693307503 660.159982029196</t>
  </si>
  <si>
    <t>-375.113969305922 246.198660610889 736.353593885746</t>
  </si>
  <si>
    <t>-725.354351006061 -34.717477663414 214.551350636985</t>
  </si>
  <si>
    <t>-708.632611460977 17.7657591586658 681.024231585461</t>
  </si>
  <si>
    <t>-578.286885392743 -57.9365398307357 771.703150366265</t>
  </si>
  <si>
    <t>9763-20170724T160753.591615600.bin</t>
  </si>
  <si>
    <t>-745.456611633968 34.1355410053786 -237.701358459587</t>
  </si>
  <si>
    <t>-771.887204463493 38.267078764703 -355.820682220434</t>
  </si>
  <si>
    <t>-783.574981716486 28.4572889000326 -476.061041616505</t>
  </si>
  <si>
    <t>-788.201459972788 13.7463255161497 -584.490903890623</t>
  </si>
  <si>
    <t>-776.958165747701 4.07407389780656 -781.480398879043</t>
  </si>
  <si>
    <t>-735.144940080758 144.907824579553 -787.882958336166</t>
  </si>
  <si>
    <t>-670.904651820681 225.813920604479 -488.694818238673</t>
  </si>
  <si>
    <t>-473.464852971922 208.330848437127 -320.308587843453</t>
  </si>
  <si>
    <t>-738.47579899567 132.636335714359 -235.318364754435</t>
  </si>
  <si>
    <t>-609.737240213657 191.157200027943 197.878234524686</t>
  </si>
  <si>
    <t>-532.965151067466 229.90103705134 659.976265841432</t>
  </si>
  <si>
    <t>-375.177838615808 246.082381730248 736.034208376021</t>
  </si>
  <si>
    <t>-724.876302423818 -34.7394102849298 214.564077702383</t>
  </si>
  <si>
    <t>-708.538502563576 17.9048810853058 681.041250059008</t>
  </si>
  <si>
    <t>-578.235280390288 -57.8959844235683 771.698904302267</t>
  </si>
  <si>
    <t>9763-20170724T160753.624715500.bin</t>
  </si>
  <si>
    <t>-745.205936554087 34.1090509573651 -237.724254907928</t>
  </si>
  <si>
    <t>-771.61217789237 38.1747703561305 -355.851253298818</t>
  </si>
  <si>
    <t>-783.376953927827 28.254760057202 -476.074990775995</t>
  </si>
  <si>
    <t>-788.115245657678 13.4283288031922 -584.484320713795</t>
  </si>
  <si>
    <t>-777.182107690474 3.50866746948714 -781.482107575574</t>
  </si>
  <si>
    <t>-735.346823617648 144.327872018783 -788.168542993629</t>
  </si>
  <si>
    <t>-671.090462199669 225.335578086831 -489.011424542826</t>
  </si>
  <si>
    <t>-474.207170602136 207.614407317293 -319.999415496532</t>
  </si>
  <si>
    <t>-738.261974364156 132.60468505446 -235.406069762995</t>
  </si>
  <si>
    <t>-609.285264856241 191.166057681754 197.714385948232</t>
  </si>
  <si>
    <t>-533.017821756894 229.889432261351 659.901041274466</t>
  </si>
  <si>
    <t>-375.252470004747 246.39040843031 735.936076164328</t>
  </si>
  <si>
    <t>-724.661524159556 -34.7869564168857 214.571906537885</t>
  </si>
  <si>
    <t>-708.489234884447 17.9645836484474 681.045890647077</t>
  </si>
  <si>
    <t>-578.198156150732 -57.8656842507469 771.696399670506</t>
  </si>
  <si>
    <t>9763-20170724T160753.690907700.bin</t>
  </si>
  <si>
    <t>-744.348126791274 34.4073802704991 -237.920347290541</t>
  </si>
  <si>
    <t>-770.842182864778 38.3640756927839 -356.031474664943</t>
  </si>
  <si>
    <t>-782.825240714226 28.2823746350077 -476.220178823849</t>
  </si>
  <si>
    <t>-787.812643621839 13.2928768914433 -584.59580822755</t>
  </si>
  <si>
    <t>-777.503331412164 3.04552983946223 -781.61523580774</t>
  </si>
  <si>
    <t>-735.752390525298 143.858002973013 -788.78264148883</t>
  </si>
  <si>
    <t>-671.523799568436 225.057771213545 -489.671393830463</t>
  </si>
  <si>
    <t>-475.431746974182 207.192277279376 -319.757428565602</t>
  </si>
  <si>
    <t>-737.47627779169 133.149115848623 -235.690566117542</t>
  </si>
  <si>
    <t>-608.31612688614 191.614660768861 197.388065084194</t>
  </si>
  <si>
    <t>-533.162236995523 230.259099841845 659.775867026334</t>
  </si>
  <si>
    <t>-375.529663148382 248.308462467659 735.734424936941</t>
  </si>
  <si>
    <t>-723.901152385457 -34.6334808171382 214.494001024035</t>
  </si>
  <si>
    <t>-708.378549211978 18.0812112108824 681.005652423753</t>
  </si>
  <si>
    <t>-578.183050700985 -57.8899323373378 771.675561274357</t>
  </si>
  <si>
    <t>9763-20170724T160753.722986400.bin</t>
  </si>
  <si>
    <t>-743.755440912453 34.7272869861688 -238.009468687715</t>
  </si>
  <si>
    <t>-770.216207289478 38.5995725742771 -356.130817141817</t>
  </si>
  <si>
    <t>-782.247473074487 28.4311149164216 -476.307410557152</t>
  </si>
  <si>
    <t>-787.31063729457 13.3654040763349 -584.669124193751</t>
  </si>
  <si>
    <t>-777.253406993816 2.99345200001494 -781.696494871434</t>
  </si>
  <si>
    <t>-735.629107066034 143.830131595664 -789.04101663305</t>
  </si>
  <si>
    <t>-671.377900216044 225.288145760731 -490.004918488316</t>
  </si>
  <si>
    <t>-475.289588941358 207.802763311096 -320.047075229412</t>
  </si>
  <si>
    <t>-736.958400795698 133.556843292603 -235.857046802894</t>
  </si>
  <si>
    <t>-607.891275746973 191.979487308301 197.255144646147</t>
  </si>
  <si>
    <t>-533.230123948502 230.504969319629 659.728221185857</t>
  </si>
  <si>
    <t>-375.710223452367 249.656289230288 735.650627045393</t>
  </si>
  <si>
    <t>-723.453750576577 -34.5191177982113 214.465740259003</t>
  </si>
  <si>
    <t>-708.31016310725 18.1687227031875 681.001401402769</t>
  </si>
  <si>
    <t>-578.154800035293 -57.8694275438195 771.672771565854</t>
  </si>
  <si>
    <t>9763-20170724T160753.801750500.bin</t>
  </si>
  <si>
    <t>-742.268216605186 35.3789037432807 -238.153828799378</t>
  </si>
  <si>
    <t>-768.792992063795 39.1167057090374 -356.265136872723</t>
  </si>
  <si>
    <t>-781.013699755621 28.8061966366604 -476.410505589369</t>
  </si>
  <si>
    <t>-786.296997672192 13.6135804221517 -584.743835081936</t>
  </si>
  <si>
    <t>-776.82788394748 3.02839010008302 -781.792123095434</t>
  </si>
  <si>
    <t>-735.502715009785 143.939328040892 -789.468035454178</t>
  </si>
  <si>
    <t>-671.118303073199 225.773502419361 -490.563435182063</t>
  </si>
  <si>
    <t>-475.331565166874 209.369671086315 -320.150571064429</t>
  </si>
  <si>
    <t>-735.718438922425 134.338435167968 -236.112500757248</t>
  </si>
  <si>
    <t>-606.943202604086 192.661526945592 197.099924188233</t>
  </si>
  <si>
    <t>-533.282624180983 230.895725596368 659.715514660139</t>
  </si>
  <si>
    <t>-375.971841022654 251.758705882155 735.620322282614</t>
  </si>
  <si>
    <t>-722.036609346025 -34.138237786944 214.474978616023</t>
  </si>
  <si>
    <t>-707.995242162036 18.6552902870797 681.099127172733</t>
  </si>
  <si>
    <t>-578.033145863931 -57.8632779243053 771.64345131261</t>
  </si>
  <si>
    <t>9763-20170724T160753.823809600.bin</t>
  </si>
  <si>
    <t>-741.468393940229 35.6103142972395 -238.140996987502</t>
  </si>
  <si>
    <t>-767.964790638559 39.2760215031976 -356.260822461014</t>
  </si>
  <si>
    <t>-780.233325196451 28.8942985285551 -476.395206268098</t>
  </si>
  <si>
    <t>-785.589635454293 13.6407411819575 -584.716555045682</t>
  </si>
  <si>
    <t>-776.375019641702 2.96460244206878 -781.773645548708</t>
  </si>
  <si>
    <t>-735.274068640074 143.936277683755 -789.596054538355</t>
  </si>
  <si>
    <t>-670.65252041418 226.340037754206 -490.899116238554</t>
  </si>
  <si>
    <t>-475.146190393167 210.460928347439 -320.115144885536</t>
  </si>
  <si>
    <t>-735.125126495606 134.471481354904 -236.143261569304</t>
  </si>
  <si>
    <t>-606.448442102068 192.884694822977 197.08635159666</t>
  </si>
  <si>
    <t>-533.276256131669 230.90257385392 659.758384730224</t>
  </si>
  <si>
    <t>-376.019959429852 252.136741143748 735.67324702165</t>
  </si>
  <si>
    <t>-721.418847618918 -33.8724468741318 214.554301186232</t>
  </si>
  <si>
    <t>-707.803971284507 19.0451978862279 681.208489239277</t>
  </si>
  <si>
    <t>-577.942678066776 -57.8340172454973 771.591781992787</t>
  </si>
  <si>
    <t>9763-20170724T160753.891533600.bin</t>
  </si>
  <si>
    <t>-739.800624936049 35.9569787685009 -238.115366858661</t>
  </si>
  <si>
    <t>-766.293002680518 39.4897726085824 -356.240274193547</t>
  </si>
  <si>
    <t>-778.705237982736 28.9879592418019 -476.349355344466</t>
  </si>
  <si>
    <t>-784.246918369743 13.6381885583678 -584.647582854865</t>
  </si>
  <si>
    <t>-775.581879414887 2.83971091460535 -781.725002261057</t>
  </si>
  <si>
    <t>-734.931699875075 143.922918426158 -789.854375382557</t>
  </si>
  <si>
    <t>-670.64720805183 227.147732212547 -491.312320619896</t>
  </si>
  <si>
    <t>-475.566952697871 212.123136476068 -319.964713162819</t>
  </si>
  <si>
    <t>-733.635613253922 134.598801356969 -236.204464983421</t>
  </si>
  <si>
    <t>-605.167699218742 193.060630848966 197.080434228404</t>
  </si>
  <si>
    <t>-533.211273499705 230.786860891097 659.91367368617</t>
  </si>
  <si>
    <t>-376.039913706623 252.32262870711 735.919133182414</t>
  </si>
  <si>
    <t>-720.379212713475 -33.4403831395821 214.762906940158</t>
  </si>
  <si>
    <t>-707.507847340778 19.7093190790063 681.432507555586</t>
  </si>
  <si>
    <t>-577.830932179652 -57.8667580018493 771.484454150952</t>
  </si>
  <si>
    <t>9763-20170724T160753.922617200.bin</t>
  </si>
  <si>
    <t>-739.045395725685 36.0663790215685 -238.053157815006</t>
  </si>
  <si>
    <t>-765.535461221484 39.5468226117964 -356.180044670632</t>
  </si>
  <si>
    <t>-778.026170304275 29.0129249573413 -476.278391816529</t>
  </si>
  <si>
    <t>-783.668369334813 13.6464568935608 -584.569033901716</t>
  </si>
  <si>
    <t>-775.29548701674 2.85926317592066 -781.659856697759</t>
  </si>
  <si>
    <t>-734.874112640287 144.0098603214 -789.877203784063</t>
  </si>
  <si>
    <t>-670.961285872511 227.527155360003 -491.337121829937</t>
  </si>
  <si>
    <t>-475.805160094098 213.257959124854 -320.011095166519</t>
  </si>
  <si>
    <t>-732.928790450486 134.616631577178 -236.187384808722</t>
  </si>
  <si>
    <t>-604.408006767498 193.06648704635 197.083496840666</t>
  </si>
  <si>
    <t>-533.161197187919 230.680608731541 660.016057924737</t>
  </si>
  <si>
    <t>-376.03610777982 252.333397047069 736.084281330842</t>
  </si>
  <si>
    <t>-719.893481421281 -33.2686446662451 214.881761377994</t>
  </si>
  <si>
    <t>-707.418683803946 19.9650428640091 681.524956629539</t>
  </si>
  <si>
    <t>-577.802909049244 -57.8434891758463 771.464339191942</t>
  </si>
  <si>
    <t>9763-20170724T160753.991634300.bin</t>
  </si>
  <si>
    <t>-737.467192412224 36.0016065046666 -237.971834911054</t>
  </si>
  <si>
    <t>-763.93255679152 39.4754320147179 -356.104432750496</t>
  </si>
  <si>
    <t>-776.537479559318 28.9267146448842 -476.189507980596</t>
  </si>
  <si>
    <t>-782.336354323621 13.548409414655 -584.470232296552</t>
  </si>
  <si>
    <t>-774.397025049468 2.75343163300113 -781.580048554111</t>
  </si>
  <si>
    <t>-734.234736629347 143.968328356831 -789.901219265278</t>
  </si>
  <si>
    <t>-671.136990311263 228.465510125367 -491.463486090867</t>
  </si>
  <si>
    <t>-475.894091661538 215.995205189313 -320.096069413942</t>
  </si>
  <si>
    <t>-731.359227152487 134.42178803664 -236.133679785524</t>
  </si>
  <si>
    <t>-602.893514579845 192.978431543717 197.139207238863</t>
  </si>
  <si>
    <t>-533.004408023407 230.414414983432 660.235804882826</t>
  </si>
  <si>
    <t>-375.975086458181 252.045593717894 736.507863113368</t>
  </si>
  <si>
    <t>-718.629108758791 -33.3157821771601 214.985715728093</t>
  </si>
  <si>
    <t>-707.266970708234 20.2449388634086 681.59992241278</t>
  </si>
  <si>
    <t>-577.809919254364 -57.8569600199028 771.513634645114</t>
  </si>
  <si>
    <t>9763-20170724T160754.019710400.bin</t>
  </si>
  <si>
    <t>-736.626295465628 35.9347568555659 -237.904773407889</t>
  </si>
  <si>
    <t>-763.050170906005 39.4239059711313 -356.046281563927</t>
  </si>
  <si>
    <t>-775.661495907136 28.8781846153036 -476.130717498802</t>
  </si>
  <si>
    <t>-781.486615799772 13.4975425146838 -584.409734609807</t>
  </si>
  <si>
    <t>-773.613434267151 2.68178403348361 -781.521619444957</t>
  </si>
  <si>
    <t>-733.1306938446 143.800670062572 -789.7778462905</t>
  </si>
  <si>
    <t>-670.760103080826 229.585464899239 -491.554579031462</t>
  </si>
  <si>
    <t>-475.487330568859 218.077353825604 -320.15402598922</t>
  </si>
  <si>
    <t>-730.47072980771 134.299181939833 -236.112249630327</t>
  </si>
  <si>
    <t>-602.257653314264 192.956852902737 197.221735980986</t>
  </si>
  <si>
    <t>-532.90485902922 230.32378520724 660.379109723317</t>
  </si>
  <si>
    <t>-375.940977879751 251.956789840867 736.784819684562</t>
  </si>
  <si>
    <t>-717.880077949006 -33.3971570707924 215.03379943122</t>
  </si>
  <si>
    <t>-707.163846422077 20.4257523469812 681.659035849097</t>
  </si>
  <si>
    <t>-577.831599042002 -57.890658912451 771.565774945775</t>
  </si>
  <si>
    <t>9763-20170724T160754.092628500.bin</t>
  </si>
  <si>
    <t>-734.813580860957 35.6826924975551 -237.914065687852</t>
  </si>
  <si>
    <t>-761.25700436123 39.2080572825703 -356.050032376142</t>
  </si>
  <si>
    <t>-773.958173449516 28.692070685971 -476.127900667589</t>
  </si>
  <si>
    <t>-779.893314264909 13.3355170068858 -584.404394513318</t>
  </si>
  <si>
    <t>-772.18895781825 2.53916927846672 -781.522705613225</t>
  </si>
  <si>
    <t>-730.955734634926 143.461616558227 -789.829073255707</t>
  </si>
  <si>
    <t>-671.279263171563 232.000920468861 -491.859804918302</t>
  </si>
  <si>
    <t>-476.621771688956 221.388700301387 -319.703077369163</t>
  </si>
  <si>
    <t>-728.491989211585 133.966526770573 -236.135761268961</t>
  </si>
  <si>
    <t>-601.130565227093 192.841923218498 197.419746241894</t>
  </si>
  <si>
    <t>-532.731418918198 230.201807264057 660.706320900861</t>
  </si>
  <si>
    <t>-375.90624202567 251.940500013798 737.366891726025</t>
  </si>
  <si>
    <t>-716.543419669364 -33.5400876545302 215.122110546321</t>
  </si>
  <si>
    <t>-707.016428064286 20.7577228168868 681.756362139902</t>
  </si>
  <si>
    <t>-577.976163199155 -58.0276106015738 771.672941681131</t>
  </si>
  <si>
    <t>9763-20170724T160754.124713200.bin</t>
  </si>
  <si>
    <t>-734.019231306391 35.6192014863097 -237.92780979632</t>
  </si>
  <si>
    <t>-760.353232888068 39.1526156324971 -356.087956351551</t>
  </si>
  <si>
    <t>-773.057050250641 28.6249103782679 -476.164346397015</t>
  </si>
  <si>
    <t>-779.038932526626 13.2532157284577 -584.43614937026</t>
  </si>
  <si>
    <t>-771.476726424362 2.41449254666713 -781.55811121805</t>
  </si>
  <si>
    <t>-730.097218585332 143.264963035524 -789.87724124597</t>
  </si>
  <si>
    <t>-671.942474594938 233.710284858574 -492.179536579937</t>
  </si>
  <si>
    <t>-477.888803403091 222.861186366441 -319.357408594087</t>
  </si>
  <si>
    <t>-727.48279117271 133.861877578958 -236.190707403156</t>
  </si>
  <si>
    <t>-600.647858580891 192.678994648875 197.527144072027</t>
  </si>
  <si>
    <t>-532.669812997385 230.092198187304 660.836707335973</t>
  </si>
  <si>
    <t>-375.89267382138 251.876081666647 737.582536510242</t>
  </si>
  <si>
    <t>-716.179559551959 -33.5511363767323 215.173566841754</t>
  </si>
  <si>
    <t>-706.992928003905 20.918082192911 681.838115251285</t>
  </si>
  <si>
    <t>-578.067292880741 -58.1068374071442 771.708865003888</t>
  </si>
  <si>
    <t>9763-20170724T160754.189430100.bin</t>
  </si>
  <si>
    <t>-732.594036125313 35.617059441231 -237.896062523418</t>
  </si>
  <si>
    <t>-758.720367719667 39.2575633207466 -356.099068792301</t>
  </si>
  <si>
    <t>-771.425622227289 28.7923864253669 -476.180844872626</t>
  </si>
  <si>
    <t>-777.48801626048 13.4679546878219 -584.4547759734</t>
  </si>
  <si>
    <t>-770.181657852206 2.6970748786182 -781.590713596662</t>
  </si>
  <si>
    <t>-728.24036785468 143.400366946585 -789.939198482024</t>
  </si>
  <si>
    <t>-674.36473722488 236.751046008416 -492.333339885363</t>
  </si>
  <si>
    <t>-481.538131915878 225.756094038607 -318.152060199322</t>
  </si>
  <si>
    <t>-725.674211857588 133.734100039539 -236.2358782142</t>
  </si>
  <si>
    <t>-599.835676310601 192.554104647648 197.771650340376</t>
  </si>
  <si>
    <t>-532.550216138628 230.004704065667 661.071825515648</t>
  </si>
  <si>
    <t>-375.82475294189 251.565177234929 737.985681811457</t>
  </si>
  <si>
    <t>-715.741293167944 -33.512313134622 215.28370137593</t>
  </si>
  <si>
    <t>-706.928932847343 21.1833080586066 681.91745115105</t>
  </si>
  <si>
    <t>-578.171619486942 -58.2121506348151 771.702889973553</t>
  </si>
  <si>
    <t>9763-20170724T160754.225531800.bin</t>
  </si>
  <si>
    <t>-731.959633816551 35.596332434169 -237.93324112775</t>
  </si>
  <si>
    <t>-758.035512207998 39.2646511060771 -356.146631152374</t>
  </si>
  <si>
    <t>-770.756905578613 28.8529315705716 -476.231225392614</t>
  </si>
  <si>
    <t>-776.857846136895 13.5901284393922 -584.511789673925</t>
  </si>
  <si>
    <t>-769.656171618207 2.96684031031555 -781.657935638482</t>
  </si>
  <si>
    <t>-727.583893621954 143.626385171186 -789.86172385756</t>
  </si>
  <si>
    <t>-676.109460317 238.135934979666 -492.196586631473</t>
  </si>
  <si>
    <t>-483.864797898229 227.087699832025 -317.376778987023</t>
  </si>
  <si>
    <t>-724.850930518569 133.700962461649 -236.304584159918</t>
  </si>
  <si>
    <t>-599.506813509342 192.493954653109 197.849597887473</t>
  </si>
  <si>
    <t>-532.487431031368 229.920238794893 661.220365193442</t>
  </si>
  <si>
    <t>-375.783008197036 251.447136145518 738.186744985554</t>
  </si>
  <si>
    <t>-715.501558360874 -33.528256603757 215.292941206223</t>
  </si>
  <si>
    <t>-706.913091148692 21.2631602786109 681.925417632035</t>
  </si>
  <si>
    <t>-578.195014992893 -58.2068642236998 771.701142430705</t>
  </si>
  <si>
    <t>9763-20170724T160754.292232500.bin</t>
  </si>
  <si>
    <t>-730.69548681878 35.6262220465408 -238.071000909375</t>
  </si>
  <si>
    <t>-756.757457702573 39.234898706432 -356.289163418167</t>
  </si>
  <si>
    <t>-769.443853249463 28.935541627078 -476.387375896112</t>
  </si>
  <si>
    <t>-775.497423622173 13.8468102077816 -584.69486004297</t>
  </si>
  <si>
    <t>-768.180324069443 3.73117614179182 -781.854988576765</t>
  </si>
  <si>
    <t>-726.422932920593 144.518731100448 -789.722231560255</t>
  </si>
  <si>
    <t>-679.361254840018 240.033270683559 -491.647885254935</t>
  </si>
  <si>
    <t>-487.95911680554 228.928079067683 -315.909601167456</t>
  </si>
  <si>
    <t>-723.33250419088 133.612773176144 -236.495936086606</t>
  </si>
  <si>
    <t>-599.047749896945 192.414393742545 197.961529189802</t>
  </si>
  <si>
    <t>-532.415697751273 229.791007098522 661.460358739686</t>
  </si>
  <si>
    <t>-375.739962895507 251.234807940853 738.508458014483</t>
  </si>
  <si>
    <t>-714.986836667791 -33.5096920922986 215.236870556829</t>
  </si>
  <si>
    <t>-706.824797976884 21.30415509869 681.850840783383</t>
  </si>
  <si>
    <t>-578.139801681161 -58.1306708237785 771.705134504315</t>
  </si>
  <si>
    <t>9763-20170724T160754.325320000.bin</t>
  </si>
  <si>
    <t>-730.078239639213 35.6703499418304 -238.208252242116</t>
  </si>
  <si>
    <t>-756.307976979335 39.1909978084971 -356.392012467717</t>
  </si>
  <si>
    <t>-769.041496443736 28.9369785697115 -476.488952028937</t>
  </si>
  <si>
    <t>-775.085347809664 13.9414526029861 -584.810047437007</t>
  </si>
  <si>
    <t>-767.640209909765 4.1262336807124 -781.973553244459</t>
  </si>
  <si>
    <t>-726.167951998119 145.009225480293 -789.541149819871</t>
  </si>
  <si>
    <t>-680.938845847795 240.427620276669 -491.152394050044</t>
  </si>
  <si>
    <t>-489.699327982509 229.775157723845 -315.209205951454</t>
  </si>
  <si>
    <t>-722.653549972699 133.661772695091 -236.670406354763</t>
  </si>
  <si>
    <t>-598.789224334494 192.35829016973 197.921426180147</t>
  </si>
  <si>
    <t>-532.389535868182 229.8068740364 661.522629615947</t>
  </si>
  <si>
    <t>-375.725954271637 251.185100252298 738.6133490671</t>
  </si>
  <si>
    <t>-714.690709802219 -33.5270016003039 215.18491539476</t>
  </si>
  <si>
    <t>-706.819622115373 21.2282931481925 681.781616266051</t>
  </si>
  <si>
    <t>-578.046732824108 -57.9920651877205 771.699281501457</t>
  </si>
  <si>
    <t>9763-20170724T160754.404504800.bin</t>
  </si>
  <si>
    <t>-728.884523412439 35.6101185391506 -238.339151684374</t>
  </si>
  <si>
    <t>-755.075360163512 39.0015892586557 -356.535290708268</t>
  </si>
  <si>
    <t>-767.695628578495 28.9215259172647 -476.659005725247</t>
  </si>
  <si>
    <t>-773.602981156915 14.2035530512389 -585.025612784974</t>
  </si>
  <si>
    <t>-765.853477856009 5.1938043385112 -782.202556178802</t>
  </si>
  <si>
    <t>-724.70155268138 146.182993076223 -788.978004263664</t>
  </si>
  <si>
    <t>-681.343994908006 240.931427379284 -490.098434220881</t>
  </si>
  <si>
    <t>-491.631026535799 231.976610067425 -312.416439464371</t>
  </si>
  <si>
    <t>-721.427300097176 133.539096804601 -236.850157202691</t>
  </si>
  <si>
    <t>-597.756957514258 192.249161931486 197.795040417937</t>
  </si>
  <si>
    <t>-532.351812476872 229.801697607655 661.598297420493</t>
  </si>
  <si>
    <t>-375.68955542416 251.066950443895 738.723118551417</t>
  </si>
  <si>
    <t>-714.020987423368 -33.6285201399912 215.094104303454</t>
  </si>
  <si>
    <t>-706.758340961429 21.1502511096871 681.702817643772</t>
  </si>
  <si>
    <t>-577.959463063809 -57.9492814285518 771.689637936447</t>
  </si>
  <si>
    <t>9763-20170724T160754.425561700.bin</t>
  </si>
  <si>
    <t>-728.054823011288 35.4539789662217 -238.359933239747</t>
  </si>
  <si>
    <t>-754.189548359636 38.8270003680245 -356.569067575526</t>
  </si>
  <si>
    <t>-766.746570693504 28.8564365809668 -476.708539816179</t>
  </si>
  <si>
    <t>-772.591185513382 14.289350791362 -585.098983205471</t>
  </si>
  <si>
    <t>-764.702836538117 5.68371360531296 -782.282212965231</t>
  </si>
  <si>
    <t>-723.194688350996 146.608699792737 -788.510050961691</t>
  </si>
  <si>
    <t>-680.30661693629 242.493425051631 -489.925275559634</t>
  </si>
  <si>
    <t>-492.468404945113 234.037074662942 -310.23834119389</t>
  </si>
  <si>
    <t>-720.476434101853 133.266885278616 -236.874171729189</t>
  </si>
  <si>
    <t>-596.862490763936 192.145518705042 197.764299703315</t>
  </si>
  <si>
    <t>-532.418695940758 229.826150872307 661.733566270439</t>
  </si>
  <si>
    <t>-375.694416278777 251.00339085599 738.756622405456</t>
  </si>
  <si>
    <t>-713.605306457923 -33.785826301877 215.108039074179</t>
  </si>
  <si>
    <t>-706.708675795858 21.137538755615 681.675566513923</t>
  </si>
  <si>
    <t>-577.95526367961 -57.9981652182898 771.695608079595</t>
  </si>
  <si>
    <t>9763-20170724T160754.494321100.bin</t>
  </si>
  <si>
    <t>-727.159174407117 35.2008729354552 -238.350717639699</t>
  </si>
  <si>
    <t>-753.244888793463 38.5963961676046 -356.570055634622</t>
  </si>
  <si>
    <t>-765.728459518474 28.7505683601407 -476.727479834047</t>
  </si>
  <si>
    <t>-771.494012446556 14.337716478901 -585.142656024448</t>
  </si>
  <si>
    <t>-763.393508196185 6.11291115185736 -782.327567678669</t>
  </si>
  <si>
    <t>-721.612386052753 147.022117814617 -788.28635234985</t>
  </si>
  <si>
    <t>-680.122453052034 243.37524470049 -489.654627112816</t>
  </si>
  <si>
    <t>-493.278772990306 235.94456692045 -308.888895126812</t>
  </si>
  <si>
    <t>-719.387269948959 132.955030508382 -236.892643007814</t>
  </si>
  <si>
    <t>-595.739671219126 191.964874424066 197.718357045328</t>
  </si>
  <si>
    <t>-532.427827188381 229.851789984372 661.784376973946</t>
  </si>
  <si>
    <t>-375.672181623551 250.915089334877 738.774717016234</t>
  </si>
  <si>
    <t>-713.114269080588 -33.9858100702097 215.141153356637</t>
  </si>
  <si>
    <t>-706.650825621242 21.1781128725374 681.69179811426</t>
  </si>
  <si>
    <t>-577.961411175308 -58.056559489082 771.716310591182</t>
  </si>
  <si>
    <t>9763-20170724T160754.522394700.bin</t>
  </si>
  <si>
    <t>-725.296357844353 34.4688683134345 -238.325730154976</t>
  </si>
  <si>
    <t>-751.298912753417 38.0039811588363 -356.5593234139</t>
  </si>
  <si>
    <t>-763.553444706522 28.4481018542749 -476.763596179663</t>
  </si>
  <si>
    <t>-769.045724607555 14.359341045357 -585.235697499372</t>
  </si>
  <si>
    <t>-760.185797695893 6.87079937159456 -782.405250315897</t>
  </si>
  <si>
    <t>-718.300205191218 147.732415928222 -787.667891794149</t>
  </si>
  <si>
    <t>-680.437151759292 246.118355539305 -489.21722862741</t>
  </si>
  <si>
    <t>-495.533056298525 239.224534974179 -306.446939501424</t>
  </si>
  <si>
    <t>-717.029817603065 132.03219683495 -236.937339366458</t>
  </si>
  <si>
    <t>-592.866287198514 191.295826695251 197.492067947659</t>
  </si>
  <si>
    <t>-532.271843213062 229.651668731257 661.71238174846</t>
  </si>
  <si>
    <t>-375.590561996498 250.683153566001 738.862725537352</t>
  </si>
  <si>
    <t>-712.198080777239 -34.4553897850046 215.254818946316</t>
  </si>
  <si>
    <t>-706.581443772425 21.387961972003 681.796260438475</t>
  </si>
  <si>
    <t>-578.075112042461 -58.2247414251183 771.748741505634</t>
  </si>
  <si>
    <t>9763-20170724T160754.593489100.bin</t>
  </si>
  <si>
    <t>-723.172288586813 33.754025907223 -238.268137954673</t>
  </si>
  <si>
    <t>-748.946396156801 37.4771880900623 -356.545949349214</t>
  </si>
  <si>
    <t>-760.918722888661 28.2386151580995 -476.803383930716</t>
  </si>
  <si>
    <t>-766.124105247197 14.4955903286036 -585.334025759802</t>
  </si>
  <si>
    <t>-756.600763978824 7.79395062468961 -782.490744047562</t>
  </si>
  <si>
    <t>-714.619810205787 148.667307817465 -786.953785360859</t>
  </si>
  <si>
    <t>-679.982006609704 248.880539610499 -488.719469942081</t>
  </si>
  <si>
    <t>-496.70853366596 241.876462800556 -304.318261521509</t>
  </si>
  <si>
    <t>-714.280428906601 131.12381443437 -236.994373203881</t>
  </si>
  <si>
    <t>-589.660117103057 190.415185187615 197.300368820032</t>
  </si>
  <si>
    <t>-532.029638243656 229.265394137881 661.736417651563</t>
  </si>
  <si>
    <t>-375.501468577709 250.446110370687 739.156087207739</t>
  </si>
  <si>
    <t>-711.37410254524 -34.7827793855597 215.416313696106</t>
  </si>
  <si>
    <t>-706.528300591124 21.8191486527132 682.046100941917</t>
  </si>
  <si>
    <t>-578.277926782061 -58.5192558794138 771.718253980799</t>
  </si>
  <si>
    <t>9763-20170724T160754.620557000.bin</t>
  </si>
  <si>
    <t>-722.090500853169 33.5414367228445 -238.168548514474</t>
  </si>
  <si>
    <t>-747.787922943144 37.3046086614618 -356.461867788584</t>
  </si>
  <si>
    <t>-759.638239680359 28.199953861679 -476.741618858995</t>
  </si>
  <si>
    <t>-764.710214528975 14.618510583831 -585.298827469655</t>
  </si>
  <si>
    <t>-754.860439166738 8.31551886039279 -782.446260941862</t>
  </si>
  <si>
    <t>-712.836174266476 149.168180372352 -786.46581536985</t>
  </si>
  <si>
    <t>-679.886822282089 249.765087738007 -488.169282974511</t>
  </si>
  <si>
    <t>-497.167277541622 242.441141802667 -303.231536966893</t>
  </si>
  <si>
    <t>-712.891527814189 130.760552126477 -236.958528860055</t>
  </si>
  <si>
    <t>-588.268143334164 190.014243031608 197.340568898754</t>
  </si>
  <si>
    <t>-531.941554591377 229.065945994649 661.880778899448</t>
  </si>
  <si>
    <t>-375.489499946517 250.38226575396 739.41689690824</t>
  </si>
  <si>
    <t>-711.04229455313 -34.8086763485178 215.659366333865</t>
  </si>
  <si>
    <t>-706.621623882929 22.2086728504064 682.395713005771</t>
  </si>
  <si>
    <t>-578.353378578084 -58.5649260737191 771.65037856842</t>
  </si>
  <si>
    <t>9763-20170724T160754.688749000.bin</t>
  </si>
  <si>
    <t>-719.958491385617 33.5178723485042 -237.515615236837</t>
  </si>
  <si>
    <t>-745.422670409457 37.2835765754755 -355.859176739221</t>
  </si>
  <si>
    <t>-756.991051758007 28.419483988976 -476.184464188045</t>
  </si>
  <si>
    <t>-761.780499632441 15.1562498870576 -584.793768266279</t>
  </si>
  <si>
    <t>-751.291443099346 9.68487895821977 -781.918841128843</t>
  </si>
  <si>
    <t>-709.026891002213 150.512387644909 -784.821255820764</t>
  </si>
  <si>
    <t>-679.498280360254 252.013668436627 -486.472967748115</t>
  </si>
  <si>
    <t>-498.19930927323 244.090696761147 -300.166920326767</t>
  </si>
  <si>
    <t>-710.115392677753 130.243505572242 -236.480145237593</t>
  </si>
  <si>
    <t>-585.563371305752 189.66433202298 197.816571800168</t>
  </si>
  <si>
    <t>-531.761158865248 228.998340013 662.555475989472</t>
  </si>
  <si>
    <t>-375.397302061621 250.293283905728 740.275231619204</t>
  </si>
  <si>
    <t>-710.501061444049 -34.3863875636553 216.6452874657</t>
  </si>
  <si>
    <t>-707.011673269002 23.4305317689041 683.566099260329</t>
  </si>
  <si>
    <t>-578.560217381947 -58.6337820890046 771.368050982085</t>
  </si>
  <si>
    <t>9763-20170724T160754.722842900.bin</t>
  </si>
  <si>
    <t>-718.878563604808 33.6572211240527 -237.004127019389</t>
  </si>
  <si>
    <t>-744.264472607254 37.3711846866008 -355.366021366492</t>
  </si>
  <si>
    <t>-755.643355436399 28.6076915042513 -475.716758491968</t>
  </si>
  <si>
    <t>-760.211889328869 15.4987345822854 -584.354409098549</t>
  </si>
  <si>
    <t>-749.183845743007 10.465884066261 -781.452328697648</t>
  </si>
  <si>
    <t>-706.944232124865 151.309286600287 -783.894614461249</t>
  </si>
  <si>
    <t>-679.42222942375 252.544164722372 -485.263953984972</t>
  </si>
  <si>
    <t>-498.602905341202 244.595848864942 -298.493466940468</t>
  </si>
  <si>
    <t>-708.70817344034 130.139944035216 -236.093045685899</t>
  </si>
  <si>
    <t>-583.985766103123 189.592102590049 198.150401736574</t>
  </si>
  <si>
    <t>-531.769422217426 229.075419674593 663.092274323756</t>
  </si>
  <si>
    <t>-375.367790710218 250.217242244613 740.777976965066</t>
  </si>
  <si>
    <t>-710.191038536837 -34.1310452979271 217.283539674835</t>
  </si>
  <si>
    <t>-707.237958754879 23.9807090814909 684.138980800537</t>
  </si>
  <si>
    <t>-578.665052851557 -58.6782991893485 771.202237965073</t>
  </si>
  <si>
    <t>9763-20170724T160754.796053700.bin</t>
  </si>
  <si>
    <t>-716.675738494278 33.8265306976239 -235.932208812038</t>
  </si>
  <si>
    <t>-742.161317037156 37.4844007474319 -354.274589352885</t>
  </si>
  <si>
    <t>-753.25798566452 28.9002806180151 -474.664491590443</t>
  </si>
  <si>
    <t>-757.409008468369 16.0484140182696 -583.349520522745</t>
  </si>
  <si>
    <t>-745.187009907025 11.718744157617 -780.376080943737</t>
  </si>
  <si>
    <t>-703.321669944236 152.676699663534 -781.989471384005</t>
  </si>
  <si>
    <t>-678.943697730334 251.557181781649 -482.298574779527</t>
  </si>
  <si>
    <t>-499.569892769166 243.677392437118 -294.136479660634</t>
  </si>
  <si>
    <t>-705.850809993327 129.910742233315 -235.049726045143</t>
  </si>
  <si>
    <t>-579.292791279991 189.273742013994 198.674677412832</t>
  </si>
  <si>
    <t>-531.907005022205 229.284914673981 664.190192919988</t>
  </si>
  <si>
    <t>-375.329857118305 249.997895825747 741.637491949097</t>
  </si>
  <si>
    <t>-709.658026745932 -34.0003223371646 218.431547192121</t>
  </si>
  <si>
    <t>-707.554802486592 24.6307223539632 684.984358533375</t>
  </si>
  <si>
    <t>-578.959483235859 -59.0960629909266 770.987766441722</t>
  </si>
  <si>
    <t>9763-20170724T160754.822124800.bin</t>
  </si>
  <si>
    <t>-715.541573140006 34.1023870234189 -235.506709986356</t>
  </si>
  <si>
    <t>-741.150708625416 37.6837864079052 -353.824701331053</t>
  </si>
  <si>
    <t>-752.152638971788 29.1802136287261 -474.229043884407</t>
  </si>
  <si>
    <t>-756.123978686776 16.4654639965884 -582.937016463204</t>
  </si>
  <si>
    <t>-743.334350623608 12.5454136899905 -779.925111715075</t>
  </si>
  <si>
    <t>-701.653396089001 153.585300176773 -781.25683033782</t>
  </si>
  <si>
    <t>-677.808939158951 249.612256096098 -480.596704361216</t>
  </si>
  <si>
    <t>-500.162014860784 240.6240463215 -290.852688827498</t>
  </si>
  <si>
    <t>-704.433155809958 130.114670218499 -234.674346320431</t>
  </si>
  <si>
    <t>-576.172527131983 189.105492332151 198.600361375754</t>
  </si>
  <si>
    <t>-531.919477571784 229.350048331388 664.47716476726</t>
  </si>
  <si>
    <t>-375.284982763897 249.781237371374 741.883185187732</t>
  </si>
  <si>
    <t>-709.584175874691 -34.0570277891998 218.881321622459</t>
  </si>
  <si>
    <t>-707.681819757294 24.7028966666262 685.241729159575</t>
  </si>
  <si>
    <t>-579.045654234284 -59.2473430348207 770.965696886678</t>
  </si>
  <si>
    <t>9763-20170724T160754.894338300.bin</t>
  </si>
  <si>
    <t>-712.838540327837 34.3407851134784 -235.330851056741</t>
  </si>
  <si>
    <t>-739.122675554737 37.8191022903623 -353.503857505648</t>
  </si>
  <si>
    <t>-750.137719035977 29.6018792513235 -473.926950398344</t>
  </si>
  <si>
    <t>-753.839873732798 17.2998198388605 -582.691791082232</t>
  </si>
  <si>
    <t>-751.464452348714 0.0776686783726745 -690.824108409668</t>
  </si>
  <si>
    <t>-739.855397826294 14.5079905137809 -779.589855411241</t>
  </si>
  <si>
    <t>-698.517885096468 155.618465881677 -780.331180413736</t>
  </si>
  <si>
    <t>-671.293343543901 242.94780036764 -477.315383773715</t>
  </si>
  <si>
    <t>-497.631298252267 227.466256638432 -284.328677609574</t>
  </si>
  <si>
    <t>-700.665965813498 129.961383345341 -234.631735398327</t>
  </si>
  <si>
    <t>-567.953742662341 187.428962660318 197.505556314176</t>
  </si>
  <si>
    <t>-531.372476653431 229.327081604941 663.861489635118</t>
  </si>
  <si>
    <t>-375.1860564757 249.780385527884 742.161943821695</t>
  </si>
  <si>
    <t>-709.077685480323 -34.3460033021765 219.223781671803</t>
  </si>
  <si>
    <t>-707.803089948947 24.4144731094248 685.396089469427</t>
  </si>
  <si>
    <t>-579.112095347052 -59.6003804862921 770.974367030035</t>
  </si>
  <si>
    <t>9763-20170724T160754.923402100.bin</t>
  </si>
  <si>
    <t>-711.113089368237 34.508431952831 -235.416983465512</t>
  </si>
  <si>
    <t>-737.722172834579 38.0081230311596 -353.51647826706</t>
  </si>
  <si>
    <t>-748.754731020596 30.0079974873015 -473.952567300169</t>
  </si>
  <si>
    <t>-752.341684257569 17.9794276682474 -582.751935218929</t>
  </si>
  <si>
    <t>-749.716825187454 1.1075731272017 -690.933775856619</t>
  </si>
  <si>
    <t>-737.796948374561 15.8709738232187 -779.603420297518</t>
  </si>
  <si>
    <t>-696.45728403166 156.992424765251 -779.862961567511</t>
  </si>
  <si>
    <t>-664.561158069728 238.02698190184 -475.556846913707</t>
  </si>
  <si>
    <t>-491.913220231397 219.594593431478 -281.920550889252</t>
  </si>
  <si>
    <t>-698.288210622829 129.876816504039 -234.829194239568</t>
  </si>
  <si>
    <t>-562.585897168864 186.902766079936 196.437080929486</t>
  </si>
  <si>
    <t>-530.910602607333 229.701419582903 663.087256963599</t>
  </si>
  <si>
    <t>-375.215740176326 250.117909361103 742.370217361571</t>
  </si>
  <si>
    <t>-708.201647281699 -34.5875980453059 219.231141140661</t>
  </si>
  <si>
    <t>-707.819793211428 24.2999629390274 685.467706745971</t>
  </si>
  <si>
    <t>-579.182451808034 -59.8477045531604 770.996154204467</t>
  </si>
  <si>
    <t>9763-20170724T160754.988350000.bin</t>
  </si>
  <si>
    <t>-707.475140512086 34.3580737758396 -235.49889024682</t>
  </si>
  <si>
    <t>-735.08219282946 38.1269666651301 -353.360911209115</t>
  </si>
  <si>
    <t>-746.337346427827 30.7652213932581 -473.817024593471</t>
  </si>
  <si>
    <t>-749.796536233292 19.4550406039366 -582.697652206368</t>
  </si>
  <si>
    <t>-746.708922475727 3.44032672981916 -690.99734908054</t>
  </si>
  <si>
    <t>-734.090615020996 18.9738806084258 -779.43859084114</t>
  </si>
  <si>
    <t>-691.825941279263 159.833330096664 -778.304313131913</t>
  </si>
  <si>
    <t>-641.959542119634 226.845988243431 -473.003115968753</t>
  </si>
  <si>
    <t>-468.231317367986 208.654274132825 -280.312628916366</t>
  </si>
  <si>
    <t>-693.295364507044 128.696583730126 -234.840628569408</t>
  </si>
  <si>
    <t>-550.83251857266 186.267490969509 194.167027332101</t>
  </si>
  <si>
    <t>-530.335871660742 234.151122102773 661.113092614729</t>
  </si>
  <si>
    <t>-375.171661461467 250.934324548879 742.266579816778</t>
  </si>
  <si>
    <t>-705.455759497733 -35.6818478576599 219.287630479982</t>
  </si>
  <si>
    <t>-707.673755543942 24.1414448494252 685.54449391048</t>
  </si>
  <si>
    <t>-579.364087327819 -60.5523256838112 771.026113048706</t>
  </si>
  <si>
    <t>9763-20170724T160755.021439300.bin</t>
  </si>
  <si>
    <t>-705.437429265482 34.2306416807075 -235.360618052483</t>
  </si>
  <si>
    <t>-733.532514063301 38.2675317460285 -353.098499874751</t>
  </si>
  <si>
    <t>-744.943734677554 31.344152015286 -473.565970418638</t>
  </si>
  <si>
    <t>-748.403743935928 20.4921367698153 -582.493064584453</t>
  </si>
  <si>
    <t>-745.174753599627 4.994560935663 -690.863841334751</t>
  </si>
  <si>
    <t>-732.228997491054 20.9641219490441 -779.180062743627</t>
  </si>
  <si>
    <t>-689.060136555581 161.534684871344 -777.080048924495</t>
  </si>
  <si>
    <t>-627.138869682937 220.233152936499 -472.274462227457</t>
  </si>
  <si>
    <t>-453.061509672171 202.733216732489 -279.835310179365</t>
  </si>
  <si>
    <t>-690.488476980408 128.269650541769 -234.53333519955</t>
  </si>
  <si>
    <t>-545.350749956542 186.430895957076 193.497062232986</t>
  </si>
  <si>
    <t>-530.433007686698 240.490586119112 659.964384594448</t>
  </si>
  <si>
    <t>-375.263585151635 251.978656116779 742.025417510934</t>
  </si>
  <si>
    <t>-703.741184772358 -36.2795739204053 219.367057764415</t>
  </si>
  <si>
    <t>-707.505897373682 24.0838639230255 685.569288958641</t>
  </si>
  <si>
    <t>-579.417216196877 -60.9195896679337 771.074920204029</t>
  </si>
  <si>
    <t>9763-20170724T160755.085621300.bin</t>
  </si>
  <si>
    <t>-699.253411264081 35.2294309677693 -235.289157120523</t>
  </si>
  <si>
    <t>-727.629186753915 39.8154100155916 -352.939366061983</t>
  </si>
  <si>
    <t>-739.041671082344 34.1645233349493 -473.473167166139</t>
  </si>
  <si>
    <t>-742.385939357557 24.7329962936431 -582.535994699832</t>
  </si>
  <si>
    <t>-738.921477197961 10.9145199398743 -691.126554839795</t>
  </si>
  <si>
    <t>-725.222768418464 28.3084606335656 -779.059241294271</t>
  </si>
  <si>
    <t>-677.888843289286 167.391525625143 -773.767728026865</t>
  </si>
  <si>
    <t>-590.737390308101 211.126640061499 -472.639773401883</t>
  </si>
  <si>
    <t>-415.990198939914 192.670861484502 -280.898102755867</t>
  </si>
  <si>
    <t>-681.271004979491 129.297640840585 -234.427708654</t>
  </si>
  <si>
    <t>-535.342593026102 186.771051451715 193.426724016003</t>
  </si>
  <si>
    <t>-525.820575148897 255.05162617874 657.896283665093</t>
  </si>
  <si>
    <t>-370.939604661281 250.052014630988 741.145017582094</t>
  </si>
  <si>
    <t>-700.114868390176 -36.4180751375654 219.327970311082</t>
  </si>
  <si>
    <t>-707.080161548954 23.9851163721694 685.599762380295</t>
  </si>
  <si>
    <t>-579.399466302897 -61.590455639184 771.144927640765</t>
  </si>
  <si>
    <t>9763-20170724T160755.126731200.bin</t>
  </si>
  <si>
    <t>-697.407332529625 38.0850474117808 -235.248289983756</t>
  </si>
  <si>
    <t>-725.712603164016 43.0942274852716 -352.898220426288</t>
  </si>
  <si>
    <t>-737.036195409414 38.3061311422657 -473.477816320861</t>
  </si>
  <si>
    <t>-740.295114166583 29.814794749899 -582.620460197282</t>
  </si>
  <si>
    <t>-736.740018399527 17.088120181108 -691.341395684175</t>
  </si>
  <si>
    <t>-722.576715927617 35.3700313455129 -779.019858360966</t>
  </si>
  <si>
    <t>-672.252124461166 173.336998376207 -771.787533772453</t>
  </si>
  <si>
    <t>-573.783819070775 208.452818909277 -473.028468076311</t>
  </si>
  <si>
    <t>-398.948492862755 186.980954506132 -281.68151362439</t>
  </si>
  <si>
    <t>-679.613476138535 133.159251249039 -234.23876745364</t>
  </si>
  <si>
    <t>-536.884218360149 190.359758323395 194.729829124922</t>
  </si>
  <si>
    <t>-532.044229172889 268.875504337786 658.019193616257</t>
  </si>
  <si>
    <t>-377.832345165266 252.493733495357 741.048232230284</t>
  </si>
  <si>
    <t>-699.237844519963 -35.2315138348176 219.306112322241</t>
  </si>
  <si>
    <t>-706.885114979012 23.9915396194679 685.629597238187</t>
  </si>
  <si>
    <t>-579.437707070659 -61.9512492802107 771.154472185401</t>
  </si>
  <si>
    <t>9763-20170724T160755.188911700.bin</t>
  </si>
  <si>
    <t>-698.345605355821 46.7002525479395 -234.969107397126</t>
  </si>
  <si>
    <t>-726.131590155125 53.0130773910896 -352.680126304158</t>
  </si>
  <si>
    <t>-737.099130368685 50.0574435287538 -473.351475259032</t>
  </si>
  <si>
    <t>-740.113044684074 43.4016713122985 -582.628496477333</t>
  </si>
  <si>
    <t>-736.393706020716 32.6730362594665 -691.559239823657</t>
  </si>
  <si>
    <t>-724.292752467487 13.4243330223428 -842.1681405779</t>
  </si>
  <si>
    <t>-721.106819649942 52.3984238271148 -778.73477359318</t>
  </si>
  <si>
    <t>-664.331578059082 187.638374939726 -767.587147489232</t>
  </si>
  <si>
    <t>-546.436654357704 204.391850352027 -474.318773888721</t>
  </si>
  <si>
    <t>-370.046033098871 176.684830697978 -285.213720599302</t>
  </si>
  <si>
    <t>-681.957214979883 143.278369504306 -233.281850736879</t>
  </si>
  <si>
    <t>-552.128871497639 199.114882770969 199.94391023096</t>
  </si>
  <si>
    <t>-549.822178407065 287.942876108185 661.110867139764</t>
  </si>
  <si>
    <t>-399.294121185218 248.266449351793 743.028963309774</t>
  </si>
  <si>
    <t>-699.680397166087 -31.337191591633 219.243123848887</t>
  </si>
  <si>
    <t>-706.548496202019 24.3115910234578 685.69769440078</t>
  </si>
  <si>
    <t>-579.720585680413 -62.637595887772 771.12623537795</t>
  </si>
  <si>
    <t>9763-20170724T160755.221999200.bin</t>
  </si>
  <si>
    <t>-696.258339969324 49.8815962316503 -235.223131592115</t>
  </si>
  <si>
    <t>-723.807956815692 56.7410084781322 -352.95911316752</t>
  </si>
  <si>
    <t>-734.629216257043 54.5824236804492 -473.660529413368</t>
  </si>
  <si>
    <t>-737.553027642515 48.7309706926499 -582.985992301556</t>
  </si>
  <si>
    <t>-733.787617846888 38.8829134735652 -691.998244929001</t>
  </si>
  <si>
    <t>-721.669967173374 20.9292551728227 -842.765801525453</t>
  </si>
  <si>
    <t>-677.320955618844 5.29481927302459 -933.163306120982</t>
  </si>
  <si>
    <t>-717.864636649214 59.1810248587778 -778.928114946637</t>
  </si>
  <si>
    <t>-657.637858846088 192.735102051109 -765.919212642777</t>
  </si>
  <si>
    <t>-533.477943148447 198.600067286867 -474.824461218853</t>
  </si>
  <si>
    <t>-355.454286907234 167.948555636513 -287.714590919542</t>
  </si>
  <si>
    <t>-678.504194816157 146.102983566564 -233.629076575919</t>
  </si>
  <si>
    <t>-557.368241481437 201.574273084101 202.153801856041</t>
  </si>
  <si>
    <t>-550.26755371979 286.044643165951 663.911345843769</t>
  </si>
  <si>
    <t>-400.758178508837 242.480280634975 745.719633401666</t>
  </si>
  <si>
    <t>-698.147264602921 -29.4488738257892 219.04662582606</t>
  </si>
  <si>
    <t>-706.313187033655 24.5957788431124 685.700525639213</t>
  </si>
  <si>
    <t>-579.89254274468 -62.983742537587 771.088811103665</t>
  </si>
  <si>
    <t>9763-20170724T160755.291721200.bin</t>
  </si>
  <si>
    <t>-690.119477834242 55.0103051575904 -236.72484566266</t>
  </si>
  <si>
    <t>-717.249229211036 62.7501492098827 -354.503894896473</t>
  </si>
  <si>
    <t>-727.821193937221 61.9917784694735 -475.244172453528</t>
  </si>
  <si>
    <t>-730.592165562589 57.5951566858805 -584.641769957701</t>
  </si>
  <si>
    <t>-726.744303322984 49.3853463888895 -693.786822232447</t>
  </si>
  <si>
    <t>-714.583398929116 33.8905149995842 -844.823257037224</t>
  </si>
  <si>
    <t>-670.188933118164 18.4442766754112 -935.230854032233</t>
  </si>
  <si>
    <t>-709.486397258565 70.6814641608564 -780.221758243139</t>
  </si>
  <si>
    <t>-642.470993602963 200.622002564918 -764.239635563747</t>
  </si>
  <si>
    <t>-512.846142519048 187.888627942777 -475.758449227483</t>
  </si>
  <si>
    <t>-332.111229177328 152.007264676991 -292.211436263362</t>
  </si>
  <si>
    <t>-730.442046488363 10.8115341016648 -775.76699649784</t>
  </si>
  <si>
    <t>-669.172657588458 149.547112672742 -235.9646141989</t>
  </si>
  <si>
    <t>-561.041640311104 203.779865706117 203.380545553782</t>
  </si>
  <si>
    <t>-551.001806568461 284.019833714933 665.360038930668</t>
  </si>
  <si>
    <t>-401.246235637934 242.243261245186 747.649265114444</t>
  </si>
  <si>
    <t>-692.653702413328 -26.2211906016964 218.329361233115</t>
  </si>
  <si>
    <t>-705.454227766862 25.6918884214044 685.652168247743</t>
  </si>
  <si>
    <t>-580.653333334074 -64.3027707422539 770.911843036669</t>
  </si>
  <si>
    <t>9763-20170724T160755.323805500.bin</t>
  </si>
  <si>
    <t>-686.74498347071 58.5133938274482 -237.098108793475</t>
  </si>
  <si>
    <t>-713.763311434703 66.8457154640882 -354.862159666037</t>
  </si>
  <si>
    <t>-724.136069678624 66.7232300688443 -475.62198900765</t>
  </si>
  <si>
    <t>-726.688970867707 62.9170068252783 -585.047117516395</t>
  </si>
  <si>
    <t>-722.582159708645 55.3167009916447 -694.226971579968</t>
  </si>
  <si>
    <t>-710.016691866571 40.6904917077984 -845.316830627802</t>
  </si>
  <si>
    <t>-665.438853222201 25.3308601617966 -935.649010930453</t>
  </si>
  <si>
    <t>-704.491756774303 76.8966631859184 -780.420941675978</t>
  </si>
  <si>
    <t>-634.815722114424 205.27617837309 -763.52759359431</t>
  </si>
  <si>
    <t>-504.814443158417 185.500021506093 -475.612898088474</t>
  </si>
  <si>
    <t>-322.417693566988 146.553459243844 -294.349063668123</t>
  </si>
  <si>
    <t>-726.661373746379 17.4275059757895 -776.507673904048</t>
  </si>
  <si>
    <t>-664.374212359313 152.670473154825 -236.647895336231</t>
  </si>
  <si>
    <t>-563.156191172899 206.199082817144 204.427194662525</t>
  </si>
  <si>
    <t>-550.519433708623 283.921988774948 666.533669464013</t>
  </si>
  <si>
    <t>-401.052044903671 241.403289924863 748.966377492911</t>
  </si>
  <si>
    <t>-689.586327333484 -24.770379158665 218.134590682067</t>
  </si>
  <si>
    <t>-705.126925963682 26.1916309450958 685.624362261929</t>
  </si>
  <si>
    <t>-581.14742081449 -65.0114387500469 770.798291808376</t>
  </si>
  <si>
    <t>9763-20170724T160755.391491800.bin</t>
  </si>
  <si>
    <t>-679.32837797638 65.0637131383633 -237.512528233672</t>
  </si>
  <si>
    <t>-706.013726769005 74.7694487706826 -355.247456144746</t>
  </si>
  <si>
    <t>-715.602593383219 75.7591172414384 -476.068180152571</t>
  </si>
  <si>
    <t>-717.265998574401 72.8422016588963 -585.537547137023</t>
  </si>
  <si>
    <t>-712.089602488041 66.0192300785668 -694.723290774444</t>
  </si>
  <si>
    <t>-697.853052416661 52.3583002307657 -845.755453113263</t>
  </si>
  <si>
    <t>-652.544662261258 36.839077288392 -935.69580367656</t>
  </si>
  <si>
    <t>-691.846296748574 87.6807225102518 -780.416562081891</t>
  </si>
  <si>
    <t>-616.970855418755 212.816999486384 -761.566356123002</t>
  </si>
  <si>
    <t>-489.754979316144 186.84963699759 -472.900415280605</t>
  </si>
  <si>
    <t>-305.001881685582 141.276443042136 -295.61123983715</t>
  </si>
  <si>
    <t>-716.458316269862 29.1249001572826 -777.440177834642</t>
  </si>
  <si>
    <t>-653.38498419807 157.743974348082 -236.915899948347</t>
  </si>
  <si>
    <t>-566.143602851055 213.197174259067 206.898934776228</t>
  </si>
  <si>
    <t>-549.902923988866 284.672585825209 669.696843528561</t>
  </si>
  <si>
    <t>-400.918486696718 240.683111352713 752.232164689165</t>
  </si>
  <si>
    <t>-685.348611228408 -21.4496532475541 217.634328140493</t>
  </si>
  <si>
    <t>-704.689482688781 26.8681376664447 685.428174775083</t>
  </si>
  <si>
    <t>-582.007543677594 -66.2178111834812 770.443803170316</t>
  </si>
  <si>
    <t>9763-20170724T160755.425581800.bin</t>
  </si>
  <si>
    <t>-675.621886873269 68.8222062380644 -237.800750603227</t>
  </si>
  <si>
    <t>-701.794242169324 78.9232723377988 -355.617503102022</t>
  </si>
  <si>
    <t>-710.767348724922 80.2266413763327 -476.482429698009</t>
  </si>
  <si>
    <t>-711.836640751251 77.5576436336987 -585.965657487591</t>
  </si>
  <si>
    <t>-706.030220808682 70.9492184838 -695.132957518385</t>
  </si>
  <si>
    <t>-690.882650584304 57.5526522364787 -846.100041597676</t>
  </si>
  <si>
    <t>-645.108376590845 41.7897710849159 -935.761764621708</t>
  </si>
  <si>
    <t>-684.775843167561 92.5508215206737 -780.596184848587</t>
  </si>
  <si>
    <t>-607.714007188417 216.28565637498 -761.006205226834</t>
  </si>
  <si>
    <t>-481.835640202966 189.194630368513 -471.857523599785</t>
  </si>
  <si>
    <t>-299.26324711794 138.855679846844 -293.601055573845</t>
  </si>
  <si>
    <t>-710.394056674802 34.409682538198 -778.007248617987</t>
  </si>
  <si>
    <t>-647.94665476533 161.272591951397 -237.121693651073</t>
  </si>
  <si>
    <t>-567.880412981725 215.368910404374 208.210462594274</t>
  </si>
  <si>
    <t>-549.800880483047 284.948719263238 671.36265616907</t>
  </si>
  <si>
    <t>-400.889834565728 240.45578996556 753.760466616753</t>
  </si>
  <si>
    <t>-684.142856595493 -19.2124014447759 217.385403199361</t>
  </si>
  <si>
    <t>-704.590531432193 27.034453487254 685.315161242392</t>
  </si>
  <si>
    <t>-582.407642750919 -66.7444232167604 770.287959461723</t>
  </si>
  <si>
    <t>9763-20170724T160755.506808300.bin</t>
  </si>
  <si>
    <t>-669.025103449841 77.2798281653979 -238.094653639784</t>
  </si>
  <si>
    <t>-693.743760751279 87.5972651069201 -356.206226023846</t>
  </si>
  <si>
    <t>-701.391736830856 88.9819346698384 -477.161471007007</t>
  </si>
  <si>
    <t>-701.334284444697 86.322079442195 -586.650204684759</t>
  </si>
  <si>
    <t>-694.480919067724 79.6574157494561 -695.753137032583</t>
  </si>
  <si>
    <t>-677.969182623181 66.1116355965328 -846.563868719587</t>
  </si>
  <si>
    <t>-631.201928032157 49.5673446491726 -935.569949722707</t>
  </si>
  <si>
    <t>-671.638594124076 100.805663908757 -780.919653988987</t>
  </si>
  <si>
    <t>-591.66908410363 222.446351580501 -760.29029701485</t>
  </si>
  <si>
    <t>-469.764531320393 194.780716886175 -469.498122865175</t>
  </si>
  <si>
    <t>-292.756275263978 135.241226214324 -288.486643039588</t>
  </si>
  <si>
    <t>-698.911649253212 43.4047634012131 -778.749876777593</t>
  </si>
  <si>
    <t>-639.261611472004 169.033291788687 -237.231466280468</t>
  </si>
  <si>
    <t>-572.665867452299 220.741711192291 210.595510185678</t>
  </si>
  <si>
    <t>-549.768005965929 285.119337266116 674.303229304316</t>
  </si>
  <si>
    <t>-400.877642566726 239.739229361709 756.253315064888</t>
  </si>
  <si>
    <t>-681.548537425287 -14.4911760929415 217.146201364901</t>
  </si>
  <si>
    <t>-704.256803009915 27.4485582631594 685.233468510842</t>
  </si>
  <si>
    <t>-583.388723990901 -68.0688007336316 770.150208587953</t>
  </si>
  <si>
    <t>9763-20170724T160755.526865200.bin</t>
  </si>
  <si>
    <t>-665.551502678 81.5489123184168 -238.003920602367</t>
  </si>
  <si>
    <t>-689.654694654857 92.1277333544724 -356.219498694794</t>
  </si>
  <si>
    <t>-696.584265962609 93.6282085687678 -477.216602244893</t>
  </si>
  <si>
    <t>-695.843820674608 91.0095679106755 -586.703694214599</t>
  </si>
  <si>
    <t>-688.278092662687 84.3229958696531 -695.758407839046</t>
  </si>
  <si>
    <t>-670.750301995846 70.6805431967948 -846.445646743754</t>
  </si>
  <si>
    <t>-623.422675815385 53.8635277689614 -935.103727569421</t>
  </si>
  <si>
    <t>-664.565732937723 105.275486356499 -780.735263888499</t>
  </si>
  <si>
    <t>-583.520423937587 226.137168610389 -759.670699932079</t>
  </si>
  <si>
    <t>-465.303654073065 198.24695713437 -467.381374445086</t>
  </si>
  <si>
    <t>-289.753267887829 135.601769950134 -285.99852944904</t>
  </si>
  <si>
    <t>-692.445889292092 48.1583123495286 -778.807046792153</t>
  </si>
  <si>
    <t>-634.55484525393 173.40967854135 -237.246983357737</t>
  </si>
  <si>
    <t>-574.997942662391 223.95731889287 211.702466457432</t>
  </si>
  <si>
    <t>-549.686368372087 285.306813162261 675.773206921786</t>
  </si>
  <si>
    <t>-400.840817519382 239.451359592665 757.539882840839</t>
  </si>
  <si>
    <t>-679.938162381669 -12.1986414362386 216.991934722074</t>
  </si>
  <si>
    <t>-704.110493072902 27.6476043804691 685.058491269001</t>
  </si>
  <si>
    <t>-583.797102920176 -68.5984018766956 769.940222917444</t>
  </si>
  <si>
    <t>9763-20170724T160755.589589500.bin</t>
  </si>
  <si>
    <t>-658.232168682351 90.3377746035796 -239.337930404405</t>
  </si>
  <si>
    <t>-681.382893301295 101.596451393396 -357.680971881859</t>
  </si>
  <si>
    <t>-687.025684191405 103.399308198766 -478.740805929443</t>
  </si>
  <si>
    <t>-684.998915885971 100.895184941078 -588.21442807545</t>
  </si>
  <si>
    <t>-676.032311929067 94.1651783734326 -697.160150836971</t>
  </si>
  <si>
    <t>-656.446859076491 80.2992828614349 -847.573438117176</t>
  </si>
  <si>
    <t>-607.963166859258 62.9405998871398 -935.499457734179</t>
  </si>
  <si>
    <t>-650.737771098657 114.783360922805 -781.761750755153</t>
  </si>
  <si>
    <t>-568.446551631784 234.576205122902 -759.500392946162</t>
  </si>
  <si>
    <t>-457.674250678019 207.779731109471 -464.207915115754</t>
  </si>
  <si>
    <t>-282.707149225472 140.623115309685 -283.878856753682</t>
  </si>
  <si>
    <t>-679.487834701414 58.0856916543942 -780.278643832764</t>
  </si>
  <si>
    <t>-625.365535743835 182.123166807678 -238.001394163063</t>
  </si>
  <si>
    <t>-578.646703792389 230.32113764901 212.722433979032</t>
  </si>
  <si>
    <t>-549.496426101513 285.764637769467 677.286094191206</t>
  </si>
  <si>
    <t>-400.780919605821 239.05126521558 758.803392269675</t>
  </si>
  <si>
    <t>-676.751316759717 -7.63789512133667 215.324081809945</t>
  </si>
  <si>
    <t>-704.035828979199 27.9414965370106 683.62336527338</t>
  </si>
  <si>
    <t>-584.470837131411 -69.3313032399142 768.392020540578</t>
  </si>
  <si>
    <t>9763-20170724T160755.623685100.bin</t>
  </si>
  <si>
    <t>-655.001943635351 94.662510032417 -240.223732296961</t>
  </si>
  <si>
    <t>-677.644404306752 106.016767085032 -358.656021637575</t>
  </si>
  <si>
    <t>-682.632893710401 107.868101957337 -479.743811854516</t>
  </si>
  <si>
    <t>-679.959187449771 105.389456742333 -589.204129424904</t>
  </si>
  <si>
    <t>-670.292588982939 98.6682185317852 -698.090465147219</t>
  </si>
  <si>
    <t>-649.681543732336 84.7984185519376 -848.366240967824</t>
  </si>
  <si>
    <t>-600.620063991492 67.2695390457702 -935.937230860504</t>
  </si>
  <si>
    <t>-644.306198823216 119.225984880964 -782.496916096683</t>
  </si>
  <si>
    <t>-561.84065273878 238.796693849614 -759.642304267137</t>
  </si>
  <si>
    <t>-454.106210640269 213.140351492965 -463.127038331845</t>
  </si>
  <si>
    <t>-278.549997197165 144.270954124765 -284.020678605363</t>
  </si>
  <si>
    <t>-673.296299533567 62.6448667494392 -781.250796553664</t>
  </si>
  <si>
    <t>-621.685633339386 186.390208621322 -238.611686759641</t>
  </si>
  <si>
    <t>-580.774412363729 233.903827477037 212.748967813797</t>
  </si>
  <si>
    <t>-549.337780011441 286.095872300789 677.666460593904</t>
  </si>
  <si>
    <t>-400.774217068245 238.753866715702 759.098210212521</t>
  </si>
  <si>
    <t>-688.479008728864 2.77847020664331 -241.110179165579</t>
  </si>
  <si>
    <t>-675.399431963277 -5.24432341619672 214.326122234745</t>
  </si>
  <si>
    <t>-704.035560827677 28.1043971162462 682.748930019409</t>
  </si>
  <si>
    <t>-584.639842155772 -69.4509410365147 767.431451757156</t>
  </si>
  <si>
    <t>9763-20170724T160755.690418700.bin</t>
  </si>
  <si>
    <t>-649.579363565897 102.551275974892 -241.621484839732</t>
  </si>
  <si>
    <t>-671.349154699792 113.904693294757 -360.217302199367</t>
  </si>
  <si>
    <t>-675.101140109852 115.701721129312 -481.350516429686</t>
  </si>
  <si>
    <t>-671.171977557154 113.148731046237 -590.771270818313</t>
  </si>
  <si>
    <t>-660.118494267382 106.328535156077 -699.519402770961</t>
  </si>
  <si>
    <t>-637.450331369271 92.2954081732921 -849.483455347714</t>
  </si>
  <si>
    <t>-587.178775598209 74.4907352410737 -936.30938014579</t>
  </si>
  <si>
    <t>-632.841652114685 126.72490058635 -783.556965189709</t>
  </si>
  <si>
    <t>-550.245344501305 246.03835571345 -759.80981952846</t>
  </si>
  <si>
    <t>-448.656874450797 222.678273170346 -460.944780140876</t>
  </si>
  <si>
    <t>-273.755696210582 148.933807368529 -283.143267788302</t>
  </si>
  <si>
    <t>-662.118855917761 70.2844484728348 -782.700969743911</t>
  </si>
  <si>
    <t>-615.860440316636 194.128645847246 -239.582001558254</t>
  </si>
  <si>
    <t>-583.573865665597 241.358037090077 212.507200254306</t>
  </si>
  <si>
    <t>-549.045247314891 287.009707383204 678.296029746294</t>
  </si>
  <si>
    <t>-400.700882876999 238.515871514212 759.448913256382</t>
  </si>
  <si>
    <t>-683.605976275378 10.5880188065216 -242.774776274048</t>
  </si>
  <si>
    <t>-672.871251089915 -0.916246416661807 212.648294336</t>
  </si>
  <si>
    <t>-703.983373097202 28.3982958036847 681.064560775072</t>
  </si>
  <si>
    <t>-585.094759876334 -69.8222659818714 765.691564911616</t>
  </si>
  <si>
    <t>9763-20170724T160755.721500500.bin</t>
  </si>
  <si>
    <t>-647.397674819077 105.988246534633 -242.094894977439</t>
  </si>
  <si>
    <t>-668.626643217714 117.274682385912 -360.795212206007</t>
  </si>
  <si>
    <t>-671.774264954991 118.96322939882 -481.947262688344</t>
  </si>
  <si>
    <t>-667.27939682617 116.294517888306 -591.343417622594</t>
  </si>
  <si>
    <t>-655.644853335238 109.340672093012 -700.022452852817</t>
  </si>
  <si>
    <t>-632.156538309501 95.1031829380634 -849.840953741158</t>
  </si>
  <si>
    <t>-581.357810007849 77.1605060341697 -936.331025984241</t>
  </si>
  <si>
    <t>-627.862077976119 129.598387382172 -783.927691685265</t>
  </si>
  <si>
    <t>-545.339984476341 248.970502973922 -760.002588693308</t>
  </si>
  <si>
    <t>-446.519440855041 225.946553450361 -460.18509386933</t>
  </si>
  <si>
    <t>-273.574252458845 148.502344360816 -282.043354285469</t>
  </si>
  <si>
    <t>-657.23670310278 73.2072664245175 -783.174083451348</t>
  </si>
  <si>
    <t>-613.44790674491 197.854218789947 -240.027943273295</t>
  </si>
  <si>
    <t>-584.109730786113 244.320799271663 212.341129391924</t>
  </si>
  <si>
    <t>-548.913443950182 287.390319053882 678.498935469694</t>
  </si>
  <si>
    <t>-400.640481262957 238.428393261115 759.501131520715</t>
  </si>
  <si>
    <t>-681.286220935254 14.0149485694801 -243.406836124162</t>
  </si>
  <si>
    <t>-671.656728892214 0.918320804156792 211.997937125353</t>
  </si>
  <si>
    <t>-703.897378886677 28.5562155788673 680.319757099402</t>
  </si>
  <si>
    <t>-585.30871944888 -70.0326384347138 764.939380062549</t>
  </si>
  <si>
    <t>9763-20170724T160755.794221800.bin</t>
  </si>
  <si>
    <t>-642.604024028491 112.040905649988 -242.946775429779</t>
  </si>
  <si>
    <t>-663.051955653117 123.082286475914 -361.807077300734</t>
  </si>
  <si>
    <t>-665.208363118736 124.477886292192 -482.984534699522</t>
  </si>
  <si>
    <t>-659.74478976271 121.518631296207 -592.329005483975</t>
  </si>
  <si>
    <t>-647.077810480528 114.244947336662 -700.871730603483</t>
  </si>
  <si>
    <t>-622.096092754104 99.5302670135166 -850.402220258226</t>
  </si>
  <si>
    <t>-570.398356593911 81.306476898978 -936.298851168634</t>
  </si>
  <si>
    <t>-618.374242714682 134.191494989642 -784.541179866749</t>
  </si>
  <si>
    <t>-536.018032343227 253.569267355107 -760.355059979268</t>
  </si>
  <si>
    <t>-443.363860151307 230.517205523935 -458.576907982622</t>
  </si>
  <si>
    <t>-281.687655607327 141.806924935041 -275.182990696306</t>
  </si>
  <si>
    <t>-647.925124640354 77.8907212223335 -783.937933161373</t>
  </si>
  <si>
    <t>-473.94944060793 4.0770775391311 -394.090469261194</t>
  </si>
  <si>
    <t>-608.479969789874 203.725535306161 -240.752829982937</t>
  </si>
  <si>
    <t>-582.994865580951 248.395908492242 212.030476488487</t>
  </si>
  <si>
    <t>-548.722596782758 287.776637669788 678.662449846903</t>
  </si>
  <si>
    <t>-400.46531652292 238.469601832333 759.483837075075</t>
  </si>
  <si>
    <t>-676.599048517161 20.1281321270064 -244.400402898635</t>
  </si>
  <si>
    <t>-668.850253267224 4.23472479342058 210.951180582214</t>
  </si>
  <si>
    <t>-703.675294693382 29.0622112413589 679.190277715253</t>
  </si>
  <si>
    <t>-585.780564002988 -70.4360545453685 763.715050324341</t>
  </si>
  <si>
    <t>9763-20170724T160755.820288300.bin</t>
  </si>
  <si>
    <t>-640.064360765642 114.443541414175 -243.288439241316</t>
  </si>
  <si>
    <t>-660.23956821568 125.481870534451 -362.195583706681</t>
  </si>
  <si>
    <t>-662.024540042597 126.827529012419 -483.379547019256</t>
  </si>
  <si>
    <t>-656.187269550488 123.806444898368 -592.703188315606</t>
  </si>
  <si>
    <t>-643.109736290929 116.456716845544 -701.191936254151</t>
  </si>
  <si>
    <t>-617.520487705935 101.623560962027 -850.608073554527</t>
  </si>
  <si>
    <t>-565.429499594597 83.2929133217949 -936.24386177509</t>
  </si>
  <si>
    <t>-614.055428860914 136.331317519624 -784.75752328139</t>
  </si>
  <si>
    <t>-531.735927318015 255.718332470071 -760.383164792847</t>
  </si>
  <si>
    <t>-442.052281205819 232.229580559238 -457.742561628878</t>
  </si>
  <si>
    <t>-285.710439674061 139.42859594813 -271.76611266609</t>
  </si>
  <si>
    <t>-643.630428069294 80.0422510823939 -784.234603587351</t>
  </si>
  <si>
    <t>-471.536389358317 6.81131244937455 -393.585178773337</t>
  </si>
  <si>
    <t>-605.742931265776 206.002775598309 -241.060819779416</t>
  </si>
  <si>
    <t>-581.888003471569 249.712038912618 211.90499426714</t>
  </si>
  <si>
    <t>-548.580946126795 287.843660580421 678.663676002624</t>
  </si>
  <si>
    <t>-400.339001926923 238.487567398741 759.483246773351</t>
  </si>
  <si>
    <t>-674.416247074945 22.7212678810899 -244.820751859182</t>
  </si>
  <si>
    <t>-667.50242313818 5.56886586184669 210.4985567423</t>
  </si>
  <si>
    <t>-703.811744327491 29.1201145743646 678.654301511051</t>
  </si>
  <si>
    <t>-585.788845068152 -70.2544269154487 763.145762530711</t>
  </si>
  <si>
    <t>9763-20170724T160755.890495200.bin</t>
  </si>
  <si>
    <t>-634.728469586262 118.369215314483 -244.081684471964</t>
  </si>
  <si>
    <t>-654.627314415855 129.510559375579 -363.025925510681</t>
  </si>
  <si>
    <t>-655.939982238658 130.933176562186 -484.21507546252</t>
  </si>
  <si>
    <t>-649.59346705296 127.980418335561 -593.512238900579</t>
  </si>
  <si>
    <t>-635.922958209638 120.704519488651 -701.932850789648</t>
  </si>
  <si>
    <t>-609.421868757536 105.985361202089 -851.201094351415</t>
  </si>
  <si>
    <t>-556.689756941192 87.5945049773995 -936.430669867313</t>
  </si>
  <si>
    <t>-606.349931101324 140.637967123991 -785.302105644463</t>
  </si>
  <si>
    <t>-524.373370143298 260.12040742853 -760.415684579719</t>
  </si>
  <si>
    <t>-438.542504219955 234.627199507097 -456.82165905055</t>
  </si>
  <si>
    <t>-288.195199095546 135.605658369254 -269.118391986964</t>
  </si>
  <si>
    <t>-635.945631176446 84.3582884612131 -785.006926192014</t>
  </si>
  <si>
    <t>-466.668714313657 11.6207222829119 -393.092060284328</t>
  </si>
  <si>
    <t>-599.717173912966 209.293025052809 -241.762653252941</t>
  </si>
  <si>
    <t>-579.015336376885 251.706392914169 211.481449604032</t>
  </si>
  <si>
    <t>-548.308171657164 287.882758341602 678.459426078511</t>
  </si>
  <si>
    <t>-400.028942497934 238.83695805297 759.399521342616</t>
  </si>
  <si>
    <t>-669.676730695716 27.2871263615023 -245.688815253159</t>
  </si>
  <si>
    <t>-664.757037389107 7.83499122459875 209.563940539419</t>
  </si>
  <si>
    <t>-703.646833008987 29.5580878510591 677.615969811485</t>
  </si>
  <si>
    <t>-586.354929232172 -70.7342936888306 762.040848652729</t>
  </si>
  <si>
    <t>9763-20170724T160755.924585200.bin</t>
  </si>
  <si>
    <t>-632.207126382748 120.046532157256 -244.392905565462</t>
  </si>
  <si>
    <t>-651.913698413294 131.202933186535 -363.367691448678</t>
  </si>
  <si>
    <t>-653.033193326192 132.661790450484 -484.558366983085</t>
  </si>
  <si>
    <t>-646.509175234738 129.757503977804 -593.846421658627</t>
  </si>
  <si>
    <t>-632.655989741116 122.550461469726 -702.248462165132</t>
  </si>
  <si>
    <t>-605.893359538125 107.952145497666 -851.481999252616</t>
  </si>
  <si>
    <t>-552.946620088883 89.5781892434902 -936.582033151747</t>
  </si>
  <si>
    <t>-602.926114723147 142.545613655201 -785.54711898295</t>
  </si>
  <si>
    <t>-521.054565058106 262.124540666569 -760.485886771027</t>
  </si>
  <si>
    <t>-436.096000567527 235.668902606865 -456.728900230989</t>
  </si>
  <si>
    <t>-286.921092081605 135.755265451241 -268.563600663629</t>
  </si>
  <si>
    <t>-632.543870759717 86.2772847867452 -785.354322449885</t>
  </si>
  <si>
    <t>-464.22903103778 13.4651181535728 -393.163321137473</t>
  </si>
  <si>
    <t>-596.902140561943 210.762494464655 -242.08877599595</t>
  </si>
  <si>
    <t>-578.020854005178 252.566546510053 211.291424584449</t>
  </si>
  <si>
    <t>-548.193387500804 287.914313601535 678.407864790841</t>
  </si>
  <si>
    <t>-399.941992675078 238.854565716005 759.390454879506</t>
  </si>
  <si>
    <t>-667.473545836688 29.2204724415597 -246.023148829418</t>
  </si>
  <si>
    <t>-663.576434311009 8.94125230897134 209.203484826362</t>
  </si>
  <si>
    <t>-703.529765142159 29.85905497457 677.18758105739</t>
  </si>
  <si>
    <t>-586.457161763354 -70.7612989391719 761.526531875482</t>
  </si>
  <si>
    <t>9763-20170724T160755.987400100.bin</t>
  </si>
  <si>
    <t>-627.939725781043 122.330818492614 -245.029449623204</t>
  </si>
  <si>
    <t>-647.277461462224 133.523036896966 -364.061250074083</t>
  </si>
  <si>
    <t>-648.103866553338 134.954324477836 -485.254529530477</t>
  </si>
  <si>
    <t>-641.34606940047 132.006290453166 -594.527081537216</t>
  </si>
  <si>
    <t>-627.289232458062 124.741813510792 -702.8990369493</t>
  </si>
  <si>
    <t>-600.273774747259 110.053434226191 -852.078241414111</t>
  </si>
  <si>
    <t>-547.089076659221 91.5790743593873 -937.008076054173</t>
  </si>
  <si>
    <t>-597.281678990771 144.614564482006 -786.127556507752</t>
  </si>
  <si>
    <t>-514.951579229696 263.890824772786 -761.188953431678</t>
  </si>
  <si>
    <t>-432.471910325311 241.041177955221 -456.457639601826</t>
  </si>
  <si>
    <t>-284.811838011363 134.618206796513 -270.681737574243</t>
  </si>
  <si>
    <t>-627.172917217656 88.4905610189012 -786.014620485377</t>
  </si>
  <si>
    <t>-460.078154747795 15.1203968137743 -393.545239350959</t>
  </si>
  <si>
    <t>-592.105088985293 212.367348015253 -242.694190914876</t>
  </si>
  <si>
    <t>-575.919656826695 253.498559379114 210.85173872831</t>
  </si>
  <si>
    <t>-547.9772397616 287.715421344767 678.165073838216</t>
  </si>
  <si>
    <t>-399.754359899079 238.91666497347 759.357269544503</t>
  </si>
  <si>
    <t>-663.914294119357 32.092324834585 -246.669574266002</t>
  </si>
  <si>
    <t>-661.15748778231 10.4790473270878 208.503991712861</t>
  </si>
  <si>
    <t>-703.206763734442 30.4606537468987 676.304980856397</t>
  </si>
  <si>
    <t>-586.880404391145 -71.1344390317804 760.507846911104</t>
  </si>
  <si>
    <t>9763-20170724T160756.027471500.bin</t>
  </si>
  <si>
    <t>-626.248827133037 122.867858959979 -245.327190575068</t>
  </si>
  <si>
    <t>-645.380670376929 134.113389983172 -364.387280244425</t>
  </si>
  <si>
    <t>-646.029578108831 135.533686882696 -485.581850707682</t>
  </si>
  <si>
    <t>-639.123713255148 132.552735022362 -594.844355593148</t>
  </si>
  <si>
    <t>-624.931714869342 125.234247398893 -703.195034767093</t>
  </si>
  <si>
    <t>-597.741590104269 110.451154748542 -852.333067703017</t>
  </si>
  <si>
    <t>-544.492020061015 91.9053828009678 -937.206611564645</t>
  </si>
  <si>
    <t>-594.754667464229 145.015725278247 -786.383996556048</t>
  </si>
  <si>
    <t>-512.284560528321 264.231332121957 -761.716015187836</t>
  </si>
  <si>
    <t>-432.426460120013 243.387552881974 -456.143733217107</t>
  </si>
  <si>
    <t>-284.977376015315 135.780321649867 -270.883074088957</t>
  </si>
  <si>
    <t>-624.790089132773 88.9687103465722 -786.304311852107</t>
  </si>
  <si>
    <t>-458.239481951068 14.8063062265619 -393.748559063591</t>
  </si>
  <si>
    <t>-590.104906876676 212.586096441234 -242.941025804856</t>
  </si>
  <si>
    <t>-574.824177543287 253.534289873654 210.652896931931</t>
  </si>
  <si>
    <t>-547.908306739505 287.610748105893 678.088933591136</t>
  </si>
  <si>
    <t>-399.711437802118 238.831489755189 759.34036187666</t>
  </si>
  <si>
    <t>-662.419099856518 32.9051950031737 -247.043695838589</t>
  </si>
  <si>
    <t>-660.166474453512 10.8575927694221 208.111722546715</t>
  </si>
  <si>
    <t>-703.139857605257 30.6078536777177 675.796235864707</t>
  </si>
  <si>
    <t>-587.310853258967 -71.5354283658564 760.021532017327</t>
  </si>
  <si>
    <t>9763-20170724T160756.088187300.bin</t>
  </si>
  <si>
    <t>-623.405572404689 123.256705735027 -245.816872222688</t>
  </si>
  <si>
    <t>-642.233630828396 134.588372598829 -364.917292594449</t>
  </si>
  <si>
    <t>-642.696320268451 135.999003540826 -486.112880229207</t>
  </si>
  <si>
    <t>-635.664322262064 132.986852022501 -595.366324026654</t>
  </si>
  <si>
    <t>-621.382928228834 125.625971757099 -703.702353189411</t>
  </si>
  <si>
    <t>-594.10200386184 110.781107419927 -852.817859035862</t>
  </si>
  <si>
    <t>-540.745448205885 92.0676080375999 -937.587314839325</t>
  </si>
  <si>
    <t>-591.094092768546 145.340185698129 -786.866821395159</t>
  </si>
  <si>
    <t>-508.87114181072 264.860641489852 -762.850704114353</t>
  </si>
  <si>
    <t>-434.487801046622 247.462393800251 -455.685266243188</t>
  </si>
  <si>
    <t>-285.527581477953 139.210163544215 -272.016174969747</t>
  </si>
  <si>
    <t>-621.251786077324 89.358881014133 -786.810981660643</t>
  </si>
  <si>
    <t>-456.005572171134 14.1961943440874 -393.936592375731</t>
  </si>
  <si>
    <t>-586.738484960365 212.527450578576 -243.335004120681</t>
  </si>
  <si>
    <t>-572.506358850419 253.214849512299 210.316526629384</t>
  </si>
  <si>
    <t>-547.765184304215 287.427131955343 677.919415562036</t>
  </si>
  <si>
    <t>-399.685090495024 238.471762528498 759.277707261221</t>
  </si>
  <si>
    <t>-660.134827002746 33.924711983406 -247.615623404425</t>
  </si>
  <si>
    <t>-658.862343293762 11.161393758849 207.508432579297</t>
  </si>
  <si>
    <t>-703.117374970408 30.7722109268113 674.888366451666</t>
  </si>
  <si>
    <t>-587.738216747608 -71.8994072322282 759.088708482047</t>
  </si>
  <si>
    <t>9763-20170724T160756.127289000.bin</t>
  </si>
  <si>
    <t>-622.170311230135 123.386711662273 -246.057965808724</t>
  </si>
  <si>
    <t>-640.972395028382 134.716663554132 -365.162673004482</t>
  </si>
  <si>
    <t>-641.337665448175 136.125796349677 -486.35857359924</t>
  </si>
  <si>
    <t>-634.185454451531 133.118682002639 -595.604367151417</t>
  </si>
  <si>
    <t>-619.749456407015 125.773895794862 -703.921022134245</t>
  </si>
  <si>
    <t>-592.216120064627 110.966864813987 -852.993733578101</t>
  </si>
  <si>
    <t>-538.721549530859 92.2281768953621 -937.670629577862</t>
  </si>
  <si>
    <t>-589.312364761214 145.505233241996 -787.027065873864</t>
  </si>
  <si>
    <t>-507.076983779614 265.010576352949 -763.051578139788</t>
  </si>
  <si>
    <t>-435.827905348222 249.645900677889 -455.035875436074</t>
  </si>
  <si>
    <t>-286.922740196311 140.362615185081 -271.933490524321</t>
  </si>
  <si>
    <t>-619.485040113991 89.5319556117115 -787.040175304804</t>
  </si>
  <si>
    <t>-454.795835510265 13.9020250170017 -393.952377627786</t>
  </si>
  <si>
    <t>-585.218503680431 212.491210576273 -243.545822479967</t>
  </si>
  <si>
    <t>-571.505752582834 253.02812936388 210.135166395147</t>
  </si>
  <si>
    <t>-547.693629553253 287.406436220899 677.849831400355</t>
  </si>
  <si>
    <t>-399.688900827763 238.249468970273 759.223704719414</t>
  </si>
  <si>
    <t>-659.15433274867 34.1791552013124 -247.935646315881</t>
  </si>
  <si>
    <t>-658.477912134706 11.4609985197167 207.192007183924</t>
  </si>
  <si>
    <t>-703.0121280062 30.9108438928236 674.538280921604</t>
  </si>
  <si>
    <t>-588.008322392035 -72.1758174327581 758.745006003731</t>
  </si>
  <si>
    <t>9763-20170724T160756.189709000.bin</t>
  </si>
  <si>
    <t>-620.881005423263 123.546870831763 -246.468216874969</t>
  </si>
  <si>
    <t>-639.605124584842 134.816592113603 -365.591038986243</t>
  </si>
  <si>
    <t>-639.81817667439 136.166300521181 -486.78787543853</t>
  </si>
  <si>
    <t>-632.493559743067 133.11593334536 -596.021165478695</t>
  </si>
  <si>
    <t>-617.847980352604 125.744257138373 -704.30783296134</t>
  </si>
  <si>
    <t>-589.98223416356 110.922522861164 -853.317270182304</t>
  </si>
  <si>
    <t>-536.261234681053 92.1002690106916 -937.832161229631</t>
  </si>
  <si>
    <t>-587.223241572548 145.466131556441 -787.347260391634</t>
  </si>
  <si>
    <t>-505.144728672028 265.134015727152 -763.471058739967</t>
  </si>
  <si>
    <t>-441.043543125715 252.810185952485 -453.752926755554</t>
  </si>
  <si>
    <t>-292.979715468656 141.981011895155 -270.897654816865</t>
  </si>
  <si>
    <t>-617.400611066004 89.4953192700314 -787.423189279</t>
  </si>
  <si>
    <t>-453.372823349414 13.5820202541104 -393.691646446877</t>
  </si>
  <si>
    <t>-583.668444589521 212.513019909214 -243.89485221244</t>
  </si>
  <si>
    <t>-570.176621727486 252.786224411788 209.816177840972</t>
  </si>
  <si>
    <t>-547.592992387118 287.353979721333 677.721313603122</t>
  </si>
  <si>
    <t>-399.673222051974 237.887623175825 759.062155643703</t>
  </si>
  <si>
    <t>-658.252766894172 34.5588209251368 -248.287613151213</t>
  </si>
  <si>
    <t>-658.637968609951 11.8377917238545 206.840124206965</t>
  </si>
  <si>
    <t>-703.137121144089 30.8635406564808 673.994423323162</t>
  </si>
  <si>
    <t>-588.513733759034 -72.6377080211525 758.211320769929</t>
  </si>
  <si>
    <t>9763-20170724T160756.222801800.bin</t>
  </si>
  <si>
    <t>-620.648547356962 123.497470654802 -246.540133945235</t>
  </si>
  <si>
    <t>-639.324930241957 134.683813236971 -365.678227810675</t>
  </si>
  <si>
    <t>-639.500431093651 135.98937290662 -486.875665171674</t>
  </si>
  <si>
    <t>-632.144866414381 132.917590259624 -596.106214912672</t>
  </si>
  <si>
    <t>-617.470349484219 125.544398319984 -704.388847114784</t>
  </si>
  <si>
    <t>-589.565344741219 110.74252011051 -853.393054350132</t>
  </si>
  <si>
    <t>-535.818659778468 91.8952093749815 -937.885872065874</t>
  </si>
  <si>
    <t>-586.83226558839 145.281857013071 -787.419591172638</t>
  </si>
  <si>
    <t>-504.866868487458 265.003755785276 -763.553584611837</t>
  </si>
  <si>
    <t>-443.617914037949 253.328983523867 -453.233585415184</t>
  </si>
  <si>
    <t>-297.198611909127 141.122294370414 -269.894897794538</t>
  </si>
  <si>
    <t>-616.992615879887 89.3019384890595 -787.507010935219</t>
  </si>
  <si>
    <t>-453.310852132854 13.2327590924904 -393.493827763258</t>
  </si>
  <si>
    <t>-583.411584001389 212.544379542597 -243.992563550322</t>
  </si>
  <si>
    <t>-569.884076895033 252.881497491128 209.711688451262</t>
  </si>
  <si>
    <t>-547.546148300703 287.400309078479 677.697102959423</t>
  </si>
  <si>
    <t>-399.664245958662 237.722443174419 758.977948833955</t>
  </si>
  <si>
    <t>-657.946368176185 34.4092495694686 -248.410251491458</t>
  </si>
  <si>
    <t>-658.725129609957 11.8959821097822 206.727326617302</t>
  </si>
  <si>
    <t>-703.198619771511 30.8516484564134 673.850481887744</t>
  </si>
  <si>
    <t>-588.604247646675 -72.6846144577617 758.063801367405</t>
  </si>
  <si>
    <t>9763-20170724T160756.292992100.bin</t>
  </si>
  <si>
    <t>-620.784980537117 123.052254392397 -246.671970579421</t>
  </si>
  <si>
    <t>-639.465908219091 134.237329735887 -365.809508158821</t>
  </si>
  <si>
    <t>-639.645671387359 135.539763117881 -487.006964626654</t>
  </si>
  <si>
    <t>-632.293246124159 132.465498494422 -596.237710621628</t>
  </si>
  <si>
    <t>-617.620754677255 125.09080748742 -704.520479815112</t>
  </si>
  <si>
    <t>-589.71683550789 110.288711141038 -853.524888154941</t>
  </si>
  <si>
    <t>-535.993032014048 91.3954894937531 -938.022016787909</t>
  </si>
  <si>
    <t>-587.002765907725 144.838578479746 -787.556271597571</t>
  </si>
  <si>
    <t>-505.263858667419 264.7652528996 -763.819672140108</t>
  </si>
  <si>
    <t>-450.263442458497 253.743707148833 -452.307857204664</t>
  </si>
  <si>
    <t>-304.870614071166 138.235005848434 -270.20694861174</t>
  </si>
  <si>
    <t>-617.124155434647 88.8377720444889 -787.633913065013</t>
  </si>
  <si>
    <t>-454.105685141503 13.3178340427521 -393.313694210163</t>
  </si>
  <si>
    <t>-583.647981681569 212.114358027657 -244.027076440868</t>
  </si>
  <si>
    <t>-570.054934880912 252.925471920354 209.632829955499</t>
  </si>
  <si>
    <t>-547.439763606794 287.492397173306 677.65478100987</t>
  </si>
  <si>
    <t>-399.624585419078 237.433902328444 758.823181144241</t>
  </si>
  <si>
    <t>-657.99064097735 33.9103783302169 -248.596414318548</t>
  </si>
  <si>
    <t>-659.387070757759 11.7017548501947 206.554759806371</t>
  </si>
  <si>
    <t>-703.372160658805 30.697255033816 673.620183125298</t>
  </si>
  <si>
    <t>-588.99887744721 -73.0274388292505 757.902143983619</t>
  </si>
  <si>
    <t>9763-20170724T160756.330093800.bin</t>
  </si>
  <si>
    <t>-621.201797176613 122.497658394034 -246.695671872461</t>
  </si>
  <si>
    <t>-639.85231795789 133.665904290599 -365.839481433723</t>
  </si>
  <si>
    <t>-640.024028949786 134.99473497433 -487.036764050497</t>
  </si>
  <si>
    <t>-632.673245329418 131.961588615585 -596.268578651115</t>
  </si>
  <si>
    <t>-618.0111749487 124.64466405529 -704.556914616001</t>
  </si>
  <si>
    <t>-590.130519922594 109.939603459264 -853.575097021635</t>
  </si>
  <si>
    <t>-536.43649588193 91.0691734414056 -938.096422074759</t>
  </si>
  <si>
    <t>-587.414370061928 144.450914261482 -787.586429461654</t>
  </si>
  <si>
    <t>-505.807101714379 264.468595712529 -763.957659302762</t>
  </si>
  <si>
    <t>-454.530305638978 253.748077075129 -451.800633950701</t>
  </si>
  <si>
    <t>-309.319335795169 135.541645093725 -271.292842408372</t>
  </si>
  <si>
    <t>-617.519376043664 88.4412926954903 -787.691918974746</t>
  </si>
  <si>
    <t>-454.734116548918 12.8170994212865 -393.341457069925</t>
  </si>
  <si>
    <t>-584.181117742338 211.528878262945 -244.022500521629</t>
  </si>
  <si>
    <t>-570.194198685091 252.655262664304 209.597008473549</t>
  </si>
  <si>
    <t>-547.389490398096 287.450826217682 677.612489947725</t>
  </si>
  <si>
    <t>-399.510947655643 237.530585106703 758.750941974823</t>
  </si>
  <si>
    <t>-658.323981215076 33.3313791111364 -248.644307174968</t>
  </si>
  <si>
    <t>-659.885308441638 11.3951200392655 206.519358696267</t>
  </si>
  <si>
    <t>-703.596877700289 30.5588723838164 673.585778858631</t>
  </si>
  <si>
    <t>-589.030610676455 -72.9553379173042 757.864429788047</t>
  </si>
  <si>
    <t>9763-20170724T160756.389260100.bin</t>
  </si>
  <si>
    <t>-622.472053259582 120.967522863984 -246.64948670971</t>
  </si>
  <si>
    <t>-641.115318072904 132.18274512471 -365.789931543963</t>
  </si>
  <si>
    <t>-641.289006601839 133.650237394509 -486.985642849556</t>
  </si>
  <si>
    <t>-633.940728458933 130.782447419404 -596.222139703658</t>
  </si>
  <si>
    <t>-619.279425873041 123.672561924937 -704.524300163686</t>
  </si>
  <si>
    <t>-591.395905517946 109.299651476689 -853.574516534884</t>
  </si>
  <si>
    <t>-537.76189525817 90.5167312280214 -938.153306008977</t>
  </si>
  <si>
    <t>-588.720966607928 143.685182886183 -787.518415112825</t>
  </si>
  <si>
    <t>-507.524558341243 264.027751839887 -764.0079666683</t>
  </si>
  <si>
    <t>-463.204761890595 252.322015967075 -450.822850921423</t>
  </si>
  <si>
    <t>-317.492894603046 129.009728279642 -274.175749911884</t>
  </si>
  <si>
    <t>-618.746165659621 87.6330962859229 -787.730365865905</t>
  </si>
  <si>
    <t>-456.212960863407 11.9819092195874 -393.289187096455</t>
  </si>
  <si>
    <t>-585.436214183638 209.883413100353 -243.919292464365</t>
  </si>
  <si>
    <t>-570.515942710324 251.876806976298 209.59102811437</t>
  </si>
  <si>
    <t>-547.222284504711 287.499727799657 677.540392096735</t>
  </si>
  <si>
    <t>-399.329139199197 237.570157614777 758.646317245884</t>
  </si>
  <si>
    <t>-659.481907853906 31.943465405529 -248.660989276071</t>
  </si>
  <si>
    <t>-661.004899373846 10.6311422550493 206.532473148045</t>
  </si>
  <si>
    <t>-703.728313274823 30.4900512015338 673.621138372423</t>
  </si>
  <si>
    <t>-589.250636792362 -73.1067404836886 757.918657703573</t>
  </si>
  <si>
    <t>9763-20170724T160756.432365500.bin</t>
  </si>
  <si>
    <t>-623.348382830157 120.103952754611 -246.605970068547</t>
  </si>
  <si>
    <t>-641.976758064281 131.364954831656 -365.744387333148</t>
  </si>
  <si>
    <t>-642.124162836398 132.940798661045 -486.938652731442</t>
  </si>
  <si>
    <t>-634.744342907884 130.200384130233 -596.176428901501</t>
  </si>
  <si>
    <t>-620.04174642621 123.249344642167 -704.483299148257</t>
  </si>
  <si>
    <t>-592.088375343626 109.132228830297 -853.544766592737</t>
  </si>
  <si>
    <t>-538.422373058663 90.4869799913156 -938.13365514363</t>
  </si>
  <si>
    <t>-589.494913223292 143.431596492971 -787.440584773442</t>
  </si>
  <si>
    <t>-508.681295373407 263.978950617994 -763.87032167286</t>
  </si>
  <si>
    <t>-466.686471111906 251.062304174948 -450.41239241975</t>
  </si>
  <si>
    <t>-320.814011077805 126.904015822014 -274.49201199211</t>
  </si>
  <si>
    <t>-619.418841276749 87.3256167778652 -787.738574811417</t>
  </si>
  <si>
    <t>-457.07010521483 11.2726217716338 -393.240577084139</t>
  </si>
  <si>
    <t>-586.30404615156 208.979736087585 -243.83807276135</t>
  </si>
  <si>
    <t>-570.846876398394 251.372523423485 209.617101692594</t>
  </si>
  <si>
    <t>-547.172742772939 287.439498532717 677.524744125407</t>
  </si>
  <si>
    <t>-399.227714069109 237.626632044572 758.60781667074</t>
  </si>
  <si>
    <t>-660.387117126949 31.1406877056932 -248.655335017991</t>
  </si>
  <si>
    <t>-661.82313649669 10.1425814406639 206.553014609046</t>
  </si>
  <si>
    <t>-703.907867010575 30.3939151268144 673.668055475675</t>
  </si>
  <si>
    <t>-589.401760435702 -73.1816061474062 757.953134553868</t>
  </si>
  <si>
    <t>9763-20170724T160756.488527600.bin</t>
  </si>
  <si>
    <t>-625.625332819807 118.119945323507 -246.430078779514</t>
  </si>
  <si>
    <t>-644.284020632899 129.402023847965 -365.561720130945</t>
  </si>
  <si>
    <t>-644.44712033678 131.255323956361 -486.752191574265</t>
  </si>
  <si>
    <t>-637.066755664029 128.879241606008 -595.998392206692</t>
  </si>
  <si>
    <t>-622.342679715242 122.410971871024 -704.332215850751</t>
  </si>
  <si>
    <t>-594.331810762174 109.092019575585 -853.456352396194</t>
  </si>
  <si>
    <t>-540.554158487256 90.9102299382084 -938.07524025627</t>
  </si>
  <si>
    <t>-591.940392842003 143.130795584796 -787.210092274229</t>
  </si>
  <si>
    <t>-512.084856725829 264.266319497586 -763.272493642266</t>
  </si>
  <si>
    <t>-470.782394370079 248.681224039483 -449.843988907139</t>
  </si>
  <si>
    <t>-322.165593530231 129.443285467628 -272.82030698833</t>
  </si>
  <si>
    <t>-621.511199451845 86.8395825911512 -787.736925014243</t>
  </si>
  <si>
    <t>-459.280830380238 10.6117839327719 -392.981029981593</t>
  </si>
  <si>
    <t>-588.73440152319 207.043206119419 -243.61155129725</t>
  </si>
  <si>
    <t>-571.508724129061 250.364212425012 209.692150877742</t>
  </si>
  <si>
    <t>-546.967061295816 287.465648702367 677.470589153251</t>
  </si>
  <si>
    <t>-399.020618816834 237.597408885895 758.516926606299</t>
  </si>
  <si>
    <t>-662.555514735162 29.1317925366302 -248.588071593801</t>
  </si>
  <si>
    <t>-663.886318573148 9.28150212299738 206.672091646734</t>
  </si>
  <si>
    <t>-704.171375429195 30.2704947156535 673.863448543696</t>
  </si>
  <si>
    <t>-589.593442822812 -73.2695484541036 758.09450956222</t>
  </si>
  <si>
    <t>9763-20170724T160756.526637400.bin</t>
  </si>
  <si>
    <t>-626.957010672345 117.054662848396 -246.35631894765</t>
  </si>
  <si>
    <t>-645.634910905552 128.35031068371 -365.483832610388</t>
  </si>
  <si>
    <t>-645.806705286966 130.34856599962 -486.671918583219</t>
  </si>
  <si>
    <t>-638.427332382245 128.158264282932 -595.922131151302</t>
  </si>
  <si>
    <t>-623.695534394734 121.930901977308 -704.268947849258</t>
  </si>
  <si>
    <t>-595.66302369181 109.004437381911 -853.423581992947</t>
  </si>
  <si>
    <t>-541.803866819663 91.076976829625 -938.044928777138</t>
  </si>
  <si>
    <t>-593.360038643153 142.910287970611 -787.106108609096</t>
  </si>
  <si>
    <t>-513.850493143344 264.201466974386 -762.869428933307</t>
  </si>
  <si>
    <t>-471.083620339775 247.991806871979 -449.669038291127</t>
  </si>
  <si>
    <t>-322.5452835204 128.698039096217 -272.617059861456</t>
  </si>
  <si>
    <t>-622.773046365975 86.5377031740418 -787.74838670971</t>
  </si>
  <si>
    <t>-460.579172870702 10.4240969228711 -392.978609293721</t>
  </si>
  <si>
    <t>-590.151025447651 206.05449169783 -243.496006108263</t>
  </si>
  <si>
    <t>-572.083513614136 249.796934374426 209.734453365133</t>
  </si>
  <si>
    <t>-546.902817459231 287.436325601387 677.455772954915</t>
  </si>
  <si>
    <t>-398.921114565311 237.610443367115 758.463814201317</t>
  </si>
  <si>
    <t>-663.787960714832 28.0357014905317 -248.560890100408</t>
  </si>
  <si>
    <t>-665.07564258531 8.82976531185182 206.727182181521</t>
  </si>
  <si>
    <t>-704.441932770628 30.1159537324095 673.989173476249</t>
  </si>
  <si>
    <t>-589.868019578109 -73.4469414792961 758.197588574134</t>
  </si>
  <si>
    <t>9763-20170724T160756.593827900.bin</t>
  </si>
  <si>
    <t>-630.281235368787 114.863633560119 -246.099925815763</t>
  </si>
  <si>
    <t>-648.956458456878 126.162454954205 -365.227488316999</t>
  </si>
  <si>
    <t>-649.166705545055 128.441327068319 -486.410573552399</t>
  </si>
  <si>
    <t>-641.838547182197 126.610923771043 -595.670714819663</t>
  </si>
  <si>
    <t>-627.173364973144 120.84511632273 -704.052251594059</t>
  </si>
  <si>
    <t>-599.248388257948 108.661166041703 -853.289431732867</t>
  </si>
  <si>
    <t>-545.32528279192 91.1846480835402 -937.964463506604</t>
  </si>
  <si>
    <t>-596.959378108082 142.268894696754 -786.819896268609</t>
  </si>
  <si>
    <t>-517.271561392007 263.39394391557 -762.255867650771</t>
  </si>
  <si>
    <t>-473.04048456038 245.582145052489 -449.346101227251</t>
  </si>
  <si>
    <t>-323.709004164956 126.408333586082 -272.881422958313</t>
  </si>
  <si>
    <t>-626.249265522793 85.8354835254286 -787.693348178017</t>
  </si>
  <si>
    <t>-464.144825698967 9.53481530457407 -393.049178776914</t>
  </si>
  <si>
    <t>-593.863693801056 203.98544043147 -243.125652284346</t>
  </si>
  <si>
    <t>-573.810961501924 248.933409653908 209.903254748154</t>
  </si>
  <si>
    <t>-546.753459936941 287.493480768853 677.46731028758</t>
  </si>
  <si>
    <t>-398.756768845425 237.549890516757 758.375456691457</t>
  </si>
  <si>
    <t>-666.815788536815 25.605652271953 -248.40725245795</t>
  </si>
  <si>
    <t>-667.919700298311 7.82055751878443 206.938923668169</t>
  </si>
  <si>
    <t>-704.952659243466 29.8389470941092 674.329574346189</t>
  </si>
  <si>
    <t>-589.801950438499 -73.168760048547 758.43211625405</t>
  </si>
  <si>
    <t>9763-20170724T160756.621910700.bin</t>
  </si>
  <si>
    <t>-632.037329281878 113.756973120412 -245.94728022936</t>
  </si>
  <si>
    <t>-650.693123544648 125.093564940873 -365.074244420483</t>
  </si>
  <si>
    <t>-650.941723929765 127.500308540486 -486.254834781123</t>
  </si>
  <si>
    <t>-643.671509988719 125.81988683439 -595.521255592227</t>
  </si>
  <si>
    <t>-629.087262806082 120.236372045717 -703.923108179494</t>
  </si>
  <si>
    <t>-601.297475558802 108.338249529387 -853.208726627597</t>
  </si>
  <si>
    <t>-547.421035793897 91.0653491047024 -937.955153444798</t>
  </si>
  <si>
    <t>-598.966595705807 141.828281729364 -786.681211087835</t>
  </si>
  <si>
    <t>-519.262005554636 262.941598435439 -762.095367369107</t>
  </si>
  <si>
    <t>-474.872350487625 242.91305372376 -449.342046390288</t>
  </si>
  <si>
    <t>-325.217865160324 124.865407744473 -272.394677711938</t>
  </si>
  <si>
    <t>-628.220572381944 85.3773456584229 -787.627699050929</t>
  </si>
  <si>
    <t>-466.189396541552 8.98798035842879 -393.09524297774</t>
  </si>
  <si>
    <t>-595.658150383646 202.989021273774 -242.919375922562</t>
  </si>
  <si>
    <t>-574.795686479906 248.446584436818 210.022062475032</t>
  </si>
  <si>
    <t>-546.708002634562 287.491232552701 677.486501759764</t>
  </si>
  <si>
    <t>-398.681471009761 237.545507114557 758.338838336376</t>
  </si>
  <si>
    <t>-668.399608930529 24.4235177686533 -248.337346532116</t>
  </si>
  <si>
    <t>-669.384931902381 7.40832176478307 207.038550960289</t>
  </si>
  <si>
    <t>-705.117377222894 29.7285844202086 674.502739671904</t>
  </si>
  <si>
    <t>-589.811870955804 -73.1245528822312 758.582355710652</t>
  </si>
  <si>
    <t>9763-20170724T160756.694106300.bin</t>
  </si>
  <si>
    <t>-635.232247222511 111.275654128261 -245.621363508836</t>
  </si>
  <si>
    <t>-653.762214532577 122.712580100118 -364.758472674842</t>
  </si>
  <si>
    <t>-654.086087312258 125.385221981145 -485.933149502386</t>
  </si>
  <si>
    <t>-646.962549290302 124.014323826621 -595.213730637323</t>
  </si>
  <si>
    <t>-632.600424760129 118.80950398136 -703.663984052606</t>
  </si>
  <si>
    <t>-605.194050885381 107.509370166244 -853.066875411565</t>
  </si>
  <si>
    <t>-551.496435977714 90.666233352981 -938.013157158346</t>
  </si>
  <si>
    <t>-602.746396736558 140.761044130977 -786.424115108113</t>
  </si>
  <si>
    <t>-523.403860348901 262.04798435132 -761.647442396214</t>
  </si>
  <si>
    <t>-476.638457013314 238.883735973755 -449.457366047518</t>
  </si>
  <si>
    <t>-323.006035696679 129.67477893017 -270.257666639262</t>
  </si>
  <si>
    <t>-631.894637444187 84.257622809025 -787.49739688706</t>
  </si>
  <si>
    <t>-469.946331143921 7.7288899503219 -393.087543999845</t>
  </si>
  <si>
    <t>-599.075460269384 200.416991345429 -242.430014286549</t>
  </si>
  <si>
    <t>-576.353708340074 247.325889475049 210.273999520826</t>
  </si>
  <si>
    <t>-546.548935960815 287.559638439009 677.511766189274</t>
  </si>
  <si>
    <t>-398.474363289291 237.638643946211 758.291266463656</t>
  </si>
  <si>
    <t>-671.28974894811 21.944527830716 -248.135398299343</t>
  </si>
  <si>
    <t>-672.163924853191 6.35189831541265 207.291690604521</t>
  </si>
  <si>
    <t>-705.501761506178 29.4938737177588 674.881037061615</t>
  </si>
  <si>
    <t>-589.944850139253 -73.1070611869347 758.92364450336</t>
  </si>
  <si>
    <t>9763-20170724T160756.722181400.bin</t>
  </si>
  <si>
    <t>-636.765505403333 109.949205250631 -245.432773950686</t>
  </si>
  <si>
    <t>-655.238378941211 121.442837849244 -364.573384629627</t>
  </si>
  <si>
    <t>-655.604758453289 124.229314852286 -485.74544533596</t>
  </si>
  <si>
    <t>-648.559079524748 122.985072626186 -595.032384708611</t>
  </si>
  <si>
    <t>-634.312827538372 117.930798274902 -703.50523445552</t>
  </si>
  <si>
    <t>-607.105460914799 106.864614125917 -852.961864756855</t>
  </si>
  <si>
    <t>-553.515927629033 90.1700956851378 -938.005620712209</t>
  </si>
  <si>
    <t>-604.584777936412 140.019947769863 -786.273975171983</t>
  </si>
  <si>
    <t>-525.29218510805 261.405089839166 -761.566620443434</t>
  </si>
  <si>
    <t>-476.919453651575 237.798262389718 -449.654781080657</t>
  </si>
  <si>
    <t>-321.771914739609 131.118483587534 -270.237067161379</t>
  </si>
  <si>
    <t>-633.703045446361 83.5020854845761 -787.38998207165</t>
  </si>
  <si>
    <t>-471.74863268114 7.08501410420604 -392.922588788809</t>
  </si>
  <si>
    <t>-600.746289552656 199.111051979139 -242.176760842994</t>
  </si>
  <si>
    <t>-577.05411549672 246.707415447222 210.405818573382</t>
  </si>
  <si>
    <t>-546.493290781357 287.560934639964 677.533134403335</t>
  </si>
  <si>
    <t>-398.362555652551 237.753159812322 758.279613796752</t>
  </si>
  <si>
    <t>-672.736596031524 20.6755740549263 -248.031016038183</t>
  </si>
  <si>
    <t>-673.463339471356 5.84013567896272 207.421553329633</t>
  </si>
  <si>
    <t>-705.575146433831 29.4476755001099 675.08202113969</t>
  </si>
  <si>
    <t>-590.210707962424 -73.3655095792838 759.129678138945</t>
  </si>
  <si>
    <t>9763-20170724T160756.787364800.bin</t>
  </si>
  <si>
    <t>-640.016708588292 107.098558890261 -245.009125765525</t>
  </si>
  <si>
    <t>-658.419268612689 118.813272245563 -364.139018905754</t>
  </si>
  <si>
    <t>-658.889044752338 121.819401890356 -485.30537583251</t>
  </si>
  <si>
    <t>-652.007903116581 120.770404600304 -594.605016513751</t>
  </si>
  <si>
    <t>-637.99688771637 115.905979232096 -703.117166730572</t>
  </si>
  <si>
    <t>-611.189227884968 105.096013094603 -852.664685328039</t>
  </si>
  <si>
    <t>-557.856633134977 88.559248973871 -937.900636916764</t>
  </si>
  <si>
    <t>-608.459957080182 138.121294323647 -785.920551959956</t>
  </si>
  <si>
    <t>-528.989957346409 259.423793130792 -761.596140356768</t>
  </si>
  <si>
    <t>-480.505156347634 236.834236161845 -449.626424356553</t>
  </si>
  <si>
    <t>-320.500400588052 135.195886811184 -271.552752739655</t>
  </si>
  <si>
    <t>-637.641711007893 81.636773068346 -787.068632052474</t>
  </si>
  <si>
    <t>-475.838622960457 5.12799955120386 -392.5602348199</t>
  </si>
  <si>
    <t>-603.993643362662 196.096239274196 -241.586494198184</t>
  </si>
  <si>
    <t>-578.462720993055 245.180322307426 210.737047314702</t>
  </si>
  <si>
    <t>-546.363543743865 287.568211512505 677.579708617203</t>
  </si>
  <si>
    <t>-398.152621961893 237.931442202621 758.284357383588</t>
  </si>
  <si>
    <t>-676.041142335129 17.9746052374833 -247.749544022891</t>
  </si>
  <si>
    <t>-676.060320786381 4.71123627303996 207.752146982389</t>
  </si>
  <si>
    <t>-705.75017416952 29.4343100795193 675.567344738146</t>
  </si>
  <si>
    <t>-590.323242529174 -73.3541515175716 759.559405528644</t>
  </si>
  <si>
    <t>9763-20170724T160756.828476100.bin</t>
  </si>
  <si>
    <t>-641.677105859558 105.580297310132 -244.758262277054</t>
  </si>
  <si>
    <t>-660.056880403842 117.411895271832 -363.880075618281</t>
  </si>
  <si>
    <t>-660.585126362366 120.489117172184 -485.044536628373</t>
  </si>
  <si>
    <t>-653.789823168107 119.486063559033 -594.349996901229</t>
  </si>
  <si>
    <t>-639.896989378898 114.649782777125 -702.878497978824</t>
  </si>
  <si>
    <t>-613.286622054941 103.860685964236 -852.462884283585</t>
  </si>
  <si>
    <t>-560.103844341916 87.3579337712354 -937.798896090781</t>
  </si>
  <si>
    <t>-610.457958816399 136.870764632181 -785.715255022857</t>
  </si>
  <si>
    <t>-531.089260320326 258.309939447723 -761.638057113077</t>
  </si>
  <si>
    <t>-482.888671438897 236.754504007516 -449.551210848662</t>
  </si>
  <si>
    <t>-319.670546517241 138.60597801885 -272.438771026844</t>
  </si>
  <si>
    <t>-639.663850724739 80.3982400345124 -786.83761522064</t>
  </si>
  <si>
    <t>-477.841473716993 3.76760778209587 -392.377133607908</t>
  </si>
  <si>
    <t>-605.581856223376 194.43878391806 -241.262545919851</t>
  </si>
  <si>
    <t>-579.107605889294 244.318843904375 210.919776119793</t>
  </si>
  <si>
    <t>-546.290976935456 287.553304515507 677.592297876999</t>
  </si>
  <si>
    <t>-398.050218118684 237.995221709654 758.290458989474</t>
  </si>
  <si>
    <t>-677.779077282926 16.5458540328834 -247.581117328473</t>
  </si>
  <si>
    <t>-677.250379359265 3.95385449133141 207.939227253532</t>
  </si>
  <si>
    <t>-705.956451965307 29.3804085888337 675.804347217134</t>
  </si>
  <si>
    <t>-590.214516828383 -73.1022735101626 759.736545475876</t>
  </si>
  <si>
    <t>9763-20170724T160756.888616100.bin</t>
  </si>
  <si>
    <t>-644.806404109676 102.705915647566 -244.353200422774</t>
  </si>
  <si>
    <t>-663.222522165675 114.651430898854 -363.457953267817</t>
  </si>
  <si>
    <t>-663.913565170508 117.741042072165 -484.621304535644</t>
  </si>
  <si>
    <t>-657.315643396244 116.710445201609 -593.938500043887</t>
  </si>
  <si>
    <t>-643.669260381081 111.809359328551 -702.495294550399</t>
  </si>
  <si>
    <t>-617.45146574996 100.892440054173 -852.139817094084</t>
  </si>
  <si>
    <t>-564.487657121063 84.4304175409538 -937.619699067889</t>
  </si>
  <si>
    <t>-614.466331517768 133.969284780034 -785.432029775071</t>
  </si>
  <si>
    <t>-535.221363532937 255.541129404265 -761.714548139611</t>
  </si>
  <si>
    <t>-489.102058889096 237.857060091102 -449.070224358583</t>
  </si>
  <si>
    <t>-321.937457611975 146.279411893516 -272.119373108732</t>
  </si>
  <si>
    <t>-643.637753959423 77.4763514650413 -786.421552192922</t>
  </si>
  <si>
    <t>-481.599493887126 0.95197414135032 -391.983548283836</t>
  </si>
  <si>
    <t>-608.795826435764 191.397760681765 -240.744770626408</t>
  </si>
  <si>
    <t>-580.135965267937 242.631454817922 211.152805594415</t>
  </si>
  <si>
    <t>-546.126451028528 287.520720906276 677.577042972834</t>
  </si>
  <si>
    <t>-397.847454983652 238.060046038615 758.264779620778</t>
  </si>
  <si>
    <t>-680.830042950394 13.8107968164786 -247.273463151614</t>
  </si>
  <si>
    <t>-679.411731226991 2.49689531017793 208.278491147156</t>
  </si>
  <si>
    <t>-706.093337039731 29.3457338929072 676.180834805739</t>
  </si>
  <si>
    <t>-590.629597680093 -73.4925263817054 760.061258468117</t>
  </si>
  <si>
    <t>9763-20170724T160756.921708500.bin</t>
  </si>
  <si>
    <t>-646.455814136774 101.287465255041 -244.12739443806</t>
  </si>
  <si>
    <t>-664.937227030276 113.184656052043 -363.226853295716</t>
  </si>
  <si>
    <t>-665.714689436969 116.226397237193 -484.39090348978</t>
  </si>
  <si>
    <t>-659.202929716811 115.152912023549 -593.712838326659</t>
  </si>
  <si>
    <t>-645.650655100345 110.208929628576 -702.279592449322</t>
  </si>
  <si>
    <t>-619.57155883852 99.2323554278489 -851.943836806697</t>
  </si>
  <si>
    <t>-566.683280995216 82.8229080133535 -937.480765615761</t>
  </si>
  <si>
    <t>-616.560631692067 132.354357950874 -785.259801403783</t>
  </si>
  <si>
    <t>-537.360034601474 253.989754357845 -761.645441676665</t>
  </si>
  <si>
    <t>-492.574125423295 238.310775861891 -448.700342988092</t>
  </si>
  <si>
    <t>-323.654595389433 149.700047151165 -271.905601500997</t>
  </si>
  <si>
    <t>-645.66097436803 75.8238166745271 -786.184422881061</t>
  </si>
  <si>
    <t>-610.548870190472 190.061489192755 -240.536104398612</t>
  </si>
  <si>
    <t>-580.519497115864 241.770746515816 211.218375131835</t>
  </si>
  <si>
    <t>-546.053643047445 287.479877387959 677.543194318005</t>
  </si>
  <si>
    <t>-397.76300560905 238.041044240638 758.222864384315</t>
  </si>
  <si>
    <t>-682.389342639981 12.3757817308538 -247.068728638582</t>
  </si>
  <si>
    <t>-680.819256831145 1.82475013189196 208.501146006958</t>
  </si>
  <si>
    <t>-706.451174171869 29.1590401892397 676.419311296224</t>
  </si>
  <si>
    <t>-590.608683725683 -73.3032828770044 760.237577851044</t>
  </si>
  <si>
    <t>9763-20170724T160756.988559800.bin</t>
  </si>
  <si>
    <t>-649.750530061763 98.7840288507202 -243.705570362253</t>
  </si>
  <si>
    <t>-668.407502140283 110.565913295504 -362.78911553834</t>
  </si>
  <si>
    <t>-669.363255899784 113.53786053487 -483.953540285236</t>
  </si>
  <si>
    <t>-663.013703478136 112.416810785185 -593.284651773616</t>
  </si>
  <si>
    <t>-649.625570683651 107.437515230014 -701.870099801926</t>
  </si>
  <si>
    <t>-623.776876235599 96.4225288785372 -851.571540101585</t>
  </si>
  <si>
    <t>-571.009096223885 80.1735874823614 -937.213374701595</t>
  </si>
  <si>
    <t>-620.774420666543 129.619073220231 -784.923972222459</t>
  </si>
  <si>
    <t>-541.896241135907 251.464632810111 -761.354793060339</t>
  </si>
  <si>
    <t>-500.455537022352 238.376625326496 -447.83031040681</t>
  </si>
  <si>
    <t>-328.842797779562 153.531613773113 -271.783639119543</t>
  </si>
  <si>
    <t>-649.653812419103 72.9735785225118 -785.742689694879</t>
  </si>
  <si>
    <t>-614.106203585746 187.832794902578 -240.166975671847</t>
  </si>
  <si>
    <t>-581.461811336133 240.186863414631 211.331753963452</t>
  </si>
  <si>
    <t>-545.939936680875 287.393600244617 677.468644834205</t>
  </si>
  <si>
    <t>-397.565936925645 238.17811842834 758.131555288371</t>
  </si>
  <si>
    <t>-685.363526237431 9.65773983500867 -246.615967053284</t>
  </si>
  <si>
    <t>-683.578099751846 0.721168574401418 208.987610081587</t>
  </si>
  <si>
    <t>-706.950573530875 28.9114538200968 676.968291569085</t>
  </si>
  <si>
    <t>-590.419255900834 -72.8856596481226 760.642147395348</t>
  </si>
  <si>
    <t>9763-20170724T160757.021644500.bin</t>
  </si>
  <si>
    <t>-651.397479005119 97.7146386751388 -243.505599247285</t>
  </si>
  <si>
    <t>-670.17182903294 109.387242151742 -362.581519889253</t>
  </si>
  <si>
    <t>-671.262354494555 112.308771465617 -483.745991442826</t>
  </si>
  <si>
    <t>-665.04098201881 111.165013671922 -593.084165587469</t>
  </si>
  <si>
    <t>-651.786882908098 106.184747361567 -701.686165970029</t>
  </si>
  <si>
    <t>-626.13052968517 95.1894884880655 -851.422053307724</t>
  </si>
  <si>
    <t>-573.441760601983 79.041628227252 -937.131649589095</t>
  </si>
  <si>
    <t>-623.136634908753 128.425431317123 -784.793719633438</t>
  </si>
  <si>
    <t>-544.777746578386 250.618443476694 -761.29942659539</t>
  </si>
  <si>
    <t>-504.005143307412 237.918181764194 -447.671505782636</t>
  </si>
  <si>
    <t>-330.899564805695 155.559994419283 -271.905583776846</t>
  </si>
  <si>
    <t>-651.8286509965 71.6837370048493 -785.543449516996</t>
  </si>
  <si>
    <t>-616.042570458058 186.909577572948 -239.97866497141</t>
  </si>
  <si>
    <t>-582.02213096856 239.591428619598 211.380286173943</t>
  </si>
  <si>
    <t>-545.885619976757 287.385156194621 677.450962552645</t>
  </si>
  <si>
    <t>-397.451963559644 238.317130053849 758.093828632496</t>
  </si>
  <si>
    <t>-686.769083747055 8.42681909758244 -246.361351755031</t>
  </si>
  <si>
    <t>-684.889724752537 0.241042972473679 209.255924934476</t>
  </si>
  <si>
    <t>-707.264027999978 28.7544807583274 677.279862175299</t>
  </si>
  <si>
    <t>-590.440835128594 -72.7689430350724 760.879187372209</t>
  </si>
  <si>
    <t>9763-20170724T160757.085850500.bin</t>
  </si>
  <si>
    <t>-654.817942902098 95.6674671128728 -242.983611142958</t>
  </si>
  <si>
    <t>-673.853069828828 107.079618048325 -362.043328285633</t>
  </si>
  <si>
    <t>-675.206611930361 109.848635755566 -483.208814893227</t>
  </si>
  <si>
    <t>-669.22324006266 108.607447204655 -592.559142083703</t>
  </si>
  <si>
    <t>-656.207828123499 103.566195992407 -701.187234629604</t>
  </si>
  <si>
    <t>-630.883831679264 92.5213447168951 -850.976153582391</t>
  </si>
  <si>
    <t>-578.332244363899 76.5912941652089 -936.81040966577</t>
  </si>
  <si>
    <t>-627.960385010209 125.889059273206 -784.410520962768</t>
  </si>
  <si>
    <t>-550.584878326751 248.788219096917 -761.269924572257</t>
  </si>
  <si>
    <t>-510.767422483366 237.395644856046 -447.469009729893</t>
  </si>
  <si>
    <t>-333.681404626945 159.880465554291 -273.47483811689</t>
  </si>
  <si>
    <t>-656.217423611124 68.9276626171659 -784.987792329823</t>
  </si>
  <si>
    <t>-620.286883629211 185.158306434904 -239.475921620664</t>
  </si>
  <si>
    <t>-583.231238073301 238.589508807418 211.555857858708</t>
  </si>
  <si>
    <t>-545.83982262569 287.340396889676 677.445743342121</t>
  </si>
  <si>
    <t>-397.232998030865 238.68982437368 758.022752436752</t>
  </si>
  <si>
    <t>-689.378428908679 6.06325315925187 -245.756372642271</t>
  </si>
  <si>
    <t>-687.390638367126 -0.516913086087015 209.88658451219</t>
  </si>
  <si>
    <t>-707.666107308183 28.5766318388721 677.973747317255</t>
  </si>
  <si>
    <t>-590.366736200643 -72.5268515876851 761.415058703017</t>
  </si>
  <si>
    <t>9763-20170724T160757.126931500.bin</t>
  </si>
  <si>
    <t>-656.643936707882 94.7385339345274 -242.648612607908</t>
  </si>
  <si>
    <t>-675.710672817815 105.98482220659 -361.719181905667</t>
  </si>
  <si>
    <t>-677.129962557296 108.618877680678 -482.886895996143</t>
  </si>
  <si>
    <t>-671.220403885949 107.267427769787 -592.240016204025</t>
  </si>
  <si>
    <t>-658.293447407501 102.126402110986 -700.873822849147</t>
  </si>
  <si>
    <t>-633.107830352363 90.9526901024074 -850.6765089546</t>
  </si>
  <si>
    <t>-580.620554882243 75.1147506773953 -936.567214153943</t>
  </si>
  <si>
    <t>-630.246171812553 124.438568734134 -784.167683102312</t>
  </si>
  <si>
    <t>-553.321312732953 247.680524603581 -761.386984939035</t>
  </si>
  <si>
    <t>-513.763729816851 237.698460733603 -447.505247735272</t>
  </si>
  <si>
    <t>-335.687468586867 161.61772202415 -273.888958603615</t>
  </si>
  <si>
    <t>-658.257244130613 67.3547968836924 -784.619216946618</t>
  </si>
  <si>
    <t>-622.507903300754 184.377456526894 -239.180157220853</t>
  </si>
  <si>
    <t>-584.038573859865 238.191581846424 211.687678667819</t>
  </si>
  <si>
    <t>-545.799026542602 287.36752361931 677.462066775932</t>
  </si>
  <si>
    <t>-397.132566294633 238.839182198595 758.002575110116</t>
  </si>
  <si>
    <t>-690.739436693492 4.96436845869994 -245.40341641463</t>
  </si>
  <si>
    <t>-688.721294796791 -0.850748664196544 210.249738035314</t>
  </si>
  <si>
    <t>-707.786166324903 28.5591366600834 678.374625980199</t>
  </si>
  <si>
    <t>-590.243211255715 -72.3286032352978 761.734260802112</t>
  </si>
  <si>
    <t>9763-20170724T160757.186895800.bin</t>
  </si>
  <si>
    <t>-660.134050909752 92.8713852042488 -241.95398862765</t>
  </si>
  <si>
    <t>-679.264105455475 103.8454485945 -361.039769500702</t>
  </si>
  <si>
    <t>-680.859976043578 106.233648151879 -482.21033981588</t>
  </si>
  <si>
    <t>-675.156520620676 104.66980442858 -591.57159969858</t>
  </si>
  <si>
    <t>-662.483600028474 99.3225312465465 -700.22533892415</t>
  </si>
  <si>
    <t>-637.701051616932 87.8665351870529 -850.074004910799</t>
  </si>
  <si>
    <t>-585.39313989557 72.1885540185115 -936.103466868688</t>
  </si>
  <si>
    <t>-634.908778619867 121.598442739098 -783.68666548276</t>
  </si>
  <si>
    <t>-559.028718373866 245.594448466766 -761.564018012712</t>
  </si>
  <si>
    <t>-519.703425054683 237.507581380414 -447.598493172595</t>
  </si>
  <si>
    <t>-343.127954626743 162.372264736888 -272.048526985543</t>
  </si>
  <si>
    <t>-662.424344291845 64.2724742595451 -783.854655685743</t>
  </si>
  <si>
    <t>-626.782706464501 182.971632528634 -238.553681217435</t>
  </si>
  <si>
    <t>-586.067326637741 237.696030636805 212.007269630967</t>
  </si>
  <si>
    <t>-545.752489901477 287.419640290134 677.535073432424</t>
  </si>
  <si>
    <t>-396.904172008125 239.309378138893 757.990528887426</t>
  </si>
  <si>
    <t>-693.460060544827 2.69227983274959 -244.67814420631</t>
  </si>
  <si>
    <t>-691.355583409658 -1.67188096096652 210.990820865981</t>
  </si>
  <si>
    <t>-708.230873123563 28.3795066046769 679.169728666837</t>
  </si>
  <si>
    <t>-589.88658492602 -71.7027131036955 762.366401383923</t>
  </si>
  <si>
    <t>9763-20170724T160757.226000400.bin</t>
  </si>
  <si>
    <t>-661.818470973646 92.014920270655 -241.609456045641</t>
  </si>
  <si>
    <t>-680.948221245368 102.829364018993 -360.709922419337</t>
  </si>
  <si>
    <t>-682.620038147236 105.087023698629 -481.881983085203</t>
  </si>
  <si>
    <t>-677.017036091969 103.416028556276 -591.246891568436</t>
  </si>
  <si>
    <t>-664.476560193904 97.9710887112637 -699.91121267629</t>
  </si>
  <si>
    <t>-639.91166370818 86.387665668814 -849.785694757921</t>
  </si>
  <si>
    <t>-587.714940261764 70.7735160627415 -935.894324624162</t>
  </si>
  <si>
    <t>-637.148348737086 120.235877673964 -783.456263864915</t>
  </si>
  <si>
    <t>-561.810380519152 244.634742857766 -761.674802426525</t>
  </si>
  <si>
    <t>-522.367517610854 236.859395039105 -447.716225566642</t>
  </si>
  <si>
    <t>-345.78468843163 162.577978754515 -271.810433228852</t>
  </si>
  <si>
    <t>-664.413342662817 62.790119200512 -783.485422835578</t>
  </si>
  <si>
    <t>-628.904371471148 182.330219460056 -238.224533784875</t>
  </si>
  <si>
    <t>-587.154463219811 237.534598074326 212.18316944352</t>
  </si>
  <si>
    <t>-545.724604857125 287.473466477569 677.592768356591</t>
  </si>
  <si>
    <t>-396.801194976409 239.513228677044 757.998914445463</t>
  </si>
  <si>
    <t>-694.678839833789 1.62360413508645 -244.30670339378</t>
  </si>
  <si>
    <t>-692.534018535502 -2.01304699670618 211.368505518681</t>
  </si>
  <si>
    <t>-708.386165553712 28.3442924331907 679.584825146359</t>
  </si>
  <si>
    <t>-589.784678616981 -71.5034649785034 762.696929882458</t>
  </si>
  <si>
    <t>9763-20170724T160757.288184100.bin</t>
  </si>
  <si>
    <t>-665.170142780579 90.3159655762749 -240.861341001066</t>
  </si>
  <si>
    <t>-684.311246884027 100.816562399478 -359.987959672412</t>
  </si>
  <si>
    <t>-686.100634612508 102.85646300434 -481.162325534019</t>
  </si>
  <si>
    <t>-680.648650670003 101.024493137455 -590.532200336355</t>
  </si>
  <si>
    <t>-668.305301949563 95.4499846914398 -699.212617044634</t>
  </si>
  <si>
    <t>-644.062439204883 83.7163358587752 -849.127893734669</t>
  </si>
  <si>
    <t>-592.044104787712 68.2753349190853 -935.375392063261</t>
  </si>
  <si>
    <t>-641.413309176288 117.751253531581 -782.889444891611</t>
  </si>
  <si>
    <t>-567.247381694799 242.929201506784 -761.660910927343</t>
  </si>
  <si>
    <t>-527.786627513747 236.054441926005 -447.6835251657</t>
  </si>
  <si>
    <t>-346.422885773795 168.17253204451 -274.071064839084</t>
  </si>
  <si>
    <t>-668.164995220778 60.0649768654655 -782.700479228805</t>
  </si>
  <si>
    <t>-633.145516660867 181.040888648709 -237.522843248616</t>
  </si>
  <si>
    <t>-589.393843177533 237.162905133674 212.581321642861</t>
  </si>
  <si>
    <t>-545.688638177511 287.5751440973 677.724597048811</t>
  </si>
  <si>
    <t>-396.586404230445 239.989989911381 758.02202210291</t>
  </si>
  <si>
    <t>-694.751160289269 -2.90241340579519 212.171452818624</t>
  </si>
  <si>
    <t>-708.916675426036 28.1573422813826 680.43542114976</t>
  </si>
  <si>
    <t>-589.376294775834 -70.7465574574619 763.330691832886</t>
  </si>
  <si>
    <t>9763-20170724T160757.324292800.bin</t>
  </si>
  <si>
    <t>-666.760185595553 89.3950470673794 -240.473692254763</t>
  </si>
  <si>
    <t>-685.941532589904 99.7738142333164 -359.604483290173</t>
  </si>
  <si>
    <t>-687.799622054276 101.739762141175 -480.77904171608</t>
  </si>
  <si>
    <t>-682.420981811637 99.8601899626185 -590.15166723173</t>
  </si>
  <si>
    <t>-670.16188569227 94.2564692719998 -698.840034020059</t>
  </si>
  <si>
    <t>-646.047666257992 82.500017876552 -848.774328621418</t>
  </si>
  <si>
    <t>-594.089469043576 67.1808294885184 -935.079880102592</t>
  </si>
  <si>
    <t>-643.494085031689 116.614993652471 -782.573471250995</t>
  </si>
  <si>
    <t>-569.990201370104 242.238790668342 -761.607595600997</t>
  </si>
  <si>
    <t>-529.708263960532 236.757334756541 -447.707212828735</t>
  </si>
  <si>
    <t>-346.68944502987 170.598183695136 -275.16976917441</t>
  </si>
  <si>
    <t>-669.940881486571 58.7887216294746 -782.292652670748</t>
  </si>
  <si>
    <t>-635.188719020676 180.259131719198 -237.145177468429</t>
  </si>
  <si>
    <t>-590.461129141273 236.932402269683 212.793951973036</t>
  </si>
  <si>
    <t>-545.68285884771 287.617815267488 677.790950133483</t>
  </si>
  <si>
    <t>-396.480832890836 240.258226423269 758.036385346331</t>
  </si>
  <si>
    <t>-695.65339865928 -3.43255358270926 212.580937367195</t>
  </si>
  <si>
    <t>-709.240219380965 28.0478658693 680.866861613035</t>
  </si>
  <si>
    <t>-589.378042357259 -70.5557505017807 763.655145921728</t>
  </si>
  <si>
    <t>9763-20170724T160757.392483400.bin</t>
  </si>
  <si>
    <t>-669.712042853273 87.5530256804229 -239.669588597477</t>
  </si>
  <si>
    <t>-688.976184416461 97.685791086159 -358.808219958531</t>
  </si>
  <si>
    <t>-690.911732964167 99.4925449759869 -479.984005089063</t>
  </si>
  <si>
    <t>-685.600444821491 97.5037591114717 -589.357964428649</t>
  </si>
  <si>
    <t>-673.406969691767 91.8223782608688 -698.049839814129</t>
  </si>
  <si>
    <t>-649.382124193984 79.989388408113 -847.99246074235</t>
  </si>
  <si>
    <t>-597.438510470787 64.9437934282687 -934.354886839831</t>
  </si>
  <si>
    <t>-647.088704972012 114.273037558736 -781.868980456967</t>
  </si>
  <si>
    <t>-574.769360436813 240.643982067265 -761.376375641234</t>
  </si>
  <si>
    <t>-533.622215070659 237.286178429884 -447.558190597741</t>
  </si>
  <si>
    <t>-346.192277546713 175.789547773504 -278.05818509949</t>
  </si>
  <si>
    <t>-672.936001743866 56.1772491090614 -781.425734254034</t>
  </si>
  <si>
    <t>-638.946428421459 178.797476152378 -236.40198520545</t>
  </si>
  <si>
    <t>-592.387243711629 236.467531944113 213.224607619363</t>
  </si>
  <si>
    <t>-545.575210023851 287.771034300397 677.919649649069</t>
  </si>
  <si>
    <t>-396.172619145827 240.846369756508 758.04732215962</t>
  </si>
  <si>
    <t>-697.117658315179 -4.40413371338877 213.387258151342</t>
  </si>
  <si>
    <t>-709.446891162209 28.1120453664771 681.693596771258</t>
  </si>
  <si>
    <t>-589.01272035909 -69.952485050238 764.291853314019</t>
  </si>
  <si>
    <t>9763-20170724T160757.423558900.bin</t>
  </si>
  <si>
    <t>-671.082471245746 86.5361118269093 -239.27089799</t>
  </si>
  <si>
    <t>-690.354278186959 96.5573398241618 -358.417779296161</t>
  </si>
  <si>
    <t>-692.310205656945 98.3143974210209 -479.593838401349</t>
  </si>
  <si>
    <t>-687.022622282345 96.3047741826629 -588.968660012179</t>
  </si>
  <si>
    <t>-674.85842145109 90.6249119730437 -697.663825895051</t>
  </si>
  <si>
    <t>-650.87999915973 78.8162027200494 -847.615802822889</t>
  </si>
  <si>
    <t>-598.936058261429 63.9375664215349 -934.00687459537</t>
  </si>
  <si>
    <t>-648.7097916958 113.152368933955 -781.515568219831</t>
  </si>
  <si>
    <t>-576.972108471284 239.891229153284 -761.150784690383</t>
  </si>
  <si>
    <t>-535.21929726678 237.12843428094 -447.40689783535</t>
  </si>
  <si>
    <t>-347.052784578853 176.585604447173 -278.380371827471</t>
  </si>
  <si>
    <t>-674.269574409588 54.9300640719814 -781.017700621885</t>
  </si>
  <si>
    <t>-640.812998222985 177.89293951698 -236.000858588518</t>
  </si>
  <si>
    <t>-593.293187634899 236.202959081066 213.442634109348</t>
  </si>
  <si>
    <t>-545.573553296777 287.781740476544 677.981833696659</t>
  </si>
  <si>
    <t>-396.07159064415 241.081444669486 758.055374364488</t>
  </si>
  <si>
    <t>-697.957741555331 -4.8830627106363 213.77853674751</t>
  </si>
  <si>
    <t>-709.597158560062 28.0906743273006 682.07103664998</t>
  </si>
  <si>
    <t>-588.84237307783 -69.6427262839138 764.593604634604</t>
  </si>
  <si>
    <t>9763-20170724T160757.487751800.bin</t>
  </si>
  <si>
    <t>-673.593187980173 84.485302811411 -238.532215612076</t>
  </si>
  <si>
    <t>-692.760119852018 94.2535049922315 -357.717026558329</t>
  </si>
  <si>
    <t>-694.620612303117 95.8858944700085 -478.896431504777</t>
  </si>
  <si>
    <t>-689.2508820999 93.8153886430885 -588.266039468526</t>
  </si>
  <si>
    <t>-677.009282648693 88.1240480277399 -696.951900246556</t>
  </si>
  <si>
    <t>-652.928421619243 76.349091876918 -846.890075632817</t>
  </si>
  <si>
    <t>-600.893252223132 61.8343838786461 -933.288332201459</t>
  </si>
  <si>
    <t>-651.06988066538 110.785307095347 -780.832586951909</t>
  </si>
  <si>
    <t>-580.39450566091 238.114526262748 -760.534898856338</t>
  </si>
  <si>
    <t>-538.331727023524 235.297132584887 -446.83276598037</t>
  </si>
  <si>
    <t>-348.952405491645 176.119657306682 -278.679426260851</t>
  </si>
  <si>
    <t>-676.097207618582 52.3327765749593 -780.261688825875</t>
  </si>
  <si>
    <t>-644.051515652737 176.127480658319 -235.30266348639</t>
  </si>
  <si>
    <t>-594.927873060929 235.458579416779 213.834741764847</t>
  </si>
  <si>
    <t>-545.565850769788 287.805751639931 678.104297356786</t>
  </si>
  <si>
    <t>-395.868272054333 241.552787658979 758.071821743082</t>
  </si>
  <si>
    <t>-699.521376191303 -5.80269655651773 214.515646928962</t>
  </si>
  <si>
    <t>-709.821521699871 28.1158738241193 682.809630059974</t>
  </si>
  <si>
    <t>-588.531171590136 -69.0864186733565 765.173929342232</t>
  </si>
  <si>
    <t>9763-20170724T160757.524834800.bin</t>
  </si>
  <si>
    <t>-674.704815383535 83.4154149404565 -238.20896330205</t>
  </si>
  <si>
    <t>-693.792574897681 93.0857806191789 -357.414434394246</t>
  </si>
  <si>
    <t>-695.573452010729 94.6800601657337 -478.595324406969</t>
  </si>
  <si>
    <t>-690.131549289754 92.6000660508594 -587.961357931707</t>
  </si>
  <si>
    <t>-677.81725300754 86.9241637248733 -696.639750401393</t>
  </si>
  <si>
    <t>-653.63467179131 75.1963954463565 -846.565282378603</t>
  </si>
  <si>
    <t>-601.536018073093 60.8855218791898 -932.959248266022</t>
  </si>
  <si>
    <t>-651.949823494325 109.666565038464 -780.520758339595</t>
  </si>
  <si>
    <t>-581.811648061926 237.315545720487 -760.214548866645</t>
  </si>
  <si>
    <t>-540.032608240775 234.229252236873 -446.477121117191</t>
  </si>
  <si>
    <t>-350.323634623861 175.71196153057 -278.464312211323</t>
  </si>
  <si>
    <t>-676.719620630396 51.1045489182961 -779.935048818166</t>
  </si>
  <si>
    <t>-645.52985141953 175.149181443324 -234.953927256969</t>
  </si>
  <si>
    <t>-595.642175725868 235.003656291219 214.029825725926</t>
  </si>
  <si>
    <t>-545.560642709831 287.815531856494 678.154077801279</t>
  </si>
  <si>
    <t>-395.779028079052 241.75675839609 758.076278075785</t>
  </si>
  <si>
    <t>-700.225753674605 -6.36169161157068 214.836755309574</t>
  </si>
  <si>
    <t>-709.898995764154 28.1004020851974 683.101268610891</t>
  </si>
  <si>
    <t>-588.324446728344 -68.7983102871115 765.404244818599</t>
  </si>
  <si>
    <t>9763-20170724T160757.593596600.bin</t>
  </si>
  <si>
    <t>-676.619312262048 81.1291477463649 -237.614633936265</t>
  </si>
  <si>
    <t>-695.715475575861 90.5941234413999 -356.835323790954</t>
  </si>
  <si>
    <t>-697.462060964837 92.0822602557266 -478.018241935705</t>
  </si>
  <si>
    <t>-691.970350944476 89.9485787246081 -587.380673244419</t>
  </si>
  <si>
    <t>-679.58709505412 84.260717804101 -696.050675818396</t>
  </si>
  <si>
    <t>-655.287921609756 72.5601292262556 -845.959441449528</t>
  </si>
  <si>
    <t>-603.086940657935 58.6175955062781 -932.35180187796</t>
  </si>
  <si>
    <t>-653.903059390007 107.121808886939 -779.955663760819</t>
  </si>
  <si>
    <t>-584.898780552433 235.388501002729 -759.692601191242</t>
  </si>
  <si>
    <t>-543.356219822324 232.13967508612 -445.925470595217</t>
  </si>
  <si>
    <t>-353.360042781526 174.92449440309 -277.788807015625</t>
  </si>
  <si>
    <t>-678.176088042254 48.3526900115455 -779.303083335375</t>
  </si>
  <si>
    <t>-648.174338902584 173.040031083608 -234.335603856101</t>
  </si>
  <si>
    <t>-596.612944763801 233.895399302054 214.324289995087</t>
  </si>
  <si>
    <t>-545.559640675574 287.802284837253 678.228491958546</t>
  </si>
  <si>
    <t>-395.598065772774 242.191441688394 758.070184894906</t>
  </si>
  <si>
    <t>-701.290836884078 -7.56505978019959 215.462694174268</t>
  </si>
  <si>
    <t>-709.989003419337 28.1113298200637 683.69293793627</t>
  </si>
  <si>
    <t>-588.251613102705 -68.6530915348642 765.913148306005</t>
  </si>
  <si>
    <t>9763-20170724T160757.619653300.bin</t>
  </si>
  <si>
    <t>-677.55223321696 79.8619257828013 -237.32249873357</t>
  </si>
  <si>
    <t>-696.647588960632 89.2568245448906 -356.548836943765</t>
  </si>
  <si>
    <t>-698.379294791404 90.7119516007492 -477.732446625404</t>
  </si>
  <si>
    <t>-692.867744012735 88.564310577164 -587.093519901159</t>
  </si>
  <si>
    <t>-680.458316848125 82.8778248322942 -695.760560738313</t>
  </si>
  <si>
    <t>-656.116184989225 71.194812348064 -845.663803463451</t>
  </si>
  <si>
    <t>-603.869572397427 57.4213129637851 -932.055653636428</t>
  </si>
  <si>
    <t>-654.86210962502 105.794484957335 -779.677276227709</t>
  </si>
  <si>
    <t>-586.350566269117 234.330362599962 -759.45109614249</t>
  </si>
  <si>
    <t>-545.092787886726 231.363554608161 -445.643511790444</t>
  </si>
  <si>
    <t>-355.000439573646 174.728343911697 -277.419413404813</t>
  </si>
  <si>
    <t>-678.911539704762 46.933883043052 -778.995087414028</t>
  </si>
  <si>
    <t>-649.364733706226 171.856285586586 -234.03174465846</t>
  </si>
  <si>
    <t>-597.022160158512 233.216736862226 214.46884621104</t>
  </si>
  <si>
    <t>-545.563007262264 287.754863382977 678.247750797078</t>
  </si>
  <si>
    <t>-395.51180945141 242.402006305448 758.067912415759</t>
  </si>
  <si>
    <t>-701.999215601077 -8.28277395967825 215.736623146291</t>
  </si>
  <si>
    <t>-710.26893465212 27.9123623662499 683.948640088473</t>
  </si>
  <si>
    <t>-588.122384856155 -68.3684669717777 766.129735570417</t>
  </si>
  <si>
    <t>9763-20170724T160757.691346400.bin</t>
  </si>
  <si>
    <t>-679.134038971977 77.4798658460907 -236.741610067484</t>
  </si>
  <si>
    <t>-698.166094744921 86.7133403636899 -355.99065564541</t>
  </si>
  <si>
    <t>-699.871697081289 88.0752549875474 -477.175589912236</t>
  </si>
  <si>
    <t>-694.350393643777 85.8741658782853 -586.535210459744</t>
  </si>
  <si>
    <t>-681.944424035203 80.1652965559961 -695.201461867654</t>
  </si>
  <si>
    <t>-657.619568041849 68.4844597036551 -845.107697296814</t>
  </si>
  <si>
    <t>-605.352991031309 54.9849291235578 -931.530636403822</t>
  </si>
  <si>
    <t>-656.561141140758 103.164817986819 -779.160044189034</t>
  </si>
  <si>
    <t>-589.022075886324 232.240438615917 -759.040861117833</t>
  </si>
  <si>
    <t>-547.64401168779 230.522274250954 -445.239738148237</t>
  </si>
  <si>
    <t>-357.698102409455 174.898026168095 -276.513489098809</t>
  </si>
  <si>
    <t>-680.203999565009 44.1408921945012 -778.397416480626</t>
  </si>
  <si>
    <t>-651.444188769573 169.669280764082 -233.491866146482</t>
  </si>
  <si>
    <t>-597.832770868602 232.058133730716 214.716912892984</t>
  </si>
  <si>
    <t>-545.526247796113 287.747624967353 678.263992760481</t>
  </si>
  <si>
    <t>-395.356443789097 242.755083445341 758.065093374643</t>
  </si>
  <si>
    <t>-703.229908030461 -9.45969370647367 216.314798701466</t>
  </si>
  <si>
    <t>-710.286884502332 27.9166007814765 684.475512628051</t>
  </si>
  <si>
    <t>-588.042031649408 -68.285602655036 766.602495807075</t>
  </si>
  <si>
    <t>9763-20170724T160757.724436400.bin</t>
  </si>
  <si>
    <t>-679.812261110027 76.3581929816983 -236.467425999518</t>
  </si>
  <si>
    <t>-698.80609506775 85.5068307595741 -355.729053836752</t>
  </si>
  <si>
    <t>-700.502204525206 86.8257518995961 -476.914614235255</t>
  </si>
  <si>
    <t>-694.983454737724 84.6040476526628 -586.273886653229</t>
  </si>
  <si>
    <t>-682.590578309854 78.8931454941646 -694.941585825479</t>
  </si>
  <si>
    <t>-658.294220908697 67.2291204046496 -844.853711456833</t>
  </si>
  <si>
    <t>-606.037048394245 53.8477618135075 -931.300832851523</t>
  </si>
  <si>
    <t>-657.304009465605 101.934153813345 -778.91808357708</t>
  </si>
  <si>
    <t>-590.234723936092 231.259757119999 -758.910402481997</t>
  </si>
  <si>
    <t>-549.264389284063 230.198022207046 -445.053021272035</t>
  </si>
  <si>
    <t>-359.245592448067 175.320511916128 -276.164399054188</t>
  </si>
  <si>
    <t>-680.785159406789 42.8460783139928 -778.126307052783</t>
  </si>
  <si>
    <t>-652.30230940075 168.579946363305 -233.226847171577</t>
  </si>
  <si>
    <t>-598.233338924277 231.496943100204 214.853167594778</t>
  </si>
  <si>
    <t>-545.520847257407 287.729991032239 678.280591538185</t>
  </si>
  <si>
    <t>-395.29432160225 242.902658347618 758.067884178132</t>
  </si>
  <si>
    <t>-703.794160697603 -9.94947673260231 216.615575774987</t>
  </si>
  <si>
    <t>-710.232349375261 27.9756261131138 684.745630439649</t>
  </si>
  <si>
    <t>-587.946013993832 -68.198634658891 766.843581119368</t>
  </si>
  <si>
    <t>9763-20170724T160757.790665000.bin</t>
  </si>
  <si>
    <t>-681.260902858562 74.0160823245085 -235.904872504458</t>
  </si>
  <si>
    <t>-700.215233994595 83.0776726897889 -355.179562119775</t>
  </si>
  <si>
    <t>-701.908574091131 84.3259392641312 -476.365815894812</t>
  </si>
  <si>
    <t>-696.402149891574 82.0480075618977 -585.724628982712</t>
  </si>
  <si>
    <t>-684.036604196904 76.2879568864462 -694.392739132012</t>
  </si>
  <si>
    <t>-659.793792958936 64.562745787696 -844.30883091177</t>
  </si>
  <si>
    <t>-607.582989229999 51.3666130418637 -930.812369185295</t>
  </si>
  <si>
    <t>-658.901403383515 99.3422390468288 -778.411067137051</t>
  </si>
  <si>
    <t>-592.503834438141 229.053541784129 -758.664726705838</t>
  </si>
  <si>
    <t>-553.029950691656 229.84458451933 -444.614815182685</t>
  </si>
  <si>
    <t>-363.448827287757 175.830798281805 -274.957722975727</t>
  </si>
  <si>
    <t>-682.13957247619 40.1593273636315 -777.540183356452</t>
  </si>
  <si>
    <t>-654.0809910505 166.335411936072 -232.674264666736</t>
  </si>
  <si>
    <t>-598.900300892248 230.352424960439 215.114320342898</t>
  </si>
  <si>
    <t>-545.494549819067 287.734156609108 678.304900631099</t>
  </si>
  <si>
    <t>-395.186972424015 243.154887482514 758.078658641443</t>
  </si>
  <si>
    <t>-704.686752554536 -11.1668743607993 217.18866792699</t>
  </si>
  <si>
    <t>-710.502472799748 27.8896747650513 685.299231831619</t>
  </si>
  <si>
    <t>-587.78505750661 -67.81308701341 767.30489480741</t>
  </si>
  <si>
    <t>9763-20170724T160757.822748200.bin</t>
  </si>
  <si>
    <t>-681.838181638007 72.9267118969829 -235.643495811936</t>
  </si>
  <si>
    <t>-700.735822972937 81.9410626761448 -354.930559206422</t>
  </si>
  <si>
    <t>-702.38653337791 83.1566744729344 -476.117871936861</t>
  </si>
  <si>
    <t>-696.847399458401 80.8559798507731 -585.474584304862</t>
  </si>
  <si>
    <t>-684.454724218929 75.0803103065884 -694.138862614936</t>
  </si>
  <si>
    <t>-660.179925886341 63.3409740847769 -844.048518589271</t>
  </si>
  <si>
    <t>-607.968507820585 50.2460540875979 -930.567133815102</t>
  </si>
  <si>
    <t>-659.364994867545 98.1512527998741 -778.16614948606</t>
  </si>
  <si>
    <t>-593.261749652325 228.020710383182 -758.501233816174</t>
  </si>
  <si>
    <t>-554.864952272321 229.656382103859 -444.321043548243</t>
  </si>
  <si>
    <t>-365.239394881873 176.266170155041 -274.516148777894</t>
  </si>
  <si>
    <t>-682.476695760486 38.9191013079094 -777.270014555433</t>
  </si>
  <si>
    <t>-654.831694688482 165.268153103428 -232.413904564616</t>
  </si>
  <si>
    <t>-599.134578484507 229.748256648111 215.24416417811</t>
  </si>
  <si>
    <t>-545.492870547755 287.708734923245 678.326118804816</t>
  </si>
  <si>
    <t>-395.141252265717 243.260584138177 758.090014966154</t>
  </si>
  <si>
    <t>-704.958754119895 -11.7700110169876 217.453593115361</t>
  </si>
  <si>
    <t>-710.563357157495 27.883819557713 685.523963565655</t>
  </si>
  <si>
    <t>-587.689799567257 -67.6527203936605 767.489601774776</t>
  </si>
  <si>
    <t>9763-20170724T160757.887933100.bin</t>
  </si>
  <si>
    <t>-682.911634573607 70.7165198901039 -235.069843099056</t>
  </si>
  <si>
    <t>-701.864979396133 79.6426754053116 -354.354823023777</t>
  </si>
  <si>
    <t>-703.526265174886 80.8191930908438 -475.542278024848</t>
  </si>
  <si>
    <t>-697.976379982858 78.5057420709736 -584.898077207877</t>
  </si>
  <si>
    <t>-685.552085424907 72.7402735950129 -693.55931088417</t>
  </si>
  <si>
    <t>-661.210610483005 61.0402000620138 -843.461381070208</t>
  </si>
  <si>
    <t>-608.965455578939 48.1793225299446 -929.994708231865</t>
  </si>
  <si>
    <t>-660.579368338846 95.8925672197602 -777.599034575217</t>
  </si>
  <si>
    <t>-595.234652273313 226.151592323399 -757.941071726491</t>
  </si>
  <si>
    <t>-558.252717911687 228.903744323891 -443.599045319844</t>
  </si>
  <si>
    <t>-368.986941402835 176.364600237883 -273.128648447439</t>
  </si>
  <si>
    <t>-683.382565123059 36.541652039575 -776.669483027457</t>
  </si>
  <si>
    <t>-656.205346816435 163.112557041582 -231.883877215999</t>
  </si>
  <si>
    <t>-599.388253763984 228.593560816544 215.488130686466</t>
  </si>
  <si>
    <t>-545.4737075706 287.702099893629 678.355530289902</t>
  </si>
  <si>
    <t>-395.049642471774 243.488079025015 758.112788707063</t>
  </si>
  <si>
    <t>-705.327601146418 -12.9177020162992 218.013891320605</t>
  </si>
  <si>
    <t>-710.55053133387 28.0307939830168 686.018243286353</t>
  </si>
  <si>
    <t>-587.521620646125 -67.3912623032884 767.884163677116</t>
  </si>
  <si>
    <t>9763-20170724T160757.927035100.bin</t>
  </si>
  <si>
    <t>-683.417290225008 69.7002018717408 -234.827047662223</t>
  </si>
  <si>
    <t>-702.386213892163 78.5669926655721 -354.113882706189</t>
  </si>
  <si>
    <t>-704.043445063334 79.7243380746299 -475.301744434687</t>
  </si>
  <si>
    <t>-698.481148665381 77.4105823924983 -584.656870228105</t>
  </si>
  <si>
    <t>-686.035425852107 71.6616868515589 -693.316447076002</t>
  </si>
  <si>
    <t>-661.654591048699 60.0021360432004 -843.215261508955</t>
  </si>
  <si>
    <t>-609.373842461011 47.2665868804741 -929.745683255751</t>
  </si>
  <si>
    <t>-661.123683917537 94.8682635205205 -777.359397291232</t>
  </si>
  <si>
    <t>-596.186255590382 225.322421842871 -757.683780294121</t>
  </si>
  <si>
    <t>-559.708342582457 228.48517601973 -443.286637366235</t>
  </si>
  <si>
    <t>-370.447562143546 176.473114230269 -272.649082494477</t>
  </si>
  <si>
    <t>-683.761041954082 35.453970712319 -776.419920358211</t>
  </si>
  <si>
    <t>-656.874961639638 162.148945169877 -231.651484323436</t>
  </si>
  <si>
    <t>-599.554422149627 228.048420095483 215.594849000344</t>
  </si>
  <si>
    <t>-545.472429458738 287.691428618334 678.378349653282</t>
  </si>
  <si>
    <t>-394.997428209661 243.628411870468 758.123040111515</t>
  </si>
  <si>
    <t>-705.53872339656 -13.4953638415848 218.26256631992</t>
  </si>
  <si>
    <t>-710.646224498634 28.018284635953 686.235587270462</t>
  </si>
  <si>
    <t>-587.371888409462 -67.131299276866 768.04943498189</t>
  </si>
  <si>
    <t>9763-20170724T160757.991951700.bin</t>
  </si>
  <si>
    <t>-684.342118655988 67.7562027524059 -234.324772109703</t>
  </si>
  <si>
    <t>-703.365510937348 76.4755761942795 -353.61392469667</t>
  </si>
  <si>
    <t>-705.071579975095 77.5955804195617 -474.801367589244</t>
  </si>
  <si>
    <t>-699.549521572478 75.2935134554853 -584.158793787215</t>
  </si>
  <si>
    <t>-687.13944535995 69.6007736725931 -692.825460266528</t>
  </si>
  <si>
    <t>-662.801877337997 58.0658102104292 -842.740832585421</t>
  </si>
  <si>
    <t>-610.457505310337 45.5940987845097 -929.271121310681</t>
  </si>
  <si>
    <t>-662.43193056103 92.9446570153352 -776.890650825112</t>
  </si>
  <si>
    <t>-598.275773294273 223.791783339419 -757.174479619811</t>
  </si>
  <si>
    <t>-562.268548899372 227.831696806648 -442.733186232639</t>
  </si>
  <si>
    <t>-373.408165357758 176.527272546276 -271.43913723581</t>
  </si>
  <si>
    <t>-684.709042828407 33.3947154133325 -775.925139930933</t>
  </si>
  <si>
    <t>-658.248691852993 160.363105910362 -231.175015858033</t>
  </si>
  <si>
    <t>-599.890381009886 227.088241382381 215.814644047464</t>
  </si>
  <si>
    <t>-545.47492559763 287.712291284826 678.422699329275</t>
  </si>
  <si>
    <t>-394.90461044388 243.91738635723 758.135366838271</t>
  </si>
  <si>
    <t>-705.877875527675 -14.4867888276362 218.782274124799</t>
  </si>
  <si>
    <t>-710.665707498016 28.1394273526439 686.688832599595</t>
  </si>
  <si>
    <t>-587.185523142911 -66.8389970967421 768.3910670777</t>
  </si>
  <si>
    <t>9763-20170724T160758.026037800.bin</t>
  </si>
  <si>
    <t>-684.828301926879 66.79306876904 -234.096112451048</t>
  </si>
  <si>
    <t>-703.861310545754 75.4157452670072 -353.39063239011</t>
  </si>
  <si>
    <t>-705.582231534825 76.4995898224881 -474.578261936446</t>
  </si>
  <si>
    <t>-700.07526092256 74.1892407192497 -583.936302737085</t>
  </si>
  <si>
    <t>-687.681576336789 68.5119688249893 -692.605584224272</t>
  </si>
  <si>
    <t>-663.368397506034 57.0219830516417 -842.528411017361</t>
  </si>
  <si>
    <t>-611.003243400881 44.6891751868252 -929.066115753577</t>
  </si>
  <si>
    <t>-663.080596057814 91.9152701198716 -776.685485907058</t>
  </si>
  <si>
    <t>-599.340289903033 222.957775908209 -756.96175273778</t>
  </si>
  <si>
    <t>-563.551529363489 227.363783309077 -442.500381139768</t>
  </si>
  <si>
    <t>-374.843907911733 176.173506430657 -271.003892470273</t>
  </si>
  <si>
    <t>-685.171920720439 32.2965402119301 -775.699007393446</t>
  </si>
  <si>
    <t>-658.99067748213 159.431680088603 -230.950593284752</t>
  </si>
  <si>
    <t>-600.087618284213 226.66395061016 215.89157937664</t>
  </si>
  <si>
    <t>-545.479301260682 287.723223163208 678.43664382412</t>
  </si>
  <si>
    <t>-394.860985214867 244.068166822186 758.135342825618</t>
  </si>
  <si>
    <t>-706.027118316973 -15.0479186500868 219.029788403043</t>
  </si>
  <si>
    <t>-710.757172854428 28.1123037343345 686.883606470383</t>
  </si>
  <si>
    <t>-586.963559215884 -66.5010598481879 768.535105268798</t>
  </si>
  <si>
    <t>9763-20170724T160758.090208800.bin</t>
  </si>
  <si>
    <t>-685.540800522918 64.8623235515204 -233.639394854923</t>
  </si>
  <si>
    <t>-704.594842580623 73.3388401632471 -352.941035686588</t>
  </si>
  <si>
    <t>-706.366382436603 74.3704227860003 -474.12843082183</t>
  </si>
  <si>
    <t>-700.915631359405 72.0524547640457 -583.489208424309</t>
  </si>
  <si>
    <t>-688.587772235572 66.4066154114148 -692.167586905212</t>
  </si>
  <si>
    <t>-664.374713310883 55.0011501868521 -842.113048281994</t>
  </si>
  <si>
    <t>-612.030299050617 42.9745257789784 -928.706497575023</t>
  </si>
  <si>
    <t>-664.238456257797 89.9284264132718 -776.287650193847</t>
  </si>
  <si>
    <t>-601.318669661471 221.379081792851 -756.652973651573</t>
  </si>
  <si>
    <t>-566.034522915928 226.307162580647 -442.142362799292</t>
  </si>
  <si>
    <t>-377.047161475849 175.907861204282 -270.719554518375</t>
  </si>
  <si>
    <t>-685.938131927287 30.1668814830932 -775.246003517014</t>
  </si>
  <si>
    <t>-660.216066809706 157.711167090537 -230.530936160326</t>
  </si>
  <si>
    <t>-600.535521122739 225.731934089013 216.088635026319</t>
  </si>
  <si>
    <t>-545.501072116623 287.710566537338 678.464089385634</t>
  </si>
  <si>
    <t>-394.785322747051 244.337218617288 758.132314355662</t>
  </si>
  <si>
    <t>-706.176878742241 -16.1539478091488 219.458072242023</t>
  </si>
  <si>
    <t>-710.859013450503 28.0657154132223 687.218825300831</t>
  </si>
  <si>
    <t>-586.8648530262 -66.3380175220987 768.808620127498</t>
  </si>
  <si>
    <t>9763-20170724T160758.123299500.bin</t>
  </si>
  <si>
    <t>-685.770950658428 63.9427245076256 -233.418972785742</t>
  </si>
  <si>
    <t>-704.857301893565 72.3521645319909 -352.720229699786</t>
  </si>
  <si>
    <t>-706.676538785922 73.3550117935213 -473.907089406177</t>
  </si>
  <si>
    <t>-701.274399632359 71.0272351303895 -583.270083096387</t>
  </si>
  <si>
    <t>-688.99987946426 65.3878931183747 -691.954820352878</t>
  </si>
  <si>
    <t>-664.865562629998 54.0081183645436 -841.914896265689</t>
  </si>
  <si>
    <t>-612.550506394546 42.1186962417835 -928.545002032692</t>
  </si>
  <si>
    <t>-664.780300373087 88.9546881622655 -776.099794501706</t>
  </si>
  <si>
    <t>-602.281107421574 220.609750217713 -756.484857052197</t>
  </si>
  <si>
    <t>-567.181759717173 225.803475290186 -441.957779369949</t>
  </si>
  <si>
    <t>-378.058614131278 175.685287956757 -270.602415127244</t>
  </si>
  <si>
    <t>-686.308272076801 29.1318531714226 -775.024775202161</t>
  </si>
  <si>
    <t>-660.707146211796 156.835405587273 -230.31987756205</t>
  </si>
  <si>
    <t>-600.719804457497 225.292185698883 216.192008378784</t>
  </si>
  <si>
    <t>-545.498292048102 287.746435740066 678.47560962028</t>
  </si>
  <si>
    <t>-394.746372228158 244.475283461927 758.131103205183</t>
  </si>
  <si>
    <t>-706.173836358694 -16.6900569351269 219.680105503039</t>
  </si>
  <si>
    <t>-710.875459810296 28.0816733623781 687.396745813306</t>
  </si>
  <si>
    <t>-586.817974921298 -66.2709299870323 768.949401649216</t>
  </si>
  <si>
    <t>9763-20170724T160758.189043600.bin</t>
  </si>
  <si>
    <t>-686.23070121531 62.1586205718625 -233.005089778347</t>
  </si>
  <si>
    <t>-705.343189508887 70.4530919564133 -352.310140901926</t>
  </si>
  <si>
    <t>-707.19188991632 71.4305764173303 -473.496818092061</t>
  </si>
  <si>
    <t>-701.815531036609 69.1190109705435 -582.861261605702</t>
  </si>
  <si>
    <t>-689.564707405353 63.5354679923346 -691.551664632651</t>
  </si>
  <si>
    <t>-665.459541197979 52.2754744028109 -841.525619826355</t>
  </si>
  <si>
    <t>-613.187343226733 40.6767819782899 -928.220827597103</t>
  </si>
  <si>
    <t>-665.539936782694 87.2326503364204 -775.715984790262</t>
  </si>
  <si>
    <t>-603.851503796793 219.288136223987 -756.161299454628</t>
  </si>
  <si>
    <t>-568.853985811426 225.452327768336 -441.640548346195</t>
  </si>
  <si>
    <t>-379.359642894078 176.05103824764 -270.487320243801</t>
  </si>
  <si>
    <t>-686.71067749545 27.2827520584785 -774.617601581232</t>
  </si>
  <si>
    <t>-661.578620755019 155.197936220718 -229.932575006027</t>
  </si>
  <si>
    <t>-600.947965456774 224.469417445483 216.366744959133</t>
  </si>
  <si>
    <t>-545.506954701495 287.767576917082 678.494372473338</t>
  </si>
  <si>
    <t>-394.683563336783 244.719144228015 758.134957717334</t>
  </si>
  <si>
    <t>-706.250296084406 -17.6779565163533 220.092558831778</t>
  </si>
  <si>
    <t>-710.95714428998 28.0850438603863 687.742571939211</t>
  </si>
  <si>
    <t>-586.578691835658 -65.9266244894623 769.200047805475</t>
  </si>
  <si>
    <t>9763-20170724T160758.253214000.bin</t>
  </si>
  <si>
    <t>-686.541873649785 60.4500820472897 -232.652308340044</t>
  </si>
  <si>
    <t>-705.711810801255 68.6212779023119 -351.956741152218</t>
  </si>
  <si>
    <t>-707.638275837406 69.5461365875115 -473.142470871165</t>
  </si>
  <si>
    <t>-702.33832758318 67.2183142983979 -582.510323144195</t>
  </si>
  <si>
    <t>-690.168889938679 61.6501816118023 -691.210721020469</t>
  </si>
  <si>
    <t>-666.18049216505 50.4454709072127 -841.207359293914</t>
  </si>
  <si>
    <t>-613.954687087185 39.1198198920367 -927.966625024912</t>
  </si>
  <si>
    <t>-666.367182262596 85.4329529766344 -775.414176707984</t>
  </si>
  <si>
    <t>-605.509136650584 217.881103746608 -755.957599670234</t>
  </si>
  <si>
    <t>-570.964445527205 224.889389373256 -441.40436661411</t>
  </si>
  <si>
    <t>-381.280218438123 176.494245941986 -270.173838911926</t>
  </si>
  <si>
    <t>-687.22211036576 25.373395955753 -774.26293900185</t>
  </si>
  <si>
    <t>-662.336146341844 153.588060350741 -229.603565255878</t>
  </si>
  <si>
    <t>-600.993752190572 223.575540387331 216.486750578243</t>
  </si>
  <si>
    <t>-545.515080149276 287.749574633531 678.492247523812</t>
  </si>
  <si>
    <t>-394.61852374927 244.968777657898 758.138707904811</t>
  </si>
  <si>
    <t>-706.254618620069 -18.6004808688808 220.461125587501</t>
  </si>
  <si>
    <t>-710.988993194829 28.0814727523173 688.01404435741</t>
  </si>
  <si>
    <t>-586.494939009371 -65.8195800457247 769.422496216606</t>
  </si>
  <si>
    <t>9763-20170724T160758.290315300.bin</t>
  </si>
  <si>
    <t>-686.699156262624 59.5572012677287 -232.454878042241</t>
  </si>
  <si>
    <t>-705.832785046758 67.6645543838167 -351.769467505751</t>
  </si>
  <si>
    <t>-707.772599817487 68.5594898625359 -472.955222071987</t>
  </si>
  <si>
    <t>-702.504108601313 66.22014375908 -582.324504003062</t>
  </si>
  <si>
    <t>-690.384648594982 60.6566902348764 -691.030600634995</t>
  </si>
  <si>
    <t>-666.484616438647 49.475292273248 -841.043169665233</t>
  </si>
  <si>
    <t>-614.296728963962 38.2744405605627 -927.841544522125</t>
  </si>
  <si>
    <t>-666.707365402477 84.4781464994028 -775.258021586</t>
  </si>
  <si>
    <t>-606.192791015689 217.090100121262 -755.830829035924</t>
  </si>
  <si>
    <t>-572.174114593111 224.379552497194 -441.226615108663</t>
  </si>
  <si>
    <t>-382.339137805144 176.571439643 -269.998335961495</t>
  </si>
  <si>
    <t>-687.411892502088 24.3673021224758 -774.076332139389</t>
  </si>
  <si>
    <t>-662.643193419372 152.737746665061 -229.437862233866</t>
  </si>
  <si>
    <t>-601.052485135627 223.08223174681 216.562058365768</t>
  </si>
  <si>
    <t>-545.518902027355 287.739981193472 678.485376033074</t>
  </si>
  <si>
    <t>-394.590521800341 245.082890082157 758.13778060507</t>
  </si>
  <si>
    <t>-706.233707651332 -19.1031020580322 220.638953555815</t>
  </si>
  <si>
    <t>-711.026655605588 28.0517509885483 688.140710731335</t>
  </si>
  <si>
    <t>-586.476679362204 -65.7811334028954 769.542214957442</t>
  </si>
  <si>
    <t>9763-20170724T160758.321398200.bin</t>
  </si>
  <si>
    <t>-686.730264956497 58.7092005630084 -232.292764398324</t>
  </si>
  <si>
    <t>-705.868369702592 66.7840688040178 -351.60890914692</t>
  </si>
  <si>
    <t>-707.832732058456 67.6664171370055 -472.794353947804</t>
  </si>
  <si>
    <t>-702.593504853027 65.3256646082377 -582.164900429884</t>
  </si>
  <si>
    <t>-690.510109590052 59.7709274906604 -690.875569990319</t>
  </si>
  <si>
    <t>-666.665812900141 48.6137227024169 -840.898755847525</t>
  </si>
  <si>
    <t>-614.498550102597 37.5230980118276 -927.723659324808</t>
  </si>
  <si>
    <t>-666.940277358561 83.6319602342651 -775.121950733872</t>
  </si>
  <si>
    <t>-606.803545337017 216.403470991168 -755.71245261282</t>
  </si>
  <si>
    <t>-573.086126246554 224.27967453625 -441.090043289551</t>
  </si>
  <si>
    <t>-383.174881391043 176.900711031385 -269.827010605776</t>
  </si>
  <si>
    <t>-687.491990780633 23.4690125948541 -773.914150274081</t>
  </si>
  <si>
    <t>-662.937292525223 151.946414853054 -229.270935904183</t>
  </si>
  <si>
    <t>-601.069597307578 222.667007550573 216.631073258955</t>
  </si>
  <si>
    <t>-545.509882089966 287.755074881086 678.476888062364</t>
  </si>
  <si>
    <t>-394.560515831266 245.1929645484 758.140287655166</t>
  </si>
  <si>
    <t>-706.07806744753 -19.5735315308011 220.78208658291</t>
  </si>
  <si>
    <t>-710.954995826098 28.0813323105679 688.238421525619</t>
  </si>
  <si>
    <t>-586.469239353384 -65.8289152071866 769.648949418796</t>
  </si>
  <si>
    <t>9763-20170724T160758.392111700.bin</t>
  </si>
  <si>
    <t>-686.735815498702 57.0448755891466 -231.982286786508</t>
  </si>
  <si>
    <t>-705.810430265464 65.0448656967255 -351.313483830995</t>
  </si>
  <si>
    <t>-707.778945043042 65.910613083897 -472.499111357215</t>
  </si>
  <si>
    <t>-702.569234156096 63.5820151960108 -581.871366810744</t>
  </si>
  <si>
    <t>-690.540032535616 58.0673654566831 -690.58991837577</t>
  </si>
  <si>
    <t>-666.795452286809 46.995800979915 -840.635291525976</t>
  </si>
  <si>
    <t>-614.654332563242 36.1034728938043 -927.501021067039</t>
  </si>
  <si>
    <t>-667.17852616275 82.0274728084962 -774.866382138674</t>
  </si>
  <si>
    <t>-607.734245801897 215.125792629063 -755.488683365959</t>
  </si>
  <si>
    <t>-574.477289777039 223.901601355272 -440.840989473451</t>
  </si>
  <si>
    <t>-384.3712708447 177.255450323832 -269.592999936295</t>
  </si>
  <si>
    <t>-687.424755489806 21.7619077255204 -773.623498801895</t>
  </si>
  <si>
    <t>-663.5062658432 150.327302464084 -228.928251443788</t>
  </si>
  <si>
    <t>-601.133527096666 221.88167445191 216.770444746687</t>
  </si>
  <si>
    <t>-545.506915651736 287.745627202872 678.474601968439</t>
  </si>
  <si>
    <t>-394.501134906556 245.398707817028 758.145921749967</t>
  </si>
  <si>
    <t>-705.63943147435 -20.5700261545694 221.053470225779</t>
  </si>
  <si>
    <t>-710.858046595819 28.1162452057752 688.419935121617</t>
  </si>
  <si>
    <t>-586.515356831848 -65.9612604720123 769.855990081248</t>
  </si>
  <si>
    <t>9763-20170724T160758.424196800.bin</t>
  </si>
  <si>
    <t>-686.773418571316 56.2645271081726 -231.829600618843</t>
  </si>
  <si>
    <t>-705.84505197693 64.2223543537862 -351.164271072723</t>
  </si>
  <si>
    <t>-707.829332675484 65.0791605408494 -472.349618148801</t>
  </si>
  <si>
    <t>-702.640974543735 62.7568758845341 -581.723114321433</t>
  </si>
  <si>
    <t>-690.639182247778 57.2637967308046 -690.445755425185</t>
  </si>
  <si>
    <t>-666.938849142246 46.2378815821992 -840.501570994487</t>
  </si>
  <si>
    <t>-614.805515100967 35.4378064549123 -927.383453597197</t>
  </si>
  <si>
    <t>-667.372937620564 81.2727585950959 -774.734500529762</t>
  </si>
  <si>
    <t>-608.251947692873 214.513836896434 -755.351311679474</t>
  </si>
  <si>
    <t>-575.257016205485 223.632947502286 -440.685859575325</t>
  </si>
  <si>
    <t>-384.987260681971 177.197060319843 -269.562597245062</t>
  </si>
  <si>
    <t>-687.478102376418 20.9602357442595 -773.478416814946</t>
  </si>
  <si>
    <t>-663.77502099117 149.593459970348 -228.76697411777</t>
  </si>
  <si>
    <t>-601.206337093756 221.519629477433 216.844445068957</t>
  </si>
  <si>
    <t>-545.492435482935 287.802525612527 678.48163384067</t>
  </si>
  <si>
    <t>-394.469933445159 245.504535672453 758.147247884261</t>
  </si>
  <si>
    <t>-705.398432158154 -21.0689474084575 221.205678988929</t>
  </si>
  <si>
    <t>-710.82155708556 28.126106700855 688.510375941581</t>
  </si>
  <si>
    <t>-586.485164193213 -65.9544061535016 769.952558491667</t>
  </si>
  <si>
    <t>9763-20170724T160758.490861500.bin</t>
  </si>
  <si>
    <t>-687.115752889178 54.7049131224192 -231.495188343719</t>
  </si>
  <si>
    <t>-706.226112118432 62.6179031288934 -350.826494686717</t>
  </si>
  <si>
    <t>-708.245200758989 63.4643307707818 -472.011471754271</t>
  </si>
  <si>
    <t>-703.085061669776 61.1489945953306 -581.386350772221</t>
  </si>
  <si>
    <t>-691.107850043293 55.6792673473799 -690.112979378556</t>
  </si>
  <si>
    <t>-667.436804525465 44.70397127515 -840.177071246767</t>
  </si>
  <si>
    <t>-615.304185654677 34.0972769635162 -927.083198697412</t>
  </si>
  <si>
    <t>-667.986295043788 79.7585628442671 -774.421477907085</t>
  </si>
  <si>
    <t>-609.410920061498 213.246194271351 -755.044547447069</t>
  </si>
  <si>
    <t>-576.746841405163 223.007049750172 -440.363651947635</t>
  </si>
  <si>
    <t>-386.064581254 177.470190152118 -269.458189819242</t>
  </si>
  <si>
    <t>-687.834755703533 19.3617940292277 -773.1351643675</t>
  </si>
  <si>
    <t>-664.614237240206 148.104749148928 -228.395609846813</t>
  </si>
  <si>
    <t>-601.365659624772 220.762867914719 217.000991879224</t>
  </si>
  <si>
    <t>-545.500275998716 287.794903091201 678.493433829101</t>
  </si>
  <si>
    <t>-394.411150881743 245.708423331633 758.144580686502</t>
  </si>
  <si>
    <t>-705.031623294374 -22.0748121556855 221.501305078392</t>
  </si>
  <si>
    <t>-710.850646425469 28.098247157488 688.710372529093</t>
  </si>
  <si>
    <t>-586.507229607001 -65.9972820713704 770.124490562517</t>
  </si>
  <si>
    <t>9763-20170724T160758.522942000.bin</t>
  </si>
  <si>
    <t>-687.346670707591 53.9999968777092 -231.315290685474</t>
  </si>
  <si>
    <t>-706.426965007641 61.8643424498057 -350.654707281888</t>
  </si>
  <si>
    <t>-708.437652660348 62.702312284862 -471.839771427057</t>
  </si>
  <si>
    <t>-703.27814228593 60.39671783225 -581.214988474258</t>
  </si>
  <si>
    <t>-691.309340615496 54.954279577631 -689.943822117797</t>
  </si>
  <si>
    <t>-667.657364415664 44.0356104909542 -840.01510564784</t>
  </si>
  <si>
    <t>-615.525802028555 33.532737608044 -926.934482634432</t>
  </si>
  <si>
    <t>-668.260229439777 79.0854074703134 -774.257285861799</t>
  </si>
  <si>
    <t>-609.965525015857 212.686575525659 -754.865500162196</t>
  </si>
  <si>
    <t>-577.390619468868 222.43854103446 -440.175284832726</t>
  </si>
  <si>
    <t>-386.446285816378 177.235207525008 -269.473815120537</t>
  </si>
  <si>
    <t>-687.985036614227 18.6481490618551 -772.968928670187</t>
  </si>
  <si>
    <t>-664.980572747038 147.44999569551 -228.235541544644</t>
  </si>
  <si>
    <t>-601.46983392375 220.413270840173 217.073707187541</t>
  </si>
  <si>
    <t>-545.476359802431 287.874020074566 678.491781620892</t>
  </si>
  <si>
    <t>-394.382103891624 245.799466660137 758.139472245172</t>
  </si>
  <si>
    <t>-705.025543889952 -22.5270975901437 221.653314263344</t>
  </si>
  <si>
    <t>-710.822185104128 28.1031024208958 688.799093189399</t>
  </si>
  <si>
    <t>-586.487161000357 -66.005774818555 770.210581084268</t>
  </si>
  <si>
    <t>9763-20170724T160758.587647300.bin</t>
  </si>
  <si>
    <t>-687.866140662654 52.602199882276 -231.011628074769</t>
  </si>
  <si>
    <t>-706.986330829294 60.4008048004314 -350.348962095014</t>
  </si>
  <si>
    <t>-709.044765343853 61.226332353797 -471.533275914527</t>
  </si>
  <si>
    <t>-703.929760054959 58.9334450434387 -580.910791306714</t>
  </si>
  <si>
    <t>-692.005874596919 53.5281765127129 -689.646415912119</t>
  </si>
  <si>
    <t>-668.415675691065 42.6873794815619 -839.732958826243</t>
  </si>
  <si>
    <t>-616.285052414339 32.3529430977737 -926.673153723302</t>
  </si>
  <si>
    <t>-669.098500308945 77.7373819928516 -773.97625986838</t>
  </si>
  <si>
    <t>-611.306077418097 211.57140802769 -754.607307233176</t>
  </si>
  <si>
    <t>-578.34889515409 221.450722934493 -439.960927059077</t>
  </si>
  <si>
    <t>-386.925760183978 176.825581331581 -269.644017246833</t>
  </si>
  <si>
    <t>-688.608774771029 17.2307422969659 -772.672445709539</t>
  </si>
  <si>
    <t>-665.794913755802 146.109491288382 -227.919369702734</t>
  </si>
  <si>
    <t>-601.602121045976 219.684853654871 217.191413201933</t>
  </si>
  <si>
    <t>-545.485451490915 287.816263657257 678.487400210641</t>
  </si>
  <si>
    <t>-394.296601553443 246.054989158979 758.120613492884</t>
  </si>
  <si>
    <t>-705.163661514737 -23.3544627259637 221.943043724581</t>
  </si>
  <si>
    <t>-710.84212401402 28.0429042266373 688.986951927679</t>
  </si>
  <si>
    <t>-586.538246599499 -66.1140939619368 770.390384322912</t>
  </si>
  <si>
    <t>9763-20170724T160758.621238600.bin</t>
  </si>
  <si>
    <t>-688.212252974765 51.9501155819139 -230.866687867239</t>
  </si>
  <si>
    <t>-707.325791439324 59.7216733488456 -350.206892925102</t>
  </si>
  <si>
    <t>-709.389129565099 60.5353755263998 -471.391235441409</t>
  </si>
  <si>
    <t>-704.283025402324 58.2386045517455 -580.769078084327</t>
  </si>
  <si>
    <t>-692.371892854892 52.8368952870799 -689.506421040664</t>
  </si>
  <si>
    <t>-668.803129831515 42.0090088427514 -839.59717299187</t>
  </si>
  <si>
    <t>-616.669666311089 31.739227749089 -926.543321852917</t>
  </si>
  <si>
    <t>-669.517159394373 77.0662332093862 -773.84469156598</t>
  </si>
  <si>
    <t>-611.917103407817 210.967772711492 -754.486426676517</t>
  </si>
  <si>
    <t>-578.826666170766 220.833247210304 -439.853528473494</t>
  </si>
  <si>
    <t>-387.135223197756 176.521713393261 -269.756592770817</t>
  </si>
  <si>
    <t>-688.946018092896 16.5337685339566 -772.528674454239</t>
  </si>
  <si>
    <t>-666.251389104108 145.511107503292 -227.771334270003</t>
  </si>
  <si>
    <t>-601.642037662612 219.339981908188 217.237209418934</t>
  </si>
  <si>
    <t>-545.465544415656 287.858538627051 678.478502076047</t>
  </si>
  <si>
    <t>-394.281043087195 246.090150497052 758.116160764864</t>
  </si>
  <si>
    <t>-705.316037787007 -23.758272150757 222.076680641726</t>
  </si>
  <si>
    <t>-710.915075254337 27.97272884789 689.091952526191</t>
  </si>
  <si>
    <t>-586.475023358098 -66.0231571442775 770.473494160032</t>
  </si>
  <si>
    <t>9763-20170724T160758.689416500.bin</t>
  </si>
  <si>
    <t>-688.757041082225 50.7788175011297 -230.56980808601</t>
  </si>
  <si>
    <t>-707.85017263311 58.4942688338563 -349.916809580875</t>
  </si>
  <si>
    <t>-709.933568044753 59.2804779915182 -471.10100189222</t>
  </si>
  <si>
    <t>-704.861198493908 56.9720211197982 -580.48019065231</t>
  </si>
  <si>
    <t>-692.99895204096 51.5720305663042 -689.222831690926</t>
  </si>
  <si>
    <t>-669.513315838502 40.7607749769277 -839.327945980761</t>
  </si>
  <si>
    <t>-617.411686151206 30.566884668129 -926.302081548701</t>
  </si>
  <si>
    <t>-670.2419501689 75.8269191643935 -773.580303589274</t>
  </si>
  <si>
    <t>-612.8397299531 209.823676457697 -754.19619078231</t>
  </si>
  <si>
    <t>-579.632098333 219.843292018788 -439.580436332977</t>
  </si>
  <si>
    <t>-387.553986812773 176.130515751089 -269.765276866424</t>
  </si>
  <si>
    <t>-689.567986986636 15.2619541591828 -772.241916605413</t>
  </si>
  <si>
    <t>-666.927520160449 144.361647750413 -227.495811843411</t>
  </si>
  <si>
    <t>-601.710069418556 218.706788288763 217.338066367771</t>
  </si>
  <si>
    <t>-545.448756539771 287.875039243292 678.471815953072</t>
  </si>
  <si>
    <t>-394.223341330222 246.252958150108 758.108478583049</t>
  </si>
  <si>
    <t>-705.575968678422 -24.4650763987909 222.357154732936</t>
  </si>
  <si>
    <t>-710.928351782637 27.9187534349257 689.294813742229</t>
  </si>
  <si>
    <t>-586.541968126071 -66.1524400258343 770.671394236549</t>
  </si>
  <si>
    <t>9763-20170724T160758.725482600.bin</t>
  </si>
  <si>
    <t>-689.015655502083 50.1985318222835 -230.433221288067</t>
  </si>
  <si>
    <t>-708.110624117672 57.9057875858514 -349.78056942521</t>
  </si>
  <si>
    <t>-710.214279973088 58.6896769702257 -470.964485880283</t>
  </si>
  <si>
    <t>-705.167465301808 56.3819781359634 -580.344755093449</t>
  </si>
  <si>
    <t>-693.337805554957 50.9857670547033 -689.091236983397</t>
  </si>
  <si>
    <t>-669.904041306997 40.1836326554064 -839.205146805453</t>
  </si>
  <si>
    <t>-617.827942315604 30.0036484949467 -926.196079471926</t>
  </si>
  <si>
    <t>-670.622592955381 75.2497970251268 -773.457368495924</t>
  </si>
  <si>
    <t>-613.241222646339 209.222250436854 -754.008155265206</t>
  </si>
  <si>
    <t>-579.85464890773 219.904693052287 -439.433161741547</t>
  </si>
  <si>
    <t>-387.583232615065 176.496037102862 -269.758516389116</t>
  </si>
  <si>
    <t>-689.922932561579 14.6766627773809 -772.111371688288</t>
  </si>
  <si>
    <t>-667.238703821946 143.788370439612 -227.35890322834</t>
  </si>
  <si>
    <t>-601.722338654002 218.396772895001 217.38693284263</t>
  </si>
  <si>
    <t>-545.437808451227 287.871622126537 678.462903047375</t>
  </si>
  <si>
    <t>-394.185343783477 246.355967967351 758.103775162337</t>
  </si>
  <si>
    <t>-705.726879840144 -24.7980595499396 222.486445625558</t>
  </si>
  <si>
    <t>-711.022037428568 27.8277459456451 689.397832518299</t>
  </si>
  <si>
    <t>-586.550334962933 -66.1347733806895 770.769538600668</t>
  </si>
  <si>
    <t>9763-20170724T160758.792674200.bin</t>
  </si>
  <si>
    <t>-689.409194246776 49.230240478782 -230.199059184546</t>
  </si>
  <si>
    <t>-708.414883044209 56.9166635528204 -349.562030701342</t>
  </si>
  <si>
    <t>-710.494666503482 57.6890195159508 -470.746377579692</t>
  </si>
  <si>
    <t>-705.453086951799 55.3753378245108 -580.126806534696</t>
  </si>
  <si>
    <t>-693.655037025231 49.9781335844266 -688.876680356857</t>
  </si>
  <si>
    <t>-670.292512310681 39.1796772368655 -839.001874972197</t>
  </si>
  <si>
    <t>-618.254475128269 28.9895800141742 -926.014445202763</t>
  </si>
  <si>
    <t>-670.980032851779 74.244173388892 -773.252940980737</t>
  </si>
  <si>
    <t>-613.529460555457 208.206911986328 -753.788314592044</t>
  </si>
  <si>
    <t>-580.504260471029 219.365719353157 -439.191674275842</t>
  </si>
  <si>
    <t>-387.712082947259 176.384736113288 -270.000057776037</t>
  </si>
  <si>
    <t>-690.279402670823 13.6711171441123 -771.899282551079</t>
  </si>
  <si>
    <t>-667.63657475695 142.836507893079 -227.147166690876</t>
  </si>
  <si>
    <t>-601.652661087364 217.864760028456 217.458881775878</t>
  </si>
  <si>
    <t>-545.394121117874 287.929218736956 678.442254175291</t>
  </si>
  <si>
    <t>-394.160543333196 246.385264876891 758.104291450527</t>
  </si>
  <si>
    <t>-706.013606766422 -25.3573551368197 222.710006590232</t>
  </si>
  <si>
    <t>-711.021448465018 27.7687791422909 689.572252332946</t>
  </si>
  <si>
    <t>-586.517449633167 -66.1516761345486 770.943080198909</t>
  </si>
  <si>
    <t>9763-20170724T160758.819745300.bin</t>
  </si>
  <si>
    <t>-689.574705790567 48.7726605052712 -230.100060616101</t>
  </si>
  <si>
    <t>-708.562638089078 56.4608194843104 -349.465710955374</t>
  </si>
  <si>
    <t>-710.661878025171 57.2260490436079 -470.649692729595</t>
  </si>
  <si>
    <t>-705.652415987955 54.9039466237143 -580.031481835974</t>
  </si>
  <si>
    <t>-693.900721870085 49.4969960221665 -688.78585136136</t>
  </si>
  <si>
    <t>-670.616794610355 38.6844882992675 -838.92225175734</t>
  </si>
  <si>
    <t>-618.617382994253 28.4696962377216 -925.95510643031</t>
  </si>
  <si>
    <t>-671.269843918793 73.7552009819008 -773.176384571642</t>
  </si>
  <si>
    <t>-613.812573659687 207.700033926652 -753.691883943297</t>
  </si>
  <si>
    <t>-580.641542455432 219.462432075711 -439.132546216206</t>
  </si>
  <si>
    <t>-387.619859361443 176.622241923925 -270.167058576028</t>
  </si>
  <si>
    <t>-690.568514110894 13.1822509778158 -771.806869631591</t>
  </si>
  <si>
    <t>-667.814031506753 142.373633359529 -227.036136446494</t>
  </si>
  <si>
    <t>-601.610834818028 217.623754079034 217.499897006374</t>
  </si>
  <si>
    <t>-545.364050452437 287.979481929259 678.428949546701</t>
  </si>
  <si>
    <t>-394.150661034753 246.394390611975 758.107808791701</t>
  </si>
  <si>
    <t>-706.159075025251 -25.6217734437546 222.807254728967</t>
  </si>
  <si>
    <t>-711.055265256433 27.7097053866348 689.647925156558</t>
  </si>
  <si>
    <t>-586.596906604013 -66.2655587546676 771.025324516452</t>
  </si>
  <si>
    <t>9763-20170724T160758.888437300.bin</t>
  </si>
  <si>
    <t>-689.866183698935 48.0405767406305 -229.960208115318</t>
  </si>
  <si>
    <t>-708.837620689145 55.7569426990469 -349.326634711509</t>
  </si>
  <si>
    <t>-710.915302638375 56.5194184879522 -470.511058187297</t>
  </si>
  <si>
    <t>-705.88416979128 54.1835749608103 -579.891558538519</t>
  </si>
  <si>
    <t>-694.108273600358 48.7529400079015 -688.642163578813</t>
  </si>
  <si>
    <t>-670.788277302837 37.8977024473818 -838.769861962169</t>
  </si>
  <si>
    <t>-618.799322676922 27.6282935946417 -925.802484099525</t>
  </si>
  <si>
    <t>-671.438961538338 72.9813614215257 -773.030746885782</t>
  </si>
  <si>
    <t>-613.860561474505 206.878074955869 -753.541728900231</t>
  </si>
  <si>
    <t>-581.083435570975 219.427480607652 -438.971589640834</t>
  </si>
  <si>
    <t>-387.483410116339 177.008628871075 -270.562097681073</t>
  </si>
  <si>
    <t>-690.774319236384 12.4202849362596 -771.655230424612</t>
  </si>
  <si>
    <t>-668.006263080309 141.643110083284 -226.900156497087</t>
  </si>
  <si>
    <t>-601.570543088164 217.148505089034 217.557863822918</t>
  </si>
  <si>
    <t>-545.314401344539 288.036886286136 678.405577062367</t>
  </si>
  <si>
    <t>-394.116805396841 246.457678783671 758.117291267475</t>
  </si>
  <si>
    <t>-706.305061807252 -26.0432997254402 222.950569928866</t>
  </si>
  <si>
    <t>-711.027233533584 27.6615774869697 689.769217368043</t>
  </si>
  <si>
    <t>-586.630662947326 -66.3815587792312 771.162690871008</t>
  </si>
  <si>
    <t>9763-20170724T160758.925036500.bin</t>
  </si>
  <si>
    <t>-689.961931081808 47.7156239206647 -229.884479087874</t>
  </si>
  <si>
    <t>-708.925097880806 55.4475088506149 -349.251268064479</t>
  </si>
  <si>
    <t>-710.992991213084 56.2051429398075 -470.435793201075</t>
  </si>
  <si>
    <t>-705.952209082102 53.8574516556132 -579.815608405352</t>
  </si>
  <si>
    <t>-694.166144611726 48.4076105071467 -688.564022805226</t>
  </si>
  <si>
    <t>-670.831344037131 37.5185944026373 -838.687137537376</t>
  </si>
  <si>
    <t>-618.845634613601 27.2138102209396 -925.717438696746</t>
  </si>
  <si>
    <t>-671.477533359655 72.6136230288612 -772.953955234833</t>
  </si>
  <si>
    <t>-613.852161398552 206.49299838926 -753.45711389496</t>
  </si>
  <si>
    <t>-581.200822321501 219.595040096 -438.896436940834</t>
  </si>
  <si>
    <t>-387.28293967354 177.435295868687 -270.787837373924</t>
  </si>
  <si>
    <t>-690.835011106132 12.0596676303364 -771.570630997402</t>
  </si>
  <si>
    <t>-668.102881415183 141.257305578245 -226.820773342259</t>
  </si>
  <si>
    <t>-601.532880819663 216.987917338144 217.578795285024</t>
  </si>
  <si>
    <t>-545.305945298135 288.026697793292 678.394854731971</t>
  </si>
  <si>
    <t>-394.081244936998 246.555334722767 758.111347076093</t>
  </si>
  <si>
    <t>-706.329371410259 -26.2676005507665 223.017741261785</t>
  </si>
  <si>
    <t>-711.036391326072 27.6275655705253 689.829541532465</t>
  </si>
  <si>
    <t>-586.663107489305 -66.4376023621546 771.23311970835</t>
  </si>
  <si>
    <t>9763-20170724T160758.990256600.bin</t>
  </si>
  <si>
    <t>-690.135458309057 47.2835138571313 -229.833289588521</t>
  </si>
  <si>
    <t>-709.055431068678 55.0227487629622 -349.20641018509</t>
  </si>
  <si>
    <t>-711.089255968439 55.7356228815056 -470.391888335644</t>
  </si>
  <si>
    <t>-706.021875560937 53.3274748607846 -579.769079987614</t>
  </si>
  <si>
    <t>-694.213527353994 47.7982178490904 -688.511080530219</t>
  </si>
  <si>
    <t>-670.852447976741 36.7798644080938 -838.620593251368</t>
  </si>
  <si>
    <t>-618.842776570627 26.3776314037418 -925.625038710428</t>
  </si>
  <si>
    <t>-671.491003833944 71.9254965348846 -772.914448886329</t>
  </si>
  <si>
    <t>-613.854756086709 205.796113661836 -753.476787265348</t>
  </si>
  <si>
    <t>-581.369408051108 219.684140104596 -438.932674504329</t>
  </si>
  <si>
    <t>-387.092740142265 178.022756621913 -271.114521889649</t>
  </si>
  <si>
    <t>-690.886994199493 11.3847974030352 -771.489171849</t>
  </si>
  <si>
    <t>-668.241436928037 140.910705862143 -226.79445831207</t>
  </si>
  <si>
    <t>-601.473987257398 216.754396594793 217.556230295914</t>
  </si>
  <si>
    <t>-545.251696402969 288.116676750588 678.308336091909</t>
  </si>
  <si>
    <t>-394.059523133049 246.564493948732 758.044629092921</t>
  </si>
  <si>
    <t>-706.480735001245 -26.5066758279515 223.047377081355</t>
  </si>
  <si>
    <t>-711.067956656125 27.5129820401432 689.843353686618</t>
  </si>
  <si>
    <t>-586.699764883393 -66.5261605372239 771.284751521702</t>
  </si>
  <si>
    <t>9763-20170724T160759.025348400.bin</t>
  </si>
  <si>
    <t>-690.138199383125 47.1828566427689 -229.840999761284</t>
  </si>
  <si>
    <t>-709.047391425217 54.9449149669554 -349.214321145885</t>
  </si>
  <si>
    <t>-711.091182430166 55.6433542405111 -470.399709575404</t>
  </si>
  <si>
    <t>-706.041325875288 53.2078006585396 -579.777208225385</t>
  </si>
  <si>
    <t>-694.258990599019 47.6373497419345 -688.519982163114</t>
  </si>
  <si>
    <t>-670.942848532538 36.5478718550507 -838.631197786125</t>
  </si>
  <si>
    <t>-618.938771889443 26.0808238892973 -925.631055307443</t>
  </si>
  <si>
    <t>-671.550916687592 71.7212264593943 -772.939502344333</t>
  </si>
  <si>
    <t>-613.879033367542 205.607996616295 -753.58057656098</t>
  </si>
  <si>
    <t>-581.51987610462 219.755832191707 -439.034975823235</t>
  </si>
  <si>
    <t>-387.149931032024 178.407003957163 -271.247506054749</t>
  </si>
  <si>
    <t>-690.968072189206 11.1880730165342 -771.483613386505</t>
  </si>
  <si>
    <t>-668.255019965133 140.78414390649 -226.789122403732</t>
  </si>
  <si>
    <t>-601.423005175344 216.742987922984 217.532246033204</t>
  </si>
  <si>
    <t>-545.202404045081 288.184848283139 678.260475535388</t>
  </si>
  <si>
    <t>-394.01485596841 246.632694219892 758.005396223042</t>
  </si>
  <si>
    <t>-706.465771288455 -26.5662386826818 223.039755591702</t>
  </si>
  <si>
    <t>-711.064982028313 27.476940544941 689.832194026195</t>
  </si>
  <si>
    <t>-586.784999220535 -66.6573651342926 771.298338138055</t>
  </si>
  <si>
    <t>9763-20170724T160759.090055500.bin</t>
  </si>
  <si>
    <t>-690.247969871523 47.0979611087398 -229.830143284126</t>
  </si>
  <si>
    <t>-709.146480886701 54.9139207473067 -349.201671577249</t>
  </si>
  <si>
    <t>-711.201316032616 55.5811443994776 -470.387133866514</t>
  </si>
  <si>
    <t>-706.170518933439 53.0843291562844 -579.764059354635</t>
  </si>
  <si>
    <t>-694.416578765763 47.4205209250911 -688.505028212789</t>
  </si>
  <si>
    <t>-671.149770022279 36.1688581390265 -838.612026889932</t>
  </si>
  <si>
    <t>-619.162318558447 25.5464565619745 -925.602990259016</t>
  </si>
  <si>
    <t>-671.723319095088 71.4089058535837 -772.955788125824</t>
  </si>
  <si>
    <t>-614.006182725302 205.290486781252 -753.790141335196</t>
  </si>
  <si>
    <t>-582.085691245906 219.519542849522 -439.203582357179</t>
  </si>
  <si>
    <t>-387.473752347958 179.01581452462 -271.490284053609</t>
  </si>
  <si>
    <t>-691.166000969094 10.8857152283654 -771.43278387717</t>
  </si>
  <si>
    <t>-668.319929247049 140.727005453375 -226.781855092652</t>
  </si>
  <si>
    <t>-601.404786662933 216.703901333666 217.523705489076</t>
  </si>
  <si>
    <t>-545.145751947116 288.272053262975 678.210159717676</t>
  </si>
  <si>
    <t>-393.960036218299 246.728216786345 757.962873611394</t>
  </si>
  <si>
    <t>-706.404100307248 -26.6483145797365 223.02543129404</t>
  </si>
  <si>
    <t>-711.087720489202 27.4229348561751 689.836521495891</t>
  </si>
  <si>
    <t>-586.809910679467 -66.7094161762996 771.308224426972</t>
  </si>
  <si>
    <t>9763-20170724T160759.122141500.bin</t>
  </si>
  <si>
    <t>-690.238101006067 47.1818175547564 -229.846524990291</t>
  </si>
  <si>
    <t>-709.15931050537 55.0384129920114 -349.211837640767</t>
  </si>
  <si>
    <t>-711.232593405158 55.7016482376512 -470.396924497461</t>
  </si>
  <si>
    <t>-706.216874345513 53.1835106819483 -579.774024408409</t>
  </si>
  <si>
    <t>-694.476361197543 47.4812771439542 -688.514441314816</t>
  </si>
  <si>
    <t>-671.226933752345 36.1584673538136 -838.618729247509</t>
  </si>
  <si>
    <t>-619.250977480061 25.4503353559303 -925.606098446973</t>
  </si>
  <si>
    <t>-671.787660029998 71.4280285882198 -772.97832077285</t>
  </si>
  <si>
    <t>-614.048056819902 205.310986365402 -753.873361409124</t>
  </si>
  <si>
    <t>-582.301080669327 219.531730883839 -439.268684899752</t>
  </si>
  <si>
    <t>-387.486165890265 179.563689874346 -271.662671552061</t>
  </si>
  <si>
    <t>-691.240532827113 10.9088634402758 -771.426223945354</t>
  </si>
  <si>
    <t>-668.335733149286 140.805745815646 -226.765203370147</t>
  </si>
  <si>
    <t>-601.380855396598 216.833830733962 217.525684284799</t>
  </si>
  <si>
    <t>-545.084919958378 288.376699304629 678.205823090979</t>
  </si>
  <si>
    <t>-393.911571395136 246.789760122514 757.959637631045</t>
  </si>
  <si>
    <t>-706.249252838458 -26.635975484387 223.011227724586</t>
  </si>
  <si>
    <t>-711.138695208671 27.375008172251 689.828919277421</t>
  </si>
  <si>
    <t>-586.850273156493 -66.7363223663026 771.308712821756</t>
  </si>
  <si>
    <t>9763-20170724T160759.187818300.bin</t>
  </si>
  <si>
    <t>-690.231966810403 47.4715797712815 -229.860960667049</t>
  </si>
  <si>
    <t>-709.110435699647 55.3929479012436 -349.228798209489</t>
  </si>
  <si>
    <t>-711.172783952599 56.0521319610905 -470.414046070305</t>
  </si>
  <si>
    <t>-706.160250767786 53.5040431078462 -579.790670025118</t>
  </si>
  <si>
    <t>-694.436099481284 47.7465991949546 -688.53002266859</t>
  </si>
  <si>
    <t>-671.222877774833 36.3220184081094 -838.632027202388</t>
  </si>
  <si>
    <t>-619.269809679311 25.4880640909878 -925.617602111533</t>
  </si>
  <si>
    <t>-671.749232469363 71.6302222682061 -773.012090281622</t>
  </si>
  <si>
    <t>-613.916201588636 205.489034698001 -753.943650252108</t>
  </si>
  <si>
    <t>-582.64805539007 219.757954834754 -439.29311738308</t>
  </si>
  <si>
    <t>-387.625828642588 180.13932668826 -271.845463380734</t>
  </si>
  <si>
    <t>-691.238841542091 11.1237902068824 -771.420900118747</t>
  </si>
  <si>
    <t>-668.27430972259 141.075200388087 -226.751018670186</t>
  </si>
  <si>
    <t>-601.315893286491 217.011666890183 217.555116416638</t>
  </si>
  <si>
    <t>-545.048611431633 288.427612604567 678.242478172849</t>
  </si>
  <si>
    <t>-393.859434213 246.862425927888 757.977583961638</t>
  </si>
  <si>
    <t>-705.913750099572 -26.5171929355138 222.960561241347</t>
  </si>
  <si>
    <t>-711.026096664134 27.4039210487674 689.786066820625</t>
  </si>
  <si>
    <t>-586.987181056754 -66.9951973502004 771.313142286798</t>
  </si>
  <si>
    <t>9763-20170724T160759.226925700.bin</t>
  </si>
  <si>
    <t>-690.241888446122 47.6553748874119 -229.868949531272</t>
  </si>
  <si>
    <t>-709.145468401985 55.6005750650424 -349.231176543251</t>
  </si>
  <si>
    <t>-711.222353991712 56.2550440805323 -470.416167872329</t>
  </si>
  <si>
    <t>-706.218735843809 53.6913166934723 -579.792831629497</t>
  </si>
  <si>
    <t>-694.499102749297 47.9074471277145 -688.531259106499</t>
  </si>
  <si>
    <t>-671.287861686138 36.4350240701533 -838.629949416634</t>
  </si>
  <si>
    <t>-619.348599714355 25.5505675503262 -925.617474470181</t>
  </si>
  <si>
    <t>-671.807548994391 71.7622574807579 -773.020362335737</t>
  </si>
  <si>
    <t>-613.975124397604 205.618137636338 -753.989339153671</t>
  </si>
  <si>
    <t>-582.886354138313 220.087246306812 -439.330216800092</t>
  </si>
  <si>
    <t>-387.762837172409 180.291644016774 -272.042694386088</t>
  </si>
  <si>
    <t>-691.308757306418 11.2600893582514 -771.411643415433</t>
  </si>
  <si>
    <t>-668.26732271893 141.266221648256 -226.743769038477</t>
  </si>
  <si>
    <t>-601.24639719014 217.178345773452 217.556988460908</t>
  </si>
  <si>
    <t>-545.002476774677 288.539161724919 678.256607581109</t>
  </si>
  <si>
    <t>-393.84486825347 246.850106078481 757.986703513465</t>
  </si>
  <si>
    <t>-705.836176551033 -26.4575195036016 222.948513184413</t>
  </si>
  <si>
    <t>-711.017028568677 27.3939805780635 689.780601384075</t>
  </si>
  <si>
    <t>-586.961690026736 -66.9780797263336 771.314040585247</t>
  </si>
  <si>
    <t>9763-20170724T160759.291126400.bin</t>
  </si>
  <si>
    <t>-690.460467139994 48.0819277447151 -229.884126333845</t>
  </si>
  <si>
    <t>-709.356455662428 56.0492961295154 -349.246121244315</t>
  </si>
  <si>
    <t>-711.472672988429 56.695427853813 -470.43051214264</t>
  </si>
  <si>
    <t>-706.523590477832 54.1125293762802 -579.809078621417</t>
  </si>
  <si>
    <t>-694.877262218856 48.2983456565721 -688.553856921951</t>
  </si>
  <si>
    <t>-671.787476099366 36.7721938086274 -838.667151548232</t>
  </si>
  <si>
    <t>-619.900588186665 25.8036530792158 -925.675474435387</t>
  </si>
  <si>
    <t>-672.242142962918 72.1192311224395 -773.067528588179</t>
  </si>
  <si>
    <t>-614.35229592378 205.972184386908 -754.13154247982</t>
  </si>
  <si>
    <t>-583.475067739902 221.218087097932 -439.488390099754</t>
  </si>
  <si>
    <t>-388.213619914577 181.205716675419 -272.413357303556</t>
  </si>
  <si>
    <t>-691.76578112086 11.625154782357 -771.425845444605</t>
  </si>
  <si>
    <t>-668.434534828865 141.77900583214 -226.761318549243</t>
  </si>
  <si>
    <t>-601.129253441952 217.466324617382 217.534929755365</t>
  </si>
  <si>
    <t>-544.925674862541 288.685987217725 678.272286388414</t>
  </si>
  <si>
    <t>-393.804745878545 246.858336620574 757.999405353545</t>
  </si>
  <si>
    <t>-705.952325712587 -26.2512080055444 222.922365886449</t>
  </si>
  <si>
    <t>-711.072061233029 27.3321106877177 689.782286024452</t>
  </si>
  <si>
    <t>-587.110241111106 -67.1554314019743 771.32418323428</t>
  </si>
  <si>
    <t>9763-20170724T160759.324196600.bin</t>
  </si>
  <si>
    <t>-690.563363551648 48.3410409483313 -229.900785055237</t>
  </si>
  <si>
    <t>-709.492950048492 56.3290470693671 -349.256000723929</t>
  </si>
  <si>
    <t>-711.648477448746 56.9674594112321 -470.439807032941</t>
  </si>
  <si>
    <t>-706.736878517827 54.3666097165742 -579.819802223856</t>
  </si>
  <si>
    <t>-695.130406584675 48.5231767805481 -688.567238872877</t>
  </si>
  <si>
    <t>-672.098170018165 36.9451904431046 -838.68532113738</t>
  </si>
  <si>
    <t>-620.239551323638 25.934229768179 -925.704938409854</t>
  </si>
  <si>
    <t>-672.517778416721 72.3115728352366 -773.096070325315</t>
  </si>
  <si>
    <t>-614.617000127166 206.163257680492 -754.224213781995</t>
  </si>
  <si>
    <t>-584.147494960285 221.304558531222 -439.536281501549</t>
  </si>
  <si>
    <t>-388.670965710898 181.432883334445 -272.679418109828</t>
  </si>
  <si>
    <t>-692.060758006026 11.8244944783582 -771.429323767451</t>
  </si>
  <si>
    <t>-668.448103634791 142.033616588006 -226.773352361473</t>
  </si>
  <si>
    <t>-601.074827226634 217.564991776382 217.538988694863</t>
  </si>
  <si>
    <t>-544.892847144185 288.742462515099 678.293097221323</t>
  </si>
  <si>
    <t>-393.766232816389 246.922759473952 758.013554088357</t>
  </si>
  <si>
    <t>-706.050934131763 -26.1339015474553 222.914150756149</t>
  </si>
  <si>
    <t>-711.119644855944 27.3015932472774 689.792925667809</t>
  </si>
  <si>
    <t>-587.124462034977 -67.1498213855079 771.32595591538</t>
  </si>
  <si>
    <t>9763-20170724T160759.389874400.bin</t>
  </si>
  <si>
    <t>-690.945863702362 48.8243553152165 -229.915468415986</t>
  </si>
  <si>
    <t>-709.943053590943 56.8229733761591 -349.259295147392</t>
  </si>
  <si>
    <t>-712.169582050075 57.446590127621 -470.441847665484</t>
  </si>
  <si>
    <t>-707.323852692382 54.8210633695273 -579.823948216202</t>
  </si>
  <si>
    <t>-695.784937654896 48.9414544218039 -688.576693804711</t>
  </si>
  <si>
    <t>-672.848643459313 37.3007724504944 -838.704676986462</t>
  </si>
  <si>
    <t>-621.04551943844 26.2359022304745 -925.750606927024</t>
  </si>
  <si>
    <t>-673.215654555138 72.6913029008281 -773.12811677925</t>
  </si>
  <si>
    <t>-615.379000574085 206.578297811171 -754.323913925039</t>
  </si>
  <si>
    <t>-585.531177470083 221.280800991037 -439.555529317742</t>
  </si>
  <si>
    <t>-389.684625141648 181.810800180976 -273.037483865655</t>
  </si>
  <si>
    <t>-692.778863747387 12.2114889182201 -771.42736305077</t>
  </si>
  <si>
    <t>-668.726663163401 142.590730058091 -226.799761593794</t>
  </si>
  <si>
    <t>-601.114905006294 217.831818590927 217.525750233554</t>
  </si>
  <si>
    <t>-544.851699678067 288.821145704514 678.326232581539</t>
  </si>
  <si>
    <t>-393.701766398633 247.040710189343 758.022995956119</t>
  </si>
  <si>
    <t>-706.407637404735 -25.8862965646301 222.899310747106</t>
  </si>
  <si>
    <t>-711.134156033111 27.2567179151104 689.792878784521</t>
  </si>
  <si>
    <t>-587.136332434962 -67.184717167705 771.333451909632</t>
  </si>
  <si>
    <t>9763-20170724T160759.421460800.bin</t>
  </si>
  <si>
    <t>-691.16407285471 49.0499915587857 -229.939498693845</t>
  </si>
  <si>
    <t>-710.203800537379 57.0510919835463 -349.276401497116</t>
  </si>
  <si>
    <t>-712.470156379763 57.6712578286135 -470.458089009276</t>
  </si>
  <si>
    <t>-707.659282494988 55.0397398039431 -579.841879892315</t>
  </si>
  <si>
    <t>-696.154141774938 49.1509372358569 -688.597619407626</t>
  </si>
  <si>
    <t>-673.263847416628 37.4937789296353 -838.731290430375</t>
  </si>
  <si>
    <t>-621.476591461786 26.420231049678 -925.785495466317</t>
  </si>
  <si>
    <t>-673.610893019616 72.8914694329337 -773.158412826313</t>
  </si>
  <si>
    <t>-615.822397742879 206.800761281316 -754.368221968763</t>
  </si>
  <si>
    <t>-586.262165267167 221.513994577934 -439.573189177971</t>
  </si>
  <si>
    <t>-390.403286900725 181.86376746592 -273.112387467198</t>
  </si>
  <si>
    <t>-693.173284483799 12.4119633019577 -771.445110527246</t>
  </si>
  <si>
    <t>-668.924021638028 142.820950902691 -226.808260090942</t>
  </si>
  <si>
    <t>-601.194152665684 218.030008752164 217.504559732755</t>
  </si>
  <si>
    <t>-544.842389692313 288.840814291677 678.339294675496</t>
  </si>
  <si>
    <t>-393.680045660189 247.072658383471 758.019022976004</t>
  </si>
  <si>
    <t>-706.639659553269 -25.7793525531381 222.887213349932</t>
  </si>
  <si>
    <t>-711.159596980487 27.2298587350567 689.804091030322</t>
  </si>
  <si>
    <t>-587.133719374763 -67.1826513628248 771.335499887435</t>
  </si>
  <si>
    <t>9763-20170724T160759.487641800.bin</t>
  </si>
  <si>
    <t>-691.697769157581 49.5095198340873 -229.965912302195</t>
  </si>
  <si>
    <t>-710.781562393615 57.50672851678 -349.296048731123</t>
  </si>
  <si>
    <t>-713.095545756318 58.1129146574867 -470.477074736997</t>
  </si>
  <si>
    <t>-708.329194745255 55.4640794477587 -579.862186021073</t>
  </si>
  <si>
    <t>-696.87041043131 49.5525186255932 -688.621614845093</t>
  </si>
  <si>
    <t>-674.046510692525 37.8577894760895 -838.762556267767</t>
  </si>
  <si>
    <t>-622.275942744634 26.7923441526484 -925.827738832444</t>
  </si>
  <si>
    <t>-674.376768027116 73.2757371066277 -773.200534301296</t>
  </si>
  <si>
    <t>-616.619266031599 207.2095915294 -754.473883015591</t>
  </si>
  <si>
    <t>-588.431908680382 223.065861918923 -439.608566165908</t>
  </si>
  <si>
    <t>-393.506937919538 183.604714515292 -272.010464519394</t>
  </si>
  <si>
    <t>-693.913980831366 12.788958447836 -771.459099515057</t>
  </si>
  <si>
    <t>-669.324879007462 143.392583572854 -226.833743817672</t>
  </si>
  <si>
    <t>-601.524406167503 218.377080851565 217.506221729723</t>
  </si>
  <si>
    <t>-544.802514726108 288.99709542294 678.356689692554</t>
  </si>
  <si>
    <t>-393.641120526176 247.156964345865 758.000637548838</t>
  </si>
  <si>
    <t>-707.236682333574 -25.525763176691 222.873171557192</t>
  </si>
  <si>
    <t>-711.289878897876 27.1323351409815 689.841768003635</t>
  </si>
  <si>
    <t>-587.037084584888 -67.0157775121575 771.333398713379</t>
  </si>
  <si>
    <t>9763-20170724T160759.522739900.bin</t>
  </si>
  <si>
    <t>-692.01538517561 49.7182896339534 -229.971151209284</t>
  </si>
  <si>
    <t>-711.134003642538 57.7116167939178 -349.295821842389</t>
  </si>
  <si>
    <t>-713.427383403857 58.3107526702945 -470.477273495499</t>
  </si>
  <si>
    <t>-708.619759958345 55.6545976596155 -579.860471538111</t>
  </si>
  <si>
    <t>-697.096855974057 49.7353790546688 -688.612668150891</t>
  </si>
  <si>
    <t>-674.16030500709 38.0299497079495 -838.735658606146</t>
  </si>
  <si>
    <t>-622.341062433763 27.0096180222392 -925.777618719451</t>
  </si>
  <si>
    <t>-674.573004276762 73.4633087637214 -773.182250626473</t>
  </si>
  <si>
    <t>-616.810276068145 207.385267704746 -754.468320584344</t>
  </si>
  <si>
    <t>-590.65387194235 224.298886896228 -439.482585817988</t>
  </si>
  <si>
    <t>-397.02428776947 185.287261990939 -270.285175524348</t>
  </si>
  <si>
    <t>-694.044828595692 12.9553994548658 -771.439408120068</t>
  </si>
  <si>
    <t>-669.626864005542 143.603019656873 -226.828573284709</t>
  </si>
  <si>
    <t>-601.736846145036 218.518003119238 217.509532689276</t>
  </si>
  <si>
    <t>-544.80787492279 289.001351216854 678.364401783905</t>
  </si>
  <si>
    <t>-393.596591800708 247.293633115747 757.983118559474</t>
  </si>
  <si>
    <t>-707.530689511465 -25.4276850900917 222.878851333394</t>
  </si>
  <si>
    <t>-711.354525352822 27.0895578835966 689.865605269255</t>
  </si>
  <si>
    <t>-586.965005519196 -66.8993314049653 771.332460725564</t>
  </si>
  <si>
    <t>9763-20170724T160759.588448800.bin</t>
  </si>
  <si>
    <t>-692.829154682355 50.2069385478612 -229.979936583599</t>
  </si>
  <si>
    <t>-712.178145130865 58.1607328645412 -349.270178683683</t>
  </si>
  <si>
    <t>-714.39888110526 58.789853198896 -470.452823597832</t>
  </si>
  <si>
    <t>-709.400099888169 56.19024117503 -579.828808860975</t>
  </si>
  <si>
    <t>-697.560555440154 50.3573159837849 -688.551657245683</t>
  </si>
  <si>
    <t>-674.053751305514 38.803905076669 -838.598096315215</t>
  </si>
  <si>
    <t>-621.958598936312 27.9961891617143 -925.501917009698</t>
  </si>
  <si>
    <t>-674.878877332687 74.2219831254652 -773.040533840119</t>
  </si>
  <si>
    <t>-617.388670172943 208.280742858768 -754.276435628986</t>
  </si>
  <si>
    <t>-595.626553439563 228.787059872548 -439.16999990878</t>
  </si>
  <si>
    <t>-404.510015229714 189.602464991564 -267.178396470485</t>
  </si>
  <si>
    <t>-694.030677694287 13.6098982901049 -771.373896790469</t>
  </si>
  <si>
    <t>-670.429358258049 144.331965911835 -226.874652846948</t>
  </si>
  <si>
    <t>-602.18689806336 218.983129011106 217.453912920625</t>
  </si>
  <si>
    <t>-544.801422309027 289.094861237818 678.359014634122</t>
  </si>
  <si>
    <t>-393.600702212751 247.290365394513 757.947191609342</t>
  </si>
  <si>
    <t>-708.292742493422 -25.1234302446785 222.885772614953</t>
  </si>
  <si>
    <t>-711.438600705156 27.0183011339075 689.904745328062</t>
  </si>
  <si>
    <t>-586.86312278806 -66.7609567214381 771.329010549382</t>
  </si>
  <si>
    <t>9763-20170724T160759.655686500.bin</t>
  </si>
  <si>
    <t>-694.153431394533 50.5679268386632 -229.953716260075</t>
  </si>
  <si>
    <t>-713.638498569586 58.4120557512335 -349.229073276904</t>
  </si>
  <si>
    <t>-715.731525714804 58.9575599130974 -470.414383761165</t>
  </si>
  <si>
    <t>-710.5098461357 56.2931658329246 -579.778493361124</t>
  </si>
  <si>
    <t>-698.341201057868 50.4054699377275 -688.461898713312</t>
  </si>
  <si>
    <t>-674.268077253892 38.786551363838 -838.413631818263</t>
  </si>
  <si>
    <t>-621.721591879375 28.2086295734421 -925.073577692118</t>
  </si>
  <si>
    <t>-675.582845306385 74.3075575814948 -772.919668682557</t>
  </si>
  <si>
    <t>-619.391698890104 208.912362342885 -754.302625811947</t>
  </si>
  <si>
    <t>-601.03038110737 232.557597704586 -439.199559241117</t>
  </si>
  <si>
    <t>-412.137243259261 193.002446985858 -264.852681019681</t>
  </si>
  <si>
    <t>-694.256435969206 13.5476816152889 -771.209563680947</t>
  </si>
  <si>
    <t>-672.068939426095 144.959050100601 -226.83529722042</t>
  </si>
  <si>
    <t>-603.083798222445 219.52917322846 217.392199485066</t>
  </si>
  <si>
    <t>-544.832971640886 289.178677377826 678.331832505207</t>
  </si>
  <si>
    <t>-393.56439016946 247.507907180487 757.860843077481</t>
  </si>
  <si>
    <t>-709.309176026653 -24.8952297567262 222.899223988157</t>
  </si>
  <si>
    <t>-711.727636815001 26.8213472062696 689.981843255934</t>
  </si>
  <si>
    <t>-586.510697390374 -66.1875514483697 771.305729464738</t>
  </si>
  <si>
    <t>9763-20170724T160759.691784300.bin</t>
  </si>
  <si>
    <t>-694.805058563211 50.8165621518297 -229.928280575312</t>
  </si>
  <si>
    <t>-714.375035045913 58.6005032855628 -349.193764272437</t>
  </si>
  <si>
    <t>-716.388867796539 59.1163720326911 -470.380507633491</t>
  </si>
  <si>
    <t>-711.028886247662 56.4370953286286 -579.737479319291</t>
  </si>
  <si>
    <t>-698.656049905891 50.5455928994195 -688.397747948205</t>
  </si>
  <si>
    <t>-674.231744812818 38.932540886944 -838.292985239909</t>
  </si>
  <si>
    <t>-621.420621421576 28.5465320066689 -924.815358602445</t>
  </si>
  <si>
    <t>-675.850757087563 74.496166668634 -772.829140371207</t>
  </si>
  <si>
    <t>-620.508855019582 209.444474250401 -754.211457075625</t>
  </si>
  <si>
    <t>-603.666681262522 233.989536954324 -439.092302900256</t>
  </si>
  <si>
    <t>-415.877948603574 194.546530412859 -263.531134432905</t>
  </si>
  <si>
    <t>-694.226726149249 13.6457458303339 -771.109019613271</t>
  </si>
  <si>
    <t>-673.079940636916 145.309729075881 -226.77499245152</t>
  </si>
  <si>
    <t>-603.684285338423 219.891663979972 217.38649434513</t>
  </si>
  <si>
    <t>-544.878102497949 289.174115886828 678.327320151458</t>
  </si>
  <si>
    <t>-393.547595350461 247.644114290882 757.812256713504</t>
  </si>
  <si>
    <t>-709.638985624443 -24.7560310544509 222.917857785235</t>
  </si>
  <si>
    <t>-711.768194671645 26.7863257452977 690.012041430237</t>
  </si>
  <si>
    <t>-586.395733978768 -66.0439699353174 771.300370205021</t>
  </si>
  <si>
    <t>9763-20170724T160759.720864000.bin</t>
  </si>
  <si>
    <t>-695.531450720629 50.9981662392572 -229.871410728565</t>
  </si>
  <si>
    <t>-715.178629672077 58.7326559973749 -349.127369229589</t>
  </si>
  <si>
    <t>-717.111112035139 59.2436794060864 -470.315492896673</t>
  </si>
  <si>
    <t>-711.612909149813 56.5777382704866 -579.665890537956</t>
  </si>
  <si>
    <t>-699.038033753284 50.7161440345535 -688.304625559057</t>
  </si>
  <si>
    <t>-674.267328701978 39.1617683361728 -838.147543697505</t>
  </si>
  <si>
    <t>-621.204964270228 29.0426888596164 -924.547636395391</t>
  </si>
  <si>
    <t>-676.209089064033 74.7501475577317 -772.705892228491</t>
  </si>
  <si>
    <t>-621.835460071291 210.079048534589 -754.000742899231</t>
  </si>
  <si>
    <t>-606.151214512574 235.556405905679 -438.895898675772</t>
  </si>
  <si>
    <t>-419.354363347487 196.306787157587 -262.236684741749</t>
  </si>
  <si>
    <t>-694.246070250481 13.7983412223246 -770.987566271632</t>
  </si>
  <si>
    <t>-674.250912800475 145.576635224856 -226.66648867675</t>
  </si>
  <si>
    <t>-604.35449634924 220.313252326125 217.390396599943</t>
  </si>
  <si>
    <t>-544.902605516525 289.247448459488 678.303515352092</t>
  </si>
  <si>
    <t>-393.53969558242 247.757277225996 757.747568179042</t>
  </si>
  <si>
    <t>-709.976307483798 -24.6313454007202 222.931793494471</t>
  </si>
  <si>
    <t>-711.854842906592 26.7173509017282 690.044732447831</t>
  </si>
  <si>
    <t>-586.268856159613 -65.8532582689249 771.299610405719</t>
  </si>
  <si>
    <t>9763-20170724T160759.756959000.bin</t>
  </si>
  <si>
    <t>-696.256949490945 51.1902340639724 -229.816293715795</t>
  </si>
  <si>
    <t>-715.941715973848 58.844899226011 -349.071189381672</t>
  </si>
  <si>
    <t>-717.778687293933 59.3519732267418 -470.260843491348</t>
  </si>
  <si>
    <t>-712.13941136096 56.7135387690003 -579.604746138538</t>
  </si>
  <si>
    <t>-699.369322857302 50.9094330602643 -688.223726325841</t>
  </si>
  <si>
    <t>-674.271648781157 39.4657666208454 -838.020781280664</t>
  </si>
  <si>
    <t>-620.982630646215 29.6473979983425 -924.316030756848</t>
  </si>
  <si>
    <t>-676.542674422267 75.0591885846334 -772.592428165242</t>
  </si>
  <si>
    <t>-623.154396552908 210.777618526999 -753.786482987111</t>
  </si>
  <si>
    <t>-608.814011836289 236.866042970307 -438.66755906059</t>
  </si>
  <si>
    <t>-422.930237275862 197.886570804488 -260.988358025951</t>
  </si>
  <si>
    <t>-694.210597193769 13.9991651526948 -770.88802164086</t>
  </si>
  <si>
    <t>-675.437629651087 145.94694958869 -226.588121923383</t>
  </si>
  <si>
    <t>-605.117575105008 220.711654355327 217.397132463826</t>
  </si>
  <si>
    <t>-544.945275770853 289.281108587865 678.290026896757</t>
  </si>
  <si>
    <t>-393.512654655561 247.939882991729 757.678782107158</t>
  </si>
  <si>
    <t>-710.364357261256 -24.5076715259543 222.946915556862</t>
  </si>
  <si>
    <t>-711.938077863203 26.650429895933 690.076872242187</t>
  </si>
  <si>
    <t>-586.139471454552 -65.6549398252987 771.304594733474</t>
  </si>
  <si>
    <t>9763-20170724T160759.828889700.bin</t>
  </si>
  <si>
    <t>-696.931447568749 51.388138280556 -229.754243138813</t>
  </si>
  <si>
    <t>-716.605047910458 58.9603365591563 -349.016129550487</t>
  </si>
  <si>
    <t>-718.334026319003 59.473088648773 -470.207374372822</t>
  </si>
  <si>
    <t>-712.557023761132 56.8768788501231 -579.545146573165</t>
  </si>
  <si>
    <t>-699.609099675272 51.1517883227089 -688.14734475497</t>
  </si>
  <si>
    <t>-674.222511407954 39.856550192444 -837.906924644627</t>
  </si>
  <si>
    <t>-620.730148214926 30.3719877831709 -924.113574462144</t>
  </si>
  <si>
    <t>-676.826582038427 75.4432930916025 -772.48729749578</t>
  </si>
  <si>
    <t>-624.46042431359 211.549049161809 -753.565167058639</t>
  </si>
  <si>
    <t>-611.683088887063 237.760054192684 -438.389120626122</t>
  </si>
  <si>
    <t>-426.563805911611 199.225442665108 -259.81705003135</t>
  </si>
  <si>
    <t>-694.083949806535 14.2654409408851 -770.798514481264</t>
  </si>
  <si>
    <t>-676.513354723268 146.301228830649 -226.528087055971</t>
  </si>
  <si>
    <t>-606.001953825697 221.196826470496 217.404888969486</t>
  </si>
  <si>
    <t>-544.992077244901 289.344024296574 678.288614353172</t>
  </si>
  <si>
    <t>-393.497300298971 248.102686415474 757.61085153933</t>
  </si>
  <si>
    <t>-710.700616444595 -24.4224001576281 222.960921055111</t>
  </si>
  <si>
    <t>-712.006493467589 26.592932759856 690.105950348497</t>
  </si>
  <si>
    <t>-585.964228183944 -65.4079771715642 771.301306257291</t>
  </si>
  <si>
    <t>9763-20170724T160759.890591400.bin</t>
  </si>
  <si>
    <t>-699.291029649567 51.6349230611074 -229.517455282207</t>
  </si>
  <si>
    <t>-719.02219623212 58.9480567827002 -348.786095222502</t>
  </si>
  <si>
    <t>-720.457417494308 59.5571551956853 -469.980548724714</t>
  </si>
  <si>
    <t>-714.268444331494 57.1961914009323 -579.301193819579</t>
  </si>
  <si>
    <t>-700.761584358556 51.853189591119 -687.854665199281</t>
  </si>
  <si>
    <t>-674.444820789282 41.2426026706876 -837.503770791277</t>
  </si>
  <si>
    <t>-620.311581326652 32.870856590956 -923.425204340281</t>
  </si>
  <si>
    <t>-678.142468989818 76.7122135641066 -772.07325062715</t>
  </si>
  <si>
    <t>-629.142654447325 213.97208607977 -752.487292715698</t>
  </si>
  <si>
    <t>-619.939906476874 239.520835986603 -437.13229806952</t>
  </si>
  <si>
    <t>-436.542645118647 203.559469871436 -256.261470058851</t>
  </si>
  <si>
    <t>-694.035931974297 15.162637597394 -770.504057336342</t>
  </si>
  <si>
    <t>-680.498538340394 147.096019002394 -226.17267216967</t>
  </si>
  <si>
    <t>-608.942402134557 222.436785803221 217.517746251879</t>
  </si>
  <si>
    <t>-545.165587579255 289.556417209794 678.256930975886</t>
  </si>
  <si>
    <t>-393.45845033385 248.634508637315 757.338174283616</t>
  </si>
  <si>
    <t>-711.428929866922 -24.4769947068073 223.078361324627</t>
  </si>
  <si>
    <t>-712.219725706776 26.4282310961041 690.222925373168</t>
  </si>
  <si>
    <t>-585.448994844393 -64.6798426337198 771.290868492901</t>
  </si>
  <si>
    <t>9763-20170724T160759.921071000.bin</t>
  </si>
  <si>
    <t>-700.18493281009 51.5620461720789 -229.387917888925</t>
  </si>
  <si>
    <t>-719.978632487896 58.8035696489521 -348.650547524119</t>
  </si>
  <si>
    <t>-721.354508062442 59.4754591056801 -469.845430869524</t>
  </si>
  <si>
    <t>-715.061238528697 57.2256007596704 -579.162413812185</t>
  </si>
  <si>
    <t>-701.399409168675 52.0466642678925 -687.704534605727</t>
  </si>
  <si>
    <t>-674.81446380161 41.7188011517937 -837.326050010192</t>
  </si>
  <si>
    <t>-620.483296500428 33.7171393759427 -923.157625339135</t>
  </si>
  <si>
    <t>-678.853189764039 77.1205528778983 -771.878778441546</t>
  </si>
  <si>
    <t>-630.913120276297 214.728883617209 -752.071495176345</t>
  </si>
  <si>
    <t>-622.506073717023 239.760298941906 -436.652730870796</t>
  </si>
  <si>
    <t>-439.777286195782 204.875308670559 -254.896808773171</t>
  </si>
  <si>
    <t>-694.30175579139 15.456577915415 -770.367423068937</t>
  </si>
  <si>
    <t>-681.951917645286 147.282299500152 -226.015494519962</t>
  </si>
  <si>
    <t>-609.806499518875 222.798517581328 217.54967795578</t>
  </si>
  <si>
    <t>-545.247199452226 289.712494122574 678.233025366332</t>
  </si>
  <si>
    <t>-393.500557371048 248.807147918398 757.247052124461</t>
  </si>
  <si>
    <t>-711.470199416027 -24.7093260230822 223.167947387233</t>
  </si>
  <si>
    <t>-712.38229193749 26.3505465586948 690.302657901827</t>
  </si>
  <si>
    <t>-585.199131478793 -64.2610663724006 771.280969164499</t>
  </si>
  <si>
    <t>9763-20170724T160800.005964700.bin</t>
  </si>
  <si>
    <t>-701.856013283625 50.9493251908405 -229.07924741218</t>
  </si>
  <si>
    <t>-721.931533063609 58.0994778064548 -348.300353330872</t>
  </si>
  <si>
    <t>-723.296864181823 58.905564767105 -469.494604842282</t>
  </si>
  <si>
    <t>-716.873463205735 56.8647936767518 -578.807921434947</t>
  </si>
  <si>
    <t>-702.961430624366 51.9784840727636 -687.331840073764</t>
  </si>
  <si>
    <t>-675.905154493709 42.1414015256876 -836.902021682993</t>
  </si>
  <si>
    <t>-621.248880544164 34.8417457369901 -922.589574762492</t>
  </si>
  <si>
    <t>-680.558061289095 77.4259875534158 -771.432261557921</t>
  </si>
  <si>
    <t>-634.614219150611 215.663133174757 -751.315339478726</t>
  </si>
  <si>
    <t>-627.162764253344 240.542744801062 -435.860578199204</t>
  </si>
  <si>
    <t>-445.410473863472 208.10676052479 -252.677342168503</t>
  </si>
  <si>
    <t>-695.195312563205 15.5620963609431 -770.011330412621</t>
  </si>
  <si>
    <t>-684.771514394128 146.992991075259 -225.613863215811</t>
  </si>
  <si>
    <t>-611.316309683448 222.838975876438 217.679948183567</t>
  </si>
  <si>
    <t>-545.324056954928 289.773604158353 678.15709990693</t>
  </si>
  <si>
    <t>-393.429624325953 249.156231874607 757.035678356053</t>
  </si>
  <si>
    <t>-711.188706406067 -25.3280221187183 223.338709440151</t>
  </si>
  <si>
    <t>-712.497469118954 26.3266037375686 690.418810736902</t>
  </si>
  <si>
    <t>-584.801103175021 -63.6697215672284 771.275572186635</t>
  </si>
  <si>
    <t>9763-20170724T160800.024012700.bin</t>
  </si>
  <si>
    <t>-702.613834718807 50.474327555188 -228.915324918975</t>
  </si>
  <si>
    <t>-722.779678775518 57.5766010917264 -348.123919711961</t>
  </si>
  <si>
    <t>-724.15516641708 58.4362605924903 -469.317657979257</t>
  </si>
  <si>
    <t>-717.707354037416 56.4841349328087 -578.631303611899</t>
  </si>
  <si>
    <t>-703.737516379308 51.7245974439952 -687.153372564323</t>
  </si>
  <si>
    <t>-676.56602704764 42.1025653098341 -836.716457588076</t>
  </si>
  <si>
    <t>-621.809794346705 35.1273404327867 -922.367406352937</t>
  </si>
  <si>
    <t>-681.462987526525 77.3371372290251 -771.237926116929</t>
  </si>
  <si>
    <t>-636.432483605199 215.86696043926 -751.039053859848</t>
  </si>
  <si>
    <t>-629.3310048621 240.89822847053 -435.588228291669</t>
  </si>
  <si>
    <t>-447.832085765077 209.602375887051 -251.956140312308</t>
  </si>
  <si>
    <t>-695.714228747488 15.3827970281402 -769.841104081512</t>
  </si>
  <si>
    <t>-686.076439298568 146.645443481585 -225.390499506018</t>
  </si>
  <si>
    <t>-611.859979919685 222.742724737135 217.733428716632</t>
  </si>
  <si>
    <t>-545.372362159121 289.700415069251 678.138635363273</t>
  </si>
  <si>
    <t>-393.359988497398 249.402846183919 756.953782377241</t>
  </si>
  <si>
    <t>-711.110734935451 -25.7043581974503 223.42642258833</t>
  </si>
  <si>
    <t>-712.472944735512 26.3522358728153 690.456548209208</t>
  </si>
  <si>
    <t>-584.611533822865 -63.4436437153493 771.275303585861</t>
  </si>
  <si>
    <t>9763-20170724T160800.091225800.bin</t>
  </si>
  <si>
    <t>-704.192799288787 49.2679630172095 -228.601001384655</t>
  </si>
  <si>
    <t>-724.548949711171 56.2449653453584 -347.784737791256</t>
  </si>
  <si>
    <t>-726.017730309016 57.1904743439793 -468.976823222423</t>
  </si>
  <si>
    <t>-719.611548606496 55.4026225539067 -578.295590267923</t>
  </si>
  <si>
    <t>-705.638970329926 50.8927551584663 -686.828004141537</t>
  </si>
  <si>
    <t>-678.416194397488 41.7061290086156 -836.409252981353</t>
  </si>
  <si>
    <t>-623.551402761292 35.3641073374588 -922.039988437338</t>
  </si>
  <si>
    <t>-683.700165605122 76.8300744243738 -770.901180012758</t>
  </si>
  <si>
    <t>-640.357186437933 215.855889911913 -750.514452666318</t>
  </si>
  <si>
    <t>-633.42230875986 241.885978191518 -435.140836006068</t>
  </si>
  <si>
    <t>-452.059265455701 212.48440337435 -251.061885596744</t>
  </si>
  <si>
    <t>-697.222795491796 14.7116562419465 -769.547193660625</t>
  </si>
  <si>
    <t>-688.536990012837 145.654297955264 -224.990817460267</t>
  </si>
  <si>
    <t>-612.600641315344 222.218380161582 217.761113365179</t>
  </si>
  <si>
    <t>-545.497454175022 289.659133824602 678.055997902248</t>
  </si>
  <si>
    <t>-393.316578276562 249.778311047775 756.757970317035</t>
  </si>
  <si>
    <t>-711.456452239552 -26.4929427637067 223.609197443329</t>
  </si>
  <si>
    <t>-712.587734349406 26.240735899381 690.516582733761</t>
  </si>
  <si>
    <t>-584.235524969888 -62.9058475901743 771.276146968406</t>
  </si>
  <si>
    <t>9763-20170724T160800.123315700.bin</t>
  </si>
  <si>
    <t>-704.898753776719 48.6910141380577 -228.487901754867</t>
  </si>
  <si>
    <t>-725.378888950813 55.6320591287058 -347.652560467456</t>
  </si>
  <si>
    <t>-726.940608903215 56.627299538914 -468.842978964161</t>
  </si>
  <si>
    <t>-720.603446806679 54.9213501012439 -578.167198406293</t>
  </si>
  <si>
    <t>-706.683456679899 50.530911100064 -686.711197809855</t>
  </si>
  <si>
    <t>-679.515450322679 41.5501355726888 -836.3148627559</t>
  </si>
  <si>
    <t>-624.645534088838 35.5074254232923 -921.963958255742</t>
  </si>
  <si>
    <t>-684.943708445152 76.6194990542051 -770.789297093973</t>
  </si>
  <si>
    <t>-642.355596329415 215.875994548254 -750.331485592107</t>
  </si>
  <si>
    <t>-635.374277043779 242.114985374747 -434.976198698872</t>
  </si>
  <si>
    <t>-453.722715801838 213.991448557538 -250.982148222265</t>
  </si>
  <si>
    <t>-698.129180587822 14.428212975005 -769.450444611663</t>
  </si>
  <si>
    <t>-689.660254739497 145.186634508565 -224.814915422188</t>
  </si>
  <si>
    <t>-612.579809632758 222.031452656788 217.690662622699</t>
  </si>
  <si>
    <t>-545.558054198483 289.69228456353 677.985181069214</t>
  </si>
  <si>
    <t>-393.365908559655 249.823819911541 756.671616809598</t>
  </si>
  <si>
    <t>-711.714882833565 -26.7875779385415 223.671788093277</t>
  </si>
  <si>
    <t>-712.594275256516 26.2109484876987 690.539095803932</t>
  </si>
  <si>
    <t>-584.105316102295 -62.7538843183206 771.281657587545</t>
  </si>
  <si>
    <t>9763-20170724T160800.190504900.bin</t>
  </si>
  <si>
    <t>-706.359548524966 47.2909562707875 -228.260704957655</t>
  </si>
  <si>
    <t>-726.980589112385 54.1423714663804 -347.406033908924</t>
  </si>
  <si>
    <t>-728.701731553096 55.1899232685598 -468.593991542605</t>
  </si>
  <si>
    <t>-722.51118050392 53.5960764068552 -577.928287180752</t>
  </si>
  <si>
    <t>-708.737698779138 49.38447318201 -686.498168486093</t>
  </si>
  <si>
    <t>-681.770083713777 40.7245488858041 -836.156912384668</t>
  </si>
  <si>
    <t>-626.971090389741 35.1920186174953 -921.885871901585</t>
  </si>
  <si>
    <t>-687.405547263862 75.7132115750269 -770.60576409184</t>
  </si>
  <si>
    <t>-646.228398901688 215.381139033198 -750.05090229291</t>
  </si>
  <si>
    <t>-638.75693713305 242.159460704095 -434.752177397832</t>
  </si>
  <si>
    <t>-456.340189168885 216.205902433337 -251.196684469297</t>
  </si>
  <si>
    <t>-699.999270050147 13.3993983230605 -769.269202814145</t>
  </si>
  <si>
    <t>-691.710827423433 143.816624636609 -224.533449863676</t>
  </si>
  <si>
    <t>-611.908153646491 221.066806976537 217.418706076567</t>
  </si>
  <si>
    <t>-545.660639086112 289.706512886033 677.738534915718</t>
  </si>
  <si>
    <t>-393.466408545206 249.891684661775 756.448204106291</t>
  </si>
  <si>
    <t>-712.435816796724 -27.5493306516335 223.807638880392</t>
  </si>
  <si>
    <t>-712.609099975572 26.1306640178059 690.577525543407</t>
  </si>
  <si>
    <t>-583.853396819067 -62.4685681987471 771.297154720574</t>
  </si>
  <si>
    <t>9763-20170724T160800.222463600.bin</t>
  </si>
  <si>
    <t>-707.053243019052 46.5605637230888 -228.148808526855</t>
  </si>
  <si>
    <t>-727.814814880995 53.3978882440119 -347.270616899351</t>
  </si>
  <si>
    <t>-729.660732079365 54.4651142627672 -468.456527602144</t>
  </si>
  <si>
    <t>-723.574379281655 52.9054579102312 -577.797180547794</t>
  </si>
  <si>
    <t>-709.895123483182 48.7457394883509 -686.380919538886</t>
  </si>
  <si>
    <t>-683.04702776114 40.1775678358465 -836.066439592163</t>
  </si>
  <si>
    <t>-628.302957482116 34.8348878599659 -921.842466386921</t>
  </si>
  <si>
    <t>-688.745148350317 75.148747017975 -770.511331103358</t>
  </si>
  <si>
    <t>-648.110855629508 214.976593718397 -749.961686636672</t>
  </si>
  <si>
    <t>-640.445294689746 241.988323535335 -434.687537990241</t>
  </si>
  <si>
    <t>-457.465942514189 217.06015877295 -251.550365949069</t>
  </si>
  <si>
    <t>-701.107574388824 12.7889692840135 -769.159126298516</t>
  </si>
  <si>
    <t>-692.641952429999 143.133923042448 -224.390718118822</t>
  </si>
  <si>
    <t>-611.293207770219 220.548379599446 217.250611158745</t>
  </si>
  <si>
    <t>-545.716539073104 289.622808945968 677.607506144386</t>
  </si>
  <si>
    <t>-393.507890906061 249.895031688185 756.333278340157</t>
  </si>
  <si>
    <t>-712.71311302544 -27.9513531255125 223.877664462662</t>
  </si>
  <si>
    <t>-712.606245378984 26.0935129596651 690.59428501358</t>
  </si>
  <si>
    <t>-583.761286030293 -62.3823011870359 771.306869910267</t>
  </si>
  <si>
    <t>9763-20170724T160800.289140100.bin</t>
  </si>
  <si>
    <t>-708.554032711434 45.0947539550007 -227.92722282991</t>
  </si>
  <si>
    <t>-729.599487320864 51.9692481239347 -346.997072351311</t>
  </si>
  <si>
    <t>-731.709524838612 53.0736992585751 -468.17832821746</t>
  </si>
  <si>
    <t>-725.850301983663 51.5515713520285 -577.531998542165</t>
  </si>
  <si>
    <t>-712.384771044084 47.434715842317 -686.144015284328</t>
  </si>
  <si>
    <t>-685.818295250908 38.9333930437019 -835.883639158319</t>
  </si>
  <si>
    <t>-631.22256888401 33.8357035393112 -921.769082257286</t>
  </si>
  <si>
    <t>-691.566542276052 73.9082235472147 -770.334932220897</t>
  </si>
  <si>
    <t>-651.725729399627 213.978752719788 -749.896174754849</t>
  </si>
  <si>
    <t>-643.793734595951 241.389920433082 -434.663079736887</t>
  </si>
  <si>
    <t>-459.863917287607 217.43134166598 -252.350575439258</t>
  </si>
  <si>
    <t>-703.57984019847 11.4815797817705 -768.922062854785</t>
  </si>
  <si>
    <t>-694.493393670623 141.735166764427 -224.098586852809</t>
  </si>
  <si>
    <t>-609.683334798218 219.385404805963 216.849668818392</t>
  </si>
  <si>
    <t>-545.803099503684 289.460804486663 677.29617320231</t>
  </si>
  <si>
    <t>-393.608043978375 249.853664789591 756.109142936772</t>
  </si>
  <si>
    <t>-713.171820935905 -28.7928370254126 223.994263991547</t>
  </si>
  <si>
    <t>-712.616008577885 26.0121406511639 690.625981937598</t>
  </si>
  <si>
    <t>-583.534439978238 -62.1360828376332 771.318913291842</t>
  </si>
  <si>
    <t>9763-20170724T160800.319726100.bin</t>
  </si>
  <si>
    <t>-709.405231689022 44.314751173303 -227.780448949667</t>
  </si>
  <si>
    <t>-730.603606953908 51.2272156799729 -346.820957027621</t>
  </si>
  <si>
    <t>-732.850015392328 52.3562897023287 -467.999515028706</t>
  </si>
  <si>
    <t>-727.105990624835 50.8517544206325 -577.359486195361</t>
  </si>
  <si>
    <t>-713.746747124574 46.748316235637 -685.985099718537</t>
  </si>
  <si>
    <t>-687.318326195246 38.2616486955781 -835.750069583372</t>
  </si>
  <si>
    <t>-632.794906568964 33.2285669241187 -921.685146322694</t>
  </si>
  <si>
    <t>-693.071654304922 73.2422884784867 -770.204870171198</t>
  </si>
  <si>
    <t>-653.495560387501 213.391789445445 -749.835520412119</t>
  </si>
  <si>
    <t>-645.367598958996 241.058225130736 -434.629677622545</t>
  </si>
  <si>
    <t>-460.867395678466 217.357629180259 -252.860594800047</t>
  </si>
  <si>
    <t>-704.952630396732 10.7910342837276 -768.7625460254</t>
  </si>
  <si>
    <t>-695.488058926918 140.922451515012 -223.920465459465</t>
  </si>
  <si>
    <t>-608.851987036127 218.683815799669 216.653008890108</t>
  </si>
  <si>
    <t>-545.837849097579 289.306604866044 677.127242185071</t>
  </si>
  <si>
    <t>-393.600986683341 249.950984046712 755.985257668459</t>
  </si>
  <si>
    <t>-713.430056716955 -29.2886570134617 224.05809376461</t>
  </si>
  <si>
    <t>-712.59798664845 25.9761453293586 690.627490925131</t>
  </si>
  <si>
    <t>-583.40076223839 -62.0053928229365 771.317275431479</t>
  </si>
  <si>
    <t>9763-20170724T160800.390925200.bin</t>
  </si>
  <si>
    <t>-711.203933183618 42.723137979109 -227.504634920264</t>
  </si>
  <si>
    <t>-732.716901536525 49.7526950484121 -346.481905121058</t>
  </si>
  <si>
    <t>-735.238826879883 50.9083522657731 -467.654783724308</t>
  </si>
  <si>
    <t>-729.726095745117 49.3910837136939 -577.026399780988</t>
  </si>
  <si>
    <t>-716.580054872202 45.2376277929618 -685.676209164394</t>
  </si>
  <si>
    <t>-690.428839088395 36.6429537273652 -835.483593275996</t>
  </si>
  <si>
    <t>-636.053128561211 31.5831644751686 -921.510723813065</t>
  </si>
  <si>
    <t>-696.154930855601 71.6882666895754 -769.970614405743</t>
  </si>
  <si>
    <t>-656.978362170669 211.984808196694 -749.786505864204</t>
  </si>
  <si>
    <t>-648.076684586829 240.081643952679 -434.639709534072</t>
  </si>
  <si>
    <t>-462.558541012757 216.773462757612 -253.858525600799</t>
  </si>
  <si>
    <t>-707.844935649348 9.20341847774125 -768.426379384193</t>
  </si>
  <si>
    <t>-697.538379108589 139.333472622872 -223.511237685894</t>
  </si>
  <si>
    <t>-607.504121056941 217.353498329498 216.334644735118</t>
  </si>
  <si>
    <t>-546.019531200504 289.258679222134 676.792928241346</t>
  </si>
  <si>
    <t>-393.825634933654 249.936006130291 755.750225664325</t>
  </si>
  <si>
    <t>-714.014743171476 -30.233143289149 224.159433930961</t>
  </si>
  <si>
    <t>-712.59091261394 25.8870193304335 690.634451839573</t>
  </si>
  <si>
    <t>-583.213364165171 -61.840170944196 771.312191999902</t>
  </si>
  <si>
    <t>9763-20170724T160800.423596600.bin</t>
  </si>
  <si>
    <t>-712.17835820474 41.964395049903 -227.349614604228</t>
  </si>
  <si>
    <t>-733.821149115209 49.0465484578854 -346.300234783803</t>
  </si>
  <si>
    <t>-736.458379946989 50.2114482152442 -467.47053176987</t>
  </si>
  <si>
    <t>-731.043245228426 48.6847258856806 -576.846937278265</t>
  </si>
  <si>
    <t>-717.988222208665 44.5034643763661 -685.506693947482</t>
  </si>
  <si>
    <t>-691.956554550359 35.8510835238078 -835.331584240324</t>
  </si>
  <si>
    <t>-637.661277536391 30.7446443704682 -921.406692396624</t>
  </si>
  <si>
    <t>-697.673345164325 70.9294392671104 -769.835376210947</t>
  </si>
  <si>
    <t>-658.596512484525 211.263475788571 -749.746198547033</t>
  </si>
  <si>
    <t>-649.241129422893 239.370654071902 -434.613553396229</t>
  </si>
  <si>
    <t>-463.418223578267 216.142948771898 -254.135285639859</t>
  </si>
  <si>
    <t>-709.276216698821 8.42950121223134 -768.242012653697</t>
  </si>
  <si>
    <t>-698.696070512143 138.558551563935 -223.280447380147</t>
  </si>
  <si>
    <t>-606.886279986336 216.773899343455 216.163543464235</t>
  </si>
  <si>
    <t>-546.049313507339 289.212454035927 676.615796516997</t>
  </si>
  <si>
    <t>-393.862538780943 249.930840699926 755.607280418323</t>
  </si>
  <si>
    <t>-714.437353951967 -30.7224769034767 224.226283222898</t>
  </si>
  <si>
    <t>-712.607034356869 25.8383490373242 690.642457470532</t>
  </si>
  <si>
    <t>-583.095385674091 -61.7046105483173 771.305185935646</t>
  </si>
  <si>
    <t>9763-20170724T160800.491308300.bin</t>
  </si>
  <si>
    <t>-714.297682626333 40.5108152967607 -227.102987807026</t>
  </si>
  <si>
    <t>-736.149830916419 47.6229558655841 -346.013424754882</t>
  </si>
  <si>
    <t>-738.891667134986 48.7327028114717 -467.182019058944</t>
  </si>
  <si>
    <t>-733.529357927745 47.1167881938825 -576.559777303512</t>
  </si>
  <si>
    <t>-720.487388827805 42.8035046399882 -685.215732705889</t>
  </si>
  <si>
    <t>-694.434668731963 33.920464137994 -835.023509596278</t>
  </si>
  <si>
    <t>-640.230220015533 28.6379338056308 -921.145271465981</t>
  </si>
  <si>
    <t>-700.193516708721 69.1055186585354 -769.588427679983</t>
  </si>
  <si>
    <t>-661.063418489727 209.42983854951 -749.646147439627</t>
  </si>
  <si>
    <t>-650.899772323874 237.29654332881 -434.517058617841</t>
  </si>
  <si>
    <t>-464.676096695194 213.430728275494 -254.535960575042</t>
  </si>
  <si>
    <t>-711.730864988255 6.59635612462148 -767.888265065171</t>
  </si>
  <si>
    <t>-700.879648639268 137.118934109556 -222.970092583305</t>
  </si>
  <si>
    <t>-605.750795659816 215.666716848688 215.707927802978</t>
  </si>
  <si>
    <t>-546.212304567077 289.040054916235 676.255659558974</t>
  </si>
  <si>
    <t>-393.962736324324 249.990164333422 755.241146152851</t>
  </si>
  <si>
    <t>-715.47726424347 -31.5964281713464 224.332888898691</t>
  </si>
  <si>
    <t>-712.661704855311 25.668008457289 690.631123003781</t>
  </si>
  <si>
    <t>-582.776024688144 -61.313072978427 771.300267926471</t>
  </si>
  <si>
    <t>9763-20170724T160800.522867900.bin</t>
  </si>
  <si>
    <t>-715.361095322507 39.822305119621 -226.998255207708</t>
  </si>
  <si>
    <t>-737.24577077234 46.9794449588253 -345.900040335739</t>
  </si>
  <si>
    <t>-740.000346502517 48.0887104543999 -467.068299917584</t>
  </si>
  <si>
    <t>-734.642799960943 46.4509876067968 -576.445970261596</t>
  </si>
  <si>
    <t>-721.599390500172 42.0934477098217 -685.100162511828</t>
  </si>
  <si>
    <t>-695.539422114302 33.1239767292082 -834.901439832736</t>
  </si>
  <si>
    <t>-641.378513585807 27.7485030580795 -921.044825029468</t>
  </si>
  <si>
    <t>-701.289791145458 68.3447437866919 -769.484753557041</t>
  </si>
  <si>
    <t>-662.009858533758 208.658583424864 -749.588261562743</t>
  </si>
  <si>
    <t>-651.846456673188 236.743056608881 -434.478531244788</t>
  </si>
  <si>
    <t>-464.550344900729 212.554327130486 -255.657077264544</t>
  </si>
  <si>
    <t>-712.850475409242 5.84067566319482 -767.75335460116</t>
  </si>
  <si>
    <t>-702.066903994089 136.443974970909 -222.76105269379</t>
  </si>
  <si>
    <t>-605.155671519082 215.15588449008 215.497271236044</t>
  </si>
  <si>
    <t>-546.291026976293 289.003457816927 676.050641220507</t>
  </si>
  <si>
    <t>-394.034126830353 249.951400770625 755.02090577052</t>
  </si>
  <si>
    <t>-716.109472304613 -31.996774684415 224.33689585272</t>
  </si>
  <si>
    <t>-712.645482984288 25.5248695679888 690.536420125156</t>
  </si>
  <si>
    <t>-582.678088970933 -61.2303357937712 771.317116437742</t>
  </si>
  <si>
    <t>9763-20170724T160800.590553900.bin</t>
  </si>
  <si>
    <t>-717.405400372686 38.3772646942828 -227.092044779268</t>
  </si>
  <si>
    <t>-739.358489345422 45.5574520408702 -345.979906075002</t>
  </si>
  <si>
    <t>-742.165599926112 46.5630434796587 -467.147831024757</t>
  </si>
  <si>
    <t>-736.850184987182 44.7790373981322 -576.525223154882</t>
  </si>
  <si>
    <t>-723.844803087975 40.2219711793173 -685.175781554496</t>
  </si>
  <si>
    <t>-697.834609652232 30.919445417323 -834.965478477071</t>
  </si>
  <si>
    <t>-643.722676834342 25.274185244577 -921.122314503684</t>
  </si>
  <si>
    <t>-703.538885125904 66.2810909167636 -769.620797253187</t>
  </si>
  <si>
    <t>-664.083708673872 206.590072769051 -750.047248050053</t>
  </si>
  <si>
    <t>-653.141834141034 235.463523181094 -435.034807533654</t>
  </si>
  <si>
    <t>-463.734682537615 209.770241976594 -258.66346697976</t>
  </si>
  <si>
    <t>-715.147770170494 3.78992562697886 -767.755584652899</t>
  </si>
  <si>
    <t>-704.146600955977 135.060676229101 -222.77752779901</t>
  </si>
  <si>
    <t>-603.885645073542 214.019688025651 214.682054371584</t>
  </si>
  <si>
    <t>-546.413809036836 288.964486595302 675.358106304827</t>
  </si>
  <si>
    <t>-394.178095690652 249.884449549769 754.355288090092</t>
  </si>
  <si>
    <t>-717.531253446616 -33.0179924140209 224.080578918624</t>
  </si>
  <si>
    <t>-712.542249870678 24.9214334529481 690.04268392606</t>
  </si>
  <si>
    <t>-582.482405898051 -61.1529351602394 771.400813585425</t>
  </si>
  <si>
    <t>9763-20170724T160800.623162500.bin</t>
  </si>
  <si>
    <t>-718.347607812156 37.6643849200011 -227.203853145865</t>
  </si>
  <si>
    <t>-740.284774480903 44.8927227674137 -346.091735730093</t>
  </si>
  <si>
    <t>-743.134045440021 45.8531748328207 -467.25904043858</t>
  </si>
  <si>
    <t>-737.880903819473 43.9913507711613 -576.638221571666</t>
  </si>
  <si>
    <t>-724.961827042005 39.3204679962928 -685.294226409803</t>
  </si>
  <si>
    <t>-699.09677935787 29.8226651327427 -835.096687949602</t>
  </si>
  <si>
    <t>-645.039829284724 24.035561142126 -921.278685312046</t>
  </si>
  <si>
    <t>-704.706637803685 65.2638686621949 -769.786938099346</t>
  </si>
  <si>
    <t>-665.040481626251 205.537523723159 -750.416976855215</t>
  </si>
  <si>
    <t>-653.482672900092 234.631013417271 -435.446825076541</t>
  </si>
  <si>
    <t>-462.942790912735 207.960055837735 -260.445942382998</t>
  </si>
  <si>
    <t>-716.375965217719 2.78632789268249 -767.840528344143</t>
  </si>
  <si>
    <t>-705.042660028757 134.38712340934 -222.838210142291</t>
  </si>
  <si>
    <t>-603.493538540052 213.392017710998 214.315849635536</t>
  </si>
  <si>
    <t>-546.528031971716 288.769595402371 674.970323946249</t>
  </si>
  <si>
    <t>-394.254610978277 249.835864679859 753.967007358139</t>
  </si>
  <si>
    <t>-718.213163309496 -33.510671831765 223.886244627496</t>
  </si>
  <si>
    <t>-712.48720256412 24.6356166569337 689.828124858397</t>
  </si>
  <si>
    <t>-582.423728891871 -61.1626675539603 771.471610826453</t>
  </si>
  <si>
    <t>9763-20170724T160800.686863900.bin</t>
  </si>
  <si>
    <t>-720.034704234141 36.3468865859145 -227.770195590535</t>
  </si>
  <si>
    <t>-742.035897509717 43.6710743710285 -346.640342385654</t>
  </si>
  <si>
    <t>-745.059512654518 44.5344451377152 -467.804072353841</t>
  </si>
  <si>
    <t>-740.010194781344 42.5045830843726 -577.189745469945</t>
  </si>
  <si>
    <t>-727.342091098484 37.5845229019992 -685.864375353402</t>
  </si>
  <si>
    <t>-701.875573213449 27.6551071154415 -835.707130664804</t>
  </si>
  <si>
    <t>-648.014786316474 21.4933602858703 -921.986023132306</t>
  </si>
  <si>
    <t>-707.181676341983 63.2604921260363 -770.461363998603</t>
  </si>
  <si>
    <t>-666.870319608443 203.404624239862 -751.445317733405</t>
  </si>
  <si>
    <t>-652.987599102095 231.981300379343 -436.521794967287</t>
  </si>
  <si>
    <t>-460.513193747672 203.318715753539 -263.97007255646</t>
  </si>
  <si>
    <t>-719.105840534313 0.83654429100875 -768.351332596519</t>
  </si>
  <si>
    <t>-706.580414986102 133.307743770015 -223.311302331404</t>
  </si>
  <si>
    <t>-602.891632027674 212.484475702324 213.309100252592</t>
  </si>
  <si>
    <t>-546.704690195686 288.742515535487 674.022144145554</t>
  </si>
  <si>
    <t>-394.406274664598 249.835389108609 752.984023714551</t>
  </si>
  <si>
    <t>-719.555972184678 -34.6228346469086 223.149644056255</t>
  </si>
  <si>
    <t>-712.350261767213 23.5914448177141 688.900009646995</t>
  </si>
  <si>
    <t>-582.349656775492 -61.2575489822184 771.628519161828</t>
  </si>
  <si>
    <t>9763-20170724T160800.726977300.bin</t>
  </si>
  <si>
    <t>-720.823202974048 35.8690856788796 -228.104059484755</t>
  </si>
  <si>
    <t>-742.843701678606 43.2213064133714 -346.969023347218</t>
  </si>
  <si>
    <t>-745.961545441565 44.0452319621411 -468.130697049999</t>
  </si>
  <si>
    <t>-741.02883855214 41.9503542538721 -577.520482806441</t>
  </si>
  <si>
    <t>-728.508968208685 36.9351949617128 -686.207893542916</t>
  </si>
  <si>
    <t>-703.281726203116 26.8411346792573 -836.080176764158</t>
  </si>
  <si>
    <t>-649.550138080387 20.498582336324 -922.426504069126</t>
  </si>
  <si>
    <t>-708.40908372656 62.5044841433159 -770.851601083026</t>
  </si>
  <si>
    <t>-667.699394684014 202.531234068884 -751.979907622249</t>
  </si>
  <si>
    <t>-651.966779546351 230.413811681125 -437.081110225546</t>
  </si>
  <si>
    <t>-458.944775987429 200.71334771946 -265.318340311364</t>
  </si>
  <si>
    <t>-720.478891870953 0.110431265223269 -768.681129170157</t>
  </si>
  <si>
    <t>-707.234143944487 132.936557958669 -223.651195223358</t>
  </si>
  <si>
    <t>-602.687273612494 212.069044791194 212.772549050198</t>
  </si>
  <si>
    <t>-546.817528883214 288.682332078421 673.51954987004</t>
  </si>
  <si>
    <t>-394.494216841214 249.8010526454 752.445820876944</t>
  </si>
  <si>
    <t>-720.043565034439 -35.0554732535038 222.833486731157</t>
  </si>
  <si>
    <t>-712.28364906192 23.3356874007677 688.683961369044</t>
  </si>
  <si>
    <t>-582.334305011959 -61.3027270053426 771.708165474415</t>
  </si>
  <si>
    <t>9763-20170724T160800.786135600.bin</t>
  </si>
  <si>
    <t>-722.176114519995 35.1041660325457 -228.799239555505</t>
  </si>
  <si>
    <t>-744.322483719499 42.5200535571553 -347.636739934166</t>
  </si>
  <si>
    <t>-747.678394049917 43.3176393683161 -468.792262156553</t>
  </si>
  <si>
    <t>-743.008443264136 41.1550393768596 -578.192228472459</t>
  </si>
  <si>
    <t>-730.799981666196 36.0243402810409 -686.909678088896</t>
  </si>
  <si>
    <t>-706.056937539194 25.7162992375181 -836.848155471579</t>
  </si>
  <si>
    <t>-652.617841649999 19.0432984972786 -923.350792274661</t>
  </si>
  <si>
    <t>-710.784584343798 61.4367616854254 -771.620767913196</t>
  </si>
  <si>
    <t>-668.849851627459 201.130819139024 -752.840939539988</t>
  </si>
  <si>
    <t>-648.345896268885 227.353448914185 -438.074084122685</t>
  </si>
  <si>
    <t>-454.486333676958 195.945977387892 -267.56299504696</t>
  </si>
  <si>
    <t>-708.442511149601 132.25342216138 -224.31872310669</t>
  </si>
  <si>
    <t>-602.148257867139 211.313008367917 211.695999373109</t>
  </si>
  <si>
    <t>-546.993193330489 288.584931054899 672.460126102746</t>
  </si>
  <si>
    <t>-394.679101158731 249.547535453208 751.32721575648</t>
  </si>
  <si>
    <t>-720.74888905159 -35.749459198865 222.136489122717</t>
  </si>
  <si>
    <t>-711.960265482053 22.6788962278995 687.882398889908</t>
  </si>
  <si>
    <t>-582.210791314309 -61.4065765633709 771.77647669103</t>
  </si>
  <si>
    <t>9763-20170724T160800.823236900.bin</t>
  </si>
  <si>
    <t>-722.73147519305 34.7897767998988 -229.118298165577</t>
  </si>
  <si>
    <t>-744.917192670006 42.2147667293941 -347.947925863937</t>
  </si>
  <si>
    <t>-748.378377989456 42.9980997327664 -469.100643386377</t>
  </si>
  <si>
    <t>-743.832161189888 40.8076072375836 -578.505379705279</t>
  </si>
  <si>
    <t>-731.776938653685 35.6309425093204 -687.237612168237</t>
  </si>
  <si>
    <t>-707.278244769726 25.2373954811324 -837.210304443382</t>
  </si>
  <si>
    <t>-653.991630439989 18.4168808396596 -923.795525711112</t>
  </si>
  <si>
    <t>-711.794864232645 60.974634057171 -771.977138137031</t>
  </si>
  <si>
    <t>-669.235856800358 200.488847710503 -753.247966361052</t>
  </si>
  <si>
    <t>-645.857426453257 225.33624635215 -438.569850226142</t>
  </si>
  <si>
    <t>-451.826206238915 193.239694625169 -268.382591519653</t>
  </si>
  <si>
    <t>-708.890363534581 131.972116713902 -224.682177028818</t>
  </si>
  <si>
    <t>-601.813448770538 210.828872443991 211.177704481999</t>
  </si>
  <si>
    <t>-547.092472411174 288.484653375585 671.937762373316</t>
  </si>
  <si>
    <t>-394.74550484325 249.532142285263 750.783145433502</t>
  </si>
  <si>
    <t>-720.984545149566 -35.9823917910169 221.848866829077</t>
  </si>
  <si>
    <t>-711.865554298908 22.5340827845835 687.714740113339</t>
  </si>
  <si>
    <t>-582.13094939026 -61.3746115938384 771.808600561015</t>
  </si>
  <si>
    <t>9763-20170724T160800.891920800.bin</t>
  </si>
  <si>
    <t>-723.655660669243 34.4561032578711 -229.38954326349</t>
  </si>
  <si>
    <t>-745.849800981792 41.9639653630932 -348.212347058609</t>
  </si>
  <si>
    <t>-749.497531021893 42.8536830643282 -469.358821889288</t>
  </si>
  <si>
    <t>-745.195349521312 40.7579020270839 -578.775303755969</t>
  </si>
  <si>
    <t>-733.460501652815 35.6685331073563 -687.546734175001</t>
  </si>
  <si>
    <t>-709.487366982212 25.382349845404 -837.611691239461</t>
  </si>
  <si>
    <t>-656.502179433085 18.3836098490817 -924.36750003352</t>
  </si>
  <si>
    <t>-713.557829775035 61.0292909378918 -772.299785798398</t>
  </si>
  <si>
    <t>-669.70153249967 200.119841455072 -753.556118623854</t>
  </si>
  <si>
    <t>-640.771005117993 221.216222730979 -439.065840541876</t>
  </si>
  <si>
    <t>-445.911060420871 188.36916655373 -269.972109665249</t>
  </si>
  <si>
    <t>-709.702761697006 131.513773639333 -225.007800141843</t>
  </si>
  <si>
    <t>-601.124686860951 210.083701576267 210.532332512632</t>
  </si>
  <si>
    <t>-547.173199430602 288.427540541994 671.110939364241</t>
  </si>
  <si>
    <t>-394.864169745433 249.353987768571 749.970108274953</t>
  </si>
  <si>
    <t>-721.524224517839 -36.0714663732676 221.727191477292</t>
  </si>
  <si>
    <t>-711.729009971141 22.7937305562418 687.790333146073</t>
  </si>
  <si>
    <t>-582.004250266611 -61.3103196869072 771.704024676933</t>
  </si>
  <si>
    <t>9763-20170724T160800.923061100.bin</t>
  </si>
  <si>
    <t>-723.970272826795 34.4782855396202 -229.383367793896</t>
  </si>
  <si>
    <t>-746.129391376001 42.023373968231 -348.210259011455</t>
  </si>
  <si>
    <t>-749.858890765626 42.9710691538917 -469.35382580278</t>
  </si>
  <si>
    <t>-745.67874704894 40.9333370395909 -578.776013150204</t>
  </si>
  <si>
    <t>-734.113877679263 35.9062116765006 -687.568803826244</t>
  </si>
  <si>
    <t>-710.426349588926 25.7093036766901 -837.685096175906</t>
  </si>
  <si>
    <t>-657.590083160703 18.6322543159197 -924.525425461738</t>
  </si>
  <si>
    <t>-714.267320096433 61.2957883400491 -772.326340722851</t>
  </si>
  <si>
    <t>-669.836921554583 200.205098861107 -753.505940645239</t>
  </si>
  <si>
    <t>-637.57780606417 219.623553258403 -439.231395936898</t>
  </si>
  <si>
    <t>-442.284118893216 186.52738194699 -270.687513456852</t>
  </si>
  <si>
    <t>-709.813545059103 131.436625993969 -225.085006759279</t>
  </si>
  <si>
    <t>-600.884046081955 209.819218742966 210.401173961222</t>
  </si>
  <si>
    <t>-547.186319132027 288.441738746346 670.862420167518</t>
  </si>
  <si>
    <t>-394.909194589367 249.267774906875 749.73311795385</t>
  </si>
  <si>
    <t>-721.869049107335 -35.9239369272302 221.815667642999</t>
  </si>
  <si>
    <t>-711.712932350007 23.0275469443063 687.923800444491</t>
  </si>
  <si>
    <t>-581.956520658759 -61.2827557850478 771.58117327707</t>
  </si>
  <si>
    <t>9763-20170724T160800.992236600.bin</t>
  </si>
  <si>
    <t>-724.307357153013 34.7185089124816 -229.259793158469</t>
  </si>
  <si>
    <t>-746.290905547939 42.3493076427528 -348.113971870738</t>
  </si>
  <si>
    <t>-750.128754797694 43.4350761504304 -469.252969164385</t>
  </si>
  <si>
    <t>-746.162836684346 41.5410778922646 -578.68584153784</t>
  </si>
  <si>
    <t>-734.927097490182 36.6761037170515 -687.520206883874</t>
  </si>
  <si>
    <t>-711.814605988724 26.7223752010993 -837.742568837901</t>
  </si>
  <si>
    <t>-659.274232511239 19.5200434335072 -924.751794759822</t>
  </si>
  <si>
    <t>-715.182523622583 62.1556842751088 -772.274666874091</t>
  </si>
  <si>
    <t>-669.566120172603 200.647996773495 -753.268168624195</t>
  </si>
  <si>
    <t>-631.712101599549 216.601380676073 -439.42305996342</t>
  </si>
  <si>
    <t>-435.607663570166 182.951254864797 -271.933623357891</t>
  </si>
  <si>
    <t>-728.899854998085 0.0974442580259165 -770.27303989858</t>
  </si>
  <si>
    <t>-709.673727867166 131.344260039057 -225.121542733394</t>
  </si>
  <si>
    <t>-600.776259451196 209.527496913479 210.408500090281</t>
  </si>
  <si>
    <t>-547.333066230092 288.319289133005 670.665562973292</t>
  </si>
  <si>
    <t>-395.023163635934 249.273179534994 749.536453821464</t>
  </si>
  <si>
    <t>-722.435763937232 -35.5370836836807 222.042408955187</t>
  </si>
  <si>
    <t>-711.607021459962 23.493154176401 688.120602921675</t>
  </si>
  <si>
    <t>-581.927250221696 -61.379093108417 771.327401405744</t>
  </si>
  <si>
    <t>9763-20170724T160801.024321600.bin</t>
  </si>
  <si>
    <t>-724.332782676273 34.8756942709504 -229.230669414817</t>
  </si>
  <si>
    <t>-746.265185766433 42.5720618956291 -348.090007578975</t>
  </si>
  <si>
    <t>-750.178973172925 43.7469380685272 -469.225716553239</t>
  </si>
  <si>
    <t>-746.333678028771 41.9408509361685 -578.664339759867</t>
  </si>
  <si>
    <t>-735.270441812378 37.1698136501313 -687.520628674366</t>
  </si>
  <si>
    <t>-712.451038638242 27.3516094891663 -837.796659699103</t>
  </si>
  <si>
    <t>-660.063794502584 20.0707525348512 -924.891719972337</t>
  </si>
  <si>
    <t>-715.559139150866 62.6971405112504 -772.268371715026</t>
  </si>
  <si>
    <t>-669.258171592838 200.946189681729 -753.15779625956</t>
  </si>
  <si>
    <t>-629.24759429911 215.924605565699 -439.532118897932</t>
  </si>
  <si>
    <t>-432.817127250842 182.081192073007 -272.463916647987</t>
  </si>
  <si>
    <t>-729.536658942052 0.694620611071514 -770.339897289558</t>
  </si>
  <si>
    <t>-709.479114670556 131.411366275978 -225.115869288289</t>
  </si>
  <si>
    <t>-600.680870639385 209.495269928313 210.456719972107</t>
  </si>
  <si>
    <t>-547.376228780215 288.303095575579 670.64700879244</t>
  </si>
  <si>
    <t>-395.089384933124 249.181102116916 749.524918202946</t>
  </si>
  <si>
    <t>-722.626497854552 -35.3468316206631 222.077662473669</t>
  </si>
  <si>
    <t>-711.524102345751 23.6326114703397 688.150619411587</t>
  </si>
  <si>
    <t>-581.910576470881 -61.4600497097535 771.235452525534</t>
  </si>
  <si>
    <t>9763-20170724T160801.089001100.bin</t>
  </si>
  <si>
    <t>-724.193712815062 35.2709630163645 -229.223185633952</t>
  </si>
  <si>
    <t>-745.902120769005 43.0792502802722 -348.116419550031</t>
  </si>
  <si>
    <t>-749.838557146429 44.3960854180154 -469.249915398267</t>
  </si>
  <si>
    <t>-746.116885425635 42.724483562939 -578.694955029073</t>
  </si>
  <si>
    <t>-735.280923888744 38.0913520631063 -687.58002444381</t>
  </si>
  <si>
    <t>-712.885031560073 28.46518615693 -837.932204925553</t>
  </si>
  <si>
    <t>-660.786432233769 20.9940914367028 -925.1840774573</t>
  </si>
  <si>
    <t>-715.526444499703 63.6634684382559 -772.304222829185</t>
  </si>
  <si>
    <t>-667.788761831055 201.412880775905 -753.043737900965</t>
  </si>
  <si>
    <t>-625.884438882637 214.438002947538 -439.578278642029</t>
  </si>
  <si>
    <t>-429.59661479489 179.298089537254 -272.610284568256</t>
  </si>
  <si>
    <t>-730.062556748171 1.78550825839557 -770.507720684396</t>
  </si>
  <si>
    <t>-708.800384732915 131.594376890198 -225.152178534538</t>
  </si>
  <si>
    <t>-600.196117178413 209.507714740897 210.499468628366</t>
  </si>
  <si>
    <t>-547.355366158686 288.430436984635 670.66276591937</t>
  </si>
  <si>
    <t>-395.179969102416 248.96119334854 749.582417905055</t>
  </si>
  <si>
    <t>-722.854536160354 -35.0207261784487 222.069789059268</t>
  </si>
  <si>
    <t>-711.371469483064 23.7942896322991 688.158238301974</t>
  </si>
  <si>
    <t>-581.957804075145 -61.7122075294392 771.129633844107</t>
  </si>
  <si>
    <t>9763-20170724T160801.121590000.bin</t>
  </si>
  <si>
    <t>-724.030414738777 35.5347047804671 -229.227388416473</t>
  </si>
  <si>
    <t>-745.621576792962 43.404900774198 -348.137837733671</t>
  </si>
  <si>
    <t>-749.54234595266 44.7908164508233 -469.271001637345</t>
  </si>
  <si>
    <t>-745.849645376894 43.181377281375 -578.717890465579</t>
  </si>
  <si>
    <t>-735.085867125877 38.6093110877202 -687.61280247938</t>
  </si>
  <si>
    <t>-712.835674896657 29.0650881307972 -837.991826630619</t>
  </si>
  <si>
    <t>-660.856267020578 21.5093072211359 -925.307476745023</t>
  </si>
  <si>
    <t>-715.278242812171 64.1960340449941 -772.320154198248</t>
  </si>
  <si>
    <t>-666.868586160206 201.703530841844 -753.022751217643</t>
  </si>
  <si>
    <t>-624.96887379558 214.255927227436 -439.537404436499</t>
  </si>
  <si>
    <t>-428.659850158007 178.675775975496 -272.687571986333</t>
  </si>
  <si>
    <t>-730.083212564763 2.3801110842312 -770.587370130386</t>
  </si>
  <si>
    <t>-708.408262748881 131.777390211922 -225.165460761162</t>
  </si>
  <si>
    <t>-599.818225451718 209.459191183638 210.530945214447</t>
  </si>
  <si>
    <t>-547.399447890968 288.41017296279 670.705418532862</t>
  </si>
  <si>
    <t>-395.222329392949 248.968890670919 749.635925433702</t>
  </si>
  <si>
    <t>-722.933748821104 -34.8136485635334 222.054550521705</t>
  </si>
  <si>
    <t>-711.314619010262 23.8595065747534 688.187923536621</t>
  </si>
  <si>
    <t>-581.937749182986 -61.7709581337174 771.088818077967</t>
  </si>
  <si>
    <t>9763-20170724T160801.189773900.bin</t>
  </si>
  <si>
    <t>-723.52404058929 36.3593956711886 -229.229049285344</t>
  </si>
  <si>
    <t>-744.990424371302 44.3312970657489 -348.155260742463</t>
  </si>
  <si>
    <t>-748.8579107217 45.7842406077918 -469.289479154451</t>
  </si>
  <si>
    <t>-745.148440285912 44.217618745907 -578.736533054191</t>
  </si>
  <si>
    <t>-734.400594884796 39.6690836980301 -687.633906405085</t>
  </si>
  <si>
    <t>-712.207074315185 30.1363868020078 -838.021983626631</t>
  </si>
  <si>
    <t>-660.335147628857 22.3919567909986 -925.385109530745</t>
  </si>
  <si>
    <t>-714.411731740695 65.2114813616627 -772.312053892885</t>
  </si>
  <si>
    <t>-664.939131200825 202.341185679082 -753.014590573086</t>
  </si>
  <si>
    <t>-623.944389865414 214.443007370155 -439.391809759436</t>
  </si>
  <si>
    <t>-428.210565257467 178.199736181162 -272.01000124706</t>
  </si>
  <si>
    <t>-729.642253531379 3.49720228043179 -770.647887441742</t>
  </si>
  <si>
    <t>-707.517100655069 132.3361960756 -225.147562922976</t>
  </si>
  <si>
    <t>-598.693618726774 209.568859030553 210.570466266922</t>
  </si>
  <si>
    <t>-547.386789412698 288.503411672536 670.821399047563</t>
  </si>
  <si>
    <t>-395.323476907252 248.722818099159 749.801015022718</t>
  </si>
  <si>
    <t>-722.995684274611 -34.2233420690773 222.130396631736</t>
  </si>
  <si>
    <t>-711.252002671283 24.0923702263872 688.375662886532</t>
  </si>
  <si>
    <t>-581.964364086958 -61.9236046417095 771.016256014249</t>
  </si>
  <si>
    <t>9763-20170724T160801.226875200.bin</t>
  </si>
  <si>
    <t>-723.198374981316 36.9820009035757 -229.238767016229</t>
  </si>
  <si>
    <t>-744.660274067463 44.9608046705473 -348.165303681876</t>
  </si>
  <si>
    <t>-748.508486355532 46.4162308196858 -469.300256183291</t>
  </si>
  <si>
    <t>-744.776637081831 44.8476781745414 -578.746334384192</t>
  </si>
  <si>
    <t>-734.001778428391 40.2924866585927 -687.64082371124</t>
  </si>
  <si>
    <t>-711.766819145624 30.7443307403989 -838.02178537765</t>
  </si>
  <si>
    <t>-659.900412412183 22.917168639085 -925.380743829543</t>
  </si>
  <si>
    <t>-713.913742885082 65.8076011750782 -772.303687675145</t>
  </si>
  <si>
    <t>-664.056601967239 202.798276834673 -753.038748486276</t>
  </si>
  <si>
    <t>-623.675619943848 214.864043244546 -439.335116436895</t>
  </si>
  <si>
    <t>-428.397642761008 178.283222601331 -271.494785138723</t>
  </si>
  <si>
    <t>-729.296442218766 4.13060028812788 -770.661993661387</t>
  </si>
  <si>
    <t>-706.982117261355 132.886640501834 -225.200709290913</t>
  </si>
  <si>
    <t>-598.08048286941 209.781191605565 210.557603654121</t>
  </si>
  <si>
    <t>-547.360629077867 288.599049273538 670.901538856768</t>
  </si>
  <si>
    <t>-395.362221174419 248.611885472714 749.901699341342</t>
  </si>
  <si>
    <t>-722.858765685274 -33.8082988008828 222.170278484821</t>
  </si>
  <si>
    <t>-711.188284921089 24.2087237197836 688.447585387719</t>
  </si>
  <si>
    <t>-582.00214918347 -62.0638943512051 770.979283871027</t>
  </si>
  <si>
    <t>9763-20170724T160801.291071700.bin</t>
  </si>
  <si>
    <t>-722.639355110668 38.0776291160523 -229.222551595083</t>
  </si>
  <si>
    <t>-743.958680556188 46.1283472481148 -348.169937649283</t>
  </si>
  <si>
    <t>-747.650690959895 47.5857806622685 -469.309541965358</t>
  </si>
  <si>
    <t>-743.77499079522 45.9877410793183 -578.750274520183</t>
  </si>
  <si>
    <t>-732.85597879251 41.3700004278692 -687.627747525465</t>
  </si>
  <si>
    <t>-710.421802327768 31.6997289543569 -837.97126981101</t>
  </si>
  <si>
    <t>-658.47054390685 23.6945657690389 -925.263847415469</t>
  </si>
  <si>
    <t>-712.552851666056 66.7911520366495 -772.267609632831</t>
  </si>
  <si>
    <t>-662.30239716232 203.649174055527 -753.121061390853</t>
  </si>
  <si>
    <t>-622.86080375046 216.299717745236 -439.320928899084</t>
  </si>
  <si>
    <t>-428.18357116499 179.01203219893 -270.939207951424</t>
  </si>
  <si>
    <t>-728.143487094748 5.16604212085076 -770.630179806953</t>
  </si>
  <si>
    <t>-706.391321216634 133.711189942592 -225.148319106303</t>
  </si>
  <si>
    <t>-597.32630801083 210.052234807194 210.666486478262</t>
  </si>
  <si>
    <t>-547.342681419157 288.558519797275 671.01035218622</t>
  </si>
  <si>
    <t>-395.363053577385 248.785349020653 750.154499958424</t>
  </si>
  <si>
    <t>-722.682641304785 -32.9806918407485 222.17752036942</t>
  </si>
  <si>
    <t>-711.159658826047 24.3149673106166 688.570952977348</t>
  </si>
  <si>
    <t>-582.013890070557 -62.192609280896 770.919718319044</t>
  </si>
  <si>
    <t>9763-20170724T160801.323797100.bin</t>
  </si>
  <si>
    <t>-722.324970780501 38.734486151295 -229.306753074548</t>
  </si>
  <si>
    <t>-743.566278971656 46.7711181375716 -348.268983849309</t>
  </si>
  <si>
    <t>-747.160045278115 48.1860711564768 -469.412083647918</t>
  </si>
  <si>
    <t>-743.188859925617 46.5369618036771 -578.848674727023</t>
  </si>
  <si>
    <t>-732.168413383871 41.8553713425099 -687.71322729041</t>
  </si>
  <si>
    <t>-709.588431409939 32.0821387284791 -838.028296858888</t>
  </si>
  <si>
    <t>-657.566762507023 23.9940583989444 -925.271094133369</t>
  </si>
  <si>
    <t>-711.747319743032 67.2095945349374 -772.344825627901</t>
  </si>
  <si>
    <t>-661.403180831783 204.056660201373 -753.284733214152</t>
  </si>
  <si>
    <t>-622.218662674264 217.20812383059 -439.472940335231</t>
  </si>
  <si>
    <t>-428.014308505088 179.49109742598 -270.641345694993</t>
  </si>
  <si>
    <t>-727.411350185213 5.60348271902535 -770.692221599857</t>
  </si>
  <si>
    <t>-706.170291244878 134.291284276139 -225.256585903184</t>
  </si>
  <si>
    <t>-597.632086373392 210.457907515805 210.720172208196</t>
  </si>
  <si>
    <t>-547.279133874087 288.563029939986 671.027746195797</t>
  </si>
  <si>
    <t>-395.38402835316 248.776147942395 750.327114379685</t>
  </si>
  <si>
    <t>-722.633559865736 -32.5389570455814 222.150970788132</t>
  </si>
  <si>
    <t>-711.102133438774 24.3737794991489 688.607513855693</t>
  </si>
  <si>
    <t>-582.015895660315 -62.2799339345077 770.895970054055</t>
  </si>
  <si>
    <t>9763-20170724T160801.391487300.bin</t>
  </si>
  <si>
    <t>-721.441862149217 40.3301782953458 -229.543587088839</t>
  </si>
  <si>
    <t>-742.333972678633 48.2085232027789 -348.578300667078</t>
  </si>
  <si>
    <t>-745.639960723791 49.4435961463903 -469.731463403677</t>
  </si>
  <si>
    <t>-741.437893157354 47.6212645312596 -579.156742878324</t>
  </si>
  <si>
    <t>-730.217966964564 42.7547702708366 -687.992717831123</t>
  </si>
  <si>
    <t>-707.394940485434 32.7114623835248 -838.253361329515</t>
  </si>
  <si>
    <t>-655.196223887748 24.5131837402027 -925.380039550734</t>
  </si>
  <si>
    <t>-709.59807978976 67.9413400569092 -772.626192268639</t>
  </si>
  <si>
    <t>-659.09621415355 204.760082478066 -753.797932378013</t>
  </si>
  <si>
    <t>-620.861819602244 218.864957620973 -439.91048124018</t>
  </si>
  <si>
    <t>-427.821554118832 180.504242185268 -269.892809591054</t>
  </si>
  <si>
    <t>-725.388646897199 6.36943148925275 -770.909155495468</t>
  </si>
  <si>
    <t>-705.333040982899 135.840661510949 -225.61097421425</t>
  </si>
  <si>
    <t>-599.747782751683 212.173464412388 211.061276596623</t>
  </si>
  <si>
    <t>-547.235258436425 288.815891217517 671.412203516207</t>
  </si>
  <si>
    <t>-395.429187616059 248.79627864117 750.764916474237</t>
  </si>
  <si>
    <t>-722.170237687767 -31.4387249795284 222.050313654399</t>
  </si>
  <si>
    <t>-710.928111080171 24.5191744290764 688.653712825459</t>
  </si>
  <si>
    <t>-582.067801752359 -62.5343410151863 770.874249034703</t>
  </si>
  <si>
    <t>9763-20170724T160801.429705700.bin</t>
  </si>
  <si>
    <t>-720.916295469177 41.2355444564469 -229.624129096807</t>
  </si>
  <si>
    <t>-741.561210381921 49.0226647042637 -348.708016713032</t>
  </si>
  <si>
    <t>-744.684555912305 50.1602147764968 -469.866891219586</t>
  </si>
  <si>
    <t>-740.346319949536 48.2461179773909 -579.285280615688</t>
  </si>
  <si>
    <t>-729.020367715841 43.2835628517164 -688.105998685895</t>
  </si>
  <si>
    <t>-706.082595248689 33.1010702246867 -838.339763126203</t>
  </si>
  <si>
    <t>-653.796931240759 24.8429392892463 -925.408760516868</t>
  </si>
  <si>
    <t>-708.304881505363 68.3839181925994 -772.741686355136</t>
  </si>
  <si>
    <t>-657.72451516648 205.189348773892 -754.033993682951</t>
  </si>
  <si>
    <t>-620.230204826877 219.711692312663 -440.076136333696</t>
  </si>
  <si>
    <t>-427.742528864705 181.285510224333 -269.448033559734</t>
  </si>
  <si>
    <t>-724.158749563304 6.82917677953924 -770.990234408535</t>
  </si>
  <si>
    <t>-704.915164990919 136.815296576155 -225.739477434003</t>
  </si>
  <si>
    <t>-601.349754596144 213.405999353178 211.371235761055</t>
  </si>
  <si>
    <t>-547.272031011999 288.982356058485 671.710769223009</t>
  </si>
  <si>
    <t>-395.406784891487 249.022514600483 750.980308461534</t>
  </si>
  <si>
    <t>-721.918846513241 -30.8291121583447 222.018522382735</t>
  </si>
  <si>
    <t>-710.873315704891 24.5744971911845 688.692516088844</t>
  </si>
  <si>
    <t>-582.097580340704 -62.6386234307734 770.876411162081</t>
  </si>
  <si>
    <t>9763-20170724T160801.489371400.bin</t>
  </si>
  <si>
    <t>-720.027843423592 43.1569752734029 -229.724500421261</t>
  </si>
  <si>
    <t>-740.25664635333 50.8324243364307 -348.886851703779</t>
  </si>
  <si>
    <t>-743.010143698269 51.8307113421617 -470.056227353234</t>
  </si>
  <si>
    <t>-738.361913330358 49.775740684322 -579.459161803812</t>
  </si>
  <si>
    <t>-726.75342401273 44.6548561337056 -688.242879481531</t>
  </si>
  <si>
    <t>-703.454261719502 34.2317241885582 -838.404346031643</t>
  </si>
  <si>
    <t>-650.955031757676 25.8497871880745 -925.332876712405</t>
  </si>
  <si>
    <t>-705.801043805394 69.6111236751965 -772.862678697274</t>
  </si>
  <si>
    <t>-655.189560175331 206.42673196535 -754.317600930497</t>
  </si>
  <si>
    <t>-619.482205984206 221.81934634593 -440.192945904006</t>
  </si>
  <si>
    <t>-428.303425175579 183.485683673075 -268.078894929721</t>
  </si>
  <si>
    <t>-721.725848029183 8.07608330183962 -771.062433627183</t>
  </si>
  <si>
    <t>-704.246341929304 138.898312093761 -225.872040277127</t>
  </si>
  <si>
    <t>-604.462650513736 215.846480847131 212.054795100046</t>
  </si>
  <si>
    <t>-547.358997285528 289.478573804557 672.361777981429</t>
  </si>
  <si>
    <t>-395.410393448708 249.37400467066 751.398174514249</t>
  </si>
  <si>
    <t>-721.457674448281 -29.6949206389588 221.977285574883</t>
  </si>
  <si>
    <t>-710.772288688676 24.6414638912136 688.742546488155</t>
  </si>
  <si>
    <t>-582.101304384011 -62.7522996401567 770.898609545069</t>
  </si>
  <si>
    <t>9763-20170724T160801.522963100.bin</t>
  </si>
  <si>
    <t>-719.659072519004 44.0872859753824 -229.782089735947</t>
  </si>
  <si>
    <t>-739.724460564773 51.7227917135885 -348.974711897094</t>
  </si>
  <si>
    <t>-742.299941679582 52.6870574552061 -470.148133348006</t>
  </si>
  <si>
    <t>-737.487565390256 50.6005693481013 -579.543449394096</t>
  </si>
  <si>
    <t>-725.71335113433 45.4454140905843 -688.307685056581</t>
  </si>
  <si>
    <t>-702.183752953689 34.9700319082658 -838.429743586124</t>
  </si>
  <si>
    <t>-649.541966181135 26.5377089140472 -925.266968580279</t>
  </si>
  <si>
    <t>-704.630497405309 70.3720953511217 -772.903830313416</t>
  </si>
  <si>
    <t>-654.099276924804 207.22306142804 -754.403850861022</t>
  </si>
  <si>
    <t>-619.382098742341 223.052398142352 -440.19001324727</t>
  </si>
  <si>
    <t>-428.862593874783 184.964753121891 -267.292000236485</t>
  </si>
  <si>
    <t>-720.559201073616 8.83807937263055 -771.106650704939</t>
  </si>
  <si>
    <t>-704.031518196518 139.861964147912 -225.931356561699</t>
  </si>
  <si>
    <t>-605.691345920375 216.716320857619 212.33838936358</t>
  </si>
  <si>
    <t>-547.380946078573 289.608909684621 672.627329330811</t>
  </si>
  <si>
    <t>-395.381683184021 249.500940172224 751.564318612226</t>
  </si>
  <si>
    <t>-721.283965826765 -29.1490612892874 221.939135326227</t>
  </si>
  <si>
    <t>-710.7780993714 24.6308929440379 688.766626733241</t>
  </si>
  <si>
    <t>-582.063544557754 -62.7118253385918 770.908690080222</t>
  </si>
  <si>
    <t>9763-20170724T160801.555048100.bin</t>
  </si>
  <si>
    <t>-719.382299101519 44.9305743729287 -229.832018581952</t>
  </si>
  <si>
    <t>-739.294758505818 52.5112352871781 -349.05381488448</t>
  </si>
  <si>
    <t>-741.684750208081 53.4468561765157 -470.231307974961</t>
  </si>
  <si>
    <t>-736.693256146705 51.3434440830308 -579.618296673692</t>
  </si>
  <si>
    <t>-724.729374504004 46.1794792307767 -688.361331781223</t>
  </si>
  <si>
    <t>-700.926228035241 35.6993071465981 -838.439927392085</t>
  </si>
  <si>
    <t>-648.105986481857 27.2417795433062 -925.166334094024</t>
  </si>
  <si>
    <t>-703.510314666123 71.108031444443 -772.922939758021</t>
  </si>
  <si>
    <t>-653.101681327547 207.998666636349 -754.432596420499</t>
  </si>
  <si>
    <t>-619.350337490163 224.479246574235 -440.14702655351</t>
  </si>
  <si>
    <t>-429.508216660388 186.589857336059 -266.462153161395</t>
  </si>
  <si>
    <t>-719.406418025695 9.56492146848245 -771.146592809501</t>
  </si>
  <si>
    <t>-703.950337211132 140.654702077159 -225.960693306082</t>
  </si>
  <si>
    <t>-606.632288444848 217.446818896855 212.548008654529</t>
  </si>
  <si>
    <t>-547.382889252675 289.755328715593 672.824619916958</t>
  </si>
  <si>
    <t>-395.365134783738 249.59892179104 751.701698301717</t>
  </si>
  <si>
    <t>-721.113470888653 -28.6280555810822 221.907018984267</t>
  </si>
  <si>
    <t>-710.71715598413 24.6662086938163 688.789415309406</t>
  </si>
  <si>
    <t>-582.063728484785 -62.7735805583934 770.924018195527</t>
  </si>
  <si>
    <t>9763-20170724T160801.621231200.bin</t>
  </si>
  <si>
    <t>-718.854246010452 46.3141365800254 -229.869461951367</t>
  </si>
  <si>
    <t>-738.594703645731 53.8677329625798 -349.121654854689</t>
  </si>
  <si>
    <t>-740.69322375292 54.7742710243735 -470.304712912085</t>
  </si>
  <si>
    <t>-735.390355232719 52.6460037082143 -579.676439173151</t>
  </si>
  <si>
    <t>-723.068296373397 47.4594129860034 -688.378533091197</t>
  </si>
  <si>
    <t>-698.719620718457 36.9512139918843 -838.367498500784</t>
  </si>
  <si>
    <t>-645.537981892063 28.5189680983897 -924.875372843014</t>
  </si>
  <si>
    <t>-701.618550297672 72.3914946423804 -772.880966159838</t>
  </si>
  <si>
    <t>-651.596098877045 209.437909797221 -754.388995557958</t>
  </si>
  <si>
    <t>-619.692651583836 227.559085044229 -440.000710214613</t>
  </si>
  <si>
    <t>-431.026129497836 190.051917091441 -264.957079786087</t>
  </si>
  <si>
    <t>-717.367791375299 10.8100019992187 -771.123231314638</t>
  </si>
  <si>
    <t>-703.605828973295 142.038499676909 -225.959106540404</t>
  </si>
  <si>
    <t>-607.661760866563 218.494040562627 212.910969715571</t>
  </si>
  <si>
    <t>-547.41886822685 289.85067214701 673.183961077896</t>
  </si>
  <si>
    <t>-395.311501334224 249.861616573438 751.973236656136</t>
  </si>
  <si>
    <t>-720.886428380876 -27.8087849924409 221.869371951667</t>
  </si>
  <si>
    <t>-710.620152838874 24.7068675215053 688.82948424028</t>
  </si>
  <si>
    <t>-582.010327355462 -62.8010004890887 770.959823409059</t>
  </si>
  <si>
    <t>9763-20170724T160801.686931600.bin</t>
  </si>
  <si>
    <t>-718.454336120264 47.4547640508245 -229.887272429365</t>
  </si>
  <si>
    <t>-738.075646855488 55.0125222893178 -349.158819593909</t>
  </si>
  <si>
    <t>-739.943234543193 55.9323910748924 -470.345507369616</t>
  </si>
  <si>
    <t>-734.385940263034 53.8231874788628 -579.705085400854</t>
  </si>
  <si>
    <t>-721.763929235799 48.6644461349106 -688.373866314026</t>
  </si>
  <si>
    <t>-696.950939945502 38.2063127536906 -838.290352871976</t>
  </si>
  <si>
    <t>-643.452605211213 29.8999331943069 -924.614921276248</t>
  </si>
  <si>
    <t>-700.149275080763 73.6487236058249 -772.818824242768</t>
  </si>
  <si>
    <t>-650.605912997515 210.843155810101 -754.225389516765</t>
  </si>
  <si>
    <t>-620.586970979851 230.145640045037 -439.722019486062</t>
  </si>
  <si>
    <t>-432.930154113536 193.281774782557 -263.4607034478</t>
  </si>
  <si>
    <t>-715.710573959141 12.0186869591971 -771.09518406998</t>
  </si>
  <si>
    <t>-703.236277895383 143.21560283186 -225.950905343057</t>
  </si>
  <si>
    <t>-607.520449200641 219.292189202111 213.034814202965</t>
  </si>
  <si>
    <t>-547.371160405688 290.095556034219 673.440746465676</t>
  </si>
  <si>
    <t>-395.315621403977 249.909370568706 752.229558907224</t>
  </si>
  <si>
    <t>-720.886470084298 -27.1077902232128 221.835521761309</t>
  </si>
  <si>
    <t>-710.59877665512 24.6902054907282 688.869700568811</t>
  </si>
  <si>
    <t>-581.928168628832 -62.7540145305488 770.972655094055</t>
  </si>
  <si>
    <t>9763-20170724T160801.724524200.bin</t>
  </si>
  <si>
    <t>-718.199572349826 47.9323667792014 -229.887673951999</t>
  </si>
  <si>
    <t>-737.752350609111 55.5106616318271 -349.169081481236</t>
  </si>
  <si>
    <t>-739.500778928287 56.4550521279609 -470.35747708071</t>
  </si>
  <si>
    <t>-733.815298399143 54.3708840721649 -579.711026944519</t>
  </si>
  <si>
    <t>-721.044909243913 49.2405819188705 -688.363816393192</t>
  </si>
  <si>
    <t>-696.004421371944 38.8268153284425 -838.245594551812</t>
  </si>
  <si>
    <t>-642.368115377673 30.5923120618716 -924.491211861506</t>
  </si>
  <si>
    <t>-699.350463503203 74.2619210528335 -772.777401202054</t>
  </si>
  <si>
    <t>-650.039455958315 211.532017237317 -754.095710999593</t>
  </si>
  <si>
    <t>-620.807455905292 231.377569122783 -439.551831796365</t>
  </si>
  <si>
    <t>-433.639115766041 195.018508605093 -262.667411722603</t>
  </si>
  <si>
    <t>-714.817520655164 12.6074139547309 -771.077716212727</t>
  </si>
  <si>
    <t>-703.07774667102 143.726527499837 -225.900190713386</t>
  </si>
  <si>
    <t>-607.391939499235 219.641854942223 213.119960204553</t>
  </si>
  <si>
    <t>-547.366676495074 290.216132050841 673.550182743858</t>
  </si>
  <si>
    <t>-395.320653892764 250.025379899328 752.354944747571</t>
  </si>
  <si>
    <t>-720.781553608606 -26.7861350239039 221.814473276173</t>
  </si>
  <si>
    <t>-710.527466704673 24.7232632678517 688.878314472119</t>
  </si>
  <si>
    <t>-581.936847122781 -62.8379740955547 770.981909306751</t>
  </si>
  <si>
    <t>9763-20170724T160801.790700900.bin</t>
  </si>
  <si>
    <t>-717.716719750503 48.3813287418759 -229.836882594832</t>
  </si>
  <si>
    <t>-737.150860922753 55.968855774325 -349.137139443159</t>
  </si>
  <si>
    <t>-738.661014885652 56.9459491099199 -470.328550229747</t>
  </si>
  <si>
    <t>-732.712393016993 54.9011742883276 -579.668675616266</t>
  </si>
  <si>
    <t>-719.631802661847 49.8203059860621 -688.287082212702</t>
  </si>
  <si>
    <t>-694.112589692957 39.4854791550299 -838.093435814086</t>
  </si>
  <si>
    <t>-640.217712338135 31.4230407769785 -924.194064130721</t>
  </si>
  <si>
    <t>-697.770350924387 74.9110628750375 -772.636721287601</t>
  </si>
  <si>
    <t>-648.995070550442 212.350593923165 -753.778557693142</t>
  </si>
  <si>
    <t>-621.276077582304 232.713754633238 -439.130789861701</t>
  </si>
  <si>
    <t>-435.225957583002 197.365610195399 -260.867211550972</t>
  </si>
  <si>
    <t>-713.037700030148 13.2056303051993 -770.980647548568</t>
  </si>
  <si>
    <t>-702.829461996243 144.119471422188 -225.781005219553</t>
  </si>
  <si>
    <t>-607.071087726446 219.988867845129 213.231377881364</t>
  </si>
  <si>
    <t>-547.347024513831 290.250455430319 673.754273763358</t>
  </si>
  <si>
    <t>-395.295596815489 250.13078076435 752.585150408286</t>
  </si>
  <si>
    <t>-720.419973998061 -26.5440277858213 221.809673796937</t>
  </si>
  <si>
    <t>-710.448557835577 24.7333717436011 688.895073232912</t>
  </si>
  <si>
    <t>-581.927286260513 -62.9236991791449 771.004944668318</t>
  </si>
  <si>
    <t>9763-20170724T160801.823794100.bin</t>
  </si>
  <si>
    <t>-717.469027037233 48.4785886195496 -229.813456833534</t>
  </si>
  <si>
    <t>-736.882850956807 56.0755844713437 -349.116365308023</t>
  </si>
  <si>
    <t>-738.303436550522 57.0763433501411 -470.30855121574</t>
  </si>
  <si>
    <t>-732.245800530623 55.0585819567964 -579.643248610415</t>
  </si>
  <si>
    <t>-719.028891728307 50.0096485517424 -688.246671677869</t>
  </si>
  <si>
    <t>-693.292070451909 39.7245399256201 -838.019201559485</t>
  </si>
  <si>
    <t>-639.280354239086 31.7497749482445 -924.054821200886</t>
  </si>
  <si>
    <t>-697.094973907741 75.1405273710163 -772.565611637659</t>
  </si>
  <si>
    <t>-648.573716864473 212.657877955583 -753.62569671569</t>
  </si>
  <si>
    <t>-621.51760349826 233.494240843286 -438.951289854479</t>
  </si>
  <si>
    <t>-435.907403051791 198.524261043971 -260.155337245734</t>
  </si>
  <si>
    <t>-712.264612171992 13.4102864505155 -770.933239509226</t>
  </si>
  <si>
    <t>-702.747735673893 144.263699032023 -225.704359756467</t>
  </si>
  <si>
    <t>-607.075811883363 220.090195339476 213.334206214705</t>
  </si>
  <si>
    <t>-547.342348250842 290.289854684936 673.861194866528</t>
  </si>
  <si>
    <t>-395.285535251969 250.200980560453 752.697171757584</t>
  </si>
  <si>
    <t>-720.166178021937 -26.4905988155492 221.811536061585</t>
  </si>
  <si>
    <t>-710.4146853537 24.7383990800595 688.908008657403</t>
  </si>
  <si>
    <t>-581.912902133131 -62.9513416076361 771.013492000546</t>
  </si>
  <si>
    <t>9763-20170724T160801.887472200.bin</t>
  </si>
  <si>
    <t>-716.922487733062 48.2784941249879 -229.731024226721</t>
  </si>
  <si>
    <t>-736.242127531013 55.8835579606368 -349.048783532933</t>
  </si>
  <si>
    <t>-737.516140340152 56.9316556169122 -470.242115092362</t>
  </si>
  <si>
    <t>-731.305062687676 54.9731445933078 -579.569447535806</t>
  </si>
  <si>
    <t>-717.913676370869 50.0002107444982 -688.154798010061</t>
  </si>
  <si>
    <t>-691.912782688168 39.8382574694394 -837.890200541695</t>
  </si>
  <si>
    <t>-637.729391294662 32.05351331528 -923.835169586174</t>
  </si>
  <si>
    <t>-695.94249682687 75.2269807885921 -772.435594946814</t>
  </si>
  <si>
    <t>-648.003064391193 212.921713191009 -753.31632370293</t>
  </si>
  <si>
    <t>-621.850174121529 234.795295996815 -438.635921176735</t>
  </si>
  <si>
    <t>-436.943233225848 200.71364556221 -258.941981845342</t>
  </si>
  <si>
    <t>-710.892293597387 13.4421790352085 -770.838407428288</t>
  </si>
  <si>
    <t>-702.462041851192 143.974022361625 -225.546786007905</t>
  </si>
  <si>
    <t>-607.149729702961 220.135231779946 213.512119241176</t>
  </si>
  <si>
    <t>-547.305800825576 290.314325201278 674.029030059379</t>
  </si>
  <si>
    <t>-395.214167152438 250.456804966382 752.915042518461</t>
  </si>
  <si>
    <t>-719.566358185273 -26.5891987357227 221.828966262645</t>
  </si>
  <si>
    <t>-710.331647228357 24.7734018652177 688.948612001293</t>
  </si>
  <si>
    <t>-581.93399333338 -63.0861818006458 771.035456538263</t>
  </si>
  <si>
    <t>9763-20170724T160801.930095900.bin</t>
  </si>
  <si>
    <t>-716.679320442785 48.0150900322456 -229.68091946469</t>
  </si>
  <si>
    <t>-735.963600864554 55.6290144785819 -349.00391823813</t>
  </si>
  <si>
    <t>-737.160184173988 56.7090227766737 -470.197802037549</t>
  </si>
  <si>
    <t>-730.861697992998 54.7894823150405 -579.520587427898</t>
  </si>
  <si>
    <t>-717.365778590071 49.8654130854193 -688.095388614411</t>
  </si>
  <si>
    <t>-691.201977791882 39.7817598688023 -837.807605349561</t>
  </si>
  <si>
    <t>-636.940328499302 32.1235964124623 -923.714658178193</t>
  </si>
  <si>
    <t>-695.372190235078 75.1526073309806 -772.352052528295</t>
  </si>
  <si>
    <t>-647.782417348086 212.955334810978 -753.137428537622</t>
  </si>
  <si>
    <t>-622.122099540032 235.21608585959 -438.443767787514</t>
  </si>
  <si>
    <t>-437.540616989676 201.665796524973 -258.315607637614</t>
  </si>
  <si>
    <t>-710.18507632183 13.3343571429691 -770.77715963217</t>
  </si>
  <si>
    <t>-702.353350710734 143.698474151091 -225.461262742599</t>
  </si>
  <si>
    <t>-607.18300084736 220.062143612965 213.593262002547</t>
  </si>
  <si>
    <t>-547.260074915769 290.274310051083 674.087430276938</t>
  </si>
  <si>
    <t>-395.130187961697 250.683083886421 753.033780423441</t>
  </si>
  <si>
    <t>-719.209763838778 -26.7211526356373 221.843247131214</t>
  </si>
  <si>
    <t>-710.243623653469 24.8171044378344 688.955977301105</t>
  </si>
  <si>
    <t>-581.931787234293 -63.1688951184774 771.041608188999</t>
  </si>
  <si>
    <t>9763-20170724T160801.987751300.bin</t>
  </si>
  <si>
    <t>-717.199198122867 47.4016143966726 -229.498899614123</t>
  </si>
  <si>
    <t>-736.479587962887 55.0470822797986 -348.820299665256</t>
  </si>
  <si>
    <t>-737.561363458158 56.2255375631241 -470.014489384417</t>
  </si>
  <si>
    <t>-731.11282481359 54.4240853462686 -579.330616854111</t>
  </si>
  <si>
    <t>-717.419852373867 49.6480698918328 -687.887205309078</t>
  </si>
  <si>
    <t>-690.933016572592 39.8023305351442 -837.558603820772</t>
  </si>
  <si>
    <t>-636.534097061142 32.4407915796198 -923.404752317665</t>
  </si>
  <si>
    <t>-695.435479305997 75.1133564944832 -772.092791142639</t>
  </si>
  <si>
    <t>-648.429289267697 213.055490708125 -752.496101243756</t>
  </si>
  <si>
    <t>-623.196346098004 237.555084519845 -437.934042287035</t>
  </si>
  <si>
    <t>-439.187745614546 205.562525427971 -256.938567171868</t>
  </si>
  <si>
    <t>-709.869766790971 13.2041674316426 -770.57460315495</t>
  </si>
  <si>
    <t>-703.740526257427 143.193910396065 -225.169246033018</t>
  </si>
  <si>
    <t>-608.332375956728 220.075988690282 213.743110162486</t>
  </si>
  <si>
    <t>-547.012715266897 290.286962747684 674.003496987479</t>
  </si>
  <si>
    <t>-395.128311292423 250.558501205992 753.352642208913</t>
  </si>
  <si>
    <t>-718.989758737284 -27.0405088802672 221.899314768925</t>
  </si>
  <si>
    <t>-710.130358651473 24.8578296367157 688.968627072453</t>
  </si>
  <si>
    <t>-581.968869398526 -63.3496146107166 771.051431671019</t>
  </si>
  <si>
    <t>9763-20170724T160802.021363100.bin</t>
  </si>
  <si>
    <t>-718.072063106795 46.7708564911982 -229.353118258636</t>
  </si>
  <si>
    <t>-737.341142739342 54.4255911276839 -348.675811734719</t>
  </si>
  <si>
    <t>-738.356085779831 55.642919081924 -469.870231184185</t>
  </si>
  <si>
    <t>-731.824368790222 53.888732753777 -579.182110657232</t>
  </si>
  <si>
    <t>-718.025803586388 49.1713752078354 -687.727937203394</t>
  </si>
  <si>
    <t>-691.369348882758 39.4186009530281 -837.375154096071</t>
  </si>
  <si>
    <t>-636.902007761695 32.1936034131647 -923.189517074986</t>
  </si>
  <si>
    <t>-696.062684466965 74.7152722620458 -771.915150440433</t>
  </si>
  <si>
    <t>-649.391080559091 212.778561306068 -752.119857408541</t>
  </si>
  <si>
    <t>-624.811566441823 237.855398964628 -437.551745802394</t>
  </si>
  <si>
    <t>-441.144809107733 207.016225226166 -256.009716103211</t>
  </si>
  <si>
    <t>-710.265382620816 12.7524579662313 -770.40680017673</t>
  </si>
  <si>
    <t>-705.156578870982 142.491559784343 -224.915316000267</t>
  </si>
  <si>
    <t>-608.87498039281 219.95178876448 213.704683517492</t>
  </si>
  <si>
    <t>-546.820892122089 290.319007234203 673.843277849735</t>
  </si>
  <si>
    <t>-395.109974650027 250.497961313555 753.477372997756</t>
  </si>
  <si>
    <t>-719.246709112518 -27.3795087560486 221.947419729399</t>
  </si>
  <si>
    <t>-710.145051750835 24.7991811705131 688.958300654059</t>
  </si>
  <si>
    <t>-581.949489838491 -63.3404728431626 771.060731548133</t>
  </si>
  <si>
    <t>9763-20170724T160802.094040700.bin</t>
  </si>
  <si>
    <t>-720.049088020227 45.1172071492447 -229.159178607836</t>
  </si>
  <si>
    <t>-739.322057200513 52.7902561991539 -348.480045098435</t>
  </si>
  <si>
    <t>-740.094101778748 54.1011854087005 -469.675218180333</t>
  </si>
  <si>
    <t>-733.242761480612 52.4613872484458 -578.969291450217</t>
  </si>
  <si>
    <t>-719.025966399804 47.8863682777153 -687.467351138888</t>
  </si>
  <si>
    <t>-691.687161129257 38.3601880704168 -837.006122364979</t>
  </si>
  <si>
    <t>-636.984777123228 31.4127172036922 -922.693621037702</t>
  </si>
  <si>
    <t>-696.980586692613 73.6240932318603 -771.57395573465</t>
  </si>
  <si>
    <t>-651.091528843127 211.880802032834 -751.334271046155</t>
  </si>
  <si>
    <t>-629.162037628735 239.273836059868 -436.763337809784</t>
  </si>
  <si>
    <t>-446.220122548239 211.199691603692 -254.044357186553</t>
  </si>
  <si>
    <t>-710.586822768533 11.5264282771025 -770.105514484361</t>
  </si>
  <si>
    <t>-707.903070554338 141.022680247562 -224.525502666182</t>
  </si>
  <si>
    <t>-609.879583516935 218.972411325301 213.621660007348</t>
  </si>
  <si>
    <t>-546.697602525872 290.179671308697 673.608493655812</t>
  </si>
  <si>
    <t>-395.024556144336 250.813670456542 753.540425072512</t>
  </si>
  <si>
    <t>-720.098726396366 -28.5233985129219 221.839377455568</t>
  </si>
  <si>
    <t>-710.261570885025 24.2336288687525 688.602869242291</t>
  </si>
  <si>
    <t>-581.953264124631 -63.3517451258354 771.121289924145</t>
  </si>
  <si>
    <t>9763-20170724T160802.120620300.bin</t>
  </si>
  <si>
    <t>-721.128720337075 44.1714308586206 -229.089995683529</t>
  </si>
  <si>
    <t>-740.397052813245 51.8258454894763 -348.412951817382</t>
  </si>
  <si>
    <t>-741.032463971799 53.1402203782245 -469.608829166854</t>
  </si>
  <si>
    <t>-734.003371610901 51.5150284602557 -578.891998199262</t>
  </si>
  <si>
    <t>-719.555223437595 46.966401378025 -687.360299157579</t>
  </si>
  <si>
    <t>-691.839650300013 37.4903418905074 -836.832941760414</t>
  </si>
  <si>
    <t>-637.006539562535 30.6593885638526 -922.446357966351</t>
  </si>
  <si>
    <t>-697.491831106439 72.7732483838706 -771.441118914288</t>
  </si>
  <si>
    <t>-652.512984670154 211.313993125812 -751.181450373238</t>
  </si>
  <si>
    <t>-632.660648534284 239.6854312944 -436.559377570333</t>
  </si>
  <si>
    <t>-450.106800530661 212.931784207826 -253.255253888069</t>
  </si>
  <si>
    <t>-710.714001941371 10.5932025123493 -769.950853480321</t>
  </si>
  <si>
    <t>-709.381756589597 140.110201902373 -224.276044866726</t>
  </si>
  <si>
    <t>-610.824465881736 218.619941752095 213.651307345487</t>
  </si>
  <si>
    <t>-546.715951388042 290.220005436809 673.53432983652</t>
  </si>
  <si>
    <t>-395.011442232304 250.952573155035 753.45504672215</t>
  </si>
  <si>
    <t>-720.651382268619 -29.180749998085 221.758236286483</t>
  </si>
  <si>
    <t>-710.311454741165 23.934733674176 688.442138278625</t>
  </si>
  <si>
    <t>-581.899223807761 -63.2747220206043 771.196719526646</t>
  </si>
  <si>
    <t>9763-20170724T160802.191306700.bin</t>
  </si>
  <si>
    <t>-723.711725966168 42.3213293211011 -228.83776881649</t>
  </si>
  <si>
    <t>-742.95019944457 49.9256849652024 -348.16873238508</t>
  </si>
  <si>
    <t>-743.304561371364 51.2516115999133 -469.365670889169</t>
  </si>
  <si>
    <t>-735.915794023549 49.6743501953063 -578.625679236693</t>
  </si>
  <si>
    <t>-721.001227273996 45.2166237929298 -687.034789885191</t>
  </si>
  <si>
    <t>-692.525690497328 35.9177274346005 -836.375567140365</t>
  </si>
  <si>
    <t>-637.523464914516 29.1390829288584 -921.884618213778</t>
  </si>
  <si>
    <t>-699.013214545897 71.2234010732031 -771.073749032426</t>
  </si>
  <si>
    <t>-656.703876943076 210.613898908185 -750.973811966827</t>
  </si>
  <si>
    <t>-640.918564134349 240.821695989901 -436.292210838665</t>
  </si>
  <si>
    <t>-459.155400643835 216.986588733041 -251.803419484816</t>
  </si>
  <si>
    <t>-711.237210021075 8.84105370073098 -769.520199469422</t>
  </si>
  <si>
    <t>-712.738543100921 138.809185920553 -223.793618463297</t>
  </si>
  <si>
    <t>-613.36535960295 218.359305661937 213.761483454546</t>
  </si>
  <si>
    <t>-546.986512939558 290.285856008961 673.446875066038</t>
  </si>
  <si>
    <t>-394.926852117884 251.629773618113 752.989813472567</t>
  </si>
  <si>
    <t>-722.429721680496 -30.4872156388687 221.721719013578</t>
  </si>
  <si>
    <t>-710.501471254946 23.3650417024858 688.238902935522</t>
  </si>
  <si>
    <t>-581.626391073585 -62.8381360014687 771.327631776926</t>
  </si>
  <si>
    <t>9763-20170724T160802.223906900.bin</t>
  </si>
  <si>
    <t>-725.180376624677 41.6508340597625 -228.687732152586</t>
  </si>
  <si>
    <t>-744.489428321982 49.2081087706481 -348.010192947467</t>
  </si>
  <si>
    <t>-744.785303936262 50.5765759716248 -469.206670363744</t>
  </si>
  <si>
    <t>-737.28704348442 49.083599069264 -578.460588488782</t>
  </si>
  <si>
    <t>-722.204345724426 44.7601756231643 -686.851972828006</t>
  </si>
  <si>
    <t>-693.432105687734 35.7048594163539 -836.150783546557</t>
  </si>
  <si>
    <t>-638.467678637326 28.7707305689682 -921.671579129694</t>
  </si>
  <si>
    <t>-700.380345041566 70.9653739935975 -770.871839891727</t>
  </si>
  <si>
    <t>-659.732461168538 210.869331740368 -750.855649870047</t>
  </si>
  <si>
    <t>-645.829730922712 241.644752215399 -436.140206391721</t>
  </si>
  <si>
    <t>-464.338933257499 219.276244138573 -251.200216853206</t>
  </si>
  <si>
    <t>-711.945509188438 8.45774166718411 -769.309418292701</t>
  </si>
  <si>
    <t>-714.615236789796 138.471404704271 -223.563098813163</t>
  </si>
  <si>
    <t>-615.003172867527 218.534426038674 213.844127656428</t>
  </si>
  <si>
    <t>-547.180411688064 290.357814521784 673.435826880465</t>
  </si>
  <si>
    <t>-394.9054068995 251.869570450769 752.647324602447</t>
  </si>
  <si>
    <t>-723.711875126894 -30.8534985617807 221.828794483072</t>
  </si>
  <si>
    <t>-710.629004010979 23.2599417329466 688.317691126477</t>
  </si>
  <si>
    <t>-581.418673417289 -62.4867411573123 771.358084761303</t>
  </si>
  <si>
    <t>9763-20170724T160802.288584000.bin</t>
  </si>
  <si>
    <t>-728.695941121667 40.5472825344027 -228.16108170322</t>
  </si>
  <si>
    <t>-747.900965324571 47.9186612098426 -347.512023912988</t>
  </si>
  <si>
    <t>-747.988046887423 49.3900481250682 -468.707679847397</t>
  </si>
  <si>
    <t>-740.250085415385 48.1293053090033 -577.947663581199</t>
  </si>
  <si>
    <t>-724.871184106954 44.1869649644168 -686.311905701938</t>
  </si>
  <si>
    <t>-695.623216243254 35.8260793416016 -835.558887482381</t>
  </si>
  <si>
    <t>-641.294670828037 27.4678751355141 -921.358208426312</t>
  </si>
  <si>
    <t>-703.538680852658 70.9100981733191 -770.294864552187</t>
  </si>
  <si>
    <t>-666.764516789415 211.903423981281 -750.38592732551</t>
  </si>
  <si>
    <t>-655.518493894755 242.808796865121 -435.577036716408</t>
  </si>
  <si>
    <t>-474.344085154084 222.965715470231 -250.039594134378</t>
  </si>
  <si>
    <t>-713.590469681508 8.14082349927548 -768.74839148121</t>
  </si>
  <si>
    <t>-719.306417492359 137.871730599806 -222.927946972914</t>
  </si>
  <si>
    <t>-618.614027018749 219.181258075053 214.001671180783</t>
  </si>
  <si>
    <t>-547.666484514089 290.576649131166 673.404064377494</t>
  </si>
  <si>
    <t>-394.840100898841 252.553751342067 751.774131711127</t>
  </si>
  <si>
    <t>-726.736762550921 -31.382272943134 222.267514732855</t>
  </si>
  <si>
    <t>-710.930823528444 23.1829344802818 688.541108954285</t>
  </si>
  <si>
    <t>-580.804661854572 -61.4252342245111 771.318808542039</t>
  </si>
  <si>
    <t>9763-20170724T160802.323175400.bin</t>
  </si>
  <si>
    <t>-730.503663262167 40.024492373218 -227.984048040758</t>
  </si>
  <si>
    <t>-749.686440735995 47.2930076786388 -347.344802604109</t>
  </si>
  <si>
    <t>-749.680076765092 48.7743554617455 -468.540423670235</t>
  </si>
  <si>
    <t>-741.826131007472 47.5755129466315 -577.772897921357</t>
  </si>
  <si>
    <t>-726.298752505568 43.7499543457336 -686.120009784514</t>
  </si>
  <si>
    <t>-696.809349202948 35.6114434236665 -835.331739748761</t>
  </si>
  <si>
    <t>-643.194138472528 25.8359713966433 -921.429649353373</t>
  </si>
  <si>
    <t>-705.168135937178 70.6487389009803 -770.098125170728</t>
  </si>
  <si>
    <t>-670.273930203755 212.094749083483 -750.033993470746</t>
  </si>
  <si>
    <t>-659.828343668265 242.35473646182 -435.134949506878</t>
  </si>
  <si>
    <t>-478.534451065495 223.624175800192 -249.598540145196</t>
  </si>
  <si>
    <t>-714.546879643207 7.77619734076143 -768.522310354576</t>
  </si>
  <si>
    <t>-721.685147806794 137.556212438203 -222.679939684364</t>
  </si>
  <si>
    <t>-619.767617496358 219.304304865798 213.883501123023</t>
  </si>
  <si>
    <t>-548.080787830115 290.827445752295 673.278546294862</t>
  </si>
  <si>
    <t>-394.849897285604 252.91911227513 750.910960547632</t>
  </si>
  <si>
    <t>-728.062358222599 -31.6920501587742 222.317853422917</t>
  </si>
  <si>
    <t>-710.93424743166 22.8982609868474 688.315545175332</t>
  </si>
  <si>
    <t>-580.411729516949 -60.9250717508112 771.267540670389</t>
  </si>
  <si>
    <t>9763-20170724T160802.387349300.bin</t>
  </si>
  <si>
    <t>-733.966105768078 38.9785465375057 -228.064357193718</t>
  </si>
  <si>
    <t>-753.164444502968 46.1318141488357 -347.429635242324</t>
  </si>
  <si>
    <t>-752.82843135411 47.5739723682339 -468.62518860327</t>
  </si>
  <si>
    <t>-744.540855577008 46.361580393228 -577.82556662484</t>
  </si>
  <si>
    <t>-728.449137257258 42.5372577114108 -686.090406823819</t>
  </si>
  <si>
    <t>-698.044867312893 34.4108384243464 -835.119116477578</t>
  </si>
  <si>
    <t>-646.468682216339 20.2590266328436 -921.852056976858</t>
  </si>
  <si>
    <t>-707.124366049615 69.4873288670278 -770.002761053426</t>
  </si>
  <si>
    <t>-674.307238194371 211.358961744715 -749.550462160997</t>
  </si>
  <si>
    <t>-666.278479861922 240.303234334127 -434.456897149252</t>
  </si>
  <si>
    <t>-484.529650460341 222.862092594289 -249.240203770726</t>
  </si>
  <si>
    <t>-715.871288000724 6.52569144872359 -768.354113129355</t>
  </si>
  <si>
    <t>-726.10163754426 136.983845802514 -222.694487958159</t>
  </si>
  <si>
    <t>-619.636068293875 220.076503908959 212.527728937957</t>
  </si>
  <si>
    <t>-549.263027213228 293.369548577366 671.8456132234</t>
  </si>
  <si>
    <t>-394.758377501712 255.293335794213 746.825745116039</t>
  </si>
  <si>
    <t>-729.747844936244 -32.5767297562106 221.929414199073</t>
  </si>
  <si>
    <t>-710.95973411136 22.0307145409643 687.70178371464</t>
  </si>
  <si>
    <t>-579.779721762663 -60.1495611062244 771.258444655001</t>
  </si>
  <si>
    <t>9763-20170724T160802.423985500.bin</t>
  </si>
  <si>
    <t>-735.507727817311 38.69526429749 -228.273593915028</t>
  </si>
  <si>
    <t>-754.79345881784 45.8396599652913 -347.625216279035</t>
  </si>
  <si>
    <t>-754.320065298246 47.2263837274788 -468.82116224428</t>
  </si>
  <si>
    <t>-745.822884188078 45.9297229592789 -578.004203694168</t>
  </si>
  <si>
    <t>-729.441731018314 41.9778780642876 -686.22106284413</t>
  </si>
  <si>
    <t>-698.558287558376 33.6213123090768 -835.138594285098</t>
  </si>
  <si>
    <t>-648.315231722005 16.7478074212165 -922.166716662811</t>
  </si>
  <si>
    <t>-707.789277323008 68.790628962581 -770.093741988486</t>
  </si>
  <si>
    <t>-674.95848139464 210.660216707848 -749.582368541812</t>
  </si>
  <si>
    <t>-668.3249844474 239.30772626899 -434.429261745106</t>
  </si>
  <si>
    <t>-486.652201319629 221.70435876319 -249.153290752941</t>
  </si>
  <si>
    <t>-716.65724032334 5.84702431460096 -768.400618483919</t>
  </si>
  <si>
    <t>-728.024644512773 137.047459186524 -222.844068382773</t>
  </si>
  <si>
    <t>-618.141377794709 220.787959285145 211.403403697294</t>
  </si>
  <si>
    <t>-550.220991491356 294.995588803791 670.960565473246</t>
  </si>
  <si>
    <t>-394.653074908272 257.632525169215 744.077813398937</t>
  </si>
  <si>
    <t>-730.397695288745 -32.9458011646452 221.630020487703</t>
  </si>
  <si>
    <t>-710.945708015571 21.6065404769595 687.349732767352</t>
  </si>
  <si>
    <t>-579.546419717193 -59.8431398910263 771.276450085714</t>
  </si>
  <si>
    <t>9763-20170724T160802.488159400.bin</t>
  </si>
  <si>
    <t>-738.079809126435 39.0681417352125 -229.19305783738</t>
  </si>
  <si>
    <t>-757.224382010188 46.3907181460074 -348.55658929581</t>
  </si>
  <si>
    <t>-756.19600914639 47.5399738298936 -469.751590937338</t>
  </si>
  <si>
    <t>-747.052370839079 45.8151261888072 -578.876514051427</t>
  </si>
  <si>
    <t>-729.89871671176 41.1974022656425 -686.947230115416</t>
  </si>
  <si>
    <t>-697.829565267246 31.6469664884776 -835.541905212252</t>
  </si>
  <si>
    <t>-650.360556640725 9.25155712888204 -922.880900161259</t>
  </si>
  <si>
    <t>-707.03654052971 67.259657937163 -770.735239667436</t>
  </si>
  <si>
    <t>-672.025326750719 208.659457758701 -750.567526451134</t>
  </si>
  <si>
    <t>-668.391670301998 238.630788596958 -435.488654761706</t>
  </si>
  <si>
    <t>-487.214683578285 218.237068764982 -250.013367917987</t>
  </si>
  <si>
    <t>-717.001790771322 4.48582967753464 -768.851404778479</t>
  </si>
  <si>
    <t>-730.505680136069 138.573865816388 -223.609219588468</t>
  </si>
  <si>
    <t>-612.332928312627 222.695501778064 208.381950802005</t>
  </si>
  <si>
    <t>-552.279551818013 297.658953555698 668.970052841475</t>
  </si>
  <si>
    <t>-393.702376630984 266.802478263538 738.573468353589</t>
  </si>
  <si>
    <t>-731.382133179674 -33.4092279466277 220.348478528241</t>
  </si>
  <si>
    <t>-710.608334241816 20.1298750989495 685.823384026651</t>
  </si>
  <si>
    <t>-579.292047281164 -59.7836110268915 771.341681316368</t>
  </si>
  <si>
    <t>9763-20170724T160802.519775800.bin</t>
  </si>
  <si>
    <t>-738.903302496745 39.6948390684579 -229.71852309445</t>
  </si>
  <si>
    <t>-758.068540765923 47.1748473451187 -349.069169980432</t>
  </si>
  <si>
    <t>-756.874861167811 48.0889891061549 -470.264452561759</t>
  </si>
  <si>
    <t>-747.522572243506 45.9634329809235 -579.364647296532</t>
  </si>
  <si>
    <t>-730.113258752102 40.7429437320404 -687.367147328787</t>
  </si>
  <si>
    <t>-697.653793311923 30.1305960351312 -835.804752678053</t>
  </si>
  <si>
    <t>-651.474310123272 5.13360183391433 -923.129379660122</t>
  </si>
  <si>
    <t>-706.566745566436 66.1321224106207 -771.172168148034</t>
  </si>
  <si>
    <t>-669.369146903121 207.058951203052 -751.569882580742</t>
  </si>
  <si>
    <t>-667.267708199849 239.233077039482 -436.694433758369</t>
  </si>
  <si>
    <t>-486.330718877315 215.936615525091 -251.326713474305</t>
  </si>
  <si>
    <t>-717.465456919554 3.5203324775257 -769.079087774254</t>
  </si>
  <si>
    <t>-730.757122953333 139.69483609168 -224.078708477694</t>
  </si>
  <si>
    <t>-608.112271652786 223.566071803898 206.713016701912</t>
  </si>
  <si>
    <t>-552.924474550293 298.76436614334 668.076192370138</t>
  </si>
  <si>
    <t>-392.987112521612 272.849574664237 736.574148508723</t>
  </si>
  <si>
    <t>-731.758634809904 -33.2741601358002 219.808766272261</t>
  </si>
  <si>
    <t>-710.491574854967 19.8618878239256 685.540163866303</t>
  </si>
  <si>
    <t>-579.254082661801 -59.7668538001633 771.444158549846</t>
  </si>
  <si>
    <t>9763-20170724T160802.591448500.bin</t>
  </si>
  <si>
    <t>-740.103437999831 41.0650252846694 -230.594689334932</t>
  </si>
  <si>
    <t>-759.379992550795 48.9686241025945 -349.900043612915</t>
  </si>
  <si>
    <t>-758.191904045112 49.0074296046387 -471.098809076007</t>
  </si>
  <si>
    <t>-748.842100881398 45.5135513258945 -580.164047015768</t>
  </si>
  <si>
    <t>-731.463017019394 38.3251888251946 -688.058192760292</t>
  </si>
  <si>
    <t>-699.1052899322 24.3337962682656 -836.23784428905</t>
  </si>
  <si>
    <t>-706.837642317675 61.5929545657591 -772.168504854537</t>
  </si>
  <si>
    <t>-664.067633581909 201.25000962066 -754.741281367345</t>
  </si>
  <si>
    <t>-662.701208243957 239.604671027744 -440.554529369552</t>
  </si>
  <si>
    <t>-482.781607715082 209.698678973125 -255.145320211489</t>
  </si>
  <si>
    <t>-730.552827419518 141.144551968672 -224.739046863017</t>
  </si>
  <si>
    <t>-599.196713715631 223.156282468898 203.836887489784</t>
  </si>
  <si>
    <t>-553.917505400137 299.288781167249 666.415570643585</t>
  </si>
  <si>
    <t>-392.155441768133 283.507411161197 733.702248868365</t>
  </si>
  <si>
    <t>-732.489610066639 -32.6895467843081 218.975215034418</t>
  </si>
  <si>
    <t>-710.289216449039 19.2999293623125 684.769563801563</t>
  </si>
  <si>
    <t>-579.407122603242 -59.9729278322043 771.540544766049</t>
  </si>
  <si>
    <t>9763-20170724T160802.622034900.bin</t>
  </si>
  <si>
    <t>-740.43372709545 41.861717501771 -230.941100130736</t>
  </si>
  <si>
    <t>-759.871557798904 49.9713359695331 -350.206322809451</t>
  </si>
  <si>
    <t>-758.886959277673 49.36466847831 -471.405434828543</t>
  </si>
  <si>
    <t>-749.760484899834 44.9249452715101 -580.455295952808</t>
  </si>
  <si>
    <t>-732.660394176454 36.4231331739149 -688.298465196323</t>
  </si>
  <si>
    <t>-700.76503132421 20.2191089812416 -836.352963831572</t>
  </si>
  <si>
    <t>-707.701333205402 58.3076169800224 -772.68136910754</t>
  </si>
  <si>
    <t>-662.094264246023 197.187547619986 -756.702370651812</t>
  </si>
  <si>
    <t>-659.876691994692 239.01337520608 -442.964019768515</t>
  </si>
  <si>
    <t>-480.598867907416 205.831550713726 -257.490291213401</t>
  </si>
  <si>
    <t>-729.861671072111 141.921482595772 -224.981686002083</t>
  </si>
  <si>
    <t>-594.880487650861 222.688601259118 202.703357983149</t>
  </si>
  <si>
    <t>-554.36306476104 299.135075289341 665.62881696815</t>
  </si>
  <si>
    <t>-391.950070411712 288.904771144399 732.418496669357</t>
  </si>
  <si>
    <t>-732.839575670768 -32.3046566810717 218.656344692035</t>
  </si>
  <si>
    <t>-710.201475904819 19.2365065040549 684.606698364659</t>
  </si>
  <si>
    <t>-579.46710412708 -60.10628781281 771.536318423088</t>
  </si>
  <si>
    <t>9763-20170724T160802.692743800.bin</t>
  </si>
  <si>
    <t>-740.591078626773 44.2113965723356 -231.407217947416</t>
  </si>
  <si>
    <t>-760.180783249214 52.6226517434427 -350.626663468616</t>
  </si>
  <si>
    <t>-759.678711785272 50.5012552111807 -471.81176797655</t>
  </si>
  <si>
    <t>-751.168378062465 43.940011672101 -580.8043143593</t>
  </si>
  <si>
    <t>-734.896294987044 32.5657757044557 -688.510796962701</t>
  </si>
  <si>
    <t>-704.404270058219 11.5897198311297 -836.261454599572</t>
  </si>
  <si>
    <t>-709.554253688038 51.4390632692985 -773.504592137388</t>
  </si>
  <si>
    <t>-658.366778670948 188.690205190253 -760.805241171506</t>
  </si>
  <si>
    <t>-653.377743564967 236.758802766793 -447.994237289737</t>
  </si>
  <si>
    <t>-475.824547627516 197.638959704954 -262.019607414383</t>
  </si>
  <si>
    <t>-727.708035892096 144.034829933732 -225.632321452551</t>
  </si>
  <si>
    <t>-587.820269349241 222.114786120112 200.973639899586</t>
  </si>
  <si>
    <t>-554.287856811001 297.748215103389 664.447175876879</t>
  </si>
  <si>
    <t>-391.557273478345 297.956131825882 731.247056197064</t>
  </si>
  <si>
    <t>-733.453443781199 -30.591118829682 218.384697972761</t>
  </si>
  <si>
    <t>-709.947249244126 19.562794101199 684.492845451046</t>
  </si>
  <si>
    <t>-579.651640294232 -60.5168231049038 771.405539349932</t>
  </si>
  <si>
    <t>9763-20170724T160802.754287500.bin</t>
  </si>
  <si>
    <t>-740.458033343801 47.237339689814 -231.936768574727</t>
  </si>
  <si>
    <t>-759.88017209787 55.7701021461471 -351.175115469208</t>
  </si>
  <si>
    <t>-759.792832314574 52.0089215157859 -472.321336665183</t>
  </si>
  <si>
    <t>-751.942999080575 43.2478116542691 -581.208753904715</t>
  </si>
  <si>
    <t>-736.649025966223 28.9658433673005 -688.711963290319</t>
  </si>
  <si>
    <t>-707.878349229699 3.22087591512491 -836.053297994496</t>
  </si>
  <si>
    <t>-711.079619115083 44.7527990468452 -774.265148356131</t>
  </si>
  <si>
    <t>-654.182802382471 180.003038899099 -764.763647611315</t>
  </si>
  <si>
    <t>-645.959247726588 234.727243969549 -453.116645309679</t>
  </si>
  <si>
    <t>-470.9193978172 191.201626830717 -265.743764719755</t>
  </si>
  <si>
    <t>-725.317582494775 146.365933349606 -226.557282417953</t>
  </si>
  <si>
    <t>-583.576673043495 221.474218041926 199.970577230049</t>
  </si>
  <si>
    <t>-553.501827205606 295.419215224853 663.848631285586</t>
  </si>
  <si>
    <t>-391.168363771454 301.954982489845 731.292340935034</t>
  </si>
  <si>
    <t>-733.675818434505 -28.5607773417898 218.197813053169</t>
  </si>
  <si>
    <t>-709.580049585872 20.0798380066374 684.50979690091</t>
  </si>
  <si>
    <t>-579.89215178223 -61.1153855036234 771.296288814329</t>
  </si>
  <si>
    <t>9763-20170724T160802.789881800.bin</t>
  </si>
  <si>
    <t>-740.3984315276 49.049388462503 -232.192261462182</t>
  </si>
  <si>
    <t>-759.710254934943 57.54587004267 -351.451049257809</t>
  </si>
  <si>
    <t>-759.785295970035 52.9465759380632 -472.568448281114</t>
  </si>
  <si>
    <t>-752.220261780095 43.0996558729621 -581.383241290579</t>
  </si>
  <si>
    <t>-737.366652376539 27.4082552029415 -688.751740017301</t>
  </si>
  <si>
    <t>-711.651410196969 41.6808960688311 -774.526823432696</t>
  </si>
  <si>
    <t>-651.976868962664 175.822249815839 -766.560142825259</t>
  </si>
  <si>
    <t>-642.320324910107 234.01610535803 -455.583434567146</t>
  </si>
  <si>
    <t>-468.585158848106 189.054477670771 -267.337319726212</t>
  </si>
  <si>
    <t>-724.485357535602 147.591669627152 -227.021865704573</t>
  </si>
  <si>
    <t>-582.099440843263 221.118959459197 199.56652530597</t>
  </si>
  <si>
    <t>-553.138049190415 294.214830695349 663.574729049571</t>
  </si>
  <si>
    <t>-391.04353210159 301.884510479212 731.472184581526</t>
  </si>
  <si>
    <t>-733.954772934722 -27.2591202813041 218.213782434786</t>
  </si>
  <si>
    <t>-709.369489267756 20.550780471287 684.69401537945</t>
  </si>
  <si>
    <t>-580.058589096606 -61.5064351981778 771.231965907785</t>
  </si>
  <si>
    <t>9763-20170724T160802.838563400.bin</t>
  </si>
  <si>
    <t>-740.421759057152 51.0780243499812 -232.367305136276</t>
  </si>
  <si>
    <t>-759.583240888023 59.4669042100643 -351.658042922</t>
  </si>
  <si>
    <t>-759.751935231348 53.9888930573727 -472.738622110139</t>
  </si>
  <si>
    <t>-752.396706777809 43.0362088512891 -581.462153424934</t>
  </si>
  <si>
    <t>-737.895244816244 25.9344172753081 -688.663323689792</t>
  </si>
  <si>
    <t>-711.993388028377 38.7004974541373 -774.61952281707</t>
  </si>
  <si>
    <t>-649.685292545428 171.722609236082 -768.171986473131</t>
  </si>
  <si>
    <t>-638.521409645596 233.481428065109 -457.934275573686</t>
  </si>
  <si>
    <t>-466.409402455113 187.214151928056 -268.517166892438</t>
  </si>
  <si>
    <t>-723.698506565404 148.765449395544 -227.440343008278</t>
  </si>
  <si>
    <t>-580.853366647346 220.860188714589 199.239060206709</t>
  </si>
  <si>
    <t>-552.568930798159 292.408743663875 663.43608863532</t>
  </si>
  <si>
    <t>-390.863133161291 301.432834453639 732.089691733666</t>
  </si>
  <si>
    <t>-734.475865421135 -25.8381233655516 218.344651505915</t>
  </si>
  <si>
    <t>-709.207912688573 21.0292373193074 684.932002110333</t>
  </si>
  <si>
    <t>-580.312435868229 -62.000713916364 771.161312325863</t>
  </si>
  <si>
    <t>9763-20170724T160802.888208800.bin</t>
  </si>
  <si>
    <t>-739.927393878744 55.5170272975167 -232.898159149559</t>
  </si>
  <si>
    <t>-759.090538015156 63.5298622991797 -352.214419305326</t>
  </si>
  <si>
    <t>-759.563802718513 56.217439755239 -473.197421521319</t>
  </si>
  <si>
    <t>-752.648146562493 43.0290733216764 -581.701221054258</t>
  </si>
  <si>
    <t>-738.778766246942 23.1357266128764 -688.503649374054</t>
  </si>
  <si>
    <t>-712.490188720853 32.9383364498301 -774.731027943902</t>
  </si>
  <si>
    <t>-645.338185944107 163.709964780241 -771.201623696472</t>
  </si>
  <si>
    <t>-631.193383308759 232.958202864294 -462.671384921675</t>
  </si>
  <si>
    <t>-462.894717313278 184.835879624461 -270.312860307868</t>
  </si>
  <si>
    <t>-721.005681682565 151.376639908051 -228.676613904617</t>
  </si>
  <si>
    <t>-576.93424902528 219.162191256754 198.296730774304</t>
  </si>
  <si>
    <t>-549.944873173717 287.116739409475 662.783515507207</t>
  </si>
  <si>
    <t>-390.429742494671 307.14685298583 734.178535177261</t>
  </si>
  <si>
    <t>-735.978936535251 -22.785528359932 218.682964195391</t>
  </si>
  <si>
    <t>-709.030441228428 21.8779325470521 685.475355217812</t>
  </si>
  <si>
    <t>-580.994045211839 -63.2012373142454 770.984018477328</t>
  </si>
  <si>
    <t>9763-20170724T160802.925634900.bin</t>
  </si>
  <si>
    <t>-739.102567931383 58.8413871513708 -233.599614561034</t>
  </si>
  <si>
    <t>-758.424796652239 66.6585882431498 -352.903096428596</t>
  </si>
  <si>
    <t>-759.115670347735 58.3437926235531 -473.820302709019</t>
  </si>
  <si>
    <t>-752.441662882326 43.9310057552723 -582.183502003672</t>
  </si>
  <si>
    <t>-738.874946847417 22.5077927920245 -688.728588566529</t>
  </si>
  <si>
    <t>-712.375825896302 30.6866699359452 -775.060894589788</t>
  </si>
  <si>
    <t>-642.878691917758 160.268736168446 -773.161876147179</t>
  </si>
  <si>
    <t>-627.604756321801 233.003778808676 -465.489177440774</t>
  </si>
  <si>
    <t>-461.095465988417 184.830926102028 -271.592045300821</t>
  </si>
  <si>
    <t>-718.631757443268 154.233602850896 -230.135914783585</t>
  </si>
  <si>
    <t>-574.213863267579 218.592161071461 197.250480473029</t>
  </si>
  <si>
    <t>-549.50807677515 284.755517980469 661.806828153859</t>
  </si>
  <si>
    <t>-392.427177266528 316.317857792513 734.421664623335</t>
  </si>
  <si>
    <t>-736.678998064654 -20.7034020415331 218.594406573641</t>
  </si>
  <si>
    <t>-709.065082977976 22.1176646089123 685.611656901053</t>
  </si>
  <si>
    <t>-581.401630750555 -63.8718500500661 770.766596273677</t>
  </si>
  <si>
    <t>9763-20170724T160802.992314900.bin</t>
  </si>
  <si>
    <t>-736.483701753255 67.5757914394899 -235.089446465554</t>
  </si>
  <si>
    <t>-755.78295612542 74.752248965762 -354.436919377834</t>
  </si>
  <si>
    <t>-756.880837914072 64.2255245538061 -475.178630667481</t>
  </si>
  <si>
    <t>-750.789544428117 47.2086483471305 -583.197895419421</t>
  </si>
  <si>
    <t>-738.047724834979 22.6112542307019 -689.157719148335</t>
  </si>
  <si>
    <t>-711.426906543881 27.4488825585645 -775.703990206367</t>
  </si>
  <si>
    <t>-637.511027544381 154.568007225335 -777.390940990184</t>
  </si>
  <si>
    <t>-620.447494892242 234.448142714158 -471.589986626733</t>
  </si>
  <si>
    <t>-457.850696288411 185.945251270841 -274.481460446251</t>
  </si>
  <si>
    <t>-713.476918935483 162.530960597167 -232.887748188047</t>
  </si>
  <si>
    <t>-567.401783815964 222.853502996598 194.524055458199</t>
  </si>
  <si>
    <t>-552.395172277637 283.563997930528 660.30810793852</t>
  </si>
  <si>
    <t>-402.591622707345 338.264326159302 734.539375312649</t>
  </si>
  <si>
    <t>-738.251885976564 -15.4747408219246 218.309189894421</t>
  </si>
  <si>
    <t>-709.181152374797 22.386945578502 685.736726586156</t>
  </si>
  <si>
    <t>-582.271549337756 -65.256225453554 770.330684377771</t>
  </si>
  <si>
    <t>9763-20170724T160803.024424900.bin</t>
  </si>
  <si>
    <t>-734.841467675492 72.404905988212 -235.778246945544</t>
  </si>
  <si>
    <t>-754.105535160016 79.2538429626431 -355.150720976993</t>
  </si>
  <si>
    <t>-755.38683202461 67.6257267509748 -475.789370443867</t>
  </si>
  <si>
    <t>-749.572677358819 49.3156468797843 -583.612455614541</t>
  </si>
  <si>
    <t>-737.234243209745 23.1455586682685 -689.24256207413</t>
  </si>
  <si>
    <t>-710.590145682552 26.3226216943513 -775.858705003496</t>
  </si>
  <si>
    <t>-634.512377634991 152.117828278026 -779.34119996953</t>
  </si>
  <si>
    <t>-616.413208430862 235.837577159611 -474.628800120815</t>
  </si>
  <si>
    <t>-455.702339093988 186.886838024157 -276.089308162528</t>
  </si>
  <si>
    <t>-710.711903536245 167.362748301963 -234.019899780615</t>
  </si>
  <si>
    <t>-564.668645610857 226.162308899768 193.614996082379</t>
  </si>
  <si>
    <t>-555.177252260378 283.904030258982 659.755492321911</t>
  </si>
  <si>
    <t>-408.180770562592 342.005269027376 736.955333758215</t>
  </si>
  <si>
    <t>-738.968489133933 -12.5931012755029 218.160578436441</t>
  </si>
  <si>
    <t>-709.19705378238 22.4291250356034 685.741071046605</t>
  </si>
  <si>
    <t>-582.603106232561 -65.8875204165927 770.107276542246</t>
  </si>
  <si>
    <t>9763-20170724T160803.091609800.bin</t>
  </si>
  <si>
    <t>-730.856416957487 81.8971288147716 -237.172609982667</t>
  </si>
  <si>
    <t>-750.112633974453 88.1479477068497 -356.579140685933</t>
  </si>
  <si>
    <t>-751.801497473591 74.5576448835129 -477.007686076879</t>
  </si>
  <si>
    <t>-746.569652755388 53.9490131546822 -584.444826297306</t>
  </si>
  <si>
    <t>-735.058644561867 24.9871224925928 -689.438070026027</t>
  </si>
  <si>
    <t>-708.457178311886 25.1721878011956 -776.125321989327</t>
  </si>
  <si>
    <t>-628.582449858511 148.482123455208 -782.934482928784</t>
  </si>
  <si>
    <t>-607.796843865601 239.254435522157 -480.420784038494</t>
  </si>
  <si>
    <t>-450.217424400992 189.574344100405 -279.565923986172</t>
  </si>
  <si>
    <t>-704.835227539022 176.531338056929 -236.178911757362</t>
  </si>
  <si>
    <t>-558.208272387202 233.550299742654 191.497322708715</t>
  </si>
  <si>
    <t>-560.451510940724 296.646406446868 657.289308192478</t>
  </si>
  <si>
    <t>-413.638995791167 345.601974679755 740.913266356661</t>
  </si>
  <si>
    <t>-739.034584383605 -6.54281385865147 217.782981812143</t>
  </si>
  <si>
    <t>-709.163097720943 22.5799855352866 685.796742464293</t>
  </si>
  <si>
    <t>-583.196113432142 -66.9293137498414 769.843809736927</t>
  </si>
  <si>
    <t>9763-20170724T160803.125208200.bin</t>
  </si>
  <si>
    <t>-728.715538843409 86.5150319577481 -238.091405010094</t>
  </si>
  <si>
    <t>-748.198723991648 92.2876553152339 -357.485173221221</t>
  </si>
  <si>
    <t>-750.210967947662 77.8000423617796 -477.804150353265</t>
  </si>
  <si>
    <t>-745.327271808292 56.2192510840214 -585.066717224719</t>
  </si>
  <si>
    <t>-734.231825525581 26.1354320535279 -689.788839589487</t>
  </si>
  <si>
    <t>-707.669017394028 25.1209514551349 -776.482111528044</t>
  </si>
  <si>
    <t>-626.122363544065 147.217693474218 -784.570478932427</t>
  </si>
  <si>
    <t>-603.824303716897 240.714922415938 -482.995741374524</t>
  </si>
  <si>
    <t>-447.489290659626 190.648531777291 -281.266422149089</t>
  </si>
  <si>
    <t>-702.133741011626 180.73169244619 -237.623928848356</t>
  </si>
  <si>
    <t>-553.770126250549 239.088137702424 189.272313388578</t>
  </si>
  <si>
    <t>-563.392245161347 308.720581870484 654.032171650468</t>
  </si>
  <si>
    <t>-415.918184321599 348.511874848984 741.276239040196</t>
  </si>
  <si>
    <t>-738.130965294263 -3.85949280188538 217.545698454784</t>
  </si>
  <si>
    <t>-709.069570894358 22.7098622715146 685.81933712539</t>
  </si>
  <si>
    <t>-583.502408605042 -67.4495177903475 769.769865848424</t>
  </si>
  <si>
    <t>9763-20170724T160803.190396600.bin</t>
  </si>
  <si>
    <t>-724.125828906311 95.1462706547443 -239.619788367207</t>
  </si>
  <si>
    <t>-744.226026935954 99.9194928730171 -358.955503097558</t>
  </si>
  <si>
    <t>-747.02308172827 84.0347474042414 -479.082093885544</t>
  </si>
  <si>
    <t>-742.932585251141 61.0427986364098 -586.084317087418</t>
  </si>
  <si>
    <t>-732.724364713691 29.4143841889509 -690.44095256877</t>
  </si>
  <si>
    <t>-706.394876732038 26.7398496959036 -777.170095507093</t>
  </si>
  <si>
    <t>-621.922318994271 146.686731325968 -787.002504541581</t>
  </si>
  <si>
    <t>-595.626543161875 243.956305550683 -486.946971232147</t>
  </si>
  <si>
    <t>-441.083155547967 192.612077135773 -284.161065801309</t>
  </si>
  <si>
    <t>-695.624844980108 188.789317391473 -240.417162881769</t>
  </si>
  <si>
    <t>-544.649603150779 251.8902563559 184.885609463264</t>
  </si>
  <si>
    <t>-570.350332822198 347.918112981288 644.074500510679</t>
  </si>
  <si>
    <t>-422.833315146763 357.751397558039 739.39239669682</t>
  </si>
  <si>
    <t>-752.341860516204 1.13766061559477 -238.176375168434</t>
  </si>
  <si>
    <t>-735.589039818338 1.08775127437411 217.210257542279</t>
  </si>
  <si>
    <t>-708.892466911389 22.9543026003807 685.893036518677</t>
  </si>
  <si>
    <t>-583.919123073538 -68.1780039566277 769.678939595323</t>
  </si>
  <si>
    <t>9763-20170724T160803.221994300.bin</t>
  </si>
  <si>
    <t>-721.335678995677 99.4194167771782 -240.172259970962</t>
  </si>
  <si>
    <t>-742.14976903219 104.061830392792 -359.390521791363</t>
  </si>
  <si>
    <t>-745.62442937218 87.9110795769095 -479.464093707894</t>
  </si>
  <si>
    <t>-742.128918173523 64.6241287446296 -586.423663259111</t>
  </si>
  <si>
    <t>-732.497497787474 32.6499653535677 -690.72958862925</t>
  </si>
  <si>
    <t>-706.385898723898 29.5254010552903 -777.509652847775</t>
  </si>
  <si>
    <t>-620.663207459151 148.543742046385 -787.798408390131</t>
  </si>
  <si>
    <t>-592.344105698302 246.913280134463 -488.286022334933</t>
  </si>
  <si>
    <t>-438.049915667238 194.470820732259 -285.591300943458</t>
  </si>
  <si>
    <t>-692.464288453784 192.800087184352 -241.191944152421</t>
  </si>
  <si>
    <t>-541.616858157274 258.248578069143 183.801160526888</t>
  </si>
  <si>
    <t>-575.049099612833 370.693691084989 638.659878607967</t>
  </si>
  <si>
    <t>-429.76889704186 362.047392066993 737.464781557884</t>
  </si>
  <si>
    <t>-750.368855904283 5.77666491318018 -238.348424132892</t>
  </si>
  <si>
    <t>-734.14253900452 3.40711212410315 217.051226601376</t>
  </si>
  <si>
    <t>-708.701348985221 23.1201527393291 685.910136375795</t>
  </si>
  <si>
    <t>-584.130883499293 -68.6151076338956 769.637973285811</t>
  </si>
  <si>
    <t>9763-20170724T160803.290679600.bin</t>
  </si>
  <si>
    <t>-715.205198560169 108.817956676664 -240.619578680706</t>
  </si>
  <si>
    <t>-736.820208582907 113.764586802919 -359.683126055257</t>
  </si>
  <si>
    <t>-741.404658703317 97.5628255916815 -479.712519730413</t>
  </si>
  <si>
    <t>-739.030537055854 74.0928914470942 -586.662893211685</t>
  </si>
  <si>
    <t>-730.633289595186 41.8090120374504 -690.980200698207</t>
  </si>
  <si>
    <t>-705.025637288503 38.0405880627579 -777.884795790158</t>
  </si>
  <si>
    <t>-616.864786220447 155.29275858937 -788.572399545991</t>
  </si>
  <si>
    <t>-585.033654198889 253.302165598692 -489.294655924023</t>
  </si>
  <si>
    <t>-430.714487339866 197.561162503771 -287.501152900224</t>
  </si>
  <si>
    <t>-684.548342208453 201.788214544484 -241.870016879607</t>
  </si>
  <si>
    <t>-541.502601095625 267.185494858111 185.820106154949</t>
  </si>
  <si>
    <t>-588.82367666326 405.741514275236 631.903820221582</t>
  </si>
  <si>
    <t>-453.12565398948 365.374708671252 736.307210519768</t>
  </si>
  <si>
    <t>-746.106377958766 15.7953716275913 -238.564293005808</t>
  </si>
  <si>
    <t>-731.048215234028 8.25015215223789 216.819070362629</t>
  </si>
  <si>
    <t>-708.602809595097 23.2761909561771 686.002889206739</t>
  </si>
  <si>
    <t>-584.553019354104 -69.3583852704714 769.513320019483</t>
  </si>
  <si>
    <t>9763-20170724T160803.321769500.bin</t>
  </si>
  <si>
    <t>-711.545812745715 113.971945399494 -240.522851362592</t>
  </si>
  <si>
    <t>-733.524794283654 119.579254703442 -359.490476024308</t>
  </si>
  <si>
    <t>-738.717694269762 103.705014299559 -479.538738103298</t>
  </si>
  <si>
    <t>-736.995666951028 80.3946996353936 -586.536566825387</t>
  </si>
  <si>
    <t>-729.353608311909 48.1387092083883 -690.920535930404</t>
  </si>
  <si>
    <t>-704.064060520453 44.1107912759835 -777.906525399725</t>
  </si>
  <si>
    <t>-614.586810969019 160.324503111339 -788.594860784891</t>
  </si>
  <si>
    <t>-581.370762068576 257.141734053971 -489.079825509707</t>
  </si>
  <si>
    <t>-427.373682681458 199.277110421063 -287.638397267058</t>
  </si>
  <si>
    <t>-679.873910887541 206.651994693781 -241.450402303941</t>
  </si>
  <si>
    <t>-545.090039661009 269.888233688143 189.237507305192</t>
  </si>
  <si>
    <t>-600.363684827178 420.204046721447 630.813158360636</t>
  </si>
  <si>
    <t>-470.220555311968 369.820513362372 737.90085142753</t>
  </si>
  <si>
    <t>-743.530548934303 21.4226991629355 -238.654953619364</t>
  </si>
  <si>
    <t>-728.676824651821 10.7860779459722 216.673384195984</t>
  </si>
  <si>
    <t>-708.483989467721 23.4066760349251 686.042034202992</t>
  </si>
  <si>
    <t>-584.810688468111 -69.8150827020745 769.457454928086</t>
  </si>
  <si>
    <t>9763-20170724T160803.397974400.bin</t>
  </si>
  <si>
    <t>-702.648149752871 125.950314865403 -239.226870070393</t>
  </si>
  <si>
    <t>-724.826931481633 133.570394426127 -358.045435866878</t>
  </si>
  <si>
    <t>-731.058518636531 119.052565473817 -478.215996687858</t>
  </si>
  <si>
    <t>-730.641331588635 96.6856577463218 -585.427926606141</t>
  </si>
  <si>
    <t>-724.681567276652 65.0913165311729 -690.123223311978</t>
  </si>
  <si>
    <t>-711.050254802015 11.6022635939928 -832.08503710543</t>
  </si>
  <si>
    <t>-700.160772053346 60.9537735703889 -777.324036790205</t>
  </si>
  <si>
    <t>-607.277928405636 174.509161640971 -787.534744122881</t>
  </si>
  <si>
    <t>-571.670766405716 268.457061853366 -487.381132727565</t>
  </si>
  <si>
    <t>-419.469950798852 204.562580977906 -286.397456491808</t>
  </si>
  <si>
    <t>-734.002722597293 9.58510579844938 -761.218597674995</t>
  </si>
  <si>
    <t>-669.298035844961 218.071682200119 -239.159172854057</t>
  </si>
  <si>
    <t>-556.843608839944 274.70924795183 198.795023108779</t>
  </si>
  <si>
    <t>-619.294498617818 440.02117801697 634.351155346509</t>
  </si>
  <si>
    <t>-498.219994988397 377.528093585503 745.612540867195</t>
  </si>
  <si>
    <t>-736.363303795416 34.1106653874488 -238.615959772898</t>
  </si>
  <si>
    <t>-722.505368475504 16.5038018664693 216.5275744719</t>
  </si>
  <si>
    <t>-707.969667786869 23.8021317705013 686.090160900259</t>
  </si>
  <si>
    <t>-585.351708028474 -70.8350665013415 769.469700535734</t>
  </si>
  <si>
    <t>9763-20170724T160803.422041600.bin</t>
  </si>
  <si>
    <t>-697.363167533492 132.645456541796 -238.427336001424</t>
  </si>
  <si>
    <t>-719.381413527682 141.394938724155 -357.197954234454</t>
  </si>
  <si>
    <t>-725.921205034975 127.667113501898 -477.444964089711</t>
  </si>
  <si>
    <t>-725.99231997425 105.867369096995 -584.774514400376</t>
  </si>
  <si>
    <t>-720.740280520783 74.6930919735191 -689.633598447557</t>
  </si>
  <si>
    <t>-708.329457003937 21.6357756187454 -831.868880052637</t>
  </si>
  <si>
    <t>-696.494812172861 70.5487511740071 -776.910885270296</t>
  </si>
  <si>
    <t>-601.888471118757 182.706074031966 -786.700502976385</t>
  </si>
  <si>
    <t>-564.550989673806 275.049909319831 -486.25956486023</t>
  </si>
  <si>
    <t>-413.742369289293 207.43675185988 -285.443013301125</t>
  </si>
  <si>
    <t>-731.14691736617 19.6752276587004 -760.957468363082</t>
  </si>
  <si>
    <t>-663.087671519261 224.065841841215 -237.84844388833</t>
  </si>
  <si>
    <t>-564.683935706535 280.449241033581 203.507657690266</t>
  </si>
  <si>
    <t>-620.447260309069 442.53085684337 641.337762362872</t>
  </si>
  <si>
    <t>-499.990503996513 374.946338276792 750.26898727808</t>
  </si>
  <si>
    <t>-731.927407331778 41.1521067440881 -238.554077660404</t>
  </si>
  <si>
    <t>-719.204427679081 20.1127069969496 216.476734350222</t>
  </si>
  <si>
    <t>-707.850511719349 23.9143970810992 686.127310592133</t>
  </si>
  <si>
    <t>-585.595464925646 -71.1870173773796 769.511578315052</t>
  </si>
  <si>
    <t>9763-20170724T160803.491734300.bin</t>
  </si>
  <si>
    <t>-685.279694814485 148.618520938255 -237.74998972066</t>
  </si>
  <si>
    <t>-706.425981008174 158.936680820105 -356.553083469536</t>
  </si>
  <si>
    <t>-713.273813455943 146.697744169333 -476.943581483906</t>
  </si>
  <si>
    <t>-714.126241829545 126.202357596734 -584.526433858463</t>
  </si>
  <si>
    <t>-710.163158316982 96.2872770882495 -689.80813818192</t>
  </si>
  <si>
    <t>-700.07308573681 44.9265153923529 -832.847404541516</t>
  </si>
  <si>
    <t>-686.473995027799 92.6561930111077 -777.260932526234</t>
  </si>
  <si>
    <t>-588.541563896341 202.035309380048 -785.929187498595</t>
  </si>
  <si>
    <t>-547.205614401639 290.414998956352 -484.820342241854</t>
  </si>
  <si>
    <t>-399.944415472756 215.09611953105 -284.113368490827</t>
  </si>
  <si>
    <t>-722.601173694511 42.6480395660951 -761.853060471477</t>
  </si>
  <si>
    <t>-647.998128325072 239.850137335013 -236.972857052511</t>
  </si>
  <si>
    <t>-579.354555020724 300.140675520656 209.469514502318</t>
  </si>
  <si>
    <t>-626.916263148486 444.908492742237 654.15805629719</t>
  </si>
  <si>
    <t>-498.952007848303 374.446257465253 752.156689681955</t>
  </si>
  <si>
    <t>-721.78623533146 57.5522850635346 -238.522808484589</t>
  </si>
  <si>
    <t>-710.80398595218 29.1327074611536 216.152262599255</t>
  </si>
  <si>
    <t>-707.037735080083 24.5375927389337 686.073975542467</t>
  </si>
  <si>
    <t>-586.298105429006 -72.3942451333598 769.558530174079</t>
  </si>
  <si>
    <t>9763-20170724T160803.521334400.bin</t>
  </si>
  <si>
    <t>-679.895416031927 160.141517941024 -237.963034383017</t>
  </si>
  <si>
    <t>-700.343902190036 170.679711592962 -356.86888574694</t>
  </si>
  <si>
    <t>-707.165806782868 158.90897975537 -477.307518736809</t>
  </si>
  <si>
    <t>-708.271423142565 138.940956968362 -584.987133708648</t>
  </si>
  <si>
    <t>-704.83357672802 109.656032547001 -690.464290648445</t>
  </si>
  <si>
    <t>-695.750008696895 59.2725375427549 -833.918168000331</t>
  </si>
  <si>
    <t>-676.81272104537 3.16921523739211 -916.844503005944</t>
  </si>
  <si>
    <t>-681.364622288593 106.368403601717 -777.990106093301</t>
  </si>
  <si>
    <t>-582.03055344838 214.488976472936 -786.106516650441</t>
  </si>
  <si>
    <t>-538.684943184758 300.870569727236 -484.700589701528</t>
  </si>
  <si>
    <t>-393.398951470826 221.55266624091 -284.094671234133</t>
  </si>
  <si>
    <t>-718.173891811594 56.7628200525915 -762.898483385269</t>
  </si>
  <si>
    <t>-524.921442384332 6.11587244530347 -352.31892070172</t>
  </si>
  <si>
    <t>-642.239131098203 252.576324332019 -237.133249796022</t>
  </si>
  <si>
    <t>-589.763044790451 313.588571127533 211.399216822235</t>
  </si>
  <si>
    <t>-631.556288528338 445.618052113013 660.268149643414</t>
  </si>
  <si>
    <t>-499.182337730801 375.715979285776 752.64968748429</t>
  </si>
  <si>
    <t>-717.048808991586 68.1911216304172 -238.528737637031</t>
  </si>
  <si>
    <t>-706.613098659788 35.2383376940463 215.853044180441</t>
  </si>
  <si>
    <t>-706.507725522429 24.9994252413342 685.959471619821</t>
  </si>
  <si>
    <t>-586.957507120856 -73.3050803838144 769.550619815741</t>
  </si>
  <si>
    <t>9763-20170724T160803.589015100.bin</t>
  </si>
  <si>
    <t>-666.946737156525 179.692820052292 -237.819361163336</t>
  </si>
  <si>
    <t>-686.895250914139 190.500792112149 -356.785984126544</t>
  </si>
  <si>
    <t>-693.813859299347 179.578284747803 -477.298881496968</t>
  </si>
  <si>
    <t>-695.237342194114 160.60756851628 -585.154969905752</t>
  </si>
  <si>
    <t>-692.331771040231 132.543608338771 -690.979576808831</t>
  </si>
  <si>
    <t>-684.194623786869 84.0760307504886 -835.14847549612</t>
  </si>
  <si>
    <t>-666.473977351576 28.8106436026483 -918.90227948593</t>
  </si>
  <si>
    <t>-668.746996821618 129.956001510229 -778.497693614548</t>
  </si>
  <si>
    <t>-566.700467322142 235.654303922352 -785.347422331415</t>
  </si>
  <si>
    <t>-520.804985633499 318.02019727943 -483.195687547056</t>
  </si>
  <si>
    <t>-379.560372727896 230.439909990675 -283.14133853508</t>
  </si>
  <si>
    <t>-706.843123505477 81.0868570516368 -764.218711954787</t>
  </si>
  <si>
    <t>-515.322694393288 18.0479088769227 -353.916585751301</t>
  </si>
  <si>
    <t>-626.487926869598 268.801861512732 -236.800866880811</t>
  </si>
  <si>
    <t>-608.079570588871 332.974325091057 213.977054511619</t>
  </si>
  <si>
    <t>-633.129700992175 436.612771622746 671.254604815258</t>
  </si>
  <si>
    <t>-497.842410689401 364.597458942488 757.595004342566</t>
  </si>
  <si>
    <t>-707.362766817336 88.9597870191972 -237.933440673067</t>
  </si>
  <si>
    <t>-697.58706316686 46.246189898136 215.649642662297</t>
  </si>
  <si>
    <t>-705.239324830213 26.0565267455688 685.771393739606</t>
  </si>
  <si>
    <t>-588.188092592331 -75.044327772111 769.563596324578</t>
  </si>
  <si>
    <t>9763-20170724T160803.630129200.bin</t>
  </si>
  <si>
    <t>-661.216191696613 188.555527369017 -236.991238306819</t>
  </si>
  <si>
    <t>-681.189175206109 199.319467233204 -355.957825121171</t>
  </si>
  <si>
    <t>-688.249227424517 188.685049687048 -476.488330008687</t>
  </si>
  <si>
    <t>-689.832105901627 170.108269967003 -584.410777991123</t>
  </si>
  <si>
    <t>-687.104106088416 142.56877236805 -690.377726667583</t>
  </si>
  <si>
    <t>-679.220258451965 94.959287460375 -834.846336821964</t>
  </si>
  <si>
    <t>-661.925597494202 40.1028429530841 -918.957383970464</t>
  </si>
  <si>
    <t>-663.357292344871 140.278820160494 -777.860266021802</t>
  </si>
  <si>
    <t>-560.225149250184 244.893240456831 -783.937310136813</t>
  </si>
  <si>
    <t>-513.418517139835 325.236636670526 -481.380969677905</t>
  </si>
  <si>
    <t>-374.291898061337 233.730471199707 -281.599924427929</t>
  </si>
  <si>
    <t>-702.060082824805 91.7710272145061 -763.986644795337</t>
  </si>
  <si>
    <t>-768.537948304803 5.42602927085954 -395.084464970214</t>
  </si>
  <si>
    <t>-512.490281682309 23.8610090159661 -353.349483866723</t>
  </si>
  <si>
    <t>-619.432164778993 276.676237345633 -235.696923179526</t>
  </si>
  <si>
    <t>-615.765340826164 340.761242091266 215.454248458465</t>
  </si>
  <si>
    <t>-634.804112581007 433.844437641586 675.579923025143</t>
  </si>
  <si>
    <t>-499.810957489097 360.064210533038 760.884232698873</t>
  </si>
  <si>
    <t>-703.138448546415 99.1995427607055 -236.892829430009</t>
  </si>
  <si>
    <t>-693.12537390888 51.622302258879 216.20078234909</t>
  </si>
  <si>
    <t>-704.235906986628 26.9666770973363 686.0087758288</t>
  </si>
  <si>
    <t>-588.914821991486 -76.0781766194896 769.831888589657</t>
  </si>
  <si>
    <t>9763-20170724T160803.690804400.bin</t>
  </si>
  <si>
    <t>-651.217482867883 213.344116452422 -237.255866208879</t>
  </si>
  <si>
    <t>-670.62324667591 223.812476451048 -356.342515658207</t>
  </si>
  <si>
    <t>-677.422969852329 213.602724368942 -476.924739934516</t>
  </si>
  <si>
    <t>-678.855109875093 195.711858380193 -584.965234150494</t>
  </si>
  <si>
    <t>-676.028276359724 169.159405129174 -691.181124511562</t>
  </si>
  <si>
    <t>-668.029204354641 123.226288927959 -836.18511992138</t>
  </si>
  <si>
    <t>-651.094081343662 69.2940935739666 -920.964356786912</t>
  </si>
  <si>
    <t>-651.666588765465 167.48197724176 -778.508277732599</t>
  </si>
  <si>
    <t>-546.44012350173 270.129859095019 -782.997703815406</t>
  </si>
  <si>
    <t>-499.61734912821 346.777836335342 -479.486671472169</t>
  </si>
  <si>
    <t>-364.580502761646 247.920127878758 -280.40322035867</t>
  </si>
  <si>
    <t>-691.470551214427 119.618507165115 -765.542317696164</t>
  </si>
  <si>
    <t>-788.326709704739 21.9930024000753 -713.514805647859</t>
  </si>
  <si>
    <t>-762.986412608295 34.5103587653541 -398.257243974844</t>
  </si>
  <si>
    <t>-506.955337275671 44.130493948878 -353.562915404116</t>
  </si>
  <si>
    <t>-606.481526261025 302.717221785399 -237.151589764873</t>
  </si>
  <si>
    <t>-624.406722363289 358.098379514655 214.810026615352</t>
  </si>
  <si>
    <t>-635.816874003772 432.804487585416 677.275016985591</t>
  </si>
  <si>
    <t>-500.743836575801 357.542316364037 761.146229719331</t>
  </si>
  <si>
    <t>-695.919549060152 124.740227087844 -236.136056566435</t>
  </si>
  <si>
    <t>-684.768416928243 65.8162483036392 215.595314025203</t>
  </si>
  <si>
    <t>-702.839690735055 28.5640721087523 684.960427273362</t>
  </si>
  <si>
    <t>-590.036335806198 -77.3193043640185 768.671983180009</t>
  </si>
  <si>
    <t>9763-20170724T160803.723058700.bin</t>
  </si>
  <si>
    <t>-647.580128113576 227.050879412639 -237.605231146801</t>
  </si>
  <si>
    <t>-667.058561596725 237.180990234319 -356.709368867222</t>
  </si>
  <si>
    <t>-673.82714439265 226.937631379782 -477.290516857407</t>
  </si>
  <si>
    <t>-675.166365539237 209.143345401813 -585.347978468143</t>
  </si>
  <si>
    <t>-672.165409894222 182.814745596402 -691.614760177641</t>
  </si>
  <si>
    <t>-663.824943051876 137.322158497258 -836.738450896709</t>
  </si>
  <si>
    <t>-646.930834833041 83.6698320870191 -921.703181850364</t>
  </si>
  <si>
    <t>-647.36703442141 181.226609228527 -778.820798724285</t>
  </si>
  <si>
    <t>-541.249643934016 283.043616792615 -782.590184775488</t>
  </si>
  <si>
    <t>-495.217265675342 357.630364724977 -478.445412786132</t>
  </si>
  <si>
    <t>-362.026284861034 255.763475631383 -279.635630141487</t>
  </si>
  <si>
    <t>-687.663635828764 133.67584408436 -766.230740035299</t>
  </si>
  <si>
    <t>-785.628386515395 36.881686281657 -714.844442118391</t>
  </si>
  <si>
    <t>-761.975498764087 50.4188716688557 -399.497832935177</t>
  </si>
  <si>
    <t>-506.103351643867 54.8997098132922 -353.114068757818</t>
  </si>
  <si>
    <t>-602.384799610418 315.443110985484 -238.569110469819</t>
  </si>
  <si>
    <t>-624.602574197491 368.242198539269 213.510903964147</t>
  </si>
  <si>
    <t>-635.6321056532 433.339792535704 677.672703222824</t>
  </si>
  <si>
    <t>-500.898298013252 357.159080897533 761.259901619739</t>
  </si>
  <si>
    <t>-693.363727779327 138.583951265278 -235.687158054433</t>
  </si>
  <si>
    <t>-679.960914444427 73.177170346474 215.089895749976</t>
  </si>
  <si>
    <t>-701.876737658023 29.7311864340436 684.124422555127</t>
  </si>
  <si>
    <t>-590.803051753851 -78.0783553612025 767.69024942299</t>
  </si>
  <si>
    <t>9763-20170724T160803.791748500.bin</t>
  </si>
  <si>
    <t>-641.627734940011 252.177490042185 -237.908631492846</t>
  </si>
  <si>
    <t>-661.849251876115 262.079655579468 -356.908113964698</t>
  </si>
  <si>
    <t>-668.705796653584 251.797203911752 -477.480957662846</t>
  </si>
  <si>
    <t>-669.819971081935 234.043793797974 -585.547647377224</t>
  </si>
  <si>
    <t>-666.264759916144 207.835039977096 -691.827069541733</t>
  </si>
  <si>
    <t>-656.791263251111 162.590762345126 -836.95878111611</t>
  </si>
  <si>
    <t>-639.653457277667 109.18369337835 -922.029039712023</t>
  </si>
  <si>
    <t>-640.280861279266 205.99787903893 -778.682239323653</t>
  </si>
  <si>
    <t>-532.495865437156 305.989234581402 -781.118646712018</t>
  </si>
  <si>
    <t>-489.667878313183 376.926277982733 -475.635667968338</t>
  </si>
  <si>
    <t>-360.722006282172 269.381788549871 -277.01728718818</t>
  </si>
  <si>
    <t>-681.685104614701 159.222042132212 -766.802793556276</t>
  </si>
  <si>
    <t>-782.184713163686 64.1595420556114 -716.883530842668</t>
  </si>
  <si>
    <t>-762.337355948999 81.6354695873908 -401.468088911503</t>
  </si>
  <si>
    <t>-507.274690435192 74.9149472978627 -351.069992825004</t>
  </si>
  <si>
    <t>-592.736440901771 338.561608022382 -240.355335324824</t>
  </si>
  <si>
    <t>-620.95817003344 383.831243553557 212.206069860046</t>
  </si>
  <si>
    <t>-635.26559514173 433.969693978728 678.040745015357</t>
  </si>
  <si>
    <t>-501.079683380738 356.674448091111 761.485924644899</t>
  </si>
  <si>
    <t>-690.424706566861 165.537597630352 -234.509876258925</t>
  </si>
  <si>
    <t>-668.187903899007 85.4140132107923 213.533990177424</t>
  </si>
  <si>
    <t>-700.047570030593 31.9581998131746 681.569993375605</t>
  </si>
  <si>
    <t>-592.541456326448 -79.5318664430331 764.972110366823</t>
  </si>
  <si>
    <t>9763-20170724T160803.822326800.bin</t>
  </si>
  <si>
    <t>-638.86291910045 263.923482626808 -237.776198840982</t>
  </si>
  <si>
    <t>-659.468552322017 273.94020677381 -356.699994498998</t>
  </si>
  <si>
    <t>-666.253304000911 263.788639953404 -477.288072144228</t>
  </si>
  <si>
    <t>-667.106019305878 246.153429607863 -585.376557898259</t>
  </si>
  <si>
    <t>-663.08606612413 220.062435266402 -691.668374105673</t>
  </si>
  <si>
    <t>-652.750563755508 174.981109459133 -836.792031809626</t>
  </si>
  <si>
    <t>-635.274937723033 121.661849114221 -921.848747517147</t>
  </si>
  <si>
    <t>-636.310996837724 218.097504574407 -778.280126927984</t>
  </si>
  <si>
    <t>-527.427987467455 316.883203981586 -779.972832965425</t>
  </si>
  <si>
    <t>-486.918211686128 386.827155198033 -473.945120971617</t>
  </si>
  <si>
    <t>-360.299352774397 276.228707520081 -275.506995095313</t>
  </si>
  <si>
    <t>-678.336392379006 171.758908155705 -766.878497384767</t>
  </si>
  <si>
    <t>-780.359310914217 77.7411308388446 -718.023565630482</t>
  </si>
  <si>
    <t>-762.646263169973 97.1362271506794 -402.593225801811</t>
  </si>
  <si>
    <t>-508.285047809982 84.6742632916139 -349.800040996773</t>
  </si>
  <si>
    <t>-588.677543317904 349.106684492984 -240.744817354676</t>
  </si>
  <si>
    <t>-618.863143546854 390.885969035152 212.025521224541</t>
  </si>
  <si>
    <t>-635.03664091002 434.321366092902 678.202467823693</t>
  </si>
  <si>
    <t>-501.191843766386 356.461557286654 761.670637220802</t>
  </si>
  <si>
    <t>-689.337793249537 178.658918550159 -233.790293911156</t>
  </si>
  <si>
    <t>-662.300091612484 90.4780777538911 212.47282638347</t>
  </si>
  <si>
    <t>-699.140124913903 32.9943665471626 679.858519532271</t>
  </si>
  <si>
    <t>-593.593737170688 -80.3899482700101 763.209965702903</t>
  </si>
  <si>
    <t>9763-20170724T160803.888007100.bin</t>
  </si>
  <si>
    <t>-633.784435069693 285.745567659567 -237.194129871243</t>
  </si>
  <si>
    <t>-655.386517119723 296.620120773463 -355.865489922104</t>
  </si>
  <si>
    <t>-662.267343382829 287.168766829932 -476.505058202428</t>
  </si>
  <si>
    <t>-662.822920833846 270.08350298309 -584.683696466163</t>
  </si>
  <si>
    <t>-658.113067715154 244.457495204816 -691.06033202342</t>
  </si>
  <si>
    <t>-646.406359578951 199.933638867088 -836.25186553547</t>
  </si>
  <si>
    <t>-628.379118558973 146.872199177667 -921.354676443592</t>
  </si>
  <si>
    <t>-629.969855266384 242.355930716207 -777.233940048725</t>
  </si>
  <si>
    <t>-518.799088927256 338.575066012629 -777.248178188116</t>
  </si>
  <si>
    <t>-480.251082974491 407.29386295276 -470.689853616094</t>
  </si>
  <si>
    <t>-358.653163187774 290.774336782954 -272.500123844431</t>
  </si>
  <si>
    <t>-673.202603013402 196.912167079864 -766.784162950879</t>
  </si>
  <si>
    <t>-778.010411916621 105.056447886387 -719.791337818251</t>
  </si>
  <si>
    <t>-764.493768459398 126.768901741673 -404.304414670049</t>
  </si>
  <si>
    <t>-511.892116803072 103.358177650026 -346.977109646675</t>
  </si>
  <si>
    <t>-581.017220772895 368.712594455782 -240.755519859536</t>
  </si>
  <si>
    <t>-615.077406474337 405.237180917233 212.194241203372</t>
  </si>
  <si>
    <t>-634.565476195425 435.177399417369 678.693967645217</t>
  </si>
  <si>
    <t>-501.715007829761 355.608397889004 762.138770194495</t>
  </si>
  <si>
    <t>-686.721709998299 202.87664055624 -232.90044285039</t>
  </si>
  <si>
    <t>-654.317391790937 101.032507810861 210.084212136192</t>
  </si>
  <si>
    <t>-697.161260561942 35.4058798688625 676.117644058424</t>
  </si>
  <si>
    <t>-596.620619283325 -82.315651305689 759.644449733833</t>
  </si>
  <si>
    <t>9763-20170724T160803.921509300.bin</t>
  </si>
  <si>
    <t>-630.870208054969 295.682685592443 -237.542884588911</t>
  </si>
  <si>
    <t>-652.825637594369 307.163469066844 -356.092255712822</t>
  </si>
  <si>
    <t>-659.786095678425 298.254818234913 -476.768436808186</t>
  </si>
  <si>
    <t>-660.298508746472 281.622450030678 -585.018042118207</t>
  </si>
  <si>
    <t>-655.427615216099 256.409608327457 -691.486021259383</t>
  </si>
  <si>
    <t>-643.375057520908 212.415621337449 -836.810583036498</t>
  </si>
  <si>
    <t>-625.174639555877 159.580279724443 -922.017333685328</t>
  </si>
  <si>
    <t>-626.823500035664 254.396307917579 -777.509889995882</t>
  </si>
  <si>
    <t>-514.669668299113 349.485098292904 -776.656556290329</t>
  </si>
  <si>
    <t>-476.24179511904 417.26861120139 -469.875100874794</t>
  </si>
  <si>
    <t>-356.933296649469 298.351481334549 -271.717895874522</t>
  </si>
  <si>
    <t>-670.592410772319 209.366848652794 -767.508205290063</t>
  </si>
  <si>
    <t>-776.813334157753 118.774635394802 -721.281250442578</t>
  </si>
  <si>
    <t>-765.201201578044 140.555841009297 -405.723103925593</t>
  </si>
  <si>
    <t>-513.646413913587 111.696004290088 -346.315036330725</t>
  </si>
  <si>
    <t>-577.013160781608 377.537731823986 -241.039396734814</t>
  </si>
  <si>
    <t>-613.688699414506 411.858774794042 211.878443010061</t>
  </si>
  <si>
    <t>-634.351523916081 435.603920458297 678.806316781804</t>
  </si>
  <si>
    <t>-502.056964673716 355.082734973592 762.220868887302</t>
  </si>
  <si>
    <t>-684.805614911297 214.017842492998 -233.472132388046</t>
  </si>
  <si>
    <t>-652.031396249866 106.528999988491 208.149475024465</t>
  </si>
  <si>
    <t>-693.588245065592 38.4681014018206 672.774393601236</t>
  </si>
  <si>
    <t>-595.701810231651 -81.4107958387801 756.385423860222</t>
  </si>
  <si>
    <t>9763-20170724T160803.988700900.bin</t>
  </si>
  <si>
    <t>-625.075982985061 311.925788178532 -240.191956808995</t>
  </si>
  <si>
    <t>-646.627579272079 323.903649096685 -358.766351813128</t>
  </si>
  <si>
    <t>-653.269404455418 315.906681785749 -479.524306676799</t>
  </si>
  <si>
    <t>-653.524603632286 300.253738595506 -587.92068244318</t>
  </si>
  <si>
    <t>-648.419538620353 276.167173557502 -694.638156042603</t>
  </si>
  <si>
    <t>-636.057983315977 233.880060245125 -840.442817570422</t>
  </si>
  <si>
    <t>-617.768734170092 181.717549801087 -926.044071470864</t>
  </si>
  <si>
    <t>-619.188338704829 274.755027852548 -780.463046912196</t>
  </si>
  <si>
    <t>-505.286414956866 367.655664646035 -777.701699827095</t>
  </si>
  <si>
    <t>-467.155356840872 432.865937667801 -470.325951852107</t>
  </si>
  <si>
    <t>-351.438166398482 310.28204468084 -272.273491963662</t>
  </si>
  <si>
    <t>-663.866849163207 230.426560672491 -771.394572731861</t>
  </si>
  <si>
    <t>-772.497777054019 141.814241889088 -726.862069518383</t>
  </si>
  <si>
    <t>-764.123983015977 162.398309905774 -411.121100692698</t>
  </si>
  <si>
    <t>-514.71295352065 124.44545675692 -347.90905629618</t>
  </si>
  <si>
    <t>-569.62970721111 392.272303402422 -242.728441794217</t>
  </si>
  <si>
    <t>-610.031772321533 421.744128927066 210.213911872824</t>
  </si>
  <si>
    <t>-634.18338621519 436.220580455428 678.270569653307</t>
  </si>
  <si>
    <t>-502.881589631612 354.069610212171 761.664626000704</t>
  </si>
  <si>
    <t>-680.233339624757 231.703010555174 -237.621120702011</t>
  </si>
  <si>
    <t>-646.499382572561 119.683836038117 202.800692269739</t>
  </si>
  <si>
    <t>-681.36611230914 51.406180705806 666.331876591604</t>
  </si>
  <si>
    <t>-595.846731714414 -77.8723643549736 749.500338295065</t>
  </si>
  <si>
    <t>9763-20170724T160804.025804300.bin</t>
  </si>
  <si>
    <t>-622.589213847924 317.492757826598 -242.054179487654</t>
  </si>
  <si>
    <t>-644.103433588314 330.12250214551 -360.567598491201</t>
  </si>
  <si>
    <t>-650.697900746192 322.846168426187 -481.373879533277</t>
  </si>
  <si>
    <t>-650.898085330565 307.86705327834 -589.865479223922</t>
  </si>
  <si>
    <t>-645.719124283636 284.474251060939 -696.733693779653</t>
  </si>
  <si>
    <t>-633.229014442074 243.169378460217 -842.808622497907</t>
  </si>
  <si>
    <t>-614.993949299103 191.434719480728 -928.680506459056</t>
  </si>
  <si>
    <t>-616.217742738989 283.455564898477 -782.471577434545</t>
  </si>
  <si>
    <t>-501.658437981004 375.524162061071 -778.758776278201</t>
  </si>
  <si>
    <t>-463.747737699679 439.400526011937 -471.075921139961</t>
  </si>
  <si>
    <t>-349.463848571379 315.419372723243 -273.060960378776</t>
  </si>
  <si>
    <t>-661.293179372526 239.435532772372 -773.878401378471</t>
  </si>
  <si>
    <t>-770.916862991138 151.563343971752 -730.376003013527</t>
  </si>
  <si>
    <t>-764.312444830063 171.750066641916 -414.567417529657</t>
  </si>
  <si>
    <t>-515.954783255772 130.075312303799 -349.577038570764</t>
  </si>
  <si>
    <t>-566.444583725229 396.926181081275 -243.817475571362</t>
  </si>
  <si>
    <t>-607.893148766503 424.32193913581 209.16062742568</t>
  </si>
  <si>
    <t>-634.173562592092 436.322977951254 677.761843190526</t>
  </si>
  <si>
    <t>-503.298594847978 353.537173414263 761.198985132782</t>
  </si>
  <si>
    <t>-678.631979030627 237.761257917927 -240.18850482287</t>
  </si>
  <si>
    <t>-643.927249774234 125.767507629629 200.164372304127</t>
  </si>
  <si>
    <t>-676.617749055537 60.2842111821144 664.146418790938</t>
  </si>
  <si>
    <t>-600.155183436143 -74.8597494429923 746.808987728929</t>
  </si>
  <si>
    <t>9763-20170724T160804.091489600.bin</t>
  </si>
  <si>
    <t>-618.705867113202 324.948371600569 -244.705846816872</t>
  </si>
  <si>
    <t>-640.601386350623 339.39776563635 -362.941184512176</t>
  </si>
  <si>
    <t>-647.329227778321 333.820743117464 -483.830473540066</t>
  </si>
  <si>
    <t>-647.520450491646 320.319568847847 -592.515957691944</t>
  </si>
  <si>
    <t>-642.184558352669 298.345479121568 -699.677204709786</t>
  </si>
  <si>
    <t>-629.306938801116 258.950410428501 -846.245184350587</t>
  </si>
  <si>
    <t>-611.265792773322 208.178094896707 -932.730273641755</t>
  </si>
  <si>
    <t>-612.087214468281 298.084824546427 -785.213232381616</t>
  </si>
  <si>
    <t>-496.090680858095 388.265327418276 -779.633843292184</t>
  </si>
  <si>
    <t>-459.779334391454 450.331385825269 -471.387964804133</t>
  </si>
  <si>
    <t>-347.778932949504 323.788868550493 -273.688864123681</t>
  </si>
  <si>
    <t>-657.922574115978 254.678155874783 -777.573463080246</t>
  </si>
  <si>
    <t>-769.490381064826 168.243422640232 -736.222211905008</t>
  </si>
  <si>
    <t>-765.760529287984 187.043520441548 -420.280919729629</t>
  </si>
  <si>
    <t>-519.248434295654 139.023010203593 -352.694959019744</t>
  </si>
  <si>
    <t>-560.512840565271 403.198925766844 -245.341713545717</t>
  </si>
  <si>
    <t>-603.431113558531 426.009809845976 207.753609281689</t>
  </si>
  <si>
    <t>-634.066990853686 436.437466313698 676.818706540871</t>
  </si>
  <si>
    <t>-504.16659453859 352.330981914308 760.457814810552</t>
  </si>
  <si>
    <t>-677.170603918739 246.49811884 -243.586923849218</t>
  </si>
  <si>
    <t>-642.002288787271 136.233979565349 197.165404710776</t>
  </si>
  <si>
    <t>-674.448328274127 78.3185689673851 662.408314712853</t>
  </si>
  <si>
    <t>-614.170626164291 -65.4137294237112 743.962786604288</t>
  </si>
  <si>
    <t>9763-20170724T160804.121895000.bin</t>
  </si>
  <si>
    <t>-617.202400620936 328.060625908959 -245.381608067249</t>
  </si>
  <si>
    <t>-639.322506438415 343.499859580701 -363.449868400444</t>
  </si>
  <si>
    <t>-646.214338310075 338.810323733874 -484.367555181541</t>
  </si>
  <si>
    <t>-646.517426785085 326.063600575485 -593.143789325654</t>
  </si>
  <si>
    <t>-641.248835414698 304.795659983017 -700.450657186108</t>
  </si>
  <si>
    <t>-628.412119510771 266.331401441379 -847.269386897852</t>
  </si>
  <si>
    <t>-610.584779321938 216.030320775966 -934.073492193501</t>
  </si>
  <si>
    <t>-610.988695399455 304.890492954009 -785.929697796695</t>
  </si>
  <si>
    <t>-494.262026375517 394.10622308134 -779.511174119106</t>
  </si>
  <si>
    <t>-458.646664877831 455.226195521516 -470.995266073923</t>
  </si>
  <si>
    <t>-347.880046909221 327.443882022319 -273.398484286383</t>
  </si>
  <si>
    <t>-657.195161224322 261.810887932005 -778.683500411354</t>
  </si>
  <si>
    <t>-769.690740989808 176.247253726499 -738.173309586958</t>
  </si>
  <si>
    <t>-766.774671956056 193.438148636678 -422.131797444504</t>
  </si>
  <si>
    <t>-521.034132254989 142.436539908768 -353.922921766926</t>
  </si>
  <si>
    <t>-557.753287477539 405.78199155944 -245.694243736217</t>
  </si>
  <si>
    <t>-601.565577099843 426.297698147192 207.425303116161</t>
  </si>
  <si>
    <t>-634.158600739537 436.311308296634 676.49443392368</t>
  </si>
  <si>
    <t>-504.599038946035 351.682849496814 760.135627101135</t>
  </si>
  <si>
    <t>-676.903980621634 250.348214726024 -244.406211253863</t>
  </si>
  <si>
    <t>-642.06280152974 140.314809128695 196.429928202092</t>
  </si>
  <si>
    <t>-674.658815026244 84.9650072978034 661.916309965282</t>
  </si>
  <si>
    <t>-619.945677977581 -60.9217100325807 743.568307932919</t>
  </si>
  <si>
    <t>9763-20170724T160804.189579600.bin</t>
  </si>
  <si>
    <t>-614.319363402723 333.387118390984 -245.638893277559</t>
  </si>
  <si>
    <t>-636.527142306244 349.892005822688 -363.546711135504</t>
  </si>
  <si>
    <t>-643.636638760782 346.294700895058 -484.489076276222</t>
  </si>
  <si>
    <t>-644.186193786291 334.533285350368 -593.375320017751</t>
  </si>
  <si>
    <t>-639.208851153948 314.24343339621 -700.885391204369</t>
  </si>
  <si>
    <t>-626.819956693515 277.124861253345 -848.088356300104</t>
  </si>
  <si>
    <t>-609.641107860201 227.610295083241 -935.473516918774</t>
  </si>
  <si>
    <t>-608.833131306137 314.732587806863 -786.3220155651</t>
  </si>
  <si>
    <t>-490.728505299775 402.007655944478 -778.593017081658</t>
  </si>
  <si>
    <t>-456.365716920682 461.256024736595 -469.570280214057</t>
  </si>
  <si>
    <t>-348.178287730262 331.087649171617 -272.102110826075</t>
  </si>
  <si>
    <t>-655.770021379807 272.364957770417 -779.589145412516</t>
  </si>
  <si>
    <t>-769.886179315247 188.44866298542 -740.109390929346</t>
  </si>
  <si>
    <t>-767.412866099025 202.688099071391 -423.917555064296</t>
  </si>
  <si>
    <t>-522.92053479532 145.788157913832 -355.888593510445</t>
  </si>
  <si>
    <t>-553.199992620836 409.992946059759 -245.806412823435</t>
  </si>
  <si>
    <t>-598.387728291383 427.788669582495 207.293074854358</t>
  </si>
  <si>
    <t>-634.091201200851 436.348055228569 676.032773307368</t>
  </si>
  <si>
    <t>-505.13019589377 350.893624616021 759.759183269876</t>
  </si>
  <si>
    <t>-675.572398373895 256.554103615291 -244.801562048587</t>
  </si>
  <si>
    <t>-641.825555537291 146.594163945163 196.137916947742</t>
  </si>
  <si>
    <t>-673.93473531866 91.7067630704569 661.643321596909</t>
  </si>
  <si>
    <t>-623.766030079652 -55.447712243707 743.936704699178</t>
  </si>
  <si>
    <t>9763-20170724T160804.222172400.bin</t>
  </si>
  <si>
    <t>-612.735055996514 335.706318419062 -245.568453224094</t>
  </si>
  <si>
    <t>-634.918771523065 352.508040896678 -363.43866256096</t>
  </si>
  <si>
    <t>-642.116658632047 349.291576919418 -484.386747556272</t>
  </si>
  <si>
    <t>-642.795641831298 337.901338758332 -593.311618558751</t>
  </si>
  <si>
    <t>-637.997645073589 318.005816402508 -700.903611896614</t>
  </si>
  <si>
    <t>-625.910609939267 281.454697050458 -848.273604806777</t>
  </si>
  <si>
    <t>-609.08688828941 232.280537379104 -935.919677408784</t>
  </si>
  <si>
    <t>-607.640748046948 318.657678135423 -786.34574984687</t>
  </si>
  <si>
    <t>-488.976977078174 405.108186015967 -778.097745281984</t>
  </si>
  <si>
    <t>-455.06067456092 463.206930154062 -468.80762851565</t>
  </si>
  <si>
    <t>-348.135447912519 331.928308562253 -271.386766811625</t>
  </si>
  <si>
    <t>-654.87699696076 276.596893992907 -779.787928088201</t>
  </si>
  <si>
    <t>-769.663603610349 193.428942476055 -740.630827224719</t>
  </si>
  <si>
    <t>-766.929175011039 206.378812749919 -424.385722398723</t>
  </si>
  <si>
    <t>-522.928238153124 146.91143294282 -356.789463425155</t>
  </si>
  <si>
    <t>-551.178688745171 411.994665205785 -245.701706144672</t>
  </si>
  <si>
    <t>-597.046106778616 428.767498392696 207.368367478149</t>
  </si>
  <si>
    <t>-633.994502495028 436.476791087045 675.943947405402</t>
  </si>
  <si>
    <t>-505.324158320592 350.613709537253 759.699465401723</t>
  </si>
  <si>
    <t>-674.219973532072 259.408935904906 -244.632607967131</t>
  </si>
  <si>
    <t>-641.651359287427 149.162194029324 196.323825445043</t>
  </si>
  <si>
    <t>-673.141866674423 92.001267221081 661.771325335376</t>
  </si>
  <si>
    <t>-622.709480728585 -54.9924893449609 744.190552349267</t>
  </si>
  <si>
    <t>9763-20170724T160804.291859400.bin</t>
  </si>
  <si>
    <t>-610.746038603281 339.737769926163 -245.080869129346</t>
  </si>
  <si>
    <t>-632.758859409218 356.647033828634 -362.967739231257</t>
  </si>
  <si>
    <t>-640.045938038618 353.897247436956 -483.92177884117</t>
  </si>
  <si>
    <t>-640.91325157593 343.068496077529 -592.902648709955</t>
  </si>
  <si>
    <t>-636.408603848984 323.867461879773 -700.633301345306</t>
  </si>
  <si>
    <t>-624.83471973237 288.411644089998 -848.311812597392</t>
  </si>
  <si>
    <t>-608.586079267049 239.867017385632 -936.416225318336</t>
  </si>
  <si>
    <t>-606.135393822421 324.923334404983 -786.101315938727</t>
  </si>
  <si>
    <t>-486.696856084369 410.201980311585 -776.944214260451</t>
  </si>
  <si>
    <t>-452.931132679471 465.730794710685 -467.165795045416</t>
  </si>
  <si>
    <t>-348.422408172663 332.251472055827 -269.926763254225</t>
  </si>
  <si>
    <t>-653.776287992756 283.276078274393 -779.835983675644</t>
  </si>
  <si>
    <t>-769.373290356825 200.964891016005 -741.24072310241</t>
  </si>
  <si>
    <t>-766.043547769402 211.913437622363 -424.925655159295</t>
  </si>
  <si>
    <t>-522.557352796838 149.205816270476 -358.410379118379</t>
  </si>
  <si>
    <t>-548.503728866009 415.226904569331 -245.361226552048</t>
  </si>
  <si>
    <t>-595.361715164662 430.692034494602 207.654058011967</t>
  </si>
  <si>
    <t>-634.019152634456 436.519201241045 675.958778790533</t>
  </si>
  <si>
    <t>-505.470079790717 350.431222679702 759.669659651454</t>
  </si>
  <si>
    <t>-672.889782827951 264.27537186009 -243.962291619067</t>
  </si>
  <si>
    <t>-642.620783993385 152.573629679303 196.791794994343</t>
  </si>
  <si>
    <t>-673.535414586694 91.4982864160529 661.861401582235</t>
  </si>
  <si>
    <t>-623.191818692509 -55.3403691947406 744.610708272171</t>
  </si>
  <si>
    <t>9763-20170724T160804.352521300.bin</t>
  </si>
  <si>
    <t>-608.952081667944 342.694512028118 -244.598720176252</t>
  </si>
  <si>
    <t>-630.982389452274 359.660398320175 -362.474143401347</t>
  </si>
  <si>
    <t>-638.333589989196 357.205270876394 -483.430692084673</t>
  </si>
  <si>
    <t>-639.269319574516 346.739414402842 -592.446620783112</t>
  </si>
  <si>
    <t>-634.836344606659 327.995976332481 -700.260714794869</t>
  </si>
  <si>
    <t>-623.359029872384 293.270627380937 -848.120094767704</t>
  </si>
  <si>
    <t>-607.390754228511 245.158040124774 -936.512383606441</t>
  </si>
  <si>
    <t>-604.547997169693 329.39655552509 -785.718368754037</t>
  </si>
  <si>
    <t>-484.7910218501 414.151942270007 -775.721335232151</t>
  </si>
  <si>
    <t>-450.94127775739 467.132690508027 -465.506230391876</t>
  </si>
  <si>
    <t>-347.664284886225 331.47270518892 -269.10793136577</t>
  </si>
  <si>
    <t>-652.326814659579 287.874440878302 -779.67547451466</t>
  </si>
  <si>
    <t>-768.412087350459 205.999024848101 -741.670279120957</t>
  </si>
  <si>
    <t>-764.622838588032 214.578961077036 -425.287175508588</t>
  </si>
  <si>
    <t>-521.225990454477 150.807999435428 -359.459655844812</t>
  </si>
  <si>
    <t>-546.43890276304 417.804876512828 -245.067149355739</t>
  </si>
  <si>
    <t>-593.88520390958 431.957375377391 207.929810444542</t>
  </si>
  <si>
    <t>-634.033572413539 436.63847283623 676.075909961965</t>
  </si>
  <si>
    <t>-505.887581524259 349.857714638798 759.689380159402</t>
  </si>
  <si>
    <t>-671.321600915218 267.534043770876 -243.392875676955</t>
  </si>
  <si>
    <t>-643.236721493241 155.068978313968 197.311745757649</t>
  </si>
  <si>
    <t>-673.728788682135 91.1950016325213 661.856051599266</t>
  </si>
  <si>
    <t>-624.560408469396 -55.817901898911 745.001692029341</t>
  </si>
  <si>
    <t>9763-20170724T160804.389623000.bin</t>
  </si>
  <si>
    <t>-608.388270967841 343.611344095527 -244.397906869039</t>
  </si>
  <si>
    <t>-630.46610005372 360.440590687162 -362.28409527504</t>
  </si>
  <si>
    <t>-637.795284784064 357.949836818301 -483.241276612538</t>
  </si>
  <si>
    <t>-638.675274210642 347.495752973611 -592.258707319172</t>
  </si>
  <si>
    <t>-634.145659858712 328.809124922369 -700.078664638869</t>
  </si>
  <si>
    <t>-622.486070402251 294.210683849501 -847.95362090153</t>
  </si>
  <si>
    <t>-606.487402370498 246.249308553331 -936.422383483464</t>
  </si>
  <si>
    <t>-603.770212713532 330.30280970482 -785.503881012469</t>
  </si>
  <si>
    <t>-484.069154082833 415.075969604924 -775.15002469461</t>
  </si>
  <si>
    <t>-450.254546419377 466.767539555384 -464.713694886065</t>
  </si>
  <si>
    <t>-347.131098269015 330.130729832353 -268.912729171169</t>
  </si>
  <si>
    <t>-651.520087495052 288.735858986537 -779.543253656765</t>
  </si>
  <si>
    <t>-767.830787540798 207.048451585673 -741.767648266885</t>
  </si>
  <si>
    <t>-763.940889551679 214.20186530492 -425.350304678594</t>
  </si>
  <si>
    <t>-520.359502122903 150.441064335241 -360.198789708284</t>
  </si>
  <si>
    <t>-545.774578942409 418.451100337925 -244.961659005425</t>
  </si>
  <si>
    <t>-593.197116739457 432.191932811798 208.0505070061</t>
  </si>
  <si>
    <t>-634.078701160229 436.657430300281 676.129989611112</t>
  </si>
  <si>
    <t>-505.95772648435 349.780269184232 759.681727059109</t>
  </si>
  <si>
    <t>-671.040716075824 268.638433924402 -243.061152714171</t>
  </si>
  <si>
    <t>-643.185197444436 155.861280102178 197.578217993244</t>
  </si>
  <si>
    <t>-673.482184319344 91.0758886905244 661.90706504432</t>
  </si>
  <si>
    <t>-625.262415673468 -56.0491262939063 745.409246017011</t>
  </si>
  <si>
    <t>9763-20170724T160804.421579600.bin</t>
  </si>
  <si>
    <t>-608.056445775936 344.256701407892 -244.178267046659</t>
  </si>
  <si>
    <t>-630.218857568271 360.93582576741 -362.069869952527</t>
  </si>
  <si>
    <t>-637.589527552103 358.543452180326 -483.026537198253</t>
  </si>
  <si>
    <t>-638.481656023938 348.279261728111 -592.061863742998</t>
  </si>
  <si>
    <t>-633.932948224216 329.88165361911 -699.930841081215</t>
  </si>
  <si>
    <t>-622.208945090955 295.784653697401 -847.917056880027</t>
  </si>
  <si>
    <t>-606.185024357077 248.145747715926 -936.555364446511</t>
  </si>
  <si>
    <t>-603.536120637565 331.682523264892 -785.342433173189</t>
  </si>
  <si>
    <t>-483.942761822492 416.524677266619 -774.637915008601</t>
  </si>
  <si>
    <t>-450.09713547766 466.964089276829 -463.998970429702</t>
  </si>
  <si>
    <t>-346.872537686244 329.430802408348 -268.880240914466</t>
  </si>
  <si>
    <t>-651.2566710714 290.06066582785 -779.533116906985</t>
  </si>
  <si>
    <t>-767.645913552976 208.39200906968 -741.93409801096</t>
  </si>
  <si>
    <t>-763.673456815953 213.868992766634 -425.484212026834</t>
  </si>
  <si>
    <t>-519.928961812212 150.089447957481 -360.964239481725</t>
  </si>
  <si>
    <t>-545.365734014578 418.964994241133 -244.879993475335</t>
  </si>
  <si>
    <t>-592.732754051322 432.387041889395 208.147483888729</t>
  </si>
  <si>
    <t>-634.167488604151 436.606290269317 676.17393483727</t>
  </si>
  <si>
    <t>-506.128228370844 349.557306776678 759.672026753923</t>
  </si>
  <si>
    <t>-670.835088683626 269.336565651302 -242.790679825192</t>
  </si>
  <si>
    <t>-642.821974754193 156.308461827218 197.774352214054</t>
  </si>
  <si>
    <t>-673.26534232007 90.9710072882256 662.003153342829</t>
  </si>
  <si>
    <t>-625.770512266204 -56.2050836344938 745.830103097825</t>
  </si>
  <si>
    <t>9763-20170724T160804.491270200.bin</t>
  </si>
  <si>
    <t>-607.555967329953 345.734919693702 -243.925289045786</t>
  </si>
  <si>
    <t>-630.139454030659 362.496330761357 -361.725380503233</t>
  </si>
  <si>
    <t>-637.787490362986 360.50694992275 -482.672052787108</t>
  </si>
  <si>
    <t>-638.851496383123 350.737488306674 -591.751327085894</t>
  </si>
  <si>
    <t>-634.383026780744 332.962243495402 -699.727750905383</t>
  </si>
  <si>
    <t>-622.662507849376 299.860200318834 -847.940099502427</t>
  </si>
  <si>
    <t>-606.543236499583 252.628269692481 -936.778611195207</t>
  </si>
  <si>
    <t>-604.05328235247 335.408478411003 -785.147255583375</t>
  </si>
  <si>
    <t>-484.821084867045 420.675681875107 -773.658412343467</t>
  </si>
  <si>
    <t>-451.146906089466 468.409394582319 -462.573550526142</t>
  </si>
  <si>
    <t>-347.00928522939 329.492648882686 -268.9256005265</t>
  </si>
  <si>
    <t>-651.643606052166 293.605265079571 -779.574238644797</t>
  </si>
  <si>
    <t>-767.938048183089 211.560425587522 -742.52515094957</t>
  </si>
  <si>
    <t>-763.116862560432 214.883631760687 -426.057230441874</t>
  </si>
  <si>
    <t>-519.163495316137 150.947640240643 -362.488618632262</t>
  </si>
  <si>
    <t>-544.844648592698 420.560995509386 -244.769775215756</t>
  </si>
  <si>
    <t>-592.155226613286 433.125832136675 208.288141365449</t>
  </si>
  <si>
    <t>-634.214207784973 436.715428487603 676.287592943197</t>
  </si>
  <si>
    <t>-506.483129529011 349.093023254593 759.657828633413</t>
  </si>
  <si>
    <t>-670.306332376676 271.087229731222 -242.342886745396</t>
  </si>
  <si>
    <t>-642.662526390028 157.159100581681 198.013636563912</t>
  </si>
  <si>
    <t>-672.860146603106 90.7452581980881 662.091601673216</t>
  </si>
  <si>
    <t>-625.906818413077 -56.3269092834898 746.404554402077</t>
  </si>
  <si>
    <t>9763-20170724T160804.523642600.bin</t>
  </si>
  <si>
    <t>-607.47200455292 346.45515433139 -243.75202611169</t>
  </si>
  <si>
    <t>-630.136426130282 363.074419128576 -361.556815704188</t>
  </si>
  <si>
    <t>-637.852259614774 361.20327874804 -482.501073150143</t>
  </si>
  <si>
    <t>-638.964763959454 351.646748925049 -591.598634852317</t>
  </si>
  <si>
    <t>-634.526438871666 334.188553314416 -699.628174058587</t>
  </si>
  <si>
    <t>-622.823441802412 301.631958902055 -847.962578143255</t>
  </si>
  <si>
    <t>-606.63840833013 254.668301228337 -936.931384934201</t>
  </si>
  <si>
    <t>-604.246716503377 336.992434801106 -785.054295240156</t>
  </si>
  <si>
    <t>-485.175275442902 422.452730685588 -773.223785331993</t>
  </si>
  <si>
    <t>-451.711038679723 468.92226175408 -461.925029651007</t>
  </si>
  <si>
    <t>-346.967918978446 329.536170989204 -268.942037088594</t>
  </si>
  <si>
    <t>-651.756703198865 295.081914252768 -779.604013572148</t>
  </si>
  <si>
    <t>-767.886523165807 212.729143696623 -742.74510750745</t>
  </si>
  <si>
    <t>-762.834489163058 214.823801888034 -426.270290130316</t>
  </si>
  <si>
    <t>-518.687059986963 151.075417476163 -363.260410821053</t>
  </si>
  <si>
    <t>-544.779458003439 421.228308134642 -244.741792688335</t>
  </si>
  <si>
    <t>-592.059789927233 433.572532904587 208.325400978353</t>
  </si>
  <si>
    <t>-634.254288667223 436.723383411877 676.316099124018</t>
  </si>
  <si>
    <t>-506.48148323884 349.106623379323 759.628310346982</t>
  </si>
  <si>
    <t>-670.224931075758 271.667252471365 -242.160979816555</t>
  </si>
  <si>
    <t>-642.838514566685 157.611142890102 198.178521397346</t>
  </si>
  <si>
    <t>-672.752507056257 90.6850747770138 662.121137882636</t>
  </si>
  <si>
    <t>-626.009236745537 -56.3751934662441 746.571434819321</t>
  </si>
  <si>
    <t>9763-20170724T160804.591332800.bin</t>
  </si>
  <si>
    <t>-607.597985302938 347.001643807645 -243.70097409673</t>
  </si>
  <si>
    <t>-630.382490683691 363.535261191333 -361.494467393664</t>
  </si>
  <si>
    <t>-638.276660051656 362.026194984856 -482.432413146593</t>
  </si>
  <si>
    <t>-639.564315193193 352.976822674867 -591.571301472156</t>
  </si>
  <si>
    <t>-635.307258725041 336.200636195572 -699.716109666585</t>
  </si>
  <si>
    <t>-623.854587550012 304.766946833942 -848.312075477582</t>
  </si>
  <si>
    <t>-607.693056499263 258.357389307369 -937.575337595189</t>
  </si>
  <si>
    <t>-605.208794437537 339.691573722909 -785.181015824103</t>
  </si>
  <si>
    <t>-486.482573225062 425.577398108428 -772.80769081532</t>
  </si>
  <si>
    <t>-453.778207693572 470.297088841314 -461.172211330171</t>
  </si>
  <si>
    <t>-347.922711273348 330.603371845518 -269.020253817782</t>
  </si>
  <si>
    <t>-652.635195652156 297.659285257205 -779.944865788095</t>
  </si>
  <si>
    <t>-768.356513575127 214.603759620589 -743.415166385449</t>
  </si>
  <si>
    <t>-762.926487720432 215.525620039956 -426.941054312541</t>
  </si>
  <si>
    <t>-518.402792178824 152.367427299599 -364.802147103612</t>
  </si>
  <si>
    <t>-544.906886876119 421.832849088501 -244.753075635327</t>
  </si>
  <si>
    <t>-592.061579244428 433.954332374238 208.333187205849</t>
  </si>
  <si>
    <t>-634.208677226554 436.886893026612 676.340944461705</t>
  </si>
  <si>
    <t>-506.724990367077 348.800416212008 759.600751017037</t>
  </si>
  <si>
    <t>-670.206495166644 271.930206637958 -242.109518529101</t>
  </si>
  <si>
    <t>-643.556541433131 158.760368117261 198.503734505553</t>
  </si>
  <si>
    <t>-672.556011809662 90.6897041718064 662.38955517019</t>
  </si>
  <si>
    <t>-625.678148833942 -56.2663581512888 746.946493321928</t>
  </si>
  <si>
    <t>9763-20170724T160804.622926600.bin</t>
  </si>
  <si>
    <t>-607.662892564634 346.950340064461 -243.804606514961</t>
  </si>
  <si>
    <t>-630.527230531808 363.50998045373 -361.578962361334</t>
  </si>
  <si>
    <t>-638.492786957809 362.164849699821 -482.514017177852</t>
  </si>
  <si>
    <t>-639.836959677345 353.318830520526 -591.668968321704</t>
  </si>
  <si>
    <t>-635.625193542359 336.799589229505 -699.854998725059</t>
  </si>
  <si>
    <t>-624.220200500841 305.777294450396 -848.541080788575</t>
  </si>
  <si>
    <t>-608.095105409396 259.649060095458 -937.956677034595</t>
  </si>
  <si>
    <t>-605.582042749208 340.557297226768 -785.328149982452</t>
  </si>
  <si>
    <t>-487.072606900404 426.698671544735 -772.755066291244</t>
  </si>
  <si>
    <t>-454.674086812309 470.884942048631 -461.011328481653</t>
  </si>
  <si>
    <t>-348.423392869732 331.203864877959 -269.068489845926</t>
  </si>
  <si>
    <t>-652.951137902739 298.450003728131 -780.176109780126</t>
  </si>
  <si>
    <t>-768.506394274545 215.125603797371 -743.73899557042</t>
  </si>
  <si>
    <t>-763.078381550647 215.473015466818 -427.263618614124</t>
  </si>
  <si>
    <t>-518.336133112746 152.737193709045 -365.558563857624</t>
  </si>
  <si>
    <t>-545.112796909315 421.804033485783 -244.805656849634</t>
  </si>
  <si>
    <t>-592.073065245123 433.755136513953 208.305279180933</t>
  </si>
  <si>
    <t>-634.298896422244 436.799953359615 676.348166595315</t>
  </si>
  <si>
    <t>-506.668279398693 348.895595285106 759.575360068764</t>
  </si>
  <si>
    <t>-670.130478055863 271.965730999875 -242.121105939906</t>
  </si>
  <si>
    <t>-644.148249470844 159.325391282637 198.667741759428</t>
  </si>
  <si>
    <t>-672.50897948927 90.6694944647004 662.508096825701</t>
  </si>
  <si>
    <t>-625.849841658658 -56.3283870115454 747.113625185779</t>
  </si>
  <si>
    <t>9763-20170724T160804.692612600.bin</t>
  </si>
  <si>
    <t>-608.027556708026 346.766468025777 -243.771369791992</t>
  </si>
  <si>
    <t>-630.785615821316 363.131886199044 -361.59344817459</t>
  </si>
  <si>
    <t>-638.750339530086 361.869112839404 -482.529565164726</t>
  </si>
  <si>
    <t>-640.126408044471 353.216432157858 -591.699606638649</t>
  </si>
  <si>
    <t>-635.970485408635 337.011067498014 -699.935211188808</t>
  </si>
  <si>
    <t>-624.659709921148 306.549538498456 -848.7443416158</t>
  </si>
  <si>
    <t>-608.620450174721 260.732023339121 -938.334966619884</t>
  </si>
  <si>
    <t>-606.056024456909 341.171518642616 -785.434712712237</t>
  </si>
  <si>
    <t>-487.830314535349 427.709551592434 -772.706594717788</t>
  </si>
  <si>
    <t>-455.949127079583 471.570480198784 -460.863773377237</t>
  </si>
  <si>
    <t>-349.067336185623 332.086172899727 -269.128251991666</t>
  </si>
  <si>
    <t>-653.272971268572 298.883834736696 -780.367157135002</t>
  </si>
  <si>
    <t>-768.496014824406 215.106340722095 -743.921671013743</t>
  </si>
  <si>
    <t>-762.615237539359 215.232433572088 -427.454390450787</t>
  </si>
  <si>
    <t>-517.548303356759 153.1795573743 -366.350505043354</t>
  </si>
  <si>
    <t>-545.526596005471 421.384318556972 -244.847173704346</t>
  </si>
  <si>
    <t>-592.071662154523 433.388723746109 208.305255872885</t>
  </si>
  <si>
    <t>-634.250803013772 436.929428245881 676.341118427622</t>
  </si>
  <si>
    <t>-506.785852622874 348.777795840066 759.560628321051</t>
  </si>
  <si>
    <t>-670.500577665272 271.911728516849 -242.022061698163</t>
  </si>
  <si>
    <t>-645.661249282178 160.385420118928 199.115768354246</t>
  </si>
  <si>
    <t>-672.5467413699 90.6563234129435 662.778589857762</t>
  </si>
  <si>
    <t>-625.647106422218 -56.2448437480357 747.418850851726</t>
  </si>
  <si>
    <t>9763-20170724T160804.724201500.bin</t>
  </si>
  <si>
    <t>-608.241515186488 346.548779214513 -243.73640340795</t>
  </si>
  <si>
    <t>-630.936151138136 362.80047101513 -361.586450941979</t>
  </si>
  <si>
    <t>-638.905286964353 361.499066052657 -482.521959403779</t>
  </si>
  <si>
    <t>-640.306909131803 352.848174924742 -591.691640381314</t>
  </si>
  <si>
    <t>-636.19489764517 336.682432685821 -699.934986156595</t>
  </si>
  <si>
    <t>-624.959669692891 306.317064780233 -848.769482313278</t>
  </si>
  <si>
    <t>-608.968175735133 260.5446121005 -938.391794162813</t>
  </si>
  <si>
    <t>-606.353848444644 340.930789563991 -785.455816710656</t>
  </si>
  <si>
    <t>-488.296178361016 427.672280567446 -772.71604190572</t>
  </si>
  <si>
    <t>-456.371101309916 471.481086501802 -460.87030503687</t>
  </si>
  <si>
    <t>-349.291546240069 332.133763763428 -269.145649022916</t>
  </si>
  <si>
    <t>-653.508121394902 298.574627424319 -780.373873307335</t>
  </si>
  <si>
    <t>-768.603129589349 214.669487810161 -743.838475622539</t>
  </si>
  <si>
    <t>-762.401917647514 214.813910691342 -427.377341165078</t>
  </si>
  <si>
    <t>-517.228019196446 152.91002469857 -366.552072706751</t>
  </si>
  <si>
    <t>-545.730603814793 421.064787275098 -244.858024926846</t>
  </si>
  <si>
    <t>-592.166587130556 433.246506013348 208.300926149976</t>
  </si>
  <si>
    <t>-634.285845366862 436.916718908979 676.347815311213</t>
  </si>
  <si>
    <t>-506.804138543895 348.77747732297 759.554765087286</t>
  </si>
  <si>
    <t>-670.681379425023 271.765551426907 -242.001423589299</t>
  </si>
  <si>
    <t>-646.479678591707 161.073893701341 199.382001407384</t>
  </si>
  <si>
    <t>-672.60190572274 90.6533356907307 662.961838486836</t>
  </si>
  <si>
    <t>-625.744967142137 -56.2606359210224 747.603541257271</t>
  </si>
  <si>
    <t>9763-20170724T160804.787377200.bin</t>
  </si>
  <si>
    <t>-608.685886095536 346.209423798602 -243.688033159646</t>
  </si>
  <si>
    <t>-631.265995089662 362.23616058255 -361.59096151693</t>
  </si>
  <si>
    <t>-639.249842599077 360.805167790354 -482.523892021673</t>
  </si>
  <si>
    <t>-640.709789264042 352.08489013766 -591.687397495376</t>
  </si>
  <si>
    <t>-636.694815653522 335.901949879931 -699.931697750363</t>
  </si>
  <si>
    <t>-625.628241870667 305.569798053841 -848.785670003062</t>
  </si>
  <si>
    <t>-609.755770479596 259.794335116193 -938.42757474806</t>
  </si>
  <si>
    <t>-606.969061700097 340.189348864213 -785.490872119539</t>
  </si>
  <si>
    <t>-489.057379750529 427.140497931616 -772.767120075044</t>
  </si>
  <si>
    <t>-457.055585067723 471.047705117861 -460.943082739661</t>
  </si>
  <si>
    <t>-349.479640266882 332.090533558765 -269.213162619484</t>
  </si>
  <si>
    <t>-654.080728081273 297.792244845146 -780.354069948749</t>
  </si>
  <si>
    <t>-769.062226867966 213.812026168609 -743.607233052635</t>
  </si>
  <si>
    <t>-762.256333203889 213.967779050579 -427.158462857883</t>
  </si>
  <si>
    <t>-516.998242091264 152.052186526106 -366.685532994452</t>
  </si>
  <si>
    <t>-546.196878906714 420.535992842164 -244.91893168543</t>
  </si>
  <si>
    <t>-592.243832554026 432.876936501803 208.275320959575</t>
  </si>
  <si>
    <t>-634.397224273806 436.854605737344 676.369511761589</t>
  </si>
  <si>
    <t>-506.768486241437 348.879496663973 759.524729295826</t>
  </si>
  <si>
    <t>-671.172921318586 271.776619107192 -241.83020327994</t>
  </si>
  <si>
    <t>-648.173086786862 162.191270342491 199.893334525837</t>
  </si>
  <si>
    <t>-672.572109699181 90.6215959227459 663.318310616491</t>
  </si>
  <si>
    <t>-626.150183092087 -56.4421523679039 747.939573647428</t>
  </si>
  <si>
    <t>9763-20170724T160804.828490900.bin</t>
  </si>
  <si>
    <t>-609.004491089654 346.135061519494 -243.691762692357</t>
  </si>
  <si>
    <t>-631.606155624036 362.082339702019 -361.60122276338</t>
  </si>
  <si>
    <t>-639.633064056768 360.569711917945 -482.530411360163</t>
  </si>
  <si>
    <t>-641.136597151455 351.779042734378 -591.687620874441</t>
  </si>
  <si>
    <t>-637.167109948904 335.531366878752 -699.923986317631</t>
  </si>
  <si>
    <t>-626.163645876156 305.116475592408 -848.765791732543</t>
  </si>
  <si>
    <t>-610.358222148375 259.276845239514 -938.386681835581</t>
  </si>
  <si>
    <t>-607.479751453193 339.773118618178 -785.49866533476</t>
  </si>
  <si>
    <t>-489.604443449708 426.774976886954 -772.811778927908</t>
  </si>
  <si>
    <t>-457.585100071919 470.64541514294 -460.984280466587</t>
  </si>
  <si>
    <t>-349.853756529495 331.915340855956 -269.17724169344</t>
  </si>
  <si>
    <t>-654.585119643365 297.374896573612 -780.317215459575</t>
  </si>
  <si>
    <t>-769.550752096254 213.420895347215 -743.457700158156</t>
  </si>
  <si>
    <t>-762.570783965471 213.750038887616 -427.012891984967</t>
  </si>
  <si>
    <t>-517.298077232472 151.752291387303 -366.683374097836</t>
  </si>
  <si>
    <t>-546.402850115333 420.389403825235 -244.977554877854</t>
  </si>
  <si>
    <t>-592.245160785158 432.817298938385 208.235098389977</t>
  </si>
  <si>
    <t>-634.292406049195 436.973430786593 676.353051697546</t>
  </si>
  <si>
    <t>-506.841899363951 348.717685038616 759.484285146237</t>
  </si>
  <si>
    <t>-671.605415096777 271.767215221655 -241.735199190118</t>
  </si>
  <si>
    <t>-649.029655763111 162.790847277712 200.160993357037</t>
  </si>
  <si>
    <t>-672.720442620984 90.6038312506817 663.516981278724</t>
  </si>
  <si>
    <t>-626.010322737538 -56.3919698690306 748.097699719214</t>
  </si>
  <si>
    <t>9763-20170724T160804.890148500.bin</t>
  </si>
  <si>
    <t>-609.899881787311 345.986355683401 -243.606995371669</t>
  </si>
  <si>
    <t>-632.524861268237 361.88261186897 -361.518915904044</t>
  </si>
  <si>
    <t>-640.59876593892 360.251895501213 -482.443212989463</t>
  </si>
  <si>
    <t>-642.147687704913 351.334468270042 -591.58963300953</t>
  </si>
  <si>
    <t>-638.222049355724 334.944582271286 -699.806210681539</t>
  </si>
  <si>
    <t>-627.273406390566 304.320455781241 -848.609103335665</t>
  </si>
  <si>
    <t>-611.595492506208 258.341942481564 -938.181094620195</t>
  </si>
  <si>
    <t>-608.545305173907 339.044013101754 -785.391583998779</t>
  </si>
  <si>
    <t>-490.595945445153 425.949540147177 -772.771155673218</t>
  </si>
  <si>
    <t>-458.345186708194 469.999705239704 -460.992907495561</t>
  </si>
  <si>
    <t>-350.296013484567 331.567712041345 -269.149269774714</t>
  </si>
  <si>
    <t>-655.690273097004 296.697479263088 -780.14537840083</t>
  </si>
  <si>
    <t>-770.7213289456 212.909776937635 -743.095445803844</t>
  </si>
  <si>
    <t>-763.592246967411 213.658299070541 -426.654600965789</t>
  </si>
  <si>
    <t>-518.41602000007 151.213655152769 -366.394129659441</t>
  </si>
  <si>
    <t>-547.13980839123 420.004127595384 -245.036294506952</t>
  </si>
  <si>
    <t>-592.325879839885 432.539792717886 208.239195300727</t>
  </si>
  <si>
    <t>-634.297959590514 437.042669928877 676.358191436025</t>
  </si>
  <si>
    <t>-506.957870574199 348.547595427124 759.404168025161</t>
  </si>
  <si>
    <t>-672.651190361438 271.863300635429 -241.486513842692</t>
  </si>
  <si>
    <t>-650.412113509998 163.648911312171 200.613909597813</t>
  </si>
  <si>
    <t>-672.595971036268 90.5815224091709 663.918413263661</t>
  </si>
  <si>
    <t>-626.290747012366 -56.561406981632 748.465918133314</t>
  </si>
  <si>
    <t>9763-20170724T160804.921246200.bin</t>
  </si>
  <si>
    <t>-610.491136639874 346.026357362441 -243.586090179264</t>
  </si>
  <si>
    <t>-633.158765129235 361.948850773754 -361.486286834991</t>
  </si>
  <si>
    <t>-641.267647445061 360.282548296987 -482.407882073569</t>
  </si>
  <si>
    <t>-642.843336217234 351.309581066537 -591.549322948687</t>
  </si>
  <si>
    <t>-638.938121463147 334.842938086204 -699.754882662437</t>
  </si>
  <si>
    <t>-628.010889696633 304.091234680208 -848.533019744064</t>
  </si>
  <si>
    <t>-612.395779710177 258.013382723331 -938.065081074023</t>
  </si>
  <si>
    <t>-609.247451049229 338.8403067514 -785.340083751511</t>
  </si>
  <si>
    <t>-491.199792327582 425.628064443233 -772.760535009123</t>
  </si>
  <si>
    <t>-458.944794466476 469.797943786648 -460.999652641537</t>
  </si>
  <si>
    <t>-350.821338147995 331.434858569394 -269.14807463609</t>
  </si>
  <si>
    <t>-656.444365574421 296.555370021999 -780.066442514574</t>
  </si>
  <si>
    <t>-771.583606140088 212.958643960595 -742.934308639269</t>
  </si>
  <si>
    <t>-764.408632488625 213.954360211753 -426.495115047008</t>
  </si>
  <si>
    <t>-519.313474812377 151.195521850664 -366.23134948755</t>
  </si>
  <si>
    <t>-547.619671650688 420.005027988633 -245.056814129326</t>
  </si>
  <si>
    <t>-592.530528805049 432.584693949235 208.244883561227</t>
  </si>
  <si>
    <t>-634.341903856732 437.032915038099 676.376276280732</t>
  </si>
  <si>
    <t>-507.092650577148 348.373297921008 759.385979705688</t>
  </si>
  <si>
    <t>-673.379059405256 271.970646388998 -241.376646765104</t>
  </si>
  <si>
    <t>-651.03952082963 163.877740598428 200.74839571766</t>
  </si>
  <si>
    <t>-672.688885479474 90.5766191219382 664.095238688747</t>
  </si>
  <si>
    <t>-626.386629917605 -56.575059015702 748.629292570684</t>
  </si>
  <si>
    <t>9763-20170724T160804.988933300.bin</t>
  </si>
  <si>
    <t>-611.794209306388 346.448510919494 -243.421901076857</t>
  </si>
  <si>
    <t>-634.412633901035 362.307106958544 -361.340156702585</t>
  </si>
  <si>
    <t>-642.539800608739 360.527110652853 -482.258948427798</t>
  </si>
  <si>
    <t>-644.157408470418 351.435772835136 -591.389925800904</t>
  </si>
  <si>
    <t>-640.317805899248 334.837982754094 -699.577895337563</t>
  </si>
  <si>
    <t>-629.504378599038 303.893629551995 -848.324260563484</t>
  </si>
  <si>
    <t>-614.030385530107 257.658424363723 -937.799776745903</t>
  </si>
  <si>
    <t>-610.625687352962 338.65221168005 -785.171016479959</t>
  </si>
  <si>
    <t>-492.329692189467 425.103569638618 -772.625532787459</t>
  </si>
  <si>
    <t>-459.799149356719 469.442237424948 -460.917130569801</t>
  </si>
  <si>
    <t>-351.900287478914 331.064133969576 -268.950062992037</t>
  </si>
  <si>
    <t>-657.952397191618 296.518755599475 -779.846321393554</t>
  </si>
  <si>
    <t>-773.359751269169 213.370638328661 -742.543617244915</t>
  </si>
  <si>
    <t>-766.231127916129 214.816778952327 -426.105125048686</t>
  </si>
  <si>
    <t>-521.331232730239 151.291956441279 -365.849803533054</t>
  </si>
  <si>
    <t>-548.639445066185 420.374512103824 -245.073513861776</t>
  </si>
  <si>
    <t>-593.129424012817 433.287227339518 208.260267264385</t>
  </si>
  <si>
    <t>-634.17313331185 437.219758383342 676.433658849816</t>
  </si>
  <si>
    <t>-507.283796091485 348.000099051264 759.394228543071</t>
  </si>
  <si>
    <t>-674.965376294229 272.38673000396 -241.107721828652</t>
  </si>
  <si>
    <t>-652.055091256736 164.301340640362 200.989924086544</t>
  </si>
  <si>
    <t>-672.637330339908 90.5883041617681 664.404034289382</t>
  </si>
  <si>
    <t>-626.500975540597 -56.6402449840505 748.894896202336</t>
  </si>
  <si>
    <t>9763-20170724T160805.025026500.bin</t>
  </si>
  <si>
    <t>-612.462504639551 346.623693981459 -243.375151753981</t>
  </si>
  <si>
    <t>-635.102510333785 362.482234975128 -361.289291956948</t>
  </si>
  <si>
    <t>-643.236233564154 360.642669254095 -482.206766903637</t>
  </si>
  <si>
    <t>-644.856224004461 351.472161364705 -591.331085423391</t>
  </si>
  <si>
    <t>-641.016947522326 334.770107650396 -699.502936151742</t>
  </si>
  <si>
    <t>-630.203773070446 303.654800211252 -848.213840795753</t>
  </si>
  <si>
    <t>-614.796779018268 257.3201080858 -937.64927681591</t>
  </si>
  <si>
    <t>-611.27781390993 338.434914674223 -785.086354985792</t>
  </si>
  <si>
    <t>-492.824869816332 424.660892122913 -772.570054739449</t>
  </si>
  <si>
    <t>-460.288661075971 469.105432185063 -460.877386281314</t>
  </si>
  <si>
    <t>-352.612853358316 330.640692196538 -268.8475052076</t>
  </si>
  <si>
    <t>-658.698582427279 296.40995797114 -779.741472979756</t>
  </si>
  <si>
    <t>-774.269369747215 213.517275467788 -742.339105244403</t>
  </si>
  <si>
    <t>-767.210896394086 215.301919251601 -425.900927290072</t>
  </si>
  <si>
    <t>-522.440568401739 151.323782719554 -365.598733603536</t>
  </si>
  <si>
    <t>-549.172656431012 420.518482509842 -245.086315165102</t>
  </si>
  <si>
    <t>-593.342265008269 433.519758002112 208.276261974869</t>
  </si>
  <si>
    <t>-634.058845943549 437.342583394532 676.473095776797</t>
  </si>
  <si>
    <t>-507.400921321631 347.76260429364 759.398998805709</t>
  </si>
  <si>
    <t>-675.745819766928 272.561804907531 -241.002436153375</t>
  </si>
  <si>
    <t>-652.605349384572 164.548341730623 201.100805464457</t>
  </si>
  <si>
    <t>-672.775977510883 90.5913239396805 664.517706839977</t>
  </si>
  <si>
    <t>-626.628745648833 -56.6425147907157 748.993320074568</t>
  </si>
  <si>
    <t>9763-20170724T160805.089704200.bin</t>
  </si>
  <si>
    <t>-613.859029695388 346.931789463084 -243.305590059174</t>
  </si>
  <si>
    <t>-636.615864820981 362.886359453581 -361.184209141452</t>
  </si>
  <si>
    <t>-644.776455248709 360.978327147359 -482.098829498963</t>
  </si>
  <si>
    <t>-646.385674555396 351.677919629254 -591.21228929582</t>
  </si>
  <si>
    <t>-642.502229411335 334.779233347668 -699.352048398422</t>
  </si>
  <si>
    <t>-631.59509281921 303.323253921218 -847.984366700052</t>
  </si>
  <si>
    <t>-616.283566777926 256.783861008788 -937.329974800458</t>
  </si>
  <si>
    <t>-612.628249463369 338.159542174191 -784.90024495612</t>
  </si>
  <si>
    <t>-493.839812419443 423.937889446779 -772.373988082907</t>
  </si>
  <si>
    <t>-461.228934226756 468.507801818987 -460.707027085257</t>
  </si>
  <si>
    <t>-354.175920233655 329.762815213347 -268.531370885525</t>
  </si>
  <si>
    <t>-660.214062007769 296.323582083941 -779.538081813987</t>
  </si>
  <si>
    <t>-776.108981650987 213.944121258392 -742.054811226439</t>
  </si>
  <si>
    <t>-769.224502946762 216.323141539258 -425.616755190566</t>
  </si>
  <si>
    <t>-524.732267457193 151.490490302337 -365.099612304737</t>
  </si>
  <si>
    <t>-550.341188805571 420.694953890525 -245.112043103779</t>
  </si>
  <si>
    <t>-593.785697870962 433.634219016243 208.322440009875</t>
  </si>
  <si>
    <t>-634.113921384361 437.341903222827 676.540403773735</t>
  </si>
  <si>
    <t>-507.524393647376 347.595639011818 759.390910041878</t>
  </si>
  <si>
    <t>-677.40699152921 273.051638739827 -240.771121982107</t>
  </si>
  <si>
    <t>-653.664950940828 165.04251102463 201.301157860179</t>
  </si>
  <si>
    <t>-672.823955136471 90.6017024637554 664.714825969473</t>
  </si>
  <si>
    <t>-626.758123518458 -56.6721461353934 749.165123871269</t>
  </si>
  <si>
    <t>9763-20170724T160805.153372100.bin</t>
  </si>
  <si>
    <t>-614.979355596246 347.49645150298 -243.194212205547</t>
  </si>
  <si>
    <t>-637.778266069537 363.490246681404 -361.059367441412</t>
  </si>
  <si>
    <t>-645.95778617627 361.503120445175 -481.971395491697</t>
  </si>
  <si>
    <t>-647.575437077933 352.083734272095 -591.074569629058</t>
  </si>
  <si>
    <t>-643.691604352202 335.020998169485 -699.188589210385</t>
  </si>
  <si>
    <t>-632.775982534779 303.291688413206 -847.762115693279</t>
  </si>
  <si>
    <t>-617.566581904553 256.585202910246 -937.037885970029</t>
  </si>
  <si>
    <t>-613.722694606333 338.144446811248 -784.71318371088</t>
  </si>
  <si>
    <t>-494.592294885661 423.446839272255 -772.230264522166</t>
  </si>
  <si>
    <t>-462.129353514467 468.083370643235 -460.557439120004</t>
  </si>
  <si>
    <t>-355.910973142102 328.986004796406 -268.173329319106</t>
  </si>
  <si>
    <t>-661.48900863677 296.517301872842 -779.332705675707</t>
  </si>
  <si>
    <t>-777.73743252873 214.682158842158 -741.753236750356</t>
  </si>
  <si>
    <t>-771.039489853422 217.624135089376 -425.31580789779</t>
  </si>
  <si>
    <t>-526.792324053949 152.013406965759 -364.647826306837</t>
  </si>
  <si>
    <t>-551.110599025851 421.038431771761 -245.138566813508</t>
  </si>
  <si>
    <t>-594.023682806566 434.032678810405 208.344976017922</t>
  </si>
  <si>
    <t>-633.936536189127 437.501028215063 676.583294071953</t>
  </si>
  <si>
    <t>-507.648739980981 347.290310533079 759.389885458297</t>
  </si>
  <si>
    <t>-678.804044755296 273.756309893336 -240.582627448989</t>
  </si>
  <si>
    <t>-654.610386128062 165.665303343744 201.445264202295</t>
  </si>
  <si>
    <t>-672.734942951884 90.5961177349327 664.836896778518</t>
  </si>
  <si>
    <t>-626.996551168603 -56.7749481789185 749.29558773994</t>
  </si>
  <si>
    <t>9763-20170724T160805.185457500.bin</t>
  </si>
  <si>
    <t>-615.574736935456 347.694634014134 -243.13218388122</t>
  </si>
  <si>
    <t>-638.402538580347 363.730693449961 -360.985998503922</t>
  </si>
  <si>
    <t>-646.62086699735 361.713907886866 -481.894968996781</t>
  </si>
  <si>
    <t>-648.278558403448 352.238635428861 -590.992691726667</t>
  </si>
  <si>
    <t>-644.440451711945 335.091664931159 -699.094993223115</t>
  </si>
  <si>
    <t>-633.595002723341 303.216844101124 -847.642477737044</t>
  </si>
  <si>
    <t>-618.471347873509 256.415444966328 -936.883122589769</t>
  </si>
  <si>
    <t>-614.4610708527 338.074780197607 -784.620926284701</t>
  </si>
  <si>
    <t>-495.147565788081 423.132511927712 -772.148817940869</t>
  </si>
  <si>
    <t>-462.693641714568 467.811020062789 -460.480978537956</t>
  </si>
  <si>
    <t>-356.896429519563 328.528238365632 -267.999063181865</t>
  </si>
  <si>
    <t>-662.326601959556 296.565999896924 -779.208714705361</t>
  </si>
  <si>
    <t>-778.754606292876 215.01642764819 -741.569584714554</t>
  </si>
  <si>
    <t>-772.059900067587 218.133777243246 -425.133636037224</t>
  </si>
  <si>
    <t>-527.945815547455 152.041380599655 -364.453033281242</t>
  </si>
  <si>
    <t>-551.53896006847 421.141711580535 -245.137299680955</t>
  </si>
  <si>
    <t>-594.19905008559 434.176681428337 208.368847885385</t>
  </si>
  <si>
    <t>-633.95435164227 437.498297987753 676.611054001943</t>
  </si>
  <si>
    <t>-507.655378860397 347.277706077732 759.389854324659</t>
  </si>
  <si>
    <t>-679.606472300652 274.077666510205 -240.479167205791</t>
  </si>
  <si>
    <t>-655.148637194965 166.020467192168 201.542394680783</t>
  </si>
  <si>
    <t>-672.816794240737 90.6029193781312 664.899627589288</t>
  </si>
  <si>
    <t>-626.89751822345 -56.7199127917308 749.344417458767</t>
  </si>
  <si>
    <t>9763-20170724T160805.221064100.bin</t>
  </si>
  <si>
    <t>-616.112815484704 347.919146206878 -243.120268004269</t>
  </si>
  <si>
    <t>-638.986287164615 364.044812243293 -360.952987141841</t>
  </si>
  <si>
    <t>-647.247263551071 362.039614256102 -481.859161932164</t>
  </si>
  <si>
    <t>-648.942465869082 352.543118086652 -590.954444914399</t>
  </si>
  <si>
    <t>-645.141178691779 335.343860057413 -699.049784870039</t>
  </si>
  <si>
    <t>-634.346759922768 303.364928925896 -847.578649503874</t>
  </si>
  <si>
    <t>-619.300441925334 256.468677199063 -936.782631534093</t>
  </si>
  <si>
    <t>-615.146757873396 338.217527754117 -784.574182514236</t>
  </si>
  <si>
    <t>-495.655646736364 423.006986818707 -772.110405901469</t>
  </si>
  <si>
    <t>-463.272372484248 467.646818761478 -460.429867879423</t>
  </si>
  <si>
    <t>-357.885749289037 328.192567436076 -267.846825110629</t>
  </si>
  <si>
    <t>-663.099295263791 296.811535252421 -779.144334634379</t>
  </si>
  <si>
    <t>-779.72160687652 215.54453059397 -741.440068425001</t>
  </si>
  <si>
    <t>-772.944665633069 218.707985229222 -425.006530413715</t>
  </si>
  <si>
    <t>-528.980462185429 152.108315726889 -364.277639321073</t>
  </si>
  <si>
    <t>-551.919321622546 421.29677001371 -245.144533042689</t>
  </si>
  <si>
    <t>-594.361891691005 434.288062337924 208.383365040497</t>
  </si>
  <si>
    <t>-633.956890185736 437.496302053479 676.62928951427</t>
  </si>
  <si>
    <t>-507.704527533467 347.194977430486 759.391159121212</t>
  </si>
  <si>
    <t>-680.279316792768 274.43590939077 -240.423837705783</t>
  </si>
  <si>
    <t>-655.653264994821 166.439204929829 201.603198481384</t>
  </si>
  <si>
    <t>-672.804903868438 90.6037633115964 664.937365483776</t>
  </si>
  <si>
    <t>-626.928100859036 -56.7333508283082 749.380307412409</t>
  </si>
  <si>
    <t>9763-20170724T160805.292766700.bin</t>
  </si>
  <si>
    <t>-617.010932104148 348.523452994709 -243.046701625295</t>
  </si>
  <si>
    <t>-639.968764398607 364.791274279855 -360.843533331766</t>
  </si>
  <si>
    <t>-648.300623743692 362.797315910896 -481.745062056521</t>
  </si>
  <si>
    <t>-650.054736196647 353.257470819046 -590.835762155888</t>
  </si>
  <si>
    <t>-646.307316757839 335.963038382316 -698.917732835052</t>
  </si>
  <si>
    <t>-635.583328174651 303.799630867696 -847.411897865055</t>
  </si>
  <si>
    <t>-620.705619937464 256.741023160075 -936.558496313832</t>
  </si>
  <si>
    <t>-616.271935825426 338.639547309989 -784.434227943768</t>
  </si>
  <si>
    <t>-496.438711589739 422.950368554604 -772.013973135779</t>
  </si>
  <si>
    <t>-464.031192741308 467.582596610949 -460.334951920492</t>
  </si>
  <si>
    <t>-359.415859150681 327.731720522942 -267.618997142466</t>
  </si>
  <si>
    <t>-664.384665643672 297.422471154725 -778.981279618447</t>
  </si>
  <si>
    <t>-781.338744633989 216.681060194134 -741.191258551097</t>
  </si>
  <si>
    <t>-774.522800749134 220.056952496668 -424.76072620729</t>
  </si>
  <si>
    <t>-530.776880076125 152.590806007193 -364.111552027779</t>
  </si>
  <si>
    <t>-552.500821046362 421.652902626558 -245.15997112096</t>
  </si>
  <si>
    <t>-594.465874753076 434.603925904049 208.413437173859</t>
  </si>
  <si>
    <t>-633.807871724995 437.606426772317 676.664325457276</t>
  </si>
  <si>
    <t>-507.852770650968 346.880359600872 759.414584470574</t>
  </si>
  <si>
    <t>-681.491368298957 275.249889465504 -240.269401019649</t>
  </si>
  <si>
    <t>-656.335649080117 167.054105346586 201.679170143812</t>
  </si>
  <si>
    <t>-672.819434190109 90.6146096785415 664.978531477407</t>
  </si>
  <si>
    <t>-627.164223221784 -56.792853618892 749.418868369889</t>
  </si>
  <si>
    <t>9763-20170724T160805.322856600.bin</t>
  </si>
  <si>
    <t>-617.502214683111 348.758377197755 -243.025862063111</t>
  </si>
  <si>
    <t>-640.528769039259 365.126479503517 -360.795494132914</t>
  </si>
  <si>
    <t>-648.916339053559 363.168748437268 -481.693639135161</t>
  </si>
  <si>
    <t>-650.716515882018 353.634141160564 -590.783957128126</t>
  </si>
  <si>
    <t>-647.011334797021 336.317642762706 -698.863791034564</t>
  </si>
  <si>
    <t>-636.343086690563 304.0953993987 -847.349318251432</t>
  </si>
  <si>
    <t>-621.552913929047 256.972927577185 -936.476759371894</t>
  </si>
  <si>
    <t>-616.966024636085 338.912664307171 -784.379376895292</t>
  </si>
  <si>
    <t>-496.968955216471 423.000073459466 -771.956949638912</t>
  </si>
  <si>
    <t>-464.48233004666 467.666130626772 -460.290804205878</t>
  </si>
  <si>
    <t>-360.140546548348 327.639591991654 -267.554160454388</t>
  </si>
  <si>
    <t>-665.160885628688 297.792807851973 -778.918845543307</t>
  </si>
  <si>
    <t>-782.277920313283 217.303931692423 -741.102537657903</t>
  </si>
  <si>
    <t>-775.403033283884 220.743668266365 -424.673912976953</t>
  </si>
  <si>
    <t>-531.761982779002 152.86029122582 -364.06916926843</t>
  </si>
  <si>
    <t>-552.891291617157 421.776027223701 -245.154220100788</t>
  </si>
  <si>
    <t>-594.681450282759 434.694545487637 208.436351780131</t>
  </si>
  <si>
    <t>-633.932404885007 437.521062666762 676.694708387852</t>
  </si>
  <si>
    <t>-507.850146100873 346.953219435618 759.424664937592</t>
  </si>
  <si>
    <t>-682.104090075439 275.582283820915 -240.213464257121</t>
  </si>
  <si>
    <t>-656.676312995428 167.23385328312 201.682103948254</t>
  </si>
  <si>
    <t>-672.973220867516 90.6246353207839 664.977994265805</t>
  </si>
  <si>
    <t>-627.137996485092 -56.7293747105689 749.413970113813</t>
  </si>
  <si>
    <t>9763-20170724T160805.392537000.bin</t>
  </si>
  <si>
    <t>-618.280352526484 349.260129002589 -242.959482598722</t>
  </si>
  <si>
    <t>-641.365230332191 365.721108417163 -360.704663443655</t>
  </si>
  <si>
    <t>-649.83398084749 363.806636740241 -481.597973326138</t>
  </si>
  <si>
    <t>-651.718516756166 354.289336799886 -590.688454099504</t>
  </si>
  <si>
    <t>-648.109788898469 336.967806499972 -698.770781728066</t>
  </si>
  <si>
    <t>-637.58874791247 304.715838085687 -847.260214001934</t>
  </si>
  <si>
    <t>-622.976932568212 257.543233211862 -936.390584412258</t>
  </si>
  <si>
    <t>-618.076881046445 339.463738932073 -784.293656273736</t>
  </si>
  <si>
    <t>-497.796961625398 423.144737567675 -771.89513862733</t>
  </si>
  <si>
    <t>-464.978130150244 467.823857645883 -460.265722975759</t>
  </si>
  <si>
    <t>-361.040704330435 327.549115335238 -267.491052316234</t>
  </si>
  <si>
    <t>-666.410999671177 298.509042981699 -778.822882897966</t>
  </si>
  <si>
    <t>-783.816368714237 218.490401830681 -740.917076587113</t>
  </si>
  <si>
    <t>-776.96266596949 221.807356192247 -424.486547007454</t>
  </si>
  <si>
    <t>-533.477127746124 153.212254306674 -364.058272010961</t>
  </si>
  <si>
    <t>-553.530994073202 422.145442100076 -245.152004028964</t>
  </si>
  <si>
    <t>-594.916112896804 434.996020216679 208.477572683307</t>
  </si>
  <si>
    <t>-633.844538619848 437.585927079124 676.737972562625</t>
  </si>
  <si>
    <t>-507.860994908517 346.864956275491 759.450487594623</t>
  </si>
  <si>
    <t>-682.982691938293 276.21673617994 -240.104966797226</t>
  </si>
  <si>
    <t>-656.928577647353 167.402575394016 201.639637894161</t>
  </si>
  <si>
    <t>-672.703252181873 90.6454177318806 664.937790800468</t>
  </si>
  <si>
    <t>-627.476378358051 -56.8857707456214 749.392308552334</t>
  </si>
  <si>
    <t>9763-20170724T160805.427132300.bin</t>
  </si>
  <si>
    <t>-618.670481069818 349.510704655245 -242.935045554406</t>
  </si>
  <si>
    <t>-641.822172089237 366.022708440904 -360.660016046138</t>
  </si>
  <si>
    <t>-650.346223961952 364.137436882296 -481.549907140567</t>
  </si>
  <si>
    <t>-652.277302063362 354.635759133411 -590.640853522741</t>
  </si>
  <si>
    <t>-648.712245244639 337.318758501055 -698.725431190904</t>
  </si>
  <si>
    <t>-638.250783302889 305.060073043343 -847.2175048938</t>
  </si>
  <si>
    <t>-623.722081712605 257.876105427078 -936.355567837088</t>
  </si>
  <si>
    <t>-618.684428954552 339.777564050809 -784.251009091602</t>
  </si>
  <si>
    <t>-498.2865145153 423.296196205891 -771.865846324771</t>
  </si>
  <si>
    <t>-465.28362401412 467.943621918958 -460.251374190488</t>
  </si>
  <si>
    <t>-361.434109595225 327.537547540534 -267.525040561251</t>
  </si>
  <si>
    <t>-667.074818636672 298.889609869879 -778.777699518584</t>
  </si>
  <si>
    <t>-784.600697166711 219.048037133554 -740.855143938263</t>
  </si>
  <si>
    <t>-777.716234538558 222.319049854155 -424.424934191841</t>
  </si>
  <si>
    <t>-534.304403177405 153.433466995382 -364.030244543759</t>
  </si>
  <si>
    <t>-553.891971538281 422.369229665194 -245.160981642754</t>
  </si>
  <si>
    <t>-595.088376975396 435.141802425444 208.487974927192</t>
  </si>
  <si>
    <t>-633.885815823963 437.553113597493 676.759535835683</t>
  </si>
  <si>
    <t>-507.836156735638 346.908784718076 759.455363247014</t>
  </si>
  <si>
    <t>-683.44074074235 276.497281761175 -240.048587155308</t>
  </si>
  <si>
    <t>-657.018253517026 167.448398381983 201.616300160613</t>
  </si>
  <si>
    <t>-672.663126768246 90.66120879256 664.91337680106</t>
  </si>
  <si>
    <t>-627.651564134294 -56.9318302851602 749.375217432954</t>
  </si>
  <si>
    <t>9763-20170724T160805.492318900.bin</t>
  </si>
  <si>
    <t>-619.534150789911 349.980186693228 -242.929828904019</t>
  </si>
  <si>
    <t>-642.811290758925 366.595956354063 -360.615256164912</t>
  </si>
  <si>
    <t>-651.466800852127 364.827147670995 -481.497654384536</t>
  </si>
  <si>
    <t>-653.518763036658 355.433588515707 -590.595691052898</t>
  </si>
  <si>
    <t>-650.076957767264 338.225762277853 -698.701597252136</t>
  </si>
  <si>
    <t>-639.788885665912 306.119092491494 -847.23897397413</t>
  </si>
  <si>
    <t>-625.398511996084 258.96787310275 -936.416621527236</t>
  </si>
  <si>
    <t>-620.115093218278 340.733406502836 -784.249155134376</t>
  </si>
  <si>
    <t>-499.576201104807 424.036938387649 -771.867210658387</t>
  </si>
  <si>
    <t>-466.064832010783 468.411487098271 -460.267998656238</t>
  </si>
  <si>
    <t>-362.261749380261 327.723429716811 -267.722173010911</t>
  </si>
  <si>
    <t>-668.566913495177 299.917291048797 -778.782417091982</t>
  </si>
  <si>
    <t>-786.2243299593 220.282301117416 -740.838682327096</t>
  </si>
  <si>
    <t>-779.122568379653 223.359635365479 -424.411337425847</t>
  </si>
  <si>
    <t>-535.769945581773 154.157725764463 -364.140034113415</t>
  </si>
  <si>
    <t>-554.593600396913 422.800185320975 -245.189932247026</t>
  </si>
  <si>
    <t>-595.351309233291 435.376711634668 208.504073529906</t>
  </si>
  <si>
    <t>-633.816481605414 437.599533865415 676.787624825249</t>
  </si>
  <si>
    <t>-507.880677818875 346.784682912192 759.469826105948</t>
  </si>
  <si>
    <t>-684.475725480026 277.033287237575 -239.984943154641</t>
  </si>
  <si>
    <t>-657.320638792027 167.502754555956 201.516309341407</t>
  </si>
  <si>
    <t>-672.944173877453 90.7144761480279 664.85542272322</t>
  </si>
  <si>
    <t>-627.694412555217 -56.8139297682294 749.30281865263</t>
  </si>
  <si>
    <t>9763-20170724T160805.526413500.bin</t>
  </si>
  <si>
    <t>-619.899490400198 350.218615519168 -242.911887301837</t>
  </si>
  <si>
    <t>-643.252881342265 366.863785812656 -360.578140355628</t>
  </si>
  <si>
    <t>-651.98120108735 365.133308612518 -481.455753471477</t>
  </si>
  <si>
    <t>-654.09698027262 355.777202361443 -590.555895596123</t>
  </si>
  <si>
    <t>-650.716671569025 338.609019816819 -698.670028692174</t>
  </si>
  <si>
    <t>-640.511344420714 306.559382318217 -847.22545536981</t>
  </si>
  <si>
    <t>-626.182941525243 259.437104435065 -936.428279529106</t>
  </si>
  <si>
    <t>-620.790292381465 341.135653439588 -784.229394860395</t>
  </si>
  <si>
    <t>-500.203150782894 424.381326183463 -771.859819806467</t>
  </si>
  <si>
    <t>-466.503536423199 468.567086087235 -460.253901946938</t>
  </si>
  <si>
    <t>-362.640088076531 327.740513942013 -267.842180902496</t>
  </si>
  <si>
    <t>-669.263318032049 300.345249065458 -778.759122441416</t>
  </si>
  <si>
    <t>-786.949209350022 220.754326778987 -740.811436504745</t>
  </si>
  <si>
    <t>-779.69225968141 223.729234108836 -424.386525068301</t>
  </si>
  <si>
    <t>-536.343880138101 154.395156411529 -364.250033861986</t>
  </si>
  <si>
    <t>-554.937965766763 422.999082581725 -245.202303773809</t>
  </si>
  <si>
    <t>-595.47014153802 435.418399361685 208.51637172271</t>
  </si>
  <si>
    <t>-633.833250484104 437.585562036395 676.806138305169</t>
  </si>
  <si>
    <t>-507.811202925358 346.872061009326 759.468178645856</t>
  </si>
  <si>
    <t>-684.853510487594 277.303923493332 -239.934425111512</t>
  </si>
  <si>
    <t>-657.329922690638 167.484423671674 201.472179665252</t>
  </si>
  <si>
    <t>-672.835295533402 90.7394823318687 664.815353798453</t>
  </si>
  <si>
    <t>-627.813895835966 -56.862243347467 749.256616504759</t>
  </si>
  <si>
    <t>9763-20170724T160805.590084200.bin</t>
  </si>
  <si>
    <t>-620.645618153602 350.672802199777 -242.89226056359</t>
  </si>
  <si>
    <t>-644.232912314949 367.455037346567 -360.492473753964</t>
  </si>
  <si>
    <t>-653.15872538646 365.845225925299 -481.357212456739</t>
  </si>
  <si>
    <t>-655.435869155786 356.589125666891 -590.462710150889</t>
  </si>
  <si>
    <t>-652.198538436306 339.511078053816 -698.595551518287</t>
  </si>
  <si>
    <t>-642.171661865917 307.576275918457 -847.187621495109</t>
  </si>
  <si>
    <t>-627.964740972569 260.52645814292 -936.448327175742</t>
  </si>
  <si>
    <t>-622.364367655803 342.091637048484 -784.185390140629</t>
  </si>
  <si>
    <t>-501.752031336936 425.306894191596 -771.853829100032</t>
  </si>
  <si>
    <t>-467.799181021242 469.105433635974 -460.221038077638</t>
  </si>
  <si>
    <t>-363.717771504903 328.039286212387 -268.102608820858</t>
  </si>
  <si>
    <t>-670.852020519614 301.321370752817 -778.695182696581</t>
  </si>
  <si>
    <t>-788.551716190083 221.778267027632 -740.68843517147</t>
  </si>
  <si>
    <t>-780.999908269564 224.482811519205 -424.268081927966</t>
  </si>
  <si>
    <t>-537.608746076727 154.97252187189 -364.509378241117</t>
  </si>
  <si>
    <t>-555.613460452816 423.455469774112 -245.246411609984</t>
  </si>
  <si>
    <t>-595.686603075064 435.508555596549 208.522773052603</t>
  </si>
  <si>
    <t>-633.893202066328 437.526262713975 676.820677093637</t>
  </si>
  <si>
    <t>-507.753949232385 346.953275764573 759.45805582533</t>
  </si>
  <si>
    <t>-685.652423110016 277.751568074293 -239.870641732188</t>
  </si>
  <si>
    <t>-657.436411009245 167.499444399471 201.384386797377</t>
  </si>
  <si>
    <t>-672.74985463533 90.7847284081695 664.739978655238</t>
  </si>
  <si>
    <t>-627.789205506165 -56.8421746758711 749.169408669768</t>
  </si>
  <si>
    <t>9763-20170724T160805.622675600.bin</t>
  </si>
  <si>
    <t>-621.076319283671 350.982924920302 -242.879527788503</t>
  </si>
  <si>
    <t>-644.772039321958 367.811919434284 -360.451191403604</t>
  </si>
  <si>
    <t>-653.794098552169 366.258676590587 -481.309549469091</t>
  </si>
  <si>
    <t>-656.151466616244 357.057198424018 -590.417975895023</t>
  </si>
  <si>
    <t>-652.986569206497 340.036855132391 -698.561913068728</t>
  </si>
  <si>
    <t>-643.051983994424 308.184571380345 -847.178064112418</t>
  </si>
  <si>
    <t>-628.89664481236 261.175162121491 -936.468254788662</t>
  </si>
  <si>
    <t>-623.205393595501 342.664760364745 -784.168894183811</t>
  </si>
  <si>
    <t>-502.600709247273 425.888897929254 -771.850355939078</t>
  </si>
  <si>
    <t>-468.587673343186 469.499690002377 -460.197734898222</t>
  </si>
  <si>
    <t>-364.407713153224 328.331238229658 -268.207931082482</t>
  </si>
  <si>
    <t>-671.689943078145 301.891820369133 -778.671276857983</t>
  </si>
  <si>
    <t>-789.371381728413 222.338035801579 -740.623731484923</t>
  </si>
  <si>
    <t>-781.62618167095 224.947798025461 -424.20721109198</t>
  </si>
  <si>
    <t>-538.198320907768 155.390124763783 -364.653408627961</t>
  </si>
  <si>
    <t>-555.981009105981 423.781012556746 -245.27731484611</t>
  </si>
  <si>
    <t>-595.698486715387 435.597814063242 208.52943980033</t>
  </si>
  <si>
    <t>-633.826949364994 437.571619670279 676.822478041214</t>
  </si>
  <si>
    <t>-507.785009855584 346.855307355809 759.451095841796</t>
  </si>
  <si>
    <t>-686.174796507542 278.058146114036 -239.817537185639</t>
  </si>
  <si>
    <t>-657.494076636803 167.479047798074 201.325686942745</t>
  </si>
  <si>
    <t>-672.895003751029 90.8103951919359 664.696597654893</t>
  </si>
  <si>
    <t>-627.682918106839 -56.7460291681689 749.115128042628</t>
  </si>
  <si>
    <t>9763-20170724T160805.692855200.bin</t>
  </si>
  <si>
    <t>-621.874123995058 351.635013476157 -242.908133579436</t>
  </si>
  <si>
    <t>-645.897872370008 368.687855463924 -360.380942001273</t>
  </si>
  <si>
    <t>-655.137473012342 367.297904229321 -481.22493299705</t>
  </si>
  <si>
    <t>-657.644055990045 358.214877985128 -590.339834200241</t>
  </si>
  <si>
    <t>-654.579931613259 341.282936664064 -698.500613194205</t>
  </si>
  <si>
    <t>-644.734956117532 309.52168190717 -847.142246401221</t>
  </si>
  <si>
    <t>-630.66198634955 262.568477510357 -936.47491618787</t>
  </si>
  <si>
    <t>-624.854109118153 343.967468137157 -784.125003136044</t>
  </si>
  <si>
    <t>-504.261717151627 427.219509288819 -771.833962951591</t>
  </si>
  <si>
    <t>-470.193893180501 470.530732985952 -460.145642289235</t>
  </si>
  <si>
    <t>-365.909683160023 329.225992397358 -268.312790356062</t>
  </si>
  <si>
    <t>-673.32799272609 303.182621113591 -778.620870042912</t>
  </si>
  <si>
    <t>-791.004965609797 223.642651555775 -740.525189868412</t>
  </si>
  <si>
    <t>-782.926452126464 225.820920694216 -424.113814552827</t>
  </si>
  <si>
    <t>-539.414019113943 156.215051726136 -364.963400158737</t>
  </si>
  <si>
    <t>-556.734687180198 424.511279613149 -245.351584631203</t>
  </si>
  <si>
    <t>-595.553057275932 435.663018535635 208.549707295775</t>
  </si>
  <si>
    <t>-633.69897660167 437.672600169086 676.845956671168</t>
  </si>
  <si>
    <t>-507.829773971739 346.688171635527 759.443095963515</t>
  </si>
  <si>
    <t>-686.945361263586 278.63752673708 -239.773966050265</t>
  </si>
  <si>
    <t>-657.330687912376 167.391935611636 201.139810047248</t>
  </si>
  <si>
    <t>-672.66282896578 90.8526231166152 664.580171321748</t>
  </si>
  <si>
    <t>-627.889182840054 -56.8282166168772 749.014791138966</t>
  </si>
  <si>
    <t>9763-20170724T160805.723632400.bin</t>
  </si>
  <si>
    <t>-622.360197612233 352.014964496166 -242.871772923305</t>
  </si>
  <si>
    <t>-646.570734478361 369.170066547582 -360.291372969561</t>
  </si>
  <si>
    <t>-655.930537845358 367.859522858666 -481.126871058469</t>
  </si>
  <si>
    <t>-658.516580887199 358.837151234076 -590.244997146024</t>
  </si>
  <si>
    <t>-655.50246672734 341.953677914111 -698.414864181442</t>
  </si>
  <si>
    <t>-645.696319735063 310.246567712756 -847.070513245635</t>
  </si>
  <si>
    <t>-631.662911272762 263.309854495913 -936.418208980111</t>
  </si>
  <si>
    <t>-625.803400016122 344.674467289658 -784.047268301753</t>
  </si>
  <si>
    <t>-505.212855585509 427.93382126067 -771.761473690545</t>
  </si>
  <si>
    <t>-471.123711814759 471.240841467684 -460.074650646476</t>
  </si>
  <si>
    <t>-366.834955180589 329.872327635848 -268.291350280974</t>
  </si>
  <si>
    <t>-674.267098429848 303.877470186789 -778.542705769675</t>
  </si>
  <si>
    <t>-791.914647792512 224.321590877208 -740.430682152699</t>
  </si>
  <si>
    <t>-783.706504203399 226.545140196052 -424.02298692487</t>
  </si>
  <si>
    <t>-540.130360180589 156.989930272731 -365.075801645304</t>
  </si>
  <si>
    <t>-557.177650177291 424.896650818981 -245.376670362988</t>
  </si>
  <si>
    <t>-595.3815266788 435.575876132518 208.588176701431</t>
  </si>
  <si>
    <t>-633.690461175212 437.693794729252 676.869157949143</t>
  </si>
  <si>
    <t>-507.91780690662 346.540867045535 759.427550202355</t>
  </si>
  <si>
    <t>-687.512463600115 278.979606612282 -239.70238788322</t>
  </si>
  <si>
    <t>-657.34615209502 167.383316015389 201.085457124798</t>
  </si>
  <si>
    <t>-672.831234541596 90.8898607212022 664.532669970139</t>
  </si>
  <si>
    <t>-627.807223225086 -56.7229709934595 748.953001929457</t>
  </si>
  <si>
    <t>9763-20170724T160805.789818000.bin</t>
  </si>
  <si>
    <t>-623.445260155932 352.784632785007 -242.823690514814</t>
  </si>
  <si>
    <t>-648.081709809348 370.185314479253 -360.118453333632</t>
  </si>
  <si>
    <t>-657.657109230254 368.988256198131 -480.938436449215</t>
  </si>
  <si>
    <t>-660.349034475279 360.009893840661 -590.057480367058</t>
  </si>
  <si>
    <t>-657.351711552144 343.110783087807 -698.225401481539</t>
  </si>
  <si>
    <t>-647.47700654938 311.320508733199 -846.858812397693</t>
  </si>
  <si>
    <t>-633.462867063975 264.353779373758 -936.193617037155</t>
  </si>
  <si>
    <t>-627.617680432764 345.788599172472 -783.847104148955</t>
  </si>
  <si>
    <t>-507.083410765153 429.108523334012 -771.587823846145</t>
  </si>
  <si>
    <t>-473.064203750135 472.355114473516 -459.884985896897</t>
  </si>
  <si>
    <t>-368.672738623138 330.934902670211 -268.195648228378</t>
  </si>
  <si>
    <t>-676.074884847515 304.984763466853 -778.339180515467</t>
  </si>
  <si>
    <t>-793.720426498324 225.401016119813 -740.198933790724</t>
  </si>
  <si>
    <t>-785.357504383822 227.524661390359 -423.794574573467</t>
  </si>
  <si>
    <t>-541.739347795322 157.957885616803 -365.034901236542</t>
  </si>
  <si>
    <t>-558.159133073367 425.635495363159 -245.390834851756</t>
  </si>
  <si>
    <t>-595.075553959138 435.428749714335 208.700509019524</t>
  </si>
  <si>
    <t>-633.762352352575 437.692077550282 676.934177042706</t>
  </si>
  <si>
    <t>-507.852202925143 346.624062309642 759.37663956261</t>
  </si>
  <si>
    <t>-688.727917168504 279.792035439961 -239.531910900576</t>
  </si>
  <si>
    <t>-657.3427582842 167.382090748291 200.964042557283</t>
  </si>
  <si>
    <t>-672.970135040252 90.9525065628857 664.430055473521</t>
  </si>
  <si>
    <t>-627.626359201009 -56.5621052126792 748.850943498941</t>
  </si>
  <si>
    <t>9763-20170724T160805.821905100.bin</t>
  </si>
  <si>
    <t>-623.869061964546 353.196631769333 -242.769150811038</t>
  </si>
  <si>
    <t>-648.690616414259 370.696925907151 -360.010088546706</t>
  </si>
  <si>
    <t>-658.369958947854 369.55689069841 -480.82233353914</t>
  </si>
  <si>
    <t>-661.120764392708 360.610950304466 -589.942555151694</t>
  </si>
  <si>
    <t>-658.146838526094 343.724560920831 -698.113145981848</t>
  </si>
  <si>
    <t>-648.267560489819 311.931792524739 -846.745556175643</t>
  </si>
  <si>
    <t>-634.263496450619 264.953499387696 -936.075938840791</t>
  </si>
  <si>
    <t>-628.404553076095 346.394669346487 -783.732138748419</t>
  </si>
  <si>
    <t>-507.844202296035 429.714924507198 -771.469990248816</t>
  </si>
  <si>
    <t>-473.940741320942 473.011730282977 -459.761523529438</t>
  </si>
  <si>
    <t>-369.446920483589 331.592182879396 -268.127461272835</t>
  </si>
  <si>
    <t>-676.873083440265 305.603576068075 -778.228406769508</t>
  </si>
  <si>
    <t>-794.506441887286 226.050019649334 -740.089444964427</t>
  </si>
  <si>
    <t>-786.084502363004 228.199087179971 -423.686791125932</t>
  </si>
  <si>
    <t>-542.439180364963 158.663007273926 -365.003224695388</t>
  </si>
  <si>
    <t>-558.51656340123 426.03668389908 -245.391377048112</t>
  </si>
  <si>
    <t>-594.882789245753 435.434778906203 208.752761837698</t>
  </si>
  <si>
    <t>-633.752369857421 437.729972030314 676.965067331815</t>
  </si>
  <si>
    <t>-507.818443605691 346.649260219252 759.35718579612</t>
  </si>
  <si>
    <t>-689.177063000624 280.199228860158 -239.433421622011</t>
  </si>
  <si>
    <t>-657.236738821133 167.36807920869 200.914862092451</t>
  </si>
  <si>
    <t>-672.850248168 90.9722991538147 664.372264889391</t>
  </si>
  <si>
    <t>-627.78004349848 -56.615538338908 748.811693186596</t>
  </si>
  <si>
    <t>9763-20170724T160805.887582200.bin</t>
  </si>
  <si>
    <t>-624.639814174243 354.005155045821 -242.662562282515</t>
  </si>
  <si>
    <t>-649.8303892097 371.663928595927 -359.800822498005</t>
  </si>
  <si>
    <t>-659.733976866356 370.573391067946 -480.595443853301</t>
  </si>
  <si>
    <t>-662.627643545422 361.622858321217 -589.7116610612</t>
  </si>
  <si>
    <t>-659.737439890132 344.681475165101 -697.875784649603</t>
  </si>
  <si>
    <t>-649.914141694352 312.760503164839 -846.484537500046</t>
  </si>
  <si>
    <t>-635.948307291522 265.734459241085 -935.795801987279</t>
  </si>
  <si>
    <t>-630.005498930467 347.252555063768 -783.501528579624</t>
  </si>
  <si>
    <t>-509.432062670022 430.536570005258 -771.277806223981</t>
  </si>
  <si>
    <t>-475.558574803522 473.752526212272 -459.554833424618</t>
  </si>
  <si>
    <t>-371.1456619683 332.391569523542 -267.833603196912</t>
  </si>
  <si>
    <t>-678.515815982094 306.516500263532 -777.958093385459</t>
  </si>
  <si>
    <t>-796.20129977832 227.060140123037 -739.721449315269</t>
  </si>
  <si>
    <t>-787.764334939976 229.230534816209 -423.319352416942</t>
  </si>
  <si>
    <t>-544.146177233737 159.546964689242 -364.697947149818</t>
  </si>
  <si>
    <t>-559.078587774121 426.860747086219 -245.391366999229</t>
  </si>
  <si>
    <t>-594.506346767993 435.613662700461 208.839767037878</t>
  </si>
  <si>
    <t>-633.73315687606 437.812662432286 677.031004957198</t>
  </si>
  <si>
    <t>-507.942125275666 346.452918243792 759.332441227337</t>
  </si>
  <si>
    <t>-690.154006455488 281.00044184247 -239.229157923446</t>
  </si>
  <si>
    <t>-657.168333236514 167.61225938069 200.899057804385</t>
  </si>
  <si>
    <t>-672.893413589849 91.0289270807482 664.328061931869</t>
  </si>
  <si>
    <t>-627.785556253644 -56.547920374468 748.766440803082</t>
  </si>
  <si>
    <t>9763-20170724T160805.923185600.bin</t>
  </si>
  <si>
    <t>-624.808344779431 354.480275934029 -242.550856060765</t>
  </si>
  <si>
    <t>-650.118999469251 372.138866824976 -359.663534233572</t>
  </si>
  <si>
    <t>-660.120953797522 371.036728135708 -480.449670138408</t>
  </si>
  <si>
    <t>-663.094531315172 362.06972783793 -589.562448691968</t>
  </si>
  <si>
    <t>-660.274530301028 345.10636854178 -697.72504891393</t>
  </si>
  <si>
    <t>-650.539678402832 313.147971799685 -846.331630328383</t>
  </si>
  <si>
    <t>-636.625294971417 266.10108095188 -935.639854984786</t>
  </si>
  <si>
    <t>-630.578791457146 347.638982234736 -783.364472358014</t>
  </si>
  <si>
    <t>-509.949087687312 430.851755218567 -771.194614484034</t>
  </si>
  <si>
    <t>-475.989985482035 474.128948106442 -459.489568111832</t>
  </si>
  <si>
    <t>-371.611196684619 332.721481134018 -267.783848536237</t>
  </si>
  <si>
    <t>-679.115208821162 306.938286473089 -777.791053962439</t>
  </si>
  <si>
    <t>-796.823336949881 227.537699300045 -739.520402916344</t>
  </si>
  <si>
    <t>-788.286502031366 229.86055105068 -423.122096466821</t>
  </si>
  <si>
    <t>-544.70025992302 160.037208568971 -364.534528721971</t>
  </si>
  <si>
    <t>-559.154469155344 427.315167482153 -245.385819177365</t>
  </si>
  <si>
    <t>-594.23126706969 435.746975462699 208.878583242998</t>
  </si>
  <si>
    <t>-633.658180930152 437.899016927099 677.054432128896</t>
  </si>
  <si>
    <t>-508.223434205301 346.02133218962 759.323042350551</t>
  </si>
  <si>
    <t>-690.380167596123 281.490140230193 -239.063744643159</t>
  </si>
  <si>
    <t>-656.965516816591 167.701655186209 200.928642155677</t>
  </si>
  <si>
    <t>-672.678941601352 91.0616914789446 664.329382027696</t>
  </si>
  <si>
    <t>-628.043940521224 -56.6543907546493 748.775789124451</t>
  </si>
  <si>
    <t>9763-20170724T160805.987858800.bin</t>
  </si>
  <si>
    <t>-625.17205117772 355.459985934861 -242.341588238901</t>
  </si>
  <si>
    <t>-650.805403180245 373.167272192195 -359.376552057605</t>
  </si>
  <si>
    <t>-661.044624747265 372.073719613112 -480.142999652813</t>
  </si>
  <si>
    <t>-664.194151678521 363.096596284239 -589.249993878022</t>
  </si>
  <si>
    <t>-661.510293411092 346.104880766736 -697.411543218768</t>
  </si>
  <si>
    <t>-651.922438994747 314.088455037406 -846.015114814863</t>
  </si>
  <si>
    <t>-638.125229924737 266.98997633145 -935.314442481611</t>
  </si>
  <si>
    <t>-631.874626551955 348.575664580256 -783.073627144218</t>
  </si>
  <si>
    <t>-511.152353571237 431.659997689176 -770.983530482837</t>
  </si>
  <si>
    <t>-476.881344237314 474.793922266652 -459.292727568188</t>
  </si>
  <si>
    <t>-372.58870137035 333.159982774741 -267.707492450269</t>
  </si>
  <si>
    <t>-680.454839415829 307.933901045511 -777.451855533215</t>
  </si>
  <si>
    <t>-798.233802811313 228.683890945239 -739.06547787676</t>
  </si>
  <si>
    <t>-789.343053402047 231.068524502621 -422.6773808722</t>
  </si>
  <si>
    <t>-545.849531260067 160.919496940508 -364.093406490821</t>
  </si>
  <si>
    <t>-559.326177799486 428.286812439944 -245.369450705391</t>
  </si>
  <si>
    <t>-593.759237281851 435.932834621089 208.958168304524</t>
  </si>
  <si>
    <t>-633.558598265623 437.983306487926 677.06651176549</t>
  </si>
  <si>
    <t>-508.569688949134 345.432527156468 759.259200593956</t>
  </si>
  <si>
    <t>-691.059623616267 282.494563645875 -238.673298886241</t>
  </si>
  <si>
    <t>-656.607552344123 167.780436574422 200.998699033666</t>
  </si>
  <si>
    <t>-672.692965188289 91.1513195535788 664.377892847551</t>
  </si>
  <si>
    <t>-628.078487735716 -56.5979130348992 748.776992082057</t>
  </si>
  <si>
    <t>9763-20170724T160806.027394600.bin</t>
  </si>
  <si>
    <t>-625.355514670775 356.025468953342 -242.267976149351</t>
  </si>
  <si>
    <t>-651.155464601237 373.825009323951 -359.252331003756</t>
  </si>
  <si>
    <t>-661.524799918222 372.768317669469 -480.008045451309</t>
  </si>
  <si>
    <t>-664.772593747829 363.803040204016 -589.113116982772</t>
  </si>
  <si>
    <t>-662.165215216885 346.803073986407 -697.275335767777</t>
  </si>
  <si>
    <t>-652.659140274936 314.75571869288 -845.877371807141</t>
  </si>
  <si>
    <t>-638.927240760912 267.623236452775 -935.168822229641</t>
  </si>
  <si>
    <t>-632.563576930181 349.240800867676 -782.949963215832</t>
  </si>
  <si>
    <t>-511.780315102699 432.243909818018 -770.907543265851</t>
  </si>
  <si>
    <t>-477.407119380478 475.224825643378 -459.206923404137</t>
  </si>
  <si>
    <t>-373.120988560515 333.472075921564 -267.706042029133</t>
  </si>
  <si>
    <t>-681.166994194239 308.630538577114 -777.301269945471</t>
  </si>
  <si>
    <t>-798.989666883098 229.46985502366 -738.862519013061</t>
  </si>
  <si>
    <t>-789.956741082583 232.070686505396 -422.480024988269</t>
  </si>
  <si>
    <t>-546.482777365004 161.768510372841 -363.998659187823</t>
  </si>
  <si>
    <t>-559.361861563465 428.798253011171 -245.354664632026</t>
  </si>
  <si>
    <t>-593.543635114488 436.236124299436 208.995279833961</t>
  </si>
  <si>
    <t>-633.50180960693 438.024750367917 677.073511638521</t>
  </si>
  <si>
    <t>-508.659397648384 345.264836814649 759.253055819791</t>
  </si>
  <si>
    <t>-691.401032937205 283.180897617923 -238.468827799479</t>
  </si>
  <si>
    <t>-656.307666363517 167.755616779223 200.96622266575</t>
  </si>
  <si>
    <t>-672.685605533867 91.2054873161969 664.395251408033</t>
  </si>
  <si>
    <t>-628.08906205309 -56.5563297541328 748.781974404928</t>
  </si>
  <si>
    <t>9763-20170724T160806.057473300.bin</t>
  </si>
  <si>
    <t>-625.517727506915 356.683442897442 -242.130653605187</t>
  </si>
  <si>
    <t>-651.419462056966 374.49418527403 -359.090832340198</t>
  </si>
  <si>
    <t>-661.883571588509 373.422410638633 -479.838101867746</t>
  </si>
  <si>
    <t>-665.211524455986 364.433909629385 -588.93895023769</t>
  </si>
  <si>
    <t>-662.67719463994 347.402182757645 -697.097841171901</t>
  </si>
  <si>
    <t>-653.263672023687 315.303000146407 -845.694767078644</t>
  </si>
  <si>
    <t>-639.618928387174 268.137849288142 -934.982130183398</t>
  </si>
  <si>
    <t>-633.10513742289 349.782786399704 -782.784457856526</t>
  </si>
  <si>
    <t>-512.233673215579 432.667083340388 -770.811251807846</t>
  </si>
  <si>
    <t>-477.782805218769 475.520218895211 -459.10142956618</t>
  </si>
  <si>
    <t>-373.540929885077 333.605716429244 -267.696219053062</t>
  </si>
  <si>
    <t>-681.752543711475 309.229027246311 -777.106039026384</t>
  </si>
  <si>
    <t>-799.653134436539 230.230592172885 -738.604625541873</t>
  </si>
  <si>
    <t>-790.454470200678 232.824659333565 -422.226902428703</t>
  </si>
  <si>
    <t>-547.021513427009 162.272400115111 -363.876063373755</t>
  </si>
  <si>
    <t>-559.296307515758 429.344546228 -245.339135280026</t>
  </si>
  <si>
    <t>-593.504171554664 436.523172378141 209.01316235167</t>
  </si>
  <si>
    <t>-633.49712707537 438.030203065563 677.081897405491</t>
  </si>
  <si>
    <t>-508.667067813838 345.242352113854 759.248662854554</t>
  </si>
  <si>
    <t>-691.744507258486 283.874287161545 -238.218394501635</t>
  </si>
  <si>
    <t>-656.024027095299 167.548254873389 200.928445945938</t>
  </si>
  <si>
    <t>-672.723190432918 91.272170757908 664.420678870564</t>
  </si>
  <si>
    <t>-627.853369248201 -56.4271214945215 748.771783358085</t>
  </si>
  <si>
    <t>9763-20170724T160806.119679500.bin</t>
  </si>
  <si>
    <t>-625.795683643597 357.886465175 -241.830378191962</t>
  </si>
  <si>
    <t>-652.00150648481 375.729281275216 -358.717974293595</t>
  </si>
  <si>
    <t>-662.740049766755 374.64707728789 -479.4411046266</t>
  </si>
  <si>
    <t>-666.30433049744 365.628281934434 -588.531978114187</t>
  </si>
  <si>
    <t>-663.995147162161 348.544139527731 -696.68758698909</t>
  </si>
  <si>
    <t>-654.883710530728 316.348813662083 -845.282606498125</t>
  </si>
  <si>
    <t>-641.468800015696 269.09689494495 -934.558843019816</t>
  </si>
  <si>
    <t>-634.534077135375 350.796018945874 -782.41581116516</t>
  </si>
  <si>
    <t>-513.373274578535 433.307580557609 -770.622244878262</t>
  </si>
  <si>
    <t>-478.614078575092 476.009960080831 -458.926113876642</t>
  </si>
  <si>
    <t>-374.649937177656 333.791776981594 -267.595298825218</t>
  </si>
  <si>
    <t>-683.296218885714 310.39271445529 -776.65189585606</t>
  </si>
  <si>
    <t>-801.381310200301 231.806152671239 -737.905329359684</t>
  </si>
  <si>
    <t>-791.751131157461 234.466402612373 -421.541001219822</t>
  </si>
  <si>
    <t>-548.451156672204 163.147432630181 -363.568896526963</t>
  </si>
  <si>
    <t>-559.349646432917 430.55785118529 -245.29578150227</t>
  </si>
  <si>
    <t>-593.319989346408 437.250532953675 209.081766682706</t>
  </si>
  <si>
    <t>-633.388190127997 438.102043217584 677.108539473638</t>
  </si>
  <si>
    <t>-508.820101786037 344.965173332692 759.278036784179</t>
  </si>
  <si>
    <t>-692.21804779685 285.059283771568 -237.706496849996</t>
  </si>
  <si>
    <t>-655.009026269134 166.708907218263 200.775343829055</t>
  </si>
  <si>
    <t>-672.554514240536 91.4101056104328 664.431493503942</t>
  </si>
  <si>
    <t>-627.94609868827 -56.4055712396766 748.717324319238</t>
  </si>
  <si>
    <t>9763-20170724T160806.189377900.bin</t>
  </si>
  <si>
    <t>-626.138554158979 359.034110883874 -241.525688467703</t>
  </si>
  <si>
    <t>-652.66378435655 376.826632401574 -358.348846709189</t>
  </si>
  <si>
    <t>-663.678527031646 375.666930855917 -479.046383231155</t>
  </si>
  <si>
    <t>-667.479475923996 366.560615650547 -588.121963147538</t>
  </si>
  <si>
    <t>-665.39766826891 349.368455901463 -696.265157293583</t>
  </si>
  <si>
    <t>-656.596945939698 316.998833150695 -844.840910543861</t>
  </si>
  <si>
    <t>-643.462338045599 269.61208011538 -934.087566537584</t>
  </si>
  <si>
    <t>-636.051932093086 351.444963323604 -782.03736373774</t>
  </si>
  <si>
    <t>-514.580114063905 433.51547855343 -770.480685273172</t>
  </si>
  <si>
    <t>-479.215650093988 476.289979084087 -458.862568170116</t>
  </si>
  <si>
    <t>-375.813181657781 333.784322601264 -267.441208267626</t>
  </si>
  <si>
    <t>-684.930070958748 311.19779009491 -776.164098935534</t>
  </si>
  <si>
    <t>-803.205387392528 232.99443886906 -737.181498532567</t>
  </si>
  <si>
    <t>-793.054766010112 236.038201214296 -420.837020908884</t>
  </si>
  <si>
    <t>-549.942713086945 163.943653675444 -363.035883515246</t>
  </si>
  <si>
    <t>-559.578176296464 431.811024820673 -245.231884574976</t>
  </si>
  <si>
    <t>-593.586890704477 437.990851621207 209.149994195922</t>
  </si>
  <si>
    <t>-633.529229991867 437.987904842104 677.134879116033</t>
  </si>
  <si>
    <t>-508.853085553812 344.995742590966 759.304421824664</t>
  </si>
  <si>
    <t>-692.706501792838 286.05877991916 -237.2075713306</t>
  </si>
  <si>
    <t>-653.539691429994 165.47897471603 200.495674933038</t>
  </si>
  <si>
    <t>-672.47642844374 91.5837226379276 664.352172462933</t>
  </si>
  <si>
    <t>-627.904597843596 -56.2840447420108 748.566171693223</t>
  </si>
  <si>
    <t>9763-20170724T160806.253799300.bin</t>
  </si>
  <si>
    <t>-626.682285074535 360.092744027011 -241.248583718942</t>
  </si>
  <si>
    <t>-653.587305060322 377.666091295566 -358.018054644305</t>
  </si>
  <si>
    <t>-664.905364530889 376.367219579827 -478.686078067562</t>
  </si>
  <si>
    <t>-668.956084393464 367.158345342365 -587.744073254659</t>
  </si>
  <si>
    <t>-667.104369983614 349.881610810892 -695.877895802332</t>
  </si>
  <si>
    <t>-658.608259300907 317.407931340926 -844.448651050233</t>
  </si>
  <si>
    <t>-645.737315361431 269.889578198436 -933.663821062118</t>
  </si>
  <si>
    <t>-637.884404573721 351.839297673118 -781.695833455167</t>
  </si>
  <si>
    <t>-516.195280844132 433.617723600251 -770.353068130791</t>
  </si>
  <si>
    <t>-480.157651422813 476.497950247417 -458.826543206076</t>
  </si>
  <si>
    <t>-377.086030428687 333.71609260179 -267.432575747634</t>
  </si>
  <si>
    <t>-686.850703501943 311.713658093116 -775.725687548463</t>
  </si>
  <si>
    <t>-805.230449903228 233.769039798695 -736.55612918657</t>
  </si>
  <si>
    <t>-794.839141739708 237.163071270877 -420.222870083251</t>
  </si>
  <si>
    <t>-551.805719636552 164.806073261407 -362.4190537403</t>
  </si>
  <si>
    <t>-559.993455739622 433.192044318764 -245.24870488197</t>
  </si>
  <si>
    <t>-594.071873662123 439.074044449171 209.131883804251</t>
  </si>
  <si>
    <t>-633.429177432536 438.038514292041 677.125955202277</t>
  </si>
  <si>
    <t>-508.885537218732 344.904490756163 759.335726637739</t>
  </si>
  <si>
    <t>-693.39505514158 286.777844194242 -236.633106397905</t>
  </si>
  <si>
    <t>-651.444694035473 163.464934426397 200.049562884508</t>
  </si>
  <si>
    <t>-672.287524417272 91.7944933255349 664.186684230995</t>
  </si>
  <si>
    <t>-627.470210601672 -56.0641905740522 748.286262127739</t>
  </si>
  <si>
    <t>9763-20170724T160806.285884700.bin</t>
  </si>
  <si>
    <t>-627.002486760211 360.539967318126 -241.128758521531</t>
  </si>
  <si>
    <t>-654.159993184849 377.997564229469 -357.857196654596</t>
  </si>
  <si>
    <t>-665.654773006094 376.631408313439 -478.507750163453</t>
  </si>
  <si>
    <t>-669.839395413285 367.37395343309 -587.556581611787</t>
  </si>
  <si>
    <t>-668.09970524097 350.056537707614 -695.685863180717</t>
  </si>
  <si>
    <t>-659.739648891551 317.531947223414 -844.253187307148</t>
  </si>
  <si>
    <t>-646.986046254799 269.963165314181 -933.458260980424</t>
  </si>
  <si>
    <t>-638.934586673569 351.956774194739 -781.52369627873</t>
  </si>
  <si>
    <t>-517.163989657208 433.627974090124 -770.281470940435</t>
  </si>
  <si>
    <t>-480.922909253892 476.568294936032 -458.786858730634</t>
  </si>
  <si>
    <t>-377.855194702619 333.733224475552 -267.430675881211</t>
  </si>
  <si>
    <t>-687.942900722595 311.889289694682 -775.509761098464</t>
  </si>
  <si>
    <t>-806.368364145619 234.0440945877 -736.27334404781</t>
  </si>
  <si>
    <t>-795.89818111121 237.507368297008 -419.943431753316</t>
  </si>
  <si>
    <t>-552.907735186776 165.038130674196 -362.099574620013</t>
  </si>
  <si>
    <t>-560.285018902211 433.906353259034 -245.277886317514</t>
  </si>
  <si>
    <t>-594.392269975835 439.571750748849 209.103377285473</t>
  </si>
  <si>
    <t>-633.481726031827 438.00335186327 677.129963220502</t>
  </si>
  <si>
    <t>-508.904947949835 344.916648379815 759.343099155569</t>
  </si>
  <si>
    <t>-693.694812028106 287.010894950562 -236.334720107476</t>
  </si>
  <si>
    <t>-650.189633428025 162.190046436144 199.766993694952</t>
  </si>
  <si>
    <t>-672.169009885602 91.8952103883812 664.108310519252</t>
  </si>
  <si>
    <t>-627.113949436784 -55.9176955538685 748.161373800354</t>
  </si>
  <si>
    <t>9763-20170724T160806.322993800.bin</t>
  </si>
  <si>
    <t>-627.323185824213 360.95870410242 -241.013474315847</t>
  </si>
  <si>
    <t>-654.790918078876 378.349327591126 -357.679159873574</t>
  </si>
  <si>
    <t>-666.484805817321 376.963987866472 -478.310436166782</t>
  </si>
  <si>
    <t>-670.808466484164 367.699814817568 -587.353145637954</t>
  </si>
  <si>
    <t>-669.170091266963 350.381956444093 -695.484007813891</t>
  </si>
  <si>
    <t>-660.915631549238 317.859129869193 -844.057704048226</t>
  </si>
  <si>
    <t>-648.228909428511 270.27933060316 -933.266403031621</t>
  </si>
  <si>
    <t>-640.053839717469 352.26894398003 -781.338748020683</t>
  </si>
  <si>
    <t>-518.216928028355 433.846473391483 -770.180491634452</t>
  </si>
  <si>
    <t>-481.757200669588 476.844295796684 -458.719359462926</t>
  </si>
  <si>
    <t>-378.650011127415 334.004533498402 -267.387778030774</t>
  </si>
  <si>
    <t>-689.082220560533 312.229852808693 -775.298047126881</t>
  </si>
  <si>
    <t>-807.518516006536 234.415683545534 -736.008127096698</t>
  </si>
  <si>
    <t>-796.982894087924 237.988555479408 -419.68171075956</t>
  </si>
  <si>
    <t>-554.003929328902 165.52724496858 -361.779854275993</t>
  </si>
  <si>
    <t>-560.643253151414 434.611237633786 -245.304446935024</t>
  </si>
  <si>
    <t>-594.592340044818 440.024578550506 209.091677381513</t>
  </si>
  <si>
    <t>-633.459049801285 438.028010632002 677.135586662173</t>
  </si>
  <si>
    <t>-508.92957607037 344.876626281316 759.347160829772</t>
  </si>
  <si>
    <t>-693.950299397412 287.179249918561 -236.030375550577</t>
  </si>
  <si>
    <t>-648.827050135008 160.87050413215 199.478092071798</t>
  </si>
  <si>
    <t>-672.060565591832 91.9988042873003 664.024636304966</t>
  </si>
  <si>
    <t>-626.972362829977 -55.8262250291309 748.038506949357</t>
  </si>
  <si>
    <t>9763-20170724T160806.389674500.bin</t>
  </si>
  <si>
    <t>-627.913512130405 361.560331622951 -240.771785360383</t>
  </si>
  <si>
    <t>-655.946370847327 378.894202283164 -357.311323830924</t>
  </si>
  <si>
    <t>-667.982599519517 377.533701251131 -477.909251642046</t>
  </si>
  <si>
    <t>-672.528644205787 368.311090799118 -586.946426910643</t>
  </si>
  <si>
    <t>-671.030105829549 351.045998585386 -695.087741812401</t>
  </si>
  <si>
    <t>-662.888699063197 318.602371813397 -843.684957000531</t>
  </si>
  <si>
    <t>-650.242234662293 271.059774142028 -932.919304220421</t>
  </si>
  <si>
    <t>-641.987103817599 352.988314247623 -780.966075955681</t>
  </si>
  <si>
    <t>-520.166039981481 434.597594322933 -769.949648873147</t>
  </si>
  <si>
    <t>-483.27742759474 477.59319996961 -458.538759246512</t>
  </si>
  <si>
    <t>-380.011614410778 334.816573632808 -267.245540182368</t>
  </si>
  <si>
    <t>-690.99488984451 312.92708010522 -774.904538977691</t>
  </si>
  <si>
    <t>-809.357112275154 234.990389734133 -735.628755789636</t>
  </si>
  <si>
    <t>-798.93631951433 238.825162145085 -419.301543895406</t>
  </si>
  <si>
    <t>-555.880736871272 166.777368196517 -361.205606780088</t>
  </si>
  <si>
    <t>-561.380694015905 435.729091991101 -245.302730413662</t>
  </si>
  <si>
    <t>-594.786444821494 440.475058262912 209.14103911812</t>
  </si>
  <si>
    <t>-633.593323416193 437.96030631372 677.171300622946</t>
  </si>
  <si>
    <t>-509.115697665103 344.709339209772 759.348468185255</t>
  </si>
  <si>
    <t>-694.337142371214 287.301940275702 -235.486166138275</t>
  </si>
  <si>
    <t>-645.899069791179 158.342937756106 198.888097071426</t>
  </si>
  <si>
    <t>-671.814853857694 92.2232756164924 663.803336169383</t>
  </si>
  <si>
    <t>-626.751962992225 -55.6484567285058 747.748358689625</t>
  </si>
  <si>
    <t>9763-20170724T160806.428291300.bin</t>
  </si>
  <si>
    <t>-628.10701936142 361.86346573499 -240.62238544735</t>
  </si>
  <si>
    <t>-656.398919307439 379.187164702685 -357.100941431594</t>
  </si>
  <si>
    <t>-668.586121393618 377.85299789194 -477.683973516512</t>
  </si>
  <si>
    <t>-673.224551230987 368.663695747283 -586.720199922114</t>
  </si>
  <si>
    <t>-671.775707389144 351.438014319725 -694.868315709755</t>
  </si>
  <si>
    <t>-663.660873162912 319.052458757414 -843.479582142454</t>
  </si>
  <si>
    <t>-650.996196971442 271.536991107929 -932.725857791961</t>
  </si>
  <si>
    <t>-642.760773606885 353.428332554216 -780.755027065857</t>
  </si>
  <si>
    <t>-520.962712036493 435.086502762414 -769.791038916855</t>
  </si>
  <si>
    <t>-483.911742376239 478.160407802667 -458.410093068802</t>
  </si>
  <si>
    <t>-380.502233632207 335.41556895324 -267.170810463011</t>
  </si>
  <si>
    <t>-691.742324240865 313.335514091736 -774.692536144161</t>
  </si>
  <si>
    <t>-810.021936319829 235.259140804545 -735.454594482319</t>
  </si>
  <si>
    <t>-799.652395936307 239.179759309169 -419.126832127413</t>
  </si>
  <si>
    <t>-556.501388615771 167.515072285307 -360.956466705742</t>
  </si>
  <si>
    <t>-561.662112832131 436.303530478255 -245.276252782556</t>
  </si>
  <si>
    <t>-594.76253182696 440.683022858267 209.193590348802</t>
  </si>
  <si>
    <t>-633.56030428656 437.981244642815 677.185587979472</t>
  </si>
  <si>
    <t>-509.190543170506 344.577885931738 759.353038271288</t>
  </si>
  <si>
    <t>-694.439173624605 287.371581691272 -235.231080562075</t>
  </si>
  <si>
    <t>-644.456108426538 157.273504181714 198.62815729263</t>
  </si>
  <si>
    <t>-671.642111702012 92.3468202980109 663.671476794689</t>
  </si>
  <si>
    <t>-626.34651303113 -55.4731271499861 747.582701875497</t>
  </si>
  <si>
    <t>9763-20170724T160806.490958500.bin</t>
  </si>
  <si>
    <t>-628.335074260544 362.440949424978 -240.366618980604</t>
  </si>
  <si>
    <t>-657.09821550518 379.689088325339 -356.740909592589</t>
  </si>
  <si>
    <t>-669.603021933838 378.41473552445 -477.292067015569</t>
  </si>
  <si>
    <t>-674.464134839837 369.325769163652 -586.326993718887</t>
  </si>
  <si>
    <t>-673.173539593954 352.241206735363 -694.499538245936</t>
  </si>
  <si>
    <t>-665.211886422393 320.089700261241 -843.1700571261</t>
  </si>
  <si>
    <t>-652.507035799549 272.702896256019 -932.478791402559</t>
  </si>
  <si>
    <t>-644.2878556608 354.414491389615 -780.425420057922</t>
  </si>
  <si>
    <t>-522.639445484273 436.306689325024 -769.57297852488</t>
  </si>
  <si>
    <t>-485.375659540085 479.414488957859 -458.222166874511</t>
  </si>
  <si>
    <t>-381.599814093124 336.795434033258 -267.087581346783</t>
  </si>
  <si>
    <t>-693.181710368692 314.216737434492 -774.350480539524</t>
  </si>
  <si>
    <t>-811.230777390493 235.771809622488 -735.150573254086</t>
  </si>
  <si>
    <t>-800.803022945803 239.615553325258 -418.823701446212</t>
  </si>
  <si>
    <t>-557.427777295313 168.714537298068 -360.655133767276</t>
  </si>
  <si>
    <t>-562.11699063009 437.345908730619 -245.224103492323</t>
  </si>
  <si>
    <t>-594.787126645462 441.156341721557 209.281922824385</t>
  </si>
  <si>
    <t>-633.539534301287 437.985943465704 677.210901920408</t>
  </si>
  <si>
    <t>-509.21291905519 344.509412224252 759.360430525956</t>
  </si>
  <si>
    <t>-694.476472037484 287.469736931438 -234.81015972606</t>
  </si>
  <si>
    <t>-642.032403732833 155.622773403143 198.229867296337</t>
  </si>
  <si>
    <t>-671.357305516524 92.5788066352463 663.412721156066</t>
  </si>
  <si>
    <t>-625.887623236315 -55.2227583948654 747.261982504155</t>
  </si>
  <si>
    <t>9763-20170724T160806.553627800.bin</t>
  </si>
  <si>
    <t>-628.465955292004 362.889249256629 -240.186174668841</t>
  </si>
  <si>
    <t>-657.543081166668 379.983517755684 -356.505173418879</t>
  </si>
  <si>
    <t>-670.253397169879 378.663797924431 -477.034235847685</t>
  </si>
  <si>
    <t>-675.254790847607 369.572994986472 -586.062627603169</t>
  </si>
  <si>
    <t>-674.058811741258 352.522412825102 -694.241614765667</t>
  </si>
  <si>
    <t>-666.181478340575 320.452287672846 -842.934144059525</t>
  </si>
  <si>
    <t>-653.419459498574 273.166684541486 -932.288399341257</t>
  </si>
  <si>
    <t>-645.269990997458 354.799395206755 -780.197433080079</t>
  </si>
  <si>
    <t>-523.817529067943 437.00020801693 -769.458085265766</t>
  </si>
  <si>
    <t>-486.524840405522 479.982703053632 -458.093373013964</t>
  </si>
  <si>
    <t>-382.316727448808 337.629668629615 -266.995658776621</t>
  </si>
  <si>
    <t>-694.063819583976 314.485389763538 -774.087351687429</t>
  </si>
  <si>
    <t>-811.777662612686 235.533329468056 -734.904616185688</t>
  </si>
  <si>
    <t>-800.999370137669 239.217370289847 -418.587438338545</t>
  </si>
  <si>
    <t>-557.28655274728 169.286367692839 -360.65875549963</t>
  </si>
  <si>
    <t>-562.468242273515 438.149008179606 -245.222393912812</t>
  </si>
  <si>
    <t>-594.928673187044 441.622440911795 209.301453798153</t>
  </si>
  <si>
    <t>-633.624256542864 437.917292223405 677.235102511877</t>
  </si>
  <si>
    <t>-509.328323351946 344.390004825884 759.37327136799</t>
  </si>
  <si>
    <t>-694.400741449761 287.514824332176 -234.514196240547</t>
  </si>
  <si>
    <t>-640.004156502423 154.518914626901 197.933272302137</t>
  </si>
  <si>
    <t>-671.078052810875 92.8144334554763 663.197674098668</t>
  </si>
  <si>
    <t>-625.42520550775 -54.9630034985948 746.99017263767</t>
  </si>
  <si>
    <t>9763-20170724T160806.591228400.bin</t>
  </si>
  <si>
    <t>-628.485783650804 363.081820862387 -240.116568766312</t>
  </si>
  <si>
    <t>-657.722564213462 380.09897201923 -356.406785569137</t>
  </si>
  <si>
    <t>-670.561437324812 378.779775268526 -476.922327257729</t>
  </si>
  <si>
    <t>-675.664835415442 369.719082678797 -585.948500692017</t>
  </si>
  <si>
    <t>-674.556564481052 352.725975172568 -694.137433406818</t>
  </si>
  <si>
    <t>-666.785436055317 320.762650065416 -842.858548881947</t>
  </si>
  <si>
    <t>-654.019433426022 273.548313073094 -932.249871304533</t>
  </si>
  <si>
    <t>-645.852756521569 355.091877579825 -780.119087390474</t>
  </si>
  <si>
    <t>-524.4947911933 437.453086184462 -769.417007593571</t>
  </si>
  <si>
    <t>-487.181931422279 480.480992072691 -458.060950894269</t>
  </si>
  <si>
    <t>-382.763115946634 338.279429113643 -266.965499834373</t>
  </si>
  <si>
    <t>-694.595142753541 314.718916978637 -773.989082223346</t>
  </si>
  <si>
    <t>-812.122099659361 235.510433236618 -734.796476087733</t>
  </si>
  <si>
    <t>-801.087865569578 239.084305059791 -418.487140361757</t>
  </si>
  <si>
    <t>-557.179193369381 169.739667621096 -360.677849294249</t>
  </si>
  <si>
    <t>-562.609496266846 438.491543969399 -245.240115398073</t>
  </si>
  <si>
    <t>-594.949437522611 441.691950487692 209.294312324883</t>
  </si>
  <si>
    <t>-633.704897890991 437.854320272671 677.24471903086</t>
  </si>
  <si>
    <t>-509.432584523659 344.286674904389 759.372642605212</t>
  </si>
  <si>
    <t>-694.270860191573 287.565483536281 -234.354232574467</t>
  </si>
  <si>
    <t>-639.129633348722 153.986109288798 197.818892680811</t>
  </si>
  <si>
    <t>-670.945842838414 92.9385798341214 663.104557946867</t>
  </si>
  <si>
    <t>-625.086485716255 -54.7996316609165 746.85320986069</t>
  </si>
  <si>
    <t>9763-20170724T160806.622718900.bin</t>
  </si>
  <si>
    <t>-628.445204632142 363.298827704459 -240.063232273946</t>
  </si>
  <si>
    <t>-657.823636457649 380.220409103227 -356.331810075737</t>
  </si>
  <si>
    <t>-670.780856974859 378.868663001823 -476.834235673521</t>
  </si>
  <si>
    <t>-675.981062303966 369.802361604463 -585.855423325673</t>
  </si>
  <si>
    <t>-674.958695551962 352.826392021718 -694.048003949044</t>
  </si>
  <si>
    <t>-667.295163983295 320.909321949503 -842.784571722264</t>
  </si>
  <si>
    <t>-654.529405857575 273.748594547286 -932.204318546938</t>
  </si>
  <si>
    <t>-646.341699672578 355.247766090636 -780.057057804912</t>
  </si>
  <si>
    <t>-525.134955201262 437.827937555931 -769.427492770188</t>
  </si>
  <si>
    <t>-487.801995192076 480.795420095303 -458.065531747106</t>
  </si>
  <si>
    <t>-383.146673933535 338.832834651286 -266.921744181614</t>
  </si>
  <si>
    <t>-695.030350905742 314.815523844555 -773.889362554508</t>
  </si>
  <si>
    <t>-812.376587932553 235.343096512653 -734.661928324942</t>
  </si>
  <si>
    <t>-801.24366237489 238.838827320516 -418.354988797013</t>
  </si>
  <si>
    <t>-557.143151629764 170.074504746109 -360.662357838459</t>
  </si>
  <si>
    <t>-562.691256682314 438.844992653035 -245.255478169602</t>
  </si>
  <si>
    <t>-594.813144537544 441.755537432391 209.296428112531</t>
  </si>
  <si>
    <t>-633.627226831976 437.903854027786 677.247004113438</t>
  </si>
  <si>
    <t>-509.494105258739 344.144824125382 759.367205424079</t>
  </si>
  <si>
    <t>-694.101237595182 287.642231501579 -234.195927909988</t>
  </si>
  <si>
    <t>-638.361077460202 153.473951276413 197.717913898385</t>
  </si>
  <si>
    <t>-670.890516919846 93.0334187415713 663.030444781236</t>
  </si>
  <si>
    <t>-625.080111431968 -54.7350377262799 746.752706961333</t>
  </si>
  <si>
    <t>9763-20170724T160806.693943400.bin</t>
  </si>
  <si>
    <t>-628.471925129356 363.479975569657 -239.945883646378</t>
  </si>
  <si>
    <t>-658.043330124154 380.126585253784 -356.205159980551</t>
  </si>
  <si>
    <t>-671.232526190848 378.695597108782 -476.681539572731</t>
  </si>
  <si>
    <t>-676.653505952606 369.638860948906 -585.692802704358</t>
  </si>
  <si>
    <t>-675.859199956084 352.752790535564 -693.901235021842</t>
  </si>
  <si>
    <t>-668.516994985568 321.04145685098 -842.698063876841</t>
  </si>
  <si>
    <t>-655.777533830696 274.019744992848 -932.194693822084</t>
  </si>
  <si>
    <t>-647.491939185186 355.366626076786 -779.98726703153</t>
  </si>
  <si>
    <t>-526.543701983662 438.354416332955 -769.543602260637</t>
  </si>
  <si>
    <t>-489.035983301699 481.282653426459 -458.197297250497</t>
  </si>
  <si>
    <t>-383.869565237717 339.68602202259 -267.062463970465</t>
  </si>
  <si>
    <t>-696.039578286577 314.778687315344 -773.732849945823</t>
  </si>
  <si>
    <t>-812.934830195393 234.685139781725 -734.431603013913</t>
  </si>
  <si>
    <t>-801.349485354813 238.225893692643 -418.14157125038</t>
  </si>
  <si>
    <t>-556.842750238654 170.73141084278 -360.669586511577</t>
  </si>
  <si>
    <t>-563.103207625312 439.13375306286 -245.274707263297</t>
  </si>
  <si>
    <t>-594.780267624307 441.677554685378 209.310561879491</t>
  </si>
  <si>
    <t>-633.99969524749 437.639311018933 677.257550300625</t>
  </si>
  <si>
    <t>-509.478832231706 344.35155476748 759.327404725703</t>
  </si>
  <si>
    <t>-693.84290887343 287.696369091279 -233.958737145816</t>
  </si>
  <si>
    <t>-637.316671656005 153.025148018697 197.696285845619</t>
  </si>
  <si>
    <t>-670.747952571454 93.199509198188 662.96936705769</t>
  </si>
  <si>
    <t>-624.975125701891 -54.5821074614416 746.688991074767</t>
  </si>
  <si>
    <t>9763-20170724T160806.723835100.bin</t>
  </si>
  <si>
    <t>-628.39977922881 363.668863855893 -239.913123634353</t>
  </si>
  <si>
    <t>-658.017525576728 380.215230393737 -356.174870222437</t>
  </si>
  <si>
    <t>-671.284765660235 378.751859378935 -476.642356254941</t>
  </si>
  <si>
    <t>-676.785934184547 369.696106657894 -585.649741769928</t>
  </si>
  <si>
    <t>-676.079633202091 352.841248832642 -693.863680536395</t>
  </si>
  <si>
    <t>-668.864981078888 321.205374965393 -842.682819475791</t>
  </si>
  <si>
    <t>-656.1345415378 274.234450685635 -932.207253875287</t>
  </si>
  <si>
    <t>-647.826063237269 355.545047937774 -779.984346101952</t>
  </si>
  <si>
    <t>-527.03266987744 438.754893637366 -769.665438529963</t>
  </si>
  <si>
    <t>-489.408162706921 481.589288956591 -458.320434789716</t>
  </si>
  <si>
    <t>-383.88331338794 340.100125863071 -267.303748241682</t>
  </si>
  <si>
    <t>-696.288260771912 314.861669549483 -773.685377635713</t>
  </si>
  <si>
    <t>-812.990377095911 234.500469027643 -734.325942745955</t>
  </si>
  <si>
    <t>-801.146561523621 237.930826995178 -418.044202480458</t>
  </si>
  <si>
    <t>-556.472613466166 170.942492274897 -360.692071492993</t>
  </si>
  <si>
    <t>-563.116522365686 439.449518872127 -245.294351940924</t>
  </si>
  <si>
    <t>-594.690778691273 441.743877074416 209.299401327685</t>
  </si>
  <si>
    <t>-633.932262880679 437.676130895857 677.243230160957</t>
  </si>
  <si>
    <t>-509.565259530157 344.185257884167 759.315244669155</t>
  </si>
  <si>
    <t>-693.619686389321 287.842406723628 -233.887996454673</t>
  </si>
  <si>
    <t>-637.083239908331 153.075973782795 197.736066309208</t>
  </si>
  <si>
    <t>-670.714899945564 93.2599079098529 662.977772137133</t>
  </si>
  <si>
    <t>-624.971255353878 -54.5210974035178 746.714253936393</t>
  </si>
  <si>
    <t>9763-20170724T160806.789515400.bin</t>
  </si>
  <si>
    <t>-628.230401475667 364.190199521363 -239.90898228046</t>
  </si>
  <si>
    <t>-657.907536126979 380.55282630475 -356.181823378728</t>
  </si>
  <si>
    <t>-671.325121483556 379.020045203411 -476.631609579414</t>
  </si>
  <si>
    <t>-676.99344950014 369.953718100813 -585.629352729823</t>
  </si>
  <si>
    <t>-676.481642225764 353.141557247533 -693.851099839975</t>
  </si>
  <si>
    <t>-669.560722827714 321.621377284005 -842.708861670247</t>
  </si>
  <si>
    <t>-656.880821683276 274.724139569992 -932.279146919132</t>
  </si>
  <si>
    <t>-648.466885286879 355.990353197888 -780.045156321073</t>
  </si>
  <si>
    <t>-527.92592489652 439.59982088027 -769.9785104136</t>
  </si>
  <si>
    <t>-489.868828797817 482.281524791241 -458.664932578664</t>
  </si>
  <si>
    <t>-383.547683232998 341.022132972585 -267.919933078839</t>
  </si>
  <si>
    <t>-696.779288415471 315.145643514053 -773.642529974295</t>
  </si>
  <si>
    <t>-813.07196333114 234.28674853995 -734.101858243069</t>
  </si>
  <si>
    <t>-800.614837532555 237.82835028291 -417.844875168819</t>
  </si>
  <si>
    <t>-555.592442260891 171.76302602272 -360.911223532531</t>
  </si>
  <si>
    <t>-563.193102523076 439.970773869811 -245.33005906824</t>
  </si>
  <si>
    <t>-594.753291447322 442.08693348615 209.265475791409</t>
  </si>
  <si>
    <t>-634.136402089449 437.510083111543 677.218457441295</t>
  </si>
  <si>
    <t>-509.441308781073 344.440427765257 759.271386079046</t>
  </si>
  <si>
    <t>-693.230184211675 288.311442172813 -233.845734997685</t>
  </si>
  <si>
    <t>-637.174938721181 153.793027388453 197.918416207899</t>
  </si>
  <si>
    <t>-670.59938578037 93.3960120521256 663.043469880231</t>
  </si>
  <si>
    <t>-624.67511579986 -54.3282495205326 746.781170347249</t>
  </si>
  <si>
    <t>9763-20170724T160806.825022600.bin</t>
  </si>
  <si>
    <t>-628.17096354347 364.453311806217 -239.919315057853</t>
  </si>
  <si>
    <t>-657.83928917314 380.740068265263 -356.204906998771</t>
  </si>
  <si>
    <t>-671.307044941104 379.173104000097 -476.648806743196</t>
  </si>
  <si>
    <t>-677.041952510388 370.096410044108 -585.642259825021</t>
  </si>
  <si>
    <t>-676.615669230901 353.295893852541 -693.866190033049</t>
  </si>
  <si>
    <t>-669.831271498222 321.815149309861 -842.73834915625</t>
  </si>
  <si>
    <t>-657.177500820233 274.946074495967 -932.32722475887</t>
  </si>
  <si>
    <t>-648.706694364451 356.198071105782 -780.092675012009</t>
  </si>
  <si>
    <t>-528.250174403878 439.958075990047 -770.155776795666</t>
  </si>
  <si>
    <t>-489.979089537544 482.570239602485 -458.858974930871</t>
  </si>
  <si>
    <t>-383.350760577348 341.42492025752 -268.200924817538</t>
  </si>
  <si>
    <t>-696.959722928792 315.290594065055 -773.641352062965</t>
  </si>
  <si>
    <t>-813.084759152417 234.243062542877 -734.020315994687</t>
  </si>
  <si>
    <t>-800.313910330271 237.75525973545 -417.77553224908</t>
  </si>
  <si>
    <t>-555.147893281569 172.051996677999 -361.04133100681</t>
  </si>
  <si>
    <t>-563.203089274385 440.200172308687 -245.35858573915</t>
  </si>
  <si>
    <t>-594.826442839304 442.257129108149 209.232904107962</t>
  </si>
  <si>
    <t>-634.201280155041 437.461452344514 677.206715344382</t>
  </si>
  <si>
    <t>-509.417322329007 344.510477838237 759.259105363195</t>
  </si>
  <si>
    <t>-693.099082627268 288.58905529793 -233.834672918166</t>
  </si>
  <si>
    <t>-637.435364621212 154.2082668531 198.022943744263</t>
  </si>
  <si>
    <t>-670.589455114447 93.4577056698572 663.104669915171</t>
  </si>
  <si>
    <t>-624.918625416141 -54.3425432577569 746.846987447504</t>
  </si>
  <si>
    <t>9763-20170724T160806.889196800.bin</t>
  </si>
  <si>
    <t>-627.97280577796 365.196783300757 -239.920380362987</t>
  </si>
  <si>
    <t>-657.634261368471 381.380768874035 -356.222091760473</t>
  </si>
  <si>
    <t>-671.189562287199 379.755857478841 -476.655408785109</t>
  </si>
  <si>
    <t>-677.038534129174 370.650269495654 -585.640383195648</t>
  </si>
  <si>
    <t>-676.759035764074 353.845530339488 -693.864090710576</t>
  </si>
  <si>
    <t>-670.209498354846 322.386057192381 -842.751288209201</t>
  </si>
  <si>
    <t>-657.634222096342 275.520581627059 -932.353148076188</t>
  </si>
  <si>
    <t>-649.024509591505 356.803788315212 -780.145106936021</t>
  </si>
  <si>
    <t>-528.659596416526 440.721119609813 -770.483389500426</t>
  </si>
  <si>
    <t>-489.919517258075 483.490542465728 -459.266072365814</t>
  </si>
  <si>
    <t>-382.849223637312 342.563216856002 -268.694642945856</t>
  </si>
  <si>
    <t>-697.19031777997 315.808142912008 -773.601699436906</t>
  </si>
  <si>
    <t>-813.101976692741 234.549249378684 -733.77757295959</t>
  </si>
  <si>
    <t>-799.975689311677 238.227649366878 -417.549388676298</t>
  </si>
  <si>
    <t>-554.575555427297 173.108711505187 -361.154326287653</t>
  </si>
  <si>
    <t>-563.046082878754 440.938434803314 -245.39736719284</t>
  </si>
  <si>
    <t>-594.665621078059 442.74357984622 209.195432641829</t>
  </si>
  <si>
    <t>-634.05993913823 437.550387473408 677.18418770123</t>
  </si>
  <si>
    <t>-509.642010888878 344.13526673298 759.265307054836</t>
  </si>
  <si>
    <t>-692.805925808436 289.361868653275 -233.76774823205</t>
  </si>
  <si>
    <t>-637.977233908694 155.101322132974 198.234137941141</t>
  </si>
  <si>
    <t>-670.540716887244 93.5620837445956 663.242416197287</t>
  </si>
  <si>
    <t>-624.521582299818 -54.132186077592 746.980918759756</t>
  </si>
  <si>
    <t>9763-20170724T160806.922898900.bin</t>
  </si>
  <si>
    <t>-627.966310758881 365.572315368253 -239.882551863363</t>
  </si>
  <si>
    <t>-657.579841009032 381.692189842861 -356.205449047592</t>
  </si>
  <si>
    <t>-671.138348753949 380.046116216442 -476.638015219862</t>
  </si>
  <si>
    <t>-677.00944815214 370.941406008729 -585.6218713237</t>
  </si>
  <si>
    <t>-676.768767613881 354.159511370992 -693.849300835517</t>
  </si>
  <si>
    <t>-670.288943674479 322.754800888201 -842.751160619665</t>
  </si>
  <si>
    <t>-657.730711637163 275.876733442142 -932.348696451279</t>
  </si>
  <si>
    <t>-649.101827289226 357.179891785091 -780.149754062071</t>
  </si>
  <si>
    <t>-528.764344583752 441.14525638371 -770.643298627494</t>
  </si>
  <si>
    <t>-489.735817441534 484.059758560195 -459.481999148822</t>
  </si>
  <si>
    <t>-382.574488951919 343.212835939337 -268.902273599678</t>
  </si>
  <si>
    <t>-697.210340097816 316.120870658485 -773.58358704412</t>
  </si>
  <si>
    <t>-813.058903242809 234.799414375871 -733.678643161577</t>
  </si>
  <si>
    <t>-799.83515713543 238.614196259361 -417.456094080257</t>
  </si>
  <si>
    <t>-554.36073050885 173.702647970935 -361.145664631313</t>
  </si>
  <si>
    <t>-563.088559959305 441.263119929054 -245.378517718678</t>
  </si>
  <si>
    <t>-594.68071672935 442.958895623701 209.216606193853</t>
  </si>
  <si>
    <t>-634.153134957837 437.490141300983 677.191511285772</t>
  </si>
  <si>
    <t>-509.695704737002 344.124615766785 759.26914043722</t>
  </si>
  <si>
    <t>-692.779281503359 289.758718187549 -233.725035146868</t>
  </si>
  <si>
    <t>-638.299569004032 155.520752995654 198.327958485857</t>
  </si>
  <si>
    <t>-670.560893471828 93.6030185228115 663.305396476605</t>
  </si>
  <si>
    <t>-624.6729483155 -54.1283898975119 747.050405388962</t>
  </si>
  <si>
    <t>9763-20170724T160806.990076800.bin</t>
  </si>
  <si>
    <t>-627.955625658216 366.267270220172 -239.87374384035</t>
  </si>
  <si>
    <t>-657.387029451611 382.328857034891 -356.250698869927</t>
  </si>
  <si>
    <t>-670.971054809334 380.656668826731 -476.680147523939</t>
  </si>
  <si>
    <t>-676.945311722688 371.551210449722 -585.658425885501</t>
  </si>
  <si>
    <t>-676.88452948861 354.794601474173 -693.889961076182</t>
  </si>
  <si>
    <t>-670.729617740073 323.455175696323 -842.819326620195</t>
  </si>
  <si>
    <t>-658.460860254506 276.411063857559 -932.369949432933</t>
  </si>
  <si>
    <t>-649.461548287487 357.915356723024 -780.264613158855</t>
  </si>
  <si>
    <t>-529.086744989196 441.91024646453 -771.235345099283</t>
  </si>
  <si>
    <t>-489.490608336122 485.119773277163 -460.186608317303</t>
  </si>
  <si>
    <t>-382.376648524367 344.473032372979 -269.432585242538</t>
  </si>
  <si>
    <t>-697.444378631711 316.728485827062 -773.580712253999</t>
  </si>
  <si>
    <t>-813.153649580927 235.391341693513 -733.353418010817</t>
  </si>
  <si>
    <t>-799.728853848184 239.758530972527 -417.146370157427</t>
  </si>
  <si>
    <t>-554.240790790207 174.866727055947 -360.872820463599</t>
  </si>
  <si>
    <t>-563.166025881435 441.912050938832 -245.273870067709</t>
  </si>
  <si>
    <t>-594.941775558115 443.566004764805 209.308591199472</t>
  </si>
  <si>
    <t>-634.265215962357 437.427555270801 677.229081545426</t>
  </si>
  <si>
    <t>-509.638453487193 344.269677247939 759.285736364602</t>
  </si>
  <si>
    <t>-692.72936238553 290.535829129001 -233.749110418938</t>
  </si>
  <si>
    <t>-638.968130789014 156.251762521005 198.379597524022</t>
  </si>
  <si>
    <t>-670.558605994479 93.7015005019289 663.351586303294</t>
  </si>
  <si>
    <t>-624.799161332628 -54.0750719634036 747.087381066211</t>
  </si>
  <si>
    <t>9763-20170724T160807.053253800.bin</t>
  </si>
  <si>
    <t>-627.271525438864 367.216243658632 -239.871270072889</t>
  </si>
  <si>
    <t>-656.347012789153 383.000329498057 -356.375640819045</t>
  </si>
  <si>
    <t>-670.119170223091 380.966320150549 -476.778197790826</t>
  </si>
  <si>
    <t>-676.496702198928 371.508588382697 -585.703484024087</t>
  </si>
  <si>
    <t>-677.076491867346 354.37929407782 -693.87506976364</t>
  </si>
  <si>
    <t>-672.062400681674 322.50213845757 -842.733117863919</t>
  </si>
  <si>
    <t>-660.791746780337 274.9900291244 -932.167796351598</t>
  </si>
  <si>
    <t>-650.279052717306 357.146279881033 -780.457969548498</t>
  </si>
  <si>
    <t>-529.707314594891 440.980736085767 -772.575159809751</t>
  </si>
  <si>
    <t>-488.919696420815 485.009565642821 -461.795520940715</t>
  </si>
  <si>
    <t>-382.160271412524 344.884530715023 -270.45953013149</t>
  </si>
  <si>
    <t>-698.282866447955 316.067372751076 -773.278205024304</t>
  </si>
  <si>
    <t>-813.813938674452 234.956718850644 -732.110020116191</t>
  </si>
  <si>
    <t>-798.813437742851 240.416015755507 -415.990801122465</t>
  </si>
  <si>
    <t>-553.302566343546 175.03627031468 -360.385341742089</t>
  </si>
  <si>
    <t>-562.568335150122 442.887451770753 -245.210619495563</t>
  </si>
  <si>
    <t>-595.12708472765 444.650433299438 209.316022738426</t>
  </si>
  <si>
    <t>-634.284412470407 437.437707597035 677.267724272098</t>
  </si>
  <si>
    <t>-509.839558533206 344.048856042201 759.337889809951</t>
  </si>
  <si>
    <t>-691.907774604538 291.418617707845 -233.925093961723</t>
  </si>
  <si>
    <t>-639.660362922696 157.604207982037 198.534858949636</t>
  </si>
  <si>
    <t>-670.53413063233 93.7874934488777 663.37405311331</t>
  </si>
  <si>
    <t>-624.582191347714 -53.9375244040675 747.095337837641</t>
  </si>
  <si>
    <t>9763-20170724T160807.092864800.bin</t>
  </si>
  <si>
    <t>-626.733382688279 367.738832357534 -239.84534542221</t>
  </si>
  <si>
    <t>-655.731731462272 383.341476313218 -356.393494666457</t>
  </si>
  <si>
    <t>-669.726139974398 381.043765708847 -476.76559801111</t>
  </si>
  <si>
    <t>-676.435363378839 371.317367138209 -585.647321693286</t>
  </si>
  <si>
    <t>-677.482801848964 353.889969417882 -693.767798501791</t>
  </si>
  <si>
    <t>-673.263788478311 321.569068418036 -842.554731620556</t>
  </si>
  <si>
    <t>-662.638413554594 273.778664621753 -931.920115440577</t>
  </si>
  <si>
    <t>-651.102765141761 356.347515111156 -780.488127688536</t>
  </si>
  <si>
    <t>-530.350981446301 439.977561271724 -773.421689599526</t>
  </si>
  <si>
    <t>-488.414478663589 484.777861477494 -462.905193623463</t>
  </si>
  <si>
    <t>-381.917994701435 344.910226604956 -271.2346990402</t>
  </si>
  <si>
    <t>-699.158433583718 315.39254586292 -772.954151837962</t>
  </si>
  <si>
    <t>-814.587510518649 234.490947037428 -731.084028773338</t>
  </si>
  <si>
    <t>-798.132997810788 240.426515778454 -415.045692756269</t>
  </si>
  <si>
    <t>-552.538528981665 174.656845803788 -360.27558592545</t>
  </si>
  <si>
    <t>-562.155266500343 443.391184173167 -245.211081408102</t>
  </si>
  <si>
    <t>-594.961274772404 445.05383894842 209.29812055431</t>
  </si>
  <si>
    <t>-634.355238369691 437.407620232106 677.271575054609</t>
  </si>
  <si>
    <t>-509.825102873919 344.133528879788 759.342894783555</t>
  </si>
  <si>
    <t>-691.244048472845 291.920935819913 -233.911615337036</t>
  </si>
  <si>
    <t>-640.047642419499 158.392842781755 198.762444062877</t>
  </si>
  <si>
    <t>-670.55331988432 93.8286706353904 663.448035097297</t>
  </si>
  <si>
    <t>-624.673009816399 -53.9225189128354 747.162412232499</t>
  </si>
  <si>
    <t>9763-20170724T160807.121443300.bin</t>
  </si>
  <si>
    <t>-626.05940745737 368.299715422366 -239.785454158951</t>
  </si>
  <si>
    <t>-655.086497116545 383.758558499264 -356.345583085193</t>
  </si>
  <si>
    <t>-669.368079503798 381.173074548957 -476.678145347367</t>
  </si>
  <si>
    <t>-676.451377787157 371.130155538354 -585.507426043689</t>
  </si>
  <si>
    <t>-677.992595097281 353.331620763482 -693.56151330122</t>
  </si>
  <si>
    <t>-674.58916541443 320.43972764508 -842.244185060682</t>
  </si>
  <si>
    <t>-664.616842818049 272.329161964217 -931.512833748804</t>
  </si>
  <si>
    <t>-652.026391169031 355.386106724214 -780.41711116123</t>
  </si>
  <si>
    <t>-531.084973069146 438.791482516298 -774.181669100511</t>
  </si>
  <si>
    <t>-487.52978935702 484.440660394514 -464.011744099254</t>
  </si>
  <si>
    <t>-381.253035033534 344.756321147311 -272.085864356326</t>
  </si>
  <si>
    <t>-700.163819996783 314.600598485284 -772.496367956423</t>
  </si>
  <si>
    <t>-815.533592230001 233.992858450226 -729.881022229988</t>
  </si>
  <si>
    <t>-797.562257416463 240.239228656009 -413.931376752909</t>
  </si>
  <si>
    <t>-551.865306265951 174.090796923853 -360.085036574367</t>
  </si>
  <si>
    <t>-561.590479090234 443.886394967083 -245.209244758802</t>
  </si>
  <si>
    <t>-594.49823358637 445.321343483873 209.293432092645</t>
  </si>
  <si>
    <t>-634.389967932333 437.401550477709 677.258504118305</t>
  </si>
  <si>
    <t>-509.87361401516 344.116502060791 759.338281763384</t>
  </si>
  <si>
    <t>-690.477056276047 292.549965527084 -233.797624427232</t>
  </si>
  <si>
    <t>-640.274831478485 159.076465401427 199.009846675122</t>
  </si>
  <si>
    <t>-670.533502730965 93.8728099535228 663.561604112745</t>
  </si>
  <si>
    <t>-624.538392345834 -53.8507301607424 747.261699817497</t>
  </si>
  <si>
    <t>9763-20170724T160807.190629000.bin</t>
  </si>
  <si>
    <t>-624.718991960282 369.305880475573 -239.510104178425</t>
  </si>
  <si>
    <t>-654.008428079063 384.643980743863 -356.020608854982</t>
  </si>
  <si>
    <t>-668.850465759991 381.612049219902 -476.274793635534</t>
  </si>
  <si>
    <t>-676.569407060405 371.038734340399 -585.010512662061</t>
  </si>
  <si>
    <t>-678.880021397081 352.588313998578 -692.941528294176</t>
  </si>
  <si>
    <t>-676.689405291847 318.669879285968 -841.41625286334</t>
  </si>
  <si>
    <t>-667.726071703667 269.914729940137 -930.441962664614</t>
  </si>
  <si>
    <t>-653.499340455261 353.901348011225 -779.984356833672</t>
  </si>
  <si>
    <t>-532.114989943462 436.752709967694 -775.06431468793</t>
  </si>
  <si>
    <t>-485.310700557973 483.963885983411 -465.602466310547</t>
  </si>
  <si>
    <t>-379.124883553856 344.274955364469 -273.629433870708</t>
  </si>
  <si>
    <t>-701.818043540247 313.454110027122 -771.457197389836</t>
  </si>
  <si>
    <t>-817.172331222566 233.471644003909 -727.634623649076</t>
  </si>
  <si>
    <t>-796.480553849402 240.176959698923 -411.860762129321</t>
  </si>
  <si>
    <t>-550.379391002195 173.812292792842 -360.169379388479</t>
  </si>
  <si>
    <t>-560.186315825607 444.577861020872 -245.153619662362</t>
  </si>
  <si>
    <t>-593.248987392531 445.491499919824 209.339156117394</t>
  </si>
  <si>
    <t>-634.478923341399 437.366327848239 677.216600914017</t>
  </si>
  <si>
    <t>-509.836237180144 344.263085030699 759.311059158249</t>
  </si>
  <si>
    <t>-689.226594564507 293.856469810232 -233.215634313327</t>
  </si>
  <si>
    <t>-639.835576084079 159.569588650545 199.433491524708</t>
  </si>
  <si>
    <t>-670.439124064843 93.9847312785382 663.838698332316</t>
  </si>
  <si>
    <t>-624.348027703131 -53.7276490593163 747.505756318517</t>
  </si>
  <si>
    <t>9763-20170724T160807.223759900.bin</t>
  </si>
  <si>
    <t>-624.304853168327 369.616639036208 -239.333617133075</t>
  </si>
  <si>
    <t>-653.758915917662 384.958593757108 -355.80205345744</t>
  </si>
  <si>
    <t>-668.808318587365 381.77769379609 -476.026539844635</t>
  </si>
  <si>
    <t>-676.73249831584 371.009743896608 -584.728587615256</t>
  </si>
  <si>
    <t>-679.266797203233 352.307177406147 -692.611176624161</t>
  </si>
  <si>
    <t>-677.407310504701 317.981148217049 -840.996692068677</t>
  </si>
  <si>
    <t>-668.733985364828 268.947839513136 -929.898202714808</t>
  </si>
  <si>
    <t>-654.024485545638 353.317598000378 -779.698230432181</t>
  </si>
  <si>
    <t>-532.500350071493 435.982806286291 -775.136152549936</t>
  </si>
  <si>
    <t>-484.45809599764 483.378217219708 -465.892257662409</t>
  </si>
  <si>
    <t>-378.126123427511 343.589814107589 -274.072675467434</t>
  </si>
  <si>
    <t>-702.435681242141 313.021094697483 -770.983115486269</t>
  </si>
  <si>
    <t>-817.88656648505 233.393872079506 -726.770826975698</t>
  </si>
  <si>
    <t>-796.434637048123 239.966741856423 -411.045096531396</t>
  </si>
  <si>
    <t>-550.237353420544 173.442187032481 -360.021133667979</t>
  </si>
  <si>
    <t>-559.652750239835 444.792406366972 -245.130033911405</t>
  </si>
  <si>
    <t>-592.602517587876 445.544645797768 209.371228422727</t>
  </si>
  <si>
    <t>-634.421033539432 437.410074936777 677.188692089997</t>
  </si>
  <si>
    <t>-509.867050884854 344.209674765178 759.307536850637</t>
  </si>
  <si>
    <t>-688.92489383943 294.25874542685 -232.861939301648</t>
  </si>
  <si>
    <t>-639.097393009581 159.328936665946 199.537036485366</t>
  </si>
  <si>
    <t>-670.375179299114 94.0522550957094 663.968535180499</t>
  </si>
  <si>
    <t>-624.587632188211 -53.7525738346678 747.639060309252</t>
  </si>
  <si>
    <t>9763-20170724T160807.285900900.bin</t>
  </si>
  <si>
    <t>-624.33976833812 369.705340752567 -238.965758686827</t>
  </si>
  <si>
    <t>-654.118688231144 385.208426439787 -355.330193053615</t>
  </si>
  <si>
    <t>-669.263796493883 381.920101394489 -475.539915723425</t>
  </si>
  <si>
    <t>-677.188405758739 370.936508600811 -584.220189709739</t>
  </si>
  <si>
    <t>-679.642963132693 351.899051254848 -692.045951392263</t>
  </si>
  <si>
    <t>-677.597499957693 316.983454536628 -840.29149483897</t>
  </si>
  <si>
    <t>-668.991888204787 267.548160188332 -928.976783519683</t>
  </si>
  <si>
    <t>-654.179119807077 352.434151285289 -779.072694746846</t>
  </si>
  <si>
    <t>-532.304073423835 434.570049621577 -774.450454713541</t>
  </si>
  <si>
    <t>-483.948682756938 481.574140312466 -465.195608307246</t>
  </si>
  <si>
    <t>-377.188885718841 341.364577781164 -273.921834281986</t>
  </si>
  <si>
    <t>-702.826159289357 312.430723459948 -770.322160547799</t>
  </si>
  <si>
    <t>-818.654017217189 233.436784344699 -725.931697952898</t>
  </si>
  <si>
    <t>-797.166051673081 239.491496741967 -410.19799840719</t>
  </si>
  <si>
    <t>-550.940537940397 172.712565221533 -359.644829872493</t>
  </si>
  <si>
    <t>-559.525745450986 444.849620662641 -245.011426990326</t>
  </si>
  <si>
    <t>-592.057729708687 445.511656496645 209.52008026037</t>
  </si>
  <si>
    <t>-634.475980022415 437.380274248417 677.207818740663</t>
  </si>
  <si>
    <t>-509.892177274153 344.242641694388 759.352628063314</t>
  </si>
  <si>
    <t>-689.085308588089 294.419062457693 -232.205662146108</t>
  </si>
  <si>
    <t>-637.176321130599 157.80678386213 199.419403598765</t>
  </si>
  <si>
    <t>-670.100325849307 94.233836945629 664.075602743629</t>
  </si>
  <si>
    <t>-624.47674555309 -53.6243426795056 747.741178297559</t>
  </si>
  <si>
    <t>9763-20170724T160807.320521600.bin</t>
  </si>
  <si>
    <t>-624.669771673438 369.601933858389 -238.833615071805</t>
  </si>
  <si>
    <t>-654.577175571781 385.223276205523 -355.14934595817</t>
  </si>
  <si>
    <t>-669.58777157429 381.993032185404 -475.37752700277</t>
  </si>
  <si>
    <t>-677.286357171754 371.02895954217 -584.075949838903</t>
  </si>
  <si>
    <t>-679.414296402952 351.974209433995 -691.905737888365</t>
  </si>
  <si>
    <t>-676.813534593057 316.995481733848 -840.127602085171</t>
  </si>
  <si>
    <t>-667.968100740865 267.535804001829 -928.775590644624</t>
  </si>
  <si>
    <t>-653.594668220117 352.438117594237 -778.827958464227</t>
  </si>
  <si>
    <t>-531.594915158617 434.364017394752 -773.761554038029</t>
  </si>
  <si>
    <t>-483.851836762624 480.833293250329 -464.3308923124</t>
  </si>
  <si>
    <t>-377.089445903606 340.295218624979 -273.299782773698</t>
  </si>
  <si>
    <t>-702.333805453834 312.506964943558 -770.259853182135</t>
  </si>
  <si>
    <t>-818.374774724782 233.646626599414 -726.182387726851</t>
  </si>
  <si>
    <t>-797.547010916314 239.41791011143 -410.398906623986</t>
  </si>
  <si>
    <t>-551.506578946412 172.264205796339 -359.442685388037</t>
  </si>
  <si>
    <t>-559.799712095465 444.824088317691 -244.94692109069</t>
  </si>
  <si>
    <t>-592.080340074852 445.430531529704 209.602635058809</t>
  </si>
  <si>
    <t>-634.449355277777 437.396078607295 677.240499494301</t>
  </si>
  <si>
    <t>-510.0123450866 344.071176831921 759.395271311618</t>
  </si>
  <si>
    <t>-689.454486750644 294.283508312514 -231.994879474708</t>
  </si>
  <si>
    <t>-636.267714742069 156.780397754607 199.191563091001</t>
  </si>
  <si>
    <t>-670.003170202533 94.3070700979681 664.024777802521</t>
  </si>
  <si>
    <t>-624.543953965402 -53.5950994940747 747.702355599146</t>
  </si>
  <si>
    <t>9763-20170724T160807.390714700.bin</t>
  </si>
  <si>
    <t>-625.697171653965 369.124979879062 -238.780084794295</t>
  </si>
  <si>
    <t>-655.660757008765 384.959271425405 -355.052377918351</t>
  </si>
  <si>
    <t>-670.147208360123 382.085880781324 -475.353892113635</t>
  </si>
  <si>
    <t>-677.139386586578 371.481996418317 -584.135885839941</t>
  </si>
  <si>
    <t>-678.332222854172 352.815326608028 -692.047775839925</t>
  </si>
  <si>
    <t>-674.199806374944 318.396501480342 -840.366029601281</t>
  </si>
  <si>
    <t>-664.32344660398 269.348060435534 -929.133633520077</t>
  </si>
  <si>
    <t>-651.593988386677 353.580958018619 -778.689712433497</t>
  </si>
  <si>
    <t>-529.674227272904 435.491739523497 -772.06355585454</t>
  </si>
  <si>
    <t>-483.949311224087 480.538226740151 -462.117967698766</t>
  </si>
  <si>
    <t>-377.533960026686 339.108031458116 -271.552185316164</t>
  </si>
  <si>
    <t>-700.462479603099 313.670654067527 -770.789714720704</t>
  </si>
  <si>
    <t>-817.010107835486 234.804796867724 -728.042313163463</t>
  </si>
  <si>
    <t>-798.940218373386 240.001819631866 -412.079291587479</t>
  </si>
  <si>
    <t>-553.40535498654 172.438592390581 -359.259879623288</t>
  </si>
  <si>
    <t>-560.834779956851 444.457966424917 -244.858135646627</t>
  </si>
  <si>
    <t>-592.543001709306 445.130522313832 209.731567830068</t>
  </si>
  <si>
    <t>-634.478132100635 437.365651841142 677.346995247129</t>
  </si>
  <si>
    <t>-510.199685995436 343.821184986794 759.492047774947</t>
  </si>
  <si>
    <t>-690.499471085589 293.705895330574 -231.990387712237</t>
  </si>
  <si>
    <t>-635.171152759529 155.52747862769 198.710319935887</t>
  </si>
  <si>
    <t>-669.840702764924 94.4287673779302 663.766613052949</t>
  </si>
  <si>
    <t>-624.422975881104 -53.4642030679361 747.482860726016</t>
  </si>
  <si>
    <t>9763-20170724T160807.452221700.bin</t>
  </si>
  <si>
    <t>-626.769515134743 368.372075763059 -238.95546224795</t>
  </si>
  <si>
    <t>-656.736069996697 384.387584120497 -355.202202218851</t>
  </si>
  <si>
    <t>-670.470673231907 382.049841388049 -475.603543871774</t>
  </si>
  <si>
    <t>-676.470543337356 372.053300095578 -584.502115343881</t>
  </si>
  <si>
    <t>-676.358162691715 354.104583607049 -692.54238442132</t>
  </si>
  <si>
    <t>-670.086743572798 320.788637272221 -841.037200991559</t>
  </si>
  <si>
    <t>-658.393783289997 272.54091787311 -930.022716816255</t>
  </si>
  <si>
    <t>-648.414756478547 355.56040377617 -778.794388155159</t>
  </si>
  <si>
    <t>-526.875063832893 437.818361689681 -769.977238907032</t>
  </si>
  <si>
    <t>-484.516420347257 481.235910972779 -459.321755674826</t>
  </si>
  <si>
    <t>-378.608453945779 338.720457397564 -269.282580835239</t>
  </si>
  <si>
    <t>-697.308525687518 315.499437746225 -771.871310422684</t>
  </si>
  <si>
    <t>-814.321091661969 236.20586882888 -731.20753437891</t>
  </si>
  <si>
    <t>-800.314509073842 240.072203378962 -415.019096211064</t>
  </si>
  <si>
    <t>-555.327413373183 172.615726969117 -359.584723202348</t>
  </si>
  <si>
    <t>-561.999577682824 443.697891803199 -244.915562635426</t>
  </si>
  <si>
    <t>-593.239463825242 444.264555665841 209.706728842015</t>
  </si>
  <si>
    <t>-634.670565753733 437.196571866587 677.394661681584</t>
  </si>
  <si>
    <t>-510.293285964643 343.740431201154 759.490682439946</t>
  </si>
  <si>
    <t>-691.532498269831 292.991527488636 -232.372488809114</t>
  </si>
  <si>
    <t>-635.931578272655 155.584596736139 198.540006854788</t>
  </si>
  <si>
    <t>-669.813520435046 94.5302180955409 663.561282233991</t>
  </si>
  <si>
    <t>-624.15495031996 -53.2961223404316 747.264337679056</t>
  </si>
  <si>
    <t>9763-20170724T160807.491844600.bin</t>
  </si>
  <si>
    <t>-627.233738624895 368.040694411646 -239.127191048225</t>
  </si>
  <si>
    <t>-657.14891034154 384.147924601734 -355.374605623998</t>
  </si>
  <si>
    <t>-670.433230829595 382.150216098362 -475.832360265001</t>
  </si>
  <si>
    <t>-675.857718774233 372.552800211039 -584.797068351834</t>
  </si>
  <si>
    <t>-674.998275108951 355.089908219657 -692.913544413387</t>
  </si>
  <si>
    <t>-667.50804872799 322.534101397152 -841.520577537234</t>
  </si>
  <si>
    <t>-654.674792278861 274.74303323906 -930.595206522168</t>
  </si>
  <si>
    <t>-646.381165026131 357.025073158666 -778.935046872933</t>
  </si>
  <si>
    <t>-525.209801451271 439.682074589957 -768.807796969561</t>
  </si>
  <si>
    <t>-484.902467164267 482.130202257794 -457.745652596243</t>
  </si>
  <si>
    <t>-379.063058431373 339.146367357723 -268.020215647452</t>
  </si>
  <si>
    <t>-695.263279956414 316.85305016038 -772.598089685689</t>
  </si>
  <si>
    <t>-812.5407867931 237.371988158604 -733.107835334243</t>
  </si>
  <si>
    <t>-800.576179563363 240.389803715969 -416.826475997406</t>
  </si>
  <si>
    <t>-555.884441756566 173.063994836491 -359.947266637246</t>
  </si>
  <si>
    <t>-562.407703991288 443.285756498825 -244.988618942284</t>
  </si>
  <si>
    <t>-593.461665958853 443.827339029063 209.646420801045</t>
  </si>
  <si>
    <t>-634.781395462907 437.096833045993 677.388331077348</t>
  </si>
  <si>
    <t>-510.311121961227 343.733687694547 759.449203253079</t>
  </si>
  <si>
    <t>-692.003479938739 292.735638986091 -232.652060926558</t>
  </si>
  <si>
    <t>-636.830368853564 155.955861522928 198.514882052699</t>
  </si>
  <si>
    <t>-669.914390785282 94.5494930712334 663.518648232248</t>
  </si>
  <si>
    <t>-624.208823021778 -53.276731278432 747.196153121686</t>
  </si>
  <si>
    <t>9763-20170724T160807.520423900.bin</t>
  </si>
  <si>
    <t>-627.613274324489 367.719673884047 -239.329928194037</t>
  </si>
  <si>
    <t>-657.484288074483 383.96589499925 -355.569205449724</t>
  </si>
  <si>
    <t>-670.284625604958 382.295443808458 -476.084483097289</t>
  </si>
  <si>
    <t>-675.085323599289 373.062722009099 -585.109947503479</t>
  </si>
  <si>
    <t>-673.413363188184 356.028702363666 -693.285322344238</t>
  </si>
  <si>
    <t>-664.595492385481 324.132404945428 -841.962421966296</t>
  </si>
  <si>
    <t>-650.56899303605 276.710609210292 -931.054649476208</t>
  </si>
  <si>
    <t>-644.069721990707 358.391998938773 -779.050772450777</t>
  </si>
  <si>
    <t>-523.275377660504 441.479441244233 -767.632456250842</t>
  </si>
  <si>
    <t>-485.558618864068 482.655047269238 -456.074729160644</t>
  </si>
  <si>
    <t>-379.718537763511 339.472812364298 -266.499520214923</t>
  </si>
  <si>
    <t>-692.924741887361 318.098815825399 -773.304138504</t>
  </si>
  <si>
    <t>-810.43832339998 238.479258917801 -734.891621365148</t>
  </si>
  <si>
    <t>-800.302886592438 240.920020822516 -418.541300532968</t>
  </si>
  <si>
    <t>-555.853868676414 173.740570020531 -360.458341330258</t>
  </si>
  <si>
    <t>-562.675946340458 442.827329838555 -245.063355987576</t>
  </si>
  <si>
    <t>-593.586803225638 443.522096223284 209.5812098369</t>
  </si>
  <si>
    <t>-634.695522502797 437.140461525435 677.366732399534</t>
  </si>
  <si>
    <t>-510.378893947673 343.558712404427 759.411517873551</t>
  </si>
  <si>
    <t>-692.487121285556 292.544942558721 -232.919708781848</t>
  </si>
  <si>
    <t>-637.771661420541 156.375532960643 198.498552252757</t>
  </si>
  <si>
    <t>-670.030368063005 94.5712635090276 663.492005827768</t>
  </si>
  <si>
    <t>-624.431934977433 -53.3024544844247 747.143982948124</t>
  </si>
  <si>
    <t>9763-20170724T160807.588602800.bin</t>
  </si>
  <si>
    <t>-628.133322690953 367.180912233276 -239.678404187193</t>
  </si>
  <si>
    <t>-657.631690910002 383.4868322118 -356.004430137851</t>
  </si>
  <si>
    <t>-669.338653413009 382.004595676189 -476.633372826091</t>
  </si>
  <si>
    <t>-672.858166216475 372.982091193167 -585.725231343347</t>
  </si>
  <si>
    <t>-669.616169300616 356.193063851093 -693.903289722075</t>
  </si>
  <si>
    <t>-658.321380128961 324.670046701602 -842.492413324285</t>
  </si>
  <si>
    <t>-642.529435263248 277.544966304236 -931.446354106848</t>
  </si>
  <si>
    <t>-638.920219938538 358.856832336368 -779.185242185995</t>
  </si>
  <si>
    <t>-518.841579448162 442.724144808433 -765.84295603817</t>
  </si>
  <si>
    <t>-487.201601172958 481.152552136922 -453.259665655969</t>
  </si>
  <si>
    <t>-381.641032259272 338.341217903123 -263.249268164084</t>
  </si>
  <si>
    <t>-687.717643826152 318.379304701441 -774.307394374468</t>
  </si>
  <si>
    <t>-805.680869255846 238.794250616777 -737.312215397764</t>
  </si>
  <si>
    <t>-798.314295681978 240.633585597713 -420.881251115231</t>
  </si>
  <si>
    <t>-554.34887586803 173.181917151517 -361.105265007187</t>
  </si>
  <si>
    <t>-563.263305886768 442.234784862311 -245.183414749773</t>
  </si>
  <si>
    <t>-594.250620870944 442.989336102111 209.455826537985</t>
  </si>
  <si>
    <t>-634.923651038576 436.952179374661 677.343271989453</t>
  </si>
  <si>
    <t>-510.456408283666 343.518400499886 759.32828626084</t>
  </si>
  <si>
    <t>-692.888743251464 291.99027249875 -233.560282062707</t>
  </si>
  <si>
    <t>-639.437461098305 157.019776701698 198.392887356176</t>
  </si>
  <si>
    <t>-670.267968986736 94.5872952482005 663.464217015468</t>
  </si>
  <si>
    <t>-624.752144133423 -53.3207702312534 747.10045418424</t>
  </si>
  <si>
    <t>9763-20170724T160807.627238800.bin</t>
  </si>
  <si>
    <t>-628.149948212698 367.055258255887 -239.745132107006</t>
  </si>
  <si>
    <t>-657.382733212655 383.284731213664 -356.149070481901</t>
  </si>
  <si>
    <t>-668.591229330544 381.626988519475 -476.822913429953</t>
  </si>
  <si>
    <t>-671.571774550941 372.402994008964 -585.914024255305</t>
  </si>
  <si>
    <t>-667.708561151465 355.36961899621 -694.033416086237</t>
  </si>
  <si>
    <t>-655.471000613315 323.463772013323 -842.466163888848</t>
  </si>
  <si>
    <t>-639.258417000792 276.292368161091 -931.319799133971</t>
  </si>
  <si>
    <t>-636.493070480505 357.83862064552 -779.132667162994</t>
  </si>
  <si>
    <t>-516.456129626648 441.736002466871 -765.451827081197</t>
  </si>
  <si>
    <t>-487.91738339154 479.528088999428 -452.492700420544</t>
  </si>
  <si>
    <t>-382.738647608606 337.057025836213 -262.015667081691</t>
  </si>
  <si>
    <t>-685.278212630986 317.323867137616 -774.445919797336</t>
  </si>
  <si>
    <t>-803.339990070105 237.779250708795 -737.706941855012</t>
  </si>
  <si>
    <t>-796.675832099129 240.419430221887 -421.26609656573</t>
  </si>
  <si>
    <t>-552.925241570776 172.549486360802 -361.088133019452</t>
  </si>
  <si>
    <t>-563.340537850434 442.127866586322 -245.186047737871</t>
  </si>
  <si>
    <t>-594.426933862786 442.898935640096 209.446416867022</t>
  </si>
  <si>
    <t>-634.967781095842 436.904752296316 677.338824204851</t>
  </si>
  <si>
    <t>-510.468501958955 343.503442341776 759.312180551166</t>
  </si>
  <si>
    <t>-692.774003439772 291.866370547205 -233.75626776581</t>
  </si>
  <si>
    <t>-640.036404404012 157.447912464033 198.45669625723</t>
  </si>
  <si>
    <t>-670.331094419954 94.6141295966527 663.447073971606</t>
  </si>
  <si>
    <t>-624.697093432241 -53.2691275022801 747.062715504333</t>
  </si>
  <si>
    <t>9763-20170724T160807.692417600.bin</t>
  </si>
  <si>
    <t>-627.738833840335 367.087738752005 -239.81123992602</t>
  </si>
  <si>
    <t>-656.730304845102 383.230134094209 -356.28758466032</t>
  </si>
  <si>
    <t>-667.61504890809 381.279160407592 -476.986719232696</t>
  </si>
  <si>
    <t>-670.275473958279 371.709209719854 -586.056256246114</t>
  </si>
  <si>
    <t>-666.068984339888 354.25348696228 -694.095471182293</t>
  </si>
  <si>
    <t>-653.335704770688 321.685429029577 -842.342437433165</t>
  </si>
  <si>
    <t>-637.134667492668 274.306879750613 -931.088102351535</t>
  </si>
  <si>
    <t>-634.608556314191 356.388117601901 -779.113256866831</t>
  </si>
  <si>
    <t>-514.508703627542 440.143065550349 -765.62369546183</t>
  </si>
  <si>
    <t>-488.339787643365 478.620688968274 -452.540827019018</t>
  </si>
  <si>
    <t>-384.609741782285 336.552638784963 -260.971520245641</t>
  </si>
  <si>
    <t>-683.331104219113 315.803368505367 -774.382269648351</t>
  </si>
  <si>
    <t>-801.515373064223 236.492597873727 -737.391316520856</t>
  </si>
  <si>
    <t>-794.85918137004 241.118057581033 -420.973122077231</t>
  </si>
  <si>
    <t>-551.256128424772 172.877847520283 -360.616752709705</t>
  </si>
  <si>
    <t>-563.104692336965 442.144915854454 -245.141739442533</t>
  </si>
  <si>
    <t>-594.356097556878 442.91219930475 209.47935586459</t>
  </si>
  <si>
    <t>-634.943830795292 436.895759851076 677.330578161302</t>
  </si>
  <si>
    <t>-510.467155149039 343.471084681028 759.311693964261</t>
  </si>
  <si>
    <t>-692.337220608648 291.878419060775 -233.901397290404</t>
  </si>
  <si>
    <t>-640.462726926884 158.253650042405 198.662013693817</t>
  </si>
  <si>
    <t>-670.351595079218 94.6980873642297 663.443289461624</t>
  </si>
  <si>
    <t>-624.658692471532 -53.1853404570336 747.026480612016</t>
  </si>
  <si>
    <t>9763-20170724T160807.724007600.bin</t>
  </si>
  <si>
    <t>-627.35522124364 367.284780958536 -239.748937152204</t>
  </si>
  <si>
    <t>-656.211458083684 383.351299543042 -356.269207853768</t>
  </si>
  <si>
    <t>-667.11838463936 381.260515461526 -476.964032053529</t>
  </si>
  <si>
    <t>-669.857416104245 371.550671584532 -586.019343306118</t>
  </si>
  <si>
    <t>-665.784634879604 353.946894479535 -694.039764226689</t>
  </si>
  <si>
    <t>-653.289056028482 321.170621160146 -842.261001331307</t>
  </si>
  <si>
    <t>-637.306745354041 273.685376479343 -930.989210041485</t>
  </si>
  <si>
    <t>-634.485004670427 355.990959703763 -779.119241414808</t>
  </si>
  <si>
    <t>-514.37756320592 439.806294356342 -765.976825489504</t>
  </si>
  <si>
    <t>-487.621512369668 479.20531450433 -453.058170030285</t>
  </si>
  <si>
    <t>-384.593807157181 337.10107288605 -261.137092345508</t>
  </si>
  <si>
    <t>-683.150672219315 315.355529056501 -774.236155858656</t>
  </si>
  <si>
    <t>-801.325175415688 236.198225714055 -736.888367298726</t>
  </si>
  <si>
    <t>-794.279971058015 241.848054405751 -420.495088738783</t>
  </si>
  <si>
    <t>-550.613614174099 173.846744258714 -360.124648651951</t>
  </si>
  <si>
    <t>-562.603812480357 442.139818362167 -245.085747199242</t>
  </si>
  <si>
    <t>-594.117474352003 443.060953659613 209.517114088068</t>
  </si>
  <si>
    <t>-634.934335135918 436.904133176623 677.337792815348</t>
  </si>
  <si>
    <t>-510.474717149243 343.462879645629 759.32587906464</t>
  </si>
  <si>
    <t>-692.084854764881 292.206677343852 -233.817429631252</t>
  </si>
  <si>
    <t>-640.256736334583 158.267705060068 198.654350576801</t>
  </si>
  <si>
    <t>-670.330349332715 94.750279861727 663.429390830867</t>
  </si>
  <si>
    <t>-624.660414681635 -53.1458508408084 747.002686885159</t>
  </si>
  <si>
    <t>9763-20170724T160807.793693900.bin</t>
  </si>
  <si>
    <t>-626.391161704752 367.868863248759 -239.60524137151</t>
  </si>
  <si>
    <t>-655.244064489739 383.786565711064 -356.146859509214</t>
  </si>
  <si>
    <t>-666.529810912475 381.274928193672 -476.798746038766</t>
  </si>
  <si>
    <t>-669.761476735823 371.093904056046 -585.797605753086</t>
  </si>
  <si>
    <t>-666.325671054058 352.940894231439 -693.749127911766</t>
  </si>
  <si>
    <t>-654.860372294764 319.329903939878 -841.866825266156</t>
  </si>
  <si>
    <t>-639.556043209794 271.287128360625 -930.41429237932</t>
  </si>
  <si>
    <t>-635.605637247271 354.490032189952 -779.050040565666</t>
  </si>
  <si>
    <t>-515.372614526278 438.311574781213 -766.970497508943</t>
  </si>
  <si>
    <t>-485.737564842727 479.724109274724 -454.571682463098</t>
  </si>
  <si>
    <t>-383.463366224136 337.78404762838 -262.12672972814</t>
  </si>
  <si>
    <t>-684.261069203845 313.913559876927 -773.608551355753</t>
  </si>
  <si>
    <t>-802.212207237804 234.953970476002 -735.22092585863</t>
  </si>
  <si>
    <t>-794.189484439494 242.877258254267 -418.899832462036</t>
  </si>
  <si>
    <t>-550.4142541964 175.494140583354 -358.276435043748</t>
  </si>
  <si>
    <t>-561.386939266862 442.565516382165 -245.012996671344</t>
  </si>
  <si>
    <t>-593.354231517048 443.402943557906 209.558275716325</t>
  </si>
  <si>
    <t>-634.977764722832 436.883986751553 677.35419663923</t>
  </si>
  <si>
    <t>-510.502189884804 343.470558658725 759.349755261988</t>
  </si>
  <si>
    <t>-691.385546330204 293.042218054843 -233.481240649204</t>
  </si>
  <si>
    <t>-639.311609504775 157.850638599179 198.571149522648</t>
  </si>
  <si>
    <t>-670.217312014234 94.8714180270581 663.417879074492</t>
  </si>
  <si>
    <t>-624.653816845145 -53.0588053023127 746.988865428636</t>
  </si>
  <si>
    <t>9763-20170724T160807.823274300.bin</t>
  </si>
  <si>
    <t>-625.793952097757 368.239935071863 -239.548541595587</t>
  </si>
  <si>
    <t>-654.690926254687 384.085945802865 -356.088946696698</t>
  </si>
  <si>
    <t>-666.281030660463 381.397329071704 -476.708161482839</t>
  </si>
  <si>
    <t>-669.895282987706 371.019401050859 -585.676505521184</t>
  </si>
  <si>
    <t>-666.949376222052 352.635618149058 -693.603320818985</t>
  </si>
  <si>
    <t>-656.276001085667 318.670951135016 -841.699618471442</t>
  </si>
  <si>
    <t>-641.462693398755 270.32063396383 -930.163162449077</t>
  </si>
  <si>
    <t>-636.647344906062 353.936409510944 -779.057795074121</t>
  </si>
  <si>
    <t>-516.279448911366 437.643495308144 -767.63457296831</t>
  </si>
  <si>
    <t>-485.128881598611 479.961840046617 -455.504728190489</t>
  </si>
  <si>
    <t>-382.872832727764 338.250612035665 -262.881578034986</t>
  </si>
  <si>
    <t>-685.349828034097 313.462217045696 -773.285314628703</t>
  </si>
  <si>
    <t>-803.219855405905 234.677965696488 -734.274104585377</t>
  </si>
  <si>
    <t>-794.689958259514 243.383591535233 -417.986777186626</t>
  </si>
  <si>
    <t>-550.884576289327 176.112379676676 -357.360078704958</t>
  </si>
  <si>
    <t>-560.700743477639 442.949042777019 -244.994104333006</t>
  </si>
  <si>
    <t>-592.955356240704 443.738260736934 209.556984081011</t>
  </si>
  <si>
    <t>-634.91323930087 436.940804521083 677.346843661247</t>
  </si>
  <si>
    <t>-510.480327222114 343.477475323218 759.35031537636</t>
  </si>
  <si>
    <t>-690.813467390413 293.484927735826 -233.305612957292</t>
  </si>
  <si>
    <t>-638.695079278528 157.629864031382 198.533186685781</t>
  </si>
  <si>
    <t>-670.186670880787 94.9289129724671 663.414717549863</t>
  </si>
  <si>
    <t>-624.783482600598 -53.0504289460416 746.986070915519</t>
  </si>
  <si>
    <t>9763-20170724T160807.890459900.bin</t>
  </si>
  <si>
    <t>-624.48619457305 369.114217863226 -239.260522608789</t>
  </si>
  <si>
    <t>-653.333290401381 384.506718251327 -355.874071676642</t>
  </si>
  <si>
    <t>-665.388371474124 381.274269298663 -476.434317221936</t>
  </si>
  <si>
    <t>-669.644255463918 370.375631989524 -585.328675788602</t>
  </si>
  <si>
    <t>-667.566544606901 351.444431874099 -693.181123036666</t>
  </si>
  <si>
    <t>-658.338533130156 316.692896190293 -841.191823349508</t>
  </si>
  <si>
    <t>-644.571937666565 267.69795858405 -929.469511993991</t>
  </si>
  <si>
    <t>-638.014934178007 352.191640036743 -778.904491146301</t>
  </si>
  <si>
    <t>-517.25167926858 435.488239967229 -768.892345583987</t>
  </si>
  <si>
    <t>-483.334294469727 479.657726311574 -457.307935085482</t>
  </si>
  <si>
    <t>-380.580901566934 338.78617972165 -264.333759210219</t>
  </si>
  <si>
    <t>-686.828349687088 311.947101913476 -772.498887515817</t>
  </si>
  <si>
    <t>-804.622607544711 233.670254661925 -732.229706405559</t>
  </si>
  <si>
    <t>-794.410182250326 244.301208043028 -416.051104551314</t>
  </si>
  <si>
    <t>-550.566810370057 176.63092684051 -356.024575720856</t>
  </si>
  <si>
    <t>-559.461872662992 443.80998857541 -244.923828589699</t>
  </si>
  <si>
    <t>-592.332409934748 444.641846753093 209.583106978435</t>
  </si>
  <si>
    <t>-634.956899012846 436.95152929114 677.34747360974</t>
  </si>
  <si>
    <t>-510.523519682621 343.505039695063 759.369413985961</t>
  </si>
  <si>
    <t>-689.444650229194 294.310338709705 -232.858660430185</t>
  </si>
  <si>
    <t>-637.256345251003 157.355120090471 198.624020133324</t>
  </si>
  <si>
    <t>-670.036039527217 95.0630652081115 663.453845089611</t>
  </si>
  <si>
    <t>-624.688058223856 -52.9361810657792 747.019942747217</t>
  </si>
  <si>
    <t>9763-20170724T160807.956650100.bin</t>
  </si>
  <si>
    <t>-623.245093505417 369.643683015054 -238.953448402062</t>
  </si>
  <si>
    <t>-652.036026739762 384.68706058484 -355.626414897775</t>
  </si>
  <si>
    <t>-664.463659964346 381.019361315061 -476.136381634357</t>
  </si>
  <si>
    <t>-669.24288935162 369.696995877525 -584.965821273036</t>
  </si>
  <si>
    <t>-667.879801242326 350.314721436427 -692.749419379836</t>
  </si>
  <si>
    <t>-659.848276179217 314.908570482017 -840.674840128056</t>
  </si>
  <si>
    <t>-647.041376376812 265.415445571555 -928.818862341808</t>
  </si>
  <si>
    <t>-638.962031802345 350.6126306667 -778.691608685842</t>
  </si>
  <si>
    <t>-517.822624554489 433.49458850174 -769.885358000025</t>
  </si>
  <si>
    <t>-481.237889879585 479.128779911475 -458.814289925562</t>
  </si>
  <si>
    <t>-377.926656729672 339.136945917279 -265.498166344321</t>
  </si>
  <si>
    <t>-687.841696004213 310.537034046341 -771.753271826261</t>
  </si>
  <si>
    <t>-805.559275376505 232.721047404094 -730.337666210086</t>
  </si>
  <si>
    <t>-793.574877316395 244.691111443343 -414.269189128944</t>
  </si>
  <si>
    <t>-549.653592590122 176.623703871552 -355.012882387668</t>
  </si>
  <si>
    <t>-558.383445731811 444.378144183587 -244.779463943157</t>
  </si>
  <si>
    <t>-591.94220458076 445.28438151777 209.67706733444</t>
  </si>
  <si>
    <t>-635.050913777646 436.919736195878 677.35007632066</t>
  </si>
  <si>
    <t>-510.508509205349 343.642480237396 759.399176074311</t>
  </si>
  <si>
    <t>-688.084154306861 294.793001176869 -232.481245832888</t>
  </si>
  <si>
    <t>-635.859380269442 157.1945832257 198.792331895695</t>
  </si>
  <si>
    <t>-669.84278313418 95.2084031546792 663.534469903535</t>
  </si>
  <si>
    <t>-624.189094405698 -52.7131876782375 747.071602097397</t>
  </si>
  <si>
    <t>9763-20170724T160807.987726200.bin</t>
  </si>
  <si>
    <t>-622.63766169553 369.661662969136 -238.873152328308</t>
  </si>
  <si>
    <t>-651.350854026264 384.604602999442 -355.578211573871</t>
  </si>
  <si>
    <t>-663.89693685542 380.78745663182 -476.071349648556</t>
  </si>
  <si>
    <t>-668.866008908633 369.314733747288 -584.876312142511</t>
  </si>
  <si>
    <t>-667.77676001989 349.768648621939 -692.63351362632</t>
  </si>
  <si>
    <t>-660.212965846379 314.123028700249 -840.526114971306</t>
  </si>
  <si>
    <t>-647.764566172998 264.442166783908 -928.615884155158</t>
  </si>
  <si>
    <t>-639.11698228995 349.910981771079 -778.662467751685</t>
  </si>
  <si>
    <t>-517.854296733662 432.674573377134 -770.338540176329</t>
  </si>
  <si>
    <t>-480.119225732915 478.908112600837 -459.493352729242</t>
  </si>
  <si>
    <t>-376.495295140892 339.181049762987 -266.152955444538</t>
  </si>
  <si>
    <t>-688.002209977863 309.879480382079 -771.514006090502</t>
  </si>
  <si>
    <t>-805.656336833992 232.231140173729 -729.655938885034</t>
  </si>
  <si>
    <t>-792.918534067857 244.652573400473 -413.634336679776</t>
  </si>
  <si>
    <t>-548.902811535704 176.621644948345 -354.726160327715</t>
  </si>
  <si>
    <t>-557.763912664586 444.330221408999 -244.718202868136</t>
  </si>
  <si>
    <t>-591.635377539427 445.317551484965 209.714836382661</t>
  </si>
  <si>
    <t>-634.992202485721 436.968657217699 677.342386192872</t>
  </si>
  <si>
    <t>-510.396930175762 343.779138239986 759.410898273567</t>
  </si>
  <si>
    <t>-687.454027796574 294.8710210241 -232.382498768025</t>
  </si>
  <si>
    <t>-635.321054436695 157.093051652077 198.844910240135</t>
  </si>
  <si>
    <t>-669.749242113054 95.2731089069889 663.57116333228</t>
  </si>
  <si>
    <t>-624.095250838477 -52.6494734279231 747.106396260413</t>
  </si>
  <si>
    <t>9763-20170724T160808.024542000.bin</t>
  </si>
  <si>
    <t>-622.052070827615 369.406043368689 -238.83758526405</t>
  </si>
  <si>
    <t>-650.687666977768 384.248037423075 -355.574597609266</t>
  </si>
  <si>
    <t>-663.309331055478 380.273753889483 -476.054783021479</t>
  </si>
  <si>
    <t>-668.411051595208 368.641016524795 -584.836664584141</t>
  </si>
  <si>
    <t>-667.519795032071 348.919055754273 -692.563593952045</t>
  </si>
  <si>
    <t>-660.299562347803 313.014325021149 -840.410496360895</t>
  </si>
  <si>
    <t>-648.112660313748 263.165807292038 -928.442317016639</t>
  </si>
  <si>
    <t>-639.050093192729 348.898572663721 -778.655606889901</t>
  </si>
  <si>
    <t>-517.723160220421 431.598700384738 -770.710036947343</t>
  </si>
  <si>
    <t>-478.906739120285 478.280128473453 -460.065073145376</t>
  </si>
  <si>
    <t>-374.919675502461 338.712796228594 -266.804431663999</t>
  </si>
  <si>
    <t>-687.938646463504 308.903381145482 -771.330141842403</t>
  </si>
  <si>
    <t>-805.503458422407 231.278527370387 -729.162374203794</t>
  </si>
  <si>
    <t>-792.149666591134 243.995530548336 -413.17806437898</t>
  </si>
  <si>
    <t>-548.013339270479 176.081432981193 -354.635800420616</t>
  </si>
  <si>
    <t>-557.233307226905 443.904570554882 -244.684199961077</t>
  </si>
  <si>
    <t>-591.359345792728 444.996611078675 209.729642650221</t>
  </si>
  <si>
    <t>-635.161565656115 436.85225569078 677.336445859218</t>
  </si>
  <si>
    <t>-510.284402570423 344.051639025383 759.417222661727</t>
  </si>
  <si>
    <t>-686.796127837801 294.743582904787 -232.324363707653</t>
  </si>
  <si>
    <t>-634.92179430954 156.897085071399 198.912289574312</t>
  </si>
  <si>
    <t>-669.665813192724 95.3261908130844 663.613556748393</t>
  </si>
  <si>
    <t>-623.956878111018 -52.5780065528545 747.151300596103</t>
  </si>
  <si>
    <t>9763-20170724T160808.092728600.bin</t>
  </si>
  <si>
    <t>-620.995090943588 368.54089645979 -238.862134569247</t>
  </si>
  <si>
    <t>-649.510591508368 383.325464875986 -355.635846736978</t>
  </si>
  <si>
    <t>-662.154837357698 379.272245255688 -476.110994640078</t>
  </si>
  <si>
    <t>-667.331734601958 367.56712717312 -584.881518043284</t>
  </si>
  <si>
    <t>-666.56672057766 347.776303937128 -692.596856947119</t>
  </si>
  <si>
    <t>-659.572216752004 311.781842940597 -840.432826048351</t>
  </si>
  <si>
    <t>-647.517049117216 261.846689670413 -928.433614562349</t>
  </si>
  <si>
    <t>-638.262214356412 347.742879077364 -778.743261277157</t>
  </si>
  <si>
    <t>-516.998917114809 430.568117293255 -771.089313125904</t>
  </si>
  <si>
    <t>-476.974579857245 477.566780016964 -460.645561580522</t>
  </si>
  <si>
    <t>-372.220169520265 338.022122469107 -267.783350814555</t>
  </si>
  <si>
    <t>-687.072010551179 307.673561231748 -771.29667963214</t>
  </si>
  <si>
    <t>-804.451694343961 229.928890794754 -728.861335849785</t>
  </si>
  <si>
    <t>-790.481138680491 242.596318067289 -412.901643365338</t>
  </si>
  <si>
    <t>-546.066880087443 175.127187751698 -355.00833134721</t>
  </si>
  <si>
    <t>-556.268357216157 442.883416516357 -244.675700449334</t>
  </si>
  <si>
    <t>-590.886341624931 444.065788524014 209.7006499705</t>
  </si>
  <si>
    <t>-635.345494643181 436.694816597714 677.270521004268</t>
  </si>
  <si>
    <t>-510.188627485857 344.333871285184 759.421159145215</t>
  </si>
  <si>
    <t>-685.683138443458 294.09400913149 -232.384723130983</t>
  </si>
  <si>
    <t>-634.504798003004 156.555922818593 199.033543252376</t>
  </si>
  <si>
    <t>-669.616129112514 95.3810014383805 663.717566764687</t>
  </si>
  <si>
    <t>-624.271559638057 -52.6199017751287 747.282732095495</t>
  </si>
  <si>
    <t>9763-20170724T160808.121810100.bin</t>
  </si>
  <si>
    <t>-620.630409362171 368.003794192467 -238.931653219261</t>
  </si>
  <si>
    <t>-649.075580015771 382.803285271006 -355.720649661731</t>
  </si>
  <si>
    <t>-661.670119948641 378.771897155921 -476.201732802728</t>
  </si>
  <si>
    <t>-666.80945356046 367.090881691557 -584.976600793621</t>
  </si>
  <si>
    <t>-666.01379655809 347.328790800167 -692.697010750273</t>
  </si>
  <si>
    <t>-658.982273598041 311.380264191144 -840.542481258772</t>
  </si>
  <si>
    <t>-646.864644201337 261.485608423532 -928.557559460395</t>
  </si>
  <si>
    <t>-637.704179251259 347.341335082473 -778.841783534667</t>
  </si>
  <si>
    <t>-516.54264387791 430.313238740066 -771.131167940755</t>
  </si>
  <si>
    <t>-476.368543140586 477.216743079088 -460.692281375004</t>
  </si>
  <si>
    <t>-371.224722661937 337.678182957704 -268.037605734299</t>
  </si>
  <si>
    <t>-686.48283392677 307.231403609483 -771.408982873079</t>
  </si>
  <si>
    <t>-803.802179302732 229.377355428864 -728.986395058865</t>
  </si>
  <si>
    <t>-789.909642842284 241.720773650317 -413.010446281028</t>
  </si>
  <si>
    <t>-545.42675872342 174.42896366485 -355.200590757134</t>
  </si>
  <si>
    <t>-555.959622716051 442.301474885486 -244.683644766737</t>
  </si>
  <si>
    <t>-590.75531936717 443.552964688519 209.679023048777</t>
  </si>
  <si>
    <t>-635.456816021802 436.598957004377 677.239791192735</t>
  </si>
  <si>
    <t>-510.005922131984 344.658093028708 759.413163783425</t>
  </si>
  <si>
    <t>-685.271921495737 293.701839157279 -232.47938257854</t>
  </si>
  <si>
    <t>-634.452505851312 156.467970332085 199.078214909909</t>
  </si>
  <si>
    <t>-669.548753722172 95.4082360966358 663.758181589845</t>
  </si>
  <si>
    <t>-624.023297206561 -52.5345394445483 747.327729916228</t>
  </si>
  <si>
    <t>9763-20170724T160808.160947800.bin</t>
  </si>
  <si>
    <t>-620.373634476161 367.395889046604 -239.004286659116</t>
  </si>
  <si>
    <t>-648.693485252578 382.138958313405 -355.830800885218</t>
  </si>
  <si>
    <t>-661.1900973865 378.133413289617 -476.322901079168</t>
  </si>
  <si>
    <t>-666.251182579716 366.51066068116 -585.107790284233</t>
  </si>
  <si>
    <t>-665.386891790632 346.84111464067 -692.844587090745</t>
  </si>
  <si>
    <t>-658.269058301295 311.055639737858 -840.725399983806</t>
  </si>
  <si>
    <t>-646.036252033484 261.277315833709 -928.790472617322</t>
  </si>
  <si>
    <t>-637.051443198039 346.976628120472 -778.980679774317</t>
  </si>
  <si>
    <t>-515.984063892161 430.084714704752 -771.135943747192</t>
  </si>
  <si>
    <t>-476.12783700913 476.700473949842 -460.612825381549</t>
  </si>
  <si>
    <t>-370.679760939405 337.204836009455 -268.09335416215</t>
  </si>
  <si>
    <t>-685.785706626763 306.802356012394 -771.604673794981</t>
  </si>
  <si>
    <t>-803.034236825635 228.781916307044 -729.302068707523</t>
  </si>
  <si>
    <t>-789.288270667723 240.805090700903 -413.307315846061</t>
  </si>
  <si>
    <t>-544.727759541664 173.723830116253 -355.581065096123</t>
  </si>
  <si>
    <t>-555.817574401816 441.606062887409 -244.70804173124</t>
  </si>
  <si>
    <t>-590.703508273783 443.09462954383 209.646982199904</t>
  </si>
  <si>
    <t>-635.626109580981 436.463108324957 677.210749847235</t>
  </si>
  <si>
    <t>-510.016642440448 344.774954284151 759.424207554467</t>
  </si>
  <si>
    <t>-684.882436487977 293.136548951628 -232.643525827848</t>
  </si>
  <si>
    <t>-634.447526659557 156.437055146863 199.128584454749</t>
  </si>
  <si>
    <t>-669.46020622509 95.4402805006343 663.799779546317</t>
  </si>
  <si>
    <t>-623.690681902566 -52.4266552242566 747.370299514643</t>
  </si>
  <si>
    <t>9763-20170724T160808.253183700.bin</t>
  </si>
  <si>
    <t>-620.191063685492 365.247673706144 -239.403207240214</t>
  </si>
  <si>
    <t>-648.263392106398 380.080635087778 -356.278074591565</t>
  </si>
  <si>
    <t>-660.35554392668 376.414161271869 -476.822275129224</t>
  </si>
  <si>
    <t>-664.98636618598 365.192811889178 -585.668407911315</t>
  </si>
  <si>
    <t>-663.626796187681 346.013724409965 -693.488488248759</t>
  </si>
  <si>
    <t>-655.752181338326 310.996937270634 -841.5149432351</t>
  </si>
  <si>
    <t>-642.898015869705 261.715302640907 -929.770611407082</t>
  </si>
  <si>
    <t>-634.966761334542 346.729341905863 -779.514341132041</t>
  </si>
  <si>
    <t>-514.386823462359 430.442120131623 -770.732282140675</t>
  </si>
  <si>
    <t>-476.305872745009 475.859362290156 -459.808876628424</t>
  </si>
  <si>
    <t>-370.57244068299 336.245370921931 -267.531930279687</t>
  </si>
  <si>
    <t>-683.506206354777 306.252171282886 -772.521274827707</t>
  </si>
  <si>
    <t>-800.554160041472 227.497273567336 -731.024285325588</t>
  </si>
  <si>
    <t>-788.172302118123 238.114015037565 -414.922852416744</t>
  </si>
  <si>
    <t>-543.472738322003 171.918037428798 -356.765625963183</t>
  </si>
  <si>
    <t>-556.142561044638 439.615950205866 -244.818606658709</t>
  </si>
  <si>
    <t>-591.031890417213 441.437487054644 209.534944074674</t>
  </si>
  <si>
    <t>-635.81392205855 436.288394668683 677.124390150896</t>
  </si>
  <si>
    <t>-509.888497191997 345.113069746956 759.424839261746</t>
  </si>
  <si>
    <t>-684.201554250372 290.845519880887 -233.305560721465</t>
  </si>
  <si>
    <t>-634.688146016753 155.667581836741 199.051922847458</t>
  </si>
  <si>
    <t>-669.482645897967 95.4525537995291 663.854161189542</t>
  </si>
  <si>
    <t>-623.789229539489 -52.4294319996066 747.439590081996</t>
  </si>
  <si>
    <t>9763-20170724T160808.288278600.bin</t>
  </si>
  <si>
    <t>-620.337664271612 364.550597851376 -239.509052256898</t>
  </si>
  <si>
    <t>-648.340443055473 379.411353155909 -356.396986120384</t>
  </si>
  <si>
    <t>-660.261834071467 375.870622306659 -476.961952518277</t>
  </si>
  <si>
    <t>-664.695331484936 364.800427309881 -585.83174371561</t>
  </si>
  <si>
    <t>-663.094443266926 345.808167189472 -693.681555996558</t>
  </si>
  <si>
    <t>-654.837347118798 311.086741756596 -841.756810106084</t>
  </si>
  <si>
    <t>-641.696183984715 261.983340266935 -930.069621157641</t>
  </si>
  <si>
    <t>-634.26106272373 346.751206347889 -779.647419713276</t>
  </si>
  <si>
    <t>-513.891015028945 430.718588312559 -770.468863847501</t>
  </si>
  <si>
    <t>-476.612290500408 475.767282638233 -459.394801020314</t>
  </si>
  <si>
    <t>-370.908506243328 335.986812802254 -267.222473277842</t>
  </si>
  <si>
    <t>-682.720727712879 306.148493815646 -772.828917604448</t>
  </si>
  <si>
    <t>-799.683361836287 227.075260348181 -731.701989896976</t>
  </si>
  <si>
    <t>-787.923241934988 237.165799098429 -415.559510549892</t>
  </si>
  <si>
    <t>-543.184202970297 171.355295855394 -357.131201802568</t>
  </si>
  <si>
    <t>-556.421777325491 438.994154945317 -244.833013088888</t>
  </si>
  <si>
    <t>-591.282141379539 441.035465421062 209.521674506662</t>
  </si>
  <si>
    <t>-635.939337488534 436.202575865903 677.132539857795</t>
  </si>
  <si>
    <t>-509.74930743459 345.385840515094 759.42413163205</t>
  </si>
  <si>
    <t>-684.208045340475 290.047198043632 -233.487260749948</t>
  </si>
  <si>
    <t>-634.699517315235 155.11875758826 198.948729739813</t>
  </si>
  <si>
    <t>-669.467523240318 95.4637184610463 663.831871601053</t>
  </si>
  <si>
    <t>-623.677086328995 -52.3922462004382 747.410312228433</t>
  </si>
  <si>
    <t>9763-20170724T160808.323376400.bin</t>
  </si>
  <si>
    <t>-620.517243261328 363.852502996868 -239.577737699081</t>
  </si>
  <si>
    <t>-648.481075503868 378.753403132139 -356.46996737368</t>
  </si>
  <si>
    <t>-660.246863561193 375.360063358454 -477.054476645619</t>
  </si>
  <si>
    <t>-664.489612270885 364.464107496981 -585.949481832741</t>
  </si>
  <si>
    <t>-662.646165160617 345.685458669886 -693.83277779327</t>
  </si>
  <si>
    <t>-653.996835537564 311.299752211689 -841.96377733445</t>
  </si>
  <si>
    <t>-640.547761746095 262.385063956349 -930.334962221895</t>
  </si>
  <si>
    <t>-633.631311969347 346.875632828528 -779.734285956869</t>
  </si>
  <si>
    <t>-513.464043857037 431.081276883914 -770.121573127019</t>
  </si>
  <si>
    <t>-477.120485645798 475.805368213035 -458.890103807566</t>
  </si>
  <si>
    <t>-371.457076394398 335.836910302536 -266.832491043727</t>
  </si>
  <si>
    <t>-682.016522737658 306.153030030285 -773.106550009756</t>
  </si>
  <si>
    <t>-798.903960119198 226.764960745161 -732.362000480947</t>
  </si>
  <si>
    <t>-787.690235691045 236.348354531113 -416.184016216067</t>
  </si>
  <si>
    <t>-542.952809133042 170.837774456901 -357.413290436594</t>
  </si>
  <si>
    <t>-556.700276009004 438.393710750116 -244.835930976149</t>
  </si>
  <si>
    <t>-591.528562652627 440.696782438599 209.520042629933</t>
  </si>
  <si>
    <t>-636.002569855999 436.167655235916 677.134899301397</t>
  </si>
  <si>
    <t>-509.676547497613 345.539762933343 759.426031134918</t>
  </si>
  <si>
    <t>-684.3058435802 289.208912698728 -233.634005030867</t>
  </si>
  <si>
    <t>-634.620870184761 154.462816697812 198.838652698416</t>
  </si>
  <si>
    <t>-669.445775065924 95.4880975191052 663.79702360915</t>
  </si>
  <si>
    <t>-623.762372624373 -52.4027791393264 747.372355333893</t>
  </si>
  <si>
    <t>9763-20170724T160808.387547500.bin</t>
  </si>
  <si>
    <t>-620.907741137892 362.371909522893 -239.758504029207</t>
  </si>
  <si>
    <t>-648.844010464271 377.354430326001 -356.646847216082</t>
  </si>
  <si>
    <t>-660.32877621636 374.209729323054 -477.265206555204</t>
  </si>
  <si>
    <t>-664.208166525582 363.602553486533 -586.202195113891</t>
  </si>
  <si>
    <t>-661.88929027864 345.173457439312 -694.136661688239</t>
  </si>
  <si>
    <t>-652.460047334827 311.334055803037 -842.346003817999</t>
  </si>
  <si>
    <t>-638.392859528525 262.776791892069 -930.817889005518</t>
  </si>
  <si>
    <t>-632.50850298006 346.777355517938 -779.907108149916</t>
  </si>
  <si>
    <t>-512.775651340497 431.498523628777 -769.4394650465</t>
  </si>
  <si>
    <t>-478.326779085211 475.418161577724 -457.878034266221</t>
  </si>
  <si>
    <t>-372.670489034527 335.361668490854 -265.880702541527</t>
  </si>
  <si>
    <t>-680.755933455903 305.836501457313 -773.628785432123</t>
  </si>
  <si>
    <t>-797.522240429665 225.906051599634 -733.602450051665</t>
  </si>
  <si>
    <t>-787.550668112853 234.672429536971 -417.359039674169</t>
  </si>
  <si>
    <t>-542.861419406673 169.572100685829 -357.935401146384</t>
  </si>
  <si>
    <t>-557.249126285845 437.13208060721 -244.897443919501</t>
  </si>
  <si>
    <t>-591.795099533746 439.93613449682 209.477243383108</t>
  </si>
  <si>
    <t>-636.004028550649 436.182436239314 677.132466537266</t>
  </si>
  <si>
    <t>-509.670492467146 345.571920990083 759.431254292657</t>
  </si>
  <si>
    <t>-684.504270102305 287.510565712459 -233.935293596528</t>
  </si>
  <si>
    <t>-634.405264277385 152.993071029203 198.560690462371</t>
  </si>
  <si>
    <t>-669.326453225697 95.5584905893654 663.726899013844</t>
  </si>
  <si>
    <t>-623.267512224238 -52.2308023332507 747.275636121241</t>
  </si>
  <si>
    <t>9763-20170724T160808.426660800.bin</t>
  </si>
  <si>
    <t>-621.162009072791 361.634840303906 -239.829553990507</t>
  </si>
  <si>
    <t>-649.126643898227 376.649927306631 -356.707010177909</t>
  </si>
  <si>
    <t>-660.492887052453 373.632290513161 -477.339821596425</t>
  </si>
  <si>
    <t>-664.20368121952 363.174186462666 -586.297092435362</t>
  </si>
  <si>
    <t>-661.65421418737 344.92582200171 -694.257101864039</t>
  </si>
  <si>
    <t>-651.839506131264 311.368507126662 -842.505493177727</t>
  </si>
  <si>
    <t>-637.474327643273 262.984799725242 -931.024650164996</t>
  </si>
  <si>
    <t>-632.087115368872 346.734491649712 -779.959273140994</t>
  </si>
  <si>
    <t>-512.508272151192 431.626062327331 -769.064118440634</t>
  </si>
  <si>
    <t>-479.192887997621 475.138724998865 -457.322289590999</t>
  </si>
  <si>
    <t>-373.414755962873 335.12960716342 -265.357496078916</t>
  </si>
  <si>
    <t>-680.277195484357 305.698811969281 -773.8608566938</t>
  </si>
  <si>
    <t>-796.986278878061 225.523431935866 -734.182056755394</t>
  </si>
  <si>
    <t>-787.567669294301 233.978824160859 -417.913320997169</t>
  </si>
  <si>
    <t>-542.976698813256 168.905658266021 -358.056711631666</t>
  </si>
  <si>
    <t>-557.571676917092 436.526808051577 -244.940551698526</t>
  </si>
  <si>
    <t>-591.969407723088 439.445098407318 209.444677327144</t>
  </si>
  <si>
    <t>-636.021830212404 436.171186871185 677.12032799095</t>
  </si>
  <si>
    <t>-509.699198200169 345.54694151937 759.420700575391</t>
  </si>
  <si>
    <t>-684.689796953245 286.63809703905 -234.034946892178</t>
  </si>
  <si>
    <t>-634.27049044412 152.180569597284 198.442455348039</t>
  </si>
  <si>
    <t>-669.349523110752 95.5745758495452 663.694071544568</t>
  </si>
  <si>
    <t>-623.499587466092 -52.2837234916394 747.235733411854</t>
  </si>
  <si>
    <t>9763-20170724T160808.491856300.bin</t>
  </si>
  <si>
    <t>-621.850756634427 360.185612465281 -239.940123677488</t>
  </si>
  <si>
    <t>-649.834922008864 375.26420112905 -356.804702254357</t>
  </si>
  <si>
    <t>-660.958899975515 372.465339949572 -477.465370647676</t>
  </si>
  <si>
    <t>-664.340674189578 362.261879756349 -586.457582221034</t>
  </si>
  <si>
    <t>-661.350676850177 344.321487526582 -694.457852876718</t>
  </si>
  <si>
    <t>-650.807085939247 311.244208996875 -842.763958344898</t>
  </si>
  <si>
    <t>-635.912341326301 263.159223970392 -931.358395526735</t>
  </si>
  <si>
    <t>-631.427849146554 346.480473893262 -780.028401939072</t>
  </si>
  <si>
    <t>-512.18237336777 431.730375477109 -768.334580313879</t>
  </si>
  <si>
    <t>-480.851920024812 474.390089223476 -456.269449045577</t>
  </si>
  <si>
    <t>-374.502635512379 334.540045303106 -264.504192868499</t>
  </si>
  <si>
    <t>-679.516828271467 305.279203456913 -774.257898730641</t>
  </si>
  <si>
    <t>-796.163347770784 224.680066597277 -735.238904486707</t>
  </si>
  <si>
    <t>-787.897061123301 232.612031356174 -418.924212196927</t>
  </si>
  <si>
    <t>-543.513662947006 167.558608412795 -358.204708328916</t>
  </si>
  <si>
    <t>-558.461843274252 435.283413729347 -244.980869986513</t>
  </si>
  <si>
    <t>-592.491720701281 438.541448625108 209.429762438137</t>
  </si>
  <si>
    <t>-636.216925072843 436.028751734101 677.118648491293</t>
  </si>
  <si>
    <t>-509.671226626615 345.699202827238 759.400311593164</t>
  </si>
  <si>
    <t>-685.1883549537 284.980676929451 -234.194241768552</t>
  </si>
  <si>
    <t>-633.843685594626 150.189855408691 198.070559096733</t>
  </si>
  <si>
    <t>-669.315723055572 95.6019567375963 663.594209860543</t>
  </si>
  <si>
    <t>-623.565922033318 -52.2712809407508 747.16443504241</t>
  </si>
  <si>
    <t>9763-20170724T160808.522928200.bin</t>
  </si>
  <si>
    <t>-622.169545988475 359.69430828707 -239.960792513904</t>
  </si>
  <si>
    <t>-650.152270595214 374.754994882918 -356.82797784419</t>
  </si>
  <si>
    <t>-661.170694456803 372.016356088086 -477.499791597624</t>
  </si>
  <si>
    <t>-664.413117372969 361.897056238376 -586.503936417902</t>
  </si>
  <si>
    <t>-661.239412158098 344.06895571731 -694.517643911001</t>
  </si>
  <si>
    <t>-650.394075552874 311.175383668209 -842.842931961532</t>
  </si>
  <si>
    <t>-635.282140328664 263.222446626505 -931.472129411437</t>
  </si>
  <si>
    <t>-631.168891241903 346.36350644914 -780.032884600538</t>
  </si>
  <si>
    <t>-512.043142904453 431.747560083136 -768.01180847376</t>
  </si>
  <si>
    <t>-481.485134022546 474.028876799476 -455.818446162408</t>
  </si>
  <si>
    <t>-374.750002563223 334.235270606848 -264.226641347773</t>
  </si>
  <si>
    <t>-679.216756487101 305.095970878423 -774.394278167665</t>
  </si>
  <si>
    <t>-795.819766631341 224.318143196696 -735.642462372513</t>
  </si>
  <si>
    <t>-788.012019321089 232.131259902106 -419.313244760284</t>
  </si>
  <si>
    <t>-543.698357160513 167.128385138773 -358.259716658674</t>
  </si>
  <si>
    <t>-558.810584153961 434.85984008217 -244.994998096271</t>
  </si>
  <si>
    <t>-592.792921677111 438.31835845272 209.417753784675</t>
  </si>
  <si>
    <t>-636.246939848725 436.008301800605 677.11872269972</t>
  </si>
  <si>
    <t>-509.796116045771 345.551710345409 759.406678255424</t>
  </si>
  <si>
    <t>-685.484843787588 284.454220920448 -234.226011282721</t>
  </si>
  <si>
    <t>-633.769398017039 149.55622033393 197.9611283946</t>
  </si>
  <si>
    <t>-669.28588711784 95.5777065817351 663.538625070758</t>
  </si>
  <si>
    <t>-623.954314881501 -52.377017839304 747.192362931363</t>
  </si>
  <si>
    <t>9763-20170724T160808.589099700.bin</t>
  </si>
  <si>
    <t>-622.851923625369 359.056049862337 -240.056560704046</t>
  </si>
  <si>
    <t>-650.716341975996 373.96436574898 -356.971505442084</t>
  </si>
  <si>
    <t>-661.546264780284 371.213943788631 -477.660125816288</t>
  </si>
  <si>
    <t>-664.588312972197 361.14127670742 -586.674487714545</t>
  </si>
  <si>
    <t>-661.183727915697 343.415391912572 -694.697780583683</t>
  </si>
  <si>
    <t>-649.983985456085 310.720986185332 -843.040803267147</t>
  </si>
  <si>
    <t>-634.563821086813 262.976040744309 -931.72910067146</t>
  </si>
  <si>
    <t>-630.950074063824 345.870855228614 -780.151051614376</t>
  </si>
  <si>
    <t>-512.009079010678 431.426664893267 -767.651572717149</t>
  </si>
  <si>
    <t>-482.164386805384 473.166272077839 -455.316329224376</t>
  </si>
  <si>
    <t>-374.621417453076 333.426978742271 -264.137116097987</t>
  </si>
  <si>
    <t>-678.928854222114 304.503808471213 -774.656237122145</t>
  </si>
  <si>
    <t>-795.561108968746 223.569187239469 -736.297271443982</t>
  </si>
  <si>
    <t>-788.417875711234 230.736871363398 -419.937019405774</t>
  </si>
  <si>
    <t>-544.181197151344 165.898291562898 -358.402807436827</t>
  </si>
  <si>
    <t>-559.55045352111 434.242153159676 -245.06861096275</t>
  </si>
  <si>
    <t>-593.448583168686 438.240832258447 209.345972601626</t>
  </si>
  <si>
    <t>-636.168284525946 436.073383669993 677.105626633942</t>
  </si>
  <si>
    <t>-509.680243215078 345.671168160188 759.396141252897</t>
  </si>
  <si>
    <t>-686.06924785076 283.773964341348 -234.379892253243</t>
  </si>
  <si>
    <t>-634.11671873901 149.163386287448 197.868370841298</t>
  </si>
  <si>
    <t>-669.253359454042 95.5720179469531 663.467327361362</t>
  </si>
  <si>
    <t>-623.710344003407 -52.2754908835177 747.195792136597</t>
  </si>
  <si>
    <t>9763-20170724T160808.653995400.bin</t>
  </si>
  <si>
    <t>-623.369138139593 358.935379554506 -240.218447313439</t>
  </si>
  <si>
    <t>-650.969162537177 373.58740754566 -357.228498672438</t>
  </si>
  <si>
    <t>-661.64997844665 370.791506955886 -477.929160752782</t>
  </si>
  <si>
    <t>-664.601857350132 360.768567487712 -586.950697516868</t>
  </si>
  <si>
    <t>-661.147674701701 343.184604095295 -694.99568251979</t>
  </si>
  <si>
    <t>-649.917411780545 310.781885916 -843.400407747991</t>
  </si>
  <si>
    <t>-634.381177271594 263.320098541221 -932.220388428792</t>
  </si>
  <si>
    <t>-630.919498063172 345.833682127726 -780.445058225472</t>
  </si>
  <si>
    <t>-512.051491021751 431.480157194518 -767.831613810878</t>
  </si>
  <si>
    <t>-482.044342166012 472.868190386743 -455.465240411654</t>
  </si>
  <si>
    <t>-373.985937358947 333.124389086229 -264.58017942862</t>
  </si>
  <si>
    <t>-678.853400428205 304.404491712139 -775.026780216275</t>
  </si>
  <si>
    <t>-795.535996551018 223.466682166421 -736.84375123813</t>
  </si>
  <si>
    <t>-788.763097119128 230.376337337831 -420.46963573315</t>
  </si>
  <si>
    <t>-544.475471994123 165.98488715361 -358.668935435651</t>
  </si>
  <si>
    <t>-560.054138270037 433.907515958691 -245.197461993482</t>
  </si>
  <si>
    <t>-594.196442158631 438.324623240153 209.194912434343</t>
  </si>
  <si>
    <t>-636.330439405541 435.982791983172 677.069809233324</t>
  </si>
  <si>
    <t>-509.692135059486 345.795337340764 759.364868330771</t>
  </si>
  <si>
    <t>-686.659680867992 283.823008415549 -234.563584510943</t>
  </si>
  <si>
    <t>-635.50655658734 149.761117388019 197.950543752973</t>
  </si>
  <si>
    <t>-669.291572319853 95.5950843941075 663.489053579504</t>
  </si>
  <si>
    <t>-623.837322798421 -52.2766709622395 747.22293395822</t>
  </si>
  <si>
    <t>9763-20170724T160808.688078300.bin</t>
  </si>
  <si>
    <t>-623.634307065031 359.114640233362 -240.241720559708</t>
  </si>
  <si>
    <t>-651.037940494013 373.57491812603 -357.32182489679</t>
  </si>
  <si>
    <t>-661.609131876324 370.702746633379 -478.030442465617</t>
  </si>
  <si>
    <t>-664.492462747783 360.665489176801 -587.052436579097</t>
  </si>
  <si>
    <t>-660.996561764433 343.124057021468 -695.103094315504</t>
  </si>
  <si>
    <t>-649.731126044964 310.84163105736 -843.531167608765</t>
  </si>
  <si>
    <t>-634.17418657749 263.525270459957 -932.425187402358</t>
  </si>
  <si>
    <t>-630.759792843341 345.85525833336 -780.546833291932</t>
  </si>
  <si>
    <t>-511.921708991081 431.527706689214 -767.939086410173</t>
  </si>
  <si>
    <t>-481.495984148989 472.880251566165 -455.608343172789</t>
  </si>
  <si>
    <t>-373.260734002128 333.001891512907 -264.922155307191</t>
  </si>
  <si>
    <t>-678.671759509016 304.395860281783 -775.16597177004</t>
  </si>
  <si>
    <t>-795.424841038361 223.526825658804 -737.01258191325</t>
  </si>
  <si>
    <t>-788.754076065773 230.267392445401 -420.632724655147</t>
  </si>
  <si>
    <t>-544.427016852337 166.098624932829 -358.755999631962</t>
  </si>
  <si>
    <t>-560.13564310628 433.888233761271 -245.241671762333</t>
  </si>
  <si>
    <t>-594.448836267778 438.658065152333 209.134317806206</t>
  </si>
  <si>
    <t>-636.325920152959 436.012514319361 677.047238575928</t>
  </si>
  <si>
    <t>-509.752542545536 345.73987191889 759.348780347782</t>
  </si>
  <si>
    <t>-687.0871432418 284.185311713084 -234.560547067837</t>
  </si>
  <si>
    <t>-636.386894223985 150.165816481416 198.019992345015</t>
  </si>
  <si>
    <t>-669.30125933402 95.6119529998218 663.548765036243</t>
  </si>
  <si>
    <t>-623.487082536859 -52.166090946331 747.251950865151</t>
  </si>
  <si>
    <t>9763-20170724T160808.721180600.bin</t>
  </si>
  <si>
    <t>-623.797445814708 359.464293606721 -240.224273825276</t>
  </si>
  <si>
    <t>-651.015151112748 373.782182130709 -357.365190601658</t>
  </si>
  <si>
    <t>-661.462131897797 370.825647680047 -478.082564512129</t>
  </si>
  <si>
    <t>-664.252911501334 360.744102337384 -587.102801634219</t>
  </si>
  <si>
    <t>-660.67914712319 343.194967383407 -695.149638648062</t>
  </si>
  <si>
    <t>-649.316230840666 310.942414267457 -843.576960169584</t>
  </si>
  <si>
    <t>-633.736916174532 263.69260595722 -932.502343430899</t>
  </si>
  <si>
    <t>-630.394130837403 345.952562892646 -780.575547956361</t>
  </si>
  <si>
    <t>-511.578852747118 431.67606926218 -768.030196471089</t>
  </si>
  <si>
    <t>-480.855387511761 472.881185795215 -455.709190317727</t>
  </si>
  <si>
    <t>-372.457079815525 332.819669033581 -265.250386152939</t>
  </si>
  <si>
    <t>-678.293679248048 304.473923817368 -775.229350092382</t>
  </si>
  <si>
    <t>-795.138263778928 223.742169709753 -737.064140460579</t>
  </si>
  <si>
    <t>-788.34035969557 230.501790436253 -420.687358189462</t>
  </si>
  <si>
    <t>-543.969826839484 166.498728238643 -358.810821504419</t>
  </si>
  <si>
    <t>-559.994575411936 434.051961110748 -245.263243712983</t>
  </si>
  <si>
    <t>-594.740813975058 439.183916736499 209.075907334679</t>
  </si>
  <si>
    <t>-636.275334440138 436.084410607035 677.026648658104</t>
  </si>
  <si>
    <t>-509.850924039982 345.613317981772 759.339223497723</t>
  </si>
  <si>
    <t>-687.538289450207 284.75238500785 -234.477864665197</t>
  </si>
  <si>
    <t>-637.315475560712 150.459526683437 198.073676283987</t>
  </si>
  <si>
    <t>-669.381044293602 95.5913594527772 663.631633770485</t>
  </si>
  <si>
    <t>-623.625190836514 -52.2069291850005 747.331067085679</t>
  </si>
  <si>
    <t>9763-20170724T160808.790364200.bin</t>
  </si>
  <si>
    <t>-624.000912312933 360.275676658081 -240.045330704017</t>
  </si>
  <si>
    <t>-650.873446070928 374.324100466959 -357.298577824882</t>
  </si>
  <si>
    <t>-661.109503752902 371.038751455501 -478.025435858728</t>
  </si>
  <si>
    <t>-663.758438870575 360.652140331597 -587.020700716754</t>
  </si>
  <si>
    <t>-660.086038060373 342.7995701934 -695.014459983857</t>
  </si>
  <si>
    <t>-648.62524024869 310.134681878326 -843.343988572174</t>
  </si>
  <si>
    <t>-633.118500526586 262.729555470112 -932.199387843827</t>
  </si>
  <si>
    <t>-629.69547358568 345.264475973102 -780.411742886739</t>
  </si>
  <si>
    <t>-510.827898361746 430.965934168733 -767.949541924865</t>
  </si>
  <si>
    <t>-479.299354938229 471.784888178336 -455.658114242909</t>
  </si>
  <si>
    <t>-370.590272070978 331.278317134547 -265.704768030548</t>
  </si>
  <si>
    <t>-677.697162283565 303.911217563116 -775.013842901006</t>
  </si>
  <si>
    <t>-794.713190217337 223.579873449106 -736.634568496675</t>
  </si>
  <si>
    <t>-787.05411239348 230.027077872554 -420.270720868994</t>
  </si>
  <si>
    <t>-542.618518692764 165.889075085429 -358.792329219891</t>
  </si>
  <si>
    <t>-559.564851928145 434.478244670472 -245.254882748316</t>
  </si>
  <si>
    <t>-595.246302033632 440.441719796833 209.001590741571</t>
  </si>
  <si>
    <t>-636.187076635956 436.235092043103 677.007713947431</t>
  </si>
  <si>
    <t>-510.035838684081 345.41219929891 759.351948162617</t>
  </si>
  <si>
    <t>-688.393490950055 285.869455996562 -234.185071719826</t>
  </si>
  <si>
    <t>-638.367549008952 150.92876207565 198.187625697659</t>
  </si>
  <si>
    <t>-669.494420824895 95.5815630143056 663.802138410143</t>
  </si>
  <si>
    <t>-623.605994335304 -52.2025253108955 747.454054499907</t>
  </si>
  <si>
    <t>9763-20170724T160808.824472900.bin</t>
  </si>
  <si>
    <t>-624.149494342387 360.670541842155 -239.955515645775</t>
  </si>
  <si>
    <t>-650.941450226189 374.653570143473 -357.234967955679</t>
  </si>
  <si>
    <t>-661.115313151141 371.206507181865 -477.962617238545</t>
  </si>
  <si>
    <t>-663.715228211583 360.63921132358 -586.941744138409</t>
  </si>
  <si>
    <t>-660.000354732435 342.575271896018 -694.898838602263</t>
  </si>
  <si>
    <t>-648.487556961289 309.587573407154 -843.152904791271</t>
  </si>
  <si>
    <t>-633.063965100063 262.035486194174 -931.944263707253</t>
  </si>
  <si>
    <t>-629.549100460064 344.819938997883 -780.280525348049</t>
  </si>
  <si>
    <t>-510.545620921666 430.317303492127 -767.897264233263</t>
  </si>
  <si>
    <t>-478.99948558818 470.898314389971 -455.576572851642</t>
  </si>
  <si>
    <t>-370.159299825785 330.174984585343 -265.85881450123</t>
  </si>
  <si>
    <t>-677.614120211578 303.547282985563 -774.829597840014</t>
  </si>
  <si>
    <t>-794.796117782929 223.473916333216 -736.33682682285</t>
  </si>
  <si>
    <t>-786.663422346035 229.952954945725 -419.985662827236</t>
  </si>
  <si>
    <t>-542.232134848204 165.529769586459 -358.788750670409</t>
  </si>
  <si>
    <t>-559.509043954673 434.764616953791 -245.256187474014</t>
  </si>
  <si>
    <t>-595.484567427721 440.781807441602 208.976322535424</t>
  </si>
  <si>
    <t>-636.215980290889 436.246336828685 676.998583274168</t>
  </si>
  <si>
    <t>-510.09986019073 345.38561264881 759.354908725672</t>
  </si>
  <si>
    <t>-688.742670609589 286.429613069203 -233.999241470306</t>
  </si>
  <si>
    <t>-638.505888570557 151.124443160349 198.235027816946</t>
  </si>
  <si>
    <t>-669.475117474785 95.6049626927816 663.868313756237</t>
  </si>
  <si>
    <t>-623.536658526536 -52.1699580078218 747.508872745672</t>
  </si>
  <si>
    <t>9763-20170724T160808.890648200.bin</t>
  </si>
  <si>
    <t>-624.241356619114 361.796774006836 -239.671841950785</t>
  </si>
  <si>
    <t>-651.034612884364 375.736044244804 -356.956228558643</t>
  </si>
  <si>
    <t>-661.282039253905 372.108903812379 -477.672390561201</t>
  </si>
  <si>
    <t>-663.986559440114 361.320651116326 -586.627195609956</t>
  </si>
  <si>
    <t>-660.420521799743 342.976547649534 -694.542193393319</t>
  </si>
  <si>
    <t>-649.165742502096 309.538201392162 -842.715029710484</t>
  </si>
  <si>
    <t>-634.1138686999 261.728360102892 -931.43175946549</t>
  </si>
  <si>
    <t>-630.005115174708 344.834589873122 -779.946055898984</t>
  </si>
  <si>
    <t>-510.489540936371 429.63672509308 -767.761405677116</t>
  </si>
  <si>
    <t>-478.331127608915 470.125308459519 -455.491130822953</t>
  </si>
  <si>
    <t>-369.737487749696 328.975738612887 -265.948986674011</t>
  </si>
  <si>
    <t>-678.28610821184 303.83274279713 -774.360404423569</t>
  </si>
  <si>
    <t>-795.805076474777 224.346193367096 -735.686179492848</t>
  </si>
  <si>
    <t>-787.27242494801 230.678956656624 -419.342609884364</t>
  </si>
  <si>
    <t>-542.919839746375 165.577969097945 -358.550247467584</t>
  </si>
  <si>
    <t>-559.332666563879 435.872381628025 -245.145158658668</t>
  </si>
  <si>
    <t>-595.694602690066 441.714518928002 209.05894252307</t>
  </si>
  <si>
    <t>-636.108253566422 436.380694828557 677.008331333243</t>
  </si>
  <si>
    <t>-510.208726040563 345.251618528072 759.399527839644</t>
  </si>
  <si>
    <t>-689.068040340592 287.632481767896 -233.561806654112</t>
  </si>
  <si>
    <t>-638.323942388213 151.171894309452 198.249809840632</t>
  </si>
  <si>
    <t>-669.426810439194 95.6611751515841 663.902763134341</t>
  </si>
  <si>
    <t>-623.563329707353 -52.1569493969196 747.508043869007</t>
  </si>
  <si>
    <t>9763-20170724T160808.922741000.bin</t>
  </si>
  <si>
    <t>-624.279562862601 362.442332068636 -239.469578141036</t>
  </si>
  <si>
    <t>-651.025709507543 376.200729807809 -356.785955918789</t>
  </si>
  <si>
    <t>-661.354134043972 372.47446365315 -477.492347064186</t>
  </si>
  <si>
    <t>-664.190081855165 361.627126341247 -586.43794061001</t>
  </si>
  <si>
    <t>-660.816296577046 343.252096347963 -694.353773953381</t>
  </si>
  <si>
    <t>-649.894454107251 309.796918812176 -842.547799019148</t>
  </si>
  <si>
    <t>-635.094565631309 261.909286171714 -931.26494320924</t>
  </si>
  <si>
    <t>-630.523320422718 345.021192483113 -779.802869694926</t>
  </si>
  <si>
    <t>-510.664601801957 429.360382361791 -767.75685079965</t>
  </si>
  <si>
    <t>-478.087251047978 469.885742560452 -455.534734830606</t>
  </si>
  <si>
    <t>-369.803366691902 328.54138171559 -265.960517322157</t>
  </si>
  <si>
    <t>-678.930901859482 304.178236182103 -774.150207230951</t>
  </si>
  <si>
    <t>-796.593454043407 224.937275430579 -735.384224983948</t>
  </si>
  <si>
    <t>-787.970368069536 231.469723485139 -419.047101769779</t>
  </si>
  <si>
    <t>-543.626944866878 166.204783137592 -358.393857441362</t>
  </si>
  <si>
    <t>-559.284248652416 436.451532817647 -245.062999569259</t>
  </si>
  <si>
    <t>-595.840354958622 442.254823845696 209.125986846321</t>
  </si>
  <si>
    <t>-636.137925916194 436.397750987556 677.036221087633</t>
  </si>
  <si>
    <t>-510.199602689249 345.326628779593 759.432224329759</t>
  </si>
  <si>
    <t>-689.272515410822 288.218080642774 -233.294966299864</t>
  </si>
  <si>
    <t>-637.83206875528 150.905120264646 198.163810415212</t>
  </si>
  <si>
    <t>-669.360391298199 95.7211289052548 663.864630503227</t>
  </si>
  <si>
    <t>-623.347768364856 -52.0768370810961 747.423540489608</t>
  </si>
  <si>
    <t>9763-20170724T160808.989923800.bin</t>
  </si>
  <si>
    <t>-624.338511284226 363.893176334049 -239.056486691583</t>
  </si>
  <si>
    <t>-651.206060623678 377.356864991393 -356.379388489787</t>
  </si>
  <si>
    <t>-661.803050704686 373.428175595295 -477.055936684301</t>
  </si>
  <si>
    <t>-664.95081438879 362.429349370939 -585.97789502633</t>
  </si>
  <si>
    <t>-661.962760420143 343.929955480689 -693.883689566</t>
  </si>
  <si>
    <t>-651.657440017218 310.32642754599 -842.088349341672</t>
  </si>
  <si>
    <t>-637.302494672347 262.263896343379 -930.784088101098</t>
  </si>
  <si>
    <t>-631.919870393002 345.492624017722 -779.425182752432</t>
  </si>
  <si>
    <t>-511.68507885107 429.341937193983 -767.762284108971</t>
  </si>
  <si>
    <t>-477.806567861616 469.835392187198 -455.674535997857</t>
  </si>
  <si>
    <t>-370.013294555831 328.071943566407 -266.133546320928</t>
  </si>
  <si>
    <t>-680.514638850867 304.89719441735 -773.599624567549</t>
  </si>
  <si>
    <t>-798.396903590305 226.172625540641 -734.476670691386</t>
  </si>
  <si>
    <t>-789.526558745196 233.212537851127 -418.15727674577</t>
  </si>
  <si>
    <t>-545.296934050963 167.33892083195 -357.703778968371</t>
  </si>
  <si>
    <t>-559.071053148145 438.147322383792 -244.902917331272</t>
  </si>
  <si>
    <t>-595.84927608867 443.544523942938 209.273137549565</t>
  </si>
  <si>
    <t>-635.970326059477 436.613837641017 677.104079700548</t>
  </si>
  <si>
    <t>-510.517061964979 344.894534597977 759.521046062558</t>
  </si>
  <si>
    <t>-689.528501600724 289.489164847195 -232.567653339152</t>
  </si>
  <si>
    <t>-636.050592791636 149.885432773961 197.907261051502</t>
  </si>
  <si>
    <t>-669.098944676676 95.8760242901717 663.716359757039</t>
  </si>
  <si>
    <t>-622.922516639829 -51.9168607947947 747.194028539692</t>
  </si>
  <si>
    <t>9763-20170724T160809.024657300.bin</t>
  </si>
  <si>
    <t>-624.350582570944 364.582868364354 -238.811556295946</t>
  </si>
  <si>
    <t>-651.318792735392 377.919377239256 -356.125881117816</t>
  </si>
  <si>
    <t>-662.060542241858 373.850042670171 -476.785018375642</t>
  </si>
  <si>
    <t>-665.357794433916 362.719323138718 -585.689125462839</t>
  </si>
  <si>
    <t>-662.537379488099 344.084613577896 -693.576350976255</t>
  </si>
  <si>
    <t>-652.484865261402 310.289035606829 -841.754537509593</t>
  </si>
  <si>
    <t>-638.331811844765 262.101614664797 -930.41475914951</t>
  </si>
  <si>
    <t>-632.602679475796 345.492876986561 -779.158311561046</t>
  </si>
  <si>
    <t>-512.270380657474 429.238995629644 -767.710362247752</t>
  </si>
  <si>
    <t>-477.758674683205 469.818037107845 -455.703154408048</t>
  </si>
  <si>
    <t>-369.891152364077 327.891046442234 -266.326933129728</t>
  </si>
  <si>
    <t>-681.263012855059 304.992075874296 -773.222198516616</t>
  </si>
  <si>
    <t>-799.216485777487 226.509944564465 -733.84096284345</t>
  </si>
  <si>
    <t>-789.982541767086 233.993536176461 -417.542294977807</t>
  </si>
  <si>
    <t>-545.830385058022 167.709266930612 -357.224882001773</t>
  </si>
  <si>
    <t>-558.938020596589 438.884874696301 -244.811881529055</t>
  </si>
  <si>
    <t>-595.790732341766 444.271087243335 209.358308488411</t>
  </si>
  <si>
    <t>-635.934906125922 436.690904683451 677.145495696185</t>
  </si>
  <si>
    <t>-510.627648961774 344.775031720032 759.565615916783</t>
  </si>
  <si>
    <t>-689.706571799976 290.136161314717 -232.116052951737</t>
  </si>
  <si>
    <t>-634.710372054891 149.154490793176 197.717911552249</t>
  </si>
  <si>
    <t>-668.96828190778 95.9460104109025 663.607529750139</t>
  </si>
  <si>
    <t>-623.015125221807 -51.9161261597696 747.08580208943</t>
  </si>
  <si>
    <t>9763-20170724T160809.092840100.bin</t>
  </si>
  <si>
    <t>-624.295180389674 365.850663574216 -238.165420072675</t>
  </si>
  <si>
    <t>-651.579139130023 378.904261227308 -355.438529858837</t>
  </si>
  <si>
    <t>-662.667995057579 374.541941113944 -476.056026782376</t>
  </si>
  <si>
    <t>-666.287523345909 363.146469756547 -584.92249403891</t>
  </si>
  <si>
    <t>-663.795286435873 344.249394212931 -692.772053918121</t>
  </si>
  <si>
    <t>-654.20214271025 310.094229733937 -840.898286390305</t>
  </si>
  <si>
    <t>-640.391723753781 261.672609320838 -929.48510359868</t>
  </si>
  <si>
    <t>-634.061456972502 345.375720763766 -778.428449865273</t>
  </si>
  <si>
    <t>-513.517011420883 428.875117397957 -767.450210838348</t>
  </si>
  <si>
    <t>-478.663867313488 469.853091687953 -455.533093972354</t>
  </si>
  <si>
    <t>-370.401049164389 328.013900187094 -266.316758086664</t>
  </si>
  <si>
    <t>-682.832010584993 305.038124172152 -772.285739114174</t>
  </si>
  <si>
    <t>-800.897988960755 226.99468905854 -732.349492794779</t>
  </si>
  <si>
    <t>-790.579023140378 235.47505080361 -416.10940620373</t>
  </si>
  <si>
    <t>-546.654260262943 168.256355628771 -355.906142979701</t>
  </si>
  <si>
    <t>-558.634978524352 440.262042210327 -244.656690616031</t>
  </si>
  <si>
    <t>-595.680546063935 445.162769462828 209.503255274484</t>
  </si>
  <si>
    <t>-635.961588804344 436.746693956202 677.223773691203</t>
  </si>
  <si>
    <t>-510.657017728493 344.811087506529 759.625955244577</t>
  </si>
  <si>
    <t>-689.868926224453 291.249644205243 -230.98912065613</t>
  </si>
  <si>
    <t>-631.025133865366 147.242040706919 197.329580246414</t>
  </si>
  <si>
    <t>-668.566839881587 96.1519012099311 663.299067138177</t>
  </si>
  <si>
    <t>-622.400541166579 -51.6685923522464 746.733473178163</t>
  </si>
  <si>
    <t>9763-20170724T160809.120946500.bin</t>
  </si>
  <si>
    <t>-624.274384609887 366.468438865853 -237.846818154512</t>
  </si>
  <si>
    <t>-651.78204250034 379.458874644446 -355.074770337634</t>
  </si>
  <si>
    <t>-663.072182703379 374.98560801144 -475.669329875205</t>
  </si>
  <si>
    <t>-666.861012771935 363.472582906089 -584.517725793496</t>
  </si>
  <si>
    <t>-664.524016914927 344.442004439815 -692.34736139804</t>
  </si>
  <si>
    <t>-655.130571606811 310.086451581521 -840.440097924984</t>
  </si>
  <si>
    <t>-641.471372069586 261.552358992271 -928.988584530668</t>
  </si>
  <si>
    <t>-634.877356828037 345.419108472467 -778.035677826468</t>
  </si>
  <si>
    <t>-514.258502045125 428.841992854789 -767.265390255214</t>
  </si>
  <si>
    <t>-479.215856213041 470.156427747695 -455.414058338057</t>
  </si>
  <si>
    <t>-370.815358253558 328.569513153984 -266.087488252391</t>
  </si>
  <si>
    <t>-683.6964073608 305.156285519122 -771.79168750032</t>
  </si>
  <si>
    <t>-801.806187535079 227.315744477375 -731.610591614458</t>
  </si>
  <si>
    <t>-791.162159586216 236.294076792254 -415.394997509356</t>
  </si>
  <si>
    <t>-547.297413976747 168.793862049751 -355.263526365567</t>
  </si>
  <si>
    <t>-558.430420232546 441.0221869057 -244.567728181101</t>
  </si>
  <si>
    <t>-595.442091117163 445.682476692071 209.597452700473</t>
  </si>
  <si>
    <t>-635.806820869676 436.880416770699 677.259972277661</t>
  </si>
  <si>
    <t>-510.841193629491 344.5021217009 759.68176893645</t>
  </si>
  <si>
    <t>-690.017318213055 291.8474531331 -230.392510758676</t>
  </si>
  <si>
    <t>-628.772106534419 146.336771940931 197.080701441184</t>
  </si>
  <si>
    <t>-668.321460253415 96.2767392478979 663.079187608435</t>
  </si>
  <si>
    <t>-622.340043019845 -51.6023985843417 746.511558282481</t>
  </si>
  <si>
    <t>9763-20170724T160809.189123000.bin</t>
  </si>
  <si>
    <t>-624.333917539369 367.708525511485 -237.216332549371</t>
  </si>
  <si>
    <t>-652.221196736202 380.354411629447 -354.392307678352</t>
  </si>
  <si>
    <t>-663.860299385976 375.611931567003 -474.943543096407</t>
  </si>
  <si>
    <t>-667.950909472188 363.884338634696 -583.757951006177</t>
  </si>
  <si>
    <t>-665.900888515411 344.667379434552 -691.560302190979</t>
  </si>
  <si>
    <t>-656.890536221277 310.08092237318 -839.62314149432</t>
  </si>
  <si>
    <t>-643.506326467972 261.371924685278 -928.117674035903</t>
  </si>
  <si>
    <t>-636.43105370854 345.458665195888 -777.311456729577</t>
  </si>
  <si>
    <t>-515.610805533888 428.647666946026 -766.927123039923</t>
  </si>
  <si>
    <t>-480.05477072446 470.863463537588 -455.254532230277</t>
  </si>
  <si>
    <t>-371.487417366572 329.955179861666 -265.517838061013</t>
  </si>
  <si>
    <t>-685.32354613277 305.310157248211 -770.908488793091</t>
  </si>
  <si>
    <t>-803.527874366589 227.820482032768 -730.32799057415</t>
  </si>
  <si>
    <t>-792.502950941231 237.497368625703 -414.146180224576</t>
  </si>
  <si>
    <t>-548.731383540805 169.578148000362 -354.10898812741</t>
  </si>
  <si>
    <t>-558.496430952376 442.510773116637 -244.39820746557</t>
  </si>
  <si>
    <t>-595.470066324425 446.700895645095 209.774678557758</t>
  </si>
  <si>
    <t>-635.942954826135 436.845953451795 677.364040838953</t>
  </si>
  <si>
    <t>-510.911417611531 344.541921151275 759.769087226371</t>
  </si>
  <si>
    <t>-690.119792913964 292.822371731731 -229.357695644983</t>
  </si>
  <si>
    <t>-624.499687376639 145.15349891182 196.724000469781</t>
  </si>
  <si>
    <t>-667.809401574956 96.5448005899284 662.583788490493</t>
  </si>
  <si>
    <t>-621.966702660364 -51.3792376950876 746.012965585752</t>
  </si>
  <si>
    <t>9763-20170724T160809.224227100.bin</t>
  </si>
  <si>
    <t>-624.399638956727 368.3747437057 -236.986304161635</t>
  </si>
  <si>
    <t>-652.41877013046 380.767726120088 -354.157729357494</t>
  </si>
  <si>
    <t>-664.19865101484 375.864056949345 -474.688992167893</t>
  </si>
  <si>
    <t>-668.420478495907 364.027145111663 -583.486493989438</t>
  </si>
  <si>
    <t>-666.50617218802 344.735506094176 -691.278003528364</t>
  </si>
  <si>
    <t>-657.689748610926 310.079060940104 -839.336145533836</t>
  </si>
  <si>
    <t>-644.428380730554 261.313235624329 -927.817789699756</t>
  </si>
  <si>
    <t>-637.140078984026 345.476216010624 -777.065229098515</t>
  </si>
  <si>
    <t>-516.292357577185 428.634053831479 -766.851781690462</t>
  </si>
  <si>
    <t>-480.306058359508 471.217039674689 -455.278697241631</t>
  </si>
  <si>
    <t>-371.692531507586 330.606011418588 -265.34793024428</t>
  </si>
  <si>
    <t>-686.041489137118 305.350617063781 -770.584801596644</t>
  </si>
  <si>
    <t>-804.252688601047 227.96849016778 -729.827815554948</t>
  </si>
  <si>
    <t>-793.054231541802 237.876838599086 -413.659185568685</t>
  </si>
  <si>
    <t>-549.309691190876 169.786032051003 -353.706785621484</t>
  </si>
  <si>
    <t>-558.622896747678 443.401625687259 -244.363975664736</t>
  </si>
  <si>
    <t>-595.475717337152 447.375197137445 209.820727222182</t>
  </si>
  <si>
    <t>-635.881850810881 436.914742648081 677.395987315124</t>
  </si>
  <si>
    <t>-511.034098655751 344.360407388712 759.798942498021</t>
  </si>
  <si>
    <t>-690.081880938496 293.294685434192 -228.990933742015</t>
  </si>
  <si>
    <t>-622.664253408459 145.192348390309 196.659528361891</t>
  </si>
  <si>
    <t>-667.494351709124 96.6874854298551 662.375066754464</t>
  </si>
  <si>
    <t>-621.136138896603 -51.0828899804155 745.791787943635</t>
  </si>
  <si>
    <t>9763-20170724T160809.295911000.bin</t>
  </si>
  <si>
    <t>-624.67132713543 369.738713644203 -236.692620477052</t>
  </si>
  <si>
    <t>-653.052028449166 381.772569606817 -353.814481689916</t>
  </si>
  <si>
    <t>-665.183603862643 376.650090358495 -474.3017226547</t>
  </si>
  <si>
    <t>-669.721252738678 364.666898183271 -583.07056703487</t>
  </si>
  <si>
    <t>-668.122099687939 345.276436984543 -690.849507138497</t>
  </si>
  <si>
    <t>-659.744071703188 310.52837825108 -838.911597909742</t>
  </si>
  <si>
    <t>-646.745151319977 261.686056642215 -927.390023660498</t>
  </si>
  <si>
    <t>-639.009781479304 345.963761786015 -776.723573773063</t>
  </si>
  <si>
    <t>-518.180195792017 429.183686319302 -766.846395612927</t>
  </si>
  <si>
    <t>-481.551721643824 471.993380726614 -455.379114202324</t>
  </si>
  <si>
    <t>-372.616586263513 331.793838685907 -265.328266689522</t>
  </si>
  <si>
    <t>-687.892338728147 305.842955075051 -770.073723673044</t>
  </si>
  <si>
    <t>-805.987146004147 228.45419291201 -728.977557987079</t>
  </si>
  <si>
    <t>-794.150945216962 238.698711088155 -412.842717883798</t>
  </si>
  <si>
    <t>-550.388167528209 170.448045638911 -353.146687648682</t>
  </si>
  <si>
    <t>-559.204426390211 445.094043033224 -244.377029443411</t>
  </si>
  <si>
    <t>-595.565514255584 448.424741200495 209.852491697641</t>
  </si>
  <si>
    <t>-635.966119143337 436.929950677381 677.45311448545</t>
  </si>
  <si>
    <t>-511.160159309774 344.269328095038 759.79988557417</t>
  </si>
  <si>
    <t>-690.106920577218 294.392211099983 -228.406068204227</t>
  </si>
  <si>
    <t>-619.958126191444 145.926394153052 196.675951015655</t>
  </si>
  <si>
    <t>-667.043870401351 96.9737406631637 662.05810255954</t>
  </si>
  <si>
    <t>-619.90710135981 -50.6042257304034 745.379025007776</t>
  </si>
  <si>
    <t>9763-20170724T160809.321481100.bin</t>
  </si>
  <si>
    <t>-624.8832234976 370.354181762567 -236.658455271162</t>
  </si>
  <si>
    <t>-653.525425693174 382.382903207279 -353.71717175905</t>
  </si>
  <si>
    <t>-665.871265639333 377.253584328995 -474.182219261609</t>
  </si>
  <si>
    <t>-670.582446370974 365.260617045558 -582.942684296965</t>
  </si>
  <si>
    <t>-669.13711290152 345.854949004367 -690.721132120422</t>
  </si>
  <si>
    <t>-660.952569392989 311.079355247755 -838.787519265088</t>
  </si>
  <si>
    <t>-648.069015913751 262.213961587863 -927.270147614046</t>
  </si>
  <si>
    <t>-640.14105316476 346.53111509519 -776.634604841975</t>
  </si>
  <si>
    <t>-519.35019960517 429.818845788221 -766.880398466817</t>
  </si>
  <si>
    <t>-482.504829892578 472.620798278524 -455.437612289816</t>
  </si>
  <si>
    <t>-373.358961518223 332.478809472479 -265.465420934496</t>
  </si>
  <si>
    <t>-689.006781845466 306.401959115803 -769.910852805141</t>
  </si>
  <si>
    <t>-807.024229244287 228.957634953468 -728.680901512264</t>
  </si>
  <si>
    <t>-794.739486389573 239.214869103331 -412.563755541789</t>
  </si>
  <si>
    <t>-550.909602403184 171.026684152515 -353.070750742922</t>
  </si>
  <si>
    <t>-559.508144101807 445.873876276855 -244.412883913839</t>
  </si>
  <si>
    <t>-595.550718306467 448.788034555444 209.844877525042</t>
  </si>
  <si>
    <t>-635.935210289873 436.97174332722 677.455244725344</t>
  </si>
  <si>
    <t>-511.209534540916 344.17697785965 759.772619417793</t>
  </si>
  <si>
    <t>-690.26032854391 294.856646500318 -228.22529174092</t>
  </si>
  <si>
    <t>-618.990228302074 146.340856306334 196.652722035261</t>
  </si>
  <si>
    <t>-666.853633122104 97.1229370299179 661.940904470944</t>
  </si>
  <si>
    <t>-619.467084301614 -50.4102897645698 745.199377268064</t>
  </si>
  <si>
    <t>9763-20170724T160809.388660000.bin</t>
  </si>
  <si>
    <t>-625.377440130455 371.538246800207 -236.524818358825</t>
  </si>
  <si>
    <t>-654.476044746353 383.628341099335 -353.464620370775</t>
  </si>
  <si>
    <t>-667.205305488683 378.563015256173 -473.892418730464</t>
  </si>
  <si>
    <t>-672.226340973748 366.627656591545 -582.645295743582</t>
  </si>
  <si>
    <t>-671.050393663051 347.279040719766 -690.437227200237</t>
  </si>
  <si>
    <t>-663.195614530508 312.5817070652 -838.539942177747</t>
  </si>
  <si>
    <t>-650.46690070216 263.765820999328 -927.072250526195</t>
  </si>
  <si>
    <t>-642.268557388062 348.026746082737 -776.422057165803</t>
  </si>
  <si>
    <t>-521.583640756943 431.490638832108 -766.844757008569</t>
  </si>
  <si>
    <t>-484.353485173709 474.033870299176 -455.412154781652</t>
  </si>
  <si>
    <t>-374.698158291452 333.877161915645 -265.744531555504</t>
  </si>
  <si>
    <t>-691.073763939699 307.841518022122 -769.595930180822</t>
  </si>
  <si>
    <t>-808.893634519514 230.19321918636 -728.194161631935</t>
  </si>
  <si>
    <t>-795.76291249681 240.252797208576 -412.104683396141</t>
  </si>
  <si>
    <t>-551.666668245387 172.425687636973 -353.295199123311</t>
  </si>
  <si>
    <t>-560.008371797577 447.208194424126 -244.451009516389</t>
  </si>
  <si>
    <t>-595.231887482485 449.404639196475 209.87507071104</t>
  </si>
  <si>
    <t>-635.830270195012 437.104405219702 677.479014396073</t>
  </si>
  <si>
    <t>-511.557819259924 343.639379705398 759.723527889276</t>
  </si>
  <si>
    <t>-690.70866006506 295.838227517689 -227.904371351694</t>
  </si>
  <si>
    <t>-617.661194320143 147.089069005129 196.5898494885</t>
  </si>
  <si>
    <t>-666.572254966038 97.3895521069007 661.754922855657</t>
  </si>
  <si>
    <t>-619.025435266882 -50.148943845883 744.91268380941</t>
  </si>
  <si>
    <t>9763-20170724T160809.422762000.bin</t>
  </si>
  <si>
    <t>-625.635377972384 371.971995479597 -236.457972684461</t>
  </si>
  <si>
    <t>-654.966634884395 384.125596688551 -353.333037360645</t>
  </si>
  <si>
    <t>-667.887121955649 379.13167406176 -473.743556611406</t>
  </si>
  <si>
    <t>-673.059698299789 367.26354816282 -582.496689508515</t>
  </si>
  <si>
    <t>-672.011575048176 347.984710063605 -690.302352361542</t>
  </si>
  <si>
    <t>-664.307962619748 313.386714411299 -838.436176621697</t>
  </si>
  <si>
    <t>-651.640933384873 264.620738743563 -927.004935415118</t>
  </si>
  <si>
    <t>-643.322950597282 348.796561477949 -776.317869228684</t>
  </si>
  <si>
    <t>-522.666710487955 432.304306484531 -766.785355877214</t>
  </si>
  <si>
    <t>-485.24961625029 474.675136850204 -455.351778167719</t>
  </si>
  <si>
    <t>-375.405997105296 334.452953973011 -265.841495868298</t>
  </si>
  <si>
    <t>-692.110219758395 308.593933642106 -769.465430942198</t>
  </si>
  <si>
    <t>-809.845012741233 230.851611709843 -727.998362078386</t>
  </si>
  <si>
    <t>-796.371122187491 240.596953819547 -411.913448172101</t>
  </si>
  <si>
    <t>-552.142372348304 172.932410712285 -353.467743208013</t>
  </si>
  <si>
    <t>-560.277917313425 447.619270718963 -244.465310497009</t>
  </si>
  <si>
    <t>-595.092880756608 449.463665859817 209.893819638001</t>
  </si>
  <si>
    <t>-635.928111163631 437.06024676686 677.500188935476</t>
  </si>
  <si>
    <t>-511.762062083822 343.413212713269 759.698334533794</t>
  </si>
  <si>
    <t>-690.970568170766 296.232325913068 -227.74508857926</t>
  </si>
  <si>
    <t>-617.252430813011 147.302238107259 196.56987362569</t>
  </si>
  <si>
    <t>-666.46718804158 97.5135269782575 661.695847521207</t>
  </si>
  <si>
    <t>-618.615234477127 -49.9601300913214 744.793434103456</t>
  </si>
  <si>
    <t>9763-20170724T160809.489939100.bin</t>
  </si>
  <si>
    <t>-626.123028126933 372.72986262617 -236.289907830334</t>
  </si>
  <si>
    <t>-655.878323471485 385.052495205585 -353.039981507122</t>
  </si>
  <si>
    <t>-669.168403957211 380.228619385195 -473.417179052639</t>
  </si>
  <si>
    <t>-674.642936473057 368.515265627459 -582.172458406689</t>
  </si>
  <si>
    <t>-673.858559338853 349.393272473468 -690.00828896503</t>
  </si>
  <si>
    <t>-666.476555606764 315.016445865723 -838.209949883332</t>
  </si>
  <si>
    <t>-653.952786775227 266.395707035267 -926.878780897861</t>
  </si>
  <si>
    <t>-645.352765498294 350.329236777433 -776.083370443777</t>
  </si>
  <si>
    <t>-524.651796027217 433.773928365469 -766.578371534784</t>
  </si>
  <si>
    <t>-487.000538197281 475.708720643306 -455.11410758221</t>
  </si>
  <si>
    <t>-376.942934018844 335.318609437825 -265.852176172955</t>
  </si>
  <si>
    <t>-694.132759770101 310.12525113857 -769.187412358088</t>
  </si>
  <si>
    <t>-811.731421036935 232.21472972888 -727.639988045162</t>
  </si>
  <si>
    <t>-797.660869341789 241.428305544642 -411.565018449378</t>
  </si>
  <si>
    <t>-553.199793932656 173.968958140188 -353.858319061605</t>
  </si>
  <si>
    <t>-560.634075075378 448.315681435775 -244.469072206462</t>
  </si>
  <si>
    <t>-594.660759104189 449.504358320062 209.951951897725</t>
  </si>
  <si>
    <t>-635.841582536272 437.133178888969 677.51271942869</t>
  </si>
  <si>
    <t>-511.955646880872 343.0605398066 759.647535838074</t>
  </si>
  <si>
    <t>-691.578237766244 297.092158274888 -227.41813308326</t>
  </si>
  <si>
    <t>-616.919954170915 147.650616859744 196.552378268728</t>
  </si>
  <si>
    <t>-666.358558507945 97.7146919196207 661.620483397511</t>
  </si>
  <si>
    <t>-618.246796310757 -49.7266072272703 744.625534685378</t>
  </si>
  <si>
    <t>9763-20170724T160809.552115400.bin</t>
  </si>
  <si>
    <t>-626.566796926666 373.441594629344 -236.203378328413</t>
  </si>
  <si>
    <t>-656.647309112509 385.86590011184 -352.859348824183</t>
  </si>
  <si>
    <t>-670.298628921263 381.270587846027 -473.205067281197</t>
  </si>
  <si>
    <t>-676.104220554151 369.816611687817 -581.970627595736</t>
  </si>
  <si>
    <t>-675.647698879586 351.007251585912 -689.863358170189</t>
  </si>
  <si>
    <t>-668.711839468576 317.118810239027 -838.199050427872</t>
  </si>
  <si>
    <t>-656.3828127765 268.714769250765 -927.013595038268</t>
  </si>
  <si>
    <t>-647.395219874419 352.219712658337 -776.018321654469</t>
  </si>
  <si>
    <t>-526.504958982558 435.413235265241 -766.578805844516</t>
  </si>
  <si>
    <t>-488.605814540791 476.72152297101 -455.06086955963</t>
  </si>
  <si>
    <t>-378.717452642265 336.03779887679 -265.918911949348</t>
  </si>
  <si>
    <t>-696.166353039899 312.006969931691 -769.111951838298</t>
  </si>
  <si>
    <t>-813.638426457688 233.944537209069 -727.519180031376</t>
  </si>
  <si>
    <t>-799.016593338624 242.343534094131 -411.446642435172</t>
  </si>
  <si>
    <t>-554.438771391505 174.889456001641 -354.230432108915</t>
  </si>
  <si>
    <t>-560.848185337454 448.908131129129 -244.595852293583</t>
  </si>
  <si>
    <t>-594.343237148906 449.507940559645 209.865872392787</t>
  </si>
  <si>
    <t>-635.649549688266 437.086481945782 677.300647869153</t>
  </si>
  <si>
    <t>-512.246950169066 342.614075489372 759.70376004994</t>
  </si>
  <si>
    <t>-692.195012830143 297.870749238918 -227.177457478106</t>
  </si>
  <si>
    <t>-616.913549097801 148.024489537477 196.540033964328</t>
  </si>
  <si>
    <t>-666.422665973873 97.8772631780876 661.574784803622</t>
  </si>
  <si>
    <t>-618.474478926109 -49.6741319183841 744.478810997193</t>
  </si>
  <si>
    <t>9763-20170724T160809.591221400.bin</t>
  </si>
  <si>
    <t>-626.706745480541 373.766062564514 -236.300183196663</t>
  </si>
  <si>
    <t>-656.993648406294 386.252056101244 -352.896138304762</t>
  </si>
  <si>
    <t>-670.827795892701 381.748364761223 -473.224387232159</t>
  </si>
  <si>
    <t>-676.783241704818 370.390376101424 -581.991819602039</t>
  </si>
  <si>
    <t>-676.458723003499 351.689326939002 -689.903963477216</t>
  </si>
  <si>
    <t>-669.684251354979 317.965029863804 -838.28445241065</t>
  </si>
  <si>
    <t>-657.457576675146 269.64489760133 -927.158926108102</t>
  </si>
  <si>
    <t>-648.299803811609 352.997031195711 -776.088161592226</t>
  </si>
  <si>
    <t>-527.313250814674 436.054874925439 -766.72225130406</t>
  </si>
  <si>
    <t>-489.162978939299 477.144620103043 -455.206044392684</t>
  </si>
  <si>
    <t>-379.436265806268 336.166043613465 -266.189793810651</t>
  </si>
  <si>
    <t>-697.063778301006 312.776857199807 -769.173185641978</t>
  </si>
  <si>
    <t>-814.489119172523 234.631936174042 -727.582843231252</t>
  </si>
  <si>
    <t>-799.657260462456 242.820329970949 -411.514580243474</t>
  </si>
  <si>
    <t>-555.025326153776 175.443414069126 -354.438987334571</t>
  </si>
  <si>
    <t>-560.79536758347 449.189067745912 -244.86394675985</t>
  </si>
  <si>
    <t>-593.914140819028 449.460648994272 209.6255704168</t>
  </si>
  <si>
    <t>-635.164718467001 437.064978738982 676.96084862286</t>
  </si>
  <si>
    <t>-512.318179736586 342.329551071947 759.891168896029</t>
  </si>
  <si>
    <t>-692.474494771054 298.242812344122 -227.118066520707</t>
  </si>
  <si>
    <t>-616.709772444974 148.034398701435 196.384893486701</t>
  </si>
  <si>
    <t>-666.415400061646 97.98769395979 661.470042877592</t>
  </si>
  <si>
    <t>-618.078188943107 -49.4934642721337 744.27291725043</t>
  </si>
  <si>
    <t>9763-20170724T160809.622319800.bin</t>
  </si>
  <si>
    <t>-626.799298897975 374.116563084354 -236.425915173927</t>
  </si>
  <si>
    <t>-657.312969249303 386.661832945912 -352.956196760459</t>
  </si>
  <si>
    <t>-671.318475375445 382.241249949974 -473.267780009746</t>
  </si>
  <si>
    <t>-677.399149375846 370.969476690447 -582.037462007338</t>
  </si>
  <si>
    <t>-677.166218746104 352.366339384794 -689.966634261916</t>
  </si>
  <si>
    <t>-670.480301773456 318.791227648489 -838.385058253362</t>
  </si>
  <si>
    <t>-658.356252348642 270.540393216777 -927.311153030578</t>
  </si>
  <si>
    <t>-649.065479020033 353.76852512481 -776.168455668201</t>
  </si>
  <si>
    <t>-527.97806197895 436.68603912659 -766.897578821992</t>
  </si>
  <si>
    <t>-489.523206866882 477.527054288713 -455.386187117764</t>
  </si>
  <si>
    <t>-379.94379273466 336.232338128639 -266.5205502674</t>
  </si>
  <si>
    <t>-697.811728515695 313.525831872417 -769.260635835655</t>
  </si>
  <si>
    <t>-815.173253269224 235.278560683907 -727.690795522017</t>
  </si>
  <si>
    <t>-800.325064165482 243.214473726397 -411.61681736529</t>
  </si>
  <si>
    <t>-555.651306152634 175.98068696003 -354.551678130387</t>
  </si>
  <si>
    <t>-560.585735294856 449.438397179941 -245.195823703928</t>
  </si>
  <si>
    <t>-593.40450815186 449.3763986351 209.315668185208</t>
  </si>
  <si>
    <t>-634.615440516958 437.023242830261 676.582950114553</t>
  </si>
  <si>
    <t>-512.4510925642 341.990119571455 760.177749949458</t>
  </si>
  <si>
    <t>-692.863532076298 298.675894120709 -227.02230957495</t>
  </si>
  <si>
    <t>-616.334236623418 147.87016245829 196.130868570211</t>
  </si>
  <si>
    <t>-666.448802065469 98.0787110385115 661.278049492577</t>
  </si>
  <si>
    <t>-618.381225021355 -49.5267141045053 744.016557774065</t>
  </si>
  <si>
    <t>9763-20170724T160809.689496600.bin</t>
  </si>
  <si>
    <t>-626.916741990175 375.005398982203 -236.728191966673</t>
  </si>
  <si>
    <t>-657.930475711351 387.484862019039 -353.13346254502</t>
  </si>
  <si>
    <t>-672.353530601711 383.097819793003 -473.397063685223</t>
  </si>
  <si>
    <t>-678.762780642395 371.901405242515 -582.155515738822</t>
  </si>
  <si>
    <t>-678.7991030244 353.422121911697 -690.106282659953</t>
  </si>
  <si>
    <t>-672.417398973369 320.070891381049 -838.588574486829</t>
  </si>
  <si>
    <t>-660.536902155475 271.924845826441 -927.604140545083</t>
  </si>
  <si>
    <t>-650.851056379961 354.926735781708 -776.35585208792</t>
  </si>
  <si>
    <t>-529.539221246602 437.538757953498 -767.259833931544</t>
  </si>
  <si>
    <t>-490.317396945325 478.139197608746 -455.81249900206</t>
  </si>
  <si>
    <t>-380.878663087832 336.267820629276 -267.298077782996</t>
  </si>
  <si>
    <t>-699.631106213529 314.728880237469 -769.423631724535</t>
  </si>
  <si>
    <t>-816.927014731681 236.339162686539 -727.943753919405</t>
  </si>
  <si>
    <t>-802.182694340619 243.966727948778 -411.857397071244</t>
  </si>
  <si>
    <t>-557.398748874783 177.249724533769 -354.658196692948</t>
  </si>
  <si>
    <t>-560.005837666363 450.135649981976 -246.054348903358</t>
  </si>
  <si>
    <t>-592.44613218767 449.46425361368 208.483658625749</t>
  </si>
  <si>
    <t>-633.512121368542 437.16757798037 675.666232406764</t>
  </si>
  <si>
    <t>-512.752507028576 341.483359716253 760.549443225682</t>
  </si>
  <si>
    <t>-693.759754264931 299.735794652292 -226.703900821912</t>
  </si>
  <si>
    <t>-614.544802086773 147.151419204059 195.315840646422</t>
  </si>
  <si>
    <t>-666.345093022771 98.2698619489811 660.615494392666</t>
  </si>
  <si>
    <t>-617.956191251651 -49.2854934328641 743.255861486227</t>
  </si>
  <si>
    <t>9763-20170724T160809.720597400.bin</t>
  </si>
  <si>
    <t>-627.07190823139 375.465232064437 -236.734911972287</t>
  </si>
  <si>
    <t>-658.251231829302 387.695207146643 -353.122624454639</t>
  </si>
  <si>
    <t>-672.896429293671 383.235549437357 -473.356530787327</t>
  </si>
  <si>
    <t>-679.523136093381 372.048898491956 -582.10310201103</t>
  </si>
  <si>
    <t>-679.787811929523 353.65602148665 -690.068158956725</t>
  </si>
  <si>
    <t>-673.729138677571 320.504577575382 -838.608674352022</t>
  </si>
  <si>
    <t>-662.020018821762 272.432149779413 -927.686882340279</t>
  </si>
  <si>
    <t>-651.995955336635 355.239641083155 -776.366859500737</t>
  </si>
  <si>
    <t>-530.551914122754 437.678787301223 -767.389389849781</t>
  </si>
  <si>
    <t>-490.854268255128 478.107246766125 -455.980140932729</t>
  </si>
  <si>
    <t>-381.431815745241 336.113211684095 -267.548416346353</t>
  </si>
  <si>
    <t>-700.824029975796 315.106306181871 -769.401425028772</t>
  </si>
  <si>
    <t>-818.1242456321 236.739701773002 -727.910964660043</t>
  </si>
  <si>
    <t>-803.370292640443 244.094927725213 -411.818540357766</t>
  </si>
  <si>
    <t>-558.497386376302 177.722080221251 -354.600060443254</t>
  </si>
  <si>
    <t>-559.808494531445 450.472606833199 -246.38066583356</t>
  </si>
  <si>
    <t>-592.273047729651 449.795283115467 208.155707158605</t>
  </si>
  <si>
    <t>-633.250607473696 437.142081313819 675.340794239318</t>
  </si>
  <si>
    <t>-512.941970059638 341.273859467767 760.655670705182</t>
  </si>
  <si>
    <t>-694.258035371648 300.232860440741 -226.386878890446</t>
  </si>
  <si>
    <t>-613.14682352423 146.530699593007 194.866423552183</t>
  </si>
  <si>
    <t>-666.195065368535 98.4099663054772 660.200884897558</t>
  </si>
  <si>
    <t>-617.622299785281 -49.1195544560562 742.779696220507</t>
  </si>
  <si>
    <t>9763-20170724T160809.789784800.bin</t>
  </si>
  <si>
    <t>-627.310232046025 376.776901745011 -236.427494157383</t>
  </si>
  <si>
    <t>-658.797339991659 388.037954121499 -352.830159539135</t>
  </si>
  <si>
    <t>-673.87170737504 383.129039775007 -472.993383961294</t>
  </si>
  <si>
    <t>-680.925156412747 371.754733887561 -581.693582827372</t>
  </si>
  <si>
    <t>-681.645848364034 353.392945069056 -689.662035907093</t>
  </si>
  <si>
    <t>-676.241594537184 320.509491178383 -838.28727031168</t>
  </si>
  <si>
    <t>-664.900942852183 272.572287047809 -927.486027151018</t>
  </si>
  <si>
    <t>-654.161812948516 355.047556586868 -776.057888912728</t>
  </si>
  <si>
    <t>-532.423645897557 437.065190307201 -767.376573826834</t>
  </si>
  <si>
    <t>-491.664616715075 477.434391422687 -456.096556414285</t>
  </si>
  <si>
    <t>-382.078708079376 335.261823638483 -267.894785961339</t>
  </si>
  <si>
    <t>-703.103939017314 315.071083946387 -768.992598729271</t>
  </si>
  <si>
    <t>-820.489383853595 236.842442717676 -727.433251510217</t>
  </si>
  <si>
    <t>-805.668784090349 244.038994299751 -411.340259869172</t>
  </si>
  <si>
    <t>-560.625090992151 178.239888225 -354.190259884094</t>
  </si>
  <si>
    <t>-559.295260207751 451.778727918281 -246.953175808052</t>
  </si>
  <si>
    <t>-592.262202160073 451.242254413796 207.547158062232</t>
  </si>
  <si>
    <t>-632.473645673933 437.461549201687 674.700530345629</t>
  </si>
  <si>
    <t>-513.422873704591 340.71968600908 760.790238113904</t>
  </si>
  <si>
    <t>-695.248056382694 301.620502106676 -225.14730463575</t>
  </si>
  <si>
    <t>-609.270886346192 144.860274706361 194.00886830042</t>
  </si>
  <si>
    <t>-665.709091984852 98.6897835118918 659.310289140858</t>
  </si>
  <si>
    <t>-616.632854172467 -48.6916185590189 741.855788421136</t>
  </si>
  <si>
    <t>9763-20170724T160809.852832500.bin</t>
  </si>
  <si>
    <t>-627.612304006495 378.37445106355 -235.517281964082</t>
  </si>
  <si>
    <t>-659.405547092846 388.222583818303 -351.964621982567</t>
  </si>
  <si>
    <t>-674.836231036306 382.663722992275 -472.054566527017</t>
  </si>
  <si>
    <t>-682.221675135732 371.016785574296 -580.703764575029</t>
  </si>
  <si>
    <t>-683.274725377126 352.694652867723 -688.676111883393</t>
  </si>
  <si>
    <t>-678.322327011304 320.185911720102 -837.399536337284</t>
  </si>
  <si>
    <t>-667.255128216191 272.420448609977 -926.72464192139</t>
  </si>
  <si>
    <t>-655.996742953688 354.501077816374 -775.134204451033</t>
  </si>
  <si>
    <t>-534.056651088804 436.19712460503 -766.577696703557</t>
  </si>
  <si>
    <t>-492.064016868086 476.568254829626 -455.461913131011</t>
  </si>
  <si>
    <t>-382.158898822636 334.057130393094 -267.702761722281</t>
  </si>
  <si>
    <t>-705.030418184346 314.639012230265 -768.053846502466</t>
  </si>
  <si>
    <t>-822.415864583219 236.401684860592 -726.472416753496</t>
  </si>
  <si>
    <t>-807.79984676146 243.560058423609 -410.369145241801</t>
  </si>
  <si>
    <t>-562.653963652002 178.548585481805 -352.75786213969</t>
  </si>
  <si>
    <t>-559.013559237145 453.524206998402 -247.12677275239</t>
  </si>
  <si>
    <t>-592.494539325659 453.54329874739 207.336357626375</t>
  </si>
  <si>
    <t>-631.95746655826 437.956918784155 674.458477483372</t>
  </si>
  <si>
    <t>-513.943470700931 340.227682569556 760.859909239746</t>
  </si>
  <si>
    <t>-696.120554489578 303.128267513368 -223.158468034309</t>
  </si>
  <si>
    <t>-603.866614618946 143.010817041945 193.385923396888</t>
  </si>
  <si>
    <t>-665.057536196518 99.0127758178594 658.423361104761</t>
  </si>
  <si>
    <t>-615.789021224667 -48.2879515485806 740.998174455579</t>
  </si>
  <si>
    <t>9763-20170724T160809.890928900.bin</t>
  </si>
  <si>
    <t>-627.633504493522 379.101939592092 -235.024438790182</t>
  </si>
  <si>
    <t>-659.678012551167 388.401208525388 -351.448256018281</t>
  </si>
  <si>
    <t>-675.275135487266 382.611729237462 -471.505617525861</t>
  </si>
  <si>
    <t>-682.767910645852 370.88797926479 -580.139293322839</t>
  </si>
  <si>
    <t>-683.879187071964 352.620252134826 -688.120219992219</t>
  </si>
  <si>
    <t>-678.950388990713 320.32264448833 -836.890493071533</t>
  </si>
  <si>
    <t>-667.870688779484 272.704529463527 -926.292574729823</t>
  </si>
  <si>
    <t>-656.618490509578 354.553215488901 -774.581164174142</t>
  </si>
  <si>
    <t>-534.671752767905 436.232990894147 -765.957291792292</t>
  </si>
  <si>
    <t>-492.0228851578 476.416225717009 -454.906524902366</t>
  </si>
  <si>
    <t>-381.853340830936 333.773303344584 -267.40264528918</t>
  </si>
  <si>
    <t>-705.644093890545 314.67330659247 -767.547448065314</t>
  </si>
  <si>
    <t>-822.953129385578 236.26303754626 -726.064532784034</t>
  </si>
  <si>
    <t>-808.776377193261 243.667608206786 -409.946913029247</t>
  </si>
  <si>
    <t>-563.568053391435 179.429068758933 -351.737588839131</t>
  </si>
  <si>
    <t>-558.867966590498 454.435592512212 -247.137492413748</t>
  </si>
  <si>
    <t>-592.658334824901 454.743831088359 207.302632367938</t>
  </si>
  <si>
    <t>-631.771106134906 438.109799855756 674.322852645989</t>
  </si>
  <si>
    <t>-514.289574261319 339.886397462997 760.889381611383</t>
  </si>
  <si>
    <t>-696.31182794187 303.784246065823 -222.186805824308</t>
  </si>
  <si>
    <t>-600.862686682377 142.545342951416 193.203496256061</t>
  </si>
  <si>
    <t>-664.661837019054 99.1873141743442 657.992957934888</t>
  </si>
  <si>
    <t>-615.472252859436 -48.1135561524852 740.61479293873</t>
  </si>
  <si>
    <t>9763-20170724T160809.924714900.bin</t>
  </si>
  <si>
    <t>-627.471423871748 379.784239135741 -234.715342332326</t>
  </si>
  <si>
    <t>-659.803462185186 388.614079939998 -351.096087789803</t>
  </si>
  <si>
    <t>-675.525394728469 382.659214591795 -471.129167151095</t>
  </si>
  <si>
    <t>-683.056927932874 370.908769291612 -579.757171519279</t>
  </si>
  <si>
    <t>-684.127991737952 352.735522745537 -687.754516637328</t>
  </si>
  <si>
    <t>-679.057114784648 320.692399379762 -836.575064798172</t>
  </si>
  <si>
    <t>-667.836098502252 273.256987014425 -926.056676550474</t>
  </si>
  <si>
    <t>-656.812541367412 354.849334156866 -774.193931648838</t>
  </si>
  <si>
    <t>-534.897106142929 436.587039035705 -765.413987782258</t>
  </si>
  <si>
    <t>-491.996905831742 476.490904077975 -454.361884155905</t>
  </si>
  <si>
    <t>-381.446462892022 333.696805534711 -267.197634850809</t>
  </si>
  <si>
    <t>-705.78903765899 314.891714907688 -767.25924548334</t>
  </si>
  <si>
    <t>-822.960392117557 236.184831342035 -725.964502711889</t>
  </si>
  <si>
    <t>-809.415258360227 244.028015774718 -409.829655477625</t>
  </si>
  <si>
    <t>-564.163717823319 180.773825778865 -350.731345554421</t>
  </si>
  <si>
    <t>-558.603322653421 455.423552334801 -247.267625485584</t>
  </si>
  <si>
    <t>-592.675217796469 455.910819617798 207.151269475168</t>
  </si>
  <si>
    <t>-631.390323915216 438.344002588898 674.054152567725</t>
  </si>
  <si>
    <t>-514.503442763035 339.675340629608 760.918784070242</t>
  </si>
  <si>
    <t>-696.141228917334 304.189710498836 -221.462064163486</t>
  </si>
  <si>
    <t>-597.701381304931 142.615679870855 193.099257106427</t>
  </si>
  <si>
    <t>-664.15499877078 99.4191589507634 657.566252629454</t>
  </si>
  <si>
    <t>-614.853437977 -47.8257771198598 740.220823026632</t>
  </si>
  <si>
    <t>9763-20170724T160809.989885700.bin</t>
  </si>
  <si>
    <t>-626.827706363618 380.709388019161 -234.9611028964</t>
  </si>
  <si>
    <t>-659.667283361284 388.966296965256 -351.241766805202</t>
  </si>
  <si>
    <t>-675.531959367465 382.866861603748 -471.24873499624</t>
  </si>
  <si>
    <t>-683.033678109457 371.153428169465 -579.882838856343</t>
  </si>
  <si>
    <t>-683.910424814156 353.180196165523 -687.915437655427</t>
  </si>
  <si>
    <t>-678.393616222616 321.579847827559 -836.814792605444</t>
  </si>
  <si>
    <t>-666.745061829964 274.439300137825 -926.397593106102</t>
  </si>
  <si>
    <t>-656.456570926817 355.691881764108 -774.300247279579</t>
  </si>
  <si>
    <t>-534.952930965947 438.023776371788 -765.18564337245</t>
  </si>
  <si>
    <t>-492.499327256748 476.643284048989 -453.910150963625</t>
  </si>
  <si>
    <t>-380.956324823486 333.724327281423 -267.431205283034</t>
  </si>
  <si>
    <t>-705.212733612616 315.432109474346 -767.562595559974</t>
  </si>
  <si>
    <t>-821.929370185603 235.871931297515 -726.697875880404</t>
  </si>
  <si>
    <t>-810.070518501494 245.094669970798 -410.532529943494</t>
  </si>
  <si>
    <t>-564.706185142793 184.125320679185 -349.531587689586</t>
  </si>
  <si>
    <t>-558.338218746704 457.172584898869 -248.061287342006</t>
  </si>
  <si>
    <t>-592.298655026827 457.556661309047 206.366128760542</t>
  </si>
  <si>
    <t>-630.271083955396 438.752445441879 673.144481928918</t>
  </si>
  <si>
    <t>-514.461457646172 339.699543763517 761.008990111024</t>
  </si>
  <si>
    <t>-695.063800409142 304.317696159688 -221.263850251557</t>
  </si>
  <si>
    <t>-591.415152953011 145.48482896105 193.0870929501</t>
  </si>
  <si>
    <t>-663.183716092349 99.9278293599593 656.67130187157</t>
  </si>
  <si>
    <t>-614.214369195208 -47.3992861058475 739.377011714506</t>
  </si>
  <si>
    <t>9763-20170724T160810.056068800.bin</t>
  </si>
  <si>
    <t>-625.878718294277 380.87090861586 -236.091849519498</t>
  </si>
  <si>
    <t>-659.289807047905 389.112544695922 -352.210684764575</t>
  </si>
  <si>
    <t>-675.317677037693 383.106925148037 -472.200678695667</t>
  </si>
  <si>
    <t>-682.797282973442 371.508648392846 -580.848629677969</t>
  </si>
  <si>
    <t>-683.485253806487 353.671408009782 -688.905195462673</t>
  </si>
  <si>
    <t>-677.535125701759 322.276248671431 -837.831176388097</t>
  </si>
  <si>
    <t>-665.342641612946 275.296381560615 -927.425787222489</t>
  </si>
  <si>
    <t>-655.959261875785 356.509086321459 -775.25698747759</t>
  </si>
  <si>
    <t>-535.114630030329 439.812592247127 -765.973976645277</t>
  </si>
  <si>
    <t>-494.293461981955 477.04504851474 -454.311414774064</t>
  </si>
  <si>
    <t>-381.627129021906 334.246720453522 -268.416172755661</t>
  </si>
  <si>
    <t>-704.376363776098 315.826312704783 -768.615058660191</t>
  </si>
  <si>
    <t>-820.481608088406 235.286904885341 -727.992281884774</t>
  </si>
  <si>
    <t>-809.565416359266 246.335080755666 -411.851633405677</t>
  </si>
  <si>
    <t>-564.165769877624 186.928549521922 -349.466422052431</t>
  </si>
  <si>
    <t>-558.634931305736 458.532919557589 -249.157978445768</t>
  </si>
  <si>
    <t>-591.739028725116 457.702592866998 205.331962428959</t>
  </si>
  <si>
    <t>-629.514397459973 438.941049139582 672.4437851717</t>
  </si>
  <si>
    <t>-514.634023068323 339.450707497317 761.030949290924</t>
  </si>
  <si>
    <t>-692.950380124253 303.320335385235 -222.314991758863</t>
  </si>
  <si>
    <t>-585.819333400704 150.2283325465 193.309143607013</t>
  </si>
  <si>
    <t>-662.06552453318 100.656840048198 655.826746068681</t>
  </si>
  <si>
    <t>-613.577954649868 -46.916175713915 738.377836684473</t>
  </si>
  <si>
    <t>9763-20170724T160810.089159800.bin</t>
  </si>
  <si>
    <t>-625.671673482391 380.671052377425 -236.491538375592</t>
  </si>
  <si>
    <t>-659.323799383349 388.916608920133 -352.540467588338</t>
  </si>
  <si>
    <t>-675.440087503965 382.944027413302 -472.52023672692</t>
  </si>
  <si>
    <t>-682.938322737278 371.379341581572 -581.170556044799</t>
  </si>
  <si>
    <t>-683.585629583014 353.575165785018 -689.232770981962</t>
  </si>
  <si>
    <t>-677.520022339919 322.221646768649 -838.162826117562</t>
  </si>
  <si>
    <t>-665.088518826843 275.27344876142 -927.741392677022</t>
  </si>
  <si>
    <t>-656.090319066268 356.548216782211 -775.589850187105</t>
  </si>
  <si>
    <t>-535.660675133365 440.442687003242 -766.331568165987</t>
  </si>
  <si>
    <t>-495.566006986396 477.339239256928 -454.534743154501</t>
  </si>
  <si>
    <t>-382.379699478423 334.701062087152 -268.832633594715</t>
  </si>
  <si>
    <t>-704.317304231971 315.641135530808 -768.942002168207</t>
  </si>
  <si>
    <t>-820.080101364492 234.556947342865 -728.388512765265</t>
  </si>
  <si>
    <t>-809.327575566225 246.467333130274 -412.273457056453</t>
  </si>
  <si>
    <t>-563.855630436701 187.667756388749 -349.598303480611</t>
  </si>
  <si>
    <t>-559.310571726669 458.829890979823 -249.463505885599</t>
  </si>
  <si>
    <t>-591.877850635726 457.48771153836 205.063974620147</t>
  </si>
  <si>
    <t>-629.585933549099 438.797275936152 672.317655717651</t>
  </si>
  <si>
    <t>-514.56244637469 339.527553495248 760.966583203536</t>
  </si>
  <si>
    <t>-691.959805205235 302.533371833391 -222.836895379736</t>
  </si>
  <si>
    <t>-583.429785605279 152.025581729037 193.367792881208</t>
  </si>
  <si>
    <t>-661.451205253322 101.113711486298 655.478639965625</t>
  </si>
  <si>
    <t>-612.927025952233 -46.5527222388612 737.840862375197</t>
  </si>
  <si>
    <t>9763-20170724T160810.125795300.bin</t>
  </si>
  <si>
    <t>-625.736730712338 380.279030966612 -236.734076180147</t>
  </si>
  <si>
    <t>-659.632765499066 388.527788687831 -352.711881825158</t>
  </si>
  <si>
    <t>-675.824908024452 382.599760130521 -472.683612457186</t>
  </si>
  <si>
    <t>-683.324156794398 371.083255743268 -581.338982372023</t>
  </si>
  <si>
    <t>-683.907729672394 353.329480813708 -689.409908518181</t>
  </si>
  <si>
    <t>-677.688942251624 322.044478097636 -838.347966232184</t>
  </si>
  <si>
    <t>-665.01766457926 275.140857133578 -927.916328152458</t>
  </si>
  <si>
    <t>-656.421369840131 356.45216642199 -775.764463179564</t>
  </si>
  <si>
    <t>-536.432839437836 440.964646842825 -766.510863978237</t>
  </si>
  <si>
    <t>-497.14781298356 477.903297022623 -454.616032891431</t>
  </si>
  <si>
    <t>-383.48150495462 335.474657952906 -269.046507156881</t>
  </si>
  <si>
    <t>-704.459821273997 315.321989323488 -769.130585756444</t>
  </si>
  <si>
    <t>-819.923572384224 233.779966151235 -728.589075841263</t>
  </si>
  <si>
    <t>-809.084778502531 246.145122126435 -412.494489916944</t>
  </si>
  <si>
    <t>-563.510118168866 187.946467426118 -349.660799160682</t>
  </si>
  <si>
    <t>-560.187280525885 458.92426069917 -249.614048496847</t>
  </si>
  <si>
    <t>-592.304215650066 457.264737729634 204.944479816724</t>
  </si>
  <si>
    <t>-629.817081533207 438.511542185286 672.246906273506</t>
  </si>
  <si>
    <t>-514.580839436137 339.490847465437 760.898040583264</t>
  </si>
  <si>
    <t>-691.301030541396 301.649689555347 -223.097243841213</t>
  </si>
  <si>
    <t>-581.389874950899 152.903976956234 193.378251770135</t>
  </si>
  <si>
    <t>-660.750056481681 101.586475912138 655.176702119899</t>
  </si>
  <si>
    <t>-612.227427643068 -46.1621458364484 737.392378444722</t>
  </si>
  <si>
    <t>9763-20170724T160810.190961200.bin</t>
  </si>
  <si>
    <t>-626.663087942894 379.054419429137 -236.667412971409</t>
  </si>
  <si>
    <t>-660.864082886463 387.024906643756 -352.574987095027</t>
  </si>
  <si>
    <t>-676.941512068205 380.969796515805 -472.555932072924</t>
  </si>
  <si>
    <t>-684.167418210752 369.384606416458 -581.222475378206</t>
  </si>
  <si>
    <t>-684.313138683337 351.598710533607 -689.289467674349</t>
  </si>
  <si>
    <t>-677.320239600662 320.299937449714 -838.19058221969</t>
  </si>
  <si>
    <t>-664.079179818373 273.458777279032 -927.709024748105</t>
  </si>
  <si>
    <t>-656.572558030423 354.930078570673 -775.555001122808</t>
  </si>
  <si>
    <t>-537.677460007716 440.912015839218 -766.204865693852</t>
  </si>
  <si>
    <t>-499.644282118624 479.071693353633 -454.301964581927</t>
  </si>
  <si>
    <t>-384.75369632978 337.467302045171 -268.855452983289</t>
  </si>
  <si>
    <t>-704.256207888345 313.367273547675 -769.057970124728</t>
  </si>
  <si>
    <t>-819.188366089165 231.09894569966 -728.435443307473</t>
  </si>
  <si>
    <t>-808.070393859667 243.919831317426 -412.368702258642</t>
  </si>
  <si>
    <t>-562.100751252187 187.16045627547 -349.763922000861</t>
  </si>
  <si>
    <t>-562.056390762397 458.646174266048 -249.62784180376</t>
  </si>
  <si>
    <t>-593.533183360288 457.058195201198 204.975665244099</t>
  </si>
  <si>
    <t>-630.123947881016 438.190126811863 672.266681941601</t>
  </si>
  <si>
    <t>-514.586816371013 339.437481655968 760.825129565426</t>
  </si>
  <si>
    <t>-691.431557603563 299.196778991186 -222.908238252276</t>
  </si>
  <si>
    <t>-577.78637477368 151.639403790628 192.987529158361</t>
  </si>
  <si>
    <t>-659.662087550828 102.013066941365 654.486377769513</t>
  </si>
  <si>
    <t>-609.456914109414 -45.0906870676442 736.847991254468</t>
  </si>
  <si>
    <t>9763-20170724T160810.253460800.bin</t>
  </si>
  <si>
    <t>-625.093658981493 382.010486788402 -237.09602102591</t>
  </si>
  <si>
    <t>-659.520784963335 389.657459522159 -352.958411299638</t>
  </si>
  <si>
    <t>-675.058221884766 382.965536160562 -472.976645291807</t>
  </si>
  <si>
    <t>-681.493001487132 370.661906753534 -581.613951497661</t>
  </si>
  <si>
    <t>-680.557910196846 352.009855090127 -689.531032342637</t>
  </si>
  <si>
    <t>-671.777858103668 319.351946082875 -838.044899366706</t>
  </si>
  <si>
    <t>-657.701247083912 272.118814770343 -927.229254790937</t>
  </si>
  <si>
    <t>-651.936693473808 354.723273876727 -775.529891235365</t>
  </si>
  <si>
    <t>-533.668530515256 441.613678557704 -766.169519255397</t>
  </si>
  <si>
    <t>-497.748809843865 481.425585893638 -454.222473523964</t>
  </si>
  <si>
    <t>-381.453962420846 341.813161758771 -268.142037840992</t>
  </si>
  <si>
    <t>-699.388734977458 312.880932084481 -769.134195467193</t>
  </si>
  <si>
    <t>-813.589698669947 229.638241910503 -728.4407342749</t>
  </si>
  <si>
    <t>-801.538960140799 244.042985997697 -412.476285886371</t>
  </si>
  <si>
    <t>-555.244975397707 188.47218934951 -350.080709129141</t>
  </si>
  <si>
    <t>-562.717823753683 460.172548286987 -249.885193449701</t>
  </si>
  <si>
    <t>-593.345505110555 458.344898404576 204.775439457964</t>
  </si>
  <si>
    <t>-630.550990113283 437.75805052727 672.257398887604</t>
  </si>
  <si>
    <t>-514.712493119559 339.27627331677 760.723754974731</t>
  </si>
  <si>
    <t>-686.623447592494 305.072578154468 -223.64707644792</t>
  </si>
  <si>
    <t>-569.858146415052 158.052211992665 191.573992427387</t>
  </si>
  <si>
    <t>-648.852322127475 115.281100063305 652.633855113404</t>
  </si>
  <si>
    <t>-599.173061692025 -31.6205860140524 735.672268253662</t>
  </si>
  <si>
    <t>9763-20170724T160810.300093100.bin</t>
  </si>
  <si>
    <t>-622.938015339854 385.494846710424 -237.528014186768</t>
  </si>
  <si>
    <t>-657.353737391109 392.909674384059 -353.408838913871</t>
  </si>
  <si>
    <t>-672.606469633729 385.838933787048 -473.441946443194</t>
  </si>
  <si>
    <t>-678.675498937803 373.132476365295 -582.053852921623</t>
  </si>
  <si>
    <t>-677.27064001037 354.018762142313 -689.884931266085</t>
  </si>
  <si>
    <t>-667.734876360836 320.660429578457 -838.196488073534</t>
  </si>
  <si>
    <t>-653.196782514227 273.160856900076 -927.165162372951</t>
  </si>
  <si>
    <t>-648.320596438209 356.444364293446 -775.782445061285</t>
  </si>
  <si>
    <t>-530.567180894933 443.989013378846 -766.43533072489</t>
  </si>
  <si>
    <t>-495.208336550062 484.069005861303 -454.458492315488</t>
  </si>
  <si>
    <t>-378.073927544812 345.527077676447 -268.10473666425</t>
  </si>
  <si>
    <t>-695.587752896208 314.396522176407 -769.36400104911</t>
  </si>
  <si>
    <t>-809.398891301619 230.741360193267 -728.449767363939</t>
  </si>
  <si>
    <t>-797.077614887378 245.660284800664 -412.519786998738</t>
  </si>
  <si>
    <t>-550.646370274345 190.466290699894 -350.331984341116</t>
  </si>
  <si>
    <t>-562.360928962418 461.913763345122 -250.142319866703</t>
  </si>
  <si>
    <t>-592.490843657396 459.902765419098 204.550847161377</t>
  </si>
  <si>
    <t>-630.788971293653 437.505017376166 672.232747848561</t>
  </si>
  <si>
    <t>-514.375447841543 339.646855566814 760.636275497586</t>
  </si>
  <si>
    <t>-682.771056813533 310.098578028143 -224.1350623034</t>
  </si>
  <si>
    <t>-565.299649094979 163.185636457772 190.924800437718</t>
  </si>
  <si>
    <t>-644.096073591397 121.153495091542 651.979430288907</t>
  </si>
  <si>
    <t>-594.642009187445 -25.637387982677 735.347463276653</t>
  </si>
  <si>
    <t>9763-20170724T160810.324245600.bin</t>
  </si>
  <si>
    <t>-622.002437424031 387.084246535583 -237.69694582851</t>
  </si>
  <si>
    <t>-656.276877279995 394.175156398397 -353.639983405629</t>
  </si>
  <si>
    <t>-671.175222708934 386.642133154269 -473.68946139421</t>
  </si>
  <si>
    <t>-676.843070547021 373.461546616769 -582.266668537415</t>
  </si>
  <si>
    <t>-674.963169009668 353.817694142165 -689.995106595567</t>
  </si>
  <si>
    <t>-664.697165084383 319.666410471592 -838.077134666781</t>
  </si>
  <si>
    <t>-649.686677052424 271.819876532974 -926.781014972207</t>
  </si>
  <si>
    <t>-645.675205498014 355.87500110371 -775.787551289602</t>
  </si>
  <si>
    <t>-528.412015367588 444.103098722369 -766.453309494994</t>
  </si>
  <si>
    <t>-493.474033313836 484.484927662756 -454.46791179622</t>
  </si>
  <si>
    <t>-375.059880580928 346.871965799411 -268.234700484306</t>
  </si>
  <si>
    <t>-692.804016601661 313.679451866072 -769.323417985307</t>
  </si>
  <si>
    <t>-806.249264482945 229.647585780136 -728.188326454776</t>
  </si>
  <si>
    <t>-793.503096755382 244.767300402106 -412.284570173859</t>
  </si>
  <si>
    <t>-547.010229192065 189.595231274905 -350.322070083422</t>
  </si>
  <si>
    <t>-562.43000737395 462.725502588116 -250.261621528066</t>
  </si>
  <si>
    <t>-592.366216942433 460.999819587793 204.445424737913</t>
  </si>
  <si>
    <t>-630.878588042497 437.467870665346 672.239680279257</t>
  </si>
  <si>
    <t>-514.328759751868 339.717714190773 760.583094917119</t>
  </si>
  <si>
    <t>-681.399345231382 311.443968310875 -224.44217784789</t>
  </si>
  <si>
    <t>-563.543576596871 165.192997605122 190.742531185835</t>
  </si>
  <si>
    <t>-642.674331380489 122.61830346603 651.840491813133</t>
  </si>
  <si>
    <t>-592.697139357839 -23.8905579678105 735.392546253412</t>
  </si>
  <si>
    <t>9763-20170724T160810.392428000.bin</t>
  </si>
  <si>
    <t>-622.101141027822 388.195980542813 -237.897249624941</t>
  </si>
  <si>
    <t>-655.953215171037 394.633890174942 -354.002399649636</t>
  </si>
  <si>
    <t>-670.130866637116 386.198803874978 -474.078986629499</t>
  </si>
  <si>
    <t>-675.034099767388 372.110657233238 -582.579383109596</t>
  </si>
  <si>
    <t>-672.285585237233 351.473607919183 -690.103408395858</t>
  </si>
  <si>
    <t>-660.713780140293 315.86010821158 -837.744153457336</t>
  </si>
  <si>
    <t>-644.804642716431 267.268780883584 -925.884802042311</t>
  </si>
  <si>
    <t>-642.430855045043 352.885098417167 -775.713443069341</t>
  </si>
  <si>
    <t>-525.951538807964 442.21096975047 -766.662070144916</t>
  </si>
  <si>
    <t>-492.665068854084 482.771269904467 -454.519345229685</t>
  </si>
  <si>
    <t>-371.524783122588 346.919325514912 -268.747184705303</t>
  </si>
  <si>
    <t>-689.236977754656 310.350939302275 -769.121951786648</t>
  </si>
  <si>
    <t>-802.17102465816 225.788242115108 -727.675070563122</t>
  </si>
  <si>
    <t>-788.635277339922 241.465787736724 -411.831460115165</t>
  </si>
  <si>
    <t>-542.00764992372 186.30783557237 -350.394749593612</t>
  </si>
  <si>
    <t>-563.38471884001 463.602062726118 -250.485225584278</t>
  </si>
  <si>
    <t>-593.154691930463 462.405564399348 204.234310687895</t>
  </si>
  <si>
    <t>-630.722216016766 437.641635891438 672.139025660386</t>
  </si>
  <si>
    <t>-514.234202599466 339.855238646738 760.523847000575</t>
  </si>
  <si>
    <t>-681.260062812607 311.968062645169 -224.606212048162</t>
  </si>
  <si>
    <t>-564.120704057727 166.367848489082 191.009718532993</t>
  </si>
  <si>
    <t>-642.643180885832 123.358240030807 652.217359535106</t>
  </si>
  <si>
    <t>-591.994713628983 -22.8863927141974 735.828107980679</t>
  </si>
  <si>
    <t>9763-20170724T160810.422516200.bin</t>
  </si>
  <si>
    <t>-622.959029631414 387.97420883338 -237.949340643859</t>
  </si>
  <si>
    <t>-656.544835863615 394.028658318254 -354.152300729496</t>
  </si>
  <si>
    <t>-670.394637495821 385.130190430362 -474.233918674688</t>
  </si>
  <si>
    <t>-674.981578739702 370.595940819895 -582.689269790829</t>
  </si>
  <si>
    <t>-671.900883769614 349.488940345375 -690.112996827764</t>
  </si>
  <si>
    <t>-659.85457580896 313.200965314291 -837.551280403267</t>
  </si>
  <si>
    <t>-643.611178267914 264.273517179288 -925.444687676674</t>
  </si>
  <si>
    <t>-641.856306176232 350.598166088424 -775.660829167555</t>
  </si>
  <si>
    <t>-525.789437618773 440.454619104332 -766.82401325731</t>
  </si>
  <si>
    <t>-493.01275541598 481.210307710465 -454.652850131625</t>
  </si>
  <si>
    <t>-370.696488792831 346.035454988098 -269.157381413746</t>
  </si>
  <si>
    <t>-688.513198393786 307.916240244342 -768.967946339304</t>
  </si>
  <si>
    <t>-801.303845998637 223.203569773068 -727.426991178849</t>
  </si>
  <si>
    <t>-787.692670510634 239.169158169626 -411.601112094188</t>
  </si>
  <si>
    <t>-541.002429455059 184.18426191276 -350.260739457857</t>
  </si>
  <si>
    <t>-564.250295391383 463.775404300935 -250.610716481471</t>
  </si>
  <si>
    <t>-593.725567456243 462.527282434438 204.128128479781</t>
  </si>
  <si>
    <t>-630.518481466435 437.823825230811 672.048743814861</t>
  </si>
  <si>
    <t>-514.098677474354 340.020882731041 760.505091778537</t>
  </si>
  <si>
    <t>-681.920768339576 311.546572965113 -224.576562391802</t>
  </si>
  <si>
    <t>-565.507861430312 165.756918020184 191.177079576636</t>
  </si>
  <si>
    <t>-643.341999444051 122.951970378851 652.468430029444</t>
  </si>
  <si>
    <t>-592.342521876915 -23.1862222716836 736.051886752464</t>
  </si>
  <si>
    <t>9763-20170724T160810.488690800.bin</t>
  </si>
  <si>
    <t>-624.193833357358 388.004068553137 -237.953290232506</t>
  </si>
  <si>
    <t>-657.005180644521 393.145259890031 -354.421324146238</t>
  </si>
  <si>
    <t>-670.276808566272 383.395592408719 -474.501998710539</t>
  </si>
  <si>
    <t>-674.433042101896 368.128714569118 -582.873997366481</t>
  </si>
  <si>
    <t>-671.019199903219 346.330150797747 -690.149408670457</t>
  </si>
  <si>
    <t>-658.614986756189 309.126283923074 -837.32956728484</t>
  </si>
  <si>
    <t>-641.923065523139 259.730376738759 -924.87618449926</t>
  </si>
  <si>
    <t>-640.908482876559 347.054274641664 -775.678299326621</t>
  </si>
  <si>
    <t>-525.350831804663 437.612172164397 -767.29581653905</t>
  </si>
  <si>
    <t>-492.473669464591 479.365287766034 -455.267119758916</t>
  </si>
  <si>
    <t>-368.202446486239 345.42652122528 -270.174857462757</t>
  </si>
  <si>
    <t>-687.298266760991 304.121617557036 -768.7355918427</t>
  </si>
  <si>
    <t>-799.847517783186 219.213363664462 -726.943549337991</t>
  </si>
  <si>
    <t>-786.51051485678 236.159354404421 -411.157070906139</t>
  </si>
  <si>
    <t>-539.698688839805 182.166773552296 -349.425601258135</t>
  </si>
  <si>
    <t>-565.631215060783 464.374593627281 -250.766227692821</t>
  </si>
  <si>
    <t>-594.727514353106 463.07378936794 203.996826736906</t>
  </si>
  <si>
    <t>-630.139082366515 438.094525367146 671.851242149939</t>
  </si>
  <si>
    <t>-513.88615299641 340.295585137734 760.531201064876</t>
  </si>
  <si>
    <t>-682.619322554124 311.429123651755 -224.627176468065</t>
  </si>
  <si>
    <t>-568.233731238578 164.32221941433 191.225124462294</t>
  </si>
  <si>
    <t>-644.56836169654 122.4949534745 652.869326539991</t>
  </si>
  <si>
    <t>-593.322380754832 -23.5690153771457 736.431877004894</t>
  </si>
  <si>
    <t>9763-20170724T160810.523789300.bin</t>
  </si>
  <si>
    <t>-624.406293079973 388.237567029547 -238.002393938246</t>
  </si>
  <si>
    <t>-656.886485709526 392.882277177756 -354.583996217853</t>
  </si>
  <si>
    <t>-669.978285914177 382.695196138937 -474.648302424809</t>
  </si>
  <si>
    <t>-674.03902713233 367.06231104111 -582.971695006433</t>
  </si>
  <si>
    <t>-670.599540268754 344.92793825469 -690.177492168608</t>
  </si>
  <si>
    <t>-658.232735918894 307.289962195461 -837.250444760026</t>
  </si>
  <si>
    <t>-641.384960650596 257.654709605284 -924.63159820563</t>
  </si>
  <si>
    <t>-640.577667990336 345.467749829945 -775.738854320093</t>
  </si>
  <si>
    <t>-525.1950797701 436.311605036262 -767.614060056576</t>
  </si>
  <si>
    <t>-492.022815649925 478.268745574209 -455.643907693153</t>
  </si>
  <si>
    <t>-366.956141179306 344.850152538409 -270.71187656235</t>
  </si>
  <si>
    <t>-686.831668972373 302.419419559358 -768.611619141135</t>
  </si>
  <si>
    <t>-799.184676522395 217.404705833434 -726.575074110762</t>
  </si>
  <si>
    <t>-786.277379616601 235.080676175285 -410.810705721095</t>
  </si>
  <si>
    <t>-539.482701589011 181.671804541001 -348.505561678566</t>
  </si>
  <si>
    <t>-566.069373359996 464.878367626209 -250.842144619196</t>
  </si>
  <si>
    <t>-595.055777049716 463.583224250692 203.927866804848</t>
  </si>
  <si>
    <t>-629.938046239676 438.242575062839 671.759215305186</t>
  </si>
  <si>
    <t>-513.5932410845 340.647226415323 760.542915492552</t>
  </si>
  <si>
    <t>-682.55025045039 311.499133361323 -224.608634505052</t>
  </si>
  <si>
    <t>-569.068883729444 163.595207873087 191.208703785053</t>
  </si>
  <si>
    <t>-645.031076531565 122.328278755938 652.977977181949</t>
  </si>
  <si>
    <t>-593.814545744009 -23.7354071080765 736.558964433192</t>
  </si>
  <si>
    <t>9763-20170724T160810.590967500.bin</t>
  </si>
  <si>
    <t>-624.729408753641 389.460372293104 -237.936038944416</t>
  </si>
  <si>
    <t>-656.742454899126 393.179654632009 -354.679860563794</t>
  </si>
  <si>
    <t>-669.640466123763 382.134636362329 -474.689063409269</t>
  </si>
  <si>
    <t>-673.650205797965 365.758956139402 -582.904591155499</t>
  </si>
  <si>
    <t>-670.290747816648 342.914381577626 -689.963918999687</t>
  </si>
  <si>
    <t>-658.175906528243 304.322652193777 -836.810516111741</t>
  </si>
  <si>
    <t>-641.225401920705 254.159785451306 -923.869961726234</t>
  </si>
  <si>
    <t>-640.494866655158 342.97892135404 -775.606092759765</t>
  </si>
  <si>
    <t>-525.560361018059 434.382584249897 -768.068465069279</t>
  </si>
  <si>
    <t>-491.048039916777 476.888496728744 -456.317980764436</t>
  </si>
  <si>
    <t>-364.297715594586 344.062919063786 -272.106817488439</t>
  </si>
  <si>
    <t>-686.577834509938 299.817654094446 -768.065072565686</t>
  </si>
  <si>
    <t>-798.581119672145 214.654337695349 -725.30635447167</t>
  </si>
  <si>
    <t>-785.960388882982 234.721999480248 -409.67344240419</t>
  </si>
  <si>
    <t>-539.366367439152 182.099718784021 -345.921157581025</t>
  </si>
  <si>
    <t>-566.846887544377 466.489085658654 -250.925773505034</t>
  </si>
  <si>
    <t>-595.663241777017 465.019916666513 203.854579162871</t>
  </si>
  <si>
    <t>-629.799131580613 438.424557292096 671.729789349052</t>
  </si>
  <si>
    <t>-513.451780370139 340.899166529984 760.58700883824</t>
  </si>
  <si>
    <t>-682.524821513151 312.521377473631 -224.219612163958</t>
  </si>
  <si>
    <t>-569.569991803068 162.350555750661 190.928053310996</t>
  </si>
  <si>
    <t>-645.368195948953 122.185867839026 652.925025902667</t>
  </si>
  <si>
    <t>-594.221867975669 -23.8836231331297 736.538916493484</t>
  </si>
  <si>
    <t>9763-20170724T160810.620029200.bin</t>
  </si>
  <si>
    <t>-624.729991737206 390.241516518302 -237.760331260021</t>
  </si>
  <si>
    <t>-656.624550258993 393.458980455997 -354.551512882565</t>
  </si>
  <si>
    <t>-669.469182314974 381.989224701801 -474.526676287257</t>
  </si>
  <si>
    <t>-673.462179268619 365.261050376527 -582.688976878148</t>
  </si>
  <si>
    <t>-670.120189082586 342.094520262101 -689.679477216439</t>
  </si>
  <si>
    <t>-658.067736682057 303.085303960643 -836.420967029787</t>
  </si>
  <si>
    <t>-641.070212560436 252.705203580561 -923.345652086764</t>
  </si>
  <si>
    <t>-640.411143061517 341.966035882266 -775.3516585741</t>
  </si>
  <si>
    <t>-525.570014440174 433.547069647324 -768.1765099416</t>
  </si>
  <si>
    <t>-490.765590705714 476.639665566549 -456.539013822927</t>
  </si>
  <si>
    <t>-363.255471412872 343.918998606459 -272.777141773799</t>
  </si>
  <si>
    <t>-686.390134607656 298.725171533578 -767.633088669254</t>
  </si>
  <si>
    <t>-798.15625265365 213.471380921853 -724.46002373909</t>
  </si>
  <si>
    <t>-785.49391194211 235.054830952984 -408.928737019726</t>
  </si>
  <si>
    <t>-538.981746681245 182.900714131479 -344.479058115299</t>
  </si>
  <si>
    <t>-567.149914727574 467.493488345348 -250.913802263894</t>
  </si>
  <si>
    <t>-595.874111850638 465.798550934409 203.871529696853</t>
  </si>
  <si>
    <t>-629.71914766451 438.548762167293 671.72356530899</t>
  </si>
  <si>
    <t>-513.378872302224 341.027136363576 760.59417674531</t>
  </si>
  <si>
    <t>-682.193106161017 312.980675467167 -223.902507613686</t>
  </si>
  <si>
    <t>-569.042688582818 161.717302694795 190.795025289935</t>
  </si>
  <si>
    <t>-645.405525814863 122.17795868148 652.825235199933</t>
  </si>
  <si>
    <t>-594.481163187494 -23.9566039045835 736.460837375939</t>
  </si>
  <si>
    <t>9763-20170724T160810.690216600.bin</t>
  </si>
  <si>
    <t>-624.359392467455 391.709949287609 -237.267194070067</t>
  </si>
  <si>
    <t>-656.245995878841 394.018655478666 -354.082103545314</t>
  </si>
  <si>
    <t>-669.134860964646 381.737830339861 -473.972142780335</t>
  </si>
  <si>
    <t>-673.194760267517 364.31767576273 -582.022599554293</t>
  </si>
  <si>
    <t>-669.951046367471 340.498843809765 -688.872904582428</t>
  </si>
  <si>
    <t>-658.071175010201 300.622960396945 -835.395137948336</t>
  </si>
  <si>
    <t>-641.041626957894 249.833263309621 -922.074888842508</t>
  </si>
  <si>
    <t>-640.482033988568 340.002156652323 -774.626554485153</t>
  </si>
  <si>
    <t>-526.07058062425 432.179335207137 -768.306335437393</t>
  </si>
  <si>
    <t>-490.187600370842 476.219777883213 -456.924056011116</t>
  </si>
  <si>
    <t>-361.608050916763 343.623631388891 -273.818507544032</t>
  </si>
  <si>
    <t>-686.173161615582 296.531585183986 -766.500807277128</t>
  </si>
  <si>
    <t>-797.301953771321 210.912960927297 -722.423280833167</t>
  </si>
  <si>
    <t>-784.672850098432 236.003518322301 -407.150190565199</t>
  </si>
  <si>
    <t>-538.240747956929 185.260925973105 -341.282981757138</t>
  </si>
  <si>
    <t>-567.543974345977 469.475618484288 -250.773701956351</t>
  </si>
  <si>
    <t>-596.216789089903 467.36016354666 204.013074920617</t>
  </si>
  <si>
    <t>-629.813741990765 438.554573507713 671.75332611261</t>
  </si>
  <si>
    <t>-513.146200530815 341.409784940427 760.607615245107</t>
  </si>
  <si>
    <t>-681.080149775772 313.875271072757 -223.055674472122</t>
  </si>
  <si>
    <t>-567.165986775497 160.993633059077 190.838506556346</t>
  </si>
  <si>
    <t>-645.357386496563 122.155311157935 652.553245612122</t>
  </si>
  <si>
    <t>-594.517093494335 -23.9825098547667 736.234269433065</t>
  </si>
  <si>
    <t>9763-20170724T160810.724327000.bin</t>
  </si>
  <si>
    <t>-624.132878116947 392.344617171226 -237.03823750233</t>
  </si>
  <si>
    <t>-655.971614472287 394.212248770913 -353.874169622994</t>
  </si>
  <si>
    <t>-668.887165669986 381.574233949546 -473.724133482386</t>
  </si>
  <si>
    <t>-673.002589411334 363.867937778226 -581.725955870603</t>
  </si>
  <si>
    <t>-669.845747919993 339.800232234618 -688.523042409681</t>
  </si>
  <si>
    <t>-658.118685392196 299.617078267964 -834.973788147941</t>
  </si>
  <si>
    <t>-641.089745125111 248.667489649808 -921.559811347761</t>
  </si>
  <si>
    <t>-640.545898404186 339.20172780679 -774.334151403153</t>
  </si>
  <si>
    <t>-526.408035553509 431.720564354602 -768.43875875129</t>
  </si>
  <si>
    <t>-489.859920613202 476.109429857605 -457.183161309963</t>
  </si>
  <si>
    <t>-360.808090331267 343.598307168316 -274.348495217477</t>
  </si>
  <si>
    <t>-686.069158091365 295.59207787502 -766.013796495541</t>
  </si>
  <si>
    <t>-796.87355009065 209.73298773013 -721.546356863957</t>
  </si>
  <si>
    <t>-784.262445415522 236.398372962895 -406.401741108126</t>
  </si>
  <si>
    <t>-537.954226886115 186.439112065532 -339.480974294706</t>
  </si>
  <si>
    <t>-567.635291762015 470.456435657019 -250.717114336884</t>
  </si>
  <si>
    <t>-596.430287165391 468.223875304303 204.061395810672</t>
  </si>
  <si>
    <t>-629.78212993232 438.673745454321 671.766432893704</t>
  </si>
  <si>
    <t>-513.102419043783 341.530097943282 760.60598615393</t>
  </si>
  <si>
    <t>-680.592213684263 314.133754273296 -222.695080021778</t>
  </si>
  <si>
    <t>-565.774102578868 161.29963144303 190.966894126925</t>
  </si>
  <si>
    <t>-645.348842199792 122.103672569816 652.438945014258</t>
  </si>
  <si>
    <t>-594.321304536577 -23.9675974176093 736.122194420121</t>
  </si>
  <si>
    <t>9763-20170724T160810.790506300.bin</t>
  </si>
  <si>
    <t>-623.566426025836 393.532429058151 -236.7309919539</t>
  </si>
  <si>
    <t>-655.521326497818 394.683795963198 -353.544401961758</t>
  </si>
  <si>
    <t>-668.622568063155 381.558744403335 -473.321861444782</t>
  </si>
  <si>
    <t>-672.933365285068 363.504780312216 -581.25851974556</t>
  </si>
  <si>
    <t>-669.999713738468 339.178032888453 -688.003363169398</t>
  </si>
  <si>
    <t>-658.610405267628 298.723879650427 -834.406001232045</t>
  </si>
  <si>
    <t>-641.548509361342 247.565975656048 -920.862610495448</t>
  </si>
  <si>
    <t>-641.060794036843 338.578601213785 -773.93672574388</t>
  </si>
  <si>
    <t>-527.368476594057 431.710608555736 -768.840897892837</t>
  </si>
  <si>
    <t>-490.059716304709 476.656160914732 -457.755469992754</t>
  </si>
  <si>
    <t>-360.147131567559 344.357538951882 -275.377104679666</t>
  </si>
  <si>
    <t>-686.238764396368 294.668701121916 -765.318097058251</t>
  </si>
  <si>
    <t>-796.322787158536 208.187420547636 -720.304226874515</t>
  </si>
  <si>
    <t>-783.440538110596 237.63108993081 -405.41798209806</t>
  </si>
  <si>
    <t>-537.431900156644 189.141017091967 -336.34901050099</t>
  </si>
  <si>
    <t>-567.814899396597 472.491988938571 -250.656921124474</t>
  </si>
  <si>
    <t>-596.64872424008 469.646105282896 204.115742514513</t>
  </si>
  <si>
    <t>-629.818994448931 438.821540363633 671.792535423594</t>
  </si>
  <si>
    <t>-513.254615369392 341.485122760044 760.572474747844</t>
  </si>
  <si>
    <t>-679.236736649802 314.524265054911 -222.133923586291</t>
  </si>
  <si>
    <t>-563.149079944645 162.21144047064 191.365887655499</t>
  </si>
  <si>
    <t>-645.288411499222 122.005739584521 652.263940030876</t>
  </si>
  <si>
    <t>-593.848278138708 -23.9021066953255 735.979694148833</t>
  </si>
  <si>
    <t>9763-20170724T160810.853689300.bin</t>
  </si>
  <si>
    <t>-623.128094846115 394.710971244919 -236.496994828834</t>
  </si>
  <si>
    <t>-655.263013514121 395.354463117939 -353.264958530945</t>
  </si>
  <si>
    <t>-668.636513983334 381.986471976744 -472.985432327863</t>
  </si>
  <si>
    <t>-673.225777296836 363.820537462495 -580.891788438931</t>
  </si>
  <si>
    <t>-670.59967212637 339.485994937769 -687.642922677893</t>
  </si>
  <si>
    <t>-659.663821446085 299.125716009162 -834.106049262694</t>
  </si>
  <si>
    <t>-642.631636745546 247.987560672537 -920.580185262751</t>
  </si>
  <si>
    <t>-642.108339846 339.114472536367 -773.726877430636</t>
  </si>
  <si>
    <t>-529.067247325748 433.05832199511 -769.278238970473</t>
  </si>
  <si>
    <t>-491.014965124955 478.084971641515 -458.294568752587</t>
  </si>
  <si>
    <t>-360.197025265741 346.23528525494 -276.238593153302</t>
  </si>
  <si>
    <t>-686.896785205726 294.853400397693 -764.874300482709</t>
  </si>
  <si>
    <t>-796.13334901143 207.482416264744 -719.525360475634</t>
  </si>
  <si>
    <t>-783.372181517064 238.894310069579 -404.824541473089</t>
  </si>
  <si>
    <t>-537.390493762696 191.677232951546 -334.784430205682</t>
  </si>
  <si>
    <t>-568.17724904502 474.317451438725 -250.604640477961</t>
  </si>
  <si>
    <t>-596.886919867336 470.710390284744 204.17041536137</t>
  </si>
  <si>
    <t>-629.956340993488 438.823958744271 671.78756221215</t>
  </si>
  <si>
    <t>-513.010623521508 341.877851850088 760.49304010619</t>
  </si>
  <si>
    <t>-678.100642906088 315.13151346357 -221.641501832986</t>
  </si>
  <si>
    <t>-561.535071965111 162.862607021537 191.740043758864</t>
  </si>
  <si>
    <t>-645.392797816912 121.89926179829 652.297677665978</t>
  </si>
  <si>
    <t>-593.271826185195 -23.7996424016508 735.9561452051</t>
  </si>
  <si>
    <t>9763-20170724T160810.891789300.bin</t>
  </si>
  <si>
    <t>-622.816334596306 395.306719517706 -236.401778139886</t>
  </si>
  <si>
    <t>-655.022495911999 395.711420046172 -353.151098715847</t>
  </si>
  <si>
    <t>-668.541545417101 382.310253501221 -472.851625950616</t>
  </si>
  <si>
    <t>-673.289191952544 364.196479654439 -580.759952355408</t>
  </si>
  <si>
    <t>-670.844607678576 339.9944311255 -687.545365709695</t>
  </si>
  <si>
    <t>-660.181997078608 299.898265843031 -834.101304415369</t>
  </si>
  <si>
    <t>-643.175753562708 248.889509946732 -920.65686628294</t>
  </si>
  <si>
    <t>-642.603222426219 339.86218625002 -773.712443521933</t>
  </si>
  <si>
    <t>-529.888512811956 434.212597230635 -769.470155649086</t>
  </si>
  <si>
    <t>-491.561624695828 479.126968672023 -458.504091825829</t>
  </si>
  <si>
    <t>-360.271001474902 347.585457455046 -276.565502596003</t>
  </si>
  <si>
    <t>-687.196488872362 295.417014941762 -764.79719196559</t>
  </si>
  <si>
    <t>-796.020180170337 207.554368047315 -719.389096870505</t>
  </si>
  <si>
    <t>-783.081513310986 239.231985570372 -404.722226559567</t>
  </si>
  <si>
    <t>-537.047887288001 192.61089224825 -334.4657243155</t>
  </si>
  <si>
    <t>-568.269756025497 475.201245321713 -250.588528326402</t>
  </si>
  <si>
    <t>-596.944486393613 471.224856274693 204.185647853226</t>
  </si>
  <si>
    <t>-630.067341648835 438.753988385397 671.77550907618</t>
  </si>
  <si>
    <t>-513.067601744409 341.862420043055 760.469356476998</t>
  </si>
  <si>
    <t>-677.304553630813 315.366185871047 -221.522077225666</t>
  </si>
  <si>
    <t>-560.849874688216 163.196770451566 191.927380962579</t>
  </si>
  <si>
    <t>-645.302511170602 121.958693727723 652.324854336226</t>
  </si>
  <si>
    <t>-593.324663276808 -23.7895249916367 735.986525774998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</si>
</sst>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582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>
        <f>-734.593058280682 -8.90701899154942 -734.422361265029</f>
        <v>-1477.9224385372604</v>
      </c>
      <c r="P1">
        <f>-726.221886763903 -2.15486693996695 -418.08302080618</f>
        <v>-1146.45977451005</v>
      </c>
      <c r="Q1">
        <f>-480.792276097175 -74.3323018802653 -371.213338240587</f>
        <v>-926.3379162180272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3">
      <c r="A2">
        <v>50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f>-732.092600055296 -7.60088590677196 -737.049876075095</f>
        <v>-1476.743362037163</v>
      </c>
      <c r="P2">
        <f>-725.991556801373 -2.58766138474539 -420.626392447588</f>
        <v>-1149.2056106337063</v>
      </c>
      <c r="Q2">
        <f>-481.04213997499 -74.1233861883682 -370.382541024294</f>
        <v>-925.54806718765224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</row>
    <row r="3" spans="1:25" x14ac:dyDescent="0.3">
      <c r="A3">
        <v>100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>
        <f>-731.172867010815 -6.82451143678122 -738.144271757125</f>
        <v>-1476.1416502047214</v>
      </c>
      <c r="P3">
        <f>-725.476912337668 -3.46488762491526 -421.691312426726</f>
        <v>-1150.6331123893092</v>
      </c>
      <c r="Q3">
        <f>-480.793051703019 -75.0258922874605 -370.204756781054</f>
        <v>-926.02370077153353</v>
      </c>
      <c r="R3" t="s">
        <v>55</v>
      </c>
      <c r="S3" t="s">
        <v>56</v>
      </c>
      <c r="T3" t="s">
        <v>57</v>
      </c>
      <c r="U3" t="s">
        <v>58</v>
      </c>
      <c r="V3" t="s">
        <v>59</v>
      </c>
      <c r="W3" t="s">
        <v>60</v>
      </c>
      <c r="X3" t="s">
        <v>61</v>
      </c>
      <c r="Y3" t="s">
        <v>62</v>
      </c>
    </row>
    <row r="4" spans="1:25" x14ac:dyDescent="0.3">
      <c r="A4">
        <v>150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J4" t="s">
        <v>71</v>
      </c>
      <c r="K4" t="s">
        <v>72</v>
      </c>
      <c r="L4" t="s">
        <v>73</v>
      </c>
      <c r="M4" t="s">
        <v>74</v>
      </c>
      <c r="N4" t="s">
        <v>75</v>
      </c>
      <c r="O4">
        <f>-730.289176941351 -6.22031773411891 -739.293928731879</f>
        <v>-1475.8034234073489</v>
      </c>
      <c r="P4">
        <f>-724.505676057783 -5.06052436264577 -422.826857935421</f>
        <v>-1152.3930583558499</v>
      </c>
      <c r="Q4">
        <f>-480.3161101626 -77.7181691532921 -370.535803468281</f>
        <v>-928.57008278417311</v>
      </c>
      <c r="R4" t="s">
        <v>76</v>
      </c>
      <c r="S4" t="s">
        <v>77</v>
      </c>
      <c r="T4" t="s">
        <v>78</v>
      </c>
      <c r="U4" t="s">
        <v>79</v>
      </c>
      <c r="V4" t="s">
        <v>80</v>
      </c>
      <c r="W4" t="s">
        <v>81</v>
      </c>
      <c r="X4" t="s">
        <v>82</v>
      </c>
      <c r="Y4" t="s">
        <v>83</v>
      </c>
    </row>
    <row r="5" spans="1:25" x14ac:dyDescent="0.3">
      <c r="A5">
        <v>200</v>
      </c>
      <c r="B5" t="s">
        <v>84</v>
      </c>
      <c r="C5" t="s">
        <v>85</v>
      </c>
      <c r="D5" t="s">
        <v>86</v>
      </c>
      <c r="E5" t="s">
        <v>87</v>
      </c>
      <c r="F5" t="s">
        <v>88</v>
      </c>
      <c r="G5" t="s">
        <v>89</v>
      </c>
      <c r="H5" t="s">
        <v>90</v>
      </c>
      <c r="I5" t="s">
        <v>91</v>
      </c>
      <c r="J5" t="s">
        <v>92</v>
      </c>
      <c r="K5" t="s">
        <v>93</v>
      </c>
      <c r="L5" t="s">
        <v>94</v>
      </c>
      <c r="M5" t="s">
        <v>95</v>
      </c>
      <c r="N5" t="s">
        <v>96</v>
      </c>
      <c r="O5">
        <f>-731.150445043672 -6.05459107207685 -739.182475012957</f>
        <v>-1476.3875111287057</v>
      </c>
      <c r="P5">
        <f>-724.663654126018 -5.64441110184953 -422.727177348766</f>
        <v>-1153.0352425766334</v>
      </c>
      <c r="Q5">
        <f>-480.612699539467 -79.1178946493344 -370.930999504002</f>
        <v>-930.66159369280342</v>
      </c>
      <c r="R5" t="s">
        <v>97</v>
      </c>
      <c r="S5" t="s">
        <v>98</v>
      </c>
      <c r="T5" t="s">
        <v>99</v>
      </c>
      <c r="U5" t="s">
        <v>100</v>
      </c>
      <c r="V5" t="s">
        <v>101</v>
      </c>
      <c r="W5" t="s">
        <v>102</v>
      </c>
      <c r="X5" t="s">
        <v>103</v>
      </c>
      <c r="Y5" t="s">
        <v>104</v>
      </c>
    </row>
    <row r="6" spans="1:25" x14ac:dyDescent="0.3">
      <c r="A6">
        <v>250</v>
      </c>
      <c r="B6" t="s">
        <v>105</v>
      </c>
      <c r="C6" t="s">
        <v>106</v>
      </c>
      <c r="D6" t="s">
        <v>107</v>
      </c>
      <c r="E6" t="s">
        <v>108</v>
      </c>
      <c r="F6" t="s">
        <v>109</v>
      </c>
      <c r="G6" t="s">
        <v>110</v>
      </c>
      <c r="H6" t="s">
        <v>111</v>
      </c>
      <c r="I6" t="s">
        <v>112</v>
      </c>
      <c r="J6" t="s">
        <v>113</v>
      </c>
      <c r="K6" t="s">
        <v>114</v>
      </c>
      <c r="L6" t="s">
        <v>115</v>
      </c>
      <c r="M6" t="s">
        <v>116</v>
      </c>
      <c r="N6" t="s">
        <v>117</v>
      </c>
      <c r="O6">
        <f>-733.981033305958 -6.04319685270457 -737.949393340378</f>
        <v>-1477.9736234990405</v>
      </c>
      <c r="P6">
        <f>-725.69477367404 -6.05104424827596 -421.535772298751</f>
        <v>-1153.2815902210668</v>
      </c>
      <c r="Q6">
        <f>-481.830468953672 -81.0943030198425 -371.129768480413</f>
        <v>-934.05454045392753</v>
      </c>
      <c r="R6" t="s">
        <v>118</v>
      </c>
      <c r="S6" t="s">
        <v>119</v>
      </c>
      <c r="T6" t="s">
        <v>120</v>
      </c>
      <c r="U6" t="s">
        <v>121</v>
      </c>
      <c r="V6" t="s">
        <v>122</v>
      </c>
      <c r="W6" t="s">
        <v>123</v>
      </c>
      <c r="X6" t="s">
        <v>124</v>
      </c>
      <c r="Y6" t="s">
        <v>125</v>
      </c>
    </row>
    <row r="7" spans="1:25" x14ac:dyDescent="0.3">
      <c r="A7">
        <v>300</v>
      </c>
      <c r="B7" t="s">
        <v>126</v>
      </c>
      <c r="C7" t="s">
        <v>127</v>
      </c>
      <c r="D7" t="s">
        <v>128</v>
      </c>
      <c r="E7" t="s">
        <v>129</v>
      </c>
      <c r="F7" t="s">
        <v>130</v>
      </c>
      <c r="G7" t="s">
        <v>131</v>
      </c>
      <c r="H7" t="s">
        <v>132</v>
      </c>
      <c r="I7" t="s">
        <v>133</v>
      </c>
      <c r="J7" t="s">
        <v>134</v>
      </c>
      <c r="K7" t="s">
        <v>135</v>
      </c>
      <c r="L7" t="s">
        <v>136</v>
      </c>
      <c r="M7" t="s">
        <v>137</v>
      </c>
      <c r="N7" t="s">
        <v>138</v>
      </c>
      <c r="O7">
        <f>-735.368448678642 -6.11966988753716 -737.124296004046</f>
        <v>-1478.6124145702252</v>
      </c>
      <c r="P7">
        <f>-726.265162326234 -5.50099667076847 -420.733747854454</f>
        <v>-1152.4999068514564</v>
      </c>
      <c r="Q7">
        <f>-482.458909236268 -81.1734644035566 -370.991881693962</f>
        <v>-934.62425533378666</v>
      </c>
      <c r="R7" t="s">
        <v>139</v>
      </c>
      <c r="S7" t="s">
        <v>140</v>
      </c>
      <c r="T7" t="s">
        <v>141</v>
      </c>
      <c r="U7" t="s">
        <v>142</v>
      </c>
      <c r="V7" t="s">
        <v>143</v>
      </c>
      <c r="W7" t="s">
        <v>144</v>
      </c>
      <c r="X7" t="s">
        <v>145</v>
      </c>
      <c r="Y7" t="s">
        <v>146</v>
      </c>
    </row>
    <row r="8" spans="1:25" x14ac:dyDescent="0.3">
      <c r="A8">
        <v>350</v>
      </c>
      <c r="B8" t="s">
        <v>147</v>
      </c>
      <c r="C8" t="s">
        <v>148</v>
      </c>
      <c r="D8" t="s">
        <v>149</v>
      </c>
      <c r="E8" t="s">
        <v>150</v>
      </c>
      <c r="F8" t="s">
        <v>151</v>
      </c>
      <c r="G8" t="s">
        <v>152</v>
      </c>
      <c r="H8" t="s">
        <v>153</v>
      </c>
      <c r="I8" t="s">
        <v>154</v>
      </c>
      <c r="J8" t="s">
        <v>155</v>
      </c>
      <c r="K8" t="s">
        <v>156</v>
      </c>
      <c r="L8" t="s">
        <v>157</v>
      </c>
      <c r="M8" t="s">
        <v>158</v>
      </c>
      <c r="N8" t="s">
        <v>159</v>
      </c>
      <c r="O8">
        <f>-736.682525307767 -5.94732879679918 -736.433804181782</f>
        <v>-1479.0636582863481</v>
      </c>
      <c r="P8">
        <f>-726.810791369461 -4.73375496875042 -420.068013694273</f>
        <v>-1151.6125600324845</v>
      </c>
      <c r="Q8">
        <f>-483.158861603824 -81.1931164396224 -370.775485997705</f>
        <v>-935.12746404115137</v>
      </c>
      <c r="R8" t="s">
        <v>160</v>
      </c>
      <c r="S8" t="s">
        <v>161</v>
      </c>
      <c r="T8" t="s">
        <v>162</v>
      </c>
      <c r="U8" t="s">
        <v>163</v>
      </c>
      <c r="V8" t="s">
        <v>164</v>
      </c>
      <c r="W8" t="s">
        <v>165</v>
      </c>
      <c r="X8" t="s">
        <v>166</v>
      </c>
      <c r="Y8" t="s">
        <v>167</v>
      </c>
    </row>
    <row r="9" spans="1:25" x14ac:dyDescent="0.3">
      <c r="A9">
        <v>400</v>
      </c>
      <c r="B9" t="s">
        <v>168</v>
      </c>
      <c r="C9" t="s">
        <v>169</v>
      </c>
      <c r="D9" t="s">
        <v>170</v>
      </c>
      <c r="E9" t="s">
        <v>171</v>
      </c>
      <c r="F9" t="s">
        <v>172</v>
      </c>
      <c r="G9" t="s">
        <v>173</v>
      </c>
      <c r="H9" t="s">
        <v>174</v>
      </c>
      <c r="I9" t="s">
        <v>175</v>
      </c>
      <c r="J9" t="s">
        <v>176</v>
      </c>
      <c r="K9" t="s">
        <v>177</v>
      </c>
      <c r="L9" t="s">
        <v>178</v>
      </c>
      <c r="M9" t="s">
        <v>179</v>
      </c>
      <c r="N9" t="s">
        <v>180</v>
      </c>
      <c r="O9">
        <f>-738.837971991026 -5.41339726862088 -735.347888229052</f>
        <v>-1479.5992574886991</v>
      </c>
      <c r="P9">
        <f>-728.055300913767 -3.34413836947715 -419.016367948393</f>
        <v>-1150.4158072316372</v>
      </c>
      <c r="Q9">
        <f>-484.713382098247 -81.111823444402 -370.241880154846</f>
        <v>-936.06708569749503</v>
      </c>
      <c r="R9" t="s">
        <v>181</v>
      </c>
      <c r="S9" t="s">
        <v>182</v>
      </c>
      <c r="T9" t="s">
        <v>183</v>
      </c>
      <c r="U9" t="s">
        <v>184</v>
      </c>
      <c r="V9" t="s">
        <v>185</v>
      </c>
      <c r="W9" t="s">
        <v>186</v>
      </c>
      <c r="X9" t="s">
        <v>187</v>
      </c>
      <c r="Y9" t="s">
        <v>188</v>
      </c>
    </row>
    <row r="10" spans="1:25" x14ac:dyDescent="0.3">
      <c r="A10">
        <v>450</v>
      </c>
      <c r="B10" t="s">
        <v>189</v>
      </c>
      <c r="C10" t="s">
        <v>190</v>
      </c>
      <c r="D10" t="s">
        <v>191</v>
      </c>
      <c r="E10" t="s">
        <v>192</v>
      </c>
      <c r="F10" t="s">
        <v>193</v>
      </c>
      <c r="G10" t="s">
        <v>194</v>
      </c>
      <c r="H10" t="s">
        <v>195</v>
      </c>
      <c r="I10" t="s">
        <v>196</v>
      </c>
      <c r="J10" t="s">
        <v>197</v>
      </c>
      <c r="K10" t="s">
        <v>198</v>
      </c>
      <c r="L10" t="s">
        <v>199</v>
      </c>
      <c r="M10" t="s">
        <v>200</v>
      </c>
      <c r="N10" t="s">
        <v>201</v>
      </c>
      <c r="O10">
        <f>-740.121919143135 -4.92199544507776 -734.392796748068</f>
        <v>-1479.4367113362807</v>
      </c>
      <c r="P10">
        <f>-728.825078527593 -2.39082123068783 -418.082577422072</f>
        <v>-1149.2984771803528</v>
      </c>
      <c r="Q10">
        <f>-485.742292333081 -81.1729376167698 -369.645212384717</f>
        <v>-936.56044233456782</v>
      </c>
      <c r="R10" t="s">
        <v>202</v>
      </c>
      <c r="S10" t="s">
        <v>203</v>
      </c>
      <c r="T10" t="s">
        <v>204</v>
      </c>
      <c r="U10" t="s">
        <v>205</v>
      </c>
      <c r="V10" t="s">
        <v>206</v>
      </c>
      <c r="W10" t="s">
        <v>207</v>
      </c>
      <c r="X10" t="s">
        <v>208</v>
      </c>
      <c r="Y10" t="s">
        <v>209</v>
      </c>
    </row>
    <row r="11" spans="1:25" x14ac:dyDescent="0.3">
      <c r="A11">
        <v>500</v>
      </c>
      <c r="B11" t="s">
        <v>210</v>
      </c>
      <c r="C11" t="s">
        <v>211</v>
      </c>
      <c r="D11" t="s">
        <v>212</v>
      </c>
      <c r="E11" t="s">
        <v>213</v>
      </c>
      <c r="F11" t="s">
        <v>214</v>
      </c>
      <c r="G11" t="s">
        <v>215</v>
      </c>
      <c r="H11" t="s">
        <v>216</v>
      </c>
      <c r="I11" t="s">
        <v>217</v>
      </c>
      <c r="J11" t="s">
        <v>218</v>
      </c>
      <c r="K11" t="s">
        <v>219</v>
      </c>
      <c r="L11" t="s">
        <v>220</v>
      </c>
      <c r="M11" t="s">
        <v>221</v>
      </c>
      <c r="N11" t="s">
        <v>222</v>
      </c>
      <c r="O11">
        <f>-740.557872110335 -4.69963524304035 -734.100264572131</f>
        <v>-1479.3577719255063</v>
      </c>
      <c r="P11">
        <f>-728.928849552241 -1.89307578173657 -417.80458765205</f>
        <v>-1148.6265129860276</v>
      </c>
      <c r="Q11">
        <f>-485.861891316165 -80.8596296625715 -369.588446526811</f>
        <v>-936.30996750554755</v>
      </c>
      <c r="R11" t="s">
        <v>223</v>
      </c>
      <c r="S11" t="s">
        <v>224</v>
      </c>
      <c r="T11" t="s">
        <v>225</v>
      </c>
      <c r="U11" t="s">
        <v>226</v>
      </c>
      <c r="V11" t="s">
        <v>227</v>
      </c>
      <c r="W11" t="s">
        <v>228</v>
      </c>
      <c r="X11" t="s">
        <v>229</v>
      </c>
      <c r="Y11" t="s">
        <v>230</v>
      </c>
    </row>
    <row r="12" spans="1:25" x14ac:dyDescent="0.3">
      <c r="A12">
        <v>550</v>
      </c>
      <c r="B12" t="s">
        <v>231</v>
      </c>
      <c r="C12" t="s">
        <v>232</v>
      </c>
      <c r="D12" t="s">
        <v>233</v>
      </c>
      <c r="E12" t="s">
        <v>234</v>
      </c>
      <c r="F12" t="s">
        <v>235</v>
      </c>
      <c r="G12" t="s">
        <v>236</v>
      </c>
      <c r="H12" t="s">
        <v>237</v>
      </c>
      <c r="I12" t="s">
        <v>238</v>
      </c>
      <c r="J12" t="s">
        <v>239</v>
      </c>
      <c r="K12" t="s">
        <v>240</v>
      </c>
      <c r="L12" t="s">
        <v>241</v>
      </c>
      <c r="M12" t="s">
        <v>242</v>
      </c>
      <c r="N12" t="s">
        <v>243</v>
      </c>
      <c r="O12">
        <f>-740.687720501426 -4.97490569877527 -733.69766113631</f>
        <v>-1479.3602873365112</v>
      </c>
      <c r="P12">
        <f>-728.551973841101 -1.71942161391303 -417.425273681798</f>
        <v>-1147.696669136812</v>
      </c>
      <c r="Q12">
        <f>-485.368757270792 -80.5776159366746 -369.61964893708</f>
        <v>-935.56602214454665</v>
      </c>
      <c r="R12" t="s">
        <v>244</v>
      </c>
      <c r="S12" t="s">
        <v>245</v>
      </c>
      <c r="T12" t="s">
        <v>246</v>
      </c>
      <c r="U12" t="s">
        <v>247</v>
      </c>
      <c r="V12" t="s">
        <v>248</v>
      </c>
      <c r="W12" t="s">
        <v>249</v>
      </c>
      <c r="X12" t="s">
        <v>250</v>
      </c>
      <c r="Y12" t="s">
        <v>251</v>
      </c>
    </row>
    <row r="13" spans="1:25" x14ac:dyDescent="0.3">
      <c r="A13">
        <v>600</v>
      </c>
      <c r="B13" t="s">
        <v>252</v>
      </c>
      <c r="C13" t="s">
        <v>253</v>
      </c>
      <c r="D13" t="s">
        <v>254</v>
      </c>
      <c r="E13" t="s">
        <v>255</v>
      </c>
      <c r="F13" t="s">
        <v>256</v>
      </c>
      <c r="G13" t="s">
        <v>257</v>
      </c>
      <c r="H13" t="s">
        <v>258</v>
      </c>
      <c r="I13" t="s">
        <v>259</v>
      </c>
      <c r="J13" t="s">
        <v>260</v>
      </c>
      <c r="K13" t="s">
        <v>261</v>
      </c>
      <c r="L13" t="s">
        <v>262</v>
      </c>
      <c r="M13" t="s">
        <v>263</v>
      </c>
      <c r="N13" t="s">
        <v>264</v>
      </c>
      <c r="O13">
        <f>-740.358103538784 -5.16005398481002 -733.620109529873</f>
        <v>-1479.1382670534672</v>
      </c>
      <c r="P13">
        <f>-728.000791023061 -1.84341812380626 -417.356712622974</f>
        <v>-1147.2009217698412</v>
      </c>
      <c r="Q13">
        <f>-484.705523919702 -80.4699095666706 -369.740021521401</f>
        <v>-934.91545500777363</v>
      </c>
      <c r="R13" t="s">
        <v>265</v>
      </c>
      <c r="S13" t="s">
        <v>266</v>
      </c>
      <c r="T13" t="s">
        <v>267</v>
      </c>
      <c r="U13" t="s">
        <v>268</v>
      </c>
      <c r="V13" t="s">
        <v>269</v>
      </c>
      <c r="W13" t="s">
        <v>270</v>
      </c>
      <c r="X13" t="s">
        <v>271</v>
      </c>
      <c r="Y13" t="s">
        <v>272</v>
      </c>
    </row>
    <row r="14" spans="1:25" x14ac:dyDescent="0.3">
      <c r="A14">
        <v>650</v>
      </c>
      <c r="B14" t="s">
        <v>273</v>
      </c>
      <c r="C14" t="s">
        <v>274</v>
      </c>
      <c r="D14" t="s">
        <v>275</v>
      </c>
      <c r="E14" t="s">
        <v>276</v>
      </c>
      <c r="F14" t="s">
        <v>277</v>
      </c>
      <c r="G14" t="s">
        <v>278</v>
      </c>
      <c r="H14" t="s">
        <v>279</v>
      </c>
      <c r="I14" t="s">
        <v>280</v>
      </c>
      <c r="J14" t="s">
        <v>281</v>
      </c>
      <c r="K14" t="s">
        <v>282</v>
      </c>
      <c r="L14" t="s">
        <v>283</v>
      </c>
      <c r="M14" t="s">
        <v>284</v>
      </c>
      <c r="N14" t="s">
        <v>285</v>
      </c>
      <c r="O14">
        <f>-739.468383040797 -6.26704264229375 -733.727295432211</f>
        <v>-1479.4627211153017</v>
      </c>
      <c r="P14">
        <f>-727.084249146588 -2.83617533001097 -417.466158198584</f>
        <v>-1147.386582675183</v>
      </c>
      <c r="Q14">
        <f>-483.509474342831 -80.5875124648671 -369.841500265363</f>
        <v>-933.9384870730612</v>
      </c>
      <c r="R14" t="s">
        <v>286</v>
      </c>
      <c r="S14" t="s">
        <v>287</v>
      </c>
      <c r="T14" t="s">
        <v>288</v>
      </c>
      <c r="U14" t="s">
        <v>289</v>
      </c>
      <c r="V14" t="s">
        <v>290</v>
      </c>
      <c r="W14" t="s">
        <v>291</v>
      </c>
      <c r="X14" t="s">
        <v>292</v>
      </c>
      <c r="Y14" t="s">
        <v>293</v>
      </c>
    </row>
    <row r="15" spans="1:25" x14ac:dyDescent="0.3">
      <c r="A15">
        <v>700</v>
      </c>
      <c r="B15" t="s">
        <v>294</v>
      </c>
      <c r="C15" t="s">
        <v>295</v>
      </c>
      <c r="D15" t="s">
        <v>296</v>
      </c>
      <c r="E15" t="s">
        <v>297</v>
      </c>
      <c r="F15" t="s">
        <v>298</v>
      </c>
      <c r="G15" t="s">
        <v>299</v>
      </c>
      <c r="H15" t="s">
        <v>300</v>
      </c>
      <c r="I15" t="s">
        <v>301</v>
      </c>
      <c r="J15" t="s">
        <v>302</v>
      </c>
      <c r="K15" t="s">
        <v>303</v>
      </c>
      <c r="L15" t="s">
        <v>304</v>
      </c>
      <c r="M15" t="s">
        <v>305</v>
      </c>
      <c r="N15" t="s">
        <v>306</v>
      </c>
      <c r="O15">
        <f>-738.685147130326 -6.58051735213417 -733.959117518958</f>
        <v>-1479.2247820014181</v>
      </c>
      <c r="P15">
        <f>-726.47168758773 -3.18657248575369 -417.691115142087</f>
        <v>-1147.3493752155707</v>
      </c>
      <c r="Q15">
        <f>-482.735606332388 -80.3789545359582 -369.982373722387</f>
        <v>-933.09693459073321</v>
      </c>
      <c r="R15" t="s">
        <v>307</v>
      </c>
      <c r="S15" t="s">
        <v>308</v>
      </c>
      <c r="T15" t="s">
        <v>309</v>
      </c>
      <c r="U15" t="s">
        <v>310</v>
      </c>
      <c r="V15" t="s">
        <v>311</v>
      </c>
      <c r="W15" t="s">
        <v>312</v>
      </c>
      <c r="X15" t="s">
        <v>313</v>
      </c>
      <c r="Y15" t="s">
        <v>314</v>
      </c>
    </row>
    <row r="16" spans="1:25" x14ac:dyDescent="0.3">
      <c r="A16">
        <v>750</v>
      </c>
      <c r="B16" t="s">
        <v>315</v>
      </c>
      <c r="C16" t="s">
        <v>316</v>
      </c>
      <c r="D16" t="s">
        <v>317</v>
      </c>
      <c r="E16" t="s">
        <v>318</v>
      </c>
      <c r="F16" t="s">
        <v>319</v>
      </c>
      <c r="G16" t="s">
        <v>320</v>
      </c>
      <c r="H16" t="s">
        <v>321</v>
      </c>
      <c r="I16" t="s">
        <v>322</v>
      </c>
      <c r="J16" t="s">
        <v>323</v>
      </c>
      <c r="K16" t="s">
        <v>324</v>
      </c>
      <c r="L16" t="s">
        <v>325</v>
      </c>
      <c r="M16" t="s">
        <v>326</v>
      </c>
      <c r="N16" t="s">
        <v>327</v>
      </c>
      <c r="O16">
        <f>-736.562714825062 -6.9407930987411 -734.613154262403</f>
        <v>-1478.1166621862062</v>
      </c>
      <c r="P16">
        <f>-724.694258782096 -3.89706149752305 -418.328456926786</f>
        <v>-1146.9197772064049</v>
      </c>
      <c r="Q16">
        <f>-480.64167947211 -80.0200692063131 -370.519671078963</f>
        <v>-931.18141975738604</v>
      </c>
      <c r="R16" t="s">
        <v>328</v>
      </c>
      <c r="S16" t="s">
        <v>329</v>
      </c>
      <c r="T16" t="s">
        <v>330</v>
      </c>
      <c r="U16" t="s">
        <v>331</v>
      </c>
      <c r="V16" t="s">
        <v>332</v>
      </c>
      <c r="W16" t="s">
        <v>333</v>
      </c>
      <c r="X16" t="s">
        <v>334</v>
      </c>
      <c r="Y16" t="s">
        <v>335</v>
      </c>
    </row>
    <row r="17" spans="1:25" x14ac:dyDescent="0.3">
      <c r="A17">
        <v>800</v>
      </c>
      <c r="B17" t="s">
        <v>336</v>
      </c>
      <c r="C17" t="s">
        <v>337</v>
      </c>
      <c r="D17" t="s">
        <v>338</v>
      </c>
      <c r="E17" t="s">
        <v>339</v>
      </c>
      <c r="F17" t="s">
        <v>340</v>
      </c>
      <c r="G17" t="s">
        <v>341</v>
      </c>
      <c r="H17" t="s">
        <v>342</v>
      </c>
      <c r="I17" t="s">
        <v>343</v>
      </c>
      <c r="J17" t="s">
        <v>344</v>
      </c>
      <c r="K17" t="s">
        <v>345</v>
      </c>
      <c r="L17" t="s">
        <v>346</v>
      </c>
      <c r="M17" t="s">
        <v>347</v>
      </c>
      <c r="N17" t="s">
        <v>348</v>
      </c>
      <c r="O17">
        <f>-735.247461143783 -6.98889758726546 -734.865646119559</f>
        <v>-1477.1020048506075</v>
      </c>
      <c r="P17">
        <f>-723.771441082799 -4.22976154520779 -418.563709565024</f>
        <v>-1146.5649121930308</v>
      </c>
      <c r="Q17">
        <f>-479.55710941416 -79.7888035883932 -370.686250776022</f>
        <v>-930.03216377857518</v>
      </c>
      <c r="R17" t="s">
        <v>349</v>
      </c>
      <c r="S17" t="s">
        <v>350</v>
      </c>
      <c r="T17" t="s">
        <v>351</v>
      </c>
      <c r="U17" t="s">
        <v>352</v>
      </c>
      <c r="V17" t="s">
        <v>353</v>
      </c>
      <c r="W17" t="s">
        <v>354</v>
      </c>
      <c r="X17" t="s">
        <v>355</v>
      </c>
      <c r="Y17" t="s">
        <v>356</v>
      </c>
    </row>
    <row r="18" spans="1:25" x14ac:dyDescent="0.3">
      <c r="A18">
        <v>850</v>
      </c>
      <c r="B18" t="s">
        <v>357</v>
      </c>
      <c r="C18" t="s">
        <v>358</v>
      </c>
      <c r="D18" t="s">
        <v>359</v>
      </c>
      <c r="E18" t="s">
        <v>360</v>
      </c>
      <c r="F18" t="s">
        <v>361</v>
      </c>
      <c r="G18" t="s">
        <v>362</v>
      </c>
      <c r="H18" t="s">
        <v>363</v>
      </c>
      <c r="I18" t="s">
        <v>364</v>
      </c>
      <c r="J18" t="s">
        <v>365</v>
      </c>
      <c r="K18" t="s">
        <v>366</v>
      </c>
      <c r="L18" t="s">
        <v>367</v>
      </c>
      <c r="M18" t="s">
        <v>368</v>
      </c>
      <c r="N18" t="s">
        <v>369</v>
      </c>
      <c r="O18">
        <f>-732.862173908106 -7.22570320209752 -735.151165352846</f>
        <v>-1475.2390424630494</v>
      </c>
      <c r="P18">
        <f>-722.352010190724 -5.38144844806106 -418.809150844898</f>
        <v>-1146.542609483683</v>
      </c>
      <c r="Q18">
        <f>-477.818794625651 -79.7268194150256 -370.659923633555</f>
        <v>-928.20553767423166</v>
      </c>
      <c r="R18" t="s">
        <v>370</v>
      </c>
      <c r="S18" t="s">
        <v>371</v>
      </c>
      <c r="T18" t="s">
        <v>372</v>
      </c>
      <c r="U18" t="s">
        <v>373</v>
      </c>
      <c r="V18" t="s">
        <v>374</v>
      </c>
      <c r="W18" t="s">
        <v>375</v>
      </c>
      <c r="X18" t="s">
        <v>376</v>
      </c>
      <c r="Y18" t="s">
        <v>377</v>
      </c>
    </row>
    <row r="19" spans="1:25" x14ac:dyDescent="0.3">
      <c r="A19">
        <v>900</v>
      </c>
      <c r="B19" t="s">
        <v>378</v>
      </c>
      <c r="C19" t="s">
        <v>379</v>
      </c>
      <c r="D19" t="s">
        <v>380</v>
      </c>
      <c r="E19" t="s">
        <v>381</v>
      </c>
      <c r="F19" t="s">
        <v>382</v>
      </c>
      <c r="G19" t="s">
        <v>383</v>
      </c>
      <c r="H19" t="s">
        <v>384</v>
      </c>
      <c r="I19" t="s">
        <v>385</v>
      </c>
      <c r="J19" t="s">
        <v>386</v>
      </c>
      <c r="K19" t="s">
        <v>387</v>
      </c>
      <c r="L19" t="s">
        <v>388</v>
      </c>
      <c r="M19" t="s">
        <v>389</v>
      </c>
      <c r="N19" t="s">
        <v>390</v>
      </c>
      <c r="O19">
        <f>-731.668370132669 -7.41083188269363 -735.341453408395</f>
        <v>-1474.4206554237576</v>
      </c>
      <c r="P19">
        <f>-721.639078960521 -6.08354392523643 -418.981134207273</f>
        <v>-1146.7037570930304</v>
      </c>
      <c r="Q19">
        <f>-476.970385281915 -79.8564791334472 -370.640585944542</f>
        <v>-927.46745035990421</v>
      </c>
      <c r="R19" t="s">
        <v>391</v>
      </c>
      <c r="S19" t="s">
        <v>392</v>
      </c>
      <c r="T19" t="s">
        <v>393</v>
      </c>
      <c r="U19" t="s">
        <v>394</v>
      </c>
      <c r="V19" t="s">
        <v>395</v>
      </c>
      <c r="W19" t="s">
        <v>396</v>
      </c>
      <c r="X19" t="s">
        <v>397</v>
      </c>
      <c r="Y19" t="s">
        <v>398</v>
      </c>
    </row>
    <row r="20" spans="1:25" x14ac:dyDescent="0.3">
      <c r="A20">
        <v>950</v>
      </c>
      <c r="B20" t="s">
        <v>399</v>
      </c>
      <c r="C20" t="s">
        <v>400</v>
      </c>
      <c r="D20" t="s">
        <v>401</v>
      </c>
      <c r="E20" t="s">
        <v>402</v>
      </c>
      <c r="F20" t="s">
        <v>403</v>
      </c>
      <c r="G20" t="s">
        <v>404</v>
      </c>
      <c r="H20" t="s">
        <v>405</v>
      </c>
      <c r="I20" t="s">
        <v>406</v>
      </c>
      <c r="J20" t="s">
        <v>407</v>
      </c>
      <c r="K20" t="s">
        <v>408</v>
      </c>
      <c r="L20" t="s">
        <v>409</v>
      </c>
      <c r="M20" t="s">
        <v>410</v>
      </c>
      <c r="N20" t="s">
        <v>411</v>
      </c>
      <c r="O20">
        <f>-729.345418659325 -7.87037095189771 -735.906482784145</f>
        <v>-1473.1222723953679</v>
      </c>
      <c r="P20">
        <f>-720.178775218148 -7.05464250185696 -419.518316157207</f>
        <v>-1146.7517338772118</v>
      </c>
      <c r="Q20">
        <f>-475.293685851126 -79.646368757348 -370.489630940124</f>
        <v>-925.42968554859794</v>
      </c>
      <c r="R20" t="s">
        <v>412</v>
      </c>
      <c r="S20" t="s">
        <v>413</v>
      </c>
      <c r="T20" t="s">
        <v>414</v>
      </c>
      <c r="U20" t="s">
        <v>415</v>
      </c>
      <c r="V20" t="s">
        <v>416</v>
      </c>
      <c r="W20" t="s">
        <v>417</v>
      </c>
      <c r="X20" t="s">
        <v>418</v>
      </c>
      <c r="Y20" t="s">
        <v>419</v>
      </c>
    </row>
    <row r="21" spans="1:25" x14ac:dyDescent="0.3">
      <c r="A21">
        <v>1000</v>
      </c>
      <c r="B21" t="s">
        <v>420</v>
      </c>
      <c r="C21" t="s">
        <v>421</v>
      </c>
      <c r="D21" t="s">
        <v>422</v>
      </c>
      <c r="E21" t="s">
        <v>423</v>
      </c>
      <c r="F21" t="s">
        <v>424</v>
      </c>
      <c r="G21" t="s">
        <v>425</v>
      </c>
      <c r="H21" t="s">
        <v>426</v>
      </c>
      <c r="I21" t="s">
        <v>427</v>
      </c>
      <c r="J21" t="s">
        <v>428</v>
      </c>
      <c r="K21" t="s">
        <v>429</v>
      </c>
      <c r="L21" t="s">
        <v>430</v>
      </c>
      <c r="M21" t="s">
        <v>431</v>
      </c>
      <c r="N21" t="s">
        <v>432</v>
      </c>
      <c r="O21">
        <f>-728.397484041367 -8.27676392301692 -736.343756967937</f>
        <v>-1473.0180049323208</v>
      </c>
      <c r="P21">
        <f>-719.847169171161 -7.48147568573222 -419.938320367591</f>
        <v>-1147.2669652244842</v>
      </c>
      <c r="Q21">
        <f>-474.84688351838 -79.3427229175181 -370.411856529796</f>
        <v>-924.60146296569405</v>
      </c>
      <c r="R21" t="s">
        <v>433</v>
      </c>
      <c r="S21" t="s">
        <v>434</v>
      </c>
      <c r="T21" t="s">
        <v>435</v>
      </c>
      <c r="U21" t="s">
        <v>436</v>
      </c>
      <c r="V21" t="s">
        <v>437</v>
      </c>
      <c r="W21" t="s">
        <v>438</v>
      </c>
      <c r="X21" t="s">
        <v>439</v>
      </c>
      <c r="Y21" t="s">
        <v>440</v>
      </c>
    </row>
    <row r="22" spans="1:25" x14ac:dyDescent="0.3">
      <c r="A22">
        <v>1050</v>
      </c>
      <c r="B22" t="s">
        <v>441</v>
      </c>
      <c r="C22" t="s">
        <v>442</v>
      </c>
      <c r="D22" t="s">
        <v>443</v>
      </c>
      <c r="E22" t="s">
        <v>444</v>
      </c>
      <c r="F22" t="s">
        <v>445</v>
      </c>
      <c r="G22" t="s">
        <v>446</v>
      </c>
      <c r="H22" t="s">
        <v>447</v>
      </c>
      <c r="I22" t="s">
        <v>448</v>
      </c>
      <c r="J22" t="s">
        <v>449</v>
      </c>
      <c r="K22" t="s">
        <v>450</v>
      </c>
      <c r="L22" t="s">
        <v>451</v>
      </c>
      <c r="M22" t="s">
        <v>452</v>
      </c>
      <c r="N22" t="s">
        <v>453</v>
      </c>
      <c r="O22">
        <f>-726.647865916167 -9.33747134580176 -736.769123194126</f>
        <v>-1472.7544604560949</v>
      </c>
      <c r="P22">
        <f>-719.524534349316 -8.54640905093879 -420.328260653535</f>
        <v>-1148.3992040537898</v>
      </c>
      <c r="Q22">
        <f>-474.277300839291 -78.9282315580426 -369.907579600854</f>
        <v>-923.11311199818761</v>
      </c>
      <c r="R22" t="s">
        <v>454</v>
      </c>
      <c r="S22" t="s">
        <v>455</v>
      </c>
      <c r="T22" t="s">
        <v>456</v>
      </c>
      <c r="U22" t="s">
        <v>457</v>
      </c>
      <c r="V22" t="s">
        <v>458</v>
      </c>
      <c r="W22" t="s">
        <v>459</v>
      </c>
      <c r="X22" t="s">
        <v>460</v>
      </c>
      <c r="Y22" t="s">
        <v>461</v>
      </c>
    </row>
    <row r="23" spans="1:25" x14ac:dyDescent="0.3">
      <c r="A23">
        <v>1100</v>
      </c>
      <c r="B23" t="s">
        <v>462</v>
      </c>
      <c r="C23" t="s">
        <v>463</v>
      </c>
      <c r="D23" t="s">
        <v>464</v>
      </c>
      <c r="E23" t="s">
        <v>465</v>
      </c>
      <c r="F23" t="s">
        <v>466</v>
      </c>
      <c r="G23" t="s">
        <v>467</v>
      </c>
      <c r="H23" t="s">
        <v>468</v>
      </c>
      <c r="I23" t="s">
        <v>469</v>
      </c>
      <c r="J23" t="s">
        <v>470</v>
      </c>
      <c r="K23" t="s">
        <v>471</v>
      </c>
      <c r="L23" t="s">
        <v>472</v>
      </c>
      <c r="M23" t="s">
        <v>473</v>
      </c>
      <c r="N23" t="s">
        <v>474</v>
      </c>
      <c r="O23">
        <f>-725.816706274509 -9.95859516347377 -736.845804085165</f>
        <v>-1472.6211055231479</v>
      </c>
      <c r="P23">
        <f>-719.198796357689 -8.90862452421197 -420.394701013674</f>
        <v>-1148.5021218955751</v>
      </c>
      <c r="Q23">
        <f>-473.827747924111 -78.6320953791844 -369.662696331033</f>
        <v>-922.1225396343284</v>
      </c>
      <c r="R23" t="s">
        <v>475</v>
      </c>
      <c r="S23" t="s">
        <v>476</v>
      </c>
      <c r="T23" t="s">
        <v>477</v>
      </c>
      <c r="U23" t="s">
        <v>478</v>
      </c>
      <c r="V23" t="s">
        <v>479</v>
      </c>
      <c r="W23" t="s">
        <v>480</v>
      </c>
      <c r="X23" t="s">
        <v>481</v>
      </c>
      <c r="Y23" t="s">
        <v>482</v>
      </c>
    </row>
    <row r="24" spans="1:25" x14ac:dyDescent="0.3">
      <c r="A24">
        <v>1150</v>
      </c>
      <c r="B24" t="s">
        <v>483</v>
      </c>
      <c r="C24" t="s">
        <v>484</v>
      </c>
      <c r="D24" t="s">
        <v>485</v>
      </c>
      <c r="E24" t="s">
        <v>486</v>
      </c>
      <c r="F24" t="s">
        <v>487</v>
      </c>
      <c r="G24" t="s">
        <v>488</v>
      </c>
      <c r="H24" t="s">
        <v>489</v>
      </c>
      <c r="I24" t="s">
        <v>490</v>
      </c>
      <c r="J24" t="s">
        <v>491</v>
      </c>
      <c r="K24" t="s">
        <v>492</v>
      </c>
      <c r="L24" t="s">
        <v>493</v>
      </c>
      <c r="M24" t="s">
        <v>494</v>
      </c>
      <c r="N24" t="s">
        <v>495</v>
      </c>
      <c r="O24">
        <f>-723.738871118877 -11.2738465579018 -736.754711499349</f>
        <v>-1471.7674291761277</v>
      </c>
      <c r="P24">
        <f>-718.056125974305 -9.59172139833754 -420.288074275472</f>
        <v>-1147.9359216481146</v>
      </c>
      <c r="Q24">
        <f>-472.376521740811 -77.6351930607632 -368.774343917584</f>
        <v>-918.78605871915818</v>
      </c>
      <c r="R24" t="s">
        <v>496</v>
      </c>
      <c r="S24" t="s">
        <v>497</v>
      </c>
      <c r="T24" t="s">
        <v>498</v>
      </c>
      <c r="U24" t="s">
        <v>499</v>
      </c>
      <c r="V24" t="s">
        <v>500</v>
      </c>
      <c r="W24" t="s">
        <v>501</v>
      </c>
      <c r="X24" t="s">
        <v>502</v>
      </c>
      <c r="Y24" t="s">
        <v>503</v>
      </c>
    </row>
    <row r="25" spans="1:25" x14ac:dyDescent="0.3">
      <c r="A25">
        <v>1200</v>
      </c>
      <c r="B25" t="s">
        <v>504</v>
      </c>
      <c r="C25" t="s">
        <v>505</v>
      </c>
      <c r="D25" t="s">
        <v>506</v>
      </c>
      <c r="E25" t="s">
        <v>507</v>
      </c>
      <c r="F25" t="s">
        <v>508</v>
      </c>
      <c r="G25" t="s">
        <v>509</v>
      </c>
      <c r="H25" t="s">
        <v>510</v>
      </c>
      <c r="I25" t="s">
        <v>511</v>
      </c>
      <c r="J25" t="s">
        <v>512</v>
      </c>
      <c r="K25" t="s">
        <v>513</v>
      </c>
      <c r="L25" t="s">
        <v>514</v>
      </c>
      <c r="M25" t="s">
        <v>515</v>
      </c>
      <c r="N25" t="s">
        <v>516</v>
      </c>
      <c r="O25">
        <f>-722.996476006954 -11.9439010310991 -736.665694921498</f>
        <v>-1471.6060719595512</v>
      </c>
      <c r="P25">
        <f>-717.795863615179 -10.3715721017713 -420.19040453915</f>
        <v>-1148.3578402561002</v>
      </c>
      <c r="Q25">
        <f>-471.875437614446 -77.2422922690973 -368.291216094347</f>
        <v>-917.40894597789043</v>
      </c>
      <c r="R25" t="s">
        <v>517</v>
      </c>
      <c r="S25" t="s">
        <v>518</v>
      </c>
      <c r="T25" t="s">
        <v>519</v>
      </c>
      <c r="U25" t="s">
        <v>520</v>
      </c>
      <c r="V25" t="s">
        <v>521</v>
      </c>
      <c r="W25" t="s">
        <v>522</v>
      </c>
      <c r="X25" t="s">
        <v>523</v>
      </c>
      <c r="Y25" t="s">
        <v>524</v>
      </c>
    </row>
    <row r="26" spans="1:25" x14ac:dyDescent="0.3">
      <c r="A26">
        <v>1250</v>
      </c>
      <c r="B26" t="s">
        <v>525</v>
      </c>
      <c r="C26" t="s">
        <v>526</v>
      </c>
      <c r="D26" t="s">
        <v>527</v>
      </c>
      <c r="E26" t="s">
        <v>528</v>
      </c>
      <c r="F26" t="s">
        <v>529</v>
      </c>
      <c r="G26" t="s">
        <v>530</v>
      </c>
      <c r="H26" t="s">
        <v>531</v>
      </c>
      <c r="I26" t="s">
        <v>532</v>
      </c>
      <c r="J26" t="s">
        <v>533</v>
      </c>
      <c r="K26" t="s">
        <v>534</v>
      </c>
      <c r="L26" t="s">
        <v>535</v>
      </c>
      <c r="M26" t="s">
        <v>536</v>
      </c>
      <c r="N26" t="s">
        <v>537</v>
      </c>
      <c r="O26">
        <f>-722.432967107129 -13.4504407134793 -736.566868166582</f>
        <v>-1472.4502759871903</v>
      </c>
      <c r="P26">
        <f>-717.896098476683 -11.7466171246863 -420.081980405282</f>
        <v>-1149.7246960066514</v>
      </c>
      <c r="Q26">
        <f>-471.44220747359 -76.2284493622008 -367.692585634699</f>
        <v>-915.36324247048969</v>
      </c>
      <c r="R26" t="s">
        <v>538</v>
      </c>
      <c r="S26" t="s">
        <v>539</v>
      </c>
      <c r="T26" t="s">
        <v>540</v>
      </c>
      <c r="U26" t="s">
        <v>541</v>
      </c>
      <c r="V26" t="s">
        <v>542</v>
      </c>
      <c r="W26" t="s">
        <v>543</v>
      </c>
      <c r="X26" t="s">
        <v>544</v>
      </c>
      <c r="Y26" t="s">
        <v>545</v>
      </c>
    </row>
    <row r="27" spans="1:25" x14ac:dyDescent="0.3">
      <c r="A27">
        <v>1300</v>
      </c>
      <c r="B27" t="s">
        <v>546</v>
      </c>
      <c r="C27" t="s">
        <v>547</v>
      </c>
      <c r="D27" t="s">
        <v>548</v>
      </c>
      <c r="E27" t="s">
        <v>549</v>
      </c>
      <c r="F27" t="s">
        <v>550</v>
      </c>
      <c r="G27" t="s">
        <v>551</v>
      </c>
      <c r="H27" t="s">
        <v>552</v>
      </c>
      <c r="I27" t="s">
        <v>553</v>
      </c>
      <c r="J27" t="s">
        <v>554</v>
      </c>
      <c r="K27" t="s">
        <v>555</v>
      </c>
      <c r="L27" t="s">
        <v>556</v>
      </c>
      <c r="M27" t="s">
        <v>557</v>
      </c>
      <c r="N27" t="s">
        <v>558</v>
      </c>
      <c r="O27">
        <f>-722.444534595406 -14.0472243181434 -736.483718078809</f>
        <v>-1472.9754769923584</v>
      </c>
      <c r="P27">
        <f>-717.935364497745 -12.2424003149488 -419.998861931147</f>
        <v>-1150.1766267438409</v>
      </c>
      <c r="Q27">
        <f>-471.274601943387 -75.8918464004055 -367.56541798851</f>
        <v>-914.73186633230239</v>
      </c>
      <c r="R27" t="s">
        <v>559</v>
      </c>
      <c r="S27" t="s">
        <v>560</v>
      </c>
      <c r="T27" t="s">
        <v>561</v>
      </c>
      <c r="U27" t="s">
        <v>562</v>
      </c>
      <c r="V27" t="s">
        <v>563</v>
      </c>
      <c r="W27" t="s">
        <v>564</v>
      </c>
      <c r="X27" t="s">
        <v>565</v>
      </c>
      <c r="Y27" t="s">
        <v>566</v>
      </c>
    </row>
    <row r="28" spans="1:25" x14ac:dyDescent="0.3">
      <c r="A28">
        <v>1350</v>
      </c>
      <c r="B28" t="s">
        <v>567</v>
      </c>
      <c r="C28" t="s">
        <v>568</v>
      </c>
      <c r="D28" t="s">
        <v>569</v>
      </c>
      <c r="E28" t="s">
        <v>570</v>
      </c>
      <c r="F28" t="s">
        <v>571</v>
      </c>
      <c r="G28" t="s">
        <v>572</v>
      </c>
      <c r="H28" t="s">
        <v>573</v>
      </c>
      <c r="I28" t="s">
        <v>574</v>
      </c>
      <c r="J28" t="s">
        <v>575</v>
      </c>
      <c r="K28" t="s">
        <v>576</v>
      </c>
      <c r="L28" t="s">
        <v>577</v>
      </c>
      <c r="M28" t="s">
        <v>578</v>
      </c>
      <c r="N28" t="s">
        <v>579</v>
      </c>
      <c r="O28">
        <f>-722.904691403371 -14.929593773596 -736.142600475544</f>
        <v>-1473.9768856525111</v>
      </c>
      <c r="P28">
        <f>-718.364242873111 -12.3828451315162 -419.663509363581</f>
        <v>-1150.4105973682083</v>
      </c>
      <c r="Q28">
        <f>-471.423935094656 -75.0662409846668 -367.382176927858</f>
        <v>-913.87235300718066</v>
      </c>
      <c r="R28" t="s">
        <v>580</v>
      </c>
      <c r="S28" t="s">
        <v>581</v>
      </c>
      <c r="T28" t="s">
        <v>582</v>
      </c>
      <c r="U28" t="s">
        <v>583</v>
      </c>
      <c r="V28" t="s">
        <v>584</v>
      </c>
      <c r="W28" t="s">
        <v>585</v>
      </c>
      <c r="X28" t="s">
        <v>586</v>
      </c>
      <c r="Y28" t="s">
        <v>587</v>
      </c>
    </row>
    <row r="29" spans="1:25" x14ac:dyDescent="0.3">
      <c r="A29">
        <v>1400</v>
      </c>
      <c r="B29" t="s">
        <v>588</v>
      </c>
      <c r="C29" t="s">
        <v>589</v>
      </c>
      <c r="D29" t="s">
        <v>590</v>
      </c>
      <c r="E29" t="s">
        <v>591</v>
      </c>
      <c r="F29" t="s">
        <v>592</v>
      </c>
      <c r="G29" t="s">
        <v>593</v>
      </c>
      <c r="H29" t="s">
        <v>594</v>
      </c>
      <c r="I29" t="s">
        <v>595</v>
      </c>
      <c r="J29" t="s">
        <v>596</v>
      </c>
      <c r="K29" t="s">
        <v>597</v>
      </c>
      <c r="L29" t="s">
        <v>598</v>
      </c>
      <c r="M29" t="s">
        <v>599</v>
      </c>
      <c r="N29" t="s">
        <v>600</v>
      </c>
      <c r="O29">
        <f>-723.248102391172 -15.0328099461242 -735.880297719633</f>
        <v>-1474.1612100569291</v>
      </c>
      <c r="P29">
        <f>-718.565415520404 -12.1872271110331 -419.40577455675</f>
        <v>-1150.1584171881871</v>
      </c>
      <c r="Q29">
        <f>-471.476747743598 -74.3752267782052 -367.233844494748</f>
        <v>-913.08581901655111</v>
      </c>
      <c r="R29" t="s">
        <v>601</v>
      </c>
      <c r="S29" t="s">
        <v>602</v>
      </c>
      <c r="T29" t="s">
        <v>603</v>
      </c>
      <c r="U29" t="s">
        <v>604</v>
      </c>
      <c r="V29" t="s">
        <v>605</v>
      </c>
      <c r="W29" t="s">
        <v>606</v>
      </c>
      <c r="X29" t="s">
        <v>607</v>
      </c>
      <c r="Y29" t="s">
        <v>608</v>
      </c>
    </row>
    <row r="30" spans="1:25" x14ac:dyDescent="0.3">
      <c r="A30">
        <v>1450</v>
      </c>
      <c r="B30" t="s">
        <v>609</v>
      </c>
      <c r="C30" t="s">
        <v>610</v>
      </c>
      <c r="D30" t="s">
        <v>611</v>
      </c>
      <c r="E30" t="s">
        <v>612</v>
      </c>
      <c r="F30" t="s">
        <v>613</v>
      </c>
      <c r="G30" t="s">
        <v>614</v>
      </c>
      <c r="H30" t="s">
        <v>615</v>
      </c>
      <c r="I30" t="s">
        <v>616</v>
      </c>
      <c r="J30" t="s">
        <v>617</v>
      </c>
      <c r="K30" t="s">
        <v>618</v>
      </c>
      <c r="L30" t="s">
        <v>619</v>
      </c>
      <c r="M30" t="s">
        <v>620</v>
      </c>
      <c r="N30" t="s">
        <v>621</v>
      </c>
      <c r="O30">
        <f>-723.77294900238 -15.5838787236275 -735.279874359845</f>
        <v>-1474.6367020858524</v>
      </c>
      <c r="P30">
        <f>-718.897230617383 -12.215565855349 -418.813372160905</f>
        <v>-1149.926168633637</v>
      </c>
      <c r="Q30">
        <f>-471.559570309546 -73.4105098506186 -366.647260977576</f>
        <v>-911.6173411377406</v>
      </c>
      <c r="R30" t="s">
        <v>622</v>
      </c>
      <c r="S30" t="s">
        <v>623</v>
      </c>
      <c r="T30" t="s">
        <v>624</v>
      </c>
      <c r="U30" t="s">
        <v>625</v>
      </c>
      <c r="V30" t="s">
        <v>626</v>
      </c>
      <c r="W30" t="s">
        <v>627</v>
      </c>
      <c r="X30" t="s">
        <v>628</v>
      </c>
      <c r="Y30" t="s">
        <v>629</v>
      </c>
    </row>
    <row r="31" spans="1:25" x14ac:dyDescent="0.3">
      <c r="A31">
        <v>1500</v>
      </c>
      <c r="B31" t="s">
        <v>630</v>
      </c>
      <c r="C31" t="s">
        <v>631</v>
      </c>
      <c r="D31" t="s">
        <v>632</v>
      </c>
      <c r="E31" t="s">
        <v>633</v>
      </c>
      <c r="F31" t="s">
        <v>634</v>
      </c>
      <c r="G31" t="s">
        <v>635</v>
      </c>
      <c r="H31" t="s">
        <v>636</v>
      </c>
      <c r="I31" t="s">
        <v>637</v>
      </c>
      <c r="J31" t="s">
        <v>638</v>
      </c>
      <c r="K31" t="s">
        <v>639</v>
      </c>
      <c r="L31" t="s">
        <v>640</v>
      </c>
      <c r="M31" t="s">
        <v>641</v>
      </c>
      <c r="N31" t="s">
        <v>642</v>
      </c>
      <c r="O31">
        <f>-724.074426041287 -15.6629402070785 -735.018160375389</f>
        <v>-1474.7555266237546</v>
      </c>
      <c r="P31">
        <f>-718.979817382968 -12.0508559696957 -418.557804691363</f>
        <v>-1149.5884780440267</v>
      </c>
      <c r="Q31">
        <f>-471.580664085893 -72.9417120202552 -366.327346081927</f>
        <v>-910.84972218807513</v>
      </c>
      <c r="R31" t="s">
        <v>643</v>
      </c>
      <c r="S31" t="s">
        <v>644</v>
      </c>
      <c r="T31" t="s">
        <v>645</v>
      </c>
      <c r="U31" t="s">
        <v>646</v>
      </c>
      <c r="V31" t="s">
        <v>647</v>
      </c>
      <c r="W31" t="s">
        <v>648</v>
      </c>
      <c r="X31" t="s">
        <v>649</v>
      </c>
      <c r="Y31" t="s">
        <v>650</v>
      </c>
    </row>
    <row r="32" spans="1:25" x14ac:dyDescent="0.3">
      <c r="A32">
        <v>1550</v>
      </c>
      <c r="B32" t="s">
        <v>651</v>
      </c>
      <c r="C32" t="s">
        <v>652</v>
      </c>
      <c r="D32" t="s">
        <v>653</v>
      </c>
      <c r="E32" t="s">
        <v>654</v>
      </c>
      <c r="F32" t="s">
        <v>655</v>
      </c>
      <c r="G32" t="s">
        <v>656</v>
      </c>
      <c r="H32" t="s">
        <v>657</v>
      </c>
      <c r="I32" t="s">
        <v>658</v>
      </c>
      <c r="J32" t="s">
        <v>659</v>
      </c>
      <c r="K32" t="s">
        <v>660</v>
      </c>
      <c r="L32" t="s">
        <v>661</v>
      </c>
      <c r="M32" t="s">
        <v>662</v>
      </c>
      <c r="N32" t="s">
        <v>663</v>
      </c>
      <c r="O32">
        <f>-724.769544409626 -15.4599940973287 -734.512300204029</f>
        <v>-1474.7418387109838</v>
      </c>
      <c r="P32">
        <f>-719.11179192649 -11.340967056585 -418.06774765914</f>
        <v>-1148.520506642215</v>
      </c>
      <c r="Q32">
        <f>-471.663432537745 -72.0337703426114 -365.83968917802</f>
        <v>-909.53689205837645</v>
      </c>
      <c r="R32" t="s">
        <v>664</v>
      </c>
      <c r="S32" t="s">
        <v>665</v>
      </c>
      <c r="T32" t="s">
        <v>666</v>
      </c>
      <c r="U32" t="s">
        <v>667</v>
      </c>
      <c r="V32" t="s">
        <v>668</v>
      </c>
      <c r="W32" t="s">
        <v>669</v>
      </c>
      <c r="X32" t="s">
        <v>670</v>
      </c>
      <c r="Y32" t="s">
        <v>671</v>
      </c>
    </row>
    <row r="33" spans="1:25" x14ac:dyDescent="0.3">
      <c r="A33">
        <v>1600</v>
      </c>
      <c r="B33" t="s">
        <v>672</v>
      </c>
      <c r="C33" t="s">
        <v>673</v>
      </c>
      <c r="D33" t="s">
        <v>674</v>
      </c>
      <c r="E33" t="s">
        <v>675</v>
      </c>
      <c r="F33" t="s">
        <v>676</v>
      </c>
      <c r="G33" t="s">
        <v>677</v>
      </c>
      <c r="H33" t="s">
        <v>678</v>
      </c>
      <c r="I33" t="s">
        <v>679</v>
      </c>
      <c r="J33" t="s">
        <v>680</v>
      </c>
      <c r="K33" t="s">
        <v>681</v>
      </c>
      <c r="L33" t="s">
        <v>682</v>
      </c>
      <c r="M33" t="s">
        <v>683</v>
      </c>
      <c r="N33" t="s">
        <v>684</v>
      </c>
      <c r="O33">
        <f>-725.192260402748 -15.2437191552883 -734.284349295756</f>
        <v>-1474.7203288537924</v>
      </c>
      <c r="P33">
        <f>-719.269240124378 -10.7525432804898 -417.849720339216</f>
        <v>-1147.8715037440838</v>
      </c>
      <c r="Q33">
        <f>-471.826744014434 -71.5577630701164 -365.725132435179</f>
        <v>-909.1096395197294</v>
      </c>
      <c r="R33" t="s">
        <v>685</v>
      </c>
      <c r="S33" t="s">
        <v>686</v>
      </c>
      <c r="T33" t="s">
        <v>687</v>
      </c>
      <c r="U33" t="s">
        <v>688</v>
      </c>
      <c r="V33" t="s">
        <v>689</v>
      </c>
      <c r="W33" t="s">
        <v>690</v>
      </c>
      <c r="X33" t="s">
        <v>691</v>
      </c>
      <c r="Y33" t="s">
        <v>692</v>
      </c>
    </row>
    <row r="34" spans="1:25" x14ac:dyDescent="0.3">
      <c r="A34">
        <v>1650</v>
      </c>
      <c r="B34" t="s">
        <v>693</v>
      </c>
      <c r="C34" t="s">
        <v>694</v>
      </c>
      <c r="D34" t="s">
        <v>695</v>
      </c>
      <c r="E34" t="s">
        <v>696</v>
      </c>
      <c r="F34" t="s">
        <v>697</v>
      </c>
      <c r="G34" t="s">
        <v>698</v>
      </c>
      <c r="H34" t="s">
        <v>699</v>
      </c>
      <c r="I34" t="s">
        <v>700</v>
      </c>
      <c r="J34" t="s">
        <v>701</v>
      </c>
      <c r="K34" t="s">
        <v>702</v>
      </c>
      <c r="L34" t="s">
        <v>703</v>
      </c>
      <c r="M34" t="s">
        <v>704</v>
      </c>
      <c r="N34" t="s">
        <v>705</v>
      </c>
      <c r="O34">
        <f>-726.125630584434 -14.7675585466036 -733.773901436352</f>
        <v>-1474.6670905673896</v>
      </c>
      <c r="P34">
        <f>-719.653022403293 -9.78259302598735 -417.357335372813</f>
        <v>-1146.7929508020934</v>
      </c>
      <c r="Q34">
        <f>-472.312107189564 -71.2207984150325 -365.49354025952</f>
        <v>-909.02644586411657</v>
      </c>
      <c r="R34" t="s">
        <v>706</v>
      </c>
      <c r="S34" t="s">
        <v>707</v>
      </c>
      <c r="T34" t="s">
        <v>708</v>
      </c>
      <c r="U34" t="s">
        <v>709</v>
      </c>
      <c r="V34" t="s">
        <v>710</v>
      </c>
      <c r="W34" t="s">
        <v>711</v>
      </c>
      <c r="X34" t="s">
        <v>712</v>
      </c>
      <c r="Y34" t="s">
        <v>713</v>
      </c>
    </row>
    <row r="35" spans="1:25" x14ac:dyDescent="0.3">
      <c r="A35">
        <v>1700</v>
      </c>
      <c r="B35" t="s">
        <v>714</v>
      </c>
      <c r="C35" t="s">
        <v>715</v>
      </c>
      <c r="D35" t="s">
        <v>716</v>
      </c>
      <c r="E35" t="s">
        <v>717</v>
      </c>
      <c r="F35" t="s">
        <v>718</v>
      </c>
      <c r="G35" t="s">
        <v>719</v>
      </c>
      <c r="H35" t="s">
        <v>720</v>
      </c>
      <c r="I35" t="s">
        <v>721</v>
      </c>
      <c r="J35" t="s">
        <v>722</v>
      </c>
      <c r="K35" t="s">
        <v>723</v>
      </c>
      <c r="L35" t="s">
        <v>724</v>
      </c>
      <c r="M35" t="s">
        <v>725</v>
      </c>
      <c r="N35" t="s">
        <v>726</v>
      </c>
      <c r="O35">
        <f>-726.422030791681 -14.5709186817803 -733.484640240302</f>
        <v>-1474.4775897137633</v>
      </c>
      <c r="P35">
        <f>-719.679995239663 -9.51213899274671 -417.074892081885</f>
        <v>-1146.2670263142948</v>
      </c>
      <c r="Q35">
        <f>-472.414139758154 -71.3622918513004 -365.342713597668</f>
        <v>-909.11914520712253</v>
      </c>
      <c r="R35" t="s">
        <v>727</v>
      </c>
      <c r="S35" t="s">
        <v>728</v>
      </c>
      <c r="T35" t="s">
        <v>729</v>
      </c>
      <c r="U35" t="s">
        <v>730</v>
      </c>
      <c r="V35" t="s">
        <v>731</v>
      </c>
      <c r="W35" t="s">
        <v>732</v>
      </c>
      <c r="X35" t="s">
        <v>733</v>
      </c>
      <c r="Y35" t="s">
        <v>734</v>
      </c>
    </row>
    <row r="36" spans="1:25" x14ac:dyDescent="0.3">
      <c r="A36">
        <v>1750</v>
      </c>
      <c r="B36" t="s">
        <v>735</v>
      </c>
      <c r="C36" t="s">
        <v>736</v>
      </c>
      <c r="D36" t="s">
        <v>737</v>
      </c>
      <c r="E36" t="s">
        <v>738</v>
      </c>
      <c r="F36" t="s">
        <v>739</v>
      </c>
      <c r="G36" t="s">
        <v>740</v>
      </c>
      <c r="H36" t="s">
        <v>741</v>
      </c>
      <c r="I36" t="s">
        <v>742</v>
      </c>
      <c r="J36" t="s">
        <v>743</v>
      </c>
      <c r="K36" t="s">
        <v>744</v>
      </c>
      <c r="L36" t="s">
        <v>745</v>
      </c>
      <c r="M36" t="s">
        <v>746</v>
      </c>
      <c r="N36" t="s">
        <v>747</v>
      </c>
      <c r="O36">
        <f>-727.320130356458 -14.4002985068057 -732.807664227097</f>
        <v>-1474.5280930903607</v>
      </c>
      <c r="P36">
        <f>-720.238818122858 -9.19551791870776 -416.407715107608</f>
        <v>-1145.8420511491738</v>
      </c>
      <c r="Q36">
        <f>-473.141220187686 -71.9096731319996 -364.91235420624</f>
        <v>-909.96324752592557</v>
      </c>
      <c r="R36" t="s">
        <v>748</v>
      </c>
      <c r="S36" t="s">
        <v>749</v>
      </c>
      <c r="T36" t="s">
        <v>750</v>
      </c>
      <c r="U36" t="s">
        <v>751</v>
      </c>
      <c r="V36" t="s">
        <v>752</v>
      </c>
      <c r="W36" t="s">
        <v>753</v>
      </c>
      <c r="X36" t="s">
        <v>754</v>
      </c>
      <c r="Y36" t="s">
        <v>755</v>
      </c>
    </row>
    <row r="37" spans="1:25" x14ac:dyDescent="0.3">
      <c r="A37">
        <v>1800</v>
      </c>
      <c r="B37" t="s">
        <v>756</v>
      </c>
      <c r="C37" t="s">
        <v>757</v>
      </c>
      <c r="D37" t="s">
        <v>758</v>
      </c>
      <c r="E37" t="s">
        <v>759</v>
      </c>
      <c r="F37" t="s">
        <v>760</v>
      </c>
      <c r="G37" t="s">
        <v>761</v>
      </c>
      <c r="H37" t="s">
        <v>762</v>
      </c>
      <c r="I37" t="s">
        <v>763</v>
      </c>
      <c r="J37" t="s">
        <v>764</v>
      </c>
      <c r="K37" t="s">
        <v>765</v>
      </c>
      <c r="L37" t="s">
        <v>766</v>
      </c>
      <c r="M37" t="s">
        <v>767</v>
      </c>
      <c r="N37" t="s">
        <v>768</v>
      </c>
      <c r="O37">
        <f>-727.816656147156 -14.4253644607727 -732.479362326327</f>
        <v>-1474.7213829342556</v>
      </c>
      <c r="P37">
        <f>-720.660625258925 -9.09916341790563 -416.083033304457</f>
        <v>-1145.8428219812877</v>
      </c>
      <c r="Q37">
        <f>-473.672327195215 -72.2794471806399 -364.633198004427</f>
        <v>-910.5849723802819</v>
      </c>
      <c r="R37" t="s">
        <v>769</v>
      </c>
      <c r="S37" t="s">
        <v>770</v>
      </c>
      <c r="T37" t="s">
        <v>771</v>
      </c>
      <c r="U37" t="s">
        <v>772</v>
      </c>
      <c r="V37" t="s">
        <v>773</v>
      </c>
      <c r="W37" t="s">
        <v>774</v>
      </c>
      <c r="X37" t="s">
        <v>775</v>
      </c>
      <c r="Y37" t="s">
        <v>776</v>
      </c>
    </row>
    <row r="38" spans="1:25" x14ac:dyDescent="0.3">
      <c r="A38">
        <v>1850</v>
      </c>
      <c r="B38" t="s">
        <v>777</v>
      </c>
      <c r="C38" t="s">
        <v>778</v>
      </c>
      <c r="D38" t="s">
        <v>779</v>
      </c>
      <c r="E38" t="s">
        <v>780</v>
      </c>
      <c r="F38" t="s">
        <v>781</v>
      </c>
      <c r="G38" t="s">
        <v>782</v>
      </c>
      <c r="H38" t="s">
        <v>783</v>
      </c>
      <c r="I38" t="s">
        <v>784</v>
      </c>
      <c r="J38" t="s">
        <v>785</v>
      </c>
      <c r="K38" t="s">
        <v>786</v>
      </c>
      <c r="L38" t="s">
        <v>787</v>
      </c>
      <c r="M38" t="s">
        <v>788</v>
      </c>
      <c r="N38" t="s">
        <v>789</v>
      </c>
      <c r="O38">
        <f>-728.9474739098 -14.6942091569251 -732.003207979217</f>
        <v>-1475.6448910459421</v>
      </c>
      <c r="P38">
        <f>-721.562392535355 -9.02967034779363 -415.618132692843</f>
        <v>-1146.2101955759917</v>
      </c>
      <c r="Q38">
        <f>-474.812149409524 -73.0086290320376 -364.013168978802</f>
        <v>-911.83394742036364</v>
      </c>
      <c r="R38" t="s">
        <v>790</v>
      </c>
      <c r="S38" t="s">
        <v>791</v>
      </c>
      <c r="T38" t="s">
        <v>792</v>
      </c>
      <c r="U38" t="s">
        <v>793</v>
      </c>
      <c r="V38" t="s">
        <v>794</v>
      </c>
      <c r="W38" t="s">
        <v>795</v>
      </c>
      <c r="X38" t="s">
        <v>796</v>
      </c>
      <c r="Y38" t="s">
        <v>797</v>
      </c>
    </row>
    <row r="39" spans="1:25" x14ac:dyDescent="0.3">
      <c r="A39">
        <v>1900</v>
      </c>
      <c r="B39" t="s">
        <v>798</v>
      </c>
      <c r="C39" t="s">
        <v>799</v>
      </c>
      <c r="D39" t="s">
        <v>800</v>
      </c>
      <c r="E39" t="s">
        <v>801</v>
      </c>
      <c r="F39" t="s">
        <v>802</v>
      </c>
      <c r="G39" t="s">
        <v>803</v>
      </c>
      <c r="H39" t="s">
        <v>804</v>
      </c>
      <c r="I39" t="s">
        <v>805</v>
      </c>
      <c r="J39" t="s">
        <v>806</v>
      </c>
      <c r="K39" t="s">
        <v>807</v>
      </c>
      <c r="L39" t="s">
        <v>808</v>
      </c>
      <c r="M39" t="s">
        <v>809</v>
      </c>
      <c r="N39" t="s">
        <v>810</v>
      </c>
      <c r="O39">
        <f>-729.374682752305 -14.7957482495153 -731.863498110011</f>
        <v>-1476.0339291118314</v>
      </c>
      <c r="P39">
        <f>-721.915739680131 -8.90443263875409 -415.484340595598</f>
        <v>-1146.304512914483</v>
      </c>
      <c r="Q39">
        <f>-475.290637522988 -73.2668394834852 -363.758123910531</f>
        <v>-912.31560091700419</v>
      </c>
      <c r="R39" t="s">
        <v>811</v>
      </c>
      <c r="S39" t="s">
        <v>812</v>
      </c>
      <c r="T39" t="s">
        <v>813</v>
      </c>
      <c r="U39" t="s">
        <v>814</v>
      </c>
      <c r="V39" t="s">
        <v>815</v>
      </c>
      <c r="W39" t="s">
        <v>816</v>
      </c>
      <c r="X39" t="s">
        <v>817</v>
      </c>
      <c r="Y39" t="s">
        <v>818</v>
      </c>
    </row>
    <row r="40" spans="1:25" x14ac:dyDescent="0.3">
      <c r="A40">
        <v>1950</v>
      </c>
      <c r="B40" t="s">
        <v>819</v>
      </c>
      <c r="C40" t="s">
        <v>820</v>
      </c>
      <c r="D40" t="s">
        <v>821</v>
      </c>
      <c r="E40" t="s">
        <v>822</v>
      </c>
      <c r="F40" t="s">
        <v>823</v>
      </c>
      <c r="G40" t="s">
        <v>824</v>
      </c>
      <c r="H40" t="s">
        <v>825</v>
      </c>
      <c r="I40" t="s">
        <v>826</v>
      </c>
      <c r="J40" t="s">
        <v>827</v>
      </c>
      <c r="K40" t="s">
        <v>828</v>
      </c>
      <c r="L40" t="s">
        <v>829</v>
      </c>
      <c r="M40" t="s">
        <v>830</v>
      </c>
      <c r="N40" t="s">
        <v>831</v>
      </c>
      <c r="O40">
        <f>-730.256919923083 -14.8000209243064 -731.849427251041</f>
        <v>-1476.9063680984304</v>
      </c>
      <c r="P40">
        <f>-722.61645038733 -8.57869648998417 -415.480759167543</f>
        <v>-1146.6759060448571</v>
      </c>
      <c r="Q40">
        <f>-476.160917773233 -73.5834228942497 -363.749431321308</f>
        <v>-913.49377198879074</v>
      </c>
      <c r="R40" t="s">
        <v>832</v>
      </c>
      <c r="S40" t="s">
        <v>833</v>
      </c>
      <c r="T40" t="s">
        <v>834</v>
      </c>
      <c r="U40" t="s">
        <v>835</v>
      </c>
      <c r="V40" t="s">
        <v>836</v>
      </c>
      <c r="W40" t="s">
        <v>837</v>
      </c>
      <c r="X40" t="s">
        <v>838</v>
      </c>
      <c r="Y40" t="s">
        <v>839</v>
      </c>
    </row>
    <row r="41" spans="1:25" x14ac:dyDescent="0.3">
      <c r="A41">
        <v>2000</v>
      </c>
      <c r="B41" t="s">
        <v>840</v>
      </c>
      <c r="C41" t="s">
        <v>841</v>
      </c>
      <c r="D41" t="s">
        <v>842</v>
      </c>
      <c r="E41" t="s">
        <v>843</v>
      </c>
      <c r="F41" t="s">
        <v>844</v>
      </c>
      <c r="G41" t="s">
        <v>845</v>
      </c>
      <c r="H41" t="s">
        <v>846</v>
      </c>
      <c r="I41" t="s">
        <v>847</v>
      </c>
      <c r="J41" t="s">
        <v>848</v>
      </c>
      <c r="K41" t="s">
        <v>849</v>
      </c>
      <c r="L41" t="s">
        <v>850</v>
      </c>
      <c r="M41" t="s">
        <v>851</v>
      </c>
      <c r="N41" t="s">
        <v>852</v>
      </c>
      <c r="O41">
        <f>-730.731580899294 -14.5939262621619 -731.973615912981</f>
        <v>-1477.2991230744369</v>
      </c>
      <c r="P41">
        <f>-722.983190287428 -8.31460274434494 -415.608790752212</f>
        <v>-1146.9065837839848</v>
      </c>
      <c r="Q41">
        <f>-476.614769190371 -73.664607147166 -363.897757117305</f>
        <v>-914.17713345484196</v>
      </c>
      <c r="R41" t="s">
        <v>853</v>
      </c>
      <c r="S41" t="s">
        <v>854</v>
      </c>
      <c r="T41" t="s">
        <v>855</v>
      </c>
      <c r="U41" t="s">
        <v>856</v>
      </c>
      <c r="V41" t="s">
        <v>857</v>
      </c>
      <c r="W41" t="s">
        <v>858</v>
      </c>
      <c r="X41" t="s">
        <v>859</v>
      </c>
      <c r="Y41" t="s">
        <v>860</v>
      </c>
    </row>
    <row r="42" spans="1:25" x14ac:dyDescent="0.3">
      <c r="A42">
        <v>2050</v>
      </c>
      <c r="B42" t="s">
        <v>861</v>
      </c>
      <c r="C42" t="s">
        <v>862</v>
      </c>
      <c r="D42" t="s">
        <v>863</v>
      </c>
      <c r="E42" t="s">
        <v>864</v>
      </c>
      <c r="F42" t="s">
        <v>865</v>
      </c>
      <c r="G42" t="s">
        <v>866</v>
      </c>
      <c r="H42" t="s">
        <v>867</v>
      </c>
      <c r="I42" t="s">
        <v>868</v>
      </c>
      <c r="J42" t="s">
        <v>869</v>
      </c>
      <c r="K42" t="s">
        <v>870</v>
      </c>
      <c r="L42" t="s">
        <v>871</v>
      </c>
      <c r="M42" t="s">
        <v>872</v>
      </c>
      <c r="N42" t="s">
        <v>873</v>
      </c>
      <c r="O42">
        <f>-731.937624428065 -14.0063678695374 -732.221824597391</f>
        <v>-1478.1658168949934</v>
      </c>
      <c r="P42">
        <f>-724.378156665208 -7.91899116773538 -415.848522325425</f>
        <v>-1148.1456701583684</v>
      </c>
      <c r="Q42">
        <f>-478.200982199818 -73.9282377756613 -364.064251683933</f>
        <v>-916.19347165941224</v>
      </c>
      <c r="R42" t="s">
        <v>874</v>
      </c>
      <c r="S42" t="s">
        <v>875</v>
      </c>
      <c r="T42" t="s">
        <v>876</v>
      </c>
      <c r="U42" t="s">
        <v>877</v>
      </c>
      <c r="V42" t="s">
        <v>878</v>
      </c>
      <c r="W42" t="s">
        <v>879</v>
      </c>
      <c r="X42" t="s">
        <v>880</v>
      </c>
      <c r="Y42" t="s">
        <v>881</v>
      </c>
    </row>
    <row r="43" spans="1:25" x14ac:dyDescent="0.3">
      <c r="A43">
        <v>2100</v>
      </c>
      <c r="B43" t="s">
        <v>882</v>
      </c>
      <c r="C43" t="s">
        <v>883</v>
      </c>
      <c r="D43" t="s">
        <v>884</v>
      </c>
      <c r="E43" t="s">
        <v>885</v>
      </c>
      <c r="F43" t="s">
        <v>886</v>
      </c>
      <c r="G43" t="s">
        <v>887</v>
      </c>
      <c r="H43" t="s">
        <v>888</v>
      </c>
      <c r="I43" t="s">
        <v>889</v>
      </c>
      <c r="J43" t="s">
        <v>890</v>
      </c>
      <c r="K43" t="s">
        <v>891</v>
      </c>
      <c r="L43" t="s">
        <v>892</v>
      </c>
      <c r="M43" t="s">
        <v>893</v>
      </c>
      <c r="N43" t="s">
        <v>894</v>
      </c>
      <c r="O43">
        <f>-732.409215744053 -13.788242806032 -732.349957463114</f>
        <v>-1478.5474160131989</v>
      </c>
      <c r="P43">
        <f>-725.049186483344 -7.87100503638248 -415.968831740157</f>
        <v>-1148.8890232598835</v>
      </c>
      <c r="Q43">
        <f>-478.967985737103 -74.1875196545097 -364.12104636953</f>
        <v>-917.27655176114263</v>
      </c>
      <c r="R43" t="s">
        <v>895</v>
      </c>
      <c r="S43" t="s">
        <v>896</v>
      </c>
      <c r="T43" t="s">
        <v>897</v>
      </c>
      <c r="U43" t="s">
        <v>898</v>
      </c>
      <c r="V43" t="s">
        <v>899</v>
      </c>
      <c r="W43" t="s">
        <v>900</v>
      </c>
      <c r="X43" t="s">
        <v>901</v>
      </c>
      <c r="Y43" t="s">
        <v>902</v>
      </c>
    </row>
    <row r="44" spans="1:25" x14ac:dyDescent="0.3">
      <c r="A44">
        <v>2150</v>
      </c>
      <c r="B44" t="s">
        <v>903</v>
      </c>
      <c r="C44" t="s">
        <v>904</v>
      </c>
      <c r="D44" t="s">
        <v>905</v>
      </c>
      <c r="E44" t="s">
        <v>906</v>
      </c>
      <c r="F44" t="s">
        <v>907</v>
      </c>
      <c r="G44" t="s">
        <v>908</v>
      </c>
      <c r="H44" t="s">
        <v>909</v>
      </c>
      <c r="I44" t="s">
        <v>910</v>
      </c>
      <c r="J44" t="s">
        <v>911</v>
      </c>
      <c r="K44" t="s">
        <v>912</v>
      </c>
      <c r="L44" t="s">
        <v>913</v>
      </c>
      <c r="M44" t="s">
        <v>914</v>
      </c>
      <c r="N44" t="s">
        <v>915</v>
      </c>
      <c r="O44">
        <f>-732.898405899594 -13.6909446739708 -732.532317417984</f>
        <v>-1479.1216679915487</v>
      </c>
      <c r="P44">
        <f>-725.858064677671 -7.99729011631575 -416.139816632939</f>
        <v>-1149.9951714269257</v>
      </c>
      <c r="Q44">
        <f>-479.935948038307 -74.7031127170042 -364.037004806431</f>
        <v>-918.67606556174223</v>
      </c>
      <c r="R44" t="s">
        <v>916</v>
      </c>
      <c r="S44" t="s">
        <v>917</v>
      </c>
      <c r="T44" t="s">
        <v>918</v>
      </c>
      <c r="U44" t="s">
        <v>919</v>
      </c>
      <c r="V44" t="s">
        <v>920</v>
      </c>
      <c r="W44" t="s">
        <v>921</v>
      </c>
      <c r="X44" t="s">
        <v>922</v>
      </c>
      <c r="Y44" t="s">
        <v>923</v>
      </c>
    </row>
    <row r="45" spans="1:25" x14ac:dyDescent="0.3">
      <c r="A45">
        <v>2200</v>
      </c>
      <c r="B45" t="s">
        <v>924</v>
      </c>
      <c r="C45" t="s">
        <v>925</v>
      </c>
      <c r="D45" t="s">
        <v>926</v>
      </c>
      <c r="E45" t="s">
        <v>927</v>
      </c>
      <c r="F45" t="s">
        <v>928</v>
      </c>
      <c r="G45" t="s">
        <v>929</v>
      </c>
      <c r="H45" t="s">
        <v>930</v>
      </c>
      <c r="I45" t="s">
        <v>931</v>
      </c>
      <c r="J45" t="s">
        <v>932</v>
      </c>
      <c r="K45" t="s">
        <v>933</v>
      </c>
      <c r="L45" t="s">
        <v>934</v>
      </c>
      <c r="M45" t="s">
        <v>935</v>
      </c>
      <c r="N45" t="s">
        <v>936</v>
      </c>
      <c r="O45">
        <f>-732.973527682508 -13.8526080281574 -732.575840192729</f>
        <v>-1479.4019759033945</v>
      </c>
      <c r="P45">
        <f>-726.035335559068 -8.01374708926573 -416.18368141658</f>
        <v>-1150.2327640649137</v>
      </c>
      <c r="Q45">
        <f>-480.137080551147 -74.708965754566 -363.95505898307</f>
        <v>-918.80110528878299</v>
      </c>
      <c r="R45" t="s">
        <v>937</v>
      </c>
      <c r="S45" t="s">
        <v>938</v>
      </c>
      <c r="T45" t="s">
        <v>939</v>
      </c>
      <c r="U45" t="s">
        <v>940</v>
      </c>
      <c r="V45" t="s">
        <v>941</v>
      </c>
      <c r="W45" t="s">
        <v>942</v>
      </c>
      <c r="X45" t="s">
        <v>943</v>
      </c>
      <c r="Y45" t="s">
        <v>944</v>
      </c>
    </row>
    <row r="46" spans="1:25" x14ac:dyDescent="0.3">
      <c r="A46">
        <v>2250</v>
      </c>
      <c r="B46" t="s">
        <v>945</v>
      </c>
      <c r="C46" t="s">
        <v>946</v>
      </c>
      <c r="D46" t="s">
        <v>947</v>
      </c>
      <c r="E46" t="s">
        <v>948</v>
      </c>
      <c r="F46" t="s">
        <v>949</v>
      </c>
      <c r="G46" t="s">
        <v>950</v>
      </c>
      <c r="H46" t="s">
        <v>951</v>
      </c>
      <c r="I46" t="s">
        <v>952</v>
      </c>
      <c r="J46" t="s">
        <v>953</v>
      </c>
      <c r="K46" t="s">
        <v>954</v>
      </c>
      <c r="L46" t="s">
        <v>955</v>
      </c>
      <c r="M46" t="s">
        <v>956</v>
      </c>
      <c r="N46" t="s">
        <v>957</v>
      </c>
      <c r="O46">
        <f>-732.702862974271 -14.3639168764043 -732.631829211278</f>
        <v>-1479.6986090619534</v>
      </c>
      <c r="P46">
        <f>-725.729160816299 -8.20228033588387 -416.246591647414</f>
        <v>-1150.1780327995968</v>
      </c>
      <c r="Q46">
        <f>-479.80110071731 -74.5852639049283 -363.761011185659</f>
        <v>-918.14737580789733</v>
      </c>
      <c r="R46" t="s">
        <v>958</v>
      </c>
      <c r="S46" t="s">
        <v>959</v>
      </c>
      <c r="T46" t="s">
        <v>960</v>
      </c>
      <c r="U46" t="s">
        <v>961</v>
      </c>
      <c r="V46" t="s">
        <v>962</v>
      </c>
      <c r="W46" t="s">
        <v>963</v>
      </c>
      <c r="X46" t="s">
        <v>964</v>
      </c>
      <c r="Y46" t="s">
        <v>965</v>
      </c>
    </row>
    <row r="47" spans="1:25" x14ac:dyDescent="0.3">
      <c r="A47">
        <v>2300</v>
      </c>
      <c r="B47" t="s">
        <v>966</v>
      </c>
      <c r="C47" t="s">
        <v>967</v>
      </c>
      <c r="D47" t="s">
        <v>968</v>
      </c>
      <c r="E47" t="s">
        <v>969</v>
      </c>
      <c r="F47" t="s">
        <v>970</v>
      </c>
      <c r="G47" t="s">
        <v>971</v>
      </c>
      <c r="H47" t="s">
        <v>972</v>
      </c>
      <c r="I47" t="s">
        <v>973</v>
      </c>
      <c r="J47" t="s">
        <v>974</v>
      </c>
      <c r="K47" t="s">
        <v>975</v>
      </c>
      <c r="L47" t="s">
        <v>976</v>
      </c>
      <c r="M47" t="s">
        <v>977</v>
      </c>
      <c r="N47" t="s">
        <v>978</v>
      </c>
      <c r="O47">
        <f>-732.544024763828 -14.5415271537427 -732.670064444509</f>
        <v>-1479.7556163620798</v>
      </c>
      <c r="P47">
        <f>-725.428343679446 -8.29261289271722 -416.289719357089</f>
        <v>-1150.0106759292521</v>
      </c>
      <c r="Q47">
        <f>-479.443553172538 -74.4416831702497 -363.774688463572</f>
        <v>-917.65992480635964</v>
      </c>
      <c r="R47" t="s">
        <v>979</v>
      </c>
      <c r="S47" t="s">
        <v>980</v>
      </c>
      <c r="T47" t="s">
        <v>981</v>
      </c>
      <c r="U47" t="s">
        <v>982</v>
      </c>
      <c r="V47" t="s">
        <v>983</v>
      </c>
      <c r="W47" t="s">
        <v>984</v>
      </c>
      <c r="X47" t="s">
        <v>985</v>
      </c>
      <c r="Y47" t="s">
        <v>986</v>
      </c>
    </row>
    <row r="48" spans="1:25" x14ac:dyDescent="0.3">
      <c r="A48">
        <v>2350</v>
      </c>
      <c r="B48" t="s">
        <v>987</v>
      </c>
      <c r="C48" t="s">
        <v>988</v>
      </c>
      <c r="D48" t="s">
        <v>989</v>
      </c>
      <c r="E48" t="s">
        <v>990</v>
      </c>
      <c r="F48" t="s">
        <v>991</v>
      </c>
      <c r="G48" t="s">
        <v>992</v>
      </c>
      <c r="H48" t="s">
        <v>993</v>
      </c>
      <c r="I48" t="s">
        <v>994</v>
      </c>
      <c r="J48" t="s">
        <v>995</v>
      </c>
      <c r="K48" t="s">
        <v>996</v>
      </c>
      <c r="L48" t="s">
        <v>997</v>
      </c>
      <c r="M48" t="s">
        <v>998</v>
      </c>
      <c r="N48" t="s">
        <v>999</v>
      </c>
      <c r="O48">
        <f>-732.220766787859 -14.8786570421903 -732.720047360128</f>
        <v>-1479.8194711901774</v>
      </c>
      <c r="P48">
        <f>-724.716845198547 -8.9271273281754 -416.343076197577</f>
        <v>-1149.9870487242995</v>
      </c>
      <c r="Q48">
        <f>-478.802878692562 -75.2547424229542 -363.721512039345</f>
        <v>-917.77913315486126</v>
      </c>
      <c r="R48" t="s">
        <v>1000</v>
      </c>
      <c r="S48" t="s">
        <v>1001</v>
      </c>
      <c r="T48" t="s">
        <v>1002</v>
      </c>
      <c r="U48" t="s">
        <v>1003</v>
      </c>
      <c r="V48" t="s">
        <v>1004</v>
      </c>
      <c r="W48" t="s">
        <v>1005</v>
      </c>
      <c r="X48" t="s">
        <v>1006</v>
      </c>
      <c r="Y48" t="s">
        <v>1007</v>
      </c>
    </row>
    <row r="49" spans="1:25" x14ac:dyDescent="0.3">
      <c r="A49">
        <v>2400</v>
      </c>
      <c r="B49" t="s">
        <v>1008</v>
      </c>
      <c r="C49" t="s">
        <v>1009</v>
      </c>
      <c r="D49" t="s">
        <v>1010</v>
      </c>
      <c r="E49" t="s">
        <v>1011</v>
      </c>
      <c r="F49" t="s">
        <v>1012</v>
      </c>
      <c r="G49" t="s">
        <v>1013</v>
      </c>
      <c r="H49" t="s">
        <v>1014</v>
      </c>
      <c r="I49" t="s">
        <v>1015</v>
      </c>
      <c r="J49" t="s">
        <v>1016</v>
      </c>
      <c r="K49" t="s">
        <v>1017</v>
      </c>
      <c r="L49" t="s">
        <v>1018</v>
      </c>
      <c r="M49" t="s">
        <v>1019</v>
      </c>
      <c r="N49" t="s">
        <v>1020</v>
      </c>
      <c r="O49">
        <f>-732.104908992834 -14.9331552525314 -732.75037823903</f>
        <v>-1479.7884424843955</v>
      </c>
      <c r="P49">
        <f>-724.392543303097 -9.07207087130291 -416.376527761353</f>
        <v>-1149.8411419357528</v>
      </c>
      <c r="Q49">
        <f>-478.372081336679 -75.1450720356186 -363.932777418608</f>
        <v>-917.44993079090557</v>
      </c>
      <c r="R49" t="s">
        <v>1021</v>
      </c>
      <c r="S49" t="s">
        <v>1022</v>
      </c>
      <c r="T49" t="s">
        <v>1023</v>
      </c>
      <c r="U49" t="s">
        <v>1024</v>
      </c>
      <c r="V49" t="s">
        <v>1025</v>
      </c>
      <c r="W49" t="s">
        <v>1026</v>
      </c>
      <c r="X49" t="s">
        <v>1027</v>
      </c>
      <c r="Y49" t="s">
        <v>1028</v>
      </c>
    </row>
    <row r="50" spans="1:25" x14ac:dyDescent="0.3">
      <c r="A50">
        <v>2450</v>
      </c>
      <c r="B50" t="s">
        <v>1029</v>
      </c>
      <c r="C50" t="s">
        <v>1030</v>
      </c>
      <c r="D50" t="s">
        <v>1031</v>
      </c>
      <c r="E50" t="s">
        <v>1032</v>
      </c>
      <c r="F50" t="s">
        <v>1033</v>
      </c>
      <c r="G50" t="s">
        <v>1034</v>
      </c>
      <c r="H50" t="s">
        <v>1035</v>
      </c>
      <c r="I50" t="s">
        <v>1036</v>
      </c>
      <c r="J50" t="s">
        <v>1037</v>
      </c>
      <c r="K50" t="s">
        <v>1038</v>
      </c>
      <c r="L50" t="s">
        <v>1039</v>
      </c>
      <c r="M50" t="s">
        <v>1040</v>
      </c>
      <c r="N50" t="s">
        <v>1041</v>
      </c>
      <c r="O50">
        <f>-731.666660813421 -15.2953276687692 -732.796681346807</f>
        <v>-1479.7586698289972</v>
      </c>
      <c r="P50">
        <f>-723.751642185882 -9.64218644525863 -416.424102626894</f>
        <v>-1149.8179312580346</v>
      </c>
      <c r="Q50">
        <f>-477.71325572858 -75.2950756898579 -363.538675456361</f>
        <v>-916.54700687479885</v>
      </c>
      <c r="R50" t="s">
        <v>1042</v>
      </c>
      <c r="S50" t="s">
        <v>1043</v>
      </c>
      <c r="T50" t="s">
        <v>1044</v>
      </c>
      <c r="U50" t="s">
        <v>1045</v>
      </c>
      <c r="V50" t="s">
        <v>1046</v>
      </c>
      <c r="W50" t="s">
        <v>1047</v>
      </c>
      <c r="X50" t="s">
        <v>1048</v>
      </c>
      <c r="Y50" t="s">
        <v>1049</v>
      </c>
    </row>
    <row r="51" spans="1:25" x14ac:dyDescent="0.3">
      <c r="A51">
        <v>2500</v>
      </c>
      <c r="B51" t="s">
        <v>1050</v>
      </c>
      <c r="C51" t="s">
        <v>1051</v>
      </c>
      <c r="D51" t="s">
        <v>1052</v>
      </c>
      <c r="E51" t="s">
        <v>1053</v>
      </c>
      <c r="F51" t="s">
        <v>1054</v>
      </c>
      <c r="G51" t="s">
        <v>1055</v>
      </c>
      <c r="H51" t="s">
        <v>1056</v>
      </c>
      <c r="I51" t="s">
        <v>1057</v>
      </c>
      <c r="J51" t="s">
        <v>1058</v>
      </c>
      <c r="K51" t="s">
        <v>1059</v>
      </c>
      <c r="L51" t="s">
        <v>1060</v>
      </c>
      <c r="M51" t="s">
        <v>1061</v>
      </c>
      <c r="N51" t="s">
        <v>1062</v>
      </c>
      <c r="O51">
        <f>-731.199501194515 -15.5148230176601 -732.810701225078</f>
        <v>-1479.5250254372531</v>
      </c>
      <c r="P51">
        <f>-723.361929854311 -9.8462282387286 -416.436404466157</f>
        <v>-1149.6445625591966</v>
      </c>
      <c r="Q51">
        <f>-477.261153377691 -75.0496862114881 -363.285922467487</f>
        <v>-915.59676205666608</v>
      </c>
      <c r="R51" t="s">
        <v>1063</v>
      </c>
      <c r="S51" t="s">
        <v>1064</v>
      </c>
      <c r="T51" t="s">
        <v>1065</v>
      </c>
      <c r="U51" t="s">
        <v>1066</v>
      </c>
      <c r="V51" t="s">
        <v>1067</v>
      </c>
      <c r="W51" t="s">
        <v>1068</v>
      </c>
      <c r="X51" t="s">
        <v>1069</v>
      </c>
      <c r="Y51" t="s">
        <v>1070</v>
      </c>
    </row>
    <row r="52" spans="1:25" x14ac:dyDescent="0.3">
      <c r="A52">
        <v>2550</v>
      </c>
      <c r="B52" t="s">
        <v>1071</v>
      </c>
      <c r="C52" t="s">
        <v>1072</v>
      </c>
      <c r="D52" t="s">
        <v>1073</v>
      </c>
      <c r="E52" t="s">
        <v>1074</v>
      </c>
      <c r="F52" t="s">
        <v>1075</v>
      </c>
      <c r="G52" t="s">
        <v>1076</v>
      </c>
      <c r="H52" t="s">
        <v>1077</v>
      </c>
      <c r="I52" t="s">
        <v>1078</v>
      </c>
      <c r="J52" t="s">
        <v>1079</v>
      </c>
      <c r="K52" t="s">
        <v>1080</v>
      </c>
      <c r="L52" t="s">
        <v>1081</v>
      </c>
      <c r="M52" t="s">
        <v>1082</v>
      </c>
      <c r="N52" t="s">
        <v>1083</v>
      </c>
      <c r="O52">
        <f>-730.561034759781 -16.0743685634093 -732.829736482134</f>
        <v>-1479.4651398053243</v>
      </c>
      <c r="P52">
        <f>-723.314253010247 -9.94078129462309 -416.450179541326</f>
        <v>-1149.7052138461961</v>
      </c>
      <c r="Q52">
        <f>-477.107659884362 -74.3203073317575 -362.787866834124</f>
        <v>-914.21583405024353</v>
      </c>
      <c r="R52" t="s">
        <v>1084</v>
      </c>
      <c r="S52" t="s">
        <v>1085</v>
      </c>
      <c r="T52" t="s">
        <v>1086</v>
      </c>
      <c r="U52" t="s">
        <v>1087</v>
      </c>
      <c r="V52" t="s">
        <v>1088</v>
      </c>
      <c r="W52" t="s">
        <v>1089</v>
      </c>
      <c r="X52" t="s">
        <v>1090</v>
      </c>
      <c r="Y52" t="s">
        <v>1091</v>
      </c>
    </row>
    <row r="53" spans="1:25" x14ac:dyDescent="0.3">
      <c r="A53">
        <v>2600</v>
      </c>
      <c r="B53" t="s">
        <v>1092</v>
      </c>
      <c r="C53" t="s">
        <v>1093</v>
      </c>
      <c r="D53" t="s">
        <v>1094</v>
      </c>
      <c r="E53" t="s">
        <v>1095</v>
      </c>
      <c r="F53" t="s">
        <v>1096</v>
      </c>
      <c r="G53" t="s">
        <v>1097</v>
      </c>
      <c r="H53" t="s">
        <v>1098</v>
      </c>
      <c r="I53" t="s">
        <v>1099</v>
      </c>
      <c r="J53" t="s">
        <v>1100</v>
      </c>
      <c r="K53" t="s">
        <v>1101</v>
      </c>
      <c r="L53" t="s">
        <v>1102</v>
      </c>
      <c r="M53" t="s">
        <v>1103</v>
      </c>
      <c r="N53" t="s">
        <v>1104</v>
      </c>
      <c r="O53">
        <f>-730.43621445758 -16.1527435271203 -732.90439377204</f>
        <v>-1479.4933517567401</v>
      </c>
      <c r="P53">
        <f>-723.488275907109 -9.7193942949923 -416.524033801994</f>
        <v>-1149.7317040040953</v>
      </c>
      <c r="Q53">
        <f>-477.270376636908 -73.7772458643781 -362.529938777586</f>
        <v>-913.57756127887205</v>
      </c>
      <c r="R53" t="s">
        <v>1105</v>
      </c>
      <c r="S53" t="s">
        <v>1106</v>
      </c>
      <c r="T53" t="s">
        <v>1107</v>
      </c>
      <c r="U53" t="s">
        <v>1108</v>
      </c>
      <c r="V53" t="s">
        <v>1109</v>
      </c>
      <c r="W53" t="s">
        <v>1110</v>
      </c>
      <c r="X53" t="s">
        <v>1111</v>
      </c>
      <c r="Y53" t="s">
        <v>1112</v>
      </c>
    </row>
    <row r="54" spans="1:25" x14ac:dyDescent="0.3">
      <c r="A54">
        <v>2650</v>
      </c>
      <c r="B54" t="s">
        <v>1113</v>
      </c>
      <c r="C54" t="s">
        <v>1114</v>
      </c>
      <c r="D54" t="s">
        <v>1115</v>
      </c>
      <c r="E54" t="s">
        <v>1116</v>
      </c>
      <c r="F54" t="s">
        <v>1117</v>
      </c>
      <c r="G54" t="s">
        <v>1118</v>
      </c>
      <c r="H54" t="s">
        <v>1119</v>
      </c>
      <c r="I54" t="s">
        <v>1120</v>
      </c>
      <c r="J54" t="s">
        <v>1121</v>
      </c>
      <c r="K54" t="s">
        <v>1122</v>
      </c>
      <c r="L54" t="s">
        <v>1123</v>
      </c>
      <c r="M54" t="s">
        <v>1124</v>
      </c>
      <c r="N54" t="s">
        <v>1125</v>
      </c>
      <c r="O54">
        <f>-730.354998791256 -15.9462278702199 -733.019181665582</f>
        <v>-1479.320408327058</v>
      </c>
      <c r="P54">
        <f>-724.015291872629 -9.37266818038324 -416.628933196667</f>
        <v>-1150.0168932496792</v>
      </c>
      <c r="Q54">
        <f>-477.803196453196 -72.6338166637663 -361.677124104412</f>
        <v>-912.11413722137422</v>
      </c>
      <c r="R54" t="s">
        <v>1126</v>
      </c>
      <c r="S54" t="s">
        <v>1127</v>
      </c>
      <c r="T54" t="s">
        <v>1128</v>
      </c>
      <c r="U54" t="s">
        <v>1129</v>
      </c>
      <c r="V54" t="s">
        <v>1130</v>
      </c>
      <c r="W54" t="s">
        <v>1131</v>
      </c>
      <c r="X54" t="s">
        <v>1132</v>
      </c>
      <c r="Y54" t="s">
        <v>1133</v>
      </c>
    </row>
    <row r="55" spans="1:25" x14ac:dyDescent="0.3">
      <c r="A55">
        <v>2700</v>
      </c>
      <c r="B55" t="s">
        <v>1134</v>
      </c>
      <c r="C55" t="s">
        <v>1135</v>
      </c>
      <c r="D55" t="s">
        <v>1136</v>
      </c>
      <c r="E55" t="s">
        <v>1137</v>
      </c>
      <c r="F55" t="s">
        <v>1138</v>
      </c>
      <c r="G55" t="s">
        <v>1139</v>
      </c>
      <c r="H55" t="s">
        <v>1140</v>
      </c>
      <c r="I55" t="s">
        <v>1141</v>
      </c>
      <c r="J55" t="s">
        <v>1142</v>
      </c>
      <c r="K55" t="s">
        <v>1143</v>
      </c>
      <c r="L55" t="s">
        <v>1144</v>
      </c>
      <c r="M55" t="s">
        <v>1145</v>
      </c>
      <c r="N55" t="s">
        <v>1146</v>
      </c>
      <c r="O55">
        <f>-730.329894114118 -15.7742264377412 -733.060545623856</f>
        <v>-1479.1646661757152</v>
      </c>
      <c r="P55">
        <f>-724.279158145959 -8.90843250386297 -416.670877129894</f>
        <v>-1149.858467779716</v>
      </c>
      <c r="Q55">
        <f>-477.92511937384 -71.4780611943443 -361.563746733474</f>
        <v>-910.9669273016583</v>
      </c>
      <c r="R55" t="s">
        <v>1147</v>
      </c>
      <c r="S55" t="s">
        <v>1148</v>
      </c>
      <c r="T55" t="s">
        <v>1149</v>
      </c>
      <c r="U55" t="s">
        <v>1150</v>
      </c>
      <c r="V55" t="s">
        <v>1151</v>
      </c>
      <c r="W55" t="s">
        <v>1152</v>
      </c>
      <c r="X55" t="s">
        <v>1153</v>
      </c>
      <c r="Y55" t="s">
        <v>1154</v>
      </c>
    </row>
    <row r="56" spans="1:25" x14ac:dyDescent="0.3">
      <c r="A56">
        <v>2750</v>
      </c>
      <c r="B56" t="s">
        <v>1155</v>
      </c>
      <c r="C56" t="s">
        <v>1156</v>
      </c>
      <c r="D56" t="s">
        <v>1157</v>
      </c>
      <c r="E56" t="s">
        <v>1158</v>
      </c>
      <c r="F56" t="s">
        <v>1159</v>
      </c>
      <c r="G56" t="s">
        <v>1160</v>
      </c>
      <c r="H56" t="s">
        <v>1161</v>
      </c>
      <c r="I56" t="s">
        <v>1162</v>
      </c>
      <c r="J56" t="s">
        <v>1163</v>
      </c>
      <c r="K56" t="s">
        <v>1164</v>
      </c>
      <c r="L56" t="s">
        <v>1165</v>
      </c>
      <c r="M56" t="s">
        <v>1166</v>
      </c>
      <c r="N56" t="s">
        <v>1167</v>
      </c>
      <c r="O56">
        <f>-730.102432277118 -15.0670214895206 -733.198164803433</f>
        <v>-1478.3676185700715</v>
      </c>
      <c r="P56">
        <f>-723.987345070869 -8.46317899609494 -416.804105726353</f>
        <v>-1149.2546297933168</v>
      </c>
      <c r="Q56">
        <f>-477.463958646186 -70.2772992191562 -361.601843211663</f>
        <v>-909.34310107700514</v>
      </c>
      <c r="R56" t="s">
        <v>1168</v>
      </c>
      <c r="S56" t="s">
        <v>1169</v>
      </c>
      <c r="T56" t="s">
        <v>1170</v>
      </c>
      <c r="U56" t="s">
        <v>1171</v>
      </c>
      <c r="V56" t="s">
        <v>1172</v>
      </c>
      <c r="W56" t="s">
        <v>1173</v>
      </c>
      <c r="X56" t="s">
        <v>1174</v>
      </c>
      <c r="Y56" t="s">
        <v>1175</v>
      </c>
    </row>
    <row r="57" spans="1:25" x14ac:dyDescent="0.3">
      <c r="A57">
        <v>2800</v>
      </c>
      <c r="B57" t="s">
        <v>1176</v>
      </c>
      <c r="C57" t="s">
        <v>1177</v>
      </c>
      <c r="D57" t="s">
        <v>1178</v>
      </c>
      <c r="E57" t="s">
        <v>1179</v>
      </c>
      <c r="F57" t="s">
        <v>1180</v>
      </c>
      <c r="G57" t="s">
        <v>1181</v>
      </c>
      <c r="H57" t="s">
        <v>1182</v>
      </c>
      <c r="I57" t="s">
        <v>1183</v>
      </c>
      <c r="J57" t="s">
        <v>1184</v>
      </c>
      <c r="K57" t="s">
        <v>1185</v>
      </c>
      <c r="L57" t="s">
        <v>1186</v>
      </c>
      <c r="M57" t="s">
        <v>1187</v>
      </c>
      <c r="N57" t="s">
        <v>1188</v>
      </c>
      <c r="O57">
        <f>-730.206789740389 -14.5644022576269 -733.274965425986</f>
        <v>-1478.0461574240019</v>
      </c>
      <c r="P57">
        <f>-723.926029180984 -7.98118374843125 -416.883870467534</f>
        <v>-1148.7910833969493</v>
      </c>
      <c r="Q57">
        <f>-477.164351560802 -69.1832814253394 -362.065676220752</f>
        <v>-908.41330920689347</v>
      </c>
      <c r="R57" t="s">
        <v>1189</v>
      </c>
      <c r="S57" t="s">
        <v>1190</v>
      </c>
      <c r="T57" t="s">
        <v>1191</v>
      </c>
      <c r="U57" t="s">
        <v>1192</v>
      </c>
      <c r="V57" t="s">
        <v>1193</v>
      </c>
      <c r="W57" t="s">
        <v>1194</v>
      </c>
      <c r="X57" t="s">
        <v>1195</v>
      </c>
      <c r="Y57" t="s">
        <v>1196</v>
      </c>
    </row>
    <row r="58" spans="1:25" x14ac:dyDescent="0.3">
      <c r="A58">
        <v>2850</v>
      </c>
      <c r="B58" t="s">
        <v>1197</v>
      </c>
      <c r="C58" t="s">
        <v>1198</v>
      </c>
      <c r="D58" t="s">
        <v>1199</v>
      </c>
      <c r="E58" t="s">
        <v>1200</v>
      </c>
      <c r="F58" t="s">
        <v>1201</v>
      </c>
      <c r="G58" t="s">
        <v>1202</v>
      </c>
      <c r="H58" t="s">
        <v>1203</v>
      </c>
      <c r="I58" t="s">
        <v>1204</v>
      </c>
      <c r="J58" t="s">
        <v>1205</v>
      </c>
      <c r="K58" t="s">
        <v>1206</v>
      </c>
      <c r="L58" t="s">
        <v>1207</v>
      </c>
      <c r="M58" t="s">
        <v>1208</v>
      </c>
      <c r="N58" t="s">
        <v>1209</v>
      </c>
      <c r="O58">
        <f>-730.551731998457 -13.3500386860226 -733.501365182963</f>
        <v>-1477.4031358674424</v>
      </c>
      <c r="P58">
        <f>-723.825469182988 -7.5528795294988 -417.103959749125</f>
        <v>-1148.4823084616119</v>
      </c>
      <c r="Q58">
        <f>-476.881687317516 -68.4182829643191 -362.73274724677</f>
        <v>-908.03271752860519</v>
      </c>
      <c r="R58" t="s">
        <v>1210</v>
      </c>
      <c r="S58" t="s">
        <v>1211</v>
      </c>
      <c r="T58" t="s">
        <v>1212</v>
      </c>
      <c r="U58" t="s">
        <v>1213</v>
      </c>
      <c r="V58" t="s">
        <v>1214</v>
      </c>
      <c r="W58" t="s">
        <v>1215</v>
      </c>
      <c r="X58" t="s">
        <v>1216</v>
      </c>
      <c r="Y58" t="s">
        <v>1217</v>
      </c>
    </row>
    <row r="59" spans="1:25" x14ac:dyDescent="0.3">
      <c r="A59">
        <v>2900</v>
      </c>
      <c r="B59" t="s">
        <v>1218</v>
      </c>
      <c r="C59" t="s">
        <v>1219</v>
      </c>
      <c r="D59" t="s">
        <v>1220</v>
      </c>
      <c r="E59" t="s">
        <v>1221</v>
      </c>
      <c r="F59" t="s">
        <v>1222</v>
      </c>
      <c r="G59" t="s">
        <v>1223</v>
      </c>
      <c r="H59" t="s">
        <v>1224</v>
      </c>
      <c r="I59" t="s">
        <v>1225</v>
      </c>
      <c r="J59" t="s">
        <v>1226</v>
      </c>
      <c r="K59" t="s">
        <v>1227</v>
      </c>
      <c r="L59" t="s">
        <v>1228</v>
      </c>
      <c r="M59" t="s">
        <v>1229</v>
      </c>
      <c r="N59" t="s">
        <v>1230</v>
      </c>
      <c r="O59">
        <f>-730.80388321474 -12.6776317397132 -733.62357525854</f>
        <v>-1477.1050902129932</v>
      </c>
      <c r="P59">
        <f>-723.908428112159 -7.01523143079908 -417.227325887906</f>
        <v>-1148.150985430864</v>
      </c>
      <c r="Q59">
        <f>-476.781720465863 -67.4034861559976 -363.156147633224</f>
        <v>-907.34135425508452</v>
      </c>
      <c r="R59" t="s">
        <v>1231</v>
      </c>
      <c r="S59" t="s">
        <v>1232</v>
      </c>
      <c r="T59" t="s">
        <v>1233</v>
      </c>
      <c r="U59" t="s">
        <v>1234</v>
      </c>
      <c r="V59" t="s">
        <v>1235</v>
      </c>
      <c r="W59" t="s">
        <v>1236</v>
      </c>
      <c r="X59" t="s">
        <v>1237</v>
      </c>
      <c r="Y59" t="s">
        <v>1238</v>
      </c>
    </row>
    <row r="60" spans="1:25" x14ac:dyDescent="0.3">
      <c r="A60">
        <v>2950</v>
      </c>
      <c r="B60" t="s">
        <v>1239</v>
      </c>
      <c r="C60" t="s">
        <v>1240</v>
      </c>
      <c r="D60" t="s">
        <v>1241</v>
      </c>
      <c r="E60" t="s">
        <v>1242</v>
      </c>
      <c r="F60" t="s">
        <v>1243</v>
      </c>
      <c r="G60" t="s">
        <v>1244</v>
      </c>
      <c r="H60" t="s">
        <v>1245</v>
      </c>
      <c r="I60" t="s">
        <v>1246</v>
      </c>
      <c r="J60" t="s">
        <v>1247</v>
      </c>
      <c r="K60" t="s">
        <v>1248</v>
      </c>
      <c r="L60" t="s">
        <v>1249</v>
      </c>
      <c r="M60" t="s">
        <v>1250</v>
      </c>
      <c r="N60" t="s">
        <v>1251</v>
      </c>
      <c r="O60">
        <f>-731.125847036623 -11.5118398737902 -733.759300320085</f>
        <v>-1476.3969872304983</v>
      </c>
      <c r="P60">
        <f>-724.217872514294 -6.23069986372343 -417.356868989498</f>
        <v>-1147.8054413675154</v>
      </c>
      <c r="Q60">
        <f>-477.01731109356 -66.4161286501233 -363.396954601318</f>
        <v>-906.8303943450012</v>
      </c>
      <c r="R60" t="s">
        <v>1252</v>
      </c>
      <c r="S60" t="s">
        <v>1253</v>
      </c>
      <c r="T60" t="s">
        <v>1254</v>
      </c>
      <c r="U60" t="s">
        <v>1255</v>
      </c>
      <c r="V60" t="s">
        <v>1256</v>
      </c>
      <c r="W60" t="s">
        <v>1257</v>
      </c>
      <c r="X60" t="s">
        <v>1258</v>
      </c>
      <c r="Y60" t="s">
        <v>1259</v>
      </c>
    </row>
    <row r="61" spans="1:25" x14ac:dyDescent="0.3">
      <c r="A61">
        <v>3000</v>
      </c>
      <c r="B61" t="s">
        <v>1260</v>
      </c>
      <c r="C61" t="s">
        <v>1261</v>
      </c>
      <c r="D61" t="s">
        <v>1262</v>
      </c>
      <c r="E61" t="s">
        <v>1263</v>
      </c>
      <c r="F61" t="s">
        <v>1264</v>
      </c>
      <c r="G61" t="s">
        <v>1265</v>
      </c>
      <c r="H61" t="s">
        <v>1266</v>
      </c>
      <c r="I61" t="s">
        <v>1267</v>
      </c>
      <c r="J61" t="s">
        <v>1268</v>
      </c>
      <c r="K61" t="s">
        <v>1269</v>
      </c>
      <c r="L61" t="s">
        <v>1270</v>
      </c>
      <c r="M61" t="s">
        <v>1271</v>
      </c>
      <c r="N61" t="s">
        <v>1272</v>
      </c>
      <c r="O61">
        <f>-731.297532080727 -10.7802084975046 -733.815269353449</f>
        <v>-1475.8930099316808</v>
      </c>
      <c r="P61">
        <f>-724.41914337018 -5.65376054922353 -417.409494020674</f>
        <v>-1147.4823979400776</v>
      </c>
      <c r="Q61">
        <f>-477.138019058538 -65.5319153989619 -363.47700129652</f>
        <v>-906.14693575401998</v>
      </c>
      <c r="R61" t="s">
        <v>1273</v>
      </c>
      <c r="S61" t="s">
        <v>1274</v>
      </c>
      <c r="T61" t="s">
        <v>1275</v>
      </c>
      <c r="U61" t="s">
        <v>1276</v>
      </c>
      <c r="V61" t="s">
        <v>1277</v>
      </c>
      <c r="W61" t="s">
        <v>1278</v>
      </c>
      <c r="X61" t="s">
        <v>1279</v>
      </c>
      <c r="Y61" t="s">
        <v>1280</v>
      </c>
    </row>
    <row r="62" spans="1:25" x14ac:dyDescent="0.3">
      <c r="A62">
        <v>3050</v>
      </c>
      <c r="B62" t="s">
        <v>1281</v>
      </c>
      <c r="C62" t="s">
        <v>1282</v>
      </c>
      <c r="D62" t="s">
        <v>1283</v>
      </c>
      <c r="E62" t="s">
        <v>1284</v>
      </c>
      <c r="F62" t="s">
        <v>1285</v>
      </c>
      <c r="G62" t="s">
        <v>1286</v>
      </c>
      <c r="H62" t="s">
        <v>1287</v>
      </c>
      <c r="I62" t="s">
        <v>1288</v>
      </c>
      <c r="J62" t="s">
        <v>1289</v>
      </c>
      <c r="K62" t="s">
        <v>1290</v>
      </c>
      <c r="L62" t="s">
        <v>1291</v>
      </c>
      <c r="M62" t="s">
        <v>1292</v>
      </c>
      <c r="N62" t="s">
        <v>1293</v>
      </c>
      <c r="O62">
        <f>-731.701282153848 -9.53551419033215 -733.97975280494</f>
        <v>-1475.2165491491201</v>
      </c>
      <c r="P62">
        <f>-724.928970806775 -4.62787139614738 -417.568106059767</f>
        <v>-1147.1249482626895</v>
      </c>
      <c r="Q62">
        <f>-477.744353663879 -64.6148647275247 -363.315212026532</f>
        <v>-905.6744304179357</v>
      </c>
      <c r="R62" t="s">
        <v>1294</v>
      </c>
      <c r="S62" t="s">
        <v>1295</v>
      </c>
      <c r="T62" t="s">
        <v>1296</v>
      </c>
      <c r="U62" t="s">
        <v>1297</v>
      </c>
      <c r="V62" t="s">
        <v>1298</v>
      </c>
      <c r="W62" t="s">
        <v>1299</v>
      </c>
      <c r="X62" t="s">
        <v>1300</v>
      </c>
      <c r="Y62" t="s">
        <v>1301</v>
      </c>
    </row>
    <row r="63" spans="1:25" x14ac:dyDescent="0.3">
      <c r="A63">
        <v>3100</v>
      </c>
      <c r="B63" t="s">
        <v>1302</v>
      </c>
      <c r="C63" t="s">
        <v>1303</v>
      </c>
      <c r="D63" t="s">
        <v>1304</v>
      </c>
      <c r="E63" t="s">
        <v>1305</v>
      </c>
      <c r="F63" t="s">
        <v>1306</v>
      </c>
      <c r="G63" t="s">
        <v>1307</v>
      </c>
      <c r="H63" t="s">
        <v>1308</v>
      </c>
      <c r="I63" t="s">
        <v>1309</v>
      </c>
      <c r="J63" t="s">
        <v>1310</v>
      </c>
      <c r="K63" t="s">
        <v>1311</v>
      </c>
      <c r="L63" t="s">
        <v>1312</v>
      </c>
      <c r="M63" t="s">
        <v>1313</v>
      </c>
      <c r="N63" t="s">
        <v>1314</v>
      </c>
      <c r="O63">
        <f>-731.95297343736 -8.68747592661316 -734.109321028606</f>
        <v>-1474.7497703925792</v>
      </c>
      <c r="P63">
        <f>-725.177224794615 -3.807844312935 -417.697354938668</f>
        <v>-1146.6824240462179</v>
      </c>
      <c r="Q63">
        <f>-478.05936646771 -63.9453802350088 -363.307597088953</f>
        <v>-905.31234379167176</v>
      </c>
      <c r="R63" t="s">
        <v>1315</v>
      </c>
      <c r="S63" t="s">
        <v>1316</v>
      </c>
      <c r="T63" t="s">
        <v>1317</v>
      </c>
      <c r="U63" t="s">
        <v>1318</v>
      </c>
      <c r="V63" t="s">
        <v>1319</v>
      </c>
      <c r="W63" t="s">
        <v>1320</v>
      </c>
      <c r="X63" t="s">
        <v>1321</v>
      </c>
      <c r="Y63" t="s">
        <v>1322</v>
      </c>
    </row>
    <row r="64" spans="1:25" x14ac:dyDescent="0.3">
      <c r="A64">
        <v>3150</v>
      </c>
      <c r="B64" t="s">
        <v>1323</v>
      </c>
      <c r="C64" t="s">
        <v>1324</v>
      </c>
      <c r="D64" t="s">
        <v>1325</v>
      </c>
      <c r="E64" t="s">
        <v>1326</v>
      </c>
      <c r="F64" t="s">
        <v>1327</v>
      </c>
      <c r="G64" t="s">
        <v>1328</v>
      </c>
      <c r="H64" t="s">
        <v>1329</v>
      </c>
      <c r="I64" t="s">
        <v>1330</v>
      </c>
      <c r="J64" t="s">
        <v>1331</v>
      </c>
      <c r="K64" t="s">
        <v>1332</v>
      </c>
      <c r="L64" t="s">
        <v>1333</v>
      </c>
      <c r="M64" t="s">
        <v>1334</v>
      </c>
      <c r="N64" t="s">
        <v>1335</v>
      </c>
      <c r="O64">
        <f>-732.312172195384 -6.71379787170918 -734.661533509191</f>
        <v>-1473.6875035762841</v>
      </c>
      <c r="P64">
        <f>-725.392908163084 -2.50622713123653 -418.243185141632</f>
        <v>-1146.1423204359526</v>
      </c>
      <c r="Q64">
        <f>-478.495622306394 -63.2455010553572 -363.521056590718</f>
        <v>-905.26217995246918</v>
      </c>
      <c r="R64" t="s">
        <v>1336</v>
      </c>
      <c r="S64" t="s">
        <v>1337</v>
      </c>
      <c r="T64" t="s">
        <v>1338</v>
      </c>
      <c r="U64" t="s">
        <v>1339</v>
      </c>
      <c r="V64" t="s">
        <v>1340</v>
      </c>
      <c r="W64" t="s">
        <v>1341</v>
      </c>
      <c r="X64" t="s">
        <v>1342</v>
      </c>
      <c r="Y64" t="s">
        <v>1343</v>
      </c>
    </row>
    <row r="65" spans="1:25" x14ac:dyDescent="0.3">
      <c r="A65">
        <v>3200</v>
      </c>
      <c r="B65" t="s">
        <v>1344</v>
      </c>
      <c r="C65" t="s">
        <v>1345</v>
      </c>
      <c r="D65" t="s">
        <v>1346</v>
      </c>
      <c r="E65" t="s">
        <v>1347</v>
      </c>
      <c r="F65" t="s">
        <v>1348</v>
      </c>
      <c r="G65" t="s">
        <v>1349</v>
      </c>
      <c r="H65" t="s">
        <v>1350</v>
      </c>
      <c r="I65" t="s">
        <v>1351</v>
      </c>
      <c r="J65" t="s">
        <v>1352</v>
      </c>
      <c r="K65" t="s">
        <v>1353</v>
      </c>
      <c r="L65" t="s">
        <v>1354</v>
      </c>
      <c r="M65" t="s">
        <v>1355</v>
      </c>
      <c r="N65" t="s">
        <v>1356</v>
      </c>
      <c r="O65">
        <f>-732.472267923155 -5.57293414016294 -734.993275243822</f>
        <v>-1473.0384773071401</v>
      </c>
      <c r="P65">
        <f>-725.620906846471 -1.75200792891769 -418.568491303733</f>
        <v>-1145.9414060791219</v>
      </c>
      <c r="Q65">
        <f>-478.783614628994 -62.6863095445071 -363.792343442806</f>
        <v>-905.2622676163071</v>
      </c>
      <c r="R65" t="s">
        <v>1357</v>
      </c>
      <c r="S65" t="s">
        <v>1358</v>
      </c>
      <c r="T65" t="s">
        <v>1359</v>
      </c>
      <c r="U65" t="s">
        <v>1360</v>
      </c>
      <c r="V65" t="s">
        <v>1361</v>
      </c>
      <c r="W65" t="s">
        <v>1362</v>
      </c>
      <c r="X65" t="s">
        <v>1363</v>
      </c>
      <c r="Y65" t="s">
        <v>1364</v>
      </c>
    </row>
    <row r="66" spans="1:25" x14ac:dyDescent="0.3">
      <c r="A66">
        <v>3250</v>
      </c>
      <c r="B66" t="s">
        <v>1365</v>
      </c>
      <c r="C66" t="s">
        <v>1366</v>
      </c>
      <c r="D66" t="s">
        <v>1367</v>
      </c>
      <c r="E66" t="s">
        <v>1368</v>
      </c>
      <c r="F66" t="s">
        <v>1369</v>
      </c>
      <c r="G66" t="s">
        <v>1370</v>
      </c>
      <c r="H66" t="s">
        <v>1371</v>
      </c>
      <c r="I66" t="s">
        <v>1372</v>
      </c>
      <c r="J66" t="s">
        <v>1373</v>
      </c>
      <c r="K66" t="s">
        <v>1374</v>
      </c>
      <c r="L66" t="s">
        <v>1375</v>
      </c>
      <c r="M66" t="s">
        <v>1376</v>
      </c>
      <c r="N66" t="s">
        <v>1377</v>
      </c>
      <c r="O66">
        <f>-732.788451872803 -3.82669674017097 -735.515047309948</f>
        <v>-1472.130195922922</v>
      </c>
      <c r="P66">
        <f>-726.059925437979 -1.03346419322952 -419.076766504099</f>
        <v>-1146.1701561353075</v>
      </c>
      <c r="Q66">
        <f>-479.357491523257 -62.4944277860222 -364.281827567471</f>
        <v>-906.13374687675014</v>
      </c>
      <c r="R66" t="s">
        <v>1378</v>
      </c>
      <c r="S66" t="s">
        <v>1379</v>
      </c>
      <c r="T66" t="s">
        <v>1380</v>
      </c>
      <c r="U66" t="s">
        <v>1381</v>
      </c>
      <c r="V66" t="s">
        <v>1382</v>
      </c>
      <c r="W66" t="s">
        <v>1383</v>
      </c>
      <c r="X66" t="s">
        <v>1384</v>
      </c>
      <c r="Y66" t="s">
        <v>1385</v>
      </c>
    </row>
    <row r="67" spans="1:25" x14ac:dyDescent="0.3">
      <c r="A67">
        <v>3300</v>
      </c>
      <c r="B67" t="s">
        <v>1386</v>
      </c>
      <c r="C67" t="s">
        <v>1387</v>
      </c>
      <c r="D67" t="s">
        <v>1388</v>
      </c>
      <c r="E67" t="s">
        <v>1389</v>
      </c>
      <c r="F67" t="s">
        <v>1390</v>
      </c>
      <c r="G67" t="s">
        <v>1391</v>
      </c>
      <c r="H67" t="s">
        <v>1392</v>
      </c>
      <c r="I67" t="s">
        <v>1393</v>
      </c>
      <c r="J67" t="s">
        <v>1394</v>
      </c>
      <c r="K67" t="s">
        <v>1395</v>
      </c>
      <c r="L67" t="s">
        <v>1396</v>
      </c>
      <c r="M67" t="s">
        <v>1397</v>
      </c>
      <c r="N67" t="s">
        <v>1398</v>
      </c>
      <c r="O67">
        <f>-732.572959094273 -3.12064045707666 -735.706224291756</f>
        <v>-1471.3998238431057</v>
      </c>
      <c r="P67">
        <f>-725.927523488579 -0.753971725604515 -419.262812860243</f>
        <v>-1145.9443080744265</v>
      </c>
      <c r="Q67">
        <f>-479.286441888217 -62.546169660628 -364.564185931236</f>
        <v>-906.39679748008098</v>
      </c>
      <c r="R67" t="s">
        <v>1399</v>
      </c>
      <c r="S67" t="s">
        <v>1400</v>
      </c>
      <c r="T67" t="s">
        <v>1401</v>
      </c>
      <c r="U67" t="s">
        <v>1402</v>
      </c>
      <c r="V67" t="s">
        <v>1403</v>
      </c>
      <c r="W67" t="s">
        <v>1404</v>
      </c>
      <c r="X67" t="s">
        <v>1405</v>
      </c>
      <c r="Y67" t="s">
        <v>1406</v>
      </c>
    </row>
    <row r="68" spans="1:25" x14ac:dyDescent="0.3">
      <c r="A68">
        <v>3350</v>
      </c>
      <c r="B68" t="s">
        <v>1407</v>
      </c>
      <c r="C68" t="s">
        <v>1408</v>
      </c>
      <c r="D68" t="s">
        <v>1409</v>
      </c>
      <c r="E68" t="s">
        <v>1410</v>
      </c>
      <c r="F68" t="s">
        <v>1411</v>
      </c>
      <c r="G68" t="s">
        <v>1412</v>
      </c>
      <c r="H68" t="s">
        <v>1413</v>
      </c>
      <c r="I68" t="s">
        <v>1414</v>
      </c>
      <c r="J68" t="s">
        <v>1415</v>
      </c>
      <c r="K68" t="s">
        <v>1416</v>
      </c>
      <c r="L68" t="s">
        <v>1417</v>
      </c>
      <c r="M68" t="s">
        <v>1418</v>
      </c>
      <c r="N68" t="s">
        <v>1419</v>
      </c>
      <c r="O68">
        <f>-732.151235124459 -2.16577561683334 -736.069272612646</f>
        <v>-1470.3862833539383</v>
      </c>
      <c r="P68">
        <f>-725.768316481808 -0.325338655055248 -419.616915093332</f>
        <v>-1145.7105702301953</v>
      </c>
      <c r="Q68">
        <f>-479.296130875285 -62.8220035909947 -364.957134773612</f>
        <v>-907.07526923989167</v>
      </c>
      <c r="R68" t="s">
        <v>1420</v>
      </c>
      <c r="S68" t="s">
        <v>1421</v>
      </c>
      <c r="T68" t="s">
        <v>1422</v>
      </c>
      <c r="U68" t="s">
        <v>1423</v>
      </c>
      <c r="V68" t="s">
        <v>1424</v>
      </c>
      <c r="W68" t="s">
        <v>1425</v>
      </c>
      <c r="X68" t="s">
        <v>1426</v>
      </c>
      <c r="Y68" t="s">
        <v>1427</v>
      </c>
    </row>
    <row r="69" spans="1:25" x14ac:dyDescent="0.3">
      <c r="A69">
        <v>3400</v>
      </c>
      <c r="B69" t="s">
        <v>1428</v>
      </c>
      <c r="C69" t="s">
        <v>1429</v>
      </c>
      <c r="D69" t="s">
        <v>1430</v>
      </c>
      <c r="E69" t="s">
        <v>1431</v>
      </c>
      <c r="F69" t="s">
        <v>1432</v>
      </c>
      <c r="G69" t="s">
        <v>1433</v>
      </c>
      <c r="H69" t="s">
        <v>1434</v>
      </c>
      <c r="I69" t="s">
        <v>1435</v>
      </c>
      <c r="J69" t="s">
        <v>1436</v>
      </c>
      <c r="K69" t="s">
        <v>1437</v>
      </c>
      <c r="L69" t="s">
        <v>1438</v>
      </c>
      <c r="M69" t="s">
        <v>1439</v>
      </c>
      <c r="N69" t="s">
        <v>1440</v>
      </c>
      <c r="O69">
        <f>-731.672739995043 -1.83190562254322 -736.216690624017</f>
        <v>-1469.7213362416032</v>
      </c>
      <c r="P69" t="s">
        <v>1441</v>
      </c>
      <c r="Q69">
        <f>-479.169597295321 -62.8188737382995 -364.969696533625</f>
        <v>-906.95816756724548</v>
      </c>
      <c r="R69" t="s">
        <v>1442</v>
      </c>
      <c r="S69" t="s">
        <v>1443</v>
      </c>
      <c r="T69" t="s">
        <v>1444</v>
      </c>
      <c r="U69" t="s">
        <v>1445</v>
      </c>
      <c r="V69" t="s">
        <v>1446</v>
      </c>
      <c r="W69" t="s">
        <v>1447</v>
      </c>
      <c r="X69" t="s">
        <v>1448</v>
      </c>
      <c r="Y69" t="s">
        <v>1449</v>
      </c>
    </row>
    <row r="70" spans="1:25" x14ac:dyDescent="0.3">
      <c r="A70">
        <v>3450</v>
      </c>
      <c r="B70" t="s">
        <v>1450</v>
      </c>
      <c r="C70" t="s">
        <v>1451</v>
      </c>
      <c r="D70" t="s">
        <v>1452</v>
      </c>
      <c r="E70" t="s">
        <v>1453</v>
      </c>
      <c r="F70" t="s">
        <v>1454</v>
      </c>
      <c r="G70" t="s">
        <v>1455</v>
      </c>
      <c r="H70" t="s">
        <v>1456</v>
      </c>
      <c r="I70" t="s">
        <v>1457</v>
      </c>
      <c r="J70" t="s">
        <v>1458</v>
      </c>
      <c r="K70" t="s">
        <v>1459</v>
      </c>
      <c r="L70" t="s">
        <v>1460</v>
      </c>
      <c r="M70" t="s">
        <v>1461</v>
      </c>
      <c r="N70" t="s">
        <v>1462</v>
      </c>
      <c r="O70">
        <f>-730.486405744968 -1.51243542376233 -736.347315707396</f>
        <v>-1468.3461568761263</v>
      </c>
      <c r="P70" t="s">
        <v>1463</v>
      </c>
      <c r="Q70">
        <f>-479.008736982124 -63.0450045680916 -364.539108453991</f>
        <v>-906.59285000420664</v>
      </c>
      <c r="R70" t="s">
        <v>1464</v>
      </c>
      <c r="S70" t="s">
        <v>1465</v>
      </c>
      <c r="T70" t="s">
        <v>1466</v>
      </c>
      <c r="U70" t="s">
        <v>1467</v>
      </c>
      <c r="V70" t="s">
        <v>1468</v>
      </c>
      <c r="W70" t="s">
        <v>1469</v>
      </c>
      <c r="X70" t="s">
        <v>1470</v>
      </c>
      <c r="Y70" t="s">
        <v>1471</v>
      </c>
    </row>
    <row r="71" spans="1:25" x14ac:dyDescent="0.3">
      <c r="A71">
        <v>3500</v>
      </c>
      <c r="B71" t="s">
        <v>1472</v>
      </c>
      <c r="C71" t="s">
        <v>1473</v>
      </c>
      <c r="D71" t="s">
        <v>1474</v>
      </c>
      <c r="E71" t="s">
        <v>1475</v>
      </c>
      <c r="F71" t="s">
        <v>1476</v>
      </c>
      <c r="G71" t="s">
        <v>1477</v>
      </c>
      <c r="H71" t="s">
        <v>1478</v>
      </c>
      <c r="I71" t="s">
        <v>1479</v>
      </c>
      <c r="J71" t="s">
        <v>1480</v>
      </c>
      <c r="K71" t="s">
        <v>1481</v>
      </c>
      <c r="L71" t="s">
        <v>1482</v>
      </c>
      <c r="M71" t="s">
        <v>1483</v>
      </c>
      <c r="N71" t="s">
        <v>1484</v>
      </c>
      <c r="O71">
        <f>-729.756240820524 -1.39733484791464 -736.382359302389</f>
        <v>-1467.5359349708276</v>
      </c>
      <c r="P71" t="s">
        <v>1485</v>
      </c>
      <c r="Q71">
        <f>-478.776387315552 -62.9928698198539 -364.280923313393</f>
        <v>-906.05018044879876</v>
      </c>
      <c r="R71" t="s">
        <v>1486</v>
      </c>
      <c r="S71" t="s">
        <v>1487</v>
      </c>
      <c r="T71" t="s">
        <v>1488</v>
      </c>
      <c r="U71" t="s">
        <v>1489</v>
      </c>
      <c r="V71" t="s">
        <v>1490</v>
      </c>
      <c r="W71" t="s">
        <v>1491</v>
      </c>
      <c r="X71" t="s">
        <v>1492</v>
      </c>
      <c r="Y71" t="s">
        <v>1493</v>
      </c>
    </row>
    <row r="72" spans="1:25" x14ac:dyDescent="0.3">
      <c r="A72">
        <v>3550</v>
      </c>
      <c r="B72" t="s">
        <v>1494</v>
      </c>
      <c r="C72" t="s">
        <v>1495</v>
      </c>
      <c r="D72" t="s">
        <v>1496</v>
      </c>
      <c r="E72" t="s">
        <v>1497</v>
      </c>
      <c r="F72" t="s">
        <v>1498</v>
      </c>
      <c r="G72" t="s">
        <v>1499</v>
      </c>
      <c r="H72" t="s">
        <v>1500</v>
      </c>
      <c r="I72" t="s">
        <v>1501</v>
      </c>
      <c r="J72" t="s">
        <v>1502</v>
      </c>
      <c r="K72" t="s">
        <v>1503</v>
      </c>
      <c r="L72" t="s">
        <v>1504</v>
      </c>
      <c r="M72" t="s">
        <v>1505</v>
      </c>
      <c r="N72" t="s">
        <v>1506</v>
      </c>
      <c r="O72">
        <f>-728.427206133363 -1.26903178108091 -736.544826620317</f>
        <v>-1466.2410645347609</v>
      </c>
      <c r="P72" t="s">
        <v>1507</v>
      </c>
      <c r="Q72">
        <f>-478.158722919251 -62.8140191623315 -363.891456237086</f>
        <v>-904.86419831866851</v>
      </c>
      <c r="R72" t="s">
        <v>1508</v>
      </c>
      <c r="S72" t="s">
        <v>1509</v>
      </c>
      <c r="T72" t="s">
        <v>1510</v>
      </c>
      <c r="U72" t="s">
        <v>1511</v>
      </c>
      <c r="V72" t="s">
        <v>1512</v>
      </c>
      <c r="W72" t="s">
        <v>1513</v>
      </c>
      <c r="X72" t="s">
        <v>1514</v>
      </c>
      <c r="Y72" t="s">
        <v>1515</v>
      </c>
    </row>
    <row r="73" spans="1:25" x14ac:dyDescent="0.3">
      <c r="A73">
        <v>3600</v>
      </c>
      <c r="B73" t="s">
        <v>1516</v>
      </c>
      <c r="C73" t="s">
        <v>1517</v>
      </c>
      <c r="D73" t="s">
        <v>1518</v>
      </c>
      <c r="E73" t="s">
        <v>1519</v>
      </c>
      <c r="F73" t="s">
        <v>1520</v>
      </c>
      <c r="G73" t="s">
        <v>1521</v>
      </c>
      <c r="H73" t="s">
        <v>1522</v>
      </c>
      <c r="I73" t="s">
        <v>1523</v>
      </c>
      <c r="J73" t="s">
        <v>1524</v>
      </c>
      <c r="K73" t="s">
        <v>1525</v>
      </c>
      <c r="L73" t="s">
        <v>1526</v>
      </c>
      <c r="M73" t="s">
        <v>1527</v>
      </c>
      <c r="N73" t="s">
        <v>1528</v>
      </c>
      <c r="O73">
        <f>-728.035871511276 -1.17351721221507 -736.776971013493</f>
        <v>-1465.986359736984</v>
      </c>
      <c r="P73" t="s">
        <v>1529</v>
      </c>
      <c r="Q73">
        <f>-477.938212045061 -62.7819161436175 -363.950894682383</f>
        <v>-904.6710228710615</v>
      </c>
      <c r="R73" t="s">
        <v>1530</v>
      </c>
      <c r="S73" t="s">
        <v>1531</v>
      </c>
      <c r="T73" t="s">
        <v>1532</v>
      </c>
      <c r="U73" t="s">
        <v>1533</v>
      </c>
      <c r="V73" t="s">
        <v>1534</v>
      </c>
      <c r="W73" t="s">
        <v>1535</v>
      </c>
      <c r="X73" t="s">
        <v>1536</v>
      </c>
      <c r="Y73" t="s">
        <v>1537</v>
      </c>
    </row>
    <row r="74" spans="1:25" x14ac:dyDescent="0.3">
      <c r="A74">
        <v>3650</v>
      </c>
      <c r="B74" t="s">
        <v>1538</v>
      </c>
      <c r="C74" t="s">
        <v>1539</v>
      </c>
      <c r="D74" t="s">
        <v>1540</v>
      </c>
      <c r="E74" t="s">
        <v>1541</v>
      </c>
      <c r="F74" t="s">
        <v>1542</v>
      </c>
      <c r="G74" t="s">
        <v>1543</v>
      </c>
      <c r="H74" t="s">
        <v>1544</v>
      </c>
      <c r="I74" t="s">
        <v>1545</v>
      </c>
      <c r="J74" t="s">
        <v>1546</v>
      </c>
      <c r="K74" t="s">
        <v>1547</v>
      </c>
      <c r="L74" t="s">
        <v>1548</v>
      </c>
      <c r="M74" t="s">
        <v>1549</v>
      </c>
      <c r="N74" t="s">
        <v>1550</v>
      </c>
      <c r="O74">
        <f>-727.49226027779 -1.37708726313872 -737.467269258083</f>
        <v>-1466.3366167990116</v>
      </c>
      <c r="P74" t="s">
        <v>1551</v>
      </c>
      <c r="Q74">
        <f>-477.404636446141 -63.4582401826108 -364.406442855315</f>
        <v>-905.26931948406673</v>
      </c>
      <c r="R74" t="s">
        <v>1552</v>
      </c>
      <c r="S74" t="s">
        <v>1553</v>
      </c>
      <c r="T74" t="s">
        <v>1554</v>
      </c>
      <c r="U74" t="s">
        <v>1555</v>
      </c>
      <c r="V74" t="s">
        <v>1556</v>
      </c>
      <c r="W74" t="s">
        <v>1557</v>
      </c>
      <c r="X74" t="s">
        <v>1558</v>
      </c>
      <c r="Y74" t="s">
        <v>1559</v>
      </c>
    </row>
    <row r="75" spans="1:25" x14ac:dyDescent="0.3">
      <c r="A75">
        <v>3700</v>
      </c>
      <c r="B75" t="s">
        <v>1560</v>
      </c>
      <c r="C75" t="s">
        <v>1561</v>
      </c>
      <c r="D75" t="s">
        <v>1562</v>
      </c>
      <c r="E75" t="s">
        <v>1563</v>
      </c>
      <c r="F75" t="s">
        <v>1564</v>
      </c>
      <c r="G75" t="s">
        <v>1565</v>
      </c>
      <c r="H75" t="s">
        <v>1566</v>
      </c>
      <c r="I75" t="s">
        <v>1567</v>
      </c>
      <c r="J75" t="s">
        <v>1568</v>
      </c>
      <c r="K75" t="s">
        <v>1569</v>
      </c>
      <c r="L75" t="s">
        <v>1570</v>
      </c>
      <c r="M75" t="s">
        <v>1571</v>
      </c>
      <c r="N75" t="s">
        <v>1572</v>
      </c>
      <c r="O75">
        <f>-727.199855978606 -1.48153319110952 -737.729562368765</f>
        <v>-1466.4109515384805</v>
      </c>
      <c r="P75" t="s">
        <v>1573</v>
      </c>
      <c r="Q75">
        <f>-477.072367960996 -63.7761507627947 -364.655387645973</f>
        <v>-905.50390636976363</v>
      </c>
      <c r="R75" t="s">
        <v>1574</v>
      </c>
      <c r="S75" t="s">
        <v>1575</v>
      </c>
      <c r="T75" t="s">
        <v>1576</v>
      </c>
      <c r="U75" t="s">
        <v>1577</v>
      </c>
      <c r="V75" t="s">
        <v>1578</v>
      </c>
      <c r="W75" t="s">
        <v>1579</v>
      </c>
      <c r="X75" t="s">
        <v>1580</v>
      </c>
      <c r="Y75" t="s">
        <v>1581</v>
      </c>
    </row>
    <row r="76" spans="1:25" x14ac:dyDescent="0.3">
      <c r="A76">
        <v>3750</v>
      </c>
      <c r="B76" t="s">
        <v>1582</v>
      </c>
      <c r="C76" t="s">
        <v>1583</v>
      </c>
      <c r="D76" t="s">
        <v>1584</v>
      </c>
      <c r="E76" t="s">
        <v>1585</v>
      </c>
      <c r="F76" t="s">
        <v>1586</v>
      </c>
      <c r="G76" t="s">
        <v>1587</v>
      </c>
      <c r="H76" t="s">
        <v>1588</v>
      </c>
      <c r="I76" t="s">
        <v>1589</v>
      </c>
      <c r="J76" t="s">
        <v>1590</v>
      </c>
      <c r="K76" t="s">
        <v>1591</v>
      </c>
      <c r="L76" t="s">
        <v>1592</v>
      </c>
      <c r="M76" t="s">
        <v>1593</v>
      </c>
      <c r="N76" t="s">
        <v>1594</v>
      </c>
      <c r="O76">
        <f>-726.571820459141 -1.4735039312659 -738.092833294186</f>
        <v>-1466.1381576845929</v>
      </c>
      <c r="P76" t="s">
        <v>1595</v>
      </c>
      <c r="Q76">
        <f>-476.208891714556 -64.1030239924773 -365.109979071083</f>
        <v>-905.42189477811633</v>
      </c>
      <c r="R76" t="s">
        <v>1596</v>
      </c>
      <c r="S76" t="s">
        <v>1597</v>
      </c>
      <c r="T76" t="s">
        <v>1598</v>
      </c>
      <c r="U76" t="s">
        <v>1599</v>
      </c>
      <c r="V76" t="s">
        <v>1600</v>
      </c>
      <c r="W76" t="s">
        <v>1601</v>
      </c>
      <c r="X76" t="s">
        <v>1602</v>
      </c>
      <c r="Y76" t="s">
        <v>1603</v>
      </c>
    </row>
    <row r="77" spans="1:25" x14ac:dyDescent="0.3">
      <c r="A77">
        <v>3800</v>
      </c>
      <c r="B77" t="s">
        <v>1604</v>
      </c>
      <c r="C77" t="s">
        <v>1605</v>
      </c>
      <c r="D77" t="s">
        <v>1606</v>
      </c>
      <c r="E77" t="s">
        <v>1607</v>
      </c>
      <c r="F77" t="s">
        <v>1608</v>
      </c>
      <c r="G77" t="s">
        <v>1609</v>
      </c>
      <c r="H77" t="s">
        <v>1610</v>
      </c>
      <c r="I77" t="s">
        <v>1611</v>
      </c>
      <c r="J77" t="s">
        <v>1612</v>
      </c>
      <c r="K77" t="s">
        <v>1613</v>
      </c>
      <c r="L77" t="s">
        <v>1614</v>
      </c>
      <c r="M77" t="s">
        <v>1615</v>
      </c>
      <c r="N77" t="s">
        <v>1616</v>
      </c>
      <c r="O77">
        <f>-726.126506676053 -1.22875381751555 -738.183523087722</f>
        <v>-1465.5387835812908</v>
      </c>
      <c r="P77" t="s">
        <v>1617</v>
      </c>
      <c r="Q77">
        <f>-475.594419297944 -64.1463195401855 -365.082864849706</f>
        <v>-904.82360368783543</v>
      </c>
      <c r="R77" t="s">
        <v>1618</v>
      </c>
      <c r="S77" t="s">
        <v>1619</v>
      </c>
      <c r="T77" t="s">
        <v>1620</v>
      </c>
      <c r="U77" t="s">
        <v>1621</v>
      </c>
      <c r="V77" t="s">
        <v>1622</v>
      </c>
      <c r="W77" t="s">
        <v>1623</v>
      </c>
      <c r="X77" t="s">
        <v>1624</v>
      </c>
      <c r="Y77" t="s">
        <v>1625</v>
      </c>
    </row>
    <row r="78" spans="1:25" x14ac:dyDescent="0.3">
      <c r="A78">
        <v>3850</v>
      </c>
      <c r="B78" t="s">
        <v>1626</v>
      </c>
      <c r="C78" t="s">
        <v>1627</v>
      </c>
      <c r="D78" t="s">
        <v>1628</v>
      </c>
      <c r="E78" t="s">
        <v>1629</v>
      </c>
      <c r="F78" t="s">
        <v>1630</v>
      </c>
      <c r="G78" t="s">
        <v>1631</v>
      </c>
      <c r="H78" t="s">
        <v>1632</v>
      </c>
      <c r="I78" t="s">
        <v>1633</v>
      </c>
      <c r="J78" t="s">
        <v>1634</v>
      </c>
      <c r="K78" t="s">
        <v>1635</v>
      </c>
      <c r="L78" t="s">
        <v>1636</v>
      </c>
      <c r="M78" t="s">
        <v>1637</v>
      </c>
      <c r="N78" t="s">
        <v>1638</v>
      </c>
      <c r="O78">
        <f>-725.215053754554 -0.525221471117902 -738.259181781262</f>
        <v>-1463.9994570069339</v>
      </c>
      <c r="P78" t="s">
        <v>1639</v>
      </c>
      <c r="Q78">
        <f>-474.516004975824 -63.9450377181884 -364.74645509741</f>
        <v>-903.20749779142238</v>
      </c>
      <c r="R78" t="s">
        <v>1640</v>
      </c>
      <c r="S78" t="s">
        <v>1641</v>
      </c>
      <c r="T78" t="s">
        <v>1642</v>
      </c>
      <c r="U78" t="s">
        <v>1643</v>
      </c>
      <c r="V78" t="s">
        <v>1644</v>
      </c>
      <c r="W78" t="s">
        <v>1645</v>
      </c>
      <c r="X78" t="s">
        <v>1646</v>
      </c>
      <c r="Y78" t="s">
        <v>1647</v>
      </c>
    </row>
    <row r="79" spans="1:25" x14ac:dyDescent="0.3">
      <c r="A79">
        <v>3900</v>
      </c>
      <c r="B79" t="s">
        <v>1648</v>
      </c>
      <c r="C79" t="s">
        <v>1649</v>
      </c>
      <c r="D79" t="s">
        <v>1650</v>
      </c>
      <c r="E79" t="s">
        <v>1651</v>
      </c>
      <c r="F79" t="s">
        <v>1652</v>
      </c>
      <c r="G79" t="s">
        <v>1653</v>
      </c>
      <c r="H79" t="s">
        <v>1654</v>
      </c>
      <c r="I79" t="s">
        <v>1655</v>
      </c>
      <c r="J79" t="s">
        <v>1656</v>
      </c>
      <c r="K79" t="s">
        <v>1657</v>
      </c>
      <c r="L79" t="s">
        <v>1658</v>
      </c>
      <c r="M79" t="s">
        <v>1659</v>
      </c>
      <c r="N79" t="s">
        <v>1660</v>
      </c>
      <c r="O79">
        <f>-724.679518937809 -0.374618556700625 -738.280960338747</f>
        <v>-1463.3350978332567</v>
      </c>
      <c r="P79" t="s">
        <v>1661</v>
      </c>
      <c r="Q79">
        <f>-473.987982997993 -63.8643500022163 -364.618425151129</f>
        <v>-902.47075815133826</v>
      </c>
      <c r="R79" t="s">
        <v>1662</v>
      </c>
      <c r="S79" t="s">
        <v>1663</v>
      </c>
      <c r="T79" t="s">
        <v>1664</v>
      </c>
      <c r="U79" t="s">
        <v>1665</v>
      </c>
      <c r="V79" t="s">
        <v>1666</v>
      </c>
      <c r="W79" t="s">
        <v>1667</v>
      </c>
      <c r="X79" t="s">
        <v>1668</v>
      </c>
      <c r="Y79" t="s">
        <v>1669</v>
      </c>
    </row>
    <row r="80" spans="1:25" x14ac:dyDescent="0.3">
      <c r="A80">
        <v>3950</v>
      </c>
      <c r="B80" t="s">
        <v>1670</v>
      </c>
      <c r="C80" t="s">
        <v>1671</v>
      </c>
      <c r="D80" t="s">
        <v>1672</v>
      </c>
      <c r="E80" t="s">
        <v>1673</v>
      </c>
      <c r="F80" t="s">
        <v>1674</v>
      </c>
      <c r="G80" t="s">
        <v>1675</v>
      </c>
      <c r="H80" t="s">
        <v>1676</v>
      </c>
      <c r="I80" t="s">
        <v>1677</v>
      </c>
      <c r="J80" t="s">
        <v>1678</v>
      </c>
      <c r="K80" t="s">
        <v>1679</v>
      </c>
      <c r="L80" t="s">
        <v>1680</v>
      </c>
      <c r="M80" t="s">
        <v>1681</v>
      </c>
      <c r="N80" t="s">
        <v>1682</v>
      </c>
      <c r="O80">
        <f>-723.270311025937 -0.272381151940635 -738.380836773313</f>
        <v>-1461.9235289511907</v>
      </c>
      <c r="P80" t="s">
        <v>1683</v>
      </c>
      <c r="Q80">
        <f>-472.887690069384 -63.7515711266815 -364.549417889066</f>
        <v>-901.18867908513153</v>
      </c>
      <c r="R80" t="s">
        <v>1684</v>
      </c>
      <c r="S80" t="s">
        <v>1685</v>
      </c>
      <c r="T80" t="s">
        <v>1686</v>
      </c>
      <c r="U80" t="s">
        <v>1687</v>
      </c>
      <c r="V80" t="s">
        <v>1688</v>
      </c>
      <c r="W80" t="s">
        <v>1689</v>
      </c>
      <c r="X80" t="s">
        <v>1690</v>
      </c>
      <c r="Y80" t="s">
        <v>1691</v>
      </c>
    </row>
    <row r="81" spans="1:25" x14ac:dyDescent="0.3">
      <c r="A81">
        <v>4000</v>
      </c>
      <c r="B81" t="s">
        <v>1692</v>
      </c>
      <c r="C81" t="s">
        <v>1693</v>
      </c>
      <c r="D81" t="s">
        <v>1694</v>
      </c>
      <c r="E81" t="s">
        <v>1695</v>
      </c>
      <c r="F81" t="s">
        <v>1696</v>
      </c>
      <c r="G81" t="s">
        <v>1697</v>
      </c>
      <c r="H81" t="s">
        <v>1698</v>
      </c>
      <c r="I81" t="s">
        <v>1699</v>
      </c>
      <c r="J81" t="s">
        <v>1700</v>
      </c>
      <c r="K81" t="s">
        <v>1701</v>
      </c>
      <c r="L81" t="s">
        <v>1702</v>
      </c>
      <c r="M81" t="s">
        <v>1703</v>
      </c>
      <c r="N81" t="s">
        <v>1704</v>
      </c>
      <c r="O81">
        <f>-722.645319603872 -0.175717419937655 -738.48359778287</f>
        <v>-1461.3046348066796</v>
      </c>
      <c r="P81" t="s">
        <v>1705</v>
      </c>
      <c r="Q81">
        <f>-472.469010379274 -63.3580778279797 -364.588315373782</f>
        <v>-900.41540358103566</v>
      </c>
      <c r="R81" t="s">
        <v>1706</v>
      </c>
      <c r="S81" t="s">
        <v>1707</v>
      </c>
      <c r="T81" t="s">
        <v>1708</v>
      </c>
      <c r="U81" t="s">
        <v>1709</v>
      </c>
      <c r="V81" t="s">
        <v>1710</v>
      </c>
      <c r="W81" t="s">
        <v>1711</v>
      </c>
      <c r="X81" t="s">
        <v>1712</v>
      </c>
      <c r="Y81" t="s">
        <v>1713</v>
      </c>
    </row>
    <row r="82" spans="1:25" x14ac:dyDescent="0.3">
      <c r="A82">
        <v>4050</v>
      </c>
      <c r="B82" t="s">
        <v>1714</v>
      </c>
      <c r="C82" t="s">
        <v>1715</v>
      </c>
      <c r="D82" t="s">
        <v>1716</v>
      </c>
      <c r="E82" t="s">
        <v>1717</v>
      </c>
      <c r="F82" t="s">
        <v>1718</v>
      </c>
      <c r="G82" t="s">
        <v>1719</v>
      </c>
      <c r="H82" t="s">
        <v>1720</v>
      </c>
      <c r="I82" t="s">
        <v>1721</v>
      </c>
      <c r="J82" t="s">
        <v>1722</v>
      </c>
      <c r="K82" t="s">
        <v>1723</v>
      </c>
      <c r="L82" t="s">
        <v>1724</v>
      </c>
      <c r="M82" t="s">
        <v>1725</v>
      </c>
      <c r="N82" t="s">
        <v>1726</v>
      </c>
      <c r="O82">
        <f>-721.046742508203 -0.565429478899887 -738.731785572323</f>
        <v>-1460.3439575594259</v>
      </c>
      <c r="P82" t="s">
        <v>1727</v>
      </c>
      <c r="Q82">
        <f>-471.326601787855 -63.5548384480755 -364.775057419</f>
        <v>-899.65649765493049</v>
      </c>
      <c r="R82" t="s">
        <v>1728</v>
      </c>
      <c r="S82" t="s">
        <v>1729</v>
      </c>
      <c r="T82" t="s">
        <v>1730</v>
      </c>
      <c r="U82" t="s">
        <v>1731</v>
      </c>
      <c r="V82" t="s">
        <v>1732</v>
      </c>
      <c r="W82" t="s">
        <v>1733</v>
      </c>
      <c r="X82" t="s">
        <v>1734</v>
      </c>
      <c r="Y82" t="s">
        <v>1735</v>
      </c>
    </row>
    <row r="83" spans="1:25" x14ac:dyDescent="0.3">
      <c r="A83">
        <v>4100</v>
      </c>
      <c r="B83" t="s">
        <v>1736</v>
      </c>
      <c r="C83" t="s">
        <v>1737</v>
      </c>
      <c r="D83" t="s">
        <v>1738</v>
      </c>
      <c r="E83" t="s">
        <v>1739</v>
      </c>
      <c r="F83" t="s">
        <v>1740</v>
      </c>
      <c r="G83" t="s">
        <v>1741</v>
      </c>
      <c r="H83" t="s">
        <v>1742</v>
      </c>
      <c r="I83" t="s">
        <v>1743</v>
      </c>
      <c r="J83" t="s">
        <v>1744</v>
      </c>
      <c r="K83" t="s">
        <v>1745</v>
      </c>
      <c r="L83" t="s">
        <v>1746</v>
      </c>
      <c r="M83" t="s">
        <v>1747</v>
      </c>
      <c r="N83" t="s">
        <v>1748</v>
      </c>
      <c r="O83">
        <f>-720.195565392637 -0.696157807431746 -738.888215015542</f>
        <v>-1459.7799382156109</v>
      </c>
      <c r="P83" t="s">
        <v>1749</v>
      </c>
      <c r="Q83">
        <f>-470.62730960964 -63.7277159728906 -364.868825156902</f>
        <v>-899.22385073943269</v>
      </c>
      <c r="R83" t="s">
        <v>1750</v>
      </c>
      <c r="S83" t="s">
        <v>1751</v>
      </c>
      <c r="T83" t="s">
        <v>1752</v>
      </c>
      <c r="U83" t="s">
        <v>1753</v>
      </c>
      <c r="V83" t="s">
        <v>1754</v>
      </c>
      <c r="W83" t="s">
        <v>1755</v>
      </c>
      <c r="X83" t="s">
        <v>1756</v>
      </c>
      <c r="Y83" t="s">
        <v>1757</v>
      </c>
    </row>
    <row r="84" spans="1:25" x14ac:dyDescent="0.3">
      <c r="A84">
        <v>4150</v>
      </c>
      <c r="B84" t="s">
        <v>1758</v>
      </c>
      <c r="C84" t="s">
        <v>1759</v>
      </c>
      <c r="D84" t="s">
        <v>1760</v>
      </c>
      <c r="E84" t="s">
        <v>1761</v>
      </c>
      <c r="F84" t="s">
        <v>1762</v>
      </c>
      <c r="G84" t="s">
        <v>1763</v>
      </c>
      <c r="H84" t="s">
        <v>1764</v>
      </c>
      <c r="I84" t="s">
        <v>1765</v>
      </c>
      <c r="J84" t="s">
        <v>1766</v>
      </c>
      <c r="K84" t="s">
        <v>1767</v>
      </c>
      <c r="L84" t="s">
        <v>1768</v>
      </c>
      <c r="M84" t="s">
        <v>1769</v>
      </c>
      <c r="N84" t="s">
        <v>1770</v>
      </c>
      <c r="O84">
        <f>-718.778743566785 -0.979101322007864 -739.116652549257</f>
        <v>-1458.8744974380497</v>
      </c>
      <c r="P84">
        <f>-714.928167720232 -0.253443434866995 -422.618970826897</f>
        <v>-1137.8005819819959</v>
      </c>
      <c r="Q84">
        <f>-469.49389119363 -63.796969014571 -364.599209009102</f>
        <v>-897.89006921730311</v>
      </c>
      <c r="R84" t="s">
        <v>1771</v>
      </c>
      <c r="S84" t="s">
        <v>1772</v>
      </c>
      <c r="T84" t="s">
        <v>1773</v>
      </c>
      <c r="U84" t="s">
        <v>1774</v>
      </c>
      <c r="V84" t="s">
        <v>1775</v>
      </c>
      <c r="W84" t="s">
        <v>1776</v>
      </c>
      <c r="X84" t="s">
        <v>1777</v>
      </c>
      <c r="Y84" t="s">
        <v>1778</v>
      </c>
    </row>
    <row r="85" spans="1:25" x14ac:dyDescent="0.3">
      <c r="A85">
        <v>4200</v>
      </c>
      <c r="B85" t="s">
        <v>1779</v>
      </c>
      <c r="C85" t="s">
        <v>1780</v>
      </c>
      <c r="D85" t="s">
        <v>1781</v>
      </c>
      <c r="E85" t="s">
        <v>1782</v>
      </c>
      <c r="F85" t="s">
        <v>1783</v>
      </c>
      <c r="G85" t="s">
        <v>1784</v>
      </c>
      <c r="H85" t="s">
        <v>1785</v>
      </c>
      <c r="I85" t="s">
        <v>1786</v>
      </c>
      <c r="J85" t="s">
        <v>1787</v>
      </c>
      <c r="K85" t="s">
        <v>1788</v>
      </c>
      <c r="L85" t="s">
        <v>1789</v>
      </c>
      <c r="M85" t="s">
        <v>1790</v>
      </c>
      <c r="N85" t="s">
        <v>1791</v>
      </c>
      <c r="O85">
        <f>-718.226097601921 -1.2301553364814 -739.200577477747</f>
        <v>-1458.6568304161492</v>
      </c>
      <c r="P85">
        <f>-714.451355532855 -0.528958157738089 -422.701848056243</f>
        <v>-1137.6821617468361</v>
      </c>
      <c r="Q85">
        <f>-468.994792707184 -63.6880920198059 -364.35759463249</f>
        <v>-897.04047935947983</v>
      </c>
      <c r="R85" t="s">
        <v>1792</v>
      </c>
      <c r="S85" t="s">
        <v>1793</v>
      </c>
      <c r="T85" t="s">
        <v>1794</v>
      </c>
      <c r="U85" t="s">
        <v>1795</v>
      </c>
      <c r="V85" t="s">
        <v>1796</v>
      </c>
      <c r="W85" t="s">
        <v>1797</v>
      </c>
      <c r="X85" t="s">
        <v>1798</v>
      </c>
      <c r="Y85" t="s">
        <v>1799</v>
      </c>
    </row>
    <row r="86" spans="1:25" x14ac:dyDescent="0.3">
      <c r="A86">
        <v>4250</v>
      </c>
      <c r="B86" t="s">
        <v>1800</v>
      </c>
      <c r="C86" t="s">
        <v>1801</v>
      </c>
      <c r="D86" t="s">
        <v>1802</v>
      </c>
      <c r="E86" t="s">
        <v>1803</v>
      </c>
      <c r="F86" t="s">
        <v>1804</v>
      </c>
      <c r="G86" t="s">
        <v>1805</v>
      </c>
      <c r="H86" t="s">
        <v>1806</v>
      </c>
      <c r="I86" t="s">
        <v>1807</v>
      </c>
      <c r="J86" t="s">
        <v>1808</v>
      </c>
      <c r="K86" t="s">
        <v>1809</v>
      </c>
      <c r="L86" t="s">
        <v>1810</v>
      </c>
      <c r="M86" t="s">
        <v>1811</v>
      </c>
      <c r="N86" t="s">
        <v>1812</v>
      </c>
      <c r="O86">
        <f>-716.890896589137 -1.67879431373399 -739.316431283673</f>
        <v>-1457.8861221865441</v>
      </c>
      <c r="P86">
        <f>-713.246830926694 -0.848911163444427 -422.816521575406</f>
        <v>-1136.9122636655443</v>
      </c>
      <c r="Q86">
        <f>-467.641220725904 -63.2476468108091 -364.281611300394</f>
        <v>-895.17047883710711</v>
      </c>
      <c r="R86" t="s">
        <v>1813</v>
      </c>
      <c r="S86" t="s">
        <v>1814</v>
      </c>
      <c r="T86" t="s">
        <v>1815</v>
      </c>
      <c r="U86" t="s">
        <v>1816</v>
      </c>
      <c r="V86" t="s">
        <v>1817</v>
      </c>
      <c r="W86" t="s">
        <v>1818</v>
      </c>
      <c r="X86" t="s">
        <v>1819</v>
      </c>
      <c r="Y86" t="s">
        <v>1820</v>
      </c>
    </row>
    <row r="87" spans="1:25" x14ac:dyDescent="0.3">
      <c r="A87">
        <v>4300</v>
      </c>
      <c r="B87" t="s">
        <v>1821</v>
      </c>
      <c r="C87" t="s">
        <v>1822</v>
      </c>
      <c r="D87" t="s">
        <v>1823</v>
      </c>
      <c r="E87" t="s">
        <v>1824</v>
      </c>
      <c r="F87" t="s">
        <v>1825</v>
      </c>
      <c r="G87" t="s">
        <v>1826</v>
      </c>
      <c r="H87" t="s">
        <v>1827</v>
      </c>
      <c r="I87" t="s">
        <v>1828</v>
      </c>
      <c r="J87" t="s">
        <v>1829</v>
      </c>
      <c r="K87" t="s">
        <v>1830</v>
      </c>
      <c r="L87" t="s">
        <v>1831</v>
      </c>
      <c r="M87" t="s">
        <v>1832</v>
      </c>
      <c r="N87" t="s">
        <v>1833</v>
      </c>
      <c r="O87">
        <f>-716.158317454805 -1.90240306396595 -739.392163058832</f>
        <v>-1457.452883577603</v>
      </c>
      <c r="P87">
        <f>-712.581656697478 -1.20798643832904 -422.891111722264</f>
        <v>-1136.6807548580709</v>
      </c>
      <c r="Q87">
        <f>-466.883323134944 -63.3529052367405 -364.475478522462</f>
        <v>-894.71170689414657</v>
      </c>
      <c r="R87" t="s">
        <v>1834</v>
      </c>
      <c r="S87" t="s">
        <v>1835</v>
      </c>
      <c r="T87" t="s">
        <v>1836</v>
      </c>
      <c r="U87" t="s">
        <v>1837</v>
      </c>
      <c r="V87" t="s">
        <v>1838</v>
      </c>
      <c r="W87" t="s">
        <v>1839</v>
      </c>
      <c r="X87" t="s">
        <v>1840</v>
      </c>
      <c r="Y87" t="s">
        <v>1841</v>
      </c>
    </row>
    <row r="88" spans="1:25" x14ac:dyDescent="0.3">
      <c r="A88">
        <v>4350</v>
      </c>
      <c r="B88" t="s">
        <v>1842</v>
      </c>
      <c r="C88" t="s">
        <v>1843</v>
      </c>
      <c r="D88" t="s">
        <v>1844</v>
      </c>
      <c r="E88" t="s">
        <v>1845</v>
      </c>
      <c r="F88" t="s">
        <v>1846</v>
      </c>
      <c r="G88" t="s">
        <v>1847</v>
      </c>
      <c r="H88" t="s">
        <v>1848</v>
      </c>
      <c r="I88" t="s">
        <v>1849</v>
      </c>
      <c r="J88" t="s">
        <v>1850</v>
      </c>
      <c r="K88" t="s">
        <v>1851</v>
      </c>
      <c r="L88" t="s">
        <v>1852</v>
      </c>
      <c r="M88" t="s">
        <v>1853</v>
      </c>
      <c r="N88" t="s">
        <v>1854</v>
      </c>
      <c r="O88">
        <f>-714.797875757708 -2.3227893333476 -739.537934576632</f>
        <v>-1456.6585996676877</v>
      </c>
      <c r="P88">
        <f>-711.276578059297 -1.9337503619945 -423.035679912966</f>
        <v>-1136.2460083342576</v>
      </c>
      <c r="Q88">
        <f>-465.416427302865 -63.5597053853462 -364.751265448515</f>
        <v>-893.72739813672615</v>
      </c>
      <c r="R88" t="s">
        <v>1855</v>
      </c>
      <c r="S88" t="s">
        <v>1856</v>
      </c>
      <c r="T88" t="s">
        <v>1857</v>
      </c>
      <c r="U88" t="s">
        <v>1858</v>
      </c>
      <c r="V88" t="s">
        <v>1859</v>
      </c>
      <c r="W88" t="s">
        <v>1860</v>
      </c>
      <c r="X88" t="s">
        <v>1861</v>
      </c>
      <c r="Y88" t="s">
        <v>1862</v>
      </c>
    </row>
    <row r="89" spans="1:25" x14ac:dyDescent="0.3">
      <c r="A89">
        <v>4400</v>
      </c>
      <c r="B89" t="s">
        <v>1863</v>
      </c>
      <c r="C89" t="s">
        <v>1864</v>
      </c>
      <c r="D89" t="s">
        <v>1865</v>
      </c>
      <c r="E89" t="s">
        <v>1866</v>
      </c>
      <c r="F89" t="s">
        <v>1867</v>
      </c>
      <c r="G89" t="s">
        <v>1868</v>
      </c>
      <c r="H89" t="s">
        <v>1869</v>
      </c>
      <c r="I89" t="s">
        <v>1870</v>
      </c>
      <c r="J89" t="s">
        <v>1871</v>
      </c>
      <c r="K89" t="s">
        <v>1872</v>
      </c>
      <c r="L89" t="s">
        <v>1873</v>
      </c>
      <c r="M89" t="s">
        <v>1874</v>
      </c>
      <c r="N89" t="s">
        <v>1875</v>
      </c>
      <c r="O89">
        <f>-714.16087601288 -2.42673667901249 -739.61092632787</f>
        <v>-1456.1985390197624</v>
      </c>
      <c r="P89">
        <f>-710.662225598934 -2.15313347435585 -423.108361161511</f>
        <v>-1135.9237202348008</v>
      </c>
      <c r="Q89">
        <f>-464.734530096523 -63.5074610184972 -364.822308143088</f>
        <v>-893.06429925810812</v>
      </c>
      <c r="R89" t="s">
        <v>1876</v>
      </c>
      <c r="S89" t="s">
        <v>1877</v>
      </c>
      <c r="T89" t="s">
        <v>1878</v>
      </c>
      <c r="U89" t="s">
        <v>1879</v>
      </c>
      <c r="V89" t="s">
        <v>1880</v>
      </c>
      <c r="W89" t="s">
        <v>1881</v>
      </c>
      <c r="X89" t="s">
        <v>1882</v>
      </c>
      <c r="Y89" t="s">
        <v>1883</v>
      </c>
    </row>
    <row r="90" spans="1:25" x14ac:dyDescent="0.3">
      <c r="A90">
        <v>4450</v>
      </c>
      <c r="B90" t="s">
        <v>1884</v>
      </c>
      <c r="C90" t="s">
        <v>1885</v>
      </c>
      <c r="D90" t="s">
        <v>1886</v>
      </c>
      <c r="E90" t="s">
        <v>1887</v>
      </c>
      <c r="F90" t="s">
        <v>1888</v>
      </c>
      <c r="G90" t="s">
        <v>1889</v>
      </c>
      <c r="H90" t="s">
        <v>1890</v>
      </c>
      <c r="I90" t="s">
        <v>1891</v>
      </c>
      <c r="J90" t="s">
        <v>1892</v>
      </c>
      <c r="K90" t="s">
        <v>1893</v>
      </c>
      <c r="L90" t="s">
        <v>1894</v>
      </c>
      <c r="M90" t="s">
        <v>1895</v>
      </c>
      <c r="N90" t="s">
        <v>1896</v>
      </c>
      <c r="O90">
        <f>-712.93637652652 -2.84347540460294 -739.832676297368</f>
        <v>-1455.6125282284911</v>
      </c>
      <c r="P90">
        <f>-709.486052713113 -2.52277917071228 -423.329694305698</f>
        <v>-1135.3385261895232</v>
      </c>
      <c r="Q90">
        <f>-463.490651841239 -63.360357420157 -364.788357347429</f>
        <v>-891.63936660882496</v>
      </c>
      <c r="R90" t="s">
        <v>1897</v>
      </c>
      <c r="S90" t="s">
        <v>1898</v>
      </c>
      <c r="T90" t="s">
        <v>1899</v>
      </c>
      <c r="U90" t="s">
        <v>1900</v>
      </c>
      <c r="V90" t="s">
        <v>1901</v>
      </c>
      <c r="W90" t="s">
        <v>1902</v>
      </c>
      <c r="X90" t="s">
        <v>1903</v>
      </c>
      <c r="Y90" t="s">
        <v>1904</v>
      </c>
    </row>
    <row r="91" spans="1:25" x14ac:dyDescent="0.3">
      <c r="A91">
        <v>4500</v>
      </c>
      <c r="B91" t="s">
        <v>1905</v>
      </c>
      <c r="C91" t="s">
        <v>1906</v>
      </c>
      <c r="D91" t="s">
        <v>1907</v>
      </c>
      <c r="E91" t="s">
        <v>1908</v>
      </c>
      <c r="F91" t="s">
        <v>1909</v>
      </c>
      <c r="G91" t="s">
        <v>1910</v>
      </c>
      <c r="H91" t="s">
        <v>1911</v>
      </c>
      <c r="I91" t="s">
        <v>1912</v>
      </c>
      <c r="J91" t="s">
        <v>1913</v>
      </c>
      <c r="K91" t="s">
        <v>1914</v>
      </c>
      <c r="L91" t="s">
        <v>1915</v>
      </c>
      <c r="M91" t="s">
        <v>1916</v>
      </c>
      <c r="N91" t="s">
        <v>1917</v>
      </c>
      <c r="O91">
        <f>-712.293359316014 -3.15351498652149 -739.908178017155</f>
        <v>-1455.3550523196905</v>
      </c>
      <c r="P91">
        <f>-709.030599882444 -2.6255181050617 -423.403458364972</f>
        <v>-1135.0595763524777</v>
      </c>
      <c r="Q91">
        <f>-462.995194895302 -63.1602305312988 -364.715987163019</f>
        <v>-890.87141258961981</v>
      </c>
      <c r="R91" t="s">
        <v>1918</v>
      </c>
      <c r="S91" t="s">
        <v>1919</v>
      </c>
      <c r="T91" t="s">
        <v>1920</v>
      </c>
      <c r="U91" t="s">
        <v>1921</v>
      </c>
      <c r="V91" t="s">
        <v>1922</v>
      </c>
      <c r="W91" t="s">
        <v>1923</v>
      </c>
      <c r="X91" t="s">
        <v>1924</v>
      </c>
      <c r="Y91" t="s">
        <v>1925</v>
      </c>
    </row>
    <row r="92" spans="1:25" x14ac:dyDescent="0.3">
      <c r="A92">
        <v>4550</v>
      </c>
      <c r="B92" t="s">
        <v>1926</v>
      </c>
      <c r="C92" t="s">
        <v>1927</v>
      </c>
      <c r="D92" t="s">
        <v>1928</v>
      </c>
      <c r="E92" t="s">
        <v>1929</v>
      </c>
      <c r="F92" t="s">
        <v>1930</v>
      </c>
      <c r="G92" t="s">
        <v>1931</v>
      </c>
      <c r="H92" t="s">
        <v>1932</v>
      </c>
      <c r="I92" t="s">
        <v>1933</v>
      </c>
      <c r="J92" t="s">
        <v>1934</v>
      </c>
      <c r="K92" t="s">
        <v>1935</v>
      </c>
      <c r="L92" t="s">
        <v>1936</v>
      </c>
      <c r="M92" t="s">
        <v>1937</v>
      </c>
      <c r="N92" t="s">
        <v>1938</v>
      </c>
      <c r="O92">
        <f>-711.053086410468 -3.60946492695007 -740.051203793876</f>
        <v>-1454.713755131294</v>
      </c>
      <c r="P92">
        <f>-708.177407094777 -3.05776638264956 -423.542700799747</f>
        <v>-1134.7778742771736</v>
      </c>
      <c r="Q92">
        <f>-462.07456684762 -62.9952965147338 -364.526391810391</f>
        <v>-889.5962551727448</v>
      </c>
      <c r="R92" t="s">
        <v>1939</v>
      </c>
      <c r="S92" t="s">
        <v>1940</v>
      </c>
      <c r="T92" t="s">
        <v>1941</v>
      </c>
      <c r="U92" t="s">
        <v>1942</v>
      </c>
      <c r="V92" t="s">
        <v>1943</v>
      </c>
      <c r="W92" t="s">
        <v>1944</v>
      </c>
      <c r="X92" t="s">
        <v>1945</v>
      </c>
      <c r="Y92" t="s">
        <v>1946</v>
      </c>
    </row>
    <row r="93" spans="1:25" x14ac:dyDescent="0.3">
      <c r="A93">
        <v>4600</v>
      </c>
      <c r="B93" t="s">
        <v>1947</v>
      </c>
      <c r="C93" t="s">
        <v>1948</v>
      </c>
      <c r="D93" t="s">
        <v>1949</v>
      </c>
      <c r="E93" t="s">
        <v>1950</v>
      </c>
      <c r="F93" t="s">
        <v>1951</v>
      </c>
      <c r="G93" t="s">
        <v>1952</v>
      </c>
      <c r="H93" t="s">
        <v>1953</v>
      </c>
      <c r="I93" t="s">
        <v>1954</v>
      </c>
      <c r="J93" t="s">
        <v>1955</v>
      </c>
      <c r="K93" t="s">
        <v>1956</v>
      </c>
      <c r="L93" t="s">
        <v>1957</v>
      </c>
      <c r="M93" t="s">
        <v>1958</v>
      </c>
      <c r="N93" t="s">
        <v>1959</v>
      </c>
      <c r="O93">
        <f>-710.480883428248 -3.80757705032715 -740.155431695227</f>
        <v>-1454.4438921738022</v>
      </c>
      <c r="P93">
        <f>-707.717321175699 -3.14686318194617 -423.646161082213</f>
        <v>-1134.5103454398582</v>
      </c>
      <c r="Q93">
        <f>-461.55824882203 -62.7776752442278 -364.553900016684</f>
        <v>-888.8898240829418</v>
      </c>
      <c r="R93" t="s">
        <v>1960</v>
      </c>
      <c r="S93" t="s">
        <v>1961</v>
      </c>
      <c r="T93" t="s">
        <v>1962</v>
      </c>
      <c r="U93" t="s">
        <v>1963</v>
      </c>
      <c r="V93" t="s">
        <v>1964</v>
      </c>
      <c r="W93" t="s">
        <v>1965</v>
      </c>
      <c r="X93" t="s">
        <v>1966</v>
      </c>
      <c r="Y93" t="s">
        <v>1967</v>
      </c>
    </row>
    <row r="94" spans="1:25" x14ac:dyDescent="0.3">
      <c r="A94">
        <v>4650</v>
      </c>
      <c r="B94" t="s">
        <v>1968</v>
      </c>
      <c r="C94" t="s">
        <v>1969</v>
      </c>
      <c r="D94" t="s">
        <v>1970</v>
      </c>
      <c r="E94" t="s">
        <v>1971</v>
      </c>
      <c r="F94" t="s">
        <v>1972</v>
      </c>
      <c r="G94" t="s">
        <v>1973</v>
      </c>
      <c r="H94" t="s">
        <v>1974</v>
      </c>
      <c r="I94" t="s">
        <v>1975</v>
      </c>
      <c r="J94" t="s">
        <v>1976</v>
      </c>
      <c r="K94" t="s">
        <v>1977</v>
      </c>
      <c r="L94" t="s">
        <v>1978</v>
      </c>
      <c r="M94" t="s">
        <v>1979</v>
      </c>
      <c r="N94" t="s">
        <v>1980</v>
      </c>
      <c r="O94">
        <f>-709.522058028326 -4.15745587074002 -740.274595790928</f>
        <v>-1453.9541096899939</v>
      </c>
      <c r="P94">
        <f>-707.008012111772 -3.48221129701801 -423.763314605516</f>
        <v>-1134.2535380143061</v>
      </c>
      <c r="Q94">
        <f>-460.984864466081 -63.2085568744369 -364.2031044784</f>
        <v>-888.39652581891778</v>
      </c>
      <c r="R94" t="s">
        <v>1981</v>
      </c>
      <c r="S94" t="s">
        <v>1982</v>
      </c>
      <c r="T94" t="s">
        <v>1983</v>
      </c>
      <c r="U94" t="s">
        <v>1984</v>
      </c>
      <c r="V94" t="s">
        <v>1985</v>
      </c>
      <c r="W94" t="s">
        <v>1986</v>
      </c>
      <c r="X94" t="s">
        <v>1987</v>
      </c>
      <c r="Y94" t="s">
        <v>1988</v>
      </c>
    </row>
    <row r="95" spans="1:25" x14ac:dyDescent="0.3">
      <c r="A95">
        <v>4700</v>
      </c>
      <c r="B95" t="s">
        <v>1989</v>
      </c>
      <c r="C95" t="s">
        <v>1990</v>
      </c>
      <c r="D95" t="s">
        <v>1991</v>
      </c>
      <c r="E95" t="s">
        <v>1992</v>
      </c>
      <c r="F95" t="s">
        <v>1993</v>
      </c>
      <c r="G95" t="s">
        <v>1994</v>
      </c>
      <c r="H95" t="s">
        <v>1995</v>
      </c>
      <c r="I95" t="s">
        <v>1996</v>
      </c>
      <c r="J95" t="s">
        <v>1997</v>
      </c>
      <c r="K95" t="s">
        <v>1998</v>
      </c>
      <c r="L95" t="s">
        <v>1999</v>
      </c>
      <c r="M95" t="s">
        <v>2000</v>
      </c>
      <c r="N95" t="s">
        <v>2001</v>
      </c>
      <c r="O95">
        <f>-709.196360401518 -4.30664683546479 -740.309092066516</f>
        <v>-1453.8120993034986</v>
      </c>
      <c r="P95">
        <f>-706.940756285864 -3.51055822429612 -423.796128875273</f>
        <v>-1134.2474433854331</v>
      </c>
      <c r="Q95">
        <f>-460.92866335149 -63.1915661497353 -364.144636848568</f>
        <v>-888.26486634979324</v>
      </c>
      <c r="R95" t="s">
        <v>2002</v>
      </c>
      <c r="S95" t="s">
        <v>2003</v>
      </c>
      <c r="T95" t="s">
        <v>2004</v>
      </c>
      <c r="U95" t="s">
        <v>2005</v>
      </c>
      <c r="V95" t="s">
        <v>2006</v>
      </c>
      <c r="W95" t="s">
        <v>2007</v>
      </c>
      <c r="X95" t="s">
        <v>2008</v>
      </c>
      <c r="Y95" t="s">
        <v>2009</v>
      </c>
    </row>
    <row r="96" spans="1:25" x14ac:dyDescent="0.3">
      <c r="A96">
        <v>4750</v>
      </c>
      <c r="B96" t="s">
        <v>2010</v>
      </c>
      <c r="C96" t="s">
        <v>2011</v>
      </c>
      <c r="D96" t="s">
        <v>2012</v>
      </c>
      <c r="E96" t="s">
        <v>2013</v>
      </c>
      <c r="F96" t="s">
        <v>2014</v>
      </c>
      <c r="G96" t="s">
        <v>2015</v>
      </c>
      <c r="H96" t="s">
        <v>2016</v>
      </c>
      <c r="I96" t="s">
        <v>2017</v>
      </c>
      <c r="J96" t="s">
        <v>2018</v>
      </c>
      <c r="K96" t="s">
        <v>2019</v>
      </c>
      <c r="L96" t="s">
        <v>2020</v>
      </c>
      <c r="M96" t="s">
        <v>2021</v>
      </c>
      <c r="N96" t="s">
        <v>2022</v>
      </c>
      <c r="O96">
        <f>-708.629967485676 -4.6006656314089 -740.32976954791</f>
        <v>-1453.5604026649949</v>
      </c>
      <c r="P96">
        <f>-706.725036016077 -3.37313663836403 -423.815940664875</f>
        <v>-1133.9141133193159</v>
      </c>
      <c r="Q96">
        <f>-461.043320414934 -63.5548802678597 -363.312169933272</f>
        <v>-887.91037061606573</v>
      </c>
      <c r="R96" t="s">
        <v>2023</v>
      </c>
      <c r="S96" t="s">
        <v>2024</v>
      </c>
      <c r="T96" t="s">
        <v>2025</v>
      </c>
      <c r="U96" t="s">
        <v>2026</v>
      </c>
      <c r="V96" t="s">
        <v>2027</v>
      </c>
      <c r="W96" t="s">
        <v>2028</v>
      </c>
      <c r="X96" t="s">
        <v>2029</v>
      </c>
      <c r="Y96" t="s">
        <v>2030</v>
      </c>
    </row>
    <row r="97" spans="1:25" x14ac:dyDescent="0.3">
      <c r="A97">
        <v>4800</v>
      </c>
      <c r="B97" t="s">
        <v>2031</v>
      </c>
      <c r="C97" t="s">
        <v>2032</v>
      </c>
      <c r="D97" t="s">
        <v>2033</v>
      </c>
      <c r="E97" t="s">
        <v>2034</v>
      </c>
      <c r="F97" t="s">
        <v>2035</v>
      </c>
      <c r="G97" t="s">
        <v>2036</v>
      </c>
      <c r="H97" t="s">
        <v>2037</v>
      </c>
      <c r="I97" t="s">
        <v>2038</v>
      </c>
      <c r="J97" t="s">
        <v>2039</v>
      </c>
      <c r="K97" t="s">
        <v>2040</v>
      </c>
      <c r="L97" t="s">
        <v>2041</v>
      </c>
      <c r="M97" t="s">
        <v>2042</v>
      </c>
      <c r="N97" t="s">
        <v>2043</v>
      </c>
      <c r="O97">
        <f>-708.485179864063 -4.76754962290602 -740.330510417565</f>
        <v>-1453.5832399045339</v>
      </c>
      <c r="P97">
        <f>-706.861068133265 -3.2265339703215 -423.816476796305</f>
        <v>-1133.9040788998914</v>
      </c>
      <c r="Q97">
        <f>-461.450228549671 -64.0195959191724 -362.826472575633</f>
        <v>-888.29629704447643</v>
      </c>
      <c r="R97" t="s">
        <v>2044</v>
      </c>
      <c r="S97" t="s">
        <v>2045</v>
      </c>
      <c r="T97" t="s">
        <v>2046</v>
      </c>
      <c r="U97" t="s">
        <v>2047</v>
      </c>
      <c r="V97" t="s">
        <v>2048</v>
      </c>
      <c r="W97" t="s">
        <v>2049</v>
      </c>
      <c r="X97" t="s">
        <v>2050</v>
      </c>
      <c r="Y97" t="s">
        <v>2051</v>
      </c>
    </row>
    <row r="98" spans="1:25" x14ac:dyDescent="0.3">
      <c r="A98">
        <v>4850</v>
      </c>
      <c r="B98" t="s">
        <v>2052</v>
      </c>
      <c r="C98" t="s">
        <v>2053</v>
      </c>
      <c r="D98" t="s">
        <v>2054</v>
      </c>
      <c r="E98" t="s">
        <v>2055</v>
      </c>
      <c r="F98" t="s">
        <v>2056</v>
      </c>
      <c r="G98" t="s">
        <v>2057</v>
      </c>
      <c r="H98" t="s">
        <v>2058</v>
      </c>
      <c r="I98" t="s">
        <v>2059</v>
      </c>
      <c r="J98" t="s">
        <v>2060</v>
      </c>
      <c r="K98" t="s">
        <v>2061</v>
      </c>
      <c r="L98" t="s">
        <v>2062</v>
      </c>
      <c r="M98" t="s">
        <v>2063</v>
      </c>
      <c r="N98" t="s">
        <v>2064</v>
      </c>
      <c r="O98">
        <f>-708.220064190419 -5.22204887515773 -740.22409181484</f>
        <v>-1453.6662048804167</v>
      </c>
      <c r="P98">
        <f>-706.919644185307 -3.47817669080609 -423.709442292312</f>
        <v>-1134.1072631684251</v>
      </c>
      <c r="Q98">
        <f>-461.53283898676 -64.2950174832872 -362.646663959802</f>
        <v>-888.47452042984924</v>
      </c>
      <c r="R98" t="s">
        <v>2065</v>
      </c>
      <c r="S98" t="s">
        <v>2066</v>
      </c>
      <c r="T98" t="s">
        <v>2067</v>
      </c>
      <c r="U98" t="s">
        <v>2068</v>
      </c>
      <c r="V98" t="s">
        <v>2069</v>
      </c>
      <c r="W98" t="s">
        <v>2070</v>
      </c>
      <c r="X98" t="s">
        <v>2071</v>
      </c>
      <c r="Y98" t="s">
        <v>2072</v>
      </c>
    </row>
    <row r="99" spans="1:25" x14ac:dyDescent="0.3">
      <c r="A99">
        <v>4900</v>
      </c>
      <c r="B99" t="s">
        <v>2073</v>
      </c>
      <c r="C99" t="s">
        <v>2074</v>
      </c>
      <c r="D99" t="s">
        <v>2075</v>
      </c>
      <c r="E99" t="s">
        <v>2076</v>
      </c>
      <c r="F99" t="s">
        <v>2077</v>
      </c>
      <c r="G99" t="s">
        <v>2078</v>
      </c>
      <c r="H99" t="s">
        <v>2079</v>
      </c>
      <c r="I99" t="s">
        <v>2080</v>
      </c>
      <c r="J99" t="s">
        <v>2081</v>
      </c>
      <c r="K99" t="s">
        <v>2082</v>
      </c>
      <c r="L99" t="s">
        <v>2083</v>
      </c>
      <c r="M99" t="s">
        <v>2084</v>
      </c>
      <c r="N99" t="s">
        <v>2085</v>
      </c>
      <c r="O99">
        <f>-708.18525233638 -5.34503136482249 -740.166835707259</f>
        <v>-1453.6971194084615</v>
      </c>
      <c r="P99">
        <f>-707.173189648314 -3.67919045874896 -423.65083511052</f>
        <v>-1134.5032152175829</v>
      </c>
      <c r="Q99">
        <f>-461.83683008187 -64.4099367948945 -362.300048303107</f>
        <v>-888.54681517987149</v>
      </c>
      <c r="R99" t="s">
        <v>2086</v>
      </c>
      <c r="S99" t="s">
        <v>2087</v>
      </c>
      <c r="T99" t="s">
        <v>2088</v>
      </c>
      <c r="U99" t="s">
        <v>2089</v>
      </c>
      <c r="V99" t="s">
        <v>2090</v>
      </c>
      <c r="W99" t="s">
        <v>2091</v>
      </c>
      <c r="X99" t="s">
        <v>2092</v>
      </c>
      <c r="Y99" t="s">
        <v>2093</v>
      </c>
    </row>
    <row r="100" spans="1:25" x14ac:dyDescent="0.3">
      <c r="A100">
        <v>4950</v>
      </c>
      <c r="B100" t="s">
        <v>2094</v>
      </c>
      <c r="C100" t="s">
        <v>2095</v>
      </c>
      <c r="D100" t="s">
        <v>2096</v>
      </c>
      <c r="E100" t="s">
        <v>2097</v>
      </c>
      <c r="F100" t="s">
        <v>2098</v>
      </c>
      <c r="G100" t="s">
        <v>2099</v>
      </c>
      <c r="H100" t="s">
        <v>2100</v>
      </c>
      <c r="I100" t="s">
        <v>2101</v>
      </c>
      <c r="J100" t="s">
        <v>2102</v>
      </c>
      <c r="K100" t="s">
        <v>2103</v>
      </c>
      <c r="L100" t="s">
        <v>2104</v>
      </c>
      <c r="M100" t="s">
        <v>2105</v>
      </c>
      <c r="N100" t="s">
        <v>2106</v>
      </c>
      <c r="O100">
        <f>-708.260648492645 -5.5261924011661 -739.942784899842</f>
        <v>-1453.7296257936532</v>
      </c>
      <c r="P100">
        <f>-707.882290054715 -3.41779423513458 -423.427907383153</f>
        <v>-1134.7279916730026</v>
      </c>
      <c r="Q100">
        <f>-462.551358082961 -63.9377899668339 -361.84785452764</f>
        <v>-888.33700257743476</v>
      </c>
      <c r="R100" t="s">
        <v>2107</v>
      </c>
      <c r="S100" t="s">
        <v>2108</v>
      </c>
      <c r="T100" t="s">
        <v>2109</v>
      </c>
      <c r="U100" t="s">
        <v>2110</v>
      </c>
      <c r="V100" t="s">
        <v>2111</v>
      </c>
      <c r="W100" t="s">
        <v>2112</v>
      </c>
      <c r="X100" t="s">
        <v>2113</v>
      </c>
      <c r="Y100" t="s">
        <v>2114</v>
      </c>
    </row>
    <row r="101" spans="1:25" x14ac:dyDescent="0.3">
      <c r="A101">
        <v>5000</v>
      </c>
      <c r="B101" t="s">
        <v>2115</v>
      </c>
      <c r="C101" t="s">
        <v>2116</v>
      </c>
      <c r="D101" t="s">
        <v>2117</v>
      </c>
      <c r="E101" t="s">
        <v>2118</v>
      </c>
      <c r="F101" t="s">
        <v>2119</v>
      </c>
      <c r="G101" t="s">
        <v>2120</v>
      </c>
      <c r="H101" t="s">
        <v>2121</v>
      </c>
      <c r="I101" t="s">
        <v>2122</v>
      </c>
      <c r="J101" t="s">
        <v>2123</v>
      </c>
      <c r="K101" t="s">
        <v>2124</v>
      </c>
      <c r="L101" t="s">
        <v>2125</v>
      </c>
      <c r="M101" t="s">
        <v>2126</v>
      </c>
      <c r="N101" t="s">
        <v>2127</v>
      </c>
      <c r="O101">
        <f>-708.489378375347 -5.40866862787766 -739.756711228994</f>
        <v>-1453.6547582322187</v>
      </c>
      <c r="P101">
        <f>-708.245210276622 -3.19884157841534 -423.24255321987</f>
        <v>-1134.6866050749072</v>
      </c>
      <c r="Q101">
        <f>-463.066941808078 -63.9600953325858 -361.292918943415</f>
        <v>-888.31995608407874</v>
      </c>
      <c r="R101" t="s">
        <v>2128</v>
      </c>
      <c r="S101" t="s">
        <v>2129</v>
      </c>
      <c r="T101" t="s">
        <v>2130</v>
      </c>
      <c r="U101" t="s">
        <v>2131</v>
      </c>
      <c r="V101" t="s">
        <v>2132</v>
      </c>
      <c r="W101" t="s">
        <v>2133</v>
      </c>
      <c r="X101" t="s">
        <v>2134</v>
      </c>
      <c r="Y101" t="s">
        <v>2135</v>
      </c>
    </row>
    <row r="102" spans="1:25" x14ac:dyDescent="0.3">
      <c r="A102">
        <v>5050</v>
      </c>
      <c r="B102" t="s">
        <v>2136</v>
      </c>
      <c r="C102" t="s">
        <v>2137</v>
      </c>
      <c r="D102" t="s">
        <v>2138</v>
      </c>
      <c r="E102" t="s">
        <v>2139</v>
      </c>
      <c r="F102" t="s">
        <v>2140</v>
      </c>
      <c r="G102" t="s">
        <v>2141</v>
      </c>
      <c r="H102" t="s">
        <v>2142</v>
      </c>
      <c r="I102" t="s">
        <v>2143</v>
      </c>
      <c r="J102" t="s">
        <v>2144</v>
      </c>
      <c r="K102" t="s">
        <v>2145</v>
      </c>
      <c r="L102" t="s">
        <v>2146</v>
      </c>
      <c r="M102" t="s">
        <v>2147</v>
      </c>
      <c r="N102" t="s">
        <v>2148</v>
      </c>
      <c r="O102">
        <f>-709.062411161874 -4.82544565083958 -739.232388964097</f>
        <v>-1453.1202457768106</v>
      </c>
      <c r="P102">
        <f>-709.208913032074 -2.02017709589109 -422.722903634632</f>
        <v>-1133.9519937625971</v>
      </c>
      <c r="Q102">
        <f>-464.111275447224 -62.9902435811041 -360.659545452171</f>
        <v>-887.76106448049904</v>
      </c>
      <c r="R102" t="s">
        <v>2149</v>
      </c>
      <c r="S102" t="s">
        <v>2150</v>
      </c>
      <c r="T102" t="s">
        <v>2151</v>
      </c>
      <c r="U102" t="s">
        <v>2152</v>
      </c>
      <c r="V102" t="s">
        <v>2153</v>
      </c>
      <c r="W102" t="s">
        <v>2154</v>
      </c>
      <c r="X102" t="s">
        <v>2155</v>
      </c>
      <c r="Y102" t="s">
        <v>2156</v>
      </c>
    </row>
    <row r="103" spans="1:25" x14ac:dyDescent="0.3">
      <c r="A103">
        <v>5100</v>
      </c>
      <c r="B103" t="s">
        <v>2157</v>
      </c>
      <c r="C103" t="s">
        <v>2158</v>
      </c>
      <c r="D103" t="s">
        <v>2159</v>
      </c>
      <c r="E103" t="s">
        <v>2160</v>
      </c>
      <c r="F103" t="s">
        <v>2161</v>
      </c>
      <c r="G103" t="s">
        <v>2162</v>
      </c>
      <c r="H103" t="s">
        <v>2163</v>
      </c>
      <c r="I103" t="s">
        <v>2164</v>
      </c>
      <c r="J103" t="s">
        <v>2165</v>
      </c>
      <c r="K103" t="s">
        <v>2166</v>
      </c>
      <c r="L103" t="s">
        <v>2167</v>
      </c>
      <c r="M103" t="s">
        <v>2168</v>
      </c>
      <c r="N103" t="s">
        <v>2169</v>
      </c>
      <c r="O103">
        <f>-709.417849571441 -4.44325777807353 -739.07816102059</f>
        <v>-1452.9392683701044</v>
      </c>
      <c r="P103">
        <f>-709.755440638286 -1.80716386414201 -422.567154402826</f>
        <v>-1134.129758905254</v>
      </c>
      <c r="Q103">
        <f>-464.674769153474 -62.9934756085163 -360.650039901815</f>
        <v>-888.31828466380534</v>
      </c>
      <c r="R103" t="s">
        <v>2170</v>
      </c>
      <c r="S103" t="s">
        <v>2171</v>
      </c>
      <c r="T103" t="s">
        <v>2172</v>
      </c>
      <c r="U103" t="s">
        <v>2173</v>
      </c>
      <c r="V103" t="s">
        <v>2174</v>
      </c>
      <c r="W103" t="s">
        <v>2175</v>
      </c>
      <c r="X103" t="s">
        <v>2176</v>
      </c>
      <c r="Y103" t="s">
        <v>2177</v>
      </c>
    </row>
    <row r="104" spans="1:25" x14ac:dyDescent="0.3">
      <c r="A104">
        <v>5150</v>
      </c>
      <c r="B104" t="s">
        <v>2178</v>
      </c>
      <c r="C104" t="s">
        <v>2179</v>
      </c>
      <c r="D104" t="s">
        <v>2180</v>
      </c>
      <c r="E104" t="s">
        <v>2181</v>
      </c>
      <c r="F104" t="s">
        <v>2182</v>
      </c>
      <c r="G104" t="s">
        <v>2183</v>
      </c>
      <c r="H104" t="s">
        <v>2184</v>
      </c>
      <c r="I104" t="s">
        <v>2185</v>
      </c>
      <c r="J104" t="s">
        <v>2186</v>
      </c>
      <c r="K104" t="s">
        <v>2187</v>
      </c>
      <c r="L104" t="s">
        <v>2188</v>
      </c>
      <c r="M104" t="s">
        <v>2189</v>
      </c>
      <c r="N104" t="s">
        <v>2190</v>
      </c>
      <c r="O104">
        <f>-710.476006224071 -3.79408902919158 -739.008161582107</f>
        <v>-1453.2782568353696</v>
      </c>
      <c r="P104">
        <f>-710.627495948983 -1.24453563863972 -422.496535733894</f>
        <v>-1134.3685673215168</v>
      </c>
      <c r="Q104">
        <f>-465.330659760768 -62.2440714750398 -361.254611324941</f>
        <v>-888.82934256074873</v>
      </c>
      <c r="R104" t="s">
        <v>2191</v>
      </c>
      <c r="S104" t="s">
        <v>2192</v>
      </c>
      <c r="T104" t="s">
        <v>2193</v>
      </c>
      <c r="U104" t="s">
        <v>2194</v>
      </c>
      <c r="V104" t="s">
        <v>2195</v>
      </c>
      <c r="W104" t="s">
        <v>2196</v>
      </c>
      <c r="X104" t="s">
        <v>2197</v>
      </c>
      <c r="Y104" t="s">
        <v>2198</v>
      </c>
    </row>
    <row r="105" spans="1:25" x14ac:dyDescent="0.3">
      <c r="A105">
        <v>5200</v>
      </c>
      <c r="B105" t="s">
        <v>2199</v>
      </c>
      <c r="C105" t="s">
        <v>2200</v>
      </c>
      <c r="D105" t="s">
        <v>2201</v>
      </c>
      <c r="E105" t="s">
        <v>2202</v>
      </c>
      <c r="F105" t="s">
        <v>2203</v>
      </c>
      <c r="G105" t="s">
        <v>2204</v>
      </c>
      <c r="H105" t="s">
        <v>2205</v>
      </c>
      <c r="I105" t="s">
        <v>2206</v>
      </c>
      <c r="J105" t="s">
        <v>2207</v>
      </c>
      <c r="K105" t="s">
        <v>2208</v>
      </c>
      <c r="L105" t="s">
        <v>2209</v>
      </c>
      <c r="M105" t="s">
        <v>2210</v>
      </c>
      <c r="N105" t="s">
        <v>2211</v>
      </c>
      <c r="O105">
        <f>-711.145557167912 -3.5701324994684 -739.027498339006</f>
        <v>-1453.7431880063864</v>
      </c>
      <c r="P105">
        <f>-711.150912177708 -1.08645712625298 -422.515216412811</f>
        <v>-1134.752585716772</v>
      </c>
      <c r="Q105">
        <f>-465.851084354715 -62.2235533237435 -361.422642654616</f>
        <v>-889.49728033307451</v>
      </c>
      <c r="R105" t="s">
        <v>2212</v>
      </c>
      <c r="S105" t="s">
        <v>2213</v>
      </c>
      <c r="T105" t="s">
        <v>2214</v>
      </c>
      <c r="U105" t="s">
        <v>2215</v>
      </c>
      <c r="V105" t="s">
        <v>2216</v>
      </c>
      <c r="W105" t="s">
        <v>2217</v>
      </c>
      <c r="X105" t="s">
        <v>2218</v>
      </c>
      <c r="Y105" t="s">
        <v>2219</v>
      </c>
    </row>
    <row r="106" spans="1:25" x14ac:dyDescent="0.3">
      <c r="A106">
        <v>5250</v>
      </c>
      <c r="B106" t="s">
        <v>2220</v>
      </c>
      <c r="C106" t="s">
        <v>2221</v>
      </c>
      <c r="D106" t="s">
        <v>2222</v>
      </c>
      <c r="E106" t="s">
        <v>2223</v>
      </c>
      <c r="F106" t="s">
        <v>2224</v>
      </c>
      <c r="G106" t="s">
        <v>2225</v>
      </c>
      <c r="H106" t="s">
        <v>2226</v>
      </c>
      <c r="I106" t="s">
        <v>2227</v>
      </c>
      <c r="J106" t="s">
        <v>2228</v>
      </c>
      <c r="K106" t="s">
        <v>2229</v>
      </c>
      <c r="L106" t="s">
        <v>2230</v>
      </c>
      <c r="M106" t="s">
        <v>2231</v>
      </c>
      <c r="N106" t="s">
        <v>2232</v>
      </c>
      <c r="O106">
        <f>-712.595295518558 -2.87785323336425 -739.101382552843</f>
        <v>-1454.5745313047653</v>
      </c>
      <c r="P106">
        <f>-712.275760156665 -0.151201099558193 -422.591234236573</f>
        <v>-1135.0181954927962</v>
      </c>
      <c r="Q106">
        <f>-466.991751564452 -61.5487221338869 -361.696770155146</f>
        <v>-890.23724385348487</v>
      </c>
      <c r="R106" t="s">
        <v>2233</v>
      </c>
      <c r="S106" t="s">
        <v>2234</v>
      </c>
      <c r="T106" t="s">
        <v>2235</v>
      </c>
      <c r="U106" t="s">
        <v>2236</v>
      </c>
      <c r="V106" t="s">
        <v>2237</v>
      </c>
      <c r="W106" t="s">
        <v>2238</v>
      </c>
      <c r="X106" t="s">
        <v>2239</v>
      </c>
      <c r="Y106" t="s">
        <v>2240</v>
      </c>
    </row>
    <row r="107" spans="1:25" x14ac:dyDescent="0.3">
      <c r="A107">
        <v>5300</v>
      </c>
      <c r="B107" t="s">
        <v>2241</v>
      </c>
      <c r="C107" t="s">
        <v>2242</v>
      </c>
      <c r="D107" t="s">
        <v>2243</v>
      </c>
      <c r="E107" t="s">
        <v>2244</v>
      </c>
      <c r="F107" t="s">
        <v>2245</v>
      </c>
      <c r="G107" t="s">
        <v>2246</v>
      </c>
      <c r="H107" t="s">
        <v>2247</v>
      </c>
      <c r="I107" t="s">
        <v>2248</v>
      </c>
      <c r="J107" t="s">
        <v>2249</v>
      </c>
      <c r="K107" t="s">
        <v>2250</v>
      </c>
      <c r="L107" t="s">
        <v>2251</v>
      </c>
      <c r="M107" t="s">
        <v>2252</v>
      </c>
      <c r="N107" t="s">
        <v>2253</v>
      </c>
      <c r="O107">
        <f>-713.388365116127 -2.41436231206922 -739.120173745065</f>
        <v>-1454.9229011732614</v>
      </c>
      <c r="P107" t="s">
        <v>2254</v>
      </c>
      <c r="Q107">
        <f>-467.601836555278 -61.3603588726651 -361.494701818042</f>
        <v>-890.45689724598515</v>
      </c>
      <c r="R107" t="s">
        <v>2255</v>
      </c>
      <c r="S107" t="s">
        <v>2256</v>
      </c>
      <c r="T107" t="s">
        <v>2257</v>
      </c>
      <c r="U107" t="s">
        <v>2258</v>
      </c>
      <c r="V107" t="s">
        <v>2259</v>
      </c>
      <c r="W107" t="s">
        <v>2260</v>
      </c>
      <c r="X107" t="s">
        <v>2261</v>
      </c>
      <c r="Y107" t="s">
        <v>2262</v>
      </c>
    </row>
    <row r="108" spans="1:25" x14ac:dyDescent="0.3">
      <c r="A108">
        <v>5350</v>
      </c>
      <c r="B108" t="s">
        <v>2263</v>
      </c>
      <c r="C108" t="s">
        <v>2264</v>
      </c>
      <c r="D108" t="s">
        <v>2265</v>
      </c>
      <c r="E108" t="s">
        <v>2266</v>
      </c>
      <c r="F108" t="s">
        <v>2267</v>
      </c>
      <c r="G108" t="s">
        <v>2268</v>
      </c>
      <c r="H108" t="s">
        <v>2269</v>
      </c>
      <c r="I108" t="s">
        <v>2270</v>
      </c>
      <c r="J108" t="s">
        <v>2271</v>
      </c>
      <c r="K108" t="s">
        <v>2272</v>
      </c>
      <c r="L108" t="s">
        <v>2273</v>
      </c>
      <c r="M108" t="s">
        <v>2274</v>
      </c>
      <c r="N108" t="s">
        <v>2275</v>
      </c>
      <c r="O108">
        <f>-714.996127030691 -1.18647485760835 -739.105943753948</f>
        <v>-1455.2885456422473</v>
      </c>
      <c r="P108" t="s">
        <v>2276</v>
      </c>
      <c r="Q108">
        <f>-469.137433865133 -60.3324225692556 -361.269915493535</f>
        <v>-890.73977192792358</v>
      </c>
      <c r="R108" t="s">
        <v>2277</v>
      </c>
      <c r="S108" t="s">
        <v>2278</v>
      </c>
      <c r="T108" t="s">
        <v>2279</v>
      </c>
      <c r="U108" t="s">
        <v>2280</v>
      </c>
      <c r="V108" t="s">
        <v>2281</v>
      </c>
      <c r="W108" t="s">
        <v>2282</v>
      </c>
      <c r="X108" t="s">
        <v>2283</v>
      </c>
      <c r="Y108" t="s">
        <v>2284</v>
      </c>
    </row>
    <row r="109" spans="1:25" x14ac:dyDescent="0.3">
      <c r="A109">
        <v>5400</v>
      </c>
      <c r="B109" t="s">
        <v>2285</v>
      </c>
      <c r="C109" t="s">
        <v>2286</v>
      </c>
      <c r="D109" t="s">
        <v>2287</v>
      </c>
      <c r="E109" t="s">
        <v>2288</v>
      </c>
      <c r="F109" t="s">
        <v>2289</v>
      </c>
      <c r="G109" t="s">
        <v>2290</v>
      </c>
      <c r="H109" t="s">
        <v>2291</v>
      </c>
      <c r="I109" t="s">
        <v>2292</v>
      </c>
      <c r="J109" t="s">
        <v>2293</v>
      </c>
      <c r="K109" t="s">
        <v>2294</v>
      </c>
      <c r="L109" t="s">
        <v>2295</v>
      </c>
      <c r="M109" t="s">
        <v>2296</v>
      </c>
      <c r="N109" t="s">
        <v>2297</v>
      </c>
      <c r="O109">
        <f>-715.869199244222 -0.538649024112374 -739.047876993148</f>
        <v>-1455.4557252614823</v>
      </c>
      <c r="P109" t="s">
        <v>2298</v>
      </c>
      <c r="Q109">
        <f>-469.972190057221 -59.983702469046 -361.023347107224</f>
        <v>-890.97923963349103</v>
      </c>
      <c r="R109" t="s">
        <v>2299</v>
      </c>
      <c r="S109" t="s">
        <v>2300</v>
      </c>
      <c r="T109" t="s">
        <v>2301</v>
      </c>
      <c r="U109" t="s">
        <v>2302</v>
      </c>
      <c r="V109" t="s">
        <v>2303</v>
      </c>
      <c r="W109" t="s">
        <v>2304</v>
      </c>
      <c r="X109" t="s">
        <v>2305</v>
      </c>
      <c r="Y109" t="s">
        <v>2306</v>
      </c>
    </row>
    <row r="110" spans="1:25" x14ac:dyDescent="0.3">
      <c r="A110">
        <v>5450</v>
      </c>
      <c r="B110" t="s">
        <v>2307</v>
      </c>
      <c r="C110" t="s">
        <v>2308</v>
      </c>
      <c r="D110" t="s">
        <v>2309</v>
      </c>
      <c r="E110" t="s">
        <v>2310</v>
      </c>
      <c r="F110" t="s">
        <v>2311</v>
      </c>
      <c r="G110" t="s">
        <v>2312</v>
      </c>
      <c r="H110" t="s">
        <v>2313</v>
      </c>
      <c r="I110" t="s">
        <v>2314</v>
      </c>
      <c r="J110" t="s">
        <v>2315</v>
      </c>
      <c r="K110" t="s">
        <v>2316</v>
      </c>
      <c r="L110" t="s">
        <v>2317</v>
      </c>
      <c r="M110" t="s">
        <v>2318</v>
      </c>
      <c r="N110" t="s">
        <v>2319</v>
      </c>
      <c r="O110" t="s">
        <v>2320</v>
      </c>
      <c r="P110" t="s">
        <v>2321</v>
      </c>
      <c r="Q110">
        <f>-471.497397244447 -58.6985532800679 -361.276577884524</f>
        <v>-891.47252840903889</v>
      </c>
      <c r="R110" t="s">
        <v>2322</v>
      </c>
      <c r="S110" t="s">
        <v>2323</v>
      </c>
      <c r="T110" t="s">
        <v>2324</v>
      </c>
      <c r="U110" t="s">
        <v>2325</v>
      </c>
      <c r="V110" t="s">
        <v>2326</v>
      </c>
      <c r="W110" t="s">
        <v>2327</v>
      </c>
      <c r="X110" t="s">
        <v>2328</v>
      </c>
      <c r="Y110" t="s">
        <v>2329</v>
      </c>
    </row>
    <row r="111" spans="1:25" x14ac:dyDescent="0.3">
      <c r="A111">
        <v>5500</v>
      </c>
      <c r="B111" t="s">
        <v>2330</v>
      </c>
      <c r="C111" t="s">
        <v>2331</v>
      </c>
      <c r="D111" t="s">
        <v>2332</v>
      </c>
      <c r="E111" t="s">
        <v>2333</v>
      </c>
      <c r="F111" t="s">
        <v>2334</v>
      </c>
      <c r="G111" t="s">
        <v>2335</v>
      </c>
      <c r="H111" t="s">
        <v>2336</v>
      </c>
      <c r="I111" t="s">
        <v>2337</v>
      </c>
      <c r="J111" t="s">
        <v>2338</v>
      </c>
      <c r="K111" t="s">
        <v>2339</v>
      </c>
      <c r="L111" t="s">
        <v>2340</v>
      </c>
      <c r="M111" t="s">
        <v>2341</v>
      </c>
      <c r="N111" t="s">
        <v>2342</v>
      </c>
      <c r="O111" t="s">
        <v>2343</v>
      </c>
      <c r="P111" t="s">
        <v>2344</v>
      </c>
      <c r="Q111">
        <f>-472.314413498524 -58.4902625426698 -361.246516365361</f>
        <v>-892.05119240655483</v>
      </c>
      <c r="R111" t="s">
        <v>2345</v>
      </c>
      <c r="S111" t="s">
        <v>2346</v>
      </c>
      <c r="T111" t="s">
        <v>2347</v>
      </c>
      <c r="U111" t="s">
        <v>2348</v>
      </c>
      <c r="V111" t="s">
        <v>2349</v>
      </c>
      <c r="W111" t="s">
        <v>2350</v>
      </c>
      <c r="X111" t="s">
        <v>2351</v>
      </c>
      <c r="Y111" t="s">
        <v>2352</v>
      </c>
    </row>
    <row r="112" spans="1:25" x14ac:dyDescent="0.3">
      <c r="A112">
        <v>5550</v>
      </c>
      <c r="B112" t="s">
        <v>2353</v>
      </c>
      <c r="C112" t="s">
        <v>2354</v>
      </c>
      <c r="D112" t="s">
        <v>2355</v>
      </c>
      <c r="E112" t="s">
        <v>2356</v>
      </c>
      <c r="F112" t="s">
        <v>2357</v>
      </c>
      <c r="G112" t="s">
        <v>2358</v>
      </c>
      <c r="H112" t="s">
        <v>2359</v>
      </c>
      <c r="I112" t="s">
        <v>2360</v>
      </c>
      <c r="J112" t="s">
        <v>2361</v>
      </c>
      <c r="K112" t="s">
        <v>2362</v>
      </c>
      <c r="L112" t="s">
        <v>2363</v>
      </c>
      <c r="M112" t="s">
        <v>2364</v>
      </c>
      <c r="N112" t="s">
        <v>2365</v>
      </c>
      <c r="O112" t="s">
        <v>2366</v>
      </c>
      <c r="P112" t="s">
        <v>2367</v>
      </c>
      <c r="Q112">
        <f>-473.474050010187 -57.265124770943 -361.259851614312</f>
        <v>-891.99902639544212</v>
      </c>
      <c r="R112" t="s">
        <v>2368</v>
      </c>
      <c r="S112" t="s">
        <v>2369</v>
      </c>
      <c r="T112" t="s">
        <v>2370</v>
      </c>
      <c r="U112" t="s">
        <v>2371</v>
      </c>
      <c r="V112" t="s">
        <v>2372</v>
      </c>
      <c r="W112" t="s">
        <v>2373</v>
      </c>
      <c r="X112" t="s">
        <v>2374</v>
      </c>
      <c r="Y112" t="s">
        <v>2375</v>
      </c>
    </row>
    <row r="113" spans="1:25" x14ac:dyDescent="0.3">
      <c r="A113">
        <v>5600</v>
      </c>
      <c r="B113" t="s">
        <v>2376</v>
      </c>
      <c r="C113" t="s">
        <v>2377</v>
      </c>
      <c r="D113" t="s">
        <v>2378</v>
      </c>
      <c r="E113" t="s">
        <v>2379</v>
      </c>
      <c r="F113" t="s">
        <v>2380</v>
      </c>
      <c r="G113" t="s">
        <v>2381</v>
      </c>
      <c r="H113" t="s">
        <v>2382</v>
      </c>
      <c r="I113" t="s">
        <v>2383</v>
      </c>
      <c r="J113" t="s">
        <v>2384</v>
      </c>
      <c r="K113" t="s">
        <v>2385</v>
      </c>
      <c r="L113" t="s">
        <v>2386</v>
      </c>
      <c r="M113" t="s">
        <v>2387</v>
      </c>
      <c r="N113" t="s">
        <v>2388</v>
      </c>
      <c r="O113" t="s">
        <v>2389</v>
      </c>
      <c r="P113" t="s">
        <v>2390</v>
      </c>
      <c r="Q113">
        <f>-474.011073406301 -56.7025401720794 -361.268993631402</f>
        <v>-891.98260720978237</v>
      </c>
      <c r="R113" t="s">
        <v>2391</v>
      </c>
      <c r="S113" t="s">
        <v>2392</v>
      </c>
      <c r="T113" t="s">
        <v>2393</v>
      </c>
      <c r="U113" t="s">
        <v>2394</v>
      </c>
      <c r="V113" t="s">
        <v>2395</v>
      </c>
      <c r="W113" t="s">
        <v>2396</v>
      </c>
      <c r="X113" t="s">
        <v>2397</v>
      </c>
      <c r="Y113" t="s">
        <v>2398</v>
      </c>
    </row>
    <row r="114" spans="1:25" x14ac:dyDescent="0.3">
      <c r="A114">
        <v>5650</v>
      </c>
      <c r="B114" t="s">
        <v>2399</v>
      </c>
      <c r="C114" t="s">
        <v>2400</v>
      </c>
      <c r="D114" t="s">
        <v>2401</v>
      </c>
      <c r="E114" t="s">
        <v>2402</v>
      </c>
      <c r="F114" t="s">
        <v>2403</v>
      </c>
      <c r="G114" t="s">
        <v>2404</v>
      </c>
      <c r="H114" t="s">
        <v>2405</v>
      </c>
      <c r="I114" t="s">
        <v>2406</v>
      </c>
      <c r="J114" t="s">
        <v>2407</v>
      </c>
      <c r="K114" t="s">
        <v>2408</v>
      </c>
      <c r="L114" t="s">
        <v>2409</v>
      </c>
      <c r="M114" t="s">
        <v>2410</v>
      </c>
      <c r="N114" t="s">
        <v>2411</v>
      </c>
      <c r="O114" t="s">
        <v>2412</v>
      </c>
      <c r="P114" t="s">
        <v>2413</v>
      </c>
      <c r="Q114">
        <f>-475.397777019854 -56.5729925587927 -361.282226088193</f>
        <v>-893.25299566683975</v>
      </c>
      <c r="R114" t="s">
        <v>2414</v>
      </c>
      <c r="S114" t="s">
        <v>2415</v>
      </c>
      <c r="T114" t="s">
        <v>2416</v>
      </c>
      <c r="U114" t="s">
        <v>2417</v>
      </c>
      <c r="V114" t="s">
        <v>2418</v>
      </c>
      <c r="W114" t="s">
        <v>2419</v>
      </c>
      <c r="X114" t="s">
        <v>2420</v>
      </c>
      <c r="Y114" t="s">
        <v>2421</v>
      </c>
    </row>
    <row r="115" spans="1:25" x14ac:dyDescent="0.3">
      <c r="A115">
        <v>5700</v>
      </c>
      <c r="B115" t="s">
        <v>2422</v>
      </c>
      <c r="C115" t="s">
        <v>2423</v>
      </c>
      <c r="D115" t="s">
        <v>2424</v>
      </c>
      <c r="E115" t="s">
        <v>2425</v>
      </c>
      <c r="F115" t="s">
        <v>2426</v>
      </c>
      <c r="G115" t="s">
        <v>2427</v>
      </c>
      <c r="H115" t="s">
        <v>2428</v>
      </c>
      <c r="I115" t="s">
        <v>2429</v>
      </c>
      <c r="J115" t="s">
        <v>2430</v>
      </c>
      <c r="K115" t="s">
        <v>2431</v>
      </c>
      <c r="L115" t="s">
        <v>2432</v>
      </c>
      <c r="M115" t="s">
        <v>2433</v>
      </c>
      <c r="N115" t="s">
        <v>2434</v>
      </c>
      <c r="O115" t="s">
        <v>2435</v>
      </c>
      <c r="P115" t="s">
        <v>2436</v>
      </c>
      <c r="Q115">
        <f>-475.876779143527 -56.1979066219851 -360.973957409781</f>
        <v>-893.04864317529314</v>
      </c>
      <c r="R115" t="s">
        <v>2437</v>
      </c>
      <c r="S115" t="s">
        <v>2438</v>
      </c>
      <c r="T115" t="s">
        <v>2439</v>
      </c>
      <c r="U115" t="s">
        <v>2440</v>
      </c>
      <c r="V115" t="s">
        <v>2441</v>
      </c>
      <c r="W115" t="s">
        <v>2442</v>
      </c>
      <c r="X115" t="s">
        <v>2443</v>
      </c>
      <c r="Y115" t="s">
        <v>2444</v>
      </c>
    </row>
    <row r="116" spans="1:25" x14ac:dyDescent="0.3">
      <c r="A116">
        <v>5750</v>
      </c>
      <c r="B116" t="s">
        <v>2445</v>
      </c>
      <c r="C116" t="s">
        <v>2446</v>
      </c>
      <c r="D116" t="s">
        <v>2447</v>
      </c>
      <c r="E116" t="s">
        <v>2448</v>
      </c>
      <c r="F116" t="s">
        <v>2449</v>
      </c>
      <c r="G116" t="s">
        <v>2450</v>
      </c>
      <c r="H116" t="s">
        <v>2451</v>
      </c>
      <c r="I116" t="s">
        <v>2452</v>
      </c>
      <c r="J116" t="s">
        <v>2453</v>
      </c>
      <c r="K116" t="s">
        <v>2454</v>
      </c>
      <c r="L116" t="s">
        <v>2455</v>
      </c>
      <c r="M116" t="s">
        <v>2456</v>
      </c>
      <c r="N116" t="s">
        <v>2457</v>
      </c>
      <c r="O116" t="s">
        <v>2458</v>
      </c>
      <c r="P116" t="s">
        <v>2459</v>
      </c>
      <c r="Q116">
        <f>-477.525583988215 -55.4991464604809 -359.536505168682</f>
        <v>-892.56123561737786</v>
      </c>
      <c r="R116" t="s">
        <v>2460</v>
      </c>
      <c r="S116" t="s">
        <v>2461</v>
      </c>
      <c r="T116" t="s">
        <v>2462</v>
      </c>
      <c r="U116" t="s">
        <v>2463</v>
      </c>
      <c r="V116" t="s">
        <v>2464</v>
      </c>
      <c r="W116" t="s">
        <v>2465</v>
      </c>
      <c r="X116" t="s">
        <v>2466</v>
      </c>
      <c r="Y116" t="s">
        <v>2467</v>
      </c>
    </row>
    <row r="117" spans="1:25" x14ac:dyDescent="0.3">
      <c r="A117">
        <v>5800</v>
      </c>
      <c r="B117" t="s">
        <v>2468</v>
      </c>
      <c r="C117" t="s">
        <v>2469</v>
      </c>
      <c r="D117" t="s">
        <v>2470</v>
      </c>
      <c r="E117" t="s">
        <v>2471</v>
      </c>
      <c r="F117" t="s">
        <v>2472</v>
      </c>
      <c r="G117" t="s">
        <v>2473</v>
      </c>
      <c r="H117" t="s">
        <v>2474</v>
      </c>
      <c r="I117" t="s">
        <v>2475</v>
      </c>
      <c r="J117" t="s">
        <v>2476</v>
      </c>
      <c r="K117" t="s">
        <v>2477</v>
      </c>
      <c r="L117" t="s">
        <v>2478</v>
      </c>
      <c r="M117" t="s">
        <v>2479</v>
      </c>
      <c r="N117" t="s">
        <v>2480</v>
      </c>
      <c r="O117" t="s">
        <v>2481</v>
      </c>
      <c r="P117" t="s">
        <v>2482</v>
      </c>
      <c r="Q117">
        <f>-478.218689835326 -54.5106352879147 -358.844872711345</f>
        <v>-891.57419783458568</v>
      </c>
      <c r="R117" t="s">
        <v>2483</v>
      </c>
      <c r="S117" t="s">
        <v>2484</v>
      </c>
      <c r="T117" t="s">
        <v>2485</v>
      </c>
      <c r="U117" t="s">
        <v>2486</v>
      </c>
      <c r="V117" t="s">
        <v>2487</v>
      </c>
      <c r="W117" t="s">
        <v>2488</v>
      </c>
      <c r="X117" t="s">
        <v>2489</v>
      </c>
      <c r="Y117" t="s">
        <v>2490</v>
      </c>
    </row>
    <row r="118" spans="1:25" x14ac:dyDescent="0.3">
      <c r="A118">
        <v>5850</v>
      </c>
      <c r="B118" t="s">
        <v>2491</v>
      </c>
      <c r="C118" t="s">
        <v>2492</v>
      </c>
      <c r="D118" t="s">
        <v>2493</v>
      </c>
      <c r="E118" t="s">
        <v>2494</v>
      </c>
      <c r="F118" t="s">
        <v>2495</v>
      </c>
      <c r="G118" t="s">
        <v>2496</v>
      </c>
      <c r="H118" t="s">
        <v>2497</v>
      </c>
      <c r="I118" t="s">
        <v>2498</v>
      </c>
      <c r="J118" t="s">
        <v>2499</v>
      </c>
      <c r="K118" t="s">
        <v>2500</v>
      </c>
      <c r="L118" t="s">
        <v>2501</v>
      </c>
      <c r="M118" t="s">
        <v>2502</v>
      </c>
      <c r="N118" t="s">
        <v>2503</v>
      </c>
      <c r="O118" t="s">
        <v>2504</v>
      </c>
      <c r="P118" t="s">
        <v>2505</v>
      </c>
      <c r="Q118">
        <f>-479.574407381438 -53.5082414589867 -358.469600762362</f>
        <v>-891.55224960278667</v>
      </c>
      <c r="R118" t="s">
        <v>2506</v>
      </c>
      <c r="S118" t="s">
        <v>2507</v>
      </c>
      <c r="T118" t="s">
        <v>2508</v>
      </c>
      <c r="U118" t="s">
        <v>2509</v>
      </c>
      <c r="V118" t="s">
        <v>2510</v>
      </c>
      <c r="W118" t="s">
        <v>2511</v>
      </c>
      <c r="X118" t="s">
        <v>2512</v>
      </c>
      <c r="Y118" t="s">
        <v>2513</v>
      </c>
    </row>
    <row r="119" spans="1:25" x14ac:dyDescent="0.3">
      <c r="A119">
        <v>5900</v>
      </c>
      <c r="B119" t="s">
        <v>2514</v>
      </c>
      <c r="C119" t="s">
        <v>2515</v>
      </c>
      <c r="D119" t="s">
        <v>2516</v>
      </c>
      <c r="E119" t="s">
        <v>2517</v>
      </c>
      <c r="F119" t="s">
        <v>2518</v>
      </c>
      <c r="G119" t="s">
        <v>2519</v>
      </c>
      <c r="H119" t="s">
        <v>2520</v>
      </c>
      <c r="I119" t="s">
        <v>2521</v>
      </c>
      <c r="J119" t="s">
        <v>2522</v>
      </c>
      <c r="K119" t="s">
        <v>2523</v>
      </c>
      <c r="L119" t="s">
        <v>2524</v>
      </c>
      <c r="M119" t="s">
        <v>2525</v>
      </c>
      <c r="N119" t="s">
        <v>2526</v>
      </c>
      <c r="O119" t="s">
        <v>2527</v>
      </c>
      <c r="P119" t="s">
        <v>2528</v>
      </c>
      <c r="Q119">
        <f>-479.947958167352 -53.0827773661999 -358.464613047124</f>
        <v>-891.49534858067591</v>
      </c>
      <c r="R119" t="s">
        <v>2529</v>
      </c>
      <c r="S119" t="s">
        <v>2530</v>
      </c>
      <c r="T119" t="s">
        <v>2531</v>
      </c>
      <c r="U119" t="s">
        <v>2532</v>
      </c>
      <c r="V119" t="s">
        <v>2533</v>
      </c>
      <c r="W119" t="s">
        <v>2534</v>
      </c>
      <c r="X119" t="s">
        <v>2535</v>
      </c>
      <c r="Y119" t="s">
        <v>2536</v>
      </c>
    </row>
    <row r="120" spans="1:25" x14ac:dyDescent="0.3">
      <c r="A120">
        <v>5950</v>
      </c>
      <c r="B120" t="s">
        <v>2537</v>
      </c>
      <c r="C120" t="s">
        <v>2538</v>
      </c>
      <c r="D120" t="s">
        <v>2539</v>
      </c>
      <c r="E120" t="s">
        <v>2540</v>
      </c>
      <c r="F120" t="s">
        <v>2541</v>
      </c>
      <c r="G120" t="s">
        <v>2542</v>
      </c>
      <c r="H120" t="s">
        <v>2543</v>
      </c>
      <c r="I120" t="s">
        <v>2544</v>
      </c>
      <c r="J120" t="s">
        <v>2545</v>
      </c>
      <c r="K120" t="s">
        <v>2546</v>
      </c>
      <c r="L120" t="s">
        <v>2547</v>
      </c>
      <c r="M120" t="s">
        <v>2548</v>
      </c>
      <c r="N120" t="s">
        <v>2549</v>
      </c>
      <c r="O120" t="s">
        <v>2550</v>
      </c>
      <c r="P120" t="s">
        <v>2551</v>
      </c>
      <c r="Q120">
        <f>-480.283451326783 -52.7466015254383 -358.756775283125</f>
        <v>-891.78682813534624</v>
      </c>
      <c r="R120" t="s">
        <v>2552</v>
      </c>
      <c r="S120" t="s">
        <v>2553</v>
      </c>
      <c r="T120" t="s">
        <v>2554</v>
      </c>
      <c r="U120" t="s">
        <v>2555</v>
      </c>
      <c r="V120" t="s">
        <v>2556</v>
      </c>
      <c r="W120" t="s">
        <v>2557</v>
      </c>
      <c r="X120" t="s">
        <v>2558</v>
      </c>
      <c r="Y120" t="s">
        <v>2559</v>
      </c>
    </row>
    <row r="121" spans="1:25" x14ac:dyDescent="0.3">
      <c r="A121">
        <v>6000</v>
      </c>
      <c r="B121" t="s">
        <v>2560</v>
      </c>
      <c r="C121" t="s">
        <v>2561</v>
      </c>
      <c r="D121" t="s">
        <v>2562</v>
      </c>
      <c r="E121" t="s">
        <v>2563</v>
      </c>
      <c r="F121" t="s">
        <v>2564</v>
      </c>
      <c r="G121" t="s">
        <v>2565</v>
      </c>
      <c r="H121" t="s">
        <v>2566</v>
      </c>
      <c r="I121" t="s">
        <v>2567</v>
      </c>
      <c r="J121" t="s">
        <v>2568</v>
      </c>
      <c r="K121" t="s">
        <v>2569</v>
      </c>
      <c r="L121" t="s">
        <v>2570</v>
      </c>
      <c r="M121" t="s">
        <v>2571</v>
      </c>
      <c r="N121" t="s">
        <v>2572</v>
      </c>
      <c r="O121" t="s">
        <v>2573</v>
      </c>
      <c r="P121" t="s">
        <v>2574</v>
      </c>
      <c r="Q121">
        <f>-480.454826774918 -52.8474074975875 -358.826888589217</f>
        <v>-892.12912286172252</v>
      </c>
      <c r="R121" t="s">
        <v>2575</v>
      </c>
      <c r="S121" t="s">
        <v>2576</v>
      </c>
      <c r="T121" t="s">
        <v>2577</v>
      </c>
      <c r="U121" t="s">
        <v>2578</v>
      </c>
      <c r="V121" t="s">
        <v>2579</v>
      </c>
      <c r="W121" t="s">
        <v>2580</v>
      </c>
      <c r="X121" t="s">
        <v>2581</v>
      </c>
      <c r="Y121" t="s">
        <v>2582</v>
      </c>
    </row>
    <row r="122" spans="1:25" x14ac:dyDescent="0.3">
      <c r="A122">
        <v>6050</v>
      </c>
      <c r="B122" t="s">
        <v>2583</v>
      </c>
      <c r="C122" t="s">
        <v>2584</v>
      </c>
      <c r="D122" t="s">
        <v>2585</v>
      </c>
      <c r="E122" t="s">
        <v>2586</v>
      </c>
      <c r="F122" t="s">
        <v>2587</v>
      </c>
      <c r="G122" t="s">
        <v>2588</v>
      </c>
      <c r="H122" t="s">
        <v>2589</v>
      </c>
      <c r="I122" t="s">
        <v>2590</v>
      </c>
      <c r="J122" t="s">
        <v>2591</v>
      </c>
      <c r="K122" t="s">
        <v>2592</v>
      </c>
      <c r="L122" t="s">
        <v>2593</v>
      </c>
      <c r="M122" t="s">
        <v>2594</v>
      </c>
      <c r="N122" t="s">
        <v>2595</v>
      </c>
      <c r="O122" t="s">
        <v>2596</v>
      </c>
      <c r="P122" t="s">
        <v>2597</v>
      </c>
      <c r="Q122">
        <f>-480.737043626517 -53.0608623518783 -358.859222618677</f>
        <v>-892.6571285970723</v>
      </c>
      <c r="R122" t="s">
        <v>2598</v>
      </c>
      <c r="S122" t="s">
        <v>2599</v>
      </c>
      <c r="T122" t="s">
        <v>2600</v>
      </c>
      <c r="U122" t="s">
        <v>2601</v>
      </c>
      <c r="V122" t="s">
        <v>2602</v>
      </c>
      <c r="W122" t="s">
        <v>2603</v>
      </c>
      <c r="X122" t="s">
        <v>2604</v>
      </c>
      <c r="Y122" t="s">
        <v>2605</v>
      </c>
    </row>
    <row r="123" spans="1:25" x14ac:dyDescent="0.3">
      <c r="A123">
        <v>6100</v>
      </c>
      <c r="B123" t="s">
        <v>2606</v>
      </c>
      <c r="C123" t="s">
        <v>2607</v>
      </c>
      <c r="D123" t="s">
        <v>2608</v>
      </c>
      <c r="E123" t="s">
        <v>2609</v>
      </c>
      <c r="F123" t="s">
        <v>2610</v>
      </c>
      <c r="G123" t="s">
        <v>2611</v>
      </c>
      <c r="H123" t="s">
        <v>2612</v>
      </c>
      <c r="I123" t="s">
        <v>2613</v>
      </c>
      <c r="J123" t="s">
        <v>2614</v>
      </c>
      <c r="K123" t="s">
        <v>2615</v>
      </c>
      <c r="L123" t="s">
        <v>2616</v>
      </c>
      <c r="M123" t="s">
        <v>2617</v>
      </c>
      <c r="N123" t="s">
        <v>2618</v>
      </c>
      <c r="O123" t="s">
        <v>2619</v>
      </c>
      <c r="P123" t="s">
        <v>2620</v>
      </c>
      <c r="Q123">
        <f>-480.721589709846 -52.9213958161222 -358.665966912122</f>
        <v>-892.30895243809027</v>
      </c>
      <c r="R123" t="s">
        <v>2621</v>
      </c>
      <c r="S123" t="s">
        <v>2622</v>
      </c>
      <c r="T123" t="s">
        <v>2623</v>
      </c>
      <c r="U123" t="s">
        <v>2624</v>
      </c>
      <c r="V123" t="s">
        <v>2625</v>
      </c>
      <c r="W123" t="s">
        <v>2626</v>
      </c>
      <c r="X123" t="s">
        <v>2627</v>
      </c>
      <c r="Y123" t="s">
        <v>2628</v>
      </c>
    </row>
    <row r="124" spans="1:25" x14ac:dyDescent="0.3">
      <c r="A124">
        <v>6150</v>
      </c>
      <c r="B124" t="s">
        <v>2629</v>
      </c>
      <c r="C124" t="s">
        <v>2630</v>
      </c>
      <c r="D124" t="s">
        <v>2631</v>
      </c>
      <c r="E124" t="s">
        <v>2632</v>
      </c>
      <c r="F124" t="s">
        <v>2633</v>
      </c>
      <c r="G124" t="s">
        <v>2634</v>
      </c>
      <c r="H124" t="s">
        <v>2635</v>
      </c>
      <c r="I124" t="s">
        <v>2636</v>
      </c>
      <c r="J124" t="s">
        <v>2637</v>
      </c>
      <c r="K124" t="s">
        <v>2638</v>
      </c>
      <c r="L124" t="s">
        <v>2639</v>
      </c>
      <c r="M124" t="s">
        <v>2640</v>
      </c>
      <c r="N124" t="s">
        <v>2641</v>
      </c>
      <c r="O124" t="s">
        <v>2642</v>
      </c>
      <c r="P124" t="s">
        <v>2643</v>
      </c>
      <c r="Q124">
        <f>-480.425397841487 -52.70129064001 -358.392731402191</f>
        <v>-891.51941988368799</v>
      </c>
      <c r="R124" t="s">
        <v>2644</v>
      </c>
      <c r="S124" t="s">
        <v>2645</v>
      </c>
      <c r="T124" t="s">
        <v>2646</v>
      </c>
      <c r="U124" t="s">
        <v>2647</v>
      </c>
      <c r="V124" t="s">
        <v>2648</v>
      </c>
      <c r="W124" t="s">
        <v>2649</v>
      </c>
      <c r="X124" t="s">
        <v>2650</v>
      </c>
      <c r="Y124" t="s">
        <v>2651</v>
      </c>
    </row>
    <row r="125" spans="1:25" x14ac:dyDescent="0.3">
      <c r="A125">
        <v>6200</v>
      </c>
      <c r="B125" t="s">
        <v>2652</v>
      </c>
      <c r="C125" t="s">
        <v>2653</v>
      </c>
      <c r="D125" t="s">
        <v>2654</v>
      </c>
      <c r="E125" t="s">
        <v>2655</v>
      </c>
      <c r="F125" t="s">
        <v>2656</v>
      </c>
      <c r="G125" t="s">
        <v>2657</v>
      </c>
      <c r="H125" t="s">
        <v>2658</v>
      </c>
      <c r="I125" t="s">
        <v>2659</v>
      </c>
      <c r="J125" t="s">
        <v>2660</v>
      </c>
      <c r="K125" t="s">
        <v>2661</v>
      </c>
      <c r="L125" t="s">
        <v>2662</v>
      </c>
      <c r="M125" t="s">
        <v>2663</v>
      </c>
      <c r="N125" t="s">
        <v>2664</v>
      </c>
      <c r="O125" t="s">
        <v>2665</v>
      </c>
      <c r="P125" t="s">
        <v>2666</v>
      </c>
      <c r="Q125">
        <f>-480.243185572434 -52.6591264155584 -358.214045767183</f>
        <v>-891.11635775517539</v>
      </c>
      <c r="R125" t="s">
        <v>2667</v>
      </c>
      <c r="S125" t="s">
        <v>2668</v>
      </c>
      <c r="T125" t="s">
        <v>2669</v>
      </c>
      <c r="U125" t="s">
        <v>2670</v>
      </c>
      <c r="V125" t="s">
        <v>2671</v>
      </c>
      <c r="W125" t="s">
        <v>2672</v>
      </c>
      <c r="X125" t="s">
        <v>2673</v>
      </c>
      <c r="Y125" t="s">
        <v>2674</v>
      </c>
    </row>
    <row r="126" spans="1:25" x14ac:dyDescent="0.3">
      <c r="A126">
        <v>6250</v>
      </c>
      <c r="B126" t="s">
        <v>2675</v>
      </c>
      <c r="C126" t="s">
        <v>2676</v>
      </c>
      <c r="D126" t="s">
        <v>2677</v>
      </c>
      <c r="E126" t="s">
        <v>2678</v>
      </c>
      <c r="F126" t="s">
        <v>2679</v>
      </c>
      <c r="G126" t="s">
        <v>2680</v>
      </c>
      <c r="H126" t="s">
        <v>2681</v>
      </c>
      <c r="I126" t="s">
        <v>2682</v>
      </c>
      <c r="J126" t="s">
        <v>2683</v>
      </c>
      <c r="K126" t="s">
        <v>2684</v>
      </c>
      <c r="L126" t="s">
        <v>2685</v>
      </c>
      <c r="M126" t="s">
        <v>2686</v>
      </c>
      <c r="N126" t="s">
        <v>2687</v>
      </c>
      <c r="O126" t="s">
        <v>2688</v>
      </c>
      <c r="P126" t="s">
        <v>2689</v>
      </c>
      <c r="Q126">
        <f>-479.861914836033 -51.9148422884728 -358.003741415733</f>
        <v>-889.7804985402388</v>
      </c>
      <c r="R126" t="s">
        <v>2690</v>
      </c>
      <c r="S126" t="s">
        <v>2691</v>
      </c>
      <c r="T126" t="s">
        <v>2692</v>
      </c>
      <c r="U126" t="s">
        <v>2693</v>
      </c>
      <c r="V126" t="s">
        <v>2694</v>
      </c>
      <c r="W126" t="s">
        <v>2695</v>
      </c>
      <c r="X126" t="s">
        <v>2696</v>
      </c>
      <c r="Y126" t="s">
        <v>2697</v>
      </c>
    </row>
    <row r="127" spans="1:25" x14ac:dyDescent="0.3">
      <c r="A127">
        <v>6300</v>
      </c>
      <c r="B127" t="s">
        <v>2698</v>
      </c>
      <c r="C127" t="s">
        <v>2699</v>
      </c>
      <c r="D127" t="s">
        <v>2700</v>
      </c>
      <c r="E127" t="s">
        <v>2701</v>
      </c>
      <c r="F127" t="s">
        <v>2702</v>
      </c>
      <c r="G127" t="s">
        <v>2703</v>
      </c>
      <c r="H127" t="s">
        <v>2704</v>
      </c>
      <c r="I127" t="s">
        <v>2705</v>
      </c>
      <c r="J127" t="s">
        <v>2706</v>
      </c>
      <c r="K127" t="s">
        <v>2707</v>
      </c>
      <c r="L127" t="s">
        <v>2708</v>
      </c>
      <c r="M127" t="s">
        <v>2709</v>
      </c>
      <c r="N127" t="s">
        <v>2710</v>
      </c>
      <c r="O127" t="s">
        <v>2711</v>
      </c>
      <c r="P127" t="s">
        <v>2712</v>
      </c>
      <c r="Q127">
        <f>-479.582024650557 -51.9889388610832 -357.752444192484</f>
        <v>-889.32340770412429</v>
      </c>
      <c r="R127" t="s">
        <v>2713</v>
      </c>
      <c r="S127" t="s">
        <v>2714</v>
      </c>
      <c r="T127" t="s">
        <v>2715</v>
      </c>
      <c r="U127" t="s">
        <v>2716</v>
      </c>
      <c r="V127" t="s">
        <v>2717</v>
      </c>
      <c r="W127" t="s">
        <v>2718</v>
      </c>
      <c r="X127" t="s">
        <v>2719</v>
      </c>
      <c r="Y127" t="s">
        <v>2720</v>
      </c>
    </row>
    <row r="128" spans="1:25" x14ac:dyDescent="0.3">
      <c r="A128">
        <v>6350</v>
      </c>
      <c r="B128" t="s">
        <v>2721</v>
      </c>
      <c r="C128" t="s">
        <v>2722</v>
      </c>
      <c r="D128" t="s">
        <v>2723</v>
      </c>
      <c r="E128" t="s">
        <v>2724</v>
      </c>
      <c r="F128" t="s">
        <v>2725</v>
      </c>
      <c r="G128" t="s">
        <v>2726</v>
      </c>
      <c r="H128" t="s">
        <v>2727</v>
      </c>
      <c r="I128" t="s">
        <v>2728</v>
      </c>
      <c r="J128" t="s">
        <v>2729</v>
      </c>
      <c r="K128" t="s">
        <v>2730</v>
      </c>
      <c r="L128" t="s">
        <v>2731</v>
      </c>
      <c r="M128" t="s">
        <v>2732</v>
      </c>
      <c r="N128" t="s">
        <v>2733</v>
      </c>
      <c r="O128" t="s">
        <v>2734</v>
      </c>
      <c r="P128" t="s">
        <v>2735</v>
      </c>
      <c r="Q128">
        <f>-479.049455645008 -51.4063087395953 -357.53688246408</f>
        <v>-887.99264684868331</v>
      </c>
      <c r="R128" t="s">
        <v>2736</v>
      </c>
      <c r="S128" t="s">
        <v>2737</v>
      </c>
      <c r="T128" t="s">
        <v>2738</v>
      </c>
      <c r="U128" t="s">
        <v>2739</v>
      </c>
      <c r="V128" t="s">
        <v>2740</v>
      </c>
      <c r="W128" t="s">
        <v>2741</v>
      </c>
      <c r="X128" t="s">
        <v>2742</v>
      </c>
      <c r="Y128" t="s">
        <v>2743</v>
      </c>
    </row>
    <row r="129" spans="1:25" x14ac:dyDescent="0.3">
      <c r="A129">
        <v>6400</v>
      </c>
      <c r="B129" t="s">
        <v>2744</v>
      </c>
      <c r="C129" t="s">
        <v>2745</v>
      </c>
      <c r="D129" t="s">
        <v>2746</v>
      </c>
      <c r="E129" t="s">
        <v>2747</v>
      </c>
      <c r="F129" t="s">
        <v>2748</v>
      </c>
      <c r="G129" t="s">
        <v>2749</v>
      </c>
      <c r="H129" t="s">
        <v>2750</v>
      </c>
      <c r="I129" t="s">
        <v>2751</v>
      </c>
      <c r="J129" t="s">
        <v>2752</v>
      </c>
      <c r="K129" t="s">
        <v>2753</v>
      </c>
      <c r="L129" t="s">
        <v>2754</v>
      </c>
      <c r="M129" t="s">
        <v>2755</v>
      </c>
      <c r="N129" t="s">
        <v>2756</v>
      </c>
      <c r="O129" t="s">
        <v>2757</v>
      </c>
      <c r="P129" t="s">
        <v>2758</v>
      </c>
      <c r="Q129">
        <f>-478.720057248187 -51.5334929078992 -357.483341766806</f>
        <v>-887.73689192289226</v>
      </c>
      <c r="R129" t="s">
        <v>2759</v>
      </c>
      <c r="S129" t="s">
        <v>2760</v>
      </c>
      <c r="T129" t="s">
        <v>2761</v>
      </c>
      <c r="U129" t="s">
        <v>2762</v>
      </c>
      <c r="V129" t="s">
        <v>2763</v>
      </c>
      <c r="W129" t="s">
        <v>2764</v>
      </c>
      <c r="X129" t="s">
        <v>2765</v>
      </c>
      <c r="Y129" t="s">
        <v>2766</v>
      </c>
    </row>
    <row r="130" spans="1:25" x14ac:dyDescent="0.3">
      <c r="A130">
        <v>6450</v>
      </c>
      <c r="B130" t="s">
        <v>2767</v>
      </c>
      <c r="C130" t="s">
        <v>2768</v>
      </c>
      <c r="D130" t="s">
        <v>2769</v>
      </c>
      <c r="E130" t="s">
        <v>2770</v>
      </c>
      <c r="F130" t="s">
        <v>2771</v>
      </c>
      <c r="G130" t="s">
        <v>2772</v>
      </c>
      <c r="H130" t="s">
        <v>2773</v>
      </c>
      <c r="I130" t="s">
        <v>2774</v>
      </c>
      <c r="J130" t="s">
        <v>2775</v>
      </c>
      <c r="K130" t="s">
        <v>2776</v>
      </c>
      <c r="L130" t="s">
        <v>2777</v>
      </c>
      <c r="M130" t="s">
        <v>2778</v>
      </c>
      <c r="N130" t="s">
        <v>2779</v>
      </c>
      <c r="O130" t="s">
        <v>2780</v>
      </c>
      <c r="P130" t="s">
        <v>2781</v>
      </c>
      <c r="Q130">
        <f>-478.044042271285 -51.8560078090111 -357.606853887626</f>
        <v>-887.50690396792209</v>
      </c>
      <c r="R130" t="s">
        <v>2782</v>
      </c>
      <c r="S130" t="s">
        <v>2783</v>
      </c>
      <c r="T130" t="s">
        <v>2784</v>
      </c>
      <c r="U130" t="s">
        <v>2785</v>
      </c>
      <c r="V130" t="s">
        <v>2786</v>
      </c>
      <c r="W130" t="s">
        <v>2787</v>
      </c>
      <c r="X130" t="s">
        <v>2788</v>
      </c>
      <c r="Y130" t="s">
        <v>2789</v>
      </c>
    </row>
    <row r="131" spans="1:25" x14ac:dyDescent="0.3">
      <c r="A131">
        <v>6500</v>
      </c>
      <c r="B131" t="s">
        <v>2790</v>
      </c>
      <c r="C131" t="s">
        <v>2791</v>
      </c>
      <c r="D131" t="s">
        <v>2792</v>
      </c>
      <c r="E131" t="s">
        <v>2793</v>
      </c>
      <c r="F131" t="s">
        <v>2794</v>
      </c>
      <c r="G131" t="s">
        <v>2795</v>
      </c>
      <c r="H131" t="s">
        <v>2796</v>
      </c>
      <c r="I131" t="s">
        <v>2797</v>
      </c>
      <c r="J131" t="s">
        <v>2798</v>
      </c>
      <c r="K131" t="s">
        <v>2799</v>
      </c>
      <c r="L131" t="s">
        <v>2800</v>
      </c>
      <c r="M131" t="s">
        <v>2801</v>
      </c>
      <c r="N131" t="s">
        <v>2802</v>
      </c>
      <c r="O131">
        <f>-725.511761603426 -0.317143536483854 -736.90012647398</f>
        <v>-1462.7290316138897</v>
      </c>
      <c r="P131" t="s">
        <v>2803</v>
      </c>
      <c r="Q131">
        <f>-477.914228881911 -52.5415605424364 -357.771694533869</f>
        <v>-888.22748395821634</v>
      </c>
      <c r="R131" t="s">
        <v>2804</v>
      </c>
      <c r="S131" t="s">
        <v>2805</v>
      </c>
      <c r="T131" t="s">
        <v>2806</v>
      </c>
      <c r="U131" t="s">
        <v>2807</v>
      </c>
      <c r="V131" t="s">
        <v>2808</v>
      </c>
      <c r="W131" t="s">
        <v>2809</v>
      </c>
      <c r="X131" t="s">
        <v>2810</v>
      </c>
      <c r="Y131" t="s">
        <v>2811</v>
      </c>
    </row>
    <row r="132" spans="1:25" x14ac:dyDescent="0.3">
      <c r="A132">
        <v>6550</v>
      </c>
      <c r="B132" t="s">
        <v>2812</v>
      </c>
      <c r="C132" t="s">
        <v>2813</v>
      </c>
      <c r="D132" t="s">
        <v>2814</v>
      </c>
      <c r="E132" t="s">
        <v>2815</v>
      </c>
      <c r="F132" t="s">
        <v>2816</v>
      </c>
      <c r="G132" t="s">
        <v>2817</v>
      </c>
      <c r="H132" t="s">
        <v>2818</v>
      </c>
      <c r="I132" t="s">
        <v>2819</v>
      </c>
      <c r="J132" t="s">
        <v>2820</v>
      </c>
      <c r="K132" t="s">
        <v>2821</v>
      </c>
      <c r="L132" t="s">
        <v>2822</v>
      </c>
      <c r="M132" t="s">
        <v>2823</v>
      </c>
      <c r="N132" t="s">
        <v>2824</v>
      </c>
      <c r="O132">
        <f>-725.568729112707 -1.11694875651892 -737.023151189132</f>
        <v>-1463.7088290583579</v>
      </c>
      <c r="P132" t="s">
        <v>2825</v>
      </c>
      <c r="Q132">
        <f>-477.713233832322 -53.662536673942 -358.335133876113</f>
        <v>-889.71090438237695</v>
      </c>
      <c r="R132" t="s">
        <v>2826</v>
      </c>
      <c r="S132" t="s">
        <v>2827</v>
      </c>
      <c r="T132" t="s">
        <v>2828</v>
      </c>
      <c r="U132" t="s">
        <v>2829</v>
      </c>
      <c r="V132" t="s">
        <v>2830</v>
      </c>
      <c r="W132" t="s">
        <v>2831</v>
      </c>
      <c r="X132" t="s">
        <v>2832</v>
      </c>
      <c r="Y132" t="s">
        <v>2833</v>
      </c>
    </row>
    <row r="133" spans="1:25" x14ac:dyDescent="0.3">
      <c r="A133">
        <v>6600</v>
      </c>
      <c r="B133" t="s">
        <v>2834</v>
      </c>
      <c r="C133" t="s">
        <v>2835</v>
      </c>
      <c r="D133" t="s">
        <v>2836</v>
      </c>
      <c r="E133" t="s">
        <v>2837</v>
      </c>
      <c r="F133" t="s">
        <v>2838</v>
      </c>
      <c r="G133" t="s">
        <v>2839</v>
      </c>
      <c r="H133" t="s">
        <v>2840</v>
      </c>
      <c r="I133" t="s">
        <v>2841</v>
      </c>
      <c r="J133" t="s">
        <v>2842</v>
      </c>
      <c r="K133" t="s">
        <v>2843</v>
      </c>
      <c r="L133" t="s">
        <v>2844</v>
      </c>
      <c r="M133" t="s">
        <v>2845</v>
      </c>
      <c r="N133" t="s">
        <v>2846</v>
      </c>
      <c r="O133">
        <f>-725.723678053037 -1.44191516954629 -737.133939799517</f>
        <v>-1464.2995330221001</v>
      </c>
      <c r="P133" t="s">
        <v>2847</v>
      </c>
      <c r="Q133">
        <f>-477.59263186595 -54.1747109845717 -358.584280404783</f>
        <v>-890.35162325530473</v>
      </c>
      <c r="R133" t="s">
        <v>2848</v>
      </c>
      <c r="S133" t="s">
        <v>2849</v>
      </c>
      <c r="T133" t="s">
        <v>2850</v>
      </c>
      <c r="U133" t="s">
        <v>2851</v>
      </c>
      <c r="V133" t="s">
        <v>2852</v>
      </c>
      <c r="W133" t="s">
        <v>2853</v>
      </c>
      <c r="X133" t="s">
        <v>2854</v>
      </c>
      <c r="Y133" t="s">
        <v>2855</v>
      </c>
    </row>
    <row r="134" spans="1:25" x14ac:dyDescent="0.3">
      <c r="A134">
        <v>6650</v>
      </c>
      <c r="B134" t="s">
        <v>2856</v>
      </c>
      <c r="C134" t="s">
        <v>2857</v>
      </c>
      <c r="D134" t="s">
        <v>2858</v>
      </c>
      <c r="E134" t="s">
        <v>2859</v>
      </c>
      <c r="F134" t="s">
        <v>2860</v>
      </c>
      <c r="G134" t="s">
        <v>2861</v>
      </c>
      <c r="H134" t="s">
        <v>2862</v>
      </c>
      <c r="I134" t="s">
        <v>2863</v>
      </c>
      <c r="J134" t="s">
        <v>2864</v>
      </c>
      <c r="K134" t="s">
        <v>2865</v>
      </c>
      <c r="L134" t="s">
        <v>2866</v>
      </c>
      <c r="M134" t="s">
        <v>2867</v>
      </c>
      <c r="N134" t="s">
        <v>2868</v>
      </c>
      <c r="O134">
        <f>-725.9486634881 -2.07525539643666 -737.284602988919</f>
        <v>-1465.3085218734557</v>
      </c>
      <c r="P134" t="s">
        <v>2869</v>
      </c>
      <c r="Q134">
        <f>-477.289070937076 -54.9454984048252 -359.276046814227</f>
        <v>-891.51061615612821</v>
      </c>
      <c r="R134" t="s">
        <v>2870</v>
      </c>
      <c r="S134" t="s">
        <v>2871</v>
      </c>
      <c r="T134" t="s">
        <v>2872</v>
      </c>
      <c r="U134" t="s">
        <v>2873</v>
      </c>
      <c r="V134" t="s">
        <v>2874</v>
      </c>
      <c r="W134" t="s">
        <v>2875</v>
      </c>
      <c r="X134" t="s">
        <v>2876</v>
      </c>
      <c r="Y134" t="s">
        <v>2877</v>
      </c>
    </row>
    <row r="135" spans="1:25" x14ac:dyDescent="0.3">
      <c r="A135">
        <v>6700</v>
      </c>
      <c r="B135" t="s">
        <v>2878</v>
      </c>
      <c r="C135" t="s">
        <v>2879</v>
      </c>
      <c r="D135" t="s">
        <v>2880</v>
      </c>
      <c r="E135" t="s">
        <v>2881</v>
      </c>
      <c r="F135" t="s">
        <v>2882</v>
      </c>
      <c r="G135" t="s">
        <v>2883</v>
      </c>
      <c r="H135" t="s">
        <v>2884</v>
      </c>
      <c r="I135" t="s">
        <v>2885</v>
      </c>
      <c r="J135" t="s">
        <v>2886</v>
      </c>
      <c r="K135" t="s">
        <v>2887</v>
      </c>
      <c r="L135" t="s">
        <v>2888</v>
      </c>
      <c r="M135" t="s">
        <v>2889</v>
      </c>
      <c r="N135" t="s">
        <v>2890</v>
      </c>
      <c r="O135">
        <f>-725.941418661564 -2.33339441565522 -737.335979542869</f>
        <v>-1465.6107926200882</v>
      </c>
      <c r="P135">
        <f>-723.727659637452 -0.252952885441118 -420.828471836828</f>
        <v>-1144.8090843597211</v>
      </c>
      <c r="Q135">
        <f>-477.100089875035 -55.4483191312363 -359.425301027262</f>
        <v>-891.97371003353328</v>
      </c>
      <c r="R135" t="s">
        <v>2891</v>
      </c>
      <c r="S135" t="s">
        <v>2892</v>
      </c>
      <c r="T135" t="s">
        <v>2893</v>
      </c>
      <c r="U135" t="s">
        <v>2894</v>
      </c>
      <c r="V135" t="s">
        <v>2895</v>
      </c>
      <c r="W135" t="s">
        <v>2896</v>
      </c>
      <c r="X135" t="s">
        <v>2897</v>
      </c>
      <c r="Y135" t="s">
        <v>2898</v>
      </c>
    </row>
    <row r="136" spans="1:25" x14ac:dyDescent="0.3">
      <c r="A136">
        <v>6750</v>
      </c>
      <c r="B136" t="s">
        <v>2899</v>
      </c>
      <c r="C136" t="s">
        <v>2900</v>
      </c>
      <c r="D136" t="s">
        <v>2901</v>
      </c>
      <c r="E136" t="s">
        <v>2902</v>
      </c>
      <c r="F136" t="s">
        <v>2903</v>
      </c>
      <c r="G136" t="s">
        <v>2904</v>
      </c>
      <c r="H136" t="s">
        <v>2905</v>
      </c>
      <c r="I136" t="s">
        <v>2906</v>
      </c>
      <c r="J136" t="s">
        <v>2907</v>
      </c>
      <c r="K136" t="s">
        <v>2908</v>
      </c>
      <c r="L136" t="s">
        <v>2909</v>
      </c>
      <c r="M136" t="s">
        <v>2910</v>
      </c>
      <c r="N136" t="s">
        <v>2911</v>
      </c>
      <c r="O136">
        <f>-726.237674454274 -2.88456003882015 -737.355791136099</f>
        <v>-1466.4780256291933</v>
      </c>
      <c r="P136">
        <f>-723.816718498764 -0.959138168661411 -420.848806684695</f>
        <v>-1145.6246633521205</v>
      </c>
      <c r="Q136">
        <f>-477.148773674364 -56.2770713939494 -359.718595613637</f>
        <v>-893.1444406819503</v>
      </c>
      <c r="R136" t="s">
        <v>2912</v>
      </c>
      <c r="S136" t="s">
        <v>2913</v>
      </c>
      <c r="T136" t="s">
        <v>2914</v>
      </c>
      <c r="U136" t="s">
        <v>2915</v>
      </c>
      <c r="V136" t="s">
        <v>2916</v>
      </c>
      <c r="W136" t="s">
        <v>2917</v>
      </c>
      <c r="X136" t="s">
        <v>2918</v>
      </c>
      <c r="Y136" t="s">
        <v>2919</v>
      </c>
    </row>
    <row r="137" spans="1:25" x14ac:dyDescent="0.3">
      <c r="A137">
        <v>6800</v>
      </c>
      <c r="B137" t="s">
        <v>2920</v>
      </c>
      <c r="C137" t="s">
        <v>2921</v>
      </c>
      <c r="D137" t="s">
        <v>2922</v>
      </c>
      <c r="E137" t="s">
        <v>2923</v>
      </c>
      <c r="F137" t="s">
        <v>2924</v>
      </c>
      <c r="G137" t="s">
        <v>2925</v>
      </c>
      <c r="H137" t="s">
        <v>2926</v>
      </c>
      <c r="I137" t="s">
        <v>2927</v>
      </c>
      <c r="J137" t="s">
        <v>2928</v>
      </c>
      <c r="K137" t="s">
        <v>2929</v>
      </c>
      <c r="L137" t="s">
        <v>2930</v>
      </c>
      <c r="M137" t="s">
        <v>2931</v>
      </c>
      <c r="N137" t="s">
        <v>2932</v>
      </c>
      <c r="O137">
        <f>-726.400806003697 -3.11797308053019 -737.320811824456</f>
        <v>-1466.839590908683</v>
      </c>
      <c r="P137">
        <f>-723.853947737872 -1.18143459130488 -420.814954839426</f>
        <v>-1145.8503371686029</v>
      </c>
      <c r="Q137">
        <f>-477.169010124285 -56.5630047073253 -359.810974608103</f>
        <v>-893.54298943971321</v>
      </c>
      <c r="R137" t="s">
        <v>2933</v>
      </c>
      <c r="S137" t="s">
        <v>2934</v>
      </c>
      <c r="T137" t="s">
        <v>2935</v>
      </c>
      <c r="U137" t="s">
        <v>2936</v>
      </c>
      <c r="V137" t="s">
        <v>2937</v>
      </c>
      <c r="W137" t="s">
        <v>2938</v>
      </c>
      <c r="X137" t="s">
        <v>2939</v>
      </c>
      <c r="Y137" t="s">
        <v>2940</v>
      </c>
    </row>
    <row r="138" spans="1:25" x14ac:dyDescent="0.3">
      <c r="A138">
        <v>6850</v>
      </c>
      <c r="B138" t="s">
        <v>2941</v>
      </c>
      <c r="C138" t="s">
        <v>2942</v>
      </c>
      <c r="D138" t="s">
        <v>2943</v>
      </c>
      <c r="E138" t="s">
        <v>2944</v>
      </c>
      <c r="F138" t="s">
        <v>2945</v>
      </c>
      <c r="G138" t="s">
        <v>2946</v>
      </c>
      <c r="H138" t="s">
        <v>2947</v>
      </c>
      <c r="I138" t="s">
        <v>2948</v>
      </c>
      <c r="J138" t="s">
        <v>2949</v>
      </c>
      <c r="K138" t="s">
        <v>2950</v>
      </c>
      <c r="L138" t="s">
        <v>2951</v>
      </c>
      <c r="M138" t="s">
        <v>2952</v>
      </c>
      <c r="N138" t="s">
        <v>2953</v>
      </c>
      <c r="O138">
        <f>-726.71302502487 -3.64473340246923 -737.208461396188</f>
        <v>-1467.5662198235273</v>
      </c>
      <c r="P138">
        <f>-723.959836477209 -1.80393593042299 -420.703811418407</f>
        <v>-1146.4675838260391</v>
      </c>
      <c r="Q138">
        <f>-477.19463949549 -57.208925681437 -360.046859153909</f>
        <v>-894.45042433083609</v>
      </c>
      <c r="R138" t="s">
        <v>2954</v>
      </c>
      <c r="S138" t="s">
        <v>2955</v>
      </c>
      <c r="T138" t="s">
        <v>2956</v>
      </c>
      <c r="U138" t="s">
        <v>2957</v>
      </c>
      <c r="V138" t="s">
        <v>2958</v>
      </c>
      <c r="W138" t="s">
        <v>2959</v>
      </c>
      <c r="X138" t="s">
        <v>2960</v>
      </c>
      <c r="Y138" t="s">
        <v>2961</v>
      </c>
    </row>
    <row r="139" spans="1:25" x14ac:dyDescent="0.3">
      <c r="A139">
        <v>6900</v>
      </c>
      <c r="B139" t="s">
        <v>2962</v>
      </c>
      <c r="C139" t="s">
        <v>2963</v>
      </c>
      <c r="D139" t="s">
        <v>2964</v>
      </c>
      <c r="E139" t="s">
        <v>2965</v>
      </c>
      <c r="F139" t="s">
        <v>2966</v>
      </c>
      <c r="G139" t="s">
        <v>2967</v>
      </c>
      <c r="H139" t="s">
        <v>2968</v>
      </c>
      <c r="I139" t="s">
        <v>2969</v>
      </c>
      <c r="J139" t="s">
        <v>2970</v>
      </c>
      <c r="K139" t="s">
        <v>2971</v>
      </c>
      <c r="L139" t="s">
        <v>2972</v>
      </c>
      <c r="M139" t="s">
        <v>2973</v>
      </c>
      <c r="N139" t="s">
        <v>2974</v>
      </c>
      <c r="O139">
        <f>-726.915185763824 -3.88090629351927 -737.144315810834</f>
        <v>-1467.9404078681773</v>
      </c>
      <c r="P139">
        <f>-723.846342178158 -1.92785259253856 -420.643294988481</f>
        <v>-1146.4174897591774</v>
      </c>
      <c r="Q139">
        <f>-477.052922423053 -57.3271038975788 -360.095721492585</f>
        <v>-894.47574781321691</v>
      </c>
      <c r="R139" t="s">
        <v>2975</v>
      </c>
      <c r="S139" t="s">
        <v>2976</v>
      </c>
      <c r="T139" t="s">
        <v>2977</v>
      </c>
      <c r="U139" t="s">
        <v>2978</v>
      </c>
      <c r="V139" t="s">
        <v>2979</v>
      </c>
      <c r="W139" t="s">
        <v>2980</v>
      </c>
      <c r="X139" t="s">
        <v>2981</v>
      </c>
      <c r="Y139" t="s">
        <v>2982</v>
      </c>
    </row>
    <row r="140" spans="1:25" x14ac:dyDescent="0.3">
      <c r="A140">
        <v>6950</v>
      </c>
      <c r="B140" t="s">
        <v>2983</v>
      </c>
      <c r="C140" t="s">
        <v>2984</v>
      </c>
      <c r="D140" t="s">
        <v>2985</v>
      </c>
      <c r="E140" t="s">
        <v>2986</v>
      </c>
      <c r="F140" t="s">
        <v>2987</v>
      </c>
      <c r="G140" t="s">
        <v>2988</v>
      </c>
      <c r="H140" t="s">
        <v>2989</v>
      </c>
      <c r="I140" t="s">
        <v>2990</v>
      </c>
      <c r="J140" t="s">
        <v>2991</v>
      </c>
      <c r="K140" t="s">
        <v>2992</v>
      </c>
      <c r="L140" t="s">
        <v>2993</v>
      </c>
      <c r="M140" t="s">
        <v>2994</v>
      </c>
      <c r="N140" t="s">
        <v>2995</v>
      </c>
      <c r="O140">
        <f>-727.285683336846 -4.28310472480621 -737.018674620469</f>
        <v>-1468.5874626821212</v>
      </c>
      <c r="P140">
        <f>-723.788628730121 -2.28404714080125 -420.522376761062</f>
        <v>-1146.5950526319843</v>
      </c>
      <c r="Q140">
        <f>-476.899084392576 -57.6872921527554 -360.371487932921</f>
        <v>-894.95786447825242</v>
      </c>
      <c r="R140" t="s">
        <v>2996</v>
      </c>
      <c r="S140" t="s">
        <v>2997</v>
      </c>
      <c r="T140" t="s">
        <v>2998</v>
      </c>
      <c r="U140" t="s">
        <v>2999</v>
      </c>
      <c r="V140" t="s">
        <v>3000</v>
      </c>
      <c r="W140" t="s">
        <v>3001</v>
      </c>
      <c r="X140" t="s">
        <v>3002</v>
      </c>
      <c r="Y140" t="s">
        <v>3003</v>
      </c>
    </row>
    <row r="141" spans="1:25" x14ac:dyDescent="0.3">
      <c r="A141">
        <v>7000</v>
      </c>
      <c r="B141" t="s">
        <v>3004</v>
      </c>
      <c r="C141" t="s">
        <v>3005</v>
      </c>
      <c r="D141" t="s">
        <v>3006</v>
      </c>
      <c r="E141" t="s">
        <v>3007</v>
      </c>
      <c r="F141" t="s">
        <v>3008</v>
      </c>
      <c r="G141" t="s">
        <v>3009</v>
      </c>
      <c r="H141" t="s">
        <v>3010</v>
      </c>
      <c r="I141" t="s">
        <v>3011</v>
      </c>
      <c r="J141" t="s">
        <v>3012</v>
      </c>
      <c r="K141" t="s">
        <v>3013</v>
      </c>
      <c r="L141" t="s">
        <v>3014</v>
      </c>
      <c r="M141" t="s">
        <v>3015</v>
      </c>
      <c r="N141" t="s">
        <v>3016</v>
      </c>
      <c r="O141">
        <f>-727.4504151065 -4.41195908723557 -736.935242357919</f>
        <v>-1468.7976165516548</v>
      </c>
      <c r="P141">
        <f>-723.699848454533 -2.36268666723686 -420.442064366602</f>
        <v>-1146.5045994883719</v>
      </c>
      <c r="Q141">
        <f>-476.729360946808 -57.7078368021446 -360.571184993295</f>
        <v>-895.00838274224759</v>
      </c>
      <c r="R141" t="s">
        <v>3017</v>
      </c>
      <c r="S141" t="s">
        <v>3018</v>
      </c>
      <c r="T141" t="s">
        <v>3019</v>
      </c>
      <c r="U141" t="s">
        <v>3020</v>
      </c>
      <c r="V141" t="s">
        <v>3021</v>
      </c>
      <c r="W141" t="s">
        <v>3022</v>
      </c>
      <c r="X141" t="s">
        <v>3023</v>
      </c>
      <c r="Y141" t="s">
        <v>3024</v>
      </c>
    </row>
    <row r="142" spans="1:25" x14ac:dyDescent="0.3">
      <c r="A142">
        <v>7050</v>
      </c>
      <c r="B142" t="s">
        <v>3025</v>
      </c>
      <c r="C142" t="s">
        <v>3026</v>
      </c>
      <c r="D142" t="s">
        <v>3027</v>
      </c>
      <c r="E142" t="s">
        <v>3028</v>
      </c>
      <c r="F142" t="s">
        <v>3029</v>
      </c>
      <c r="G142" t="s">
        <v>3030</v>
      </c>
      <c r="H142" t="s">
        <v>3031</v>
      </c>
      <c r="I142" t="s">
        <v>3032</v>
      </c>
      <c r="J142" t="s">
        <v>3033</v>
      </c>
      <c r="K142" t="s">
        <v>3034</v>
      </c>
      <c r="L142" t="s">
        <v>3035</v>
      </c>
      <c r="M142" t="s">
        <v>3036</v>
      </c>
      <c r="N142" t="s">
        <v>3037</v>
      </c>
      <c r="O142">
        <f>-727.73597238982 -4.60904737390456 -736.741090977446</f>
        <v>-1469.0861107411706</v>
      </c>
      <c r="P142">
        <f>-723.695038305216 -2.63588233970813 -420.250947404914</f>
        <v>-1146.5818680498382</v>
      </c>
      <c r="Q142">
        <f>-476.633466418352 -57.8712735353758 -360.654973115411</f>
        <v>-895.15971306913889</v>
      </c>
      <c r="R142" t="s">
        <v>3038</v>
      </c>
      <c r="S142" t="s">
        <v>3039</v>
      </c>
      <c r="T142" t="s">
        <v>3040</v>
      </c>
      <c r="U142" t="s">
        <v>3041</v>
      </c>
      <c r="V142" t="s">
        <v>3042</v>
      </c>
      <c r="W142" t="s">
        <v>3043</v>
      </c>
      <c r="X142" t="s">
        <v>3044</v>
      </c>
      <c r="Y142" t="s">
        <v>3045</v>
      </c>
    </row>
    <row r="143" spans="1:25" x14ac:dyDescent="0.3">
      <c r="A143">
        <v>7100</v>
      </c>
      <c r="B143" t="s">
        <v>3046</v>
      </c>
      <c r="C143" t="s">
        <v>3047</v>
      </c>
      <c r="D143" t="s">
        <v>3048</v>
      </c>
      <c r="E143" t="s">
        <v>3049</v>
      </c>
      <c r="F143" t="s">
        <v>3050</v>
      </c>
      <c r="G143" t="s">
        <v>3051</v>
      </c>
      <c r="H143" t="s">
        <v>3052</v>
      </c>
      <c r="I143" t="s">
        <v>3053</v>
      </c>
      <c r="J143" t="s">
        <v>3054</v>
      </c>
      <c r="K143" t="s">
        <v>3055</v>
      </c>
      <c r="L143" t="s">
        <v>3056</v>
      </c>
      <c r="M143" t="s">
        <v>3057</v>
      </c>
      <c r="N143" t="s">
        <v>3058</v>
      </c>
      <c r="O143">
        <f>-727.840043345574 -4.68075910927541 -736.701370932971</f>
        <v>-1469.2221733878205</v>
      </c>
      <c r="P143">
        <f>-723.682778119037 -2.76983564494458 -420.212306630939</f>
        <v>-1146.6649203949205</v>
      </c>
      <c r="Q143">
        <f>-476.598937258998 -57.9008531835445 -360.612083233932</f>
        <v>-895.11187367647449</v>
      </c>
      <c r="R143" t="s">
        <v>3059</v>
      </c>
      <c r="S143" t="s">
        <v>3060</v>
      </c>
      <c r="T143" t="s">
        <v>3061</v>
      </c>
      <c r="U143" t="s">
        <v>3062</v>
      </c>
      <c r="V143" t="s">
        <v>3063</v>
      </c>
      <c r="W143" t="s">
        <v>3064</v>
      </c>
      <c r="X143" t="s">
        <v>3065</v>
      </c>
      <c r="Y143" t="s">
        <v>3066</v>
      </c>
    </row>
    <row r="144" spans="1:25" x14ac:dyDescent="0.3">
      <c r="A144">
        <v>7150</v>
      </c>
      <c r="B144" t="s">
        <v>3067</v>
      </c>
      <c r="C144" t="s">
        <v>3068</v>
      </c>
      <c r="D144" t="s">
        <v>3069</v>
      </c>
      <c r="E144" t="s">
        <v>3070</v>
      </c>
      <c r="F144" t="s">
        <v>3071</v>
      </c>
      <c r="G144" t="s">
        <v>3072</v>
      </c>
      <c r="H144" t="s">
        <v>3073</v>
      </c>
      <c r="I144" t="s">
        <v>3074</v>
      </c>
      <c r="J144" t="s">
        <v>3075</v>
      </c>
      <c r="K144" t="s">
        <v>3076</v>
      </c>
      <c r="L144" t="s">
        <v>3077</v>
      </c>
      <c r="M144" t="s">
        <v>3078</v>
      </c>
      <c r="N144" t="s">
        <v>3079</v>
      </c>
      <c r="O144">
        <f>-728.205048941349 -4.84595277144945 -736.553727969784</f>
        <v>-1469.6047296825823</v>
      </c>
      <c r="P144">
        <f>-724.009184385741 -2.81785665185407 -420.066062700342</f>
        <v>-1146.8931037379371</v>
      </c>
      <c r="Q144">
        <f>-476.908722884297 -57.927655763038 -360.51483307267</f>
        <v>-895.35121172000504</v>
      </c>
      <c r="R144" t="s">
        <v>3080</v>
      </c>
      <c r="S144" t="s">
        <v>3081</v>
      </c>
      <c r="T144" t="s">
        <v>3082</v>
      </c>
      <c r="U144" t="s">
        <v>3083</v>
      </c>
      <c r="V144" t="s">
        <v>3084</v>
      </c>
      <c r="W144" t="s">
        <v>3085</v>
      </c>
      <c r="X144" t="s">
        <v>3086</v>
      </c>
      <c r="Y144" t="s">
        <v>3087</v>
      </c>
    </row>
    <row r="145" spans="1:25" x14ac:dyDescent="0.3">
      <c r="A145">
        <v>7200</v>
      </c>
      <c r="B145" t="s">
        <v>3088</v>
      </c>
      <c r="C145" t="s">
        <v>3089</v>
      </c>
      <c r="D145" t="s">
        <v>3090</v>
      </c>
      <c r="E145" t="s">
        <v>3091</v>
      </c>
      <c r="F145" t="s">
        <v>3092</v>
      </c>
      <c r="G145" t="s">
        <v>3093</v>
      </c>
      <c r="H145" t="s">
        <v>3094</v>
      </c>
      <c r="I145" t="s">
        <v>3095</v>
      </c>
      <c r="J145" t="s">
        <v>3096</v>
      </c>
      <c r="K145" t="s">
        <v>3097</v>
      </c>
      <c r="L145" t="s">
        <v>3098</v>
      </c>
      <c r="M145" t="s">
        <v>3099</v>
      </c>
      <c r="N145" t="s">
        <v>3100</v>
      </c>
      <c r="O145">
        <f>-728.194213353641 -4.94111937158596 -736.482017923663</f>
        <v>-1469.6173506488899</v>
      </c>
      <c r="P145">
        <f>-724.063638012102 -2.81657569682829 -419.994059241373</f>
        <v>-1146.8742729503033</v>
      </c>
      <c r="Q145">
        <f>-476.941645012738 -57.937631176577 -360.542884829353</f>
        <v>-895.42216101866802</v>
      </c>
      <c r="R145" t="s">
        <v>3101</v>
      </c>
      <c r="S145" t="s">
        <v>3102</v>
      </c>
      <c r="T145" t="s">
        <v>3103</v>
      </c>
      <c r="U145" t="s">
        <v>3104</v>
      </c>
      <c r="V145" t="s">
        <v>3105</v>
      </c>
      <c r="W145" t="s">
        <v>3106</v>
      </c>
      <c r="X145" t="s">
        <v>3107</v>
      </c>
      <c r="Y145" t="s">
        <v>3108</v>
      </c>
    </row>
    <row r="146" spans="1:25" x14ac:dyDescent="0.3">
      <c r="A146">
        <v>7250</v>
      </c>
      <c r="B146" t="s">
        <v>3109</v>
      </c>
      <c r="C146" t="s">
        <v>3110</v>
      </c>
      <c r="D146" t="s">
        <v>3111</v>
      </c>
      <c r="E146" t="s">
        <v>3112</v>
      </c>
      <c r="F146" t="s">
        <v>3113</v>
      </c>
      <c r="G146" t="s">
        <v>3114</v>
      </c>
      <c r="H146" t="s">
        <v>3115</v>
      </c>
      <c r="I146" t="s">
        <v>3116</v>
      </c>
      <c r="J146" t="s">
        <v>3117</v>
      </c>
      <c r="K146" t="s">
        <v>3118</v>
      </c>
      <c r="L146" t="s">
        <v>3119</v>
      </c>
      <c r="M146" t="s">
        <v>3120</v>
      </c>
      <c r="N146" t="s">
        <v>3121</v>
      </c>
      <c r="O146">
        <f>-728.451833933785 -5.2398035917397 -736.396203401859</f>
        <v>-1470.0878409273837</v>
      </c>
      <c r="P146">
        <f>-724.443373822178 -2.96844604952798 -419.907683942312</f>
        <v>-1147.3195038140179</v>
      </c>
      <c r="Q146">
        <f>-477.220263326186 -57.8498592109001 -360.655884726082</f>
        <v>-895.72600726316819</v>
      </c>
      <c r="R146" t="s">
        <v>3122</v>
      </c>
      <c r="S146" t="s">
        <v>3123</v>
      </c>
      <c r="T146" t="s">
        <v>3124</v>
      </c>
      <c r="U146" t="s">
        <v>3125</v>
      </c>
      <c r="V146" t="s">
        <v>3126</v>
      </c>
      <c r="W146" t="s">
        <v>3127</v>
      </c>
      <c r="X146" t="s">
        <v>3128</v>
      </c>
      <c r="Y146" t="s">
        <v>3129</v>
      </c>
    </row>
    <row r="147" spans="1:25" x14ac:dyDescent="0.3">
      <c r="A147">
        <v>7300</v>
      </c>
      <c r="B147" t="s">
        <v>3130</v>
      </c>
      <c r="C147" t="s">
        <v>3131</v>
      </c>
      <c r="D147" t="s">
        <v>3132</v>
      </c>
      <c r="E147" t="s">
        <v>3133</v>
      </c>
      <c r="F147" t="s">
        <v>3134</v>
      </c>
      <c r="G147" t="s">
        <v>3135</v>
      </c>
      <c r="H147" t="s">
        <v>3136</v>
      </c>
      <c r="I147" t="s">
        <v>3137</v>
      </c>
      <c r="J147" t="s">
        <v>3138</v>
      </c>
      <c r="K147" t="s">
        <v>3139</v>
      </c>
      <c r="L147" t="s">
        <v>3140</v>
      </c>
      <c r="M147" t="s">
        <v>3141</v>
      </c>
      <c r="N147" t="s">
        <v>3142</v>
      </c>
      <c r="O147">
        <f>-728.458995884709 -5.4350855523187 -736.357952606835</f>
        <v>-1470.2520340438627</v>
      </c>
      <c r="P147">
        <f>-724.588236109853 -3.13376540701279 -419.868040994954</f>
        <v>-1147.5900425118198</v>
      </c>
      <c r="Q147">
        <f>-477.387475860796 -58.0103514344337 -360.518200263012</f>
        <v>-895.91602755824169</v>
      </c>
      <c r="R147" t="s">
        <v>3143</v>
      </c>
      <c r="S147" t="s">
        <v>3144</v>
      </c>
      <c r="T147" t="s">
        <v>3145</v>
      </c>
      <c r="U147" t="s">
        <v>3146</v>
      </c>
      <c r="V147" t="s">
        <v>3147</v>
      </c>
      <c r="W147" t="s">
        <v>3148</v>
      </c>
      <c r="X147" t="s">
        <v>3149</v>
      </c>
      <c r="Y147" t="s">
        <v>3150</v>
      </c>
    </row>
    <row r="148" spans="1:25" x14ac:dyDescent="0.3">
      <c r="A148">
        <v>7350</v>
      </c>
      <c r="B148" t="s">
        <v>3151</v>
      </c>
      <c r="C148" t="s">
        <v>3152</v>
      </c>
      <c r="D148" t="s">
        <v>3153</v>
      </c>
      <c r="E148" t="s">
        <v>3154</v>
      </c>
      <c r="F148" t="s">
        <v>3155</v>
      </c>
      <c r="G148" t="s">
        <v>3156</v>
      </c>
      <c r="H148" t="s">
        <v>3157</v>
      </c>
      <c r="I148" t="s">
        <v>3158</v>
      </c>
      <c r="J148" t="s">
        <v>3159</v>
      </c>
      <c r="K148" t="s">
        <v>3160</v>
      </c>
      <c r="L148" t="s">
        <v>3161</v>
      </c>
      <c r="M148" t="s">
        <v>3162</v>
      </c>
      <c r="N148" t="s">
        <v>3163</v>
      </c>
      <c r="O148">
        <f>-728.823489735679 -5.94353819631147 -736.261572221822</f>
        <v>-1471.0286001538125</v>
      </c>
      <c r="P148">
        <f>-725.014500622668 -3.33037295165036 -419.773327400829</f>
        <v>-1148.1182009751474</v>
      </c>
      <c r="Q148">
        <f>-477.829702495327 -58.1558490553239 -360.309937235176</f>
        <v>-896.29548878582693</v>
      </c>
      <c r="R148" t="s">
        <v>3164</v>
      </c>
      <c r="S148" t="s">
        <v>3165</v>
      </c>
      <c r="T148" t="s">
        <v>3166</v>
      </c>
      <c r="U148" t="s">
        <v>3167</v>
      </c>
      <c r="V148" t="s">
        <v>3168</v>
      </c>
      <c r="W148" t="s">
        <v>3169</v>
      </c>
      <c r="X148" t="s">
        <v>3170</v>
      </c>
      <c r="Y148" t="s">
        <v>3171</v>
      </c>
    </row>
    <row r="149" spans="1:25" x14ac:dyDescent="0.3">
      <c r="A149">
        <v>7400</v>
      </c>
      <c r="B149" t="s">
        <v>3172</v>
      </c>
      <c r="C149" t="s">
        <v>3173</v>
      </c>
      <c r="D149" t="s">
        <v>3174</v>
      </c>
      <c r="E149" t="s">
        <v>3175</v>
      </c>
      <c r="F149" t="s">
        <v>3176</v>
      </c>
      <c r="G149" t="s">
        <v>3177</v>
      </c>
      <c r="H149" t="s">
        <v>3178</v>
      </c>
      <c r="I149" t="s">
        <v>3179</v>
      </c>
      <c r="J149" t="s">
        <v>3180</v>
      </c>
      <c r="K149" t="s">
        <v>3181</v>
      </c>
      <c r="L149" t="s">
        <v>3182</v>
      </c>
      <c r="M149" t="s">
        <v>3183</v>
      </c>
      <c r="N149" t="s">
        <v>3184</v>
      </c>
      <c r="O149">
        <f>-729.075163797991 -6.17215204681156 -736.18671746416</f>
        <v>-1471.4340333089626</v>
      </c>
      <c r="P149">
        <f>-725.217659902425 -3.48495628096384 -419.699653676243</f>
        <v>-1148.4022698596318</v>
      </c>
      <c r="Q149">
        <f>-478.049742749704 -58.3857727774696 -360.23566713968</f>
        <v>-896.67118266685361</v>
      </c>
      <c r="R149" t="s">
        <v>3185</v>
      </c>
      <c r="S149" t="s">
        <v>3186</v>
      </c>
      <c r="T149" t="s">
        <v>3187</v>
      </c>
      <c r="U149" t="s">
        <v>3188</v>
      </c>
      <c r="V149" t="s">
        <v>3189</v>
      </c>
      <c r="W149" t="s">
        <v>3190</v>
      </c>
      <c r="X149" t="s">
        <v>3191</v>
      </c>
      <c r="Y149" t="s">
        <v>3192</v>
      </c>
    </row>
    <row r="150" spans="1:25" x14ac:dyDescent="0.3">
      <c r="A150">
        <v>7450</v>
      </c>
      <c r="B150" t="s">
        <v>3193</v>
      </c>
      <c r="C150" t="s">
        <v>3194</v>
      </c>
      <c r="D150" t="s">
        <v>3195</v>
      </c>
      <c r="E150" t="s">
        <v>3196</v>
      </c>
      <c r="F150" t="s">
        <v>3197</v>
      </c>
      <c r="G150" t="s">
        <v>3198</v>
      </c>
      <c r="H150" t="s">
        <v>3199</v>
      </c>
      <c r="I150" t="s">
        <v>3200</v>
      </c>
      <c r="J150" t="s">
        <v>3201</v>
      </c>
      <c r="K150" t="s">
        <v>3202</v>
      </c>
      <c r="L150" t="s">
        <v>3203</v>
      </c>
      <c r="M150" t="s">
        <v>3204</v>
      </c>
      <c r="N150" t="s">
        <v>3205</v>
      </c>
      <c r="O150">
        <f>-729.263587329573 -6.45466007076038 -736.098584146708</f>
        <v>-1471.8168315470416</v>
      </c>
      <c r="P150">
        <f>-725.36569254914 -3.61852500644 -419.613146580828</f>
        <v>-1148.597364136408</v>
      </c>
      <c r="Q150">
        <f>-478.205639191766 -58.5807617030939 -360.173043904554</f>
        <v>-896.95944479941386</v>
      </c>
      <c r="R150" t="s">
        <v>3206</v>
      </c>
      <c r="S150" t="s">
        <v>3207</v>
      </c>
      <c r="T150" t="s">
        <v>3208</v>
      </c>
      <c r="U150" t="s">
        <v>3209</v>
      </c>
      <c r="V150" t="s">
        <v>3210</v>
      </c>
      <c r="W150" t="s">
        <v>3211</v>
      </c>
      <c r="X150" t="s">
        <v>3212</v>
      </c>
      <c r="Y150" t="s">
        <v>3213</v>
      </c>
    </row>
    <row r="151" spans="1:25" x14ac:dyDescent="0.3">
      <c r="A151">
        <v>7500</v>
      </c>
      <c r="B151" t="s">
        <v>3214</v>
      </c>
      <c r="C151" t="s">
        <v>3215</v>
      </c>
      <c r="D151" t="s">
        <v>3216</v>
      </c>
      <c r="E151" t="s">
        <v>3217</v>
      </c>
      <c r="F151" t="s">
        <v>3218</v>
      </c>
      <c r="G151" t="s">
        <v>3219</v>
      </c>
      <c r="H151" t="s">
        <v>3220</v>
      </c>
      <c r="I151" t="s">
        <v>3221</v>
      </c>
      <c r="J151" t="s">
        <v>3222</v>
      </c>
      <c r="K151" t="s">
        <v>3223</v>
      </c>
      <c r="L151" t="s">
        <v>3224</v>
      </c>
      <c r="M151" t="s">
        <v>3225</v>
      </c>
      <c r="N151" t="s">
        <v>3226</v>
      </c>
      <c r="O151">
        <f>-729.601521541121 -6.75672959492044 -735.958686719221</f>
        <v>-1472.3169378552625</v>
      </c>
      <c r="P151">
        <f>-725.609056788623 -3.89128016695372 -419.474825667678</f>
        <v>-1148.9751626232546</v>
      </c>
      <c r="Q151">
        <f>-478.45936071635 -58.9635963748663 -360.093375283735</f>
        <v>-897.51633237495128</v>
      </c>
      <c r="R151" t="s">
        <v>3227</v>
      </c>
      <c r="S151" t="s">
        <v>3228</v>
      </c>
      <c r="T151" t="s">
        <v>3229</v>
      </c>
      <c r="U151" t="s">
        <v>3230</v>
      </c>
      <c r="V151" t="s">
        <v>3231</v>
      </c>
      <c r="W151" t="s">
        <v>3232</v>
      </c>
      <c r="X151" t="s">
        <v>3233</v>
      </c>
      <c r="Y151" t="s">
        <v>3234</v>
      </c>
    </row>
    <row r="152" spans="1:25" x14ac:dyDescent="0.3">
      <c r="A152">
        <v>7550</v>
      </c>
      <c r="B152" t="s">
        <v>3235</v>
      </c>
      <c r="C152" t="s">
        <v>3236</v>
      </c>
      <c r="D152" t="s">
        <v>3237</v>
      </c>
      <c r="E152" t="s">
        <v>3238</v>
      </c>
      <c r="F152" t="s">
        <v>3239</v>
      </c>
      <c r="G152" t="s">
        <v>3240</v>
      </c>
      <c r="H152" t="s">
        <v>3241</v>
      </c>
      <c r="I152" t="s">
        <v>3242</v>
      </c>
      <c r="J152" t="s">
        <v>3243</v>
      </c>
      <c r="K152" t="s">
        <v>3244</v>
      </c>
      <c r="L152" t="s">
        <v>3245</v>
      </c>
      <c r="M152" t="s">
        <v>3246</v>
      </c>
      <c r="N152" t="s">
        <v>3247</v>
      </c>
      <c r="O152">
        <f>-729.985267460883 -6.91130369118923 -735.878336531748</f>
        <v>-1472.7749076838204</v>
      </c>
      <c r="P152">
        <f>-726.199241188249 -3.84704720745276 -419.393948044245</f>
        <v>-1149.4402364399466</v>
      </c>
      <c r="Q152">
        <f>-479.052391907317 -58.9029750373913 -359.985796226692</f>
        <v>-897.94116317140038</v>
      </c>
      <c r="R152" t="s">
        <v>3248</v>
      </c>
      <c r="S152" t="s">
        <v>3249</v>
      </c>
      <c r="T152" t="s">
        <v>3250</v>
      </c>
      <c r="U152" t="s">
        <v>3251</v>
      </c>
      <c r="V152" t="s">
        <v>3252</v>
      </c>
      <c r="W152" t="s">
        <v>3253</v>
      </c>
      <c r="X152" t="s">
        <v>3254</v>
      </c>
      <c r="Y152" t="s">
        <v>3255</v>
      </c>
    </row>
    <row r="153" spans="1:25" x14ac:dyDescent="0.3">
      <c r="A153">
        <v>7600</v>
      </c>
      <c r="B153" t="s">
        <v>3256</v>
      </c>
      <c r="C153" t="s">
        <v>3257</v>
      </c>
      <c r="D153" t="s">
        <v>3258</v>
      </c>
      <c r="E153" t="s">
        <v>3259</v>
      </c>
      <c r="F153" t="s">
        <v>3260</v>
      </c>
      <c r="G153" t="s">
        <v>3261</v>
      </c>
      <c r="H153" t="s">
        <v>3262</v>
      </c>
      <c r="I153" t="s">
        <v>3263</v>
      </c>
      <c r="J153" t="s">
        <v>3264</v>
      </c>
      <c r="K153" t="s">
        <v>3265</v>
      </c>
      <c r="L153" t="s">
        <v>3266</v>
      </c>
      <c r="M153" t="s">
        <v>3267</v>
      </c>
      <c r="N153" t="s">
        <v>3268</v>
      </c>
      <c r="O153">
        <f>-730.168212657148 -6.94909600077517 -735.847318234652</f>
        <v>-1472.9646268925753</v>
      </c>
      <c r="P153">
        <f>-726.494471309198 -3.88343607648812 -419.361484117826</f>
        <v>-1149.7393915035123</v>
      </c>
      <c r="Q153">
        <f>-479.376219365141 -58.9986602993379 -359.889550540886</f>
        <v>-898.26443020536499</v>
      </c>
      <c r="R153" t="s">
        <v>3269</v>
      </c>
      <c r="S153" t="s">
        <v>3270</v>
      </c>
      <c r="T153" t="s">
        <v>3271</v>
      </c>
      <c r="U153" t="s">
        <v>3272</v>
      </c>
      <c r="V153" t="s">
        <v>3273</v>
      </c>
      <c r="W153" t="s">
        <v>3274</v>
      </c>
      <c r="X153" t="s">
        <v>3275</v>
      </c>
      <c r="Y153" t="s">
        <v>3276</v>
      </c>
    </row>
    <row r="154" spans="1:25" x14ac:dyDescent="0.3">
      <c r="A154">
        <v>7650</v>
      </c>
      <c r="B154" t="s">
        <v>3277</v>
      </c>
      <c r="C154" t="s">
        <v>3278</v>
      </c>
      <c r="D154" t="s">
        <v>3279</v>
      </c>
      <c r="E154" t="s">
        <v>3280</v>
      </c>
      <c r="F154" t="s">
        <v>3281</v>
      </c>
      <c r="G154" t="s">
        <v>3282</v>
      </c>
      <c r="H154" t="s">
        <v>3283</v>
      </c>
      <c r="I154" t="s">
        <v>3284</v>
      </c>
      <c r="J154" t="s">
        <v>3285</v>
      </c>
      <c r="K154" t="s">
        <v>3286</v>
      </c>
      <c r="L154" t="s">
        <v>3287</v>
      </c>
      <c r="M154" t="s">
        <v>3288</v>
      </c>
      <c r="N154" t="s">
        <v>3289</v>
      </c>
      <c r="O154">
        <f>-730.540272490956 -6.96879572978492 -735.798281910764</f>
        <v>-1473.3073501315048</v>
      </c>
      <c r="P154">
        <f>-726.834362134319 -3.62687945097673 -419.31555082071</f>
        <v>-1149.7767924060058</v>
      </c>
      <c r="Q154">
        <f>-479.649249585009 -58.6714940276004 -360.056240494588</f>
        <v>-898.37698410719736</v>
      </c>
      <c r="R154" t="s">
        <v>3290</v>
      </c>
      <c r="S154" t="s">
        <v>3291</v>
      </c>
      <c r="T154" t="s">
        <v>3292</v>
      </c>
      <c r="U154" t="s">
        <v>3293</v>
      </c>
      <c r="V154" t="s">
        <v>3294</v>
      </c>
      <c r="W154" t="s">
        <v>3295</v>
      </c>
      <c r="X154" t="s">
        <v>3296</v>
      </c>
      <c r="Y154" t="s">
        <v>3297</v>
      </c>
    </row>
    <row r="155" spans="1:25" x14ac:dyDescent="0.3">
      <c r="A155">
        <v>7700</v>
      </c>
      <c r="B155" t="s">
        <v>3298</v>
      </c>
      <c r="C155" t="s">
        <v>3299</v>
      </c>
      <c r="D155" t="s">
        <v>3300</v>
      </c>
      <c r="E155" t="s">
        <v>3301</v>
      </c>
      <c r="F155" t="s">
        <v>3302</v>
      </c>
      <c r="G155" t="s">
        <v>3303</v>
      </c>
      <c r="H155" t="s">
        <v>3304</v>
      </c>
      <c r="I155" t="s">
        <v>3305</v>
      </c>
      <c r="J155" t="s">
        <v>3306</v>
      </c>
      <c r="K155" t="s">
        <v>3307</v>
      </c>
      <c r="L155" t="s">
        <v>3308</v>
      </c>
      <c r="M155" t="s">
        <v>3309</v>
      </c>
      <c r="N155" t="s">
        <v>3310</v>
      </c>
      <c r="O155">
        <f>-730.71619513054 -7.03942800149389 -735.735795470067</f>
        <v>-1473.491418602101</v>
      </c>
      <c r="P155">
        <f>-726.962265752711 -3.57932003619226 -419.254939617952</f>
        <v>-1149.7965254068554</v>
      </c>
      <c r="Q155">
        <f>-479.798811046793 -58.7511166827342 -360.023779181836</f>
        <v>-898.57370691136316</v>
      </c>
      <c r="R155" t="s">
        <v>3311</v>
      </c>
      <c r="S155" t="s">
        <v>3312</v>
      </c>
      <c r="T155" t="s">
        <v>3313</v>
      </c>
      <c r="U155" t="s">
        <v>3314</v>
      </c>
      <c r="V155" t="s">
        <v>3315</v>
      </c>
      <c r="W155" t="s">
        <v>3316</v>
      </c>
      <c r="X155" t="s">
        <v>3317</v>
      </c>
      <c r="Y155" t="s">
        <v>3318</v>
      </c>
    </row>
    <row r="156" spans="1:25" x14ac:dyDescent="0.3">
      <c r="A156">
        <v>7750</v>
      </c>
      <c r="B156" t="s">
        <v>3319</v>
      </c>
      <c r="C156" t="s">
        <v>3320</v>
      </c>
      <c r="D156" t="s">
        <v>3321</v>
      </c>
      <c r="E156" t="s">
        <v>3322</v>
      </c>
      <c r="F156" t="s">
        <v>3323</v>
      </c>
      <c r="G156" t="s">
        <v>3324</v>
      </c>
      <c r="H156" t="s">
        <v>3325</v>
      </c>
      <c r="I156" t="s">
        <v>3326</v>
      </c>
      <c r="J156" t="s">
        <v>3327</v>
      </c>
      <c r="K156" t="s">
        <v>3328</v>
      </c>
      <c r="L156" t="s">
        <v>3329</v>
      </c>
      <c r="M156" t="s">
        <v>3330</v>
      </c>
      <c r="N156" t="s">
        <v>3331</v>
      </c>
      <c r="O156">
        <f>-731.128102613964 -7.31191497820919 -735.644740589315</f>
        <v>-1474.0847581814883</v>
      </c>
      <c r="P156">
        <f>-727.371603572427 -3.79890071763771 -419.164533000051</f>
        <v>-1150.3350372901157</v>
      </c>
      <c r="Q156">
        <f>-480.162054209575 -59.0100494916201 -360.162745682787</f>
        <v>-899.33484938398203</v>
      </c>
      <c r="R156" t="s">
        <v>3332</v>
      </c>
      <c r="S156" t="s">
        <v>3333</v>
      </c>
      <c r="T156" t="s">
        <v>3334</v>
      </c>
      <c r="U156" t="s">
        <v>3335</v>
      </c>
      <c r="V156" t="s">
        <v>3336</v>
      </c>
      <c r="W156" t="s">
        <v>3337</v>
      </c>
      <c r="X156" t="s">
        <v>3338</v>
      </c>
      <c r="Y156" t="s">
        <v>3339</v>
      </c>
    </row>
    <row r="157" spans="1:25" x14ac:dyDescent="0.3">
      <c r="A157">
        <v>7800</v>
      </c>
      <c r="B157" t="s">
        <v>3340</v>
      </c>
      <c r="C157" t="s">
        <v>3341</v>
      </c>
      <c r="D157" t="s">
        <v>3342</v>
      </c>
      <c r="E157" t="s">
        <v>3343</v>
      </c>
      <c r="F157" t="s">
        <v>3344</v>
      </c>
      <c r="G157" t="s">
        <v>3345</v>
      </c>
      <c r="H157" t="s">
        <v>3346</v>
      </c>
      <c r="I157" t="s">
        <v>3347</v>
      </c>
      <c r="J157" t="s">
        <v>3348</v>
      </c>
      <c r="K157" t="s">
        <v>3349</v>
      </c>
      <c r="L157" t="s">
        <v>3350</v>
      </c>
      <c r="M157" t="s">
        <v>3351</v>
      </c>
      <c r="N157" t="s">
        <v>3352</v>
      </c>
      <c r="O157">
        <f>-731.282668167199 -7.35690478906213 -735.599632139013</f>
        <v>-1474.239205095274</v>
      </c>
      <c r="P157">
        <f>-727.604030977477 -3.70275359782227 -419.120027146342</f>
        <v>-1150.4268117216413</v>
      </c>
      <c r="Q157">
        <f>-480.379279512068 -58.8842651201476 -360.154071806897</f>
        <v>-899.41761643911263</v>
      </c>
      <c r="R157" t="s">
        <v>3353</v>
      </c>
      <c r="S157" t="s">
        <v>3354</v>
      </c>
      <c r="T157" t="s">
        <v>3355</v>
      </c>
      <c r="U157" t="s">
        <v>3356</v>
      </c>
      <c r="V157" t="s">
        <v>3357</v>
      </c>
      <c r="W157" t="s">
        <v>3358</v>
      </c>
      <c r="X157" t="s">
        <v>3359</v>
      </c>
      <c r="Y157" t="s">
        <v>3360</v>
      </c>
    </row>
    <row r="158" spans="1:25" x14ac:dyDescent="0.3">
      <c r="A158">
        <v>7850</v>
      </c>
      <c r="B158" t="s">
        <v>3361</v>
      </c>
      <c r="C158" t="s">
        <v>3362</v>
      </c>
      <c r="D158" t="s">
        <v>3363</v>
      </c>
      <c r="E158" t="s">
        <v>3364</v>
      </c>
      <c r="F158" t="s">
        <v>3365</v>
      </c>
      <c r="G158" t="s">
        <v>3366</v>
      </c>
      <c r="H158" t="s">
        <v>3367</v>
      </c>
      <c r="I158" t="s">
        <v>3368</v>
      </c>
      <c r="J158" t="s">
        <v>3369</v>
      </c>
      <c r="K158" t="s">
        <v>3370</v>
      </c>
      <c r="L158" t="s">
        <v>3371</v>
      </c>
      <c r="M158" t="s">
        <v>3372</v>
      </c>
      <c r="N158" t="s">
        <v>3373</v>
      </c>
      <c r="O158">
        <f>-731.449869293114 -7.49277580059311 -735.537079639646</f>
        <v>-1474.4797247333531</v>
      </c>
      <c r="P158">
        <f>-727.893843253824 -3.77228261967548 -419.05700912466</f>
        <v>-1150.7231349981594</v>
      </c>
      <c r="Q158">
        <f>-480.644881102198 -58.8569570505083 -360.102083367812</f>
        <v>-899.60392152051827</v>
      </c>
      <c r="R158" t="s">
        <v>3374</v>
      </c>
      <c r="S158" t="s">
        <v>3375</v>
      </c>
      <c r="T158" t="s">
        <v>3376</v>
      </c>
      <c r="U158" t="s">
        <v>3377</v>
      </c>
      <c r="V158" t="s">
        <v>3378</v>
      </c>
      <c r="W158" t="s">
        <v>3379</v>
      </c>
      <c r="X158" t="s">
        <v>3380</v>
      </c>
      <c r="Y158" t="s">
        <v>3381</v>
      </c>
    </row>
    <row r="159" spans="1:25" x14ac:dyDescent="0.3">
      <c r="A159">
        <v>7900</v>
      </c>
      <c r="B159" t="s">
        <v>3382</v>
      </c>
      <c r="C159" t="s">
        <v>3383</v>
      </c>
      <c r="D159" t="s">
        <v>3384</v>
      </c>
      <c r="E159" t="s">
        <v>3385</v>
      </c>
      <c r="F159" t="s">
        <v>3386</v>
      </c>
      <c r="G159" t="s">
        <v>3387</v>
      </c>
      <c r="H159" t="s">
        <v>3388</v>
      </c>
      <c r="I159" t="s">
        <v>3389</v>
      </c>
      <c r="J159" t="s">
        <v>3390</v>
      </c>
      <c r="K159" t="s">
        <v>3391</v>
      </c>
      <c r="L159" t="s">
        <v>3392</v>
      </c>
      <c r="M159" t="s">
        <v>3393</v>
      </c>
      <c r="N159" t="s">
        <v>3394</v>
      </c>
      <c r="O159">
        <f>-731.527987523116 -7.55310638068045 -735.501232272342</f>
        <v>-1474.5823261761384</v>
      </c>
      <c r="P159">
        <f>-727.968149939665 -3.75607341251475 -419.02194163563</f>
        <v>-1150.7461649878096</v>
      </c>
      <c r="Q159">
        <f>-480.731289589174 -58.8783704456528 -360.051623727854</f>
        <v>-899.6612837626808</v>
      </c>
      <c r="R159" t="s">
        <v>3395</v>
      </c>
      <c r="S159" t="s">
        <v>3396</v>
      </c>
      <c r="T159" t="s">
        <v>3397</v>
      </c>
      <c r="U159" t="s">
        <v>3398</v>
      </c>
      <c r="V159" t="s">
        <v>3399</v>
      </c>
      <c r="W159" t="s">
        <v>3400</v>
      </c>
      <c r="X159" t="s">
        <v>3401</v>
      </c>
      <c r="Y159" t="s">
        <v>3402</v>
      </c>
    </row>
    <row r="160" spans="1:25" x14ac:dyDescent="0.3">
      <c r="A160">
        <v>7950</v>
      </c>
      <c r="B160" t="s">
        <v>3403</v>
      </c>
      <c r="C160" t="s">
        <v>3404</v>
      </c>
      <c r="D160" t="s">
        <v>3405</v>
      </c>
      <c r="E160" t="s">
        <v>3406</v>
      </c>
      <c r="F160" t="s">
        <v>3407</v>
      </c>
      <c r="G160" t="s">
        <v>3408</v>
      </c>
      <c r="H160" t="s">
        <v>3409</v>
      </c>
      <c r="I160" t="s">
        <v>3410</v>
      </c>
      <c r="J160" t="s">
        <v>3411</v>
      </c>
      <c r="K160" t="s">
        <v>3412</v>
      </c>
      <c r="L160" t="s">
        <v>3413</v>
      </c>
      <c r="M160" t="s">
        <v>3414</v>
      </c>
      <c r="N160" t="s">
        <v>3415</v>
      </c>
      <c r="O160">
        <f>-731.605322623273 -7.72228773310849 -735.339352011514</f>
        <v>-1474.6669623678954</v>
      </c>
      <c r="P160">
        <f>-728.03341262475 -3.53773918689194 -418.865178259881</f>
        <v>-1150.4363300715229</v>
      </c>
      <c r="Q160">
        <f>-480.800839213336 -58.6441767341337 -359.861864445635</f>
        <v>-899.30688039310473</v>
      </c>
      <c r="R160" t="s">
        <v>3416</v>
      </c>
      <c r="S160" t="s">
        <v>3417</v>
      </c>
      <c r="T160" t="s">
        <v>3418</v>
      </c>
      <c r="U160" t="s">
        <v>3419</v>
      </c>
      <c r="V160" t="s">
        <v>3420</v>
      </c>
      <c r="W160" t="s">
        <v>3421</v>
      </c>
      <c r="X160" t="s">
        <v>3422</v>
      </c>
      <c r="Y160" t="s">
        <v>3423</v>
      </c>
    </row>
    <row r="161" spans="1:25" x14ac:dyDescent="0.3">
      <c r="A161">
        <v>8000</v>
      </c>
      <c r="B161" t="s">
        <v>3424</v>
      </c>
      <c r="C161" t="s">
        <v>3425</v>
      </c>
      <c r="D161" t="s">
        <v>3426</v>
      </c>
      <c r="E161" t="s">
        <v>3427</v>
      </c>
      <c r="F161" t="s">
        <v>3428</v>
      </c>
      <c r="G161" t="s">
        <v>3429</v>
      </c>
      <c r="H161" t="s">
        <v>3430</v>
      </c>
      <c r="I161" t="s">
        <v>3431</v>
      </c>
      <c r="J161" t="s">
        <v>3432</v>
      </c>
      <c r="K161" t="s">
        <v>3433</v>
      </c>
      <c r="L161" t="s">
        <v>3434</v>
      </c>
      <c r="M161" t="s">
        <v>3435</v>
      </c>
      <c r="N161" t="s">
        <v>3436</v>
      </c>
      <c r="O161">
        <f>-731.422703074077 -7.78943153637169 -735.301452838374</f>
        <v>-1474.5135874488228</v>
      </c>
      <c r="P161">
        <f>-727.880564292067 -3.34931067983689 -418.830400810862</f>
        <v>-1150.060275782766</v>
      </c>
      <c r="Q161">
        <f>-480.711995521626 -58.5385367080639 -359.63674756129</f>
        <v>-898.88727979097996</v>
      </c>
      <c r="R161" t="s">
        <v>3437</v>
      </c>
      <c r="S161" t="s">
        <v>3438</v>
      </c>
      <c r="T161" t="s">
        <v>3439</v>
      </c>
      <c r="U161" t="s">
        <v>3440</v>
      </c>
      <c r="V161" t="s">
        <v>3441</v>
      </c>
      <c r="W161" t="s">
        <v>3442</v>
      </c>
      <c r="X161" t="s">
        <v>3443</v>
      </c>
      <c r="Y161" t="s">
        <v>3444</v>
      </c>
    </row>
    <row r="162" spans="1:25" x14ac:dyDescent="0.3">
      <c r="A162">
        <v>8050</v>
      </c>
      <c r="B162" t="s">
        <v>3445</v>
      </c>
      <c r="C162" t="s">
        <v>3446</v>
      </c>
      <c r="D162" t="s">
        <v>3447</v>
      </c>
      <c r="E162" t="s">
        <v>3448</v>
      </c>
      <c r="F162" t="s">
        <v>3449</v>
      </c>
      <c r="G162" t="s">
        <v>3450</v>
      </c>
      <c r="H162" t="s">
        <v>3451</v>
      </c>
      <c r="I162" t="s">
        <v>3452</v>
      </c>
      <c r="J162" t="s">
        <v>3453</v>
      </c>
      <c r="K162" t="s">
        <v>3454</v>
      </c>
      <c r="L162" t="s">
        <v>3455</v>
      </c>
      <c r="M162" t="s">
        <v>3456</v>
      </c>
      <c r="N162" t="s">
        <v>3457</v>
      </c>
      <c r="O162">
        <f>-731.536484516918 -7.9678869388847 -735.215413325582</f>
        <v>-1474.7197847813845</v>
      </c>
      <c r="P162">
        <f>-728.479264495411 -3.37745581874719 -418.741471838294</f>
        <v>-1150.5981921524522</v>
      </c>
      <c r="Q162">
        <f>-481.210630504015 -58.3964244708889 -359.807531204618</f>
        <v>-899.41458617952185</v>
      </c>
      <c r="R162" t="s">
        <v>3458</v>
      </c>
      <c r="S162" t="s">
        <v>3459</v>
      </c>
      <c r="T162" t="s">
        <v>3460</v>
      </c>
      <c r="U162" t="s">
        <v>3461</v>
      </c>
      <c r="V162" t="s">
        <v>3462</v>
      </c>
      <c r="W162" t="s">
        <v>3463</v>
      </c>
      <c r="X162" t="s">
        <v>3464</v>
      </c>
      <c r="Y162" t="s">
        <v>3465</v>
      </c>
    </row>
    <row r="163" spans="1:25" x14ac:dyDescent="0.3">
      <c r="A163">
        <v>8100</v>
      </c>
      <c r="B163" t="s">
        <v>3466</v>
      </c>
      <c r="C163" t="s">
        <v>3467</v>
      </c>
      <c r="D163" t="s">
        <v>3468</v>
      </c>
      <c r="E163" t="s">
        <v>3469</v>
      </c>
      <c r="F163" t="s">
        <v>3470</v>
      </c>
      <c r="G163" t="s">
        <v>3471</v>
      </c>
      <c r="H163" t="s">
        <v>3472</v>
      </c>
      <c r="I163" t="s">
        <v>3473</v>
      </c>
      <c r="J163" t="s">
        <v>3474</v>
      </c>
      <c r="K163" t="s">
        <v>3475</v>
      </c>
      <c r="L163" t="s">
        <v>3476</v>
      </c>
      <c r="M163" t="s">
        <v>3477</v>
      </c>
      <c r="N163" t="s">
        <v>3478</v>
      </c>
      <c r="O163">
        <f>-731.681741558637 -7.85390334702834 -735.243543384022</f>
        <v>-1474.7791882896872</v>
      </c>
      <c r="P163">
        <f>-728.663850800341 -3.45301848233635 -418.766410559191</f>
        <v>-1150.8832798418684</v>
      </c>
      <c r="Q163">
        <f>-481.354565579863 -58.3792845335192 -359.916793020122</f>
        <v>-899.65064313350422</v>
      </c>
      <c r="R163" t="s">
        <v>3479</v>
      </c>
      <c r="S163" t="s">
        <v>3480</v>
      </c>
      <c r="T163" t="s">
        <v>3481</v>
      </c>
      <c r="U163" t="s">
        <v>3482</v>
      </c>
      <c r="V163" t="s">
        <v>3483</v>
      </c>
      <c r="W163" t="s">
        <v>3484</v>
      </c>
      <c r="X163" t="s">
        <v>3485</v>
      </c>
      <c r="Y163" t="s">
        <v>3486</v>
      </c>
    </row>
    <row r="164" spans="1:25" x14ac:dyDescent="0.3">
      <c r="A164">
        <v>8150</v>
      </c>
      <c r="B164" t="s">
        <v>3487</v>
      </c>
      <c r="C164" t="s">
        <v>3488</v>
      </c>
      <c r="D164" t="s">
        <v>3489</v>
      </c>
      <c r="E164" t="s">
        <v>3490</v>
      </c>
      <c r="F164" t="s">
        <v>3491</v>
      </c>
      <c r="G164" t="s">
        <v>3492</v>
      </c>
      <c r="H164" t="s">
        <v>3493</v>
      </c>
      <c r="I164" t="s">
        <v>3494</v>
      </c>
      <c r="J164" t="s">
        <v>3495</v>
      </c>
      <c r="K164" t="s">
        <v>3496</v>
      </c>
      <c r="L164" t="s">
        <v>3497</v>
      </c>
      <c r="M164" t="s">
        <v>3498</v>
      </c>
      <c r="N164" t="s">
        <v>3499</v>
      </c>
      <c r="O164">
        <f>-732.167317999373 -7.77816648826092 -735.355982173359</f>
        <v>-1475.3014666609929</v>
      </c>
      <c r="P164">
        <f>-729.019377788467 -3.13451046126579 -418.883699845093</f>
        <v>-1151.0375880948259</v>
      </c>
      <c r="Q164">
        <f>-481.681769041442 -57.8567950311588 -359.9633218704</f>
        <v>-899.50188594300084</v>
      </c>
      <c r="R164" t="s">
        <v>3500</v>
      </c>
      <c r="S164" t="s">
        <v>3501</v>
      </c>
      <c r="T164" t="s">
        <v>3502</v>
      </c>
      <c r="U164" t="s">
        <v>3503</v>
      </c>
      <c r="V164" t="s">
        <v>3504</v>
      </c>
      <c r="W164" t="s">
        <v>3505</v>
      </c>
      <c r="X164" t="s">
        <v>3506</v>
      </c>
      <c r="Y164" t="s">
        <v>3507</v>
      </c>
    </row>
    <row r="165" spans="1:25" x14ac:dyDescent="0.3">
      <c r="A165">
        <v>8200</v>
      </c>
      <c r="B165" t="s">
        <v>3508</v>
      </c>
      <c r="C165" t="s">
        <v>3509</v>
      </c>
      <c r="D165" t="s">
        <v>3510</v>
      </c>
      <c r="E165" t="s">
        <v>3511</v>
      </c>
      <c r="F165" t="s">
        <v>3512</v>
      </c>
      <c r="G165" t="s">
        <v>3513</v>
      </c>
      <c r="H165" t="s">
        <v>3514</v>
      </c>
      <c r="I165" t="s">
        <v>3515</v>
      </c>
      <c r="J165" t="s">
        <v>3516</v>
      </c>
      <c r="K165" t="s">
        <v>3517</v>
      </c>
      <c r="L165" t="s">
        <v>3518</v>
      </c>
      <c r="M165" t="s">
        <v>3519</v>
      </c>
      <c r="N165" t="s">
        <v>3520</v>
      </c>
      <c r="O165">
        <f>-732.390220521936 -7.75940420016627 -735.486838326333</f>
        <v>-1475.6364630484354</v>
      </c>
      <c r="P165">
        <f>-729.19720787712 -2.81662737601664 -419.019645523257</f>
        <v>-1151.0334807763936</v>
      </c>
      <c r="Q165">
        <f>-481.886281137662 -57.5124610583232 -359.962382401911</f>
        <v>-899.36112459789626</v>
      </c>
      <c r="R165" t="s">
        <v>3521</v>
      </c>
      <c r="S165" t="s">
        <v>3522</v>
      </c>
      <c r="T165" t="s">
        <v>3523</v>
      </c>
      <c r="U165" t="s">
        <v>3524</v>
      </c>
      <c r="V165" t="s">
        <v>3525</v>
      </c>
      <c r="W165" t="s">
        <v>3526</v>
      </c>
      <c r="X165" t="s">
        <v>3527</v>
      </c>
      <c r="Y165" t="s">
        <v>3528</v>
      </c>
    </row>
    <row r="166" spans="1:25" x14ac:dyDescent="0.3">
      <c r="A166">
        <v>8250</v>
      </c>
      <c r="B166" t="s">
        <v>3529</v>
      </c>
      <c r="C166" t="s">
        <v>3530</v>
      </c>
      <c r="D166" t="s">
        <v>3531</v>
      </c>
      <c r="E166" t="s">
        <v>3532</v>
      </c>
      <c r="F166" t="s">
        <v>3533</v>
      </c>
      <c r="G166" t="s">
        <v>3534</v>
      </c>
      <c r="H166" t="s">
        <v>3535</v>
      </c>
      <c r="I166" t="s">
        <v>3536</v>
      </c>
      <c r="J166" t="s">
        <v>3537</v>
      </c>
      <c r="K166" t="s">
        <v>3538</v>
      </c>
      <c r="L166" t="s">
        <v>3539</v>
      </c>
      <c r="M166" t="s">
        <v>3540</v>
      </c>
      <c r="N166" t="s">
        <v>3541</v>
      </c>
      <c r="O166">
        <f>-732.669651952055 -7.35193718487608 -735.802737583027</f>
        <v>-1475.8243267199582</v>
      </c>
      <c r="P166">
        <f>-729.523770599656 -2.36946009150302 -419.335600153882</f>
        <v>-1151.2288308450411</v>
      </c>
      <c r="Q166">
        <f>-482.172736624277 -56.8999690129733 -360.293548913626</f>
        <v>-899.36625455087619</v>
      </c>
      <c r="R166" t="s">
        <v>3542</v>
      </c>
      <c r="S166" t="s">
        <v>3543</v>
      </c>
      <c r="T166" t="s">
        <v>3544</v>
      </c>
      <c r="U166" t="s">
        <v>3545</v>
      </c>
      <c r="V166" t="s">
        <v>3546</v>
      </c>
      <c r="W166" t="s">
        <v>3547</v>
      </c>
      <c r="X166" t="s">
        <v>3548</v>
      </c>
      <c r="Y166" t="s">
        <v>3549</v>
      </c>
    </row>
    <row r="167" spans="1:25" x14ac:dyDescent="0.3">
      <c r="A167">
        <v>8300</v>
      </c>
      <c r="B167" t="s">
        <v>3550</v>
      </c>
      <c r="C167" t="s">
        <v>3551</v>
      </c>
      <c r="D167" t="s">
        <v>3552</v>
      </c>
      <c r="E167" t="s">
        <v>3553</v>
      </c>
      <c r="F167" t="s">
        <v>3554</v>
      </c>
      <c r="G167" t="s">
        <v>3555</v>
      </c>
      <c r="H167" t="s">
        <v>3556</v>
      </c>
      <c r="I167" t="s">
        <v>3557</v>
      </c>
      <c r="J167" t="s">
        <v>3558</v>
      </c>
      <c r="K167" t="s">
        <v>3559</v>
      </c>
      <c r="L167" t="s">
        <v>3560</v>
      </c>
      <c r="M167" t="s">
        <v>3561</v>
      </c>
      <c r="N167" t="s">
        <v>3562</v>
      </c>
      <c r="O167">
        <f>-732.977104132856 -6.98073649301296 -735.889515428648</f>
        <v>-1475.8473560545169</v>
      </c>
      <c r="P167">
        <f>-729.824080171513 -1.97145204091157 -419.422793282095</f>
        <v>-1151.2183254945194</v>
      </c>
      <c r="Q167">
        <f>-482.468993433298 -56.478846432379 -360.376438504572</f>
        <v>-899.32427837024898</v>
      </c>
      <c r="R167" t="s">
        <v>3563</v>
      </c>
      <c r="S167" t="s">
        <v>3564</v>
      </c>
      <c r="T167" t="s">
        <v>3565</v>
      </c>
      <c r="U167" t="s">
        <v>3566</v>
      </c>
      <c r="V167" t="s">
        <v>3567</v>
      </c>
      <c r="W167" t="s">
        <v>3568</v>
      </c>
      <c r="X167" t="s">
        <v>3569</v>
      </c>
      <c r="Y167" t="s">
        <v>3570</v>
      </c>
    </row>
    <row r="168" spans="1:25" x14ac:dyDescent="0.3">
      <c r="A168">
        <v>8350</v>
      </c>
      <c r="B168" t="s">
        <v>3571</v>
      </c>
      <c r="C168" t="s">
        <v>3572</v>
      </c>
      <c r="D168" t="s">
        <v>3573</v>
      </c>
      <c r="E168" t="s">
        <v>3574</v>
      </c>
      <c r="F168" t="s">
        <v>3575</v>
      </c>
      <c r="G168" t="s">
        <v>3576</v>
      </c>
      <c r="H168" t="s">
        <v>3577</v>
      </c>
      <c r="I168" t="s">
        <v>3578</v>
      </c>
      <c r="J168" t="s">
        <v>3579</v>
      </c>
      <c r="K168" t="s">
        <v>3580</v>
      </c>
      <c r="L168" t="s">
        <v>3581</v>
      </c>
      <c r="M168" t="s">
        <v>3582</v>
      </c>
      <c r="N168" t="s">
        <v>3583</v>
      </c>
      <c r="O168">
        <f>-733.755214499178 -6.62447633341617 -735.842921753699</f>
        <v>-1476.2226125862931</v>
      </c>
      <c r="P168">
        <f>-730.642250479816 -1.60479330983753 -419.376031114822</f>
        <v>-1151.6230749044755</v>
      </c>
      <c r="Q168">
        <f>-483.320043309604 -56.1750153507787 -360.250019552035</f>
        <v>-899.74507821241764</v>
      </c>
      <c r="R168" t="s">
        <v>3584</v>
      </c>
      <c r="S168" t="s">
        <v>3585</v>
      </c>
      <c r="T168" t="s">
        <v>3586</v>
      </c>
      <c r="U168" t="s">
        <v>3587</v>
      </c>
      <c r="V168" t="s">
        <v>3588</v>
      </c>
      <c r="W168" t="s">
        <v>3589</v>
      </c>
      <c r="X168" t="s">
        <v>3590</v>
      </c>
      <c r="Y168" t="s">
        <v>3591</v>
      </c>
    </row>
    <row r="169" spans="1:25" x14ac:dyDescent="0.3">
      <c r="A169">
        <v>8400</v>
      </c>
      <c r="B169" t="s">
        <v>3592</v>
      </c>
      <c r="C169" t="s">
        <v>3593</v>
      </c>
      <c r="D169" t="s">
        <v>3594</v>
      </c>
      <c r="E169" t="s">
        <v>3595</v>
      </c>
      <c r="F169" t="s">
        <v>3596</v>
      </c>
      <c r="G169" t="s">
        <v>3597</v>
      </c>
      <c r="H169" t="s">
        <v>3598</v>
      </c>
      <c r="I169" t="s">
        <v>3599</v>
      </c>
      <c r="J169" t="s">
        <v>3600</v>
      </c>
      <c r="K169" t="s">
        <v>3601</v>
      </c>
      <c r="L169" t="s">
        <v>3602</v>
      </c>
      <c r="M169" t="s">
        <v>3603</v>
      </c>
      <c r="N169" t="s">
        <v>3604</v>
      </c>
      <c r="O169">
        <f>-734.182965187342 -6.4288017843578 -735.759931961119</f>
        <v>-1476.3716989328188</v>
      </c>
      <c r="P169">
        <f>-731.039263872766 -1.36130144799336 -419.294060874029</f>
        <v>-1151.6946261947883</v>
      </c>
      <c r="Q169">
        <f>-483.7458060824 -55.9329851543109 -360.049470779276</f>
        <v>-899.72826201598696</v>
      </c>
      <c r="R169" t="s">
        <v>3605</v>
      </c>
      <c r="S169" t="s">
        <v>3606</v>
      </c>
      <c r="T169" t="s">
        <v>3607</v>
      </c>
      <c r="U169" t="s">
        <v>3608</v>
      </c>
      <c r="V169" t="s">
        <v>3609</v>
      </c>
      <c r="W169" t="s">
        <v>3610</v>
      </c>
      <c r="X169" t="s">
        <v>3611</v>
      </c>
      <c r="Y169" t="s">
        <v>3612</v>
      </c>
    </row>
    <row r="170" spans="1:25" x14ac:dyDescent="0.3">
      <c r="A170">
        <v>8450</v>
      </c>
      <c r="B170" t="s">
        <v>3613</v>
      </c>
      <c r="C170" t="s">
        <v>3614</v>
      </c>
      <c r="D170" t="s">
        <v>3615</v>
      </c>
      <c r="E170" t="s">
        <v>3616</v>
      </c>
      <c r="F170" t="s">
        <v>3617</v>
      </c>
      <c r="G170" t="s">
        <v>3618</v>
      </c>
      <c r="H170" t="s">
        <v>3619</v>
      </c>
      <c r="I170" t="s">
        <v>3620</v>
      </c>
      <c r="J170" t="s">
        <v>3621</v>
      </c>
      <c r="K170" t="s">
        <v>3622</v>
      </c>
      <c r="L170" t="s">
        <v>3623</v>
      </c>
      <c r="M170" t="s">
        <v>3624</v>
      </c>
      <c r="N170" t="s">
        <v>3625</v>
      </c>
      <c r="O170">
        <f>-734.942121389224 -5.90629993392417 -735.610539498214</f>
        <v>-1476.4589608213623</v>
      </c>
      <c r="P170">
        <f>-731.607903512971 -0.776373462536412 -419.147595701851</f>
        <v>-1151.5318726773585</v>
      </c>
      <c r="Q170">
        <f>-484.415264300363 -55.4844433436904 -359.608294458225</f>
        <v>-899.5080021022784</v>
      </c>
      <c r="R170" t="s">
        <v>3626</v>
      </c>
      <c r="S170" t="s">
        <v>3627</v>
      </c>
      <c r="T170" t="s">
        <v>3628</v>
      </c>
      <c r="U170" t="s">
        <v>3629</v>
      </c>
      <c r="V170" t="s">
        <v>3630</v>
      </c>
      <c r="W170" t="s">
        <v>3631</v>
      </c>
      <c r="X170" t="s">
        <v>3632</v>
      </c>
      <c r="Y170" t="s">
        <v>3633</v>
      </c>
    </row>
    <row r="171" spans="1:25" x14ac:dyDescent="0.3">
      <c r="A171">
        <v>8500</v>
      </c>
      <c r="B171" t="s">
        <v>3634</v>
      </c>
      <c r="C171" t="s">
        <v>3635</v>
      </c>
      <c r="D171" t="s">
        <v>3636</v>
      </c>
      <c r="E171" t="s">
        <v>3637</v>
      </c>
      <c r="F171" t="s">
        <v>3638</v>
      </c>
      <c r="G171" t="s">
        <v>3639</v>
      </c>
      <c r="H171" t="s">
        <v>3640</v>
      </c>
      <c r="I171" t="s">
        <v>3641</v>
      </c>
      <c r="J171" t="s">
        <v>3642</v>
      </c>
      <c r="K171" t="s">
        <v>3643</v>
      </c>
      <c r="L171" t="s">
        <v>3644</v>
      </c>
      <c r="M171" t="s">
        <v>3645</v>
      </c>
      <c r="N171" t="s">
        <v>3646</v>
      </c>
      <c r="O171">
        <f>-735.380907553112 -5.66135914967481 -735.546816151247</f>
        <v>-1476.5890828540337</v>
      </c>
      <c r="P171">
        <f>-732.0529563113 -0.583307304092159 -419.082997914881</f>
        <v>-1151.7192615302731</v>
      </c>
      <c r="Q171">
        <f>-484.890228128623 -55.3281203590834 -359.45390627052</f>
        <v>-899.67225475822647</v>
      </c>
      <c r="R171" t="s">
        <v>3647</v>
      </c>
      <c r="S171" t="s">
        <v>3648</v>
      </c>
      <c r="T171" t="s">
        <v>3649</v>
      </c>
      <c r="U171" t="s">
        <v>3650</v>
      </c>
      <c r="V171" t="s">
        <v>3651</v>
      </c>
      <c r="W171" t="s">
        <v>3652</v>
      </c>
      <c r="X171" t="s">
        <v>3653</v>
      </c>
      <c r="Y171" t="s">
        <v>3654</v>
      </c>
    </row>
    <row r="172" spans="1:25" x14ac:dyDescent="0.3">
      <c r="A172">
        <v>8550</v>
      </c>
      <c r="B172" t="s">
        <v>3655</v>
      </c>
      <c r="C172" t="s">
        <v>3656</v>
      </c>
      <c r="D172" t="s">
        <v>3657</v>
      </c>
      <c r="E172" t="s">
        <v>3658</v>
      </c>
      <c r="F172" t="s">
        <v>3659</v>
      </c>
      <c r="G172" t="s">
        <v>3660</v>
      </c>
      <c r="H172" t="s">
        <v>3661</v>
      </c>
      <c r="I172" t="s">
        <v>3662</v>
      </c>
      <c r="J172" t="s">
        <v>3663</v>
      </c>
      <c r="K172" t="s">
        <v>3664</v>
      </c>
      <c r="L172" t="s">
        <v>3665</v>
      </c>
      <c r="M172" t="s">
        <v>3666</v>
      </c>
      <c r="N172" t="s">
        <v>3667</v>
      </c>
      <c r="O172">
        <f>-736.225974000654 -5.08056646574232 -735.476973068798</f>
        <v>-1476.7835135351943</v>
      </c>
      <c r="P172">
        <f>-732.876751692174 -0.103168322540341 -419.011807460771</f>
        <v>-1151.9917274754853</v>
      </c>
      <c r="Q172">
        <f>-485.760096380161 -54.8575220778334 -359.200777978292</f>
        <v>-899.81839643628632</v>
      </c>
      <c r="R172" t="s">
        <v>3668</v>
      </c>
      <c r="S172" t="s">
        <v>3669</v>
      </c>
      <c r="T172" t="s">
        <v>3670</v>
      </c>
      <c r="U172" t="s">
        <v>3671</v>
      </c>
      <c r="V172" t="s">
        <v>3672</v>
      </c>
      <c r="W172" t="s">
        <v>3673</v>
      </c>
      <c r="X172" t="s">
        <v>3674</v>
      </c>
      <c r="Y172" t="s">
        <v>3675</v>
      </c>
    </row>
    <row r="173" spans="1:25" x14ac:dyDescent="0.3">
      <c r="A173">
        <v>8600</v>
      </c>
      <c r="B173" t="s">
        <v>3676</v>
      </c>
      <c r="C173" t="s">
        <v>3677</v>
      </c>
      <c r="D173" t="s">
        <v>3678</v>
      </c>
      <c r="E173" t="s">
        <v>3679</v>
      </c>
      <c r="F173" t="s">
        <v>3680</v>
      </c>
      <c r="G173" t="s">
        <v>3681</v>
      </c>
      <c r="H173" t="s">
        <v>3682</v>
      </c>
      <c r="I173" t="s">
        <v>3683</v>
      </c>
      <c r="J173" t="s">
        <v>3684</v>
      </c>
      <c r="K173" t="s">
        <v>3685</v>
      </c>
      <c r="L173" t="s">
        <v>3686</v>
      </c>
      <c r="M173" t="s">
        <v>3687</v>
      </c>
      <c r="N173" t="s">
        <v>3688</v>
      </c>
      <c r="O173">
        <f>-736.535080928167 -4.74894796564536 -735.511166355771</f>
        <v>-1476.7951952495832</v>
      </c>
      <c r="P173" t="s">
        <v>3689</v>
      </c>
      <c r="Q173">
        <f>-486.108751586429 -54.6803709205331 -359.136227694019</f>
        <v>-899.92535020098103</v>
      </c>
      <c r="R173" t="s">
        <v>3690</v>
      </c>
      <c r="S173" t="s">
        <v>3691</v>
      </c>
      <c r="T173" t="s">
        <v>3692</v>
      </c>
      <c r="U173" t="s">
        <v>3693</v>
      </c>
      <c r="V173" t="s">
        <v>3694</v>
      </c>
      <c r="W173" t="s">
        <v>3695</v>
      </c>
      <c r="X173" t="s">
        <v>3696</v>
      </c>
      <c r="Y173" t="s">
        <v>3697</v>
      </c>
    </row>
    <row r="174" spans="1:25" x14ac:dyDescent="0.3">
      <c r="A174">
        <v>8650</v>
      </c>
      <c r="B174" t="s">
        <v>3698</v>
      </c>
      <c r="C174" t="s">
        <v>3699</v>
      </c>
      <c r="D174" t="s">
        <v>3700</v>
      </c>
      <c r="E174" t="s">
        <v>3701</v>
      </c>
      <c r="F174" t="s">
        <v>3702</v>
      </c>
      <c r="G174" t="s">
        <v>3703</v>
      </c>
      <c r="H174" t="s">
        <v>3704</v>
      </c>
      <c r="I174" t="s">
        <v>3705</v>
      </c>
      <c r="J174" t="s">
        <v>3706</v>
      </c>
      <c r="K174" t="s">
        <v>3707</v>
      </c>
      <c r="L174" t="s">
        <v>3708</v>
      </c>
      <c r="M174" t="s">
        <v>3709</v>
      </c>
      <c r="N174" t="s">
        <v>3710</v>
      </c>
      <c r="O174">
        <f>-737.137818540059 -4.12579638286115 -735.738561546955</f>
        <v>-1477.0021764698752</v>
      </c>
      <c r="P174" t="s">
        <v>3711</v>
      </c>
      <c r="Q174">
        <f>-486.732379199445 -54.0384933641124 -359.093451899017</f>
        <v>-899.86432446257436</v>
      </c>
      <c r="R174" t="s">
        <v>3712</v>
      </c>
      <c r="S174" t="s">
        <v>3713</v>
      </c>
      <c r="T174" t="s">
        <v>3714</v>
      </c>
      <c r="U174" t="s">
        <v>3715</v>
      </c>
      <c r="V174" t="s">
        <v>3716</v>
      </c>
      <c r="W174" t="s">
        <v>3717</v>
      </c>
      <c r="X174" t="s">
        <v>3718</v>
      </c>
      <c r="Y174" t="s">
        <v>3719</v>
      </c>
    </row>
    <row r="175" spans="1:25" x14ac:dyDescent="0.3">
      <c r="A175">
        <v>8700</v>
      </c>
      <c r="B175" t="s">
        <v>3720</v>
      </c>
      <c r="C175" t="s">
        <v>3721</v>
      </c>
      <c r="D175" t="s">
        <v>3722</v>
      </c>
      <c r="E175" t="s">
        <v>3723</v>
      </c>
      <c r="F175" t="s">
        <v>3724</v>
      </c>
      <c r="G175" t="s">
        <v>3725</v>
      </c>
      <c r="H175" t="s">
        <v>3726</v>
      </c>
      <c r="I175" t="s">
        <v>3727</v>
      </c>
      <c r="J175" t="s">
        <v>3728</v>
      </c>
      <c r="K175" t="s">
        <v>3729</v>
      </c>
      <c r="L175" t="s">
        <v>3730</v>
      </c>
      <c r="M175" t="s">
        <v>3731</v>
      </c>
      <c r="N175" t="s">
        <v>3732</v>
      </c>
      <c r="O175">
        <f>-737.514200456719 -3.87169933922996 -735.903399608751</f>
        <v>-1477.2892994046999</v>
      </c>
      <c r="P175" t="s">
        <v>3733</v>
      </c>
      <c r="Q175">
        <f>-487.112255788797 -53.6447581479947 -359.265119977747</f>
        <v>-900.0221339145387</v>
      </c>
      <c r="R175" t="s">
        <v>3734</v>
      </c>
      <c r="S175" t="s">
        <v>3735</v>
      </c>
      <c r="T175" t="s">
        <v>3736</v>
      </c>
      <c r="U175" t="s">
        <v>3737</v>
      </c>
      <c r="V175" t="s">
        <v>3738</v>
      </c>
      <c r="W175" t="s">
        <v>3739</v>
      </c>
      <c r="X175" t="s">
        <v>3740</v>
      </c>
      <c r="Y175" t="s">
        <v>3741</v>
      </c>
    </row>
    <row r="176" spans="1:25" x14ac:dyDescent="0.3">
      <c r="A176">
        <v>8750</v>
      </c>
      <c r="B176" t="s">
        <v>3742</v>
      </c>
      <c r="C176" t="s">
        <v>3743</v>
      </c>
      <c r="D176" t="s">
        <v>3744</v>
      </c>
      <c r="E176" t="s">
        <v>3745</v>
      </c>
      <c r="F176" t="s">
        <v>3746</v>
      </c>
      <c r="G176" t="s">
        <v>3747</v>
      </c>
      <c r="H176" t="s">
        <v>3748</v>
      </c>
      <c r="I176" t="s">
        <v>3749</v>
      </c>
      <c r="J176" t="s">
        <v>3750</v>
      </c>
      <c r="K176" t="s">
        <v>3751</v>
      </c>
      <c r="L176" t="s">
        <v>3752</v>
      </c>
      <c r="M176" t="s">
        <v>3753</v>
      </c>
      <c r="N176" t="s">
        <v>3754</v>
      </c>
      <c r="O176">
        <f>-738.150328068871 -3.43265347117017 -736.001852854537</f>
        <v>-1477.5848343945781</v>
      </c>
      <c r="P176" t="s">
        <v>3755</v>
      </c>
      <c r="Q176">
        <f>-487.16456667961 -53.3909742683945 -359.572741166432</f>
        <v>-900.1282821144365</v>
      </c>
      <c r="R176" t="s">
        <v>3756</v>
      </c>
      <c r="S176" t="s">
        <v>3757</v>
      </c>
      <c r="T176" t="s">
        <v>3758</v>
      </c>
      <c r="U176" t="s">
        <v>3759</v>
      </c>
      <c r="V176" t="s">
        <v>3760</v>
      </c>
      <c r="W176" t="s">
        <v>3761</v>
      </c>
      <c r="X176" t="s">
        <v>3762</v>
      </c>
      <c r="Y176" t="s">
        <v>3763</v>
      </c>
    </row>
    <row r="177" spans="1:25" x14ac:dyDescent="0.3">
      <c r="A177">
        <v>8800</v>
      </c>
      <c r="B177" t="s">
        <v>3764</v>
      </c>
      <c r="C177" t="s">
        <v>3765</v>
      </c>
      <c r="D177" t="s">
        <v>3766</v>
      </c>
      <c r="E177" t="s">
        <v>3767</v>
      </c>
      <c r="F177" t="s">
        <v>3768</v>
      </c>
      <c r="G177" t="s">
        <v>3769</v>
      </c>
      <c r="H177" t="s">
        <v>3770</v>
      </c>
      <c r="I177" t="s">
        <v>3771</v>
      </c>
      <c r="J177" t="s">
        <v>3772</v>
      </c>
      <c r="K177" t="s">
        <v>3773</v>
      </c>
      <c r="L177" t="s">
        <v>3774</v>
      </c>
      <c r="M177" t="s">
        <v>3775</v>
      </c>
      <c r="N177" t="s">
        <v>3776</v>
      </c>
      <c r="O177">
        <f>-738.939636573617 -3.29469087220377 -735.892480162602</f>
        <v>-1478.126807608423</v>
      </c>
      <c r="P177" t="s">
        <v>3777</v>
      </c>
      <c r="Q177">
        <f>-487.497651187474 -53.3034551202454 -359.79697146067</f>
        <v>-900.59807776838943</v>
      </c>
      <c r="R177" t="s">
        <v>3778</v>
      </c>
      <c r="S177" t="s">
        <v>3779</v>
      </c>
      <c r="T177" t="s">
        <v>3780</v>
      </c>
      <c r="U177" t="s">
        <v>3781</v>
      </c>
      <c r="V177" t="s">
        <v>3782</v>
      </c>
      <c r="W177" t="s">
        <v>3783</v>
      </c>
      <c r="X177" t="s">
        <v>3784</v>
      </c>
      <c r="Y177" t="s">
        <v>3785</v>
      </c>
    </row>
    <row r="178" spans="1:25" x14ac:dyDescent="0.3">
      <c r="A178">
        <v>8850</v>
      </c>
      <c r="B178" t="s">
        <v>3786</v>
      </c>
      <c r="C178" t="s">
        <v>3787</v>
      </c>
      <c r="D178" t="s">
        <v>3788</v>
      </c>
      <c r="E178" t="s">
        <v>3789</v>
      </c>
      <c r="F178" t="s">
        <v>3790</v>
      </c>
      <c r="G178" t="s">
        <v>3791</v>
      </c>
      <c r="H178" t="s">
        <v>3792</v>
      </c>
      <c r="I178" t="s">
        <v>3793</v>
      </c>
      <c r="J178" t="s">
        <v>3794</v>
      </c>
      <c r="K178" t="s">
        <v>3795</v>
      </c>
      <c r="L178" t="s">
        <v>3796</v>
      </c>
      <c r="M178" t="s">
        <v>3797</v>
      </c>
      <c r="N178" t="s">
        <v>3798</v>
      </c>
      <c r="O178">
        <f>-740.356526208718 -3.37153024534427 -735.518780810911</f>
        <v>-1479.2468372649732</v>
      </c>
      <c r="P178" t="s">
        <v>3799</v>
      </c>
      <c r="Q178">
        <f>-488.053432574367 -53.1072163479932 -359.920162050079</f>
        <v>-901.08081097243917</v>
      </c>
      <c r="R178" t="s">
        <v>3800</v>
      </c>
      <c r="S178" t="s">
        <v>3801</v>
      </c>
      <c r="T178" t="s">
        <v>3802</v>
      </c>
      <c r="U178" t="s">
        <v>3803</v>
      </c>
      <c r="V178" t="s">
        <v>3804</v>
      </c>
      <c r="W178" t="s">
        <v>3805</v>
      </c>
      <c r="X178" t="s">
        <v>3806</v>
      </c>
      <c r="Y178" t="s">
        <v>3807</v>
      </c>
    </row>
    <row r="179" spans="1:25" x14ac:dyDescent="0.3">
      <c r="A179">
        <v>8900</v>
      </c>
      <c r="B179" t="s">
        <v>3808</v>
      </c>
      <c r="C179" t="s">
        <v>3809</v>
      </c>
      <c r="D179" t="s">
        <v>3810</v>
      </c>
      <c r="E179" t="s">
        <v>3811</v>
      </c>
      <c r="F179" t="s">
        <v>3812</v>
      </c>
      <c r="G179" t="s">
        <v>3813</v>
      </c>
      <c r="H179" t="s">
        <v>3814</v>
      </c>
      <c r="I179" t="s">
        <v>3815</v>
      </c>
      <c r="J179" t="s">
        <v>3816</v>
      </c>
      <c r="K179" t="s">
        <v>3817</v>
      </c>
      <c r="L179" t="s">
        <v>3818</v>
      </c>
      <c r="M179" t="s">
        <v>3819</v>
      </c>
      <c r="N179" t="s">
        <v>3820</v>
      </c>
      <c r="O179">
        <f>-740.795276220482 -3.65905229518671 -735.357388591581</f>
        <v>-1479.8117171072497</v>
      </c>
      <c r="P179" t="s">
        <v>3821</v>
      </c>
      <c r="Q179">
        <f>-488.271280332742 -53.1978926611798 -359.872337960159</f>
        <v>-901.34151095408083</v>
      </c>
      <c r="R179" t="s">
        <v>3822</v>
      </c>
      <c r="S179" t="s">
        <v>3823</v>
      </c>
      <c r="T179" t="s">
        <v>3824</v>
      </c>
      <c r="U179" t="s">
        <v>3825</v>
      </c>
      <c r="V179" t="s">
        <v>3826</v>
      </c>
      <c r="W179" t="s">
        <v>3827</v>
      </c>
      <c r="X179" t="s">
        <v>3828</v>
      </c>
      <c r="Y179" t="s">
        <v>3829</v>
      </c>
    </row>
    <row r="180" spans="1:25" x14ac:dyDescent="0.3">
      <c r="A180">
        <v>8950</v>
      </c>
      <c r="B180" t="s">
        <v>3830</v>
      </c>
      <c r="C180" t="s">
        <v>3831</v>
      </c>
      <c r="D180" t="s">
        <v>3832</v>
      </c>
      <c r="E180" t="s">
        <v>3833</v>
      </c>
      <c r="F180" t="s">
        <v>3834</v>
      </c>
      <c r="G180" t="s">
        <v>3835</v>
      </c>
      <c r="H180" t="s">
        <v>3836</v>
      </c>
      <c r="I180" t="s">
        <v>3837</v>
      </c>
      <c r="J180" t="s">
        <v>3838</v>
      </c>
      <c r="K180" t="s">
        <v>3839</v>
      </c>
      <c r="L180" t="s">
        <v>3840</v>
      </c>
      <c r="M180" t="s">
        <v>3841</v>
      </c>
      <c r="N180" t="s">
        <v>3842</v>
      </c>
      <c r="O180">
        <f>-741.014372518149 -3.93841984921255 -735.177968280998</f>
        <v>-1480.1307606483597</v>
      </c>
      <c r="P180" t="s">
        <v>3843</v>
      </c>
      <c r="Q180">
        <f>-488.386445249448 -53.6680294261275 -359.341598789656</f>
        <v>-901.39607346523155</v>
      </c>
      <c r="R180" t="s">
        <v>3844</v>
      </c>
      <c r="S180" t="s">
        <v>3845</v>
      </c>
      <c r="T180" t="s">
        <v>3846</v>
      </c>
      <c r="U180" t="s">
        <v>3847</v>
      </c>
      <c r="V180" t="s">
        <v>3848</v>
      </c>
      <c r="W180" t="s">
        <v>3849</v>
      </c>
      <c r="X180" t="s">
        <v>3850</v>
      </c>
      <c r="Y180" t="s">
        <v>3851</v>
      </c>
    </row>
    <row r="181" spans="1:25" x14ac:dyDescent="0.3">
      <c r="A181">
        <v>9000</v>
      </c>
      <c r="B181" t="s">
        <v>3852</v>
      </c>
      <c r="C181" t="s">
        <v>3853</v>
      </c>
      <c r="D181" t="s">
        <v>3854</v>
      </c>
      <c r="E181" t="s">
        <v>3855</v>
      </c>
      <c r="F181" t="s">
        <v>3856</v>
      </c>
      <c r="G181" t="s">
        <v>3857</v>
      </c>
      <c r="H181" t="s">
        <v>3858</v>
      </c>
      <c r="I181" t="s">
        <v>3859</v>
      </c>
      <c r="J181" t="s">
        <v>3860</v>
      </c>
      <c r="K181" t="s">
        <v>3861</v>
      </c>
      <c r="L181" t="s">
        <v>3862</v>
      </c>
      <c r="M181" t="s">
        <v>3863</v>
      </c>
      <c r="N181" t="s">
        <v>3864</v>
      </c>
      <c r="O181">
        <f>-741.035714604697 -4.71015151567531 -734.798192806521</f>
        <v>-1480.5440589268933</v>
      </c>
      <c r="P181" t="s">
        <v>3865</v>
      </c>
      <c r="Q181">
        <f>-488.910159237666 -53.3351336448914 -358.509635170223</f>
        <v>-900.75492805278031</v>
      </c>
      <c r="R181" t="s">
        <v>3866</v>
      </c>
      <c r="S181" t="s">
        <v>3867</v>
      </c>
      <c r="T181" t="s">
        <v>3868</v>
      </c>
      <c r="U181" t="s">
        <v>3869</v>
      </c>
      <c r="V181" t="s">
        <v>3870</v>
      </c>
      <c r="W181" t="s">
        <v>3871</v>
      </c>
      <c r="X181" t="s">
        <v>3872</v>
      </c>
      <c r="Y181" t="s">
        <v>3873</v>
      </c>
    </row>
    <row r="182" spans="1:25" x14ac:dyDescent="0.3">
      <c r="A182">
        <v>9050</v>
      </c>
      <c r="B182" t="s">
        <v>3874</v>
      </c>
      <c r="C182" t="s">
        <v>3875</v>
      </c>
      <c r="D182" t="s">
        <v>3876</v>
      </c>
      <c r="E182" t="s">
        <v>3877</v>
      </c>
      <c r="F182" t="s">
        <v>3878</v>
      </c>
      <c r="G182" t="s">
        <v>3879</v>
      </c>
      <c r="H182" t="s">
        <v>3880</v>
      </c>
      <c r="I182" t="s">
        <v>3881</v>
      </c>
      <c r="J182" t="s">
        <v>3882</v>
      </c>
      <c r="K182" t="s">
        <v>3883</v>
      </c>
      <c r="L182" t="s">
        <v>3884</v>
      </c>
      <c r="M182" t="s">
        <v>3885</v>
      </c>
      <c r="N182" t="s">
        <v>3886</v>
      </c>
      <c r="O182">
        <f>-740.543304539138 -5.1924915761781 -734.68852919801</f>
        <v>-1480.4243253133261</v>
      </c>
      <c r="P182" t="s">
        <v>3887</v>
      </c>
      <c r="Q182">
        <f>-489.318938487078 -52.9991108045779 -357.992837224514</f>
        <v>-900.31088651616994</v>
      </c>
      <c r="R182" t="s">
        <v>3888</v>
      </c>
      <c r="S182" t="s">
        <v>3889</v>
      </c>
      <c r="T182" t="s">
        <v>3890</v>
      </c>
      <c r="U182" t="s">
        <v>3891</v>
      </c>
      <c r="V182" t="s">
        <v>3892</v>
      </c>
      <c r="W182" t="s">
        <v>3893</v>
      </c>
      <c r="X182" t="s">
        <v>3894</v>
      </c>
      <c r="Y182" t="s">
        <v>3895</v>
      </c>
    </row>
    <row r="183" spans="1:25" x14ac:dyDescent="0.3">
      <c r="A183">
        <v>9100</v>
      </c>
      <c r="B183" t="s">
        <v>3896</v>
      </c>
      <c r="C183" t="s">
        <v>3897</v>
      </c>
      <c r="D183" t="s">
        <v>3898</v>
      </c>
      <c r="E183" t="s">
        <v>3899</v>
      </c>
      <c r="F183" t="s">
        <v>3900</v>
      </c>
      <c r="G183" t="s">
        <v>3901</v>
      </c>
      <c r="H183" t="s">
        <v>3902</v>
      </c>
      <c r="I183" t="s">
        <v>3903</v>
      </c>
      <c r="J183" t="s">
        <v>3904</v>
      </c>
      <c r="K183" t="s">
        <v>3905</v>
      </c>
      <c r="L183" t="s">
        <v>3906</v>
      </c>
      <c r="M183" t="s">
        <v>3907</v>
      </c>
      <c r="N183" t="s">
        <v>3908</v>
      </c>
      <c r="O183">
        <f>-740.056288820395 -5.33402777514016 -734.750475262429</f>
        <v>-1480.1407918579641</v>
      </c>
      <c r="P183" t="s">
        <v>3909</v>
      </c>
      <c r="Q183">
        <f>-489.39032169987 -52.6393990661302 -357.872178051096</f>
        <v>-899.90189881709625</v>
      </c>
      <c r="R183" t="s">
        <v>3910</v>
      </c>
      <c r="S183" t="s">
        <v>3911</v>
      </c>
      <c r="T183" t="s">
        <v>3912</v>
      </c>
      <c r="U183" t="s">
        <v>3913</v>
      </c>
      <c r="V183" t="s">
        <v>3914</v>
      </c>
      <c r="W183" t="s">
        <v>3915</v>
      </c>
      <c r="X183" t="s">
        <v>3916</v>
      </c>
      <c r="Y183" t="s">
        <v>3917</v>
      </c>
    </row>
    <row r="184" spans="1:25" x14ac:dyDescent="0.3">
      <c r="A184">
        <v>9150</v>
      </c>
      <c r="B184" t="s">
        <v>3918</v>
      </c>
      <c r="C184" t="s">
        <v>3919</v>
      </c>
      <c r="D184" t="s">
        <v>3920</v>
      </c>
      <c r="E184" t="s">
        <v>3921</v>
      </c>
      <c r="F184" t="s">
        <v>3922</v>
      </c>
      <c r="G184" t="s">
        <v>3923</v>
      </c>
      <c r="H184" t="s">
        <v>3924</v>
      </c>
      <c r="I184" t="s">
        <v>3925</v>
      </c>
      <c r="J184" t="s">
        <v>3926</v>
      </c>
      <c r="K184" t="s">
        <v>3927</v>
      </c>
      <c r="L184" t="s">
        <v>3928</v>
      </c>
      <c r="M184" t="s">
        <v>3929</v>
      </c>
      <c r="N184" t="s">
        <v>3930</v>
      </c>
      <c r="O184">
        <f>-738.716343941988 -5.57343938779513 -734.949431930576</f>
        <v>-1479.2392152603593</v>
      </c>
      <c r="P184" t="s">
        <v>3931</v>
      </c>
      <c r="Q184">
        <f>-488.637930429694 -51.8391794707295 -357.486215376998</f>
        <v>-897.96332527742152</v>
      </c>
      <c r="R184" t="s">
        <v>3932</v>
      </c>
      <c r="S184" t="s">
        <v>3933</v>
      </c>
      <c r="T184" t="s">
        <v>3934</v>
      </c>
      <c r="U184" t="s">
        <v>3935</v>
      </c>
      <c r="V184" t="s">
        <v>3936</v>
      </c>
      <c r="W184" t="s">
        <v>3937</v>
      </c>
      <c r="X184" t="s">
        <v>3938</v>
      </c>
      <c r="Y184" t="s">
        <v>3939</v>
      </c>
    </row>
    <row r="185" spans="1:25" x14ac:dyDescent="0.3">
      <c r="A185">
        <v>9200</v>
      </c>
      <c r="B185" t="s">
        <v>3940</v>
      </c>
      <c r="C185" t="s">
        <v>3941</v>
      </c>
      <c r="D185" t="s">
        <v>3942</v>
      </c>
      <c r="E185" t="s">
        <v>3943</v>
      </c>
      <c r="F185" t="s">
        <v>3944</v>
      </c>
      <c r="G185" t="s">
        <v>3945</v>
      </c>
      <c r="H185" t="s">
        <v>3946</v>
      </c>
      <c r="I185" t="s">
        <v>3947</v>
      </c>
      <c r="J185" t="s">
        <v>3948</v>
      </c>
      <c r="K185" t="s">
        <v>3949</v>
      </c>
      <c r="L185" t="s">
        <v>3950</v>
      </c>
      <c r="M185" t="s">
        <v>3951</v>
      </c>
      <c r="N185" t="s">
        <v>3952</v>
      </c>
      <c r="O185">
        <f>-737.863439795592 -5.81089901426299 -734.96121948624</f>
        <v>-1478.635558296095</v>
      </c>
      <c r="P185" t="s">
        <v>3953</v>
      </c>
      <c r="Q185">
        <f>-488.073661016062 -51.5705614801807 -357.225730726651</f>
        <v>-896.86995322289374</v>
      </c>
      <c r="R185" t="s">
        <v>3954</v>
      </c>
      <c r="S185" t="s">
        <v>3955</v>
      </c>
      <c r="T185" t="s">
        <v>3956</v>
      </c>
      <c r="U185" t="s">
        <v>3957</v>
      </c>
      <c r="V185" t="s">
        <v>3958</v>
      </c>
      <c r="W185" t="s">
        <v>3959</v>
      </c>
      <c r="X185" t="s">
        <v>3960</v>
      </c>
      <c r="Y185" t="s">
        <v>3961</v>
      </c>
    </row>
    <row r="186" spans="1:25" x14ac:dyDescent="0.3">
      <c r="A186">
        <v>9250</v>
      </c>
      <c r="B186" t="s">
        <v>3962</v>
      </c>
      <c r="C186" t="s">
        <v>3963</v>
      </c>
      <c r="D186" t="s">
        <v>3964</v>
      </c>
      <c r="E186" t="s">
        <v>3965</v>
      </c>
      <c r="F186" t="s">
        <v>3966</v>
      </c>
      <c r="G186" t="s">
        <v>3967</v>
      </c>
      <c r="H186" t="s">
        <v>3968</v>
      </c>
      <c r="I186" t="s">
        <v>3969</v>
      </c>
      <c r="J186" t="s">
        <v>3970</v>
      </c>
      <c r="K186" t="s">
        <v>3971</v>
      </c>
      <c r="L186" t="s">
        <v>3972</v>
      </c>
      <c r="M186" t="s">
        <v>3973</v>
      </c>
      <c r="N186" t="s">
        <v>3974</v>
      </c>
      <c r="O186">
        <f>-736.112065495862 -6.61153736636879 -734.876780540764</f>
        <v>-1477.6003834029948</v>
      </c>
      <c r="P186" t="s">
        <v>3975</v>
      </c>
      <c r="Q186">
        <f>-486.699259198322 -51.4207028399853 -356.760099085861</f>
        <v>-894.88006112416838</v>
      </c>
      <c r="R186" t="s">
        <v>3976</v>
      </c>
      <c r="S186" t="s">
        <v>3977</v>
      </c>
      <c r="T186" t="s">
        <v>3978</v>
      </c>
      <c r="U186" t="s">
        <v>3979</v>
      </c>
      <c r="V186" t="s">
        <v>3980</v>
      </c>
      <c r="W186" t="s">
        <v>3981</v>
      </c>
      <c r="X186" t="s">
        <v>3982</v>
      </c>
      <c r="Y186" t="s">
        <v>3983</v>
      </c>
    </row>
    <row r="187" spans="1:25" x14ac:dyDescent="0.3">
      <c r="A187">
        <v>9300</v>
      </c>
      <c r="B187" t="s">
        <v>3984</v>
      </c>
      <c r="C187" t="s">
        <v>3985</v>
      </c>
      <c r="D187" t="s">
        <v>3986</v>
      </c>
      <c r="E187" t="s">
        <v>3987</v>
      </c>
      <c r="F187" t="s">
        <v>3988</v>
      </c>
      <c r="G187" t="s">
        <v>3989</v>
      </c>
      <c r="H187" t="s">
        <v>3990</v>
      </c>
      <c r="I187" t="s">
        <v>3991</v>
      </c>
      <c r="J187" t="s">
        <v>3992</v>
      </c>
      <c r="K187" t="s">
        <v>3993</v>
      </c>
      <c r="L187" t="s">
        <v>3994</v>
      </c>
      <c r="M187" t="s">
        <v>3995</v>
      </c>
      <c r="N187" t="s">
        <v>3996</v>
      </c>
      <c r="O187">
        <f>-735.154125601882 -7.01923044810701 -734.867556096891</f>
        <v>-1477.0409121468801</v>
      </c>
      <c r="P187" t="s">
        <v>3997</v>
      </c>
      <c r="Q187">
        <f>-486.089788545184 -51.8577819728243 -356.452443516209</f>
        <v>-894.40001403421729</v>
      </c>
      <c r="R187" t="s">
        <v>3998</v>
      </c>
      <c r="S187" t="s">
        <v>3999</v>
      </c>
      <c r="T187" t="s">
        <v>4000</v>
      </c>
      <c r="U187" t="s">
        <v>4001</v>
      </c>
      <c r="V187" t="s">
        <v>4002</v>
      </c>
      <c r="W187" t="s">
        <v>4003</v>
      </c>
      <c r="X187" t="s">
        <v>4004</v>
      </c>
      <c r="Y187" t="s">
        <v>4005</v>
      </c>
    </row>
    <row r="188" spans="1:25" x14ac:dyDescent="0.3">
      <c r="A188">
        <v>9350</v>
      </c>
      <c r="B188" t="s">
        <v>4006</v>
      </c>
      <c r="C188" t="s">
        <v>4007</v>
      </c>
      <c r="D188" t="s">
        <v>4008</v>
      </c>
      <c r="E188" t="s">
        <v>4009</v>
      </c>
      <c r="F188" t="s">
        <v>4010</v>
      </c>
      <c r="G188" t="s">
        <v>4011</v>
      </c>
      <c r="H188" t="s">
        <v>4012</v>
      </c>
      <c r="I188" t="s">
        <v>4013</v>
      </c>
      <c r="J188" t="s">
        <v>4014</v>
      </c>
      <c r="K188" t="s">
        <v>4015</v>
      </c>
      <c r="L188" t="s">
        <v>4016</v>
      </c>
      <c r="M188" t="s">
        <v>4017</v>
      </c>
      <c r="N188" t="s">
        <v>4018</v>
      </c>
      <c r="O188">
        <f>-733.181862280534 -7.81990391076488 -734.966897754237</f>
        <v>-1475.9686639455358</v>
      </c>
      <c r="P188" t="s">
        <v>4019</v>
      </c>
      <c r="Q188">
        <f>-484.670859566195 -51.0892686130092 -355.831317238395</f>
        <v>-891.59144541759929</v>
      </c>
      <c r="R188" t="s">
        <v>4020</v>
      </c>
      <c r="S188" t="s">
        <v>4021</v>
      </c>
      <c r="T188" t="s">
        <v>4022</v>
      </c>
      <c r="U188" t="s">
        <v>4023</v>
      </c>
      <c r="V188" t="s">
        <v>4024</v>
      </c>
      <c r="W188" t="s">
        <v>4025</v>
      </c>
      <c r="X188" t="s">
        <v>4026</v>
      </c>
      <c r="Y188" t="s">
        <v>4027</v>
      </c>
    </row>
    <row r="189" spans="1:25" x14ac:dyDescent="0.3">
      <c r="A189">
        <v>9400</v>
      </c>
      <c r="B189" t="s">
        <v>4028</v>
      </c>
      <c r="C189" t="s">
        <v>4029</v>
      </c>
      <c r="D189" t="s">
        <v>4030</v>
      </c>
      <c r="E189" t="s">
        <v>4031</v>
      </c>
      <c r="F189" t="s">
        <v>4032</v>
      </c>
      <c r="G189" t="s">
        <v>4033</v>
      </c>
      <c r="H189" t="s">
        <v>4034</v>
      </c>
      <c r="I189" t="s">
        <v>4035</v>
      </c>
      <c r="J189" t="s">
        <v>4036</v>
      </c>
      <c r="K189" t="s">
        <v>4037</v>
      </c>
      <c r="L189" t="s">
        <v>4038</v>
      </c>
      <c r="M189" t="s">
        <v>4039</v>
      </c>
      <c r="N189" t="s">
        <v>4040</v>
      </c>
      <c r="O189">
        <f>-732.130148738082 -8.37707977665923 -735.084491375987</f>
        <v>-1475.5917198907282</v>
      </c>
      <c r="P189" t="s">
        <v>4041</v>
      </c>
      <c r="Q189">
        <f>-484.132838351998 -51.2567226088258 -355.480707446482</f>
        <v>-890.87026840730573</v>
      </c>
      <c r="R189" t="s">
        <v>4042</v>
      </c>
      <c r="S189" t="s">
        <v>4043</v>
      </c>
      <c r="T189" t="s">
        <v>4044</v>
      </c>
      <c r="U189" t="s">
        <v>4045</v>
      </c>
      <c r="V189" t="s">
        <v>4046</v>
      </c>
      <c r="W189" t="s">
        <v>4047</v>
      </c>
      <c r="X189" t="s">
        <v>4048</v>
      </c>
      <c r="Y189" t="s">
        <v>4049</v>
      </c>
    </row>
    <row r="190" spans="1:25" x14ac:dyDescent="0.3">
      <c r="A190">
        <v>9450</v>
      </c>
      <c r="B190" t="s">
        <v>4050</v>
      </c>
      <c r="C190" t="s">
        <v>4051</v>
      </c>
      <c r="D190" t="s">
        <v>4052</v>
      </c>
      <c r="E190" t="s">
        <v>4053</v>
      </c>
      <c r="F190" t="s">
        <v>4054</v>
      </c>
      <c r="G190" t="s">
        <v>4055</v>
      </c>
      <c r="H190" t="s">
        <v>4056</v>
      </c>
      <c r="I190" t="s">
        <v>4057</v>
      </c>
      <c r="J190" t="s">
        <v>4058</v>
      </c>
      <c r="K190" t="s">
        <v>4059</v>
      </c>
      <c r="L190" t="s">
        <v>4060</v>
      </c>
      <c r="M190" t="s">
        <v>4061</v>
      </c>
      <c r="N190" t="s">
        <v>4062</v>
      </c>
      <c r="O190">
        <f>-730.569679232356 -8.97753111100587 -735.497867509471</f>
        <v>-1475.0450778528329</v>
      </c>
      <c r="P190">
        <f>-730.548753095447 -0.282388862017342 -419.095376115814</f>
        <v>-1149.9265180732782</v>
      </c>
      <c r="Q190">
        <f>-483.513344804692 -50.7291496481364 -355.29359668407</f>
        <v>-889.53609113689845</v>
      </c>
      <c r="R190" t="s">
        <v>4063</v>
      </c>
      <c r="S190" t="s">
        <v>4064</v>
      </c>
      <c r="T190" t="s">
        <v>4065</v>
      </c>
      <c r="U190" t="s">
        <v>4066</v>
      </c>
      <c r="V190" t="s">
        <v>4067</v>
      </c>
      <c r="W190" t="s">
        <v>4068</v>
      </c>
      <c r="X190" t="s">
        <v>4069</v>
      </c>
      <c r="Y190" t="s">
        <v>4070</v>
      </c>
    </row>
    <row r="191" spans="1:25" x14ac:dyDescent="0.3">
      <c r="A191">
        <v>9500</v>
      </c>
      <c r="B191" t="s">
        <v>4071</v>
      </c>
      <c r="C191" t="s">
        <v>4072</v>
      </c>
      <c r="D191" t="s">
        <v>4073</v>
      </c>
      <c r="E191" t="s">
        <v>4074</v>
      </c>
      <c r="F191" t="s">
        <v>4075</v>
      </c>
      <c r="G191" t="s">
        <v>4076</v>
      </c>
      <c r="H191" t="s">
        <v>4077</v>
      </c>
      <c r="I191" t="s">
        <v>4078</v>
      </c>
      <c r="J191" t="s">
        <v>4079</v>
      </c>
      <c r="K191" t="s">
        <v>4080</v>
      </c>
      <c r="L191" t="s">
        <v>4081</v>
      </c>
      <c r="M191" t="s">
        <v>4082</v>
      </c>
      <c r="N191" t="s">
        <v>4083</v>
      </c>
      <c r="O191">
        <f>-729.62590322039 -9.40950061762578 -735.716767357535</f>
        <v>-1474.7521711955508</v>
      </c>
      <c r="P191">
        <f>-730.028904753158 -0.876691843085382 -419.310039520013</f>
        <v>-1150.2156361162565</v>
      </c>
      <c r="Q191">
        <f>-483.024322313801 -51.1424477176927 -355.246712933247</f>
        <v>-889.41348296474075</v>
      </c>
      <c r="R191" t="s">
        <v>4084</v>
      </c>
      <c r="S191" t="s">
        <v>4085</v>
      </c>
      <c r="T191" t="s">
        <v>4086</v>
      </c>
      <c r="U191" t="s">
        <v>4087</v>
      </c>
      <c r="V191" t="s">
        <v>4088</v>
      </c>
      <c r="W191" t="s">
        <v>4089</v>
      </c>
      <c r="X191" t="s">
        <v>4090</v>
      </c>
      <c r="Y191" t="s">
        <v>4091</v>
      </c>
    </row>
    <row r="192" spans="1:25" x14ac:dyDescent="0.3">
      <c r="A192">
        <v>9550</v>
      </c>
      <c r="B192" t="s">
        <v>4092</v>
      </c>
      <c r="C192" t="s">
        <v>4093</v>
      </c>
      <c r="D192" t="s">
        <v>4094</v>
      </c>
      <c r="E192" t="s">
        <v>4095</v>
      </c>
      <c r="F192" t="s">
        <v>4096</v>
      </c>
      <c r="G192" t="s">
        <v>4097</v>
      </c>
      <c r="H192" t="s">
        <v>4098</v>
      </c>
      <c r="I192" t="s">
        <v>4099</v>
      </c>
      <c r="J192" t="s">
        <v>4100</v>
      </c>
      <c r="K192" t="s">
        <v>4101</v>
      </c>
      <c r="L192" t="s">
        <v>4102</v>
      </c>
      <c r="M192" t="s">
        <v>4103</v>
      </c>
      <c r="N192" t="s">
        <v>4104</v>
      </c>
      <c r="O192">
        <f>-728.381735910844 -10.1860229723554 -736.156823144921</f>
        <v>-1474.7245820281205</v>
      </c>
      <c r="P192">
        <f>-729.544360260939 -1.57813201962267 -419.753975516141</f>
        <v>-1150.8764677967026</v>
      </c>
      <c r="Q192">
        <f>-482.628619028625 -51.652919884682 -355.200183020762</f>
        <v>-889.48172193406901</v>
      </c>
      <c r="R192" t="s">
        <v>4105</v>
      </c>
      <c r="S192" t="s">
        <v>4106</v>
      </c>
      <c r="T192" t="s">
        <v>4107</v>
      </c>
      <c r="U192" t="s">
        <v>4108</v>
      </c>
      <c r="V192" t="s">
        <v>4109</v>
      </c>
      <c r="W192" t="s">
        <v>4110</v>
      </c>
      <c r="X192" t="s">
        <v>4111</v>
      </c>
      <c r="Y192" t="s">
        <v>4112</v>
      </c>
    </row>
    <row r="193" spans="1:25" x14ac:dyDescent="0.3">
      <c r="A193">
        <v>9600</v>
      </c>
      <c r="B193" t="s">
        <v>4113</v>
      </c>
      <c r="C193" t="s">
        <v>4114</v>
      </c>
      <c r="D193" t="s">
        <v>4115</v>
      </c>
      <c r="E193" t="s">
        <v>4116</v>
      </c>
      <c r="F193" t="s">
        <v>4117</v>
      </c>
      <c r="G193" t="s">
        <v>4118</v>
      </c>
      <c r="H193" t="s">
        <v>4119</v>
      </c>
      <c r="I193" t="s">
        <v>4120</v>
      </c>
      <c r="J193" t="s">
        <v>4121</v>
      </c>
      <c r="K193" t="s">
        <v>4122</v>
      </c>
      <c r="L193" t="s">
        <v>4123</v>
      </c>
      <c r="M193" t="s">
        <v>4124</v>
      </c>
      <c r="N193" t="s">
        <v>4125</v>
      </c>
      <c r="O193">
        <f>-727.808531864356 -10.6075711976885 -736.368282486302</f>
        <v>-1474.7843855483466</v>
      </c>
      <c r="P193">
        <f>-729.399822060763 -2.23256393739052 -419.961143280941</f>
        <v>-1151.5935292790946</v>
      </c>
      <c r="Q193">
        <f>-482.579759817763 -52.5023610307733 -355.19349384739</f>
        <v>-890.27561469592638</v>
      </c>
      <c r="R193" t="s">
        <v>4126</v>
      </c>
      <c r="S193" t="s">
        <v>4127</v>
      </c>
      <c r="T193" t="s">
        <v>4128</v>
      </c>
      <c r="U193" t="s">
        <v>4129</v>
      </c>
      <c r="V193" t="s">
        <v>4130</v>
      </c>
      <c r="W193" t="s">
        <v>4131</v>
      </c>
      <c r="X193" t="s">
        <v>4132</v>
      </c>
      <c r="Y193" t="s">
        <v>4133</v>
      </c>
    </row>
    <row r="194" spans="1:25" x14ac:dyDescent="0.3">
      <c r="A194">
        <v>9650</v>
      </c>
      <c r="B194" t="s">
        <v>4134</v>
      </c>
      <c r="C194" t="s">
        <v>4135</v>
      </c>
      <c r="D194" t="s">
        <v>4136</v>
      </c>
      <c r="E194" t="s">
        <v>4137</v>
      </c>
      <c r="F194" t="s">
        <v>4138</v>
      </c>
      <c r="G194" t="s">
        <v>4139</v>
      </c>
      <c r="H194" t="s">
        <v>4140</v>
      </c>
      <c r="I194" t="s">
        <v>4141</v>
      </c>
      <c r="J194" t="s">
        <v>4142</v>
      </c>
      <c r="K194" t="s">
        <v>4143</v>
      </c>
      <c r="L194" t="s">
        <v>4144</v>
      </c>
      <c r="M194" t="s">
        <v>4145</v>
      </c>
      <c r="N194" t="s">
        <v>4146</v>
      </c>
      <c r="O194">
        <f>-727.033380366802 -11.3993572136708 -736.699941209851</f>
        <v>-1475.1326787903238</v>
      </c>
      <c r="P194">
        <f>-729.362504781664 -3.09128452194636 -420.295564973854</f>
        <v>-1152.7493542774644</v>
      </c>
      <c r="Q194">
        <f>-482.672063579658 -53.5216845467967 -355.159764256062</f>
        <v>-891.35351238251667</v>
      </c>
      <c r="R194" t="s">
        <v>4147</v>
      </c>
      <c r="S194" t="s">
        <v>4148</v>
      </c>
      <c r="T194" t="s">
        <v>4149</v>
      </c>
      <c r="U194" t="s">
        <v>4150</v>
      </c>
      <c r="V194" t="s">
        <v>4151</v>
      </c>
      <c r="W194" t="s">
        <v>4152</v>
      </c>
      <c r="X194" t="s">
        <v>4153</v>
      </c>
      <c r="Y194" t="s">
        <v>4154</v>
      </c>
    </row>
    <row r="195" spans="1:25" x14ac:dyDescent="0.3">
      <c r="A195">
        <v>9700</v>
      </c>
      <c r="B195" t="s">
        <v>4155</v>
      </c>
      <c r="C195" t="s">
        <v>4156</v>
      </c>
      <c r="D195" t="s">
        <v>4157</v>
      </c>
      <c r="E195" t="s">
        <v>4158</v>
      </c>
      <c r="F195" t="s">
        <v>4159</v>
      </c>
      <c r="G195" t="s">
        <v>4160</v>
      </c>
      <c r="H195" t="s">
        <v>4161</v>
      </c>
      <c r="I195" t="s">
        <v>4162</v>
      </c>
      <c r="J195" t="s">
        <v>4163</v>
      </c>
      <c r="K195" t="s">
        <v>4164</v>
      </c>
      <c r="L195" t="s">
        <v>4165</v>
      </c>
      <c r="M195" t="s">
        <v>4166</v>
      </c>
      <c r="N195" t="s">
        <v>4167</v>
      </c>
      <c r="O195">
        <f>-726.626708855122 -11.7600528366813 -736.798081444191</f>
        <v>-1475.1848431359945</v>
      </c>
      <c r="P195">
        <f>-729.07688301361 -3.56167755390766 -420.391684720712</f>
        <v>-1153.0302452882297</v>
      </c>
      <c r="Q195">
        <f>-482.448128114394 -54.0471710171537 -355.065202042735</f>
        <v>-891.56050117428276</v>
      </c>
      <c r="R195" t="s">
        <v>4168</v>
      </c>
      <c r="S195" t="s">
        <v>4169</v>
      </c>
      <c r="T195" t="s">
        <v>4170</v>
      </c>
      <c r="U195" t="s">
        <v>4171</v>
      </c>
      <c r="V195" t="s">
        <v>4172</v>
      </c>
      <c r="W195" t="s">
        <v>4173</v>
      </c>
      <c r="X195" t="s">
        <v>4174</v>
      </c>
      <c r="Y195" t="s">
        <v>4175</v>
      </c>
    </row>
    <row r="196" spans="1:25" x14ac:dyDescent="0.3">
      <c r="A196">
        <v>9750</v>
      </c>
      <c r="B196" t="s">
        <v>4176</v>
      </c>
      <c r="C196" t="s">
        <v>4177</v>
      </c>
      <c r="D196" t="s">
        <v>4178</v>
      </c>
      <c r="E196" t="s">
        <v>4179</v>
      </c>
      <c r="F196" t="s">
        <v>4180</v>
      </c>
      <c r="G196" t="s">
        <v>4181</v>
      </c>
      <c r="H196" t="s">
        <v>4182</v>
      </c>
      <c r="I196" t="s">
        <v>4183</v>
      </c>
      <c r="J196" t="s">
        <v>4184</v>
      </c>
      <c r="K196" t="s">
        <v>4185</v>
      </c>
      <c r="L196" t="s">
        <v>4186</v>
      </c>
      <c r="M196" t="s">
        <v>4187</v>
      </c>
      <c r="N196" t="s">
        <v>4188</v>
      </c>
      <c r="O196">
        <f>-725.870561562661 -12.5207836931495 -736.87936286284</f>
        <v>-1475.2707081186504</v>
      </c>
      <c r="P196">
        <f>-728.35006256923 -4.2672625217474 -420.474631612148</f>
        <v>-1153.0919567031253</v>
      </c>
      <c r="Q196">
        <f>-481.647017500636 -54.6780910692014 -355.371271826643</f>
        <v>-891.69638039648044</v>
      </c>
      <c r="R196" t="s">
        <v>4189</v>
      </c>
      <c r="S196" t="s">
        <v>4190</v>
      </c>
      <c r="T196" t="s">
        <v>4191</v>
      </c>
      <c r="U196" t="s">
        <v>4192</v>
      </c>
      <c r="V196" t="s">
        <v>4193</v>
      </c>
      <c r="W196" t="s">
        <v>4194</v>
      </c>
      <c r="X196" t="s">
        <v>4195</v>
      </c>
      <c r="Y196" t="s">
        <v>4196</v>
      </c>
    </row>
    <row r="197" spans="1:25" x14ac:dyDescent="0.3">
      <c r="A197">
        <v>9800</v>
      </c>
      <c r="B197" t="s">
        <v>4197</v>
      </c>
      <c r="C197" t="s">
        <v>4198</v>
      </c>
      <c r="D197" t="s">
        <v>4199</v>
      </c>
      <c r="E197" t="s">
        <v>4200</v>
      </c>
      <c r="F197" t="s">
        <v>4201</v>
      </c>
      <c r="G197" t="s">
        <v>4202</v>
      </c>
      <c r="H197" t="s">
        <v>4203</v>
      </c>
      <c r="I197" t="s">
        <v>4204</v>
      </c>
      <c r="J197" t="s">
        <v>4205</v>
      </c>
      <c r="K197" t="s">
        <v>4206</v>
      </c>
      <c r="L197" t="s">
        <v>4207</v>
      </c>
      <c r="M197" t="s">
        <v>4208</v>
      </c>
      <c r="N197" t="s">
        <v>4209</v>
      </c>
      <c r="O197">
        <f>-725.60664832159 -12.9017366548549 -736.872076055021</f>
        <v>-1475.380461031466</v>
      </c>
      <c r="P197">
        <f>-728.054941060479 -4.82148048526506 -420.462739343708</f>
        <v>-1153.3391608894522</v>
      </c>
      <c r="Q197">
        <f>-481.354932850099 -55.3006493785938 -355.401468140298</f>
        <v>-892.05705036899076</v>
      </c>
      <c r="R197" t="s">
        <v>4210</v>
      </c>
      <c r="S197" t="s">
        <v>4211</v>
      </c>
      <c r="T197" t="s">
        <v>4212</v>
      </c>
      <c r="U197" t="s">
        <v>4213</v>
      </c>
      <c r="V197" t="s">
        <v>4214</v>
      </c>
      <c r="W197" t="s">
        <v>4215</v>
      </c>
      <c r="X197" t="s">
        <v>4216</v>
      </c>
      <c r="Y197" t="s">
        <v>4217</v>
      </c>
    </row>
    <row r="198" spans="1:25" x14ac:dyDescent="0.3">
      <c r="A198">
        <v>9850</v>
      </c>
      <c r="B198" t="s">
        <v>4218</v>
      </c>
      <c r="C198" t="s">
        <v>4219</v>
      </c>
      <c r="D198" t="s">
        <v>4220</v>
      </c>
      <c r="E198" t="s">
        <v>4221</v>
      </c>
      <c r="F198" t="s">
        <v>4222</v>
      </c>
      <c r="G198" t="s">
        <v>4223</v>
      </c>
      <c r="H198" t="s">
        <v>4224</v>
      </c>
      <c r="I198" t="s">
        <v>4225</v>
      </c>
      <c r="J198" t="s">
        <v>4226</v>
      </c>
      <c r="K198" t="s">
        <v>4227</v>
      </c>
      <c r="L198" t="s">
        <v>4228</v>
      </c>
      <c r="M198" t="s">
        <v>4229</v>
      </c>
      <c r="N198" t="s">
        <v>4230</v>
      </c>
      <c r="O198">
        <f>-725.296634481104 -13.6937418670668 -736.760208852055</f>
        <v>-1475.7505852002259</v>
      </c>
      <c r="P198">
        <f>-727.840371435516 -5.52688046659455 -420.353805467434</f>
        <v>-1153.7210573695445</v>
      </c>
      <c r="Q198">
        <f>-481.09370881762 -55.9846870738522 -355.452788404859</f>
        <v>-892.53118429633116</v>
      </c>
      <c r="R198" t="s">
        <v>4231</v>
      </c>
      <c r="S198" t="s">
        <v>4232</v>
      </c>
      <c r="T198" t="s">
        <v>4233</v>
      </c>
      <c r="U198" t="s">
        <v>4234</v>
      </c>
      <c r="V198" t="s">
        <v>4235</v>
      </c>
      <c r="W198" t="s">
        <v>4236</v>
      </c>
      <c r="X198" t="s">
        <v>4237</v>
      </c>
      <c r="Y198" t="s">
        <v>4238</v>
      </c>
    </row>
    <row r="199" spans="1:25" x14ac:dyDescent="0.3">
      <c r="A199">
        <v>9900</v>
      </c>
      <c r="B199" t="s">
        <v>4239</v>
      </c>
      <c r="C199" t="s">
        <v>4240</v>
      </c>
      <c r="D199" t="s">
        <v>4241</v>
      </c>
      <c r="E199" t="s">
        <v>4242</v>
      </c>
      <c r="F199" t="s">
        <v>4243</v>
      </c>
      <c r="G199" t="s">
        <v>4244</v>
      </c>
      <c r="H199" t="s">
        <v>4245</v>
      </c>
      <c r="I199" t="s">
        <v>4246</v>
      </c>
      <c r="J199" t="s">
        <v>4247</v>
      </c>
      <c r="K199" t="s">
        <v>4248</v>
      </c>
      <c r="L199" t="s">
        <v>4249</v>
      </c>
      <c r="M199" t="s">
        <v>4250</v>
      </c>
      <c r="N199" t="s">
        <v>4251</v>
      </c>
      <c r="O199">
        <f>-725.13585155237 -14.2190869977876 -736.688123977088</f>
        <v>-1476.0430625272456</v>
      </c>
      <c r="P199">
        <f>-727.639676735638 -5.93685868011244 -420.284465395733</f>
        <v>-1153.8610008114833</v>
      </c>
      <c r="Q199">
        <f>-480.903913680173 -56.4512819169611 -355.385839498003</f>
        <v>-892.74103509513702</v>
      </c>
      <c r="R199" t="s">
        <v>4252</v>
      </c>
      <c r="S199" t="s">
        <v>4253</v>
      </c>
      <c r="T199" t="s">
        <v>4254</v>
      </c>
      <c r="U199" t="s">
        <v>4255</v>
      </c>
      <c r="V199" t="s">
        <v>4256</v>
      </c>
      <c r="W199" t="s">
        <v>4257</v>
      </c>
      <c r="X199" t="s">
        <v>4258</v>
      </c>
      <c r="Y199" t="s">
        <v>4259</v>
      </c>
    </row>
    <row r="200" spans="1:25" x14ac:dyDescent="0.3">
      <c r="A200">
        <v>9950</v>
      </c>
      <c r="B200" t="s">
        <v>4260</v>
      </c>
      <c r="C200" t="s">
        <v>4261</v>
      </c>
      <c r="D200" t="s">
        <v>4262</v>
      </c>
      <c r="E200" t="s">
        <v>4263</v>
      </c>
      <c r="F200" t="s">
        <v>4264</v>
      </c>
      <c r="G200" t="s">
        <v>4265</v>
      </c>
      <c r="H200" t="s">
        <v>4266</v>
      </c>
      <c r="I200" t="s">
        <v>4267</v>
      </c>
      <c r="J200" t="s">
        <v>4268</v>
      </c>
      <c r="K200" t="s">
        <v>4269</v>
      </c>
      <c r="L200" t="s">
        <v>4270</v>
      </c>
      <c r="M200" t="s">
        <v>4271</v>
      </c>
      <c r="N200" t="s">
        <v>4272</v>
      </c>
      <c r="O200">
        <f>-724.849638224117 -15.1262806620182 -736.476456548912</f>
        <v>-1476.4523754350471</v>
      </c>
      <c r="P200">
        <f>-727.33330684239 -6.48167386696878 -420.082226564827</f>
        <v>-1153.8972072741858</v>
      </c>
      <c r="Q200">
        <f>-480.570351379151 -57.0332600137003 -355.316332347216</f>
        <v>-892.91994374006731</v>
      </c>
      <c r="R200" t="s">
        <v>4273</v>
      </c>
      <c r="S200" t="s">
        <v>4274</v>
      </c>
      <c r="T200" t="s">
        <v>4275</v>
      </c>
      <c r="U200" t="s">
        <v>4276</v>
      </c>
      <c r="V200" t="s">
        <v>4277</v>
      </c>
      <c r="W200" t="s">
        <v>4278</v>
      </c>
      <c r="X200" t="s">
        <v>4279</v>
      </c>
      <c r="Y200" t="s">
        <v>4280</v>
      </c>
    </row>
    <row r="201" spans="1:25" x14ac:dyDescent="0.3">
      <c r="A201">
        <v>10000</v>
      </c>
      <c r="B201" t="s">
        <v>4281</v>
      </c>
      <c r="C201" t="s">
        <v>4282</v>
      </c>
      <c r="D201" t="s">
        <v>4283</v>
      </c>
      <c r="E201" t="s">
        <v>4284</v>
      </c>
      <c r="F201" t="s">
        <v>4285</v>
      </c>
      <c r="G201" t="s">
        <v>4286</v>
      </c>
      <c r="H201" t="s">
        <v>4287</v>
      </c>
      <c r="I201" t="s">
        <v>4288</v>
      </c>
      <c r="J201" t="s">
        <v>4289</v>
      </c>
      <c r="K201" t="s">
        <v>4290</v>
      </c>
      <c r="L201" t="s">
        <v>4291</v>
      </c>
      <c r="M201" t="s">
        <v>4292</v>
      </c>
      <c r="N201" t="s">
        <v>4293</v>
      </c>
      <c r="O201">
        <f>-724.820271593213 -15.5987221021057 -736.355253223965</f>
        <v>-1476.7742469192835</v>
      </c>
      <c r="P201">
        <f>-727.29371490553 -6.83482646249013 -419.964292641278</f>
        <v>-1154.0928340092983</v>
      </c>
      <c r="Q201">
        <f>-480.513887189671 -57.406876822271 -355.278517064511</f>
        <v>-893.19928107645296</v>
      </c>
      <c r="R201" t="s">
        <v>4294</v>
      </c>
      <c r="S201" t="s">
        <v>4295</v>
      </c>
      <c r="T201" t="s">
        <v>4296</v>
      </c>
      <c r="U201" t="s">
        <v>4297</v>
      </c>
      <c r="V201" t="s">
        <v>4298</v>
      </c>
      <c r="W201" t="s">
        <v>4299</v>
      </c>
      <c r="X201" t="s">
        <v>4300</v>
      </c>
      <c r="Y201" t="s">
        <v>4301</v>
      </c>
    </row>
    <row r="202" spans="1:25" x14ac:dyDescent="0.3">
      <c r="A202">
        <v>10050</v>
      </c>
      <c r="B202" t="s">
        <v>4302</v>
      </c>
      <c r="C202" t="s">
        <v>4303</v>
      </c>
      <c r="D202" t="s">
        <v>4304</v>
      </c>
      <c r="E202" t="s">
        <v>4305</v>
      </c>
      <c r="F202" t="s">
        <v>4306</v>
      </c>
      <c r="G202" t="s">
        <v>4307</v>
      </c>
      <c r="H202" t="s">
        <v>4308</v>
      </c>
      <c r="I202" t="s">
        <v>4309</v>
      </c>
      <c r="J202" t="s">
        <v>4310</v>
      </c>
      <c r="K202" t="s">
        <v>4311</v>
      </c>
      <c r="L202" t="s">
        <v>4312</v>
      </c>
      <c r="M202" t="s">
        <v>4313</v>
      </c>
      <c r="N202" t="s">
        <v>4314</v>
      </c>
      <c r="O202">
        <f>-725.075357523104 -16.5221494725661 -736.149444476188</f>
        <v>-1477.7469514718582</v>
      </c>
      <c r="P202">
        <f>-727.416007385473 -7.35472184634727 -419.768943153581</f>
        <v>-1154.5396723854012</v>
      </c>
      <c r="Q202">
        <f>-480.610429615047 -57.8493837418737 -355.121144744462</f>
        <v>-893.58095810138275</v>
      </c>
      <c r="R202" t="s">
        <v>4315</v>
      </c>
      <c r="S202" t="s">
        <v>4316</v>
      </c>
      <c r="T202" t="s">
        <v>4317</v>
      </c>
      <c r="U202" t="s">
        <v>4318</v>
      </c>
      <c r="V202" t="s">
        <v>4319</v>
      </c>
      <c r="W202" t="s">
        <v>4320</v>
      </c>
      <c r="X202" t="s">
        <v>4321</v>
      </c>
      <c r="Y202" t="s">
        <v>4322</v>
      </c>
    </row>
    <row r="203" spans="1:25" x14ac:dyDescent="0.3">
      <c r="A203">
        <v>10100</v>
      </c>
      <c r="B203" t="s">
        <v>4323</v>
      </c>
      <c r="C203" t="s">
        <v>4324</v>
      </c>
      <c r="D203" t="s">
        <v>4325</v>
      </c>
      <c r="E203" t="s">
        <v>4326</v>
      </c>
      <c r="F203" t="s">
        <v>4327</v>
      </c>
      <c r="G203" t="s">
        <v>4328</v>
      </c>
      <c r="H203" t="s">
        <v>4329</v>
      </c>
      <c r="I203" t="s">
        <v>4330</v>
      </c>
      <c r="J203" t="s">
        <v>4331</v>
      </c>
      <c r="K203" t="s">
        <v>4332</v>
      </c>
      <c r="L203" t="s">
        <v>4333</v>
      </c>
      <c r="M203" t="s">
        <v>4334</v>
      </c>
      <c r="N203" t="s">
        <v>4335</v>
      </c>
      <c r="O203">
        <f>-725.14130246967 -16.8883411617146 -736.078454062581</f>
        <v>-1478.1080976939656</v>
      </c>
      <c r="P203">
        <f>-727.546431986825 -7.44538289281059 -419.706457950105</f>
        <v>-1154.6982728297407</v>
      </c>
      <c r="Q203">
        <f>-480.70477569914 -57.8333153015865 -355.112986534677</f>
        <v>-893.65107753540349</v>
      </c>
      <c r="R203" t="s">
        <v>4336</v>
      </c>
      <c r="S203" t="s">
        <v>4337</v>
      </c>
      <c r="T203" t="s">
        <v>4338</v>
      </c>
      <c r="U203" t="s">
        <v>4339</v>
      </c>
      <c r="V203" t="s">
        <v>4340</v>
      </c>
      <c r="W203" t="s">
        <v>4341</v>
      </c>
      <c r="X203" t="s">
        <v>4342</v>
      </c>
      <c r="Y203" t="s">
        <v>4343</v>
      </c>
    </row>
    <row r="204" spans="1:25" x14ac:dyDescent="0.3">
      <c r="A204">
        <v>10150</v>
      </c>
      <c r="B204" t="s">
        <v>4344</v>
      </c>
      <c r="C204" t="s">
        <v>4345</v>
      </c>
      <c r="D204" t="s">
        <v>4346</v>
      </c>
      <c r="E204" t="s">
        <v>4347</v>
      </c>
      <c r="F204" t="s">
        <v>4348</v>
      </c>
      <c r="G204" t="s">
        <v>4349</v>
      </c>
      <c r="H204" t="s">
        <v>4350</v>
      </c>
      <c r="I204" t="s">
        <v>4351</v>
      </c>
      <c r="J204" t="s">
        <v>4352</v>
      </c>
      <c r="K204" t="s">
        <v>4353</v>
      </c>
      <c r="L204" t="s">
        <v>4354</v>
      </c>
      <c r="M204" t="s">
        <v>4355</v>
      </c>
      <c r="N204" t="s">
        <v>4356</v>
      </c>
      <c r="O204">
        <f>-725.421799177838 -17.5096329888952 -735.892573121874</f>
        <v>-1478.8240052886072</v>
      </c>
      <c r="P204">
        <f>-727.668219893983 -7.55334635003396 -419.535110912658</f>
        <v>-1154.7566771566749</v>
      </c>
      <c r="Q204">
        <f>-480.824037279731 -57.9347229475843 -354.946286336879</f>
        <v>-893.70504656419428</v>
      </c>
      <c r="R204" t="s">
        <v>4357</v>
      </c>
      <c r="S204" t="s">
        <v>4358</v>
      </c>
      <c r="T204" t="s">
        <v>4359</v>
      </c>
      <c r="U204" t="s">
        <v>4360</v>
      </c>
      <c r="V204" t="s">
        <v>4361</v>
      </c>
      <c r="W204" t="s">
        <v>4362</v>
      </c>
      <c r="X204" t="s">
        <v>4363</v>
      </c>
      <c r="Y204" t="s">
        <v>4364</v>
      </c>
    </row>
    <row r="205" spans="1:25" x14ac:dyDescent="0.3">
      <c r="A205">
        <v>10200</v>
      </c>
      <c r="B205" t="s">
        <v>4365</v>
      </c>
      <c r="C205" t="s">
        <v>4366</v>
      </c>
      <c r="D205" t="s">
        <v>4367</v>
      </c>
      <c r="E205" t="s">
        <v>4368</v>
      </c>
      <c r="F205" t="s">
        <v>4369</v>
      </c>
      <c r="G205" t="s">
        <v>4370</v>
      </c>
      <c r="H205" t="s">
        <v>4371</v>
      </c>
      <c r="I205" t="s">
        <v>4372</v>
      </c>
      <c r="J205" t="s">
        <v>4373</v>
      </c>
      <c r="K205" t="s">
        <v>4374</v>
      </c>
      <c r="L205" t="s">
        <v>4375</v>
      </c>
      <c r="M205" t="s">
        <v>4376</v>
      </c>
      <c r="N205" t="s">
        <v>4377</v>
      </c>
      <c r="O205">
        <f>-725.70789781812 -17.7374396191649 -735.795764393139</f>
        <v>-1479.241101830424</v>
      </c>
      <c r="P205">
        <f>-727.858810799455 -7.61761310447287 -419.442943844568</f>
        <v>-1154.9193677484959</v>
      </c>
      <c r="Q205">
        <f>-480.982352438204 -58.0136107614994 -354.989045043586</f>
        <v>-893.98500824328937</v>
      </c>
      <c r="R205" t="s">
        <v>4378</v>
      </c>
      <c r="S205" t="s">
        <v>4379</v>
      </c>
      <c r="T205" t="s">
        <v>4380</v>
      </c>
      <c r="U205" t="s">
        <v>4381</v>
      </c>
      <c r="V205" t="s">
        <v>4382</v>
      </c>
      <c r="W205" t="s">
        <v>4383</v>
      </c>
      <c r="X205" t="s">
        <v>4384</v>
      </c>
      <c r="Y205" t="s">
        <v>4385</v>
      </c>
    </row>
    <row r="206" spans="1:25" x14ac:dyDescent="0.3">
      <c r="A206">
        <v>10250</v>
      </c>
      <c r="B206" t="s">
        <v>4386</v>
      </c>
      <c r="C206" t="s">
        <v>4387</v>
      </c>
      <c r="D206" t="s">
        <v>4388</v>
      </c>
      <c r="E206" t="s">
        <v>4389</v>
      </c>
      <c r="F206" t="s">
        <v>4390</v>
      </c>
      <c r="G206" t="s">
        <v>4391</v>
      </c>
      <c r="H206" t="s">
        <v>4392</v>
      </c>
      <c r="I206" t="s">
        <v>4393</v>
      </c>
      <c r="J206" t="s">
        <v>4394</v>
      </c>
      <c r="K206" t="s">
        <v>4395</v>
      </c>
      <c r="L206" t="s">
        <v>4396</v>
      </c>
      <c r="M206" t="s">
        <v>4397</v>
      </c>
      <c r="N206" t="s">
        <v>4398</v>
      </c>
      <c r="O206">
        <f>-726.288759491167 -18.0884558691082 -735.591812964733</f>
        <v>-1479.9690283250081</v>
      </c>
      <c r="P206">
        <f>-728.25945904065 -7.67816261486632 -419.247248845399</f>
        <v>-1155.1848705009152</v>
      </c>
      <c r="Q206">
        <f>-481.346797884575 -58.1317770740905 -354.977091150753</f>
        <v>-894.45566610941842</v>
      </c>
      <c r="R206" t="s">
        <v>4399</v>
      </c>
      <c r="S206" t="s">
        <v>4400</v>
      </c>
      <c r="T206" t="s">
        <v>4401</v>
      </c>
      <c r="U206" t="s">
        <v>4402</v>
      </c>
      <c r="V206" t="s">
        <v>4403</v>
      </c>
      <c r="W206" t="s">
        <v>4404</v>
      </c>
      <c r="X206" t="s">
        <v>4405</v>
      </c>
      <c r="Y206" t="s">
        <v>4406</v>
      </c>
    </row>
    <row r="207" spans="1:25" x14ac:dyDescent="0.3">
      <c r="A207">
        <v>10300</v>
      </c>
      <c r="B207" t="s">
        <v>4407</v>
      </c>
      <c r="C207" t="s">
        <v>4408</v>
      </c>
      <c r="D207" t="s">
        <v>4409</v>
      </c>
      <c r="E207" t="s">
        <v>4410</v>
      </c>
      <c r="F207" t="s">
        <v>4411</v>
      </c>
      <c r="G207" t="s">
        <v>4412</v>
      </c>
      <c r="H207" t="s">
        <v>4413</v>
      </c>
      <c r="I207" t="s">
        <v>4414</v>
      </c>
      <c r="J207" t="s">
        <v>4415</v>
      </c>
      <c r="K207" t="s">
        <v>4416</v>
      </c>
      <c r="L207" t="s">
        <v>4417</v>
      </c>
      <c r="M207" t="s">
        <v>4418</v>
      </c>
      <c r="N207" t="s">
        <v>4419</v>
      </c>
      <c r="O207">
        <f>-726.403883929146 -18.2846222013063 -735.497718929642</f>
        <v>-1480.1862250600943</v>
      </c>
      <c r="P207">
        <f>-728.520103461083 -7.71055096038435 -419.159399032938</f>
        <v>-1155.3900534544052</v>
      </c>
      <c r="Q207">
        <f>-481.663048857169 -58.4055675459135 -354.86564377956</f>
        <v>-894.93426018264245</v>
      </c>
      <c r="R207" t="s">
        <v>4420</v>
      </c>
      <c r="S207" t="s">
        <v>4421</v>
      </c>
      <c r="T207" t="s">
        <v>4422</v>
      </c>
      <c r="U207" t="s">
        <v>4423</v>
      </c>
      <c r="V207" t="s">
        <v>4424</v>
      </c>
      <c r="W207" t="s">
        <v>4425</v>
      </c>
      <c r="X207" t="s">
        <v>4426</v>
      </c>
      <c r="Y207" t="s">
        <v>4427</v>
      </c>
    </row>
    <row r="208" spans="1:25" x14ac:dyDescent="0.3">
      <c r="A208">
        <v>10350</v>
      </c>
      <c r="B208" t="s">
        <v>4428</v>
      </c>
      <c r="C208" t="s">
        <v>4429</v>
      </c>
      <c r="D208" t="s">
        <v>4430</v>
      </c>
      <c r="E208" t="s">
        <v>4431</v>
      </c>
      <c r="F208" t="s">
        <v>4432</v>
      </c>
      <c r="G208" t="s">
        <v>4433</v>
      </c>
      <c r="H208" t="s">
        <v>4434</v>
      </c>
      <c r="I208" t="s">
        <v>4435</v>
      </c>
      <c r="J208" t="s">
        <v>4436</v>
      </c>
      <c r="K208" t="s">
        <v>4437</v>
      </c>
      <c r="L208" t="s">
        <v>4438</v>
      </c>
      <c r="M208" t="s">
        <v>4439</v>
      </c>
      <c r="N208" t="s">
        <v>4440</v>
      </c>
      <c r="O208">
        <f>-726.619126237949 -18.506535485431 -735.460588567561</f>
        <v>-1480.5862502909408</v>
      </c>
      <c r="P208">
        <f>-728.816265824796 -7.69065161519802 -419.130964636631</f>
        <v>-1155.6378820766249</v>
      </c>
      <c r="Q208">
        <f>-481.99900039618 -58.6039381555802 -354.857248273523</f>
        <v>-895.46018682528324</v>
      </c>
      <c r="R208" t="s">
        <v>4441</v>
      </c>
      <c r="S208" t="s">
        <v>4442</v>
      </c>
      <c r="T208" t="s">
        <v>4443</v>
      </c>
      <c r="U208" t="s">
        <v>4444</v>
      </c>
      <c r="V208" t="s">
        <v>4445</v>
      </c>
      <c r="W208" t="s">
        <v>4446</v>
      </c>
      <c r="X208" t="s">
        <v>4447</v>
      </c>
      <c r="Y208" t="s">
        <v>4448</v>
      </c>
    </row>
    <row r="209" spans="1:25" x14ac:dyDescent="0.3">
      <c r="A209">
        <v>10400</v>
      </c>
      <c r="B209" t="s">
        <v>4449</v>
      </c>
      <c r="C209" t="s">
        <v>4450</v>
      </c>
      <c r="D209" t="s">
        <v>4451</v>
      </c>
      <c r="E209" t="s">
        <v>4452</v>
      </c>
      <c r="F209" t="s">
        <v>4453</v>
      </c>
      <c r="G209" t="s">
        <v>4454</v>
      </c>
      <c r="H209" t="s">
        <v>4455</v>
      </c>
      <c r="I209" t="s">
        <v>4456</v>
      </c>
      <c r="J209" t="s">
        <v>4457</v>
      </c>
      <c r="K209" t="s">
        <v>4458</v>
      </c>
      <c r="L209" t="s">
        <v>4459</v>
      </c>
      <c r="M209" t="s">
        <v>4460</v>
      </c>
      <c r="N209" t="s">
        <v>4461</v>
      </c>
      <c r="O209">
        <f>-726.947241699984 -18.5195436423635 -735.460046508855</f>
        <v>-1480.9268318512027</v>
      </c>
      <c r="P209">
        <f>-729.157767807443 -7.73763405334876 -419.129369794876</f>
        <v>-1156.0247716556678</v>
      </c>
      <c r="Q209">
        <f>-482.432280265442 -59.0105675105522 -354.789051732212</f>
        <v>-896.2318995082062</v>
      </c>
      <c r="R209" t="s">
        <v>4462</v>
      </c>
      <c r="S209" t="s">
        <v>4463</v>
      </c>
      <c r="T209" t="s">
        <v>4464</v>
      </c>
      <c r="U209" t="s">
        <v>4465</v>
      </c>
      <c r="V209" t="s">
        <v>4466</v>
      </c>
      <c r="W209" t="s">
        <v>4467</v>
      </c>
      <c r="X209" t="s">
        <v>4468</v>
      </c>
      <c r="Y209" t="s">
        <v>4469</v>
      </c>
    </row>
    <row r="210" spans="1:25" x14ac:dyDescent="0.3">
      <c r="A210">
        <v>10450</v>
      </c>
      <c r="B210" t="s">
        <v>4470</v>
      </c>
      <c r="C210" t="s">
        <v>4471</v>
      </c>
      <c r="D210" t="s">
        <v>4472</v>
      </c>
      <c r="E210" t="s">
        <v>4473</v>
      </c>
      <c r="F210" t="s">
        <v>4474</v>
      </c>
      <c r="G210" t="s">
        <v>4475</v>
      </c>
      <c r="H210" t="s">
        <v>4476</v>
      </c>
      <c r="I210" t="s">
        <v>4477</v>
      </c>
      <c r="J210" t="s">
        <v>4478</v>
      </c>
      <c r="K210" t="s">
        <v>4479</v>
      </c>
      <c r="L210" t="s">
        <v>4480</v>
      </c>
      <c r="M210" t="s">
        <v>4481</v>
      </c>
      <c r="N210" t="s">
        <v>4482</v>
      </c>
      <c r="O210">
        <f>-727.913325701143 -18.4459724061633 -735.446412349316</f>
        <v>-1481.8057104566224</v>
      </c>
      <c r="P210">
        <f>-730.10548998377 -7.28176255627864 -419.129008927073</f>
        <v>-1156.5162614671217</v>
      </c>
      <c r="Q210">
        <f>-483.621892241998 -59.4983375875381 -354.620603726918</f>
        <v>-897.74083355645416</v>
      </c>
      <c r="R210" t="s">
        <v>4483</v>
      </c>
      <c r="S210" t="s">
        <v>4484</v>
      </c>
      <c r="T210" t="s">
        <v>4485</v>
      </c>
      <c r="U210" t="s">
        <v>4486</v>
      </c>
      <c r="V210" t="s">
        <v>4487</v>
      </c>
      <c r="W210" t="s">
        <v>4488</v>
      </c>
      <c r="X210" t="s">
        <v>4489</v>
      </c>
      <c r="Y210" t="s">
        <v>4490</v>
      </c>
    </row>
    <row r="211" spans="1:25" x14ac:dyDescent="0.3">
      <c r="A211">
        <v>10500</v>
      </c>
      <c r="B211" t="s">
        <v>4491</v>
      </c>
      <c r="C211" t="s">
        <v>4492</v>
      </c>
      <c r="D211" t="s">
        <v>4493</v>
      </c>
      <c r="E211" t="s">
        <v>4494</v>
      </c>
      <c r="F211" t="s">
        <v>4495</v>
      </c>
      <c r="G211" t="s">
        <v>4496</v>
      </c>
      <c r="H211" t="s">
        <v>4497</v>
      </c>
      <c r="I211" t="s">
        <v>4498</v>
      </c>
      <c r="J211" t="s">
        <v>4499</v>
      </c>
      <c r="K211" t="s">
        <v>4500</v>
      </c>
      <c r="L211" t="s">
        <v>4501</v>
      </c>
      <c r="M211" t="s">
        <v>4502</v>
      </c>
      <c r="N211" t="s">
        <v>4503</v>
      </c>
      <c r="O211">
        <f>-728.499189627755 -18.4196798227979 -735.341788947242</f>
        <v>-1482.2606583977949</v>
      </c>
      <c r="P211">
        <f>-730.764155030426 -7.0477777225492 -419.032165689281</f>
        <v>-1156.8440984422562</v>
      </c>
      <c r="Q211">
        <f>-484.429069036948 -59.8379781907086 -354.423683730909</f>
        <v>-898.69073095856561</v>
      </c>
      <c r="R211" t="s">
        <v>4504</v>
      </c>
      <c r="S211" t="s">
        <v>4505</v>
      </c>
      <c r="T211" t="s">
        <v>4506</v>
      </c>
      <c r="U211" t="s">
        <v>4507</v>
      </c>
      <c r="V211" t="s">
        <v>4508</v>
      </c>
      <c r="W211" t="s">
        <v>4509</v>
      </c>
      <c r="X211" t="s">
        <v>4510</v>
      </c>
      <c r="Y211" t="s">
        <v>4511</v>
      </c>
    </row>
    <row r="212" spans="1:25" x14ac:dyDescent="0.3">
      <c r="A212">
        <v>10550</v>
      </c>
      <c r="B212" t="s">
        <v>4512</v>
      </c>
      <c r="C212" t="s">
        <v>4513</v>
      </c>
      <c r="D212" t="s">
        <v>4514</v>
      </c>
      <c r="E212" t="s">
        <v>4515</v>
      </c>
      <c r="F212" t="s">
        <v>4516</v>
      </c>
      <c r="G212" t="s">
        <v>4517</v>
      </c>
      <c r="H212" t="s">
        <v>4518</v>
      </c>
      <c r="I212" t="s">
        <v>4519</v>
      </c>
      <c r="J212" t="s">
        <v>4520</v>
      </c>
      <c r="K212" t="s">
        <v>4521</v>
      </c>
      <c r="L212" t="s">
        <v>4522</v>
      </c>
      <c r="M212" t="s">
        <v>4523</v>
      </c>
      <c r="N212" t="s">
        <v>4524</v>
      </c>
      <c r="O212">
        <f>-729.68912788188 -17.9004974270338 -735.257169334418</f>
        <v>-1482.8467946433318</v>
      </c>
      <c r="P212">
        <f>-732.322965114253 -5.79272915065849 -418.97779021595</f>
        <v>-1157.0934844808614</v>
      </c>
      <c r="Q212">
        <f>-486.393026829964 -59.8116761359352 -353.843516850609</f>
        <v>-900.04821981650821</v>
      </c>
      <c r="R212" t="s">
        <v>4525</v>
      </c>
      <c r="S212" t="s">
        <v>4526</v>
      </c>
      <c r="T212" t="s">
        <v>4527</v>
      </c>
      <c r="U212" t="s">
        <v>4528</v>
      </c>
      <c r="V212" t="s">
        <v>4529</v>
      </c>
      <c r="W212" t="s">
        <v>4530</v>
      </c>
      <c r="X212" t="s">
        <v>4531</v>
      </c>
      <c r="Y212" t="s">
        <v>4532</v>
      </c>
    </row>
    <row r="213" spans="1:25" x14ac:dyDescent="0.3">
      <c r="A213">
        <v>10600</v>
      </c>
      <c r="B213" t="s">
        <v>4533</v>
      </c>
      <c r="C213" t="s">
        <v>4534</v>
      </c>
      <c r="D213" t="s">
        <v>4535</v>
      </c>
      <c r="E213" t="s">
        <v>4536</v>
      </c>
      <c r="F213" t="s">
        <v>4537</v>
      </c>
      <c r="G213" t="s">
        <v>4538</v>
      </c>
      <c r="H213" t="s">
        <v>4539</v>
      </c>
      <c r="I213" t="s">
        <v>4540</v>
      </c>
      <c r="J213" t="s">
        <v>4541</v>
      </c>
      <c r="K213" t="s">
        <v>4542</v>
      </c>
      <c r="L213" t="s">
        <v>4543</v>
      </c>
      <c r="M213" t="s">
        <v>4544</v>
      </c>
      <c r="N213" t="s">
        <v>4545</v>
      </c>
      <c r="O213">
        <f>-730.430319883729 -17.5899525537311 -735.256201058764</f>
        <v>-1483.2764734962241</v>
      </c>
      <c r="P213">
        <f>-733.211567243653 -5.07095099042863 -418.994050473886</f>
        <v>-1157.2765687079677</v>
      </c>
      <c r="Q213">
        <f>-487.495049108094 -59.640716979467 -353.514481995514</f>
        <v>-900.65024808307498</v>
      </c>
      <c r="R213" t="s">
        <v>4546</v>
      </c>
      <c r="S213" t="s">
        <v>4547</v>
      </c>
      <c r="T213" t="s">
        <v>4548</v>
      </c>
      <c r="U213" t="s">
        <v>4549</v>
      </c>
      <c r="V213" t="s">
        <v>4550</v>
      </c>
      <c r="W213" t="s">
        <v>4551</v>
      </c>
      <c r="X213" t="s">
        <v>4552</v>
      </c>
      <c r="Y213" t="s">
        <v>4553</v>
      </c>
    </row>
    <row r="214" spans="1:25" x14ac:dyDescent="0.3">
      <c r="A214">
        <v>10650</v>
      </c>
      <c r="B214" t="s">
        <v>4554</v>
      </c>
      <c r="C214" t="s">
        <v>4555</v>
      </c>
      <c r="D214" t="s">
        <v>4556</v>
      </c>
      <c r="E214" t="s">
        <v>4557</v>
      </c>
      <c r="F214" t="s">
        <v>4558</v>
      </c>
      <c r="G214" t="s">
        <v>4559</v>
      </c>
      <c r="H214" t="s">
        <v>4560</v>
      </c>
      <c r="I214" t="s">
        <v>4561</v>
      </c>
      <c r="J214" t="s">
        <v>4562</v>
      </c>
      <c r="K214" t="s">
        <v>4563</v>
      </c>
      <c r="L214" t="s">
        <v>4564</v>
      </c>
      <c r="M214" t="s">
        <v>4565</v>
      </c>
      <c r="N214" t="s">
        <v>4566</v>
      </c>
      <c r="O214">
        <f>-732.564885667352 -16.8276981089525 -735.160269113147</f>
        <v>-1484.5528528894515</v>
      </c>
      <c r="P214">
        <f>-734.983867998906 -3.77717921617932 -418.916788150832</f>
        <v>-1157.6778353659174</v>
      </c>
      <c r="Q214">
        <f>-489.616376575316 -59.4168733462147 -353.030039588873</f>
        <v>-902.06328951040371</v>
      </c>
      <c r="R214" t="s">
        <v>4567</v>
      </c>
      <c r="S214" t="s">
        <v>4568</v>
      </c>
      <c r="T214" t="s">
        <v>4569</v>
      </c>
      <c r="U214" t="s">
        <v>4570</v>
      </c>
      <c r="V214" t="s">
        <v>4571</v>
      </c>
      <c r="W214" t="s">
        <v>4572</v>
      </c>
      <c r="X214" t="s">
        <v>4573</v>
      </c>
      <c r="Y214" t="s">
        <v>4574</v>
      </c>
    </row>
    <row r="215" spans="1:25" x14ac:dyDescent="0.3">
      <c r="A215">
        <v>10700</v>
      </c>
      <c r="B215" t="s">
        <v>4575</v>
      </c>
      <c r="C215" t="s">
        <v>4576</v>
      </c>
      <c r="D215" t="s">
        <v>4577</v>
      </c>
      <c r="E215" t="s">
        <v>4578</v>
      </c>
      <c r="F215" t="s">
        <v>4579</v>
      </c>
      <c r="G215" t="s">
        <v>4580</v>
      </c>
      <c r="H215" t="s">
        <v>4581</v>
      </c>
      <c r="I215" t="s">
        <v>4582</v>
      </c>
      <c r="J215" t="s">
        <v>4583</v>
      </c>
      <c r="K215" t="s">
        <v>4584</v>
      </c>
      <c r="L215" t="s">
        <v>4585</v>
      </c>
      <c r="M215" t="s">
        <v>4586</v>
      </c>
      <c r="N215" t="s">
        <v>4587</v>
      </c>
      <c r="O215">
        <f>-734.000690732347 -16.4426385057079 -734.899939137143</f>
        <v>-1485.343268375198</v>
      </c>
      <c r="P215">
        <f>-735.747099976202 -3.19408694065146 -418.659991184723</f>
        <v>-1157.6011781015764</v>
      </c>
      <c r="Q215">
        <f>-490.48613541902 -59.5077718733073 -352.949411830021</f>
        <v>-902.94331912234838</v>
      </c>
      <c r="R215" t="s">
        <v>4588</v>
      </c>
      <c r="S215" t="s">
        <v>4589</v>
      </c>
      <c r="T215" t="s">
        <v>4590</v>
      </c>
      <c r="U215" t="s">
        <v>4591</v>
      </c>
      <c r="V215" t="s">
        <v>4592</v>
      </c>
      <c r="W215" t="s">
        <v>4593</v>
      </c>
      <c r="X215" t="s">
        <v>4594</v>
      </c>
      <c r="Y215" t="s">
        <v>4595</v>
      </c>
    </row>
    <row r="216" spans="1:25" x14ac:dyDescent="0.3">
      <c r="A216">
        <v>10750</v>
      </c>
      <c r="B216" t="s">
        <v>4596</v>
      </c>
      <c r="C216" t="s">
        <v>4597</v>
      </c>
      <c r="D216" t="s">
        <v>4598</v>
      </c>
      <c r="E216" t="s">
        <v>4599</v>
      </c>
      <c r="F216" t="s">
        <v>4600</v>
      </c>
      <c r="G216" t="s">
        <v>4601</v>
      </c>
      <c r="H216" t="s">
        <v>4602</v>
      </c>
      <c r="I216" t="s">
        <v>4603</v>
      </c>
      <c r="J216" t="s">
        <v>4604</v>
      </c>
      <c r="K216" t="s">
        <v>4605</v>
      </c>
      <c r="L216" t="s">
        <v>4606</v>
      </c>
      <c r="M216" t="s">
        <v>4607</v>
      </c>
      <c r="N216" t="s">
        <v>4608</v>
      </c>
      <c r="O216">
        <f>-737.111860343772 -15.9681431701706 -733.945954169786</f>
        <v>-1487.0259576837286</v>
      </c>
      <c r="P216">
        <f>-737.079941245518 -2.6048974177188 -417.706189341362</f>
        <v>-1157.3910280045989</v>
      </c>
      <c r="Q216">
        <f>-491.897534624859 -60.3824635904173 -352.980639975489</f>
        <v>-905.26063819076535</v>
      </c>
      <c r="R216" t="s">
        <v>4609</v>
      </c>
      <c r="S216" t="s">
        <v>4610</v>
      </c>
      <c r="T216" t="s">
        <v>4611</v>
      </c>
      <c r="U216" t="s">
        <v>4612</v>
      </c>
      <c r="V216" t="s">
        <v>4613</v>
      </c>
      <c r="W216" t="s">
        <v>4614</v>
      </c>
      <c r="X216" t="s">
        <v>4615</v>
      </c>
      <c r="Y216" t="s">
        <v>4616</v>
      </c>
    </row>
    <row r="217" spans="1:25" x14ac:dyDescent="0.3">
      <c r="A217">
        <v>10800</v>
      </c>
      <c r="B217" t="s">
        <v>4617</v>
      </c>
      <c r="C217" t="s">
        <v>4618</v>
      </c>
      <c r="D217" t="s">
        <v>4619</v>
      </c>
      <c r="E217" t="s">
        <v>4620</v>
      </c>
      <c r="F217" t="s">
        <v>4621</v>
      </c>
      <c r="G217" t="s">
        <v>4622</v>
      </c>
      <c r="H217" t="s">
        <v>4623</v>
      </c>
      <c r="I217" t="s">
        <v>4624</v>
      </c>
      <c r="J217" t="s">
        <v>4625</v>
      </c>
      <c r="K217" t="s">
        <v>4626</v>
      </c>
      <c r="L217" t="s">
        <v>4627</v>
      </c>
      <c r="M217" t="s">
        <v>4628</v>
      </c>
      <c r="N217" t="s">
        <v>4629</v>
      </c>
      <c r="O217">
        <f>-738.52774932278 -15.778935367586 -733.488370524379</f>
        <v>-1487.7950552147449</v>
      </c>
      <c r="P217">
        <f>-737.624307755854 -2.28203393474223 -417.255564007404</f>
        <v>-1157.1619056980003</v>
      </c>
      <c r="Q217">
        <f>-492.431348032342 -60.6255330399051 -353.079822864407</f>
        <v>-906.13670393665404</v>
      </c>
      <c r="R217" t="s">
        <v>4630</v>
      </c>
      <c r="S217" t="s">
        <v>4631</v>
      </c>
      <c r="T217" t="s">
        <v>4632</v>
      </c>
      <c r="U217" t="s">
        <v>4633</v>
      </c>
      <c r="V217" t="s">
        <v>4634</v>
      </c>
      <c r="W217" t="s">
        <v>4635</v>
      </c>
      <c r="X217" t="s">
        <v>4636</v>
      </c>
      <c r="Y217" t="s">
        <v>4637</v>
      </c>
    </row>
    <row r="218" spans="1:25" x14ac:dyDescent="0.3">
      <c r="A218">
        <v>10850</v>
      </c>
      <c r="B218" t="s">
        <v>4638</v>
      </c>
      <c r="C218" t="s">
        <v>4639</v>
      </c>
      <c r="D218" t="s">
        <v>4640</v>
      </c>
      <c r="E218" t="s">
        <v>4641</v>
      </c>
      <c r="F218" t="s">
        <v>4642</v>
      </c>
      <c r="G218" t="s">
        <v>4643</v>
      </c>
      <c r="H218" t="s">
        <v>4644</v>
      </c>
      <c r="I218" t="s">
        <v>4645</v>
      </c>
      <c r="J218" t="s">
        <v>4646</v>
      </c>
      <c r="K218" t="s">
        <v>4647</v>
      </c>
      <c r="L218" t="s">
        <v>4648</v>
      </c>
      <c r="M218" t="s">
        <v>4649</v>
      </c>
      <c r="N218" t="s">
        <v>4650</v>
      </c>
      <c r="O218">
        <f>-741.24973778841 -15.2802590609253 -732.844741951012</f>
        <v>-1489.3747388003474</v>
      </c>
      <c r="P218">
        <f>-738.93322473171 -1.61274564676933 -416.626500879523</f>
        <v>-1157.1724712580024</v>
      </c>
      <c r="Q218">
        <f>-493.756461206725 -60.8078958771025 -353.172631108211</f>
        <v>-907.73698819203855</v>
      </c>
      <c r="R218" t="s">
        <v>4651</v>
      </c>
      <c r="S218" t="s">
        <v>4652</v>
      </c>
      <c r="T218" t="s">
        <v>4653</v>
      </c>
      <c r="U218" t="s">
        <v>4654</v>
      </c>
      <c r="V218" t="s">
        <v>4655</v>
      </c>
      <c r="W218" t="s">
        <v>4656</v>
      </c>
      <c r="X218" t="s">
        <v>4657</v>
      </c>
      <c r="Y218" t="s">
        <v>4658</v>
      </c>
    </row>
    <row r="219" spans="1:25" x14ac:dyDescent="0.3">
      <c r="A219">
        <v>10900</v>
      </c>
      <c r="B219" t="s">
        <v>4659</v>
      </c>
      <c r="C219" t="s">
        <v>4660</v>
      </c>
      <c r="D219" t="s">
        <v>4661</v>
      </c>
      <c r="E219" t="s">
        <v>4662</v>
      </c>
      <c r="F219" t="s">
        <v>4663</v>
      </c>
      <c r="G219" t="s">
        <v>4664</v>
      </c>
      <c r="H219" t="s">
        <v>4665</v>
      </c>
      <c r="I219" t="s">
        <v>4666</v>
      </c>
      <c r="J219" t="s">
        <v>4667</v>
      </c>
      <c r="K219" t="s">
        <v>4668</v>
      </c>
      <c r="L219" t="s">
        <v>4669</v>
      </c>
      <c r="M219" t="s">
        <v>4670</v>
      </c>
      <c r="N219" t="s">
        <v>4671</v>
      </c>
      <c r="O219">
        <f>-742.660138249312 -14.9219591426865 -732.547992064216</f>
        <v>-1490.1300894562146</v>
      </c>
      <c r="P219">
        <f>-739.740385680351 -1.22533748520073 -416.335901084584</f>
        <v>-1157.3016242501358</v>
      </c>
      <c r="Q219">
        <f>-494.599009189111 -60.8787251208237 -353.175549838589</f>
        <v>-908.65328414852365</v>
      </c>
      <c r="R219" t="s">
        <v>4672</v>
      </c>
      <c r="S219" t="s">
        <v>4673</v>
      </c>
      <c r="T219" t="s">
        <v>4674</v>
      </c>
      <c r="U219" t="s">
        <v>4675</v>
      </c>
      <c r="V219" t="s">
        <v>4676</v>
      </c>
      <c r="W219" t="s">
        <v>4677</v>
      </c>
      <c r="X219" t="s">
        <v>4678</v>
      </c>
      <c r="Y219" t="s">
        <v>4679</v>
      </c>
    </row>
    <row r="220" spans="1:25" x14ac:dyDescent="0.3">
      <c r="A220">
        <v>10950</v>
      </c>
      <c r="B220" t="s">
        <v>4680</v>
      </c>
      <c r="C220" t="s">
        <v>4681</v>
      </c>
      <c r="D220" t="s">
        <v>4682</v>
      </c>
      <c r="E220" t="s">
        <v>4683</v>
      </c>
      <c r="F220" t="s">
        <v>4684</v>
      </c>
      <c r="G220" t="s">
        <v>4685</v>
      </c>
      <c r="H220" t="s">
        <v>4686</v>
      </c>
      <c r="I220" t="s">
        <v>4687</v>
      </c>
      <c r="J220" t="s">
        <v>4688</v>
      </c>
      <c r="K220" t="s">
        <v>4689</v>
      </c>
      <c r="L220" t="s">
        <v>4690</v>
      </c>
      <c r="M220" t="s">
        <v>4691</v>
      </c>
      <c r="N220" t="s">
        <v>4692</v>
      </c>
      <c r="O220">
        <f>-745.264889241855 -14.2457460998567 -731.977427955224</f>
        <v>-1491.4880632969357</v>
      </c>
      <c r="P220">
        <f>-741.173517587307 -0.656764764319178 -415.773714128784</f>
        <v>-1157.6039964804102</v>
      </c>
      <c r="Q220">
        <f>-496.185916660645 -61.3063293096802 -352.966464278302</f>
        <v>-910.45871024862709</v>
      </c>
      <c r="R220" t="s">
        <v>4693</v>
      </c>
      <c r="S220" t="s">
        <v>4694</v>
      </c>
      <c r="T220" t="s">
        <v>4695</v>
      </c>
      <c r="U220" t="s">
        <v>4696</v>
      </c>
      <c r="V220" t="s">
        <v>4697</v>
      </c>
      <c r="W220" t="s">
        <v>4698</v>
      </c>
      <c r="X220" t="s">
        <v>4699</v>
      </c>
      <c r="Y220" t="s">
        <v>4700</v>
      </c>
    </row>
    <row r="221" spans="1:25" x14ac:dyDescent="0.3">
      <c r="A221">
        <v>11000</v>
      </c>
      <c r="B221" t="s">
        <v>4701</v>
      </c>
      <c r="C221" t="s">
        <v>4702</v>
      </c>
      <c r="D221" t="s">
        <v>4703</v>
      </c>
      <c r="E221" t="s">
        <v>4704</v>
      </c>
      <c r="F221" t="s">
        <v>4705</v>
      </c>
      <c r="G221" t="s">
        <v>4706</v>
      </c>
      <c r="H221" t="s">
        <v>4707</v>
      </c>
      <c r="I221" t="s">
        <v>4708</v>
      </c>
      <c r="J221" t="s">
        <v>4709</v>
      </c>
      <c r="K221" t="s">
        <v>4710</v>
      </c>
      <c r="L221" t="s">
        <v>4711</v>
      </c>
      <c r="M221" t="s">
        <v>4712</v>
      </c>
      <c r="N221" t="s">
        <v>4713</v>
      </c>
      <c r="O221">
        <f>-746.587826586903 -14.0779892224 -731.65904496043</f>
        <v>-1492.324860769733</v>
      </c>
      <c r="P221">
        <f>-741.975698068103 -0.239714259962966 -415.473260056732</f>
        <v>-1157.6886723847979</v>
      </c>
      <c r="Q221">
        <f>-497.02978266115 -61.2527731954797 -352.855568286911</f>
        <v>-911.13812414354084</v>
      </c>
      <c r="R221" t="s">
        <v>4714</v>
      </c>
      <c r="S221" t="s">
        <v>4715</v>
      </c>
      <c r="T221" t="s">
        <v>4716</v>
      </c>
      <c r="U221" t="s">
        <v>4717</v>
      </c>
      <c r="V221" t="s">
        <v>4718</v>
      </c>
      <c r="W221" t="s">
        <v>4719</v>
      </c>
      <c r="X221" t="s">
        <v>4720</v>
      </c>
      <c r="Y221" t="s">
        <v>4721</v>
      </c>
    </row>
    <row r="222" spans="1:25" x14ac:dyDescent="0.3">
      <c r="A222">
        <v>11050</v>
      </c>
      <c r="B222" t="s">
        <v>4722</v>
      </c>
      <c r="C222" t="s">
        <v>4723</v>
      </c>
      <c r="D222" t="s">
        <v>4724</v>
      </c>
      <c r="E222" t="s">
        <v>4725</v>
      </c>
      <c r="F222" t="s">
        <v>4726</v>
      </c>
      <c r="G222" t="s">
        <v>4727</v>
      </c>
      <c r="H222" t="s">
        <v>4728</v>
      </c>
      <c r="I222" t="s">
        <v>4729</v>
      </c>
      <c r="J222" t="s">
        <v>4730</v>
      </c>
      <c r="K222" t="s">
        <v>4731</v>
      </c>
      <c r="L222" t="s">
        <v>4732</v>
      </c>
      <c r="M222" t="s">
        <v>4733</v>
      </c>
      <c r="N222" t="s">
        <v>4734</v>
      </c>
      <c r="O222">
        <f>-748.675464002434 -14.2735120623572 -730.984958353999</f>
        <v>-1493.9339344187902</v>
      </c>
      <c r="P222" t="s">
        <v>4735</v>
      </c>
      <c r="Q222">
        <f>-498.188943600676 -61.316184160155 -352.463956033289</f>
        <v>-911.96908379412002</v>
      </c>
      <c r="R222" t="s">
        <v>4736</v>
      </c>
      <c r="S222" t="s">
        <v>4737</v>
      </c>
      <c r="T222" t="s">
        <v>4738</v>
      </c>
      <c r="U222" t="s">
        <v>4739</v>
      </c>
      <c r="V222" t="s">
        <v>4740</v>
      </c>
      <c r="W222" t="s">
        <v>4741</v>
      </c>
      <c r="X222" t="s">
        <v>4742</v>
      </c>
      <c r="Y222" t="s">
        <v>4743</v>
      </c>
    </row>
    <row r="223" spans="1:25" x14ac:dyDescent="0.3">
      <c r="A223">
        <v>11100</v>
      </c>
      <c r="B223" t="s">
        <v>4744</v>
      </c>
      <c r="C223" t="s">
        <v>4745</v>
      </c>
      <c r="D223" t="s">
        <v>4746</v>
      </c>
      <c r="E223" t="s">
        <v>4747</v>
      </c>
      <c r="F223" t="s">
        <v>4748</v>
      </c>
      <c r="G223" t="s">
        <v>4749</v>
      </c>
      <c r="H223" t="s">
        <v>4750</v>
      </c>
      <c r="I223" t="s">
        <v>4751</v>
      </c>
      <c r="J223" t="s">
        <v>4752</v>
      </c>
      <c r="K223" t="s">
        <v>4753</v>
      </c>
      <c r="L223" t="s">
        <v>4754</v>
      </c>
      <c r="M223" t="s">
        <v>4755</v>
      </c>
      <c r="N223" t="s">
        <v>4756</v>
      </c>
      <c r="O223">
        <f>-749.500018693047 -14.3892952667081 -730.690630354173</f>
        <v>-1494.5799443139281</v>
      </c>
      <c r="P223" t="s">
        <v>4757</v>
      </c>
      <c r="Q223">
        <f>-498.628762391755 -61.2810126328429 -352.30502815929</f>
        <v>-912.21480318388785</v>
      </c>
      <c r="R223" t="s">
        <v>4758</v>
      </c>
      <c r="S223" t="s">
        <v>4759</v>
      </c>
      <c r="T223" t="s">
        <v>4760</v>
      </c>
      <c r="U223" t="s">
        <v>4761</v>
      </c>
      <c r="V223" t="s">
        <v>4762</v>
      </c>
      <c r="W223" t="s">
        <v>4763</v>
      </c>
      <c r="X223" t="s">
        <v>4764</v>
      </c>
      <c r="Y223" t="s">
        <v>4765</v>
      </c>
    </row>
    <row r="224" spans="1:25" x14ac:dyDescent="0.3">
      <c r="A224">
        <v>11150</v>
      </c>
      <c r="B224" t="s">
        <v>4766</v>
      </c>
      <c r="C224" t="s">
        <v>4767</v>
      </c>
      <c r="D224" t="s">
        <v>4768</v>
      </c>
      <c r="E224" t="s">
        <v>4769</v>
      </c>
      <c r="F224" t="s">
        <v>4770</v>
      </c>
      <c r="G224" t="s">
        <v>4771</v>
      </c>
      <c r="H224" t="s">
        <v>4772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4778</v>
      </c>
      <c r="O224">
        <f>-751.151763278822 -14.5912620468346 -730.092830373463</f>
        <v>-1495.8358556991197</v>
      </c>
      <c r="P224" t="s">
        <v>4779</v>
      </c>
      <c r="Q224">
        <f>-499.541498605138 -61.1536401120075 -352.048132114156</f>
        <v>-912.74327083130152</v>
      </c>
      <c r="R224" t="s">
        <v>4780</v>
      </c>
      <c r="S224" t="s">
        <v>4781</v>
      </c>
      <c r="T224" t="s">
        <v>4782</v>
      </c>
      <c r="U224" t="s">
        <v>4783</v>
      </c>
      <c r="V224" t="s">
        <v>4784</v>
      </c>
      <c r="W224" t="s">
        <v>4785</v>
      </c>
      <c r="X224" t="s">
        <v>4786</v>
      </c>
      <c r="Y224" t="s">
        <v>4787</v>
      </c>
    </row>
    <row r="225" spans="1:25" x14ac:dyDescent="0.3">
      <c r="A225">
        <v>11200</v>
      </c>
      <c r="B225" t="s">
        <v>4788</v>
      </c>
      <c r="C225" t="s">
        <v>4789</v>
      </c>
      <c r="D225" t="s">
        <v>4790</v>
      </c>
      <c r="E225" t="s">
        <v>4791</v>
      </c>
      <c r="F225" t="s">
        <v>4792</v>
      </c>
      <c r="G225" t="s">
        <v>4793</v>
      </c>
      <c r="H225" t="s">
        <v>4794</v>
      </c>
      <c r="I225" t="s">
        <v>4795</v>
      </c>
      <c r="J225" t="s">
        <v>4796</v>
      </c>
      <c r="K225" t="s">
        <v>4797</v>
      </c>
      <c r="L225" t="s">
        <v>4798</v>
      </c>
      <c r="M225" t="s">
        <v>4799</v>
      </c>
      <c r="N225" t="s">
        <v>4800</v>
      </c>
      <c r="O225">
        <f>-751.701352308526 -14.8337103378051 -729.921456825633</f>
        <v>-1496.4565194719639</v>
      </c>
      <c r="P225" t="s">
        <v>4801</v>
      </c>
      <c r="Q225">
        <f>-499.894897943482 -61.1582122476375 -352.011113436464</f>
        <v>-913.06422362758349</v>
      </c>
      <c r="R225" t="s">
        <v>4802</v>
      </c>
      <c r="S225" t="s">
        <v>4803</v>
      </c>
      <c r="T225" t="s">
        <v>4804</v>
      </c>
      <c r="U225" t="s">
        <v>4805</v>
      </c>
      <c r="V225" t="s">
        <v>4806</v>
      </c>
      <c r="W225" t="s">
        <v>4807</v>
      </c>
      <c r="X225" t="s">
        <v>4808</v>
      </c>
      <c r="Y225" t="s">
        <v>4809</v>
      </c>
    </row>
    <row r="226" spans="1:25" x14ac:dyDescent="0.3">
      <c r="A226">
        <v>11250</v>
      </c>
      <c r="B226" t="s">
        <v>4810</v>
      </c>
      <c r="C226" t="s">
        <v>4811</v>
      </c>
      <c r="D226" t="s">
        <v>4812</v>
      </c>
      <c r="E226" t="s">
        <v>4813</v>
      </c>
      <c r="F226" t="s">
        <v>4814</v>
      </c>
      <c r="G226" t="s">
        <v>4815</v>
      </c>
      <c r="H226" t="s">
        <v>4816</v>
      </c>
      <c r="I226" t="s">
        <v>4817</v>
      </c>
      <c r="J226" t="s">
        <v>4818</v>
      </c>
      <c r="K226" t="s">
        <v>4819</v>
      </c>
      <c r="L226" t="s">
        <v>4820</v>
      </c>
      <c r="M226" t="s">
        <v>4821</v>
      </c>
      <c r="N226" t="s">
        <v>4822</v>
      </c>
      <c r="O226">
        <f>-751.74054001179 -15.1236483690354 -729.896881570185</f>
        <v>-1496.7610699510105</v>
      </c>
      <c r="P226" t="s">
        <v>4823</v>
      </c>
      <c r="Q226">
        <f>-499.731594045451 -60.9499144037029 -352.200044819067</f>
        <v>-912.88155326822084</v>
      </c>
      <c r="R226" t="s">
        <v>4824</v>
      </c>
      <c r="S226" t="s">
        <v>4825</v>
      </c>
      <c r="T226" t="s">
        <v>4826</v>
      </c>
      <c r="U226" t="s">
        <v>4827</v>
      </c>
      <c r="V226" t="s">
        <v>4828</v>
      </c>
      <c r="W226" t="s">
        <v>4829</v>
      </c>
      <c r="X226" t="s">
        <v>4830</v>
      </c>
      <c r="Y226" t="s">
        <v>4831</v>
      </c>
    </row>
    <row r="227" spans="1:25" x14ac:dyDescent="0.3">
      <c r="A227">
        <v>11300</v>
      </c>
      <c r="B227" t="s">
        <v>4832</v>
      </c>
      <c r="C227" t="s">
        <v>4833</v>
      </c>
      <c r="D227" t="s">
        <v>4834</v>
      </c>
      <c r="E227" t="s">
        <v>4835</v>
      </c>
      <c r="F227" t="s">
        <v>4836</v>
      </c>
      <c r="G227" t="s">
        <v>4837</v>
      </c>
      <c r="H227" t="s">
        <v>4838</v>
      </c>
      <c r="I227" t="s">
        <v>4839</v>
      </c>
      <c r="J227" t="s">
        <v>4840</v>
      </c>
      <c r="K227" t="s">
        <v>4841</v>
      </c>
      <c r="L227" t="s">
        <v>4842</v>
      </c>
      <c r="M227" t="s">
        <v>4843</v>
      </c>
      <c r="N227" t="s">
        <v>4844</v>
      </c>
      <c r="O227">
        <f>-751.389869634619 -15.1869315175334 -730.015598125581</f>
        <v>-1496.5923992777334</v>
      </c>
      <c r="P227" t="s">
        <v>4845</v>
      </c>
      <c r="Q227">
        <f>-499.375448847068 -60.7615411521936 -352.261317601232</f>
        <v>-912.39830760049358</v>
      </c>
      <c r="R227" t="s">
        <v>4846</v>
      </c>
      <c r="S227" t="s">
        <v>4847</v>
      </c>
      <c r="T227" t="s">
        <v>4848</v>
      </c>
      <c r="U227" t="s">
        <v>4849</v>
      </c>
      <c r="V227" t="s">
        <v>4850</v>
      </c>
      <c r="W227" t="s">
        <v>4851</v>
      </c>
      <c r="X227" t="s">
        <v>4852</v>
      </c>
      <c r="Y227" t="s">
        <v>4853</v>
      </c>
    </row>
    <row r="228" spans="1:25" x14ac:dyDescent="0.3">
      <c r="A228">
        <v>11350</v>
      </c>
      <c r="B228" t="s">
        <v>4854</v>
      </c>
      <c r="C228" t="s">
        <v>4855</v>
      </c>
      <c r="D228" t="s">
        <v>4856</v>
      </c>
      <c r="E228" t="s">
        <v>4857</v>
      </c>
      <c r="F228" t="s">
        <v>4858</v>
      </c>
      <c r="G228" t="s">
        <v>4859</v>
      </c>
      <c r="H228" t="s">
        <v>4860</v>
      </c>
      <c r="I228" t="s">
        <v>4861</v>
      </c>
      <c r="J228" t="s">
        <v>4862</v>
      </c>
      <c r="K228" t="s">
        <v>4863</v>
      </c>
      <c r="L228" t="s">
        <v>4864</v>
      </c>
      <c r="M228" t="s">
        <v>4865</v>
      </c>
      <c r="N228" t="s">
        <v>4866</v>
      </c>
      <c r="O228">
        <f>-750.779805828143 -15.3414547300695 -730.519301846003</f>
        <v>-1496.6405624042154</v>
      </c>
      <c r="P228" t="s">
        <v>4867</v>
      </c>
      <c r="Q228">
        <f>-498.733312170169 -59.940319360735 -352.557695732271</f>
        <v>-911.23132726317499</v>
      </c>
      <c r="R228" t="s">
        <v>4868</v>
      </c>
      <c r="S228" t="s">
        <v>4869</v>
      </c>
      <c r="T228" t="s">
        <v>4870</v>
      </c>
      <c r="U228" t="s">
        <v>4871</v>
      </c>
      <c r="V228" t="s">
        <v>4872</v>
      </c>
      <c r="W228" t="s">
        <v>4873</v>
      </c>
      <c r="X228" t="s">
        <v>4874</v>
      </c>
      <c r="Y228" t="s">
        <v>4875</v>
      </c>
    </row>
    <row r="229" spans="1:25" x14ac:dyDescent="0.3">
      <c r="A229">
        <v>11400</v>
      </c>
      <c r="B229" t="s">
        <v>4876</v>
      </c>
      <c r="C229" t="s">
        <v>4877</v>
      </c>
      <c r="D229" t="s">
        <v>4878</v>
      </c>
      <c r="E229" t="s">
        <v>4879</v>
      </c>
      <c r="F229" t="s">
        <v>4880</v>
      </c>
      <c r="G229" t="s">
        <v>4881</v>
      </c>
      <c r="H229" t="s">
        <v>4882</v>
      </c>
      <c r="I229" t="s">
        <v>4883</v>
      </c>
      <c r="J229" t="s">
        <v>4884</v>
      </c>
      <c r="K229" t="s">
        <v>4885</v>
      </c>
      <c r="L229" t="s">
        <v>4886</v>
      </c>
      <c r="M229" t="s">
        <v>4887</v>
      </c>
      <c r="N229" t="s">
        <v>4888</v>
      </c>
      <c r="O229">
        <f>-750.634673015492 -15.0746199738996 -730.760832112402</f>
        <v>-1496.4701251017937</v>
      </c>
      <c r="P229" t="s">
        <v>4889</v>
      </c>
      <c r="Q229">
        <f>-498.169654659579 -59.680201905956 -352.759315689109</f>
        <v>-910.60917225464391</v>
      </c>
      <c r="R229" t="s">
        <v>4890</v>
      </c>
      <c r="S229" t="s">
        <v>4891</v>
      </c>
      <c r="T229" t="s">
        <v>4892</v>
      </c>
      <c r="U229" t="s">
        <v>4893</v>
      </c>
      <c r="V229" t="s">
        <v>4894</v>
      </c>
      <c r="W229" t="s">
        <v>4895</v>
      </c>
      <c r="X229" t="s">
        <v>4896</v>
      </c>
      <c r="Y229" t="s">
        <v>4897</v>
      </c>
    </row>
    <row r="230" spans="1:25" x14ac:dyDescent="0.3">
      <c r="A230">
        <v>11450</v>
      </c>
      <c r="B230" t="s">
        <v>4898</v>
      </c>
      <c r="C230" t="s">
        <v>4899</v>
      </c>
      <c r="D230" t="s">
        <v>4900</v>
      </c>
      <c r="E230" t="s">
        <v>4901</v>
      </c>
      <c r="F230" t="s">
        <v>4902</v>
      </c>
      <c r="G230" t="s">
        <v>4903</v>
      </c>
      <c r="H230" t="s">
        <v>4904</v>
      </c>
      <c r="I230" t="s">
        <v>4905</v>
      </c>
      <c r="J230" t="s">
        <v>4906</v>
      </c>
      <c r="K230" t="s">
        <v>4907</v>
      </c>
      <c r="L230" t="s">
        <v>4908</v>
      </c>
      <c r="M230" t="s">
        <v>4909</v>
      </c>
      <c r="N230" t="s">
        <v>4910</v>
      </c>
      <c r="O230">
        <f>-750.494712303572 -14.9401891115324 -731.061017410374</f>
        <v>-1496.4959188254784</v>
      </c>
      <c r="P230" t="s">
        <v>4911</v>
      </c>
      <c r="Q230">
        <f>-496.49594531845 -60.0461246380958 -353.620026975023</f>
        <v>-910.16209693156884</v>
      </c>
      <c r="R230" t="s">
        <v>4912</v>
      </c>
      <c r="S230" t="s">
        <v>4913</v>
      </c>
      <c r="T230" t="s">
        <v>4914</v>
      </c>
      <c r="U230" t="s">
        <v>4915</v>
      </c>
      <c r="V230" t="s">
        <v>4916</v>
      </c>
      <c r="W230" t="s">
        <v>4917</v>
      </c>
      <c r="X230" t="s">
        <v>4918</v>
      </c>
      <c r="Y230" t="s">
        <v>4919</v>
      </c>
    </row>
    <row r="231" spans="1:25" x14ac:dyDescent="0.3">
      <c r="A231">
        <v>11500</v>
      </c>
      <c r="B231" t="s">
        <v>4920</v>
      </c>
      <c r="C231" t="s">
        <v>4921</v>
      </c>
      <c r="D231" t="s">
        <v>4922</v>
      </c>
      <c r="E231" t="s">
        <v>4923</v>
      </c>
      <c r="F231" t="s">
        <v>4924</v>
      </c>
      <c r="G231" t="s">
        <v>4925</v>
      </c>
      <c r="H231" t="s">
        <v>4926</v>
      </c>
      <c r="I231" t="s">
        <v>4927</v>
      </c>
      <c r="J231" t="s">
        <v>4928</v>
      </c>
      <c r="K231" t="s">
        <v>4929</v>
      </c>
      <c r="L231" t="s">
        <v>4930</v>
      </c>
      <c r="M231" t="s">
        <v>4931</v>
      </c>
      <c r="N231" t="s">
        <v>4932</v>
      </c>
      <c r="O231">
        <f>-750.775875286959 -14.7752350820535 -731.024307937394</f>
        <v>-1496.5754183064066</v>
      </c>
      <c r="P231" t="s">
        <v>4933</v>
      </c>
      <c r="Q231">
        <f>-495.948145485608 -59.9233948504436 -354.148727648811</f>
        <v>-910.02026798486258</v>
      </c>
      <c r="R231" t="s">
        <v>4934</v>
      </c>
      <c r="S231" t="s">
        <v>4935</v>
      </c>
      <c r="T231" t="s">
        <v>4936</v>
      </c>
      <c r="U231" t="s">
        <v>4937</v>
      </c>
      <c r="V231" t="s">
        <v>4938</v>
      </c>
      <c r="W231" t="s">
        <v>4939</v>
      </c>
      <c r="X231" t="s">
        <v>4940</v>
      </c>
      <c r="Y231" t="s">
        <v>4941</v>
      </c>
    </row>
    <row r="232" spans="1:25" x14ac:dyDescent="0.3">
      <c r="A232">
        <v>11550</v>
      </c>
      <c r="B232" t="s">
        <v>4942</v>
      </c>
      <c r="C232" t="s">
        <v>4943</v>
      </c>
      <c r="D232" t="s">
        <v>4944</v>
      </c>
      <c r="E232" t="s">
        <v>4945</v>
      </c>
      <c r="F232" t="s">
        <v>4946</v>
      </c>
      <c r="G232" t="s">
        <v>4947</v>
      </c>
      <c r="H232" t="s">
        <v>4948</v>
      </c>
      <c r="I232" t="s">
        <v>4949</v>
      </c>
      <c r="J232" t="s">
        <v>4950</v>
      </c>
      <c r="K232" t="s">
        <v>4951</v>
      </c>
      <c r="L232" t="s">
        <v>4952</v>
      </c>
      <c r="M232" t="s">
        <v>4953</v>
      </c>
      <c r="N232" t="s">
        <v>4954</v>
      </c>
      <c r="O232">
        <f>-751.598786893722 -14.1097254643018 -730.810811917679</f>
        <v>-1496.5193242757027</v>
      </c>
      <c r="P232" t="s">
        <v>4955</v>
      </c>
      <c r="Q232">
        <f>-495.518321565785 -59.5153366659265 -354.772762584737</f>
        <v>-909.80642081644851</v>
      </c>
      <c r="R232" t="s">
        <v>4956</v>
      </c>
      <c r="S232" t="s">
        <v>4957</v>
      </c>
      <c r="T232" t="s">
        <v>4958</v>
      </c>
      <c r="U232" t="s">
        <v>4959</v>
      </c>
      <c r="V232" t="s">
        <v>4960</v>
      </c>
      <c r="W232" t="s">
        <v>4961</v>
      </c>
      <c r="X232" t="s">
        <v>4962</v>
      </c>
      <c r="Y232" t="s">
        <v>4963</v>
      </c>
    </row>
    <row r="233" spans="1:25" x14ac:dyDescent="0.3">
      <c r="A233">
        <v>11600</v>
      </c>
      <c r="B233" t="s">
        <v>4964</v>
      </c>
      <c r="C233" t="s">
        <v>4965</v>
      </c>
      <c r="D233" t="s">
        <v>4966</v>
      </c>
      <c r="E233" t="s">
        <v>4967</v>
      </c>
      <c r="F233" t="s">
        <v>4968</v>
      </c>
      <c r="G233" t="s">
        <v>4969</v>
      </c>
      <c r="H233" t="s">
        <v>4970</v>
      </c>
      <c r="I233" t="s">
        <v>4971</v>
      </c>
      <c r="J233" t="s">
        <v>4972</v>
      </c>
      <c r="K233" t="s">
        <v>4973</v>
      </c>
      <c r="L233" t="s">
        <v>4974</v>
      </c>
      <c r="M233" t="s">
        <v>4975</v>
      </c>
      <c r="N233" t="s">
        <v>4976</v>
      </c>
      <c r="O233">
        <f>-751.944489791662 -13.9062877088077 -730.789036826906</f>
        <v>-1496.6398143273757</v>
      </c>
      <c r="P233" t="s">
        <v>4977</v>
      </c>
      <c r="Q233">
        <f>-495.508651767386 -59.1025055573996 -355.008358465505</f>
        <v>-909.61951579029062</v>
      </c>
      <c r="R233" t="s">
        <v>4978</v>
      </c>
      <c r="S233" t="s">
        <v>4979</v>
      </c>
      <c r="T233" t="s">
        <v>4980</v>
      </c>
      <c r="U233" t="s">
        <v>4981</v>
      </c>
      <c r="V233" t="s">
        <v>4982</v>
      </c>
      <c r="W233" t="s">
        <v>4983</v>
      </c>
      <c r="X233" t="s">
        <v>4984</v>
      </c>
      <c r="Y233" t="s">
        <v>4985</v>
      </c>
    </row>
    <row r="234" spans="1:25" x14ac:dyDescent="0.3">
      <c r="A234">
        <v>11650</v>
      </c>
      <c r="B234" t="s">
        <v>4986</v>
      </c>
      <c r="C234" t="s">
        <v>4987</v>
      </c>
      <c r="D234" t="s">
        <v>4988</v>
      </c>
      <c r="E234" t="s">
        <v>4989</v>
      </c>
      <c r="F234" t="s">
        <v>4990</v>
      </c>
      <c r="G234" t="s">
        <v>4991</v>
      </c>
      <c r="H234" t="s">
        <v>4992</v>
      </c>
      <c r="I234" t="s">
        <v>4993</v>
      </c>
      <c r="J234" t="s">
        <v>4994</v>
      </c>
      <c r="K234" t="s">
        <v>4995</v>
      </c>
      <c r="L234" t="s">
        <v>4996</v>
      </c>
      <c r="M234" t="s">
        <v>4997</v>
      </c>
      <c r="N234" t="s">
        <v>4998</v>
      </c>
      <c r="O234">
        <f>-751.654660036812 -13.6530769533615 -730.784452651899</f>
        <v>-1496.0921896420723</v>
      </c>
      <c r="P234" t="s">
        <v>4999</v>
      </c>
      <c r="Q234">
        <f>-495.271843224941 -59.0279660030726 -354.99927037595</f>
        <v>-909.29907960396361</v>
      </c>
      <c r="R234" t="s">
        <v>5000</v>
      </c>
      <c r="S234" t="s">
        <v>5001</v>
      </c>
      <c r="T234" t="s">
        <v>5002</v>
      </c>
      <c r="U234" t="s">
        <v>5003</v>
      </c>
      <c r="V234" t="s">
        <v>5004</v>
      </c>
      <c r="W234" t="s">
        <v>5005</v>
      </c>
      <c r="X234" t="s">
        <v>5006</v>
      </c>
      <c r="Y234" t="s">
        <v>5007</v>
      </c>
    </row>
    <row r="235" spans="1:25" x14ac:dyDescent="0.3">
      <c r="A235">
        <v>11700</v>
      </c>
      <c r="B235" t="s">
        <v>5008</v>
      </c>
      <c r="C235" t="s">
        <v>5009</v>
      </c>
      <c r="D235" t="s">
        <v>5010</v>
      </c>
      <c r="E235" t="s">
        <v>5011</v>
      </c>
      <c r="F235" t="s">
        <v>5012</v>
      </c>
      <c r="G235" t="s">
        <v>5013</v>
      </c>
      <c r="H235" t="s">
        <v>5014</v>
      </c>
      <c r="I235" t="s">
        <v>5015</v>
      </c>
      <c r="J235" t="s">
        <v>5016</v>
      </c>
      <c r="K235" t="s">
        <v>5017</v>
      </c>
      <c r="L235" t="s">
        <v>5018</v>
      </c>
      <c r="M235" t="s">
        <v>5019</v>
      </c>
      <c r="N235" t="s">
        <v>5020</v>
      </c>
      <c r="O235">
        <f>-751.31423754757 -13.5761948584168 -730.735179240991</f>
        <v>-1495.6256116469776</v>
      </c>
      <c r="P235" t="s">
        <v>5021</v>
      </c>
      <c r="Q235">
        <f>-495.246973878032 -59.2650354540506 -354.763063050396</f>
        <v>-909.27507238247858</v>
      </c>
      <c r="R235" t="s">
        <v>5022</v>
      </c>
      <c r="S235" t="s">
        <v>5023</v>
      </c>
      <c r="T235" t="s">
        <v>5024</v>
      </c>
      <c r="U235" t="s">
        <v>5025</v>
      </c>
      <c r="V235" t="s">
        <v>5026</v>
      </c>
      <c r="W235" t="s">
        <v>5027</v>
      </c>
      <c r="X235" t="s">
        <v>5028</v>
      </c>
      <c r="Y235" t="s">
        <v>5029</v>
      </c>
    </row>
    <row r="236" spans="1:25" x14ac:dyDescent="0.3">
      <c r="A236">
        <v>11750</v>
      </c>
      <c r="B236" t="s">
        <v>5030</v>
      </c>
      <c r="C236" t="s">
        <v>5031</v>
      </c>
      <c r="D236" t="s">
        <v>5032</v>
      </c>
      <c r="E236" t="s">
        <v>5033</v>
      </c>
      <c r="F236" t="s">
        <v>5034</v>
      </c>
      <c r="G236" t="s">
        <v>5035</v>
      </c>
      <c r="H236" t="s">
        <v>5036</v>
      </c>
      <c r="I236" t="s">
        <v>5037</v>
      </c>
      <c r="J236" t="s">
        <v>5038</v>
      </c>
      <c r="K236" t="s">
        <v>5039</v>
      </c>
      <c r="L236" t="s">
        <v>5040</v>
      </c>
      <c r="M236" t="s">
        <v>5041</v>
      </c>
      <c r="N236" t="s">
        <v>5042</v>
      </c>
      <c r="O236">
        <f>-750.315522014016 -13.8020954225944 -730.55722067932</f>
        <v>-1494.6748381159305</v>
      </c>
      <c r="P236" t="s">
        <v>5043</v>
      </c>
      <c r="Q236">
        <f>-494.975675092714 -59.7821715403422 -354.038805269608</f>
        <v>-908.79665190266428</v>
      </c>
      <c r="R236" t="s">
        <v>5044</v>
      </c>
      <c r="S236" t="s">
        <v>5045</v>
      </c>
      <c r="T236" t="s">
        <v>5046</v>
      </c>
      <c r="U236" t="s">
        <v>5047</v>
      </c>
      <c r="V236" t="s">
        <v>5048</v>
      </c>
      <c r="W236" t="s">
        <v>5049</v>
      </c>
      <c r="X236" t="s">
        <v>5050</v>
      </c>
      <c r="Y236" t="s">
        <v>5051</v>
      </c>
    </row>
    <row r="237" spans="1:25" x14ac:dyDescent="0.3">
      <c r="A237">
        <v>11800</v>
      </c>
      <c r="B237" t="s">
        <v>5052</v>
      </c>
      <c r="C237" t="s">
        <v>5053</v>
      </c>
      <c r="D237" t="s">
        <v>5054</v>
      </c>
      <c r="E237" t="s">
        <v>5055</v>
      </c>
      <c r="F237" t="s">
        <v>5056</v>
      </c>
      <c r="G237" t="s">
        <v>5057</v>
      </c>
      <c r="H237" t="s">
        <v>5058</v>
      </c>
      <c r="I237" t="s">
        <v>5059</v>
      </c>
      <c r="J237" t="s">
        <v>5060</v>
      </c>
      <c r="K237" t="s">
        <v>5061</v>
      </c>
      <c r="L237" t="s">
        <v>5062</v>
      </c>
      <c r="M237" t="s">
        <v>5063</v>
      </c>
      <c r="N237" t="s">
        <v>5064</v>
      </c>
      <c r="O237">
        <f>-749.585555057607 -14.1594605186867 -730.43044060195</f>
        <v>-1494.1754561782436</v>
      </c>
      <c r="P237" t="s">
        <v>5065</v>
      </c>
      <c r="Q237">
        <f>-494.615327750416 -60.2861928230893 -353.662774457933</f>
        <v>-908.56429503143829</v>
      </c>
      <c r="R237" t="s">
        <v>5066</v>
      </c>
      <c r="S237" t="s">
        <v>5067</v>
      </c>
      <c r="T237" t="s">
        <v>5068</v>
      </c>
      <c r="U237" t="s">
        <v>5069</v>
      </c>
      <c r="V237" t="s">
        <v>5070</v>
      </c>
      <c r="W237" t="s">
        <v>5071</v>
      </c>
      <c r="X237" t="s">
        <v>5072</v>
      </c>
      <c r="Y237" t="s">
        <v>5073</v>
      </c>
    </row>
    <row r="238" spans="1:25" x14ac:dyDescent="0.3">
      <c r="A238">
        <v>11850</v>
      </c>
      <c r="B238" t="s">
        <v>5074</v>
      </c>
      <c r="C238" t="s">
        <v>5075</v>
      </c>
      <c r="D238" t="s">
        <v>5076</v>
      </c>
      <c r="E238" t="s">
        <v>5077</v>
      </c>
      <c r="F238" t="s">
        <v>5078</v>
      </c>
      <c r="G238" t="s">
        <v>5079</v>
      </c>
      <c r="H238" t="s">
        <v>5080</v>
      </c>
      <c r="I238" t="s">
        <v>5081</v>
      </c>
      <c r="J238" t="s">
        <v>5082</v>
      </c>
      <c r="K238" t="s">
        <v>5083</v>
      </c>
      <c r="L238" t="s">
        <v>5084</v>
      </c>
      <c r="M238" t="s">
        <v>5085</v>
      </c>
      <c r="N238" t="s">
        <v>5086</v>
      </c>
      <c r="O238">
        <f>-748.200629949505 -14.4972103542966 -730.432101034268</f>
        <v>-1493.1299413380698</v>
      </c>
      <c r="P238" t="s">
        <v>5087</v>
      </c>
      <c r="Q238">
        <f>-493.986871980947 -60.5835182788983 -353.095527029883</f>
        <v>-907.66591728972833</v>
      </c>
      <c r="R238" t="s">
        <v>5088</v>
      </c>
      <c r="S238" t="s">
        <v>5089</v>
      </c>
      <c r="T238" t="s">
        <v>5090</v>
      </c>
      <c r="U238" t="s">
        <v>5091</v>
      </c>
      <c r="V238" t="s">
        <v>5092</v>
      </c>
      <c r="W238" t="s">
        <v>5093</v>
      </c>
      <c r="X238" t="s">
        <v>5094</v>
      </c>
      <c r="Y238" t="s">
        <v>5095</v>
      </c>
    </row>
    <row r="239" spans="1:25" x14ac:dyDescent="0.3">
      <c r="A239">
        <v>11900</v>
      </c>
      <c r="B239" t="s">
        <v>5096</v>
      </c>
      <c r="C239" t="s">
        <v>5097</v>
      </c>
      <c r="D239" t="s">
        <v>5098</v>
      </c>
      <c r="E239" t="s">
        <v>5099</v>
      </c>
      <c r="F239" t="s">
        <v>5100</v>
      </c>
      <c r="G239" t="s">
        <v>5101</v>
      </c>
      <c r="H239" t="s">
        <v>5102</v>
      </c>
      <c r="I239" t="s">
        <v>5103</v>
      </c>
      <c r="J239" t="s">
        <v>5104</v>
      </c>
      <c r="K239" t="s">
        <v>5105</v>
      </c>
      <c r="L239" t="s">
        <v>5106</v>
      </c>
      <c r="M239" t="s">
        <v>5107</v>
      </c>
      <c r="N239" t="s">
        <v>5108</v>
      </c>
      <c r="O239">
        <f>-747.564038804311 -14.7578730030516 -730.533142024222</f>
        <v>-1492.8550538315847</v>
      </c>
      <c r="P239" t="s">
        <v>5109</v>
      </c>
      <c r="Q239">
        <f>-493.816566780199 -60.8966084214599 -352.963711760352</f>
        <v>-907.67688696201094</v>
      </c>
      <c r="R239" t="s">
        <v>5110</v>
      </c>
      <c r="S239" t="s">
        <v>5111</v>
      </c>
      <c r="T239" t="s">
        <v>5112</v>
      </c>
      <c r="U239" t="s">
        <v>5113</v>
      </c>
      <c r="V239" t="s">
        <v>5114</v>
      </c>
      <c r="W239" t="s">
        <v>5115</v>
      </c>
      <c r="X239" t="s">
        <v>5116</v>
      </c>
      <c r="Y239" t="s">
        <v>5117</v>
      </c>
    </row>
    <row r="240" spans="1:25" x14ac:dyDescent="0.3">
      <c r="A240">
        <v>11950</v>
      </c>
      <c r="B240" t="s">
        <v>5118</v>
      </c>
      <c r="C240" t="s">
        <v>5119</v>
      </c>
      <c r="D240" t="s">
        <v>5120</v>
      </c>
      <c r="E240" t="s">
        <v>5121</v>
      </c>
      <c r="F240" t="s">
        <v>5122</v>
      </c>
      <c r="G240" t="s">
        <v>5123</v>
      </c>
      <c r="H240" t="s">
        <v>5124</v>
      </c>
      <c r="I240" t="s">
        <v>5125</v>
      </c>
      <c r="J240" t="s">
        <v>5126</v>
      </c>
      <c r="K240" t="s">
        <v>5127</v>
      </c>
      <c r="L240" t="s">
        <v>5128</v>
      </c>
      <c r="M240" t="s">
        <v>5129</v>
      </c>
      <c r="N240" t="s">
        <v>5130</v>
      </c>
      <c r="O240">
        <f>-746.428084157566 -14.8827204643133 -730.978849813357</f>
        <v>-1492.2896544352361</v>
      </c>
      <c r="P240" t="s">
        <v>5131</v>
      </c>
      <c r="Q240">
        <f>-493.426451202134 -61.1444106069823 -353.031651460084</f>
        <v>-907.60251326920024</v>
      </c>
      <c r="R240" t="s">
        <v>5132</v>
      </c>
      <c r="S240" t="s">
        <v>5133</v>
      </c>
      <c r="T240" t="s">
        <v>5134</v>
      </c>
      <c r="U240" t="s">
        <v>5135</v>
      </c>
      <c r="V240" t="s">
        <v>5136</v>
      </c>
      <c r="W240" t="s">
        <v>5137</v>
      </c>
      <c r="X240" t="s">
        <v>5138</v>
      </c>
      <c r="Y240" t="s">
        <v>5139</v>
      </c>
    </row>
    <row r="241" spans="1:25" x14ac:dyDescent="0.3">
      <c r="A241">
        <v>12000</v>
      </c>
      <c r="B241" t="s">
        <v>5140</v>
      </c>
      <c r="C241" t="s">
        <v>5141</v>
      </c>
      <c r="D241" t="s">
        <v>5142</v>
      </c>
      <c r="E241" t="s">
        <v>5143</v>
      </c>
      <c r="F241" t="s">
        <v>5144</v>
      </c>
      <c r="G241" t="s">
        <v>5145</v>
      </c>
      <c r="H241" t="s">
        <v>5146</v>
      </c>
      <c r="I241" t="s">
        <v>5147</v>
      </c>
      <c r="J241" t="s">
        <v>5148</v>
      </c>
      <c r="K241" t="s">
        <v>5149</v>
      </c>
      <c r="L241" t="s">
        <v>5150</v>
      </c>
      <c r="M241" t="s">
        <v>5151</v>
      </c>
      <c r="N241" t="s">
        <v>5152</v>
      </c>
      <c r="O241">
        <f>-745.957487285518 -14.8084678583314 -731.274946259852</f>
        <v>-1492.0409014037014</v>
      </c>
      <c r="P241">
        <f>-738.291337680876 -0.173016691336443 -415.184303238137</f>
        <v>-1153.6486576103493</v>
      </c>
      <c r="Q241">
        <f>-493.237244350177 -61.3230360354414 -353.126271131843</f>
        <v>-907.68655151746134</v>
      </c>
      <c r="R241" t="s">
        <v>5153</v>
      </c>
      <c r="S241" t="s">
        <v>5154</v>
      </c>
      <c r="T241" t="s">
        <v>5155</v>
      </c>
      <c r="U241" t="s">
        <v>5156</v>
      </c>
      <c r="V241" t="s">
        <v>5157</v>
      </c>
      <c r="W241" t="s">
        <v>5158</v>
      </c>
      <c r="X241" t="s">
        <v>5159</v>
      </c>
      <c r="Y241" t="s">
        <v>5160</v>
      </c>
    </row>
    <row r="242" spans="1:25" x14ac:dyDescent="0.3">
      <c r="A242">
        <v>12050</v>
      </c>
      <c r="B242" t="s">
        <v>5161</v>
      </c>
      <c r="C242" t="s">
        <v>5162</v>
      </c>
      <c r="D242" t="s">
        <v>5163</v>
      </c>
      <c r="E242" t="s">
        <v>5164</v>
      </c>
      <c r="F242" t="s">
        <v>5165</v>
      </c>
      <c r="G242" t="s">
        <v>5166</v>
      </c>
      <c r="H242" t="s">
        <v>5167</v>
      </c>
      <c r="I242" t="s">
        <v>5168</v>
      </c>
      <c r="J242" t="s">
        <v>5169</v>
      </c>
      <c r="K242" t="s">
        <v>5170</v>
      </c>
      <c r="L242" t="s">
        <v>5171</v>
      </c>
      <c r="M242" t="s">
        <v>5172</v>
      </c>
      <c r="N242" t="s">
        <v>5173</v>
      </c>
      <c r="O242">
        <f>-745.201338822092 -14.82146038063 -731.853920529443</f>
        <v>-1491.8767197321649</v>
      </c>
      <c r="P242">
        <f>-738.102499872132 -0.653756632974364 -415.72873662959</f>
        <v>-1154.4849931346962</v>
      </c>
      <c r="Q242">
        <f>-492.973787222423 -61.4177034402223 -353.586091492887</f>
        <v>-907.97758215553233</v>
      </c>
      <c r="R242" t="s">
        <v>5174</v>
      </c>
      <c r="S242" t="s">
        <v>5175</v>
      </c>
      <c r="T242" t="s">
        <v>5176</v>
      </c>
      <c r="U242" t="s">
        <v>5177</v>
      </c>
      <c r="V242" t="s">
        <v>5178</v>
      </c>
      <c r="W242" t="s">
        <v>5179</v>
      </c>
      <c r="X242" t="s">
        <v>5180</v>
      </c>
      <c r="Y242" t="s">
        <v>5181</v>
      </c>
    </row>
    <row r="243" spans="1:25" x14ac:dyDescent="0.3">
      <c r="A243">
        <v>12100</v>
      </c>
      <c r="B243" t="s">
        <v>5182</v>
      </c>
      <c r="C243" t="s">
        <v>5183</v>
      </c>
      <c r="D243" t="s">
        <v>5184</v>
      </c>
      <c r="E243" t="s">
        <v>5185</v>
      </c>
      <c r="F243" t="s">
        <v>5186</v>
      </c>
      <c r="G243" t="s">
        <v>5187</v>
      </c>
      <c r="H243" t="s">
        <v>5188</v>
      </c>
      <c r="I243" t="s">
        <v>5189</v>
      </c>
      <c r="J243" t="s">
        <v>5190</v>
      </c>
      <c r="K243" t="s">
        <v>5191</v>
      </c>
      <c r="L243" t="s">
        <v>5192</v>
      </c>
      <c r="M243" t="s">
        <v>5193</v>
      </c>
      <c r="N243" t="s">
        <v>5194</v>
      </c>
      <c r="O243">
        <f>-744.906500467539 -14.8270534802452 -732.155854979991</f>
        <v>-1491.8894089277751</v>
      </c>
      <c r="P243">
        <f>-738.050324249592 -1.07655188736521 -416.006875409134</f>
        <v>-1155.1337515460912</v>
      </c>
      <c r="Q243">
        <f>-492.88633528825 -61.6323504661689 -353.800412286424</f>
        <v>-908.31909804084285</v>
      </c>
      <c r="R243" t="s">
        <v>5195</v>
      </c>
      <c r="S243" t="s">
        <v>5196</v>
      </c>
      <c r="T243" t="s">
        <v>5197</v>
      </c>
      <c r="U243" t="s">
        <v>5198</v>
      </c>
      <c r="V243" t="s">
        <v>5199</v>
      </c>
      <c r="W243" t="s">
        <v>5200</v>
      </c>
      <c r="X243" t="s">
        <v>5201</v>
      </c>
      <c r="Y243" t="s">
        <v>5202</v>
      </c>
    </row>
    <row r="244" spans="1:25" x14ac:dyDescent="0.3">
      <c r="A244">
        <v>12150</v>
      </c>
      <c r="B244" t="s">
        <v>5203</v>
      </c>
      <c r="C244" t="s">
        <v>5204</v>
      </c>
      <c r="D244" t="s">
        <v>5205</v>
      </c>
      <c r="E244" t="s">
        <v>5206</v>
      </c>
      <c r="F244" t="s">
        <v>5207</v>
      </c>
      <c r="G244" t="s">
        <v>5208</v>
      </c>
      <c r="H244" t="s">
        <v>5209</v>
      </c>
      <c r="I244" t="s">
        <v>5210</v>
      </c>
      <c r="J244" t="s">
        <v>5211</v>
      </c>
      <c r="K244" t="s">
        <v>5212</v>
      </c>
      <c r="L244" t="s">
        <v>5213</v>
      </c>
      <c r="M244" t="s">
        <v>5214</v>
      </c>
      <c r="N244" t="s">
        <v>5215</v>
      </c>
      <c r="O244">
        <f>-744.632439624056 -14.659807332539 -732.759160465631</f>
        <v>-1492.051407422226</v>
      </c>
      <c r="P244">
        <f>-738.463322097236 -1.66628825362523 -416.564150494363</f>
        <v>-1156.6937608452242</v>
      </c>
      <c r="Q244">
        <f>-493.247005932142 -61.7686624296941 -354.124512049734</f>
        <v>-909.1401804115701</v>
      </c>
      <c r="R244" t="s">
        <v>5216</v>
      </c>
      <c r="S244" t="s">
        <v>5217</v>
      </c>
      <c r="T244" t="s">
        <v>5218</v>
      </c>
      <c r="U244" t="s">
        <v>5219</v>
      </c>
      <c r="V244" t="s">
        <v>5220</v>
      </c>
      <c r="W244" t="s">
        <v>5221</v>
      </c>
      <c r="X244" t="s">
        <v>5222</v>
      </c>
      <c r="Y244" t="s">
        <v>5223</v>
      </c>
    </row>
    <row r="245" spans="1:25" x14ac:dyDescent="0.3">
      <c r="A245">
        <v>12200</v>
      </c>
      <c r="B245" t="s">
        <v>5224</v>
      </c>
      <c r="C245" t="s">
        <v>5225</v>
      </c>
      <c r="D245" t="s">
        <v>5226</v>
      </c>
      <c r="E245" t="s">
        <v>5227</v>
      </c>
      <c r="F245" t="s">
        <v>5228</v>
      </c>
      <c r="G245" t="s">
        <v>5229</v>
      </c>
      <c r="H245" t="s">
        <v>5230</v>
      </c>
      <c r="I245" t="s">
        <v>5231</v>
      </c>
      <c r="J245" t="s">
        <v>5232</v>
      </c>
      <c r="K245" t="s">
        <v>5233</v>
      </c>
      <c r="L245" t="s">
        <v>5234</v>
      </c>
      <c r="M245" t="s">
        <v>5235</v>
      </c>
      <c r="N245" t="s">
        <v>5236</v>
      </c>
      <c r="O245">
        <f>-744.63224179189 -14.6608093159084 -733.018289155862</f>
        <v>-1492.3113402636604</v>
      </c>
      <c r="P245">
        <f>-738.729978535774 -1.89267921935539 -416.809063298441</f>
        <v>-1157.4317210535703</v>
      </c>
      <c r="Q245">
        <f>-493.548234615317 -61.9104276679911 -354.152433708206</f>
        <v>-909.61109599151416</v>
      </c>
      <c r="R245" t="s">
        <v>5237</v>
      </c>
      <c r="S245" t="s">
        <v>5238</v>
      </c>
      <c r="T245" t="s">
        <v>5239</v>
      </c>
      <c r="U245" t="s">
        <v>5240</v>
      </c>
      <c r="V245" t="s">
        <v>5241</v>
      </c>
      <c r="W245" t="s">
        <v>5242</v>
      </c>
      <c r="X245" t="s">
        <v>5243</v>
      </c>
      <c r="Y245" t="s">
        <v>5244</v>
      </c>
    </row>
    <row r="246" spans="1:25" x14ac:dyDescent="0.3">
      <c r="A246">
        <v>12250</v>
      </c>
      <c r="B246" t="s">
        <v>5245</v>
      </c>
      <c r="C246" t="s">
        <v>5246</v>
      </c>
      <c r="D246" t="s">
        <v>5247</v>
      </c>
      <c r="E246" t="s">
        <v>5248</v>
      </c>
      <c r="F246" t="s">
        <v>5249</v>
      </c>
      <c r="G246" t="s">
        <v>5250</v>
      </c>
      <c r="H246" t="s">
        <v>5251</v>
      </c>
      <c r="I246" t="s">
        <v>5252</v>
      </c>
      <c r="J246" t="s">
        <v>5253</v>
      </c>
      <c r="K246" t="s">
        <v>5254</v>
      </c>
      <c r="L246" t="s">
        <v>5255</v>
      </c>
      <c r="M246" t="s">
        <v>5256</v>
      </c>
      <c r="N246" t="s">
        <v>5257</v>
      </c>
      <c r="O246">
        <f>-744.773876048365 -14.6513943636492 -733.238749819563</f>
        <v>-1492.6640202315771</v>
      </c>
      <c r="P246">
        <f>-739.221039067392 -1.88769368618432 -417.022948524568</f>
        <v>-1158.1316812781442</v>
      </c>
      <c r="Q246">
        <f>-494.094916013862 -61.8898318844192 -354.134322818271</f>
        <v>-910.11907071655219</v>
      </c>
      <c r="R246" t="s">
        <v>5258</v>
      </c>
      <c r="S246" t="s">
        <v>5259</v>
      </c>
      <c r="T246" t="s">
        <v>5260</v>
      </c>
      <c r="U246" t="s">
        <v>5261</v>
      </c>
      <c r="V246" t="s">
        <v>5262</v>
      </c>
      <c r="W246" t="s">
        <v>5263</v>
      </c>
      <c r="X246" t="s">
        <v>5264</v>
      </c>
      <c r="Y246" t="s">
        <v>5265</v>
      </c>
    </row>
    <row r="247" spans="1:25" x14ac:dyDescent="0.3">
      <c r="A247">
        <v>12300</v>
      </c>
      <c r="B247" t="s">
        <v>5266</v>
      </c>
      <c r="C247" t="s">
        <v>5267</v>
      </c>
      <c r="D247" t="s">
        <v>5268</v>
      </c>
      <c r="E247" t="s">
        <v>5269</v>
      </c>
      <c r="F247" t="s">
        <v>5270</v>
      </c>
      <c r="G247" t="s">
        <v>5271</v>
      </c>
      <c r="H247" t="s">
        <v>5272</v>
      </c>
      <c r="I247" t="s">
        <v>5273</v>
      </c>
      <c r="J247" t="s">
        <v>5274</v>
      </c>
      <c r="K247" t="s">
        <v>5275</v>
      </c>
      <c r="L247" t="s">
        <v>5276</v>
      </c>
      <c r="M247" t="s">
        <v>5277</v>
      </c>
      <c r="N247" t="s">
        <v>5278</v>
      </c>
      <c r="O247">
        <f>-744.947075581894 -14.4652858858728 -733.42918771778</f>
        <v>-1492.8415491855467</v>
      </c>
      <c r="P247">
        <f>-739.660546008582 -1.78717903473603 -417.205412520202</f>
        <v>-1158.65313756352</v>
      </c>
      <c r="Q247">
        <f>-494.607472725343 -61.7679965667962 -354.012356389992</f>
        <v>-910.38782568213128</v>
      </c>
      <c r="R247" t="s">
        <v>5279</v>
      </c>
      <c r="S247" t="s">
        <v>5280</v>
      </c>
      <c r="T247" t="s">
        <v>5281</v>
      </c>
      <c r="U247" t="s">
        <v>5282</v>
      </c>
      <c r="V247" t="s">
        <v>5283</v>
      </c>
      <c r="W247" t="s">
        <v>5284</v>
      </c>
      <c r="X247" t="s">
        <v>5285</v>
      </c>
      <c r="Y247" t="s">
        <v>5286</v>
      </c>
    </row>
    <row r="248" spans="1:25" x14ac:dyDescent="0.3">
      <c r="A248">
        <v>12350</v>
      </c>
      <c r="B248" t="s">
        <v>5287</v>
      </c>
      <c r="C248" t="s">
        <v>5288</v>
      </c>
      <c r="D248" t="s">
        <v>5289</v>
      </c>
      <c r="E248" t="s">
        <v>5290</v>
      </c>
      <c r="F248" t="s">
        <v>5291</v>
      </c>
      <c r="G248" t="s">
        <v>5292</v>
      </c>
      <c r="H248" t="s">
        <v>5293</v>
      </c>
      <c r="I248" t="s">
        <v>5294</v>
      </c>
      <c r="J248" t="s">
        <v>5295</v>
      </c>
      <c r="K248" t="s">
        <v>5296</v>
      </c>
      <c r="L248" t="s">
        <v>5297</v>
      </c>
      <c r="M248" t="s">
        <v>5298</v>
      </c>
      <c r="N248" t="s">
        <v>5299</v>
      </c>
      <c r="O248">
        <f>-745.288979816881 -14.0521986396654 -733.717138816364</f>
        <v>-1493.0583172729105</v>
      </c>
      <c r="P248">
        <f>-740.468083582208 -1.44378059188466 -417.483211572543</f>
        <v>-1159.3950757466357</v>
      </c>
      <c r="Q248">
        <f>-495.462470457197 -61.155147538147 -353.852779154651</f>
        <v>-910.47039714999505</v>
      </c>
      <c r="R248" t="s">
        <v>5300</v>
      </c>
      <c r="S248" t="s">
        <v>5301</v>
      </c>
      <c r="T248" t="s">
        <v>5302</v>
      </c>
      <c r="U248" t="s">
        <v>5303</v>
      </c>
      <c r="V248" t="s">
        <v>5304</v>
      </c>
      <c r="W248" t="s">
        <v>5305</v>
      </c>
      <c r="X248" t="s">
        <v>5306</v>
      </c>
      <c r="Y248" t="s">
        <v>5307</v>
      </c>
    </row>
    <row r="249" spans="1:25" x14ac:dyDescent="0.3">
      <c r="A249">
        <v>12400</v>
      </c>
      <c r="B249" t="s">
        <v>5287</v>
      </c>
      <c r="C249" t="s">
        <v>5288</v>
      </c>
      <c r="D249" t="s">
        <v>5289</v>
      </c>
      <c r="E249" t="s">
        <v>5290</v>
      </c>
      <c r="F249" t="s">
        <v>5291</v>
      </c>
      <c r="G249" t="s">
        <v>5292</v>
      </c>
      <c r="H249" t="s">
        <v>5293</v>
      </c>
      <c r="I249" t="s">
        <v>5294</v>
      </c>
      <c r="J249" t="s">
        <v>5295</v>
      </c>
      <c r="K249" t="s">
        <v>5296</v>
      </c>
      <c r="L249" t="s">
        <v>5297</v>
      </c>
      <c r="M249" t="s">
        <v>5298</v>
      </c>
      <c r="N249" t="s">
        <v>5299</v>
      </c>
      <c r="O249">
        <f>-745.288979816881 -14.0521986396654 -733.717138816364</f>
        <v>-1493.0583172729105</v>
      </c>
      <c r="P249">
        <f>-740.468083582208 -1.44378059188466 -417.483211572543</f>
        <v>-1159.3950757466357</v>
      </c>
      <c r="Q249">
        <f>-495.462470457197 -61.155147538147 -353.852779154651</f>
        <v>-910.47039714999505</v>
      </c>
      <c r="R249" t="s">
        <v>5300</v>
      </c>
      <c r="S249" t="s">
        <v>5301</v>
      </c>
      <c r="T249" t="s">
        <v>5302</v>
      </c>
      <c r="U249" t="s">
        <v>5303</v>
      </c>
      <c r="V249" t="s">
        <v>5304</v>
      </c>
      <c r="W249" t="s">
        <v>5305</v>
      </c>
      <c r="X249" t="s">
        <v>5306</v>
      </c>
      <c r="Y249" t="s">
        <v>5307</v>
      </c>
    </row>
    <row r="250" spans="1:25" x14ac:dyDescent="0.3">
      <c r="A250">
        <v>12450</v>
      </c>
      <c r="B250" t="s">
        <v>5308</v>
      </c>
      <c r="C250" t="s">
        <v>5309</v>
      </c>
      <c r="D250" t="s">
        <v>5310</v>
      </c>
      <c r="E250" t="s">
        <v>5311</v>
      </c>
      <c r="F250" t="s">
        <v>5312</v>
      </c>
      <c r="G250" t="s">
        <v>5313</v>
      </c>
      <c r="H250" t="s">
        <v>5314</v>
      </c>
      <c r="I250" t="s">
        <v>5315</v>
      </c>
      <c r="J250" t="s">
        <v>5316</v>
      </c>
      <c r="K250" t="s">
        <v>5317</v>
      </c>
      <c r="L250" t="s">
        <v>5318</v>
      </c>
      <c r="M250" t="s">
        <v>5319</v>
      </c>
      <c r="N250" t="s">
        <v>5320</v>
      </c>
      <c r="O250">
        <f>-745.492516118161 -13.9308095749618 -733.793874055595</f>
        <v>-1493.2171997487178</v>
      </c>
      <c r="P250">
        <f>-740.74479317291 -1.35076117565063 -417.557674839236</f>
        <v>-1159.6532291877966</v>
      </c>
      <c r="Q250">
        <f>-495.734007930997 -60.8961343370856 -353.791455814276</f>
        <v>-910.42159808235863</v>
      </c>
      <c r="R250" t="s">
        <v>5321</v>
      </c>
      <c r="S250" t="s">
        <v>5322</v>
      </c>
      <c r="T250" t="s">
        <v>5323</v>
      </c>
      <c r="U250" t="s">
        <v>5324</v>
      </c>
      <c r="V250" t="s">
        <v>5325</v>
      </c>
      <c r="W250" t="s">
        <v>5326</v>
      </c>
      <c r="X250" t="s">
        <v>5327</v>
      </c>
      <c r="Y250" t="s">
        <v>5328</v>
      </c>
    </row>
    <row r="251" spans="1:25" x14ac:dyDescent="0.3">
      <c r="A251">
        <v>12500</v>
      </c>
      <c r="B251" t="s">
        <v>5308</v>
      </c>
      <c r="C251" t="s">
        <v>5309</v>
      </c>
      <c r="D251" t="s">
        <v>5310</v>
      </c>
      <c r="E251" t="s">
        <v>5311</v>
      </c>
      <c r="F251" t="s">
        <v>5312</v>
      </c>
      <c r="G251" t="s">
        <v>5313</v>
      </c>
      <c r="H251" t="s">
        <v>5314</v>
      </c>
      <c r="I251" t="s">
        <v>5315</v>
      </c>
      <c r="J251" t="s">
        <v>5316</v>
      </c>
      <c r="K251" t="s">
        <v>5317</v>
      </c>
      <c r="L251" t="s">
        <v>5318</v>
      </c>
      <c r="M251" t="s">
        <v>5319</v>
      </c>
      <c r="N251" t="s">
        <v>5320</v>
      </c>
      <c r="O251">
        <f>-745.492516118161 -13.9308095749618 -733.793874055595</f>
        <v>-1493.2171997487178</v>
      </c>
      <c r="P251">
        <f>-740.74479317291 -1.35076117565063 -417.557674839236</f>
        <v>-1159.6532291877966</v>
      </c>
      <c r="Q251">
        <f>-495.734007930997 -60.8961343370856 -353.791455814276</f>
        <v>-910.42159808235863</v>
      </c>
      <c r="R251" t="s">
        <v>5321</v>
      </c>
      <c r="S251" t="s">
        <v>5322</v>
      </c>
      <c r="T251" t="s">
        <v>5323</v>
      </c>
      <c r="U251" t="s">
        <v>5324</v>
      </c>
      <c r="V251" t="s">
        <v>5325</v>
      </c>
      <c r="W251" t="s">
        <v>5326</v>
      </c>
      <c r="X251" t="s">
        <v>5327</v>
      </c>
      <c r="Y251" t="s">
        <v>5328</v>
      </c>
    </row>
    <row r="252" spans="1:25" x14ac:dyDescent="0.3">
      <c r="A252">
        <v>12550</v>
      </c>
      <c r="B252" t="s">
        <v>5308</v>
      </c>
      <c r="C252" t="s">
        <v>5309</v>
      </c>
      <c r="D252" t="s">
        <v>5310</v>
      </c>
      <c r="E252" t="s">
        <v>5311</v>
      </c>
      <c r="F252" t="s">
        <v>5312</v>
      </c>
      <c r="G252" t="s">
        <v>5313</v>
      </c>
      <c r="H252" t="s">
        <v>5314</v>
      </c>
      <c r="I252" t="s">
        <v>5315</v>
      </c>
      <c r="J252" t="s">
        <v>5316</v>
      </c>
      <c r="K252" t="s">
        <v>5317</v>
      </c>
      <c r="L252" t="s">
        <v>5318</v>
      </c>
      <c r="M252" t="s">
        <v>5319</v>
      </c>
      <c r="N252" t="s">
        <v>5320</v>
      </c>
      <c r="O252">
        <f>-745.492516118161 -13.9308095749618 -733.793874055595</f>
        <v>-1493.2171997487178</v>
      </c>
      <c r="P252">
        <f>-740.74479317291 -1.35076117565063 -417.557674839236</f>
        <v>-1159.6532291877966</v>
      </c>
      <c r="Q252">
        <f>-495.734007930997 -60.8961343370856 -353.791455814276</f>
        <v>-910.42159808235863</v>
      </c>
      <c r="R252" t="s">
        <v>5321</v>
      </c>
      <c r="S252" t="s">
        <v>5322</v>
      </c>
      <c r="T252" t="s">
        <v>5323</v>
      </c>
      <c r="U252" t="s">
        <v>5324</v>
      </c>
      <c r="V252" t="s">
        <v>5325</v>
      </c>
      <c r="W252" t="s">
        <v>5326</v>
      </c>
      <c r="X252" t="s">
        <v>5327</v>
      </c>
      <c r="Y252" t="s">
        <v>5328</v>
      </c>
    </row>
    <row r="253" spans="1:25" x14ac:dyDescent="0.3">
      <c r="A253">
        <v>12600</v>
      </c>
      <c r="B253" t="s">
        <v>5329</v>
      </c>
      <c r="C253" t="s">
        <v>5330</v>
      </c>
      <c r="D253" t="s">
        <v>5331</v>
      </c>
      <c r="E253" t="s">
        <v>5332</v>
      </c>
      <c r="F253" t="s">
        <v>5333</v>
      </c>
      <c r="G253" t="s">
        <v>5334</v>
      </c>
      <c r="H253" t="s">
        <v>5335</v>
      </c>
      <c r="I253" t="s">
        <v>5336</v>
      </c>
      <c r="J253" t="s">
        <v>5337</v>
      </c>
      <c r="K253" t="s">
        <v>5338</v>
      </c>
      <c r="L253" t="s">
        <v>5339</v>
      </c>
      <c r="M253" t="s">
        <v>5340</v>
      </c>
      <c r="N253" t="s">
        <v>5341</v>
      </c>
      <c r="O253">
        <f>-747.760045490088 -11.3347688518252 -733.814303844444</f>
        <v>-1492.9091181863573</v>
      </c>
      <c r="P253" t="s">
        <v>5342</v>
      </c>
      <c r="Q253">
        <f>-497.906591563591 -55.99660215009 -353.701604740109</f>
        <v>-907.60479845379007</v>
      </c>
      <c r="R253" t="s">
        <v>5343</v>
      </c>
      <c r="S253" t="s">
        <v>5344</v>
      </c>
      <c r="T253" t="s">
        <v>5345</v>
      </c>
      <c r="U253" t="s">
        <v>5346</v>
      </c>
      <c r="V253" t="s">
        <v>5347</v>
      </c>
      <c r="W253" t="s">
        <v>5348</v>
      </c>
      <c r="X253" t="s">
        <v>5349</v>
      </c>
      <c r="Y253" t="s">
        <v>5350</v>
      </c>
    </row>
    <row r="254" spans="1:25" x14ac:dyDescent="0.3">
      <c r="A254">
        <v>12650</v>
      </c>
      <c r="B254" t="s">
        <v>5351</v>
      </c>
      <c r="C254" t="s">
        <v>5352</v>
      </c>
      <c r="D254" t="s">
        <v>5353</v>
      </c>
      <c r="E254" t="s">
        <v>5354</v>
      </c>
      <c r="F254" t="s">
        <v>5355</v>
      </c>
      <c r="G254" t="s">
        <v>5356</v>
      </c>
      <c r="H254" t="s">
        <v>5357</v>
      </c>
      <c r="I254" t="s">
        <v>5358</v>
      </c>
      <c r="J254" t="s">
        <v>5359</v>
      </c>
      <c r="K254" t="s">
        <v>5360</v>
      </c>
      <c r="L254" t="s">
        <v>5361</v>
      </c>
      <c r="M254" t="s">
        <v>5362</v>
      </c>
      <c r="N254" t="s">
        <v>5363</v>
      </c>
      <c r="O254">
        <f>-748.082902618717 -10.8451212096963 -733.885963048643</f>
        <v>-1492.8139868770563</v>
      </c>
      <c r="P254" t="s">
        <v>5364</v>
      </c>
      <c r="Q254">
        <f>-498.610840030539 -54.970971177464 -353.417841092131</f>
        <v>-906.99965230013413</v>
      </c>
      <c r="R254" t="s">
        <v>5365</v>
      </c>
      <c r="S254" t="s">
        <v>5366</v>
      </c>
      <c r="T254" t="s">
        <v>5367</v>
      </c>
      <c r="U254" t="s">
        <v>5368</v>
      </c>
      <c r="V254" t="s">
        <v>5369</v>
      </c>
      <c r="W254" t="s">
        <v>5370</v>
      </c>
      <c r="X254" t="s">
        <v>5371</v>
      </c>
      <c r="Y254" t="s">
        <v>5372</v>
      </c>
    </row>
    <row r="255" spans="1:25" x14ac:dyDescent="0.3">
      <c r="A255">
        <v>12700</v>
      </c>
      <c r="B255" t="s">
        <v>5373</v>
      </c>
      <c r="C255" t="s">
        <v>5374</v>
      </c>
      <c r="D255" t="s">
        <v>5375</v>
      </c>
      <c r="E255" t="s">
        <v>5376</v>
      </c>
      <c r="F255" t="s">
        <v>5377</v>
      </c>
      <c r="G255" t="s">
        <v>5378</v>
      </c>
      <c r="H255" t="s">
        <v>5379</v>
      </c>
      <c r="I255" t="s">
        <v>5380</v>
      </c>
      <c r="J255" t="s">
        <v>5381</v>
      </c>
      <c r="K255" t="s">
        <v>5382</v>
      </c>
      <c r="L255" t="s">
        <v>5383</v>
      </c>
      <c r="M255" t="s">
        <v>5384</v>
      </c>
      <c r="N255" t="s">
        <v>5385</v>
      </c>
      <c r="O255">
        <f>-749.102933654912 -9.7208070068657 -734.034526052957</f>
        <v>-1492.8582667147348</v>
      </c>
      <c r="P255" t="s">
        <v>5386</v>
      </c>
      <c r="Q255">
        <f>-499.960935329276 -53.2557548119714 -352.963521872384</f>
        <v>-906.18021201363149</v>
      </c>
      <c r="R255" t="s">
        <v>5387</v>
      </c>
      <c r="S255" t="s">
        <v>5388</v>
      </c>
      <c r="T255" t="s">
        <v>5389</v>
      </c>
      <c r="U255" t="s">
        <v>5390</v>
      </c>
      <c r="V255" t="s">
        <v>5391</v>
      </c>
      <c r="W255" t="s">
        <v>5392</v>
      </c>
      <c r="X255" t="s">
        <v>5393</v>
      </c>
      <c r="Y255" t="s">
        <v>5394</v>
      </c>
    </row>
    <row r="256" spans="1:25" x14ac:dyDescent="0.3">
      <c r="A256">
        <v>12750</v>
      </c>
      <c r="B256" t="s">
        <v>5373</v>
      </c>
      <c r="C256" t="s">
        <v>5374</v>
      </c>
      <c r="D256" t="s">
        <v>5375</v>
      </c>
      <c r="E256" t="s">
        <v>5376</v>
      </c>
      <c r="F256" t="s">
        <v>5377</v>
      </c>
      <c r="G256" t="s">
        <v>5378</v>
      </c>
      <c r="H256" t="s">
        <v>5379</v>
      </c>
      <c r="I256" t="s">
        <v>5380</v>
      </c>
      <c r="J256" t="s">
        <v>5381</v>
      </c>
      <c r="K256" t="s">
        <v>5382</v>
      </c>
      <c r="L256" t="s">
        <v>5383</v>
      </c>
      <c r="M256" t="s">
        <v>5384</v>
      </c>
      <c r="N256" t="s">
        <v>5385</v>
      </c>
      <c r="O256">
        <f>-749.102933654912 -9.7208070068657 -734.034526052957</f>
        <v>-1492.8582667147348</v>
      </c>
      <c r="P256" t="s">
        <v>5386</v>
      </c>
      <c r="Q256">
        <f>-499.960935329276 -53.2557548119714 -352.963521872384</f>
        <v>-906.18021201363149</v>
      </c>
      <c r="R256" t="s">
        <v>5387</v>
      </c>
      <c r="S256" t="s">
        <v>5388</v>
      </c>
      <c r="T256" t="s">
        <v>5389</v>
      </c>
      <c r="U256" t="s">
        <v>5390</v>
      </c>
      <c r="V256" t="s">
        <v>5391</v>
      </c>
      <c r="W256" t="s">
        <v>5392</v>
      </c>
      <c r="X256" t="s">
        <v>5393</v>
      </c>
      <c r="Y256" t="s">
        <v>5394</v>
      </c>
    </row>
    <row r="257" spans="1:25" x14ac:dyDescent="0.3">
      <c r="A257">
        <v>12800</v>
      </c>
      <c r="B257" t="s">
        <v>5373</v>
      </c>
      <c r="C257" t="s">
        <v>5374</v>
      </c>
      <c r="D257" t="s">
        <v>5375</v>
      </c>
      <c r="E257" t="s">
        <v>5376</v>
      </c>
      <c r="F257" t="s">
        <v>5377</v>
      </c>
      <c r="G257" t="s">
        <v>5378</v>
      </c>
      <c r="H257" t="s">
        <v>5379</v>
      </c>
      <c r="I257" t="s">
        <v>5380</v>
      </c>
      <c r="J257" t="s">
        <v>5381</v>
      </c>
      <c r="K257" t="s">
        <v>5382</v>
      </c>
      <c r="L257" t="s">
        <v>5383</v>
      </c>
      <c r="M257" t="s">
        <v>5384</v>
      </c>
      <c r="N257" t="s">
        <v>5385</v>
      </c>
      <c r="O257">
        <f>-749.102933654912 -9.7208070068657 -734.034526052957</f>
        <v>-1492.8582667147348</v>
      </c>
      <c r="P257" t="s">
        <v>5386</v>
      </c>
      <c r="Q257">
        <f>-499.960935329276 -53.2557548119714 -352.963521872384</f>
        <v>-906.18021201363149</v>
      </c>
      <c r="R257" t="s">
        <v>5387</v>
      </c>
      <c r="S257" t="s">
        <v>5388</v>
      </c>
      <c r="T257" t="s">
        <v>5389</v>
      </c>
      <c r="U257" t="s">
        <v>5390</v>
      </c>
      <c r="V257" t="s">
        <v>5391</v>
      </c>
      <c r="W257" t="s">
        <v>5392</v>
      </c>
      <c r="X257" t="s">
        <v>5393</v>
      </c>
      <c r="Y257" t="s">
        <v>5394</v>
      </c>
    </row>
    <row r="258" spans="1:25" x14ac:dyDescent="0.3">
      <c r="A258">
        <v>12850</v>
      </c>
      <c r="B258" t="s">
        <v>5395</v>
      </c>
      <c r="C258" t="s">
        <v>5396</v>
      </c>
      <c r="D258" t="s">
        <v>5397</v>
      </c>
      <c r="E258" t="s">
        <v>5398</v>
      </c>
      <c r="F258" t="s">
        <v>5399</v>
      </c>
      <c r="G258" t="s">
        <v>5400</v>
      </c>
      <c r="H258" t="s">
        <v>5401</v>
      </c>
      <c r="I258" t="s">
        <v>5402</v>
      </c>
      <c r="J258" t="s">
        <v>5403</v>
      </c>
      <c r="K258" t="s">
        <v>5404</v>
      </c>
      <c r="L258" t="s">
        <v>5405</v>
      </c>
      <c r="M258" t="s">
        <v>5406</v>
      </c>
      <c r="N258" t="s">
        <v>5407</v>
      </c>
      <c r="O258">
        <f>-749.883055302171 -9.02037390387386 -733.981602380634</f>
        <v>-1492.8850315866789</v>
      </c>
      <c r="P258" t="s">
        <v>5408</v>
      </c>
      <c r="Q258">
        <f>-500.668645585597 -52.4500025901139 -352.733771759921</f>
        <v>-905.85241993563181</v>
      </c>
      <c r="R258" t="s">
        <v>5409</v>
      </c>
      <c r="S258" t="s">
        <v>5410</v>
      </c>
      <c r="T258" t="s">
        <v>5411</v>
      </c>
      <c r="U258" t="s">
        <v>5412</v>
      </c>
      <c r="V258" t="s">
        <v>5413</v>
      </c>
      <c r="W258" t="s">
        <v>5414</v>
      </c>
      <c r="X258" t="s">
        <v>5415</v>
      </c>
      <c r="Y258" t="s">
        <v>5416</v>
      </c>
    </row>
    <row r="259" spans="1:25" x14ac:dyDescent="0.3">
      <c r="A259">
        <v>12900</v>
      </c>
      <c r="B259" t="s">
        <v>5395</v>
      </c>
      <c r="C259" t="s">
        <v>5396</v>
      </c>
      <c r="D259" t="s">
        <v>5397</v>
      </c>
      <c r="E259" t="s">
        <v>5398</v>
      </c>
      <c r="F259" t="s">
        <v>5399</v>
      </c>
      <c r="G259" t="s">
        <v>5400</v>
      </c>
      <c r="H259" t="s">
        <v>5401</v>
      </c>
      <c r="I259" t="s">
        <v>5402</v>
      </c>
      <c r="J259" t="s">
        <v>5403</v>
      </c>
      <c r="K259" t="s">
        <v>5404</v>
      </c>
      <c r="L259" t="s">
        <v>5405</v>
      </c>
      <c r="M259" t="s">
        <v>5406</v>
      </c>
      <c r="N259" t="s">
        <v>5407</v>
      </c>
      <c r="O259">
        <f>-749.883055302171 -9.02037390387386 -733.981602380634</f>
        <v>-1492.8850315866789</v>
      </c>
      <c r="P259" t="s">
        <v>5408</v>
      </c>
      <c r="Q259">
        <f>-500.668645585597 -52.4500025901139 -352.733771759921</f>
        <v>-905.85241993563181</v>
      </c>
      <c r="R259" t="s">
        <v>5409</v>
      </c>
      <c r="S259" t="s">
        <v>5410</v>
      </c>
      <c r="T259" t="s">
        <v>5411</v>
      </c>
      <c r="U259" t="s">
        <v>5412</v>
      </c>
      <c r="V259" t="s">
        <v>5413</v>
      </c>
      <c r="W259" t="s">
        <v>5414</v>
      </c>
      <c r="X259" t="s">
        <v>5415</v>
      </c>
      <c r="Y259" t="s">
        <v>5416</v>
      </c>
    </row>
    <row r="260" spans="1:25" x14ac:dyDescent="0.3">
      <c r="A260">
        <v>12950</v>
      </c>
      <c r="B260" t="s">
        <v>5417</v>
      </c>
      <c r="C260" t="s">
        <v>5418</v>
      </c>
      <c r="D260" t="s">
        <v>5419</v>
      </c>
      <c r="E260" t="s">
        <v>5420</v>
      </c>
      <c r="F260" t="s">
        <v>5421</v>
      </c>
      <c r="G260" t="s">
        <v>5422</v>
      </c>
      <c r="H260" t="s">
        <v>5423</v>
      </c>
      <c r="I260" t="s">
        <v>5424</v>
      </c>
      <c r="J260" t="s">
        <v>5425</v>
      </c>
      <c r="K260" t="s">
        <v>5426</v>
      </c>
      <c r="L260" t="s">
        <v>5427</v>
      </c>
      <c r="M260" t="s">
        <v>5428</v>
      </c>
      <c r="N260" t="s">
        <v>5429</v>
      </c>
      <c r="O260">
        <f>-756.221619236658 -2.53982973154666 -733.09323225969</f>
        <v>-1491.8546812278946</v>
      </c>
      <c r="P260" t="s">
        <v>5430</v>
      </c>
      <c r="Q260">
        <f>-504.096596108142 -48.5158862258477 -353.268765571511</f>
        <v>-905.88124790550069</v>
      </c>
      <c r="R260" t="s">
        <v>5431</v>
      </c>
      <c r="S260" t="s">
        <v>5432</v>
      </c>
      <c r="T260" t="s">
        <v>5433</v>
      </c>
      <c r="U260" t="s">
        <v>5434</v>
      </c>
      <c r="V260" t="s">
        <v>5435</v>
      </c>
      <c r="W260" t="s">
        <v>5436</v>
      </c>
      <c r="X260" t="s">
        <v>5437</v>
      </c>
      <c r="Y260" t="s">
        <v>5438</v>
      </c>
    </row>
    <row r="261" spans="1:25" x14ac:dyDescent="0.3">
      <c r="A261">
        <v>13000</v>
      </c>
      <c r="B261" t="s">
        <v>5439</v>
      </c>
      <c r="C261" t="s">
        <v>5440</v>
      </c>
      <c r="D261" t="s">
        <v>5441</v>
      </c>
      <c r="E261" t="s">
        <v>5442</v>
      </c>
      <c r="F261" t="s">
        <v>5443</v>
      </c>
      <c r="G261" t="s">
        <v>5444</v>
      </c>
      <c r="H261" t="s">
        <v>5445</v>
      </c>
      <c r="I261" t="s">
        <v>5446</v>
      </c>
      <c r="J261" t="s">
        <v>5447</v>
      </c>
      <c r="K261" t="s">
        <v>5448</v>
      </c>
      <c r="L261" t="s">
        <v>5449</v>
      </c>
      <c r="M261" t="s">
        <v>5450</v>
      </c>
      <c r="N261" t="s">
        <v>5451</v>
      </c>
      <c r="O261">
        <f>-757.217588160208 -1.70492901988155 -733.008558238748</f>
        <v>-1491.9310754188377</v>
      </c>
      <c r="P261" t="s">
        <v>5452</v>
      </c>
      <c r="Q261">
        <f>-504.811464196755 -48.2062906075755 -353.210780075886</f>
        <v>-906.22853488021656</v>
      </c>
      <c r="R261" t="s">
        <v>5453</v>
      </c>
      <c r="S261" t="s">
        <v>5454</v>
      </c>
      <c r="T261" t="s">
        <v>5455</v>
      </c>
      <c r="U261" t="s">
        <v>5456</v>
      </c>
      <c r="V261" t="s">
        <v>5457</v>
      </c>
      <c r="W261" t="s">
        <v>5458</v>
      </c>
      <c r="X261" t="s">
        <v>5459</v>
      </c>
      <c r="Y261" t="s">
        <v>5460</v>
      </c>
    </row>
    <row r="262" spans="1:25" x14ac:dyDescent="0.3">
      <c r="A262">
        <v>13050</v>
      </c>
      <c r="B262" t="s">
        <v>5461</v>
      </c>
      <c r="C262" t="s">
        <v>5462</v>
      </c>
      <c r="D262" t="s">
        <v>5463</v>
      </c>
      <c r="E262" t="s">
        <v>5464</v>
      </c>
      <c r="F262" t="s">
        <v>5465</v>
      </c>
      <c r="G262" t="s">
        <v>5466</v>
      </c>
      <c r="H262" t="s">
        <v>5467</v>
      </c>
      <c r="I262" t="s">
        <v>5468</v>
      </c>
      <c r="J262" t="s">
        <v>5469</v>
      </c>
      <c r="K262" t="s">
        <v>5470</v>
      </c>
      <c r="L262" t="s">
        <v>5471</v>
      </c>
      <c r="M262" t="s">
        <v>5472</v>
      </c>
      <c r="N262" t="s">
        <v>5473</v>
      </c>
      <c r="O262" t="s">
        <v>5474</v>
      </c>
      <c r="P262" t="s">
        <v>5475</v>
      </c>
      <c r="Q262">
        <f>-506.723488651652 -47.3279242367121 -352.986294484135</f>
        <v>-907.03770737249909</v>
      </c>
      <c r="R262" t="s">
        <v>5476</v>
      </c>
      <c r="S262" t="s">
        <v>5477</v>
      </c>
      <c r="T262" t="s">
        <v>5478</v>
      </c>
      <c r="U262" t="s">
        <v>5479</v>
      </c>
      <c r="V262" t="s">
        <v>5480</v>
      </c>
      <c r="W262" t="s">
        <v>5481</v>
      </c>
      <c r="X262" t="s">
        <v>5482</v>
      </c>
      <c r="Y262" t="s">
        <v>5483</v>
      </c>
    </row>
    <row r="263" spans="1:25" x14ac:dyDescent="0.3">
      <c r="A263">
        <v>13100</v>
      </c>
      <c r="B263" t="s">
        <v>5484</v>
      </c>
      <c r="C263" t="s">
        <v>5485</v>
      </c>
      <c r="D263" t="s">
        <v>5486</v>
      </c>
      <c r="E263" t="s">
        <v>5487</v>
      </c>
      <c r="F263" t="s">
        <v>5488</v>
      </c>
      <c r="G263" t="s">
        <v>5489</v>
      </c>
      <c r="H263" t="s">
        <v>5490</v>
      </c>
      <c r="I263" t="s">
        <v>5491</v>
      </c>
      <c r="J263" t="s">
        <v>5492</v>
      </c>
      <c r="K263" t="s">
        <v>5493</v>
      </c>
      <c r="L263" t="s">
        <v>5494</v>
      </c>
      <c r="M263" t="s">
        <v>5495</v>
      </c>
      <c r="N263" t="s">
        <v>5496</v>
      </c>
      <c r="O263" t="s">
        <v>5497</v>
      </c>
      <c r="P263" t="s">
        <v>5498</v>
      </c>
      <c r="Q263">
        <f>-507.614114727671 -46.9147919983045 -352.9020916117</f>
        <v>-907.43099833767542</v>
      </c>
      <c r="R263" t="s">
        <v>5499</v>
      </c>
      <c r="S263" t="s">
        <v>5500</v>
      </c>
      <c r="T263" t="s">
        <v>5501</v>
      </c>
      <c r="U263" t="s">
        <v>5502</v>
      </c>
      <c r="V263" t="s">
        <v>5503</v>
      </c>
      <c r="W263" t="s">
        <v>5504</v>
      </c>
      <c r="X263" t="s">
        <v>5505</v>
      </c>
      <c r="Y263" t="s">
        <v>5506</v>
      </c>
    </row>
    <row r="264" spans="1:25" x14ac:dyDescent="0.3">
      <c r="A264">
        <v>13150</v>
      </c>
      <c r="B264" t="s">
        <v>5507</v>
      </c>
      <c r="C264" t="s">
        <v>5508</v>
      </c>
      <c r="D264" t="s">
        <v>5509</v>
      </c>
      <c r="E264" t="s">
        <v>5510</v>
      </c>
      <c r="F264" t="s">
        <v>5511</v>
      </c>
      <c r="G264" t="s">
        <v>5512</v>
      </c>
      <c r="H264" t="s">
        <v>5513</v>
      </c>
      <c r="I264" t="s">
        <v>5514</v>
      </c>
      <c r="J264" t="s">
        <v>5515</v>
      </c>
      <c r="K264" t="s">
        <v>5516</v>
      </c>
      <c r="L264" t="s">
        <v>5517</v>
      </c>
      <c r="M264" t="s">
        <v>5518</v>
      </c>
      <c r="N264" t="s">
        <v>5519</v>
      </c>
      <c r="O264" t="s">
        <v>5520</v>
      </c>
      <c r="P264" t="s">
        <v>5521</v>
      </c>
      <c r="Q264">
        <f>-509.191480822124 -45.9204928031832 -352.895561618193</f>
        <v>-908.00753524350023</v>
      </c>
      <c r="R264" t="s">
        <v>5522</v>
      </c>
      <c r="S264" t="s">
        <v>5523</v>
      </c>
      <c r="T264" t="s">
        <v>5524</v>
      </c>
      <c r="U264" t="s">
        <v>5525</v>
      </c>
      <c r="V264" t="s">
        <v>5526</v>
      </c>
      <c r="W264" t="s">
        <v>5527</v>
      </c>
      <c r="X264" t="s">
        <v>5528</v>
      </c>
      <c r="Y264" t="s">
        <v>5529</v>
      </c>
    </row>
    <row r="265" spans="1:25" x14ac:dyDescent="0.3">
      <c r="A265">
        <v>13200</v>
      </c>
      <c r="B265" t="s">
        <v>5530</v>
      </c>
      <c r="C265" t="s">
        <v>5531</v>
      </c>
      <c r="D265" t="s">
        <v>5532</v>
      </c>
      <c r="E265" t="s">
        <v>5533</v>
      </c>
      <c r="F265" t="s">
        <v>5534</v>
      </c>
      <c r="G265" t="s">
        <v>5535</v>
      </c>
      <c r="H265" t="s">
        <v>5536</v>
      </c>
      <c r="I265" t="s">
        <v>5537</v>
      </c>
      <c r="J265" t="s">
        <v>5538</v>
      </c>
      <c r="K265" t="s">
        <v>5539</v>
      </c>
      <c r="L265" t="s">
        <v>5540</v>
      </c>
      <c r="M265" t="s">
        <v>5541</v>
      </c>
      <c r="N265" t="s">
        <v>5542</v>
      </c>
      <c r="O265" t="s">
        <v>5543</v>
      </c>
      <c r="P265" t="s">
        <v>5544</v>
      </c>
      <c r="Q265">
        <f>-509.512052819773 -45.585478262085 -352.872867315462</f>
        <v>-907.97039839731997</v>
      </c>
      <c r="R265" t="s">
        <v>5545</v>
      </c>
      <c r="S265" t="s">
        <v>5546</v>
      </c>
      <c r="T265" t="s">
        <v>5547</v>
      </c>
      <c r="U265" t="s">
        <v>5548</v>
      </c>
      <c r="V265" t="s">
        <v>5549</v>
      </c>
      <c r="W265" t="s">
        <v>5550</v>
      </c>
      <c r="X265" t="s">
        <v>5551</v>
      </c>
      <c r="Y265" t="s">
        <v>5552</v>
      </c>
    </row>
    <row r="266" spans="1:25" x14ac:dyDescent="0.3">
      <c r="A266">
        <v>13250</v>
      </c>
      <c r="B266" t="s">
        <v>5553</v>
      </c>
      <c r="C266" t="s">
        <v>5554</v>
      </c>
      <c r="D266" t="s">
        <v>5555</v>
      </c>
      <c r="E266" t="s">
        <v>5556</v>
      </c>
      <c r="F266" t="s">
        <v>5557</v>
      </c>
      <c r="G266" t="s">
        <v>5558</v>
      </c>
      <c r="H266" t="s">
        <v>5559</v>
      </c>
      <c r="I266" t="s">
        <v>5560</v>
      </c>
      <c r="J266" t="s">
        <v>5561</v>
      </c>
      <c r="K266" t="s">
        <v>5562</v>
      </c>
      <c r="L266" t="s">
        <v>5563</v>
      </c>
      <c r="M266" t="s">
        <v>5564</v>
      </c>
      <c r="N266" t="s">
        <v>5565</v>
      </c>
      <c r="O266" t="s">
        <v>5566</v>
      </c>
      <c r="P266" t="s">
        <v>5567</v>
      </c>
      <c r="Q266">
        <f>-509.842186721313 -45.3284041387492 -352.855267068101</f>
        <v>-908.0258579281633</v>
      </c>
      <c r="R266" t="s">
        <v>5568</v>
      </c>
      <c r="S266" t="s">
        <v>5569</v>
      </c>
      <c r="T266" t="s">
        <v>5570</v>
      </c>
      <c r="U266" t="s">
        <v>5571</v>
      </c>
      <c r="V266" t="s">
        <v>5572</v>
      </c>
      <c r="W266" t="s">
        <v>5573</v>
      </c>
      <c r="X266" t="s">
        <v>5574</v>
      </c>
      <c r="Y266" t="s">
        <v>5575</v>
      </c>
    </row>
    <row r="267" spans="1:25" x14ac:dyDescent="0.3">
      <c r="A267">
        <v>13300</v>
      </c>
      <c r="B267" t="s">
        <v>5576</v>
      </c>
      <c r="C267" t="s">
        <v>5577</v>
      </c>
      <c r="D267" t="s">
        <v>5578</v>
      </c>
      <c r="E267" t="s">
        <v>5579</v>
      </c>
      <c r="F267" t="s">
        <v>5580</v>
      </c>
      <c r="G267" t="s">
        <v>5581</v>
      </c>
      <c r="H267" t="s">
        <v>5582</v>
      </c>
      <c r="I267" t="s">
        <v>5583</v>
      </c>
      <c r="J267" t="s">
        <v>5584</v>
      </c>
      <c r="K267" t="s">
        <v>5585</v>
      </c>
      <c r="L267" t="s">
        <v>5586</v>
      </c>
      <c r="M267" t="s">
        <v>5587</v>
      </c>
      <c r="N267" t="s">
        <v>5588</v>
      </c>
      <c r="O267" t="s">
        <v>5589</v>
      </c>
      <c r="P267" t="s">
        <v>5590</v>
      </c>
      <c r="Q267">
        <f>-509.94502314781 -45.2067881057008 -352.938092355689</f>
        <v>-908.08990360919984</v>
      </c>
      <c r="R267" t="s">
        <v>5591</v>
      </c>
      <c r="S267" t="s">
        <v>5592</v>
      </c>
      <c r="T267" t="s">
        <v>5593</v>
      </c>
      <c r="U267" t="s">
        <v>5594</v>
      </c>
      <c r="V267" t="s">
        <v>5595</v>
      </c>
      <c r="W267" t="s">
        <v>5596</v>
      </c>
      <c r="X267" t="s">
        <v>5597</v>
      </c>
      <c r="Y267" t="s">
        <v>5598</v>
      </c>
    </row>
    <row r="268" spans="1:25" x14ac:dyDescent="0.3">
      <c r="A268">
        <v>13350</v>
      </c>
      <c r="B268" t="s">
        <v>5599</v>
      </c>
      <c r="C268" t="s">
        <v>5600</v>
      </c>
      <c r="D268" t="s">
        <v>5601</v>
      </c>
      <c r="E268" t="s">
        <v>5602</v>
      </c>
      <c r="F268" t="s">
        <v>5603</v>
      </c>
      <c r="G268" t="s">
        <v>5604</v>
      </c>
      <c r="H268" t="s">
        <v>5605</v>
      </c>
      <c r="I268" t="s">
        <v>5606</v>
      </c>
      <c r="J268" t="s">
        <v>5607</v>
      </c>
      <c r="K268" t="s">
        <v>5608</v>
      </c>
      <c r="L268" t="s">
        <v>5609</v>
      </c>
      <c r="M268" t="s">
        <v>5610</v>
      </c>
      <c r="N268" t="s">
        <v>5611</v>
      </c>
      <c r="O268" t="s">
        <v>5612</v>
      </c>
      <c r="P268" t="s">
        <v>5613</v>
      </c>
      <c r="Q268">
        <f>-509.918964107421 -45.8971228240862 -353.211597495232</f>
        <v>-909.02768442673926</v>
      </c>
      <c r="R268" t="s">
        <v>5614</v>
      </c>
      <c r="S268" t="s">
        <v>5615</v>
      </c>
      <c r="T268" t="s">
        <v>5616</v>
      </c>
      <c r="U268" t="s">
        <v>5617</v>
      </c>
      <c r="V268" t="s">
        <v>5618</v>
      </c>
      <c r="W268" t="s">
        <v>5619</v>
      </c>
      <c r="X268" t="s">
        <v>5620</v>
      </c>
      <c r="Y268" t="s">
        <v>5621</v>
      </c>
    </row>
    <row r="269" spans="1:25" x14ac:dyDescent="0.3">
      <c r="A269">
        <v>13400</v>
      </c>
      <c r="B269" t="s">
        <v>5622</v>
      </c>
      <c r="C269" t="s">
        <v>5623</v>
      </c>
      <c r="D269" t="s">
        <v>5624</v>
      </c>
      <c r="E269" t="s">
        <v>5625</v>
      </c>
      <c r="F269" t="s">
        <v>5626</v>
      </c>
      <c r="G269" t="s">
        <v>5627</v>
      </c>
      <c r="H269" t="s">
        <v>5628</v>
      </c>
      <c r="I269" t="s">
        <v>5629</v>
      </c>
      <c r="J269" t="s">
        <v>5630</v>
      </c>
      <c r="K269" t="s">
        <v>5631</v>
      </c>
      <c r="L269" t="s">
        <v>5632</v>
      </c>
      <c r="M269" t="s">
        <v>5633</v>
      </c>
      <c r="N269" t="s">
        <v>5634</v>
      </c>
      <c r="O269" t="s">
        <v>5635</v>
      </c>
      <c r="P269" t="s">
        <v>5636</v>
      </c>
      <c r="Q269">
        <f>-509.822177460256 -46.1224387550433 -353.44675481229</f>
        <v>-909.39137102758934</v>
      </c>
      <c r="R269" t="s">
        <v>5637</v>
      </c>
      <c r="S269" t="s">
        <v>5638</v>
      </c>
      <c r="T269" t="s">
        <v>5639</v>
      </c>
      <c r="U269" t="s">
        <v>5640</v>
      </c>
      <c r="V269" t="s">
        <v>5641</v>
      </c>
      <c r="W269" t="s">
        <v>5642</v>
      </c>
      <c r="X269" t="s">
        <v>5643</v>
      </c>
      <c r="Y269" t="s">
        <v>5644</v>
      </c>
    </row>
    <row r="270" spans="1:25" x14ac:dyDescent="0.3">
      <c r="A270">
        <v>13450</v>
      </c>
      <c r="B270" t="s">
        <v>5645</v>
      </c>
      <c r="C270" t="s">
        <v>5646</v>
      </c>
      <c r="D270" t="s">
        <v>5647</v>
      </c>
      <c r="E270" t="s">
        <v>5648</v>
      </c>
      <c r="F270" t="s">
        <v>5649</v>
      </c>
      <c r="G270" t="s">
        <v>5650</v>
      </c>
      <c r="H270" t="s">
        <v>5651</v>
      </c>
      <c r="I270" t="s">
        <v>5652</v>
      </c>
      <c r="J270" t="s">
        <v>5653</v>
      </c>
      <c r="K270" t="s">
        <v>5654</v>
      </c>
      <c r="L270" t="s">
        <v>5655</v>
      </c>
      <c r="M270" t="s">
        <v>5656</v>
      </c>
      <c r="N270" t="s">
        <v>5657</v>
      </c>
      <c r="O270" t="s">
        <v>5658</v>
      </c>
      <c r="P270" t="s">
        <v>5659</v>
      </c>
      <c r="Q270">
        <f>-509.541348738194 -46.6414902579527 -353.895600216224</f>
        <v>-910.07843921237077</v>
      </c>
      <c r="R270" t="s">
        <v>5660</v>
      </c>
      <c r="S270" t="s">
        <v>5661</v>
      </c>
      <c r="T270" t="s">
        <v>5662</v>
      </c>
      <c r="U270" t="s">
        <v>5663</v>
      </c>
      <c r="V270" t="s">
        <v>5664</v>
      </c>
      <c r="W270" t="s">
        <v>5665</v>
      </c>
      <c r="X270" t="s">
        <v>5666</v>
      </c>
      <c r="Y270" t="s">
        <v>5667</v>
      </c>
    </row>
    <row r="271" spans="1:25" x14ac:dyDescent="0.3">
      <c r="A271">
        <v>13500</v>
      </c>
      <c r="B271" t="s">
        <v>5668</v>
      </c>
      <c r="C271" t="s">
        <v>5669</v>
      </c>
      <c r="D271" t="s">
        <v>5670</v>
      </c>
      <c r="E271" t="s">
        <v>5671</v>
      </c>
      <c r="F271" t="s">
        <v>5672</v>
      </c>
      <c r="G271" t="s">
        <v>5673</v>
      </c>
      <c r="H271" t="s">
        <v>5674</v>
      </c>
      <c r="I271" t="s">
        <v>5675</v>
      </c>
      <c r="J271" t="s">
        <v>5676</v>
      </c>
      <c r="K271" t="s">
        <v>5677</v>
      </c>
      <c r="L271" t="s">
        <v>5678</v>
      </c>
      <c r="M271" t="s">
        <v>5679</v>
      </c>
      <c r="N271" t="s">
        <v>5680</v>
      </c>
      <c r="O271" t="s">
        <v>5681</v>
      </c>
      <c r="P271" t="s">
        <v>5682</v>
      </c>
      <c r="Q271">
        <f>-509.284309180678 -46.3960028580696 -354.118527036993</f>
        <v>-909.7988390757406</v>
      </c>
      <c r="R271" t="s">
        <v>5683</v>
      </c>
      <c r="S271" t="s">
        <v>5684</v>
      </c>
      <c r="T271" t="s">
        <v>5685</v>
      </c>
      <c r="U271" t="s">
        <v>5686</v>
      </c>
      <c r="V271" t="s">
        <v>5687</v>
      </c>
      <c r="W271" t="s">
        <v>5688</v>
      </c>
      <c r="X271" t="s">
        <v>5689</v>
      </c>
      <c r="Y271" t="s">
        <v>5690</v>
      </c>
    </row>
    <row r="272" spans="1:25" x14ac:dyDescent="0.3">
      <c r="A272">
        <v>13550</v>
      </c>
      <c r="B272" t="s">
        <v>5691</v>
      </c>
      <c r="C272" t="s">
        <v>5692</v>
      </c>
      <c r="D272" t="s">
        <v>5693</v>
      </c>
      <c r="E272" t="s">
        <v>5694</v>
      </c>
      <c r="F272" t="s">
        <v>5695</v>
      </c>
      <c r="G272" t="s">
        <v>5696</v>
      </c>
      <c r="H272" t="s">
        <v>5697</v>
      </c>
      <c r="I272" t="s">
        <v>5698</v>
      </c>
      <c r="J272" t="s">
        <v>5699</v>
      </c>
      <c r="K272" t="s">
        <v>5700</v>
      </c>
      <c r="L272" t="s">
        <v>5701</v>
      </c>
      <c r="M272" t="s">
        <v>5702</v>
      </c>
      <c r="N272" t="s">
        <v>5703</v>
      </c>
      <c r="O272" t="s">
        <v>5704</v>
      </c>
      <c r="P272" t="s">
        <v>5705</v>
      </c>
      <c r="Q272">
        <f>-508.700377205401 -46.5066036727931 -354.433009092735</f>
        <v>-909.63998997092915</v>
      </c>
      <c r="R272" t="s">
        <v>5706</v>
      </c>
      <c r="S272" t="s">
        <v>5707</v>
      </c>
      <c r="T272" t="s">
        <v>5708</v>
      </c>
      <c r="U272" t="s">
        <v>5709</v>
      </c>
      <c r="V272" t="s">
        <v>5710</v>
      </c>
      <c r="W272" t="s">
        <v>5711</v>
      </c>
      <c r="X272" t="s">
        <v>5712</v>
      </c>
      <c r="Y272" t="s">
        <v>5713</v>
      </c>
    </row>
    <row r="273" spans="1:25" x14ac:dyDescent="0.3">
      <c r="A273">
        <v>13600</v>
      </c>
      <c r="B273" t="s">
        <v>5714</v>
      </c>
      <c r="C273" t="s">
        <v>5715</v>
      </c>
      <c r="D273" t="s">
        <v>5716</v>
      </c>
      <c r="E273" t="s">
        <v>5717</v>
      </c>
      <c r="F273" t="s">
        <v>5718</v>
      </c>
      <c r="G273" t="s">
        <v>5719</v>
      </c>
      <c r="H273" t="s">
        <v>5720</v>
      </c>
      <c r="I273" t="s">
        <v>5721</v>
      </c>
      <c r="J273" t="s">
        <v>5722</v>
      </c>
      <c r="K273" t="s">
        <v>5723</v>
      </c>
      <c r="L273" t="s">
        <v>5724</v>
      </c>
      <c r="M273" t="s">
        <v>5725</v>
      </c>
      <c r="N273" t="s">
        <v>5726</v>
      </c>
      <c r="O273" t="s">
        <v>5727</v>
      </c>
      <c r="P273" t="s">
        <v>5728</v>
      </c>
      <c r="Q273">
        <f>-509.164391403697 -46.6960107158027 -354.415225971724</f>
        <v>-910.27562809122367</v>
      </c>
      <c r="R273" t="s">
        <v>5729</v>
      </c>
      <c r="S273" t="s">
        <v>5730</v>
      </c>
      <c r="T273" t="s">
        <v>5731</v>
      </c>
      <c r="U273" t="s">
        <v>5732</v>
      </c>
      <c r="V273" t="s">
        <v>5733</v>
      </c>
      <c r="W273" t="s">
        <v>5734</v>
      </c>
      <c r="X273" t="s">
        <v>5735</v>
      </c>
      <c r="Y273" t="s">
        <v>5736</v>
      </c>
    </row>
    <row r="274" spans="1:25" x14ac:dyDescent="0.3">
      <c r="A274">
        <v>13650</v>
      </c>
      <c r="B274" t="s">
        <v>5737</v>
      </c>
      <c r="C274" t="s">
        <v>5738</v>
      </c>
      <c r="D274" t="s">
        <v>5739</v>
      </c>
      <c r="E274" t="s">
        <v>5740</v>
      </c>
      <c r="F274" t="s">
        <v>5741</v>
      </c>
      <c r="G274" t="s">
        <v>5742</v>
      </c>
      <c r="H274" t="s">
        <v>5743</v>
      </c>
      <c r="I274" t="s">
        <v>5744</v>
      </c>
      <c r="J274" t="s">
        <v>5745</v>
      </c>
      <c r="K274" t="s">
        <v>5746</v>
      </c>
      <c r="L274" t="s">
        <v>5747</v>
      </c>
      <c r="M274" t="s">
        <v>5748</v>
      </c>
      <c r="N274" t="s">
        <v>5749</v>
      </c>
      <c r="O274" t="s">
        <v>5750</v>
      </c>
      <c r="P274" t="s">
        <v>5751</v>
      </c>
      <c r="Q274">
        <f>-513.925370918449 -45.8346576985191 -354.86076115882</f>
        <v>-914.62078977578813</v>
      </c>
      <c r="R274" t="s">
        <v>5752</v>
      </c>
      <c r="S274" t="s">
        <v>5753</v>
      </c>
      <c r="T274" t="s">
        <v>5754</v>
      </c>
      <c r="U274" t="s">
        <v>5755</v>
      </c>
      <c r="V274" t="s">
        <v>5756</v>
      </c>
      <c r="W274" t="s">
        <v>5757</v>
      </c>
      <c r="X274" t="s">
        <v>5758</v>
      </c>
      <c r="Y274" t="s">
        <v>5759</v>
      </c>
    </row>
    <row r="275" spans="1:25" x14ac:dyDescent="0.3">
      <c r="A275">
        <v>13700</v>
      </c>
      <c r="B275" t="s">
        <v>5760</v>
      </c>
      <c r="C275" t="s">
        <v>5761</v>
      </c>
      <c r="D275" t="s">
        <v>5762</v>
      </c>
      <c r="E275" t="s">
        <v>5763</v>
      </c>
      <c r="F275" t="s">
        <v>5764</v>
      </c>
      <c r="G275" t="s">
        <v>5765</v>
      </c>
      <c r="H275" t="s">
        <v>5766</v>
      </c>
      <c r="I275" t="s">
        <v>5767</v>
      </c>
      <c r="J275" t="s">
        <v>5768</v>
      </c>
      <c r="K275" t="s">
        <v>5769</v>
      </c>
      <c r="L275" t="s">
        <v>5770</v>
      </c>
      <c r="M275" t="s">
        <v>5771</v>
      </c>
      <c r="N275" t="s">
        <v>5772</v>
      </c>
      <c r="O275">
        <f>-766.726436791424 -0.741337716505541 -736.311249584119</f>
        <v>-1503.7790240920485</v>
      </c>
      <c r="P275" t="s">
        <v>5773</v>
      </c>
      <c r="Q275">
        <f>-514.118525419443 -46.7954681250992 -355.461988589006</f>
        <v>-916.37598213354818</v>
      </c>
      <c r="R275" t="s">
        <v>5774</v>
      </c>
      <c r="S275" t="s">
        <v>5775</v>
      </c>
      <c r="T275" t="s">
        <v>5776</v>
      </c>
      <c r="U275" t="s">
        <v>5777</v>
      </c>
      <c r="V275" t="s">
        <v>5778</v>
      </c>
      <c r="W275" t="s">
        <v>5779</v>
      </c>
      <c r="X275" t="s">
        <v>5780</v>
      </c>
      <c r="Y275" t="s">
        <v>5781</v>
      </c>
    </row>
    <row r="276" spans="1:25" x14ac:dyDescent="0.3">
      <c r="A276">
        <v>13750</v>
      </c>
      <c r="B276" t="s">
        <v>5782</v>
      </c>
      <c r="C276" t="s">
        <v>5783</v>
      </c>
      <c r="D276" t="s">
        <v>5784</v>
      </c>
      <c r="E276" t="s">
        <v>5785</v>
      </c>
      <c r="F276" t="s">
        <v>5786</v>
      </c>
      <c r="G276" t="s">
        <v>5787</v>
      </c>
      <c r="H276" t="s">
        <v>5788</v>
      </c>
      <c r="I276" t="s">
        <v>5789</v>
      </c>
      <c r="J276" t="s">
        <v>5790</v>
      </c>
      <c r="K276" t="s">
        <v>5791</v>
      </c>
      <c r="L276" t="s">
        <v>5792</v>
      </c>
      <c r="M276" t="s">
        <v>5793</v>
      </c>
      <c r="N276" t="s">
        <v>5794</v>
      </c>
      <c r="O276">
        <f>-763.70755137172 -2.09526365044849 -738.179625459637</f>
        <v>-1503.9824404818055</v>
      </c>
      <c r="P276" t="s">
        <v>5795</v>
      </c>
      <c r="Q276">
        <f>-511.691690897162 -47.9375629863928 -356.13030166659</f>
        <v>-915.7595555501448</v>
      </c>
      <c r="R276" t="s">
        <v>5796</v>
      </c>
      <c r="S276" t="s">
        <v>5797</v>
      </c>
      <c r="T276" t="s">
        <v>5798</v>
      </c>
      <c r="U276" t="s">
        <v>5799</v>
      </c>
      <c r="V276" t="s">
        <v>5800</v>
      </c>
      <c r="W276" t="s">
        <v>5801</v>
      </c>
      <c r="X276" t="s">
        <v>5802</v>
      </c>
      <c r="Y276" t="s">
        <v>5803</v>
      </c>
    </row>
    <row r="277" spans="1:25" x14ac:dyDescent="0.3">
      <c r="A277">
        <v>13800</v>
      </c>
      <c r="B277" t="s">
        <v>5804</v>
      </c>
      <c r="C277" t="s">
        <v>5805</v>
      </c>
      <c r="D277" t="s">
        <v>5806</v>
      </c>
      <c r="E277" t="s">
        <v>5807</v>
      </c>
      <c r="F277" t="s">
        <v>5808</v>
      </c>
      <c r="G277" t="s">
        <v>5809</v>
      </c>
      <c r="H277" t="s">
        <v>5810</v>
      </c>
      <c r="I277" t="s">
        <v>5811</v>
      </c>
      <c r="J277" t="s">
        <v>5812</v>
      </c>
      <c r="K277" t="s">
        <v>5813</v>
      </c>
      <c r="L277" t="s">
        <v>5814</v>
      </c>
      <c r="M277" t="s">
        <v>5815</v>
      </c>
      <c r="N277" t="s">
        <v>5816</v>
      </c>
      <c r="O277">
        <f>-762.58577520418 -3.62325609005961 -738.557961583684</f>
        <v>-1504.7669928779237</v>
      </c>
      <c r="P277" t="s">
        <v>5817</v>
      </c>
      <c r="Q277">
        <f>-510.743199754663 -48.8385538371206 -355.859455008863</f>
        <v>-915.44120860064663</v>
      </c>
      <c r="R277" t="s">
        <v>5818</v>
      </c>
      <c r="S277" t="s">
        <v>5819</v>
      </c>
      <c r="T277" t="s">
        <v>5820</v>
      </c>
      <c r="U277" t="s">
        <v>5821</v>
      </c>
      <c r="V277" t="s">
        <v>5822</v>
      </c>
      <c r="W277" t="s">
        <v>5823</v>
      </c>
      <c r="X277" t="s">
        <v>5824</v>
      </c>
      <c r="Y277" t="s">
        <v>5825</v>
      </c>
    </row>
    <row r="278" spans="1:25" x14ac:dyDescent="0.3">
      <c r="A278">
        <v>13850</v>
      </c>
      <c r="B278" t="s">
        <v>5826</v>
      </c>
      <c r="C278" t="s">
        <v>5827</v>
      </c>
      <c r="D278" t="s">
        <v>5828</v>
      </c>
      <c r="E278" t="s">
        <v>5829</v>
      </c>
      <c r="F278" t="s">
        <v>5830</v>
      </c>
      <c r="G278" t="s">
        <v>5831</v>
      </c>
      <c r="H278" t="s">
        <v>5832</v>
      </c>
      <c r="I278" t="s">
        <v>5833</v>
      </c>
      <c r="J278" t="s">
        <v>5834</v>
      </c>
      <c r="K278" t="s">
        <v>5835</v>
      </c>
      <c r="L278" t="s">
        <v>5836</v>
      </c>
      <c r="M278" t="s">
        <v>5837</v>
      </c>
      <c r="N278" t="s">
        <v>5838</v>
      </c>
      <c r="O278">
        <f>-760.424519589637 -9.66665092147286 -739.615513425831</f>
        <v>-1509.7066839369409</v>
      </c>
      <c r="P278">
        <f>-754.891484382668 -1.07223558385795 -423.258507327244</f>
        <v>-1179.2222272937699</v>
      </c>
      <c r="Q278">
        <f>-509.180147294028 -51.9889860695041 -354.881217547459</f>
        <v>-916.05035091099103</v>
      </c>
      <c r="R278" t="s">
        <v>5839</v>
      </c>
      <c r="S278" t="s">
        <v>5840</v>
      </c>
      <c r="T278" t="s">
        <v>5841</v>
      </c>
      <c r="U278" t="s">
        <v>5842</v>
      </c>
      <c r="V278" t="s">
        <v>5843</v>
      </c>
      <c r="W278" t="s">
        <v>5844</v>
      </c>
      <c r="X278" t="s">
        <v>5845</v>
      </c>
      <c r="Y278" t="s">
        <v>5846</v>
      </c>
    </row>
    <row r="279" spans="1:25" x14ac:dyDescent="0.3">
      <c r="A279">
        <v>13900</v>
      </c>
      <c r="B279" t="s">
        <v>5847</v>
      </c>
      <c r="C279" t="s">
        <v>5848</v>
      </c>
      <c r="D279" t="s">
        <v>5849</v>
      </c>
      <c r="E279" t="s">
        <v>5850</v>
      </c>
      <c r="F279" t="s">
        <v>5851</v>
      </c>
      <c r="G279" t="s">
        <v>5852</v>
      </c>
      <c r="H279" t="s">
        <v>5853</v>
      </c>
      <c r="I279" t="s">
        <v>5854</v>
      </c>
      <c r="J279" t="s">
        <v>5855</v>
      </c>
      <c r="K279" t="s">
        <v>5856</v>
      </c>
      <c r="L279" t="s">
        <v>5857</v>
      </c>
      <c r="M279" t="s">
        <v>5858</v>
      </c>
      <c r="N279" t="s">
        <v>5859</v>
      </c>
      <c r="O279">
        <f>-759.627652156656 -13.6613689941964 -740.478935578861</f>
        <v>-1513.7679567297134</v>
      </c>
      <c r="P279">
        <f>-755.180649547355 -5.98979060456691 -424.081001309069</f>
        <v>-1185.2514414609909</v>
      </c>
      <c r="Q279">
        <f>-509.129725586646 -53.3392763385245 -354.374242409596</f>
        <v>-916.8432443347665</v>
      </c>
      <c r="R279" t="s">
        <v>5860</v>
      </c>
      <c r="S279" t="s">
        <v>5861</v>
      </c>
      <c r="T279" t="s">
        <v>5862</v>
      </c>
      <c r="U279" t="s">
        <v>5863</v>
      </c>
      <c r="V279" t="s">
        <v>5864</v>
      </c>
      <c r="W279" t="s">
        <v>5865</v>
      </c>
      <c r="X279" t="s">
        <v>5866</v>
      </c>
      <c r="Y279" t="s">
        <v>5867</v>
      </c>
    </row>
    <row r="280" spans="1:25" x14ac:dyDescent="0.3">
      <c r="A280">
        <v>13950</v>
      </c>
      <c r="B280" t="s">
        <v>5868</v>
      </c>
      <c r="C280" t="s">
        <v>5869</v>
      </c>
      <c r="D280" t="s">
        <v>5870</v>
      </c>
      <c r="E280" t="s">
        <v>5871</v>
      </c>
      <c r="F280" t="s">
        <v>5872</v>
      </c>
      <c r="G280" t="s">
        <v>5873</v>
      </c>
      <c r="H280" t="s">
        <v>5874</v>
      </c>
      <c r="I280" t="s">
        <v>5875</v>
      </c>
      <c r="J280" t="s">
        <v>5876</v>
      </c>
      <c r="K280" t="s">
        <v>5877</v>
      </c>
      <c r="L280" t="s">
        <v>5878</v>
      </c>
      <c r="M280" t="s">
        <v>5879</v>
      </c>
      <c r="N280" t="s">
        <v>5880</v>
      </c>
      <c r="O280">
        <f>-757.890612565972 -23.9273196555655 -742.316369514216</f>
        <v>-1524.1343017357535</v>
      </c>
      <c r="P280">
        <f>-756.64593375598 -18.4635005947355 -425.844033344565</f>
        <v>-1200.9534676952803</v>
      </c>
      <c r="Q280">
        <f>-509.958152846029 -57.6586939637689 -353.380792865847</f>
        <v>-920.9976396756449</v>
      </c>
      <c r="R280" t="s">
        <v>5881</v>
      </c>
      <c r="S280" t="s">
        <v>5882</v>
      </c>
      <c r="T280" t="s">
        <v>5883</v>
      </c>
      <c r="U280" t="s">
        <v>5884</v>
      </c>
      <c r="V280" t="s">
        <v>5885</v>
      </c>
      <c r="W280" t="s">
        <v>5886</v>
      </c>
      <c r="X280" t="s">
        <v>5887</v>
      </c>
      <c r="Y280" t="s">
        <v>5888</v>
      </c>
    </row>
    <row r="281" spans="1:25" x14ac:dyDescent="0.3">
      <c r="A281">
        <v>14000</v>
      </c>
      <c r="B281" t="s">
        <v>5889</v>
      </c>
      <c r="C281" t="s">
        <v>5890</v>
      </c>
      <c r="D281" t="s">
        <v>5891</v>
      </c>
      <c r="E281" t="s">
        <v>5892</v>
      </c>
      <c r="F281" t="s">
        <v>5893</v>
      </c>
      <c r="G281" t="s">
        <v>5894</v>
      </c>
      <c r="H281" t="s">
        <v>5895</v>
      </c>
      <c r="I281" t="s">
        <v>5896</v>
      </c>
      <c r="J281" t="s">
        <v>5897</v>
      </c>
      <c r="K281" t="s">
        <v>5898</v>
      </c>
      <c r="L281" t="s">
        <v>5899</v>
      </c>
      <c r="M281" t="s">
        <v>5900</v>
      </c>
      <c r="N281" t="s">
        <v>5901</v>
      </c>
      <c r="O281">
        <f>-757.353790428294 -29.6297642971206 -743.101891449772</f>
        <v>-1530.0854461751865</v>
      </c>
      <c r="P281">
        <f>-757.800448815353 -25.1911072758362 -426.611284943898</f>
        <v>-1209.6028410350873</v>
      </c>
      <c r="Q281">
        <f>-510.794995054008 -59.9121224575772 -352.957732010244</f>
        <v>-923.66484952182918</v>
      </c>
      <c r="R281" t="s">
        <v>5902</v>
      </c>
      <c r="S281" t="s">
        <v>5903</v>
      </c>
      <c r="T281" t="s">
        <v>5904</v>
      </c>
      <c r="U281" t="s">
        <v>5905</v>
      </c>
      <c r="V281" t="s">
        <v>5906</v>
      </c>
      <c r="W281" t="s">
        <v>5907</v>
      </c>
      <c r="X281" t="s">
        <v>5908</v>
      </c>
      <c r="Y281" t="s">
        <v>5909</v>
      </c>
    </row>
    <row r="282" spans="1:25" x14ac:dyDescent="0.3">
      <c r="A282">
        <v>14050</v>
      </c>
      <c r="B282" t="s">
        <v>5910</v>
      </c>
      <c r="C282" t="s">
        <v>5911</v>
      </c>
      <c r="D282" t="s">
        <v>5912</v>
      </c>
      <c r="E282" t="s">
        <v>5913</v>
      </c>
      <c r="F282" t="s">
        <v>5914</v>
      </c>
      <c r="G282" t="s">
        <v>5915</v>
      </c>
      <c r="H282" t="s">
        <v>5916</v>
      </c>
      <c r="I282" t="s">
        <v>5917</v>
      </c>
      <c r="J282" t="s">
        <v>5918</v>
      </c>
      <c r="K282" t="s">
        <v>5919</v>
      </c>
      <c r="L282" t="s">
        <v>5920</v>
      </c>
      <c r="M282" t="s">
        <v>5921</v>
      </c>
      <c r="N282" t="s">
        <v>5922</v>
      </c>
      <c r="O282">
        <f>-755.779413378266 -41.6193368928409 -743.3044308842</f>
        <v>-1540.703181155307</v>
      </c>
      <c r="P282">
        <f>-759.057456099513 -38.1143385187333 -426.818797986208</f>
        <v>-1223.9905926044544</v>
      </c>
      <c r="Q282">
        <f>-511.291792433908 -62.7998731143264 -351.686307427477</f>
        <v>-925.77797297571135</v>
      </c>
      <c r="R282" t="s">
        <v>5923</v>
      </c>
      <c r="S282" t="s">
        <v>5924</v>
      </c>
      <c r="T282" t="s">
        <v>5925</v>
      </c>
      <c r="U282" t="s">
        <v>5926</v>
      </c>
      <c r="V282" t="s">
        <v>5927</v>
      </c>
      <c r="W282" t="s">
        <v>5928</v>
      </c>
      <c r="X282" t="s">
        <v>5929</v>
      </c>
      <c r="Y282" t="s">
        <v>5930</v>
      </c>
    </row>
    <row r="283" spans="1:25" x14ac:dyDescent="0.3">
      <c r="A283">
        <v>14100</v>
      </c>
      <c r="B283" t="s">
        <v>5931</v>
      </c>
      <c r="C283" t="s">
        <v>5932</v>
      </c>
      <c r="D283" t="s">
        <v>5933</v>
      </c>
      <c r="E283" t="s">
        <v>5934</v>
      </c>
      <c r="F283" t="s">
        <v>5935</v>
      </c>
      <c r="G283" t="s">
        <v>5936</v>
      </c>
      <c r="H283" t="s">
        <v>5937</v>
      </c>
      <c r="I283" t="s">
        <v>5938</v>
      </c>
      <c r="J283" t="s">
        <v>5939</v>
      </c>
      <c r="K283" t="s">
        <v>5940</v>
      </c>
      <c r="L283" t="s">
        <v>5941</v>
      </c>
      <c r="M283" t="s">
        <v>5942</v>
      </c>
      <c r="N283" t="s">
        <v>5943</v>
      </c>
      <c r="O283">
        <f>-754.166492709571 -47.9870731672243 -743.215847419334</f>
        <v>-1545.3694132961291</v>
      </c>
      <c r="P283">
        <f>-758.97894085197 -43.9116900075198 -426.756500769493</f>
        <v>-1229.6471316289828</v>
      </c>
      <c r="Q283">
        <f>-510.877386034552 -62.7655083112138 -351.045269549067</f>
        <v>-924.68816389483277</v>
      </c>
      <c r="R283" t="s">
        <v>5944</v>
      </c>
      <c r="S283" t="s">
        <v>5945</v>
      </c>
      <c r="T283" t="s">
        <v>5946</v>
      </c>
      <c r="U283" t="s">
        <v>5947</v>
      </c>
      <c r="V283" t="s">
        <v>5948</v>
      </c>
      <c r="W283" t="s">
        <v>5949</v>
      </c>
      <c r="X283" t="s">
        <v>5950</v>
      </c>
      <c r="Y283" t="s">
        <v>5951</v>
      </c>
    </row>
    <row r="284" spans="1:25" x14ac:dyDescent="0.3">
      <c r="A284">
        <v>14150</v>
      </c>
      <c r="B284" t="s">
        <v>5952</v>
      </c>
      <c r="C284" t="s">
        <v>5953</v>
      </c>
      <c r="D284" t="s">
        <v>5954</v>
      </c>
      <c r="E284" t="s">
        <v>5955</v>
      </c>
      <c r="F284" t="s">
        <v>5956</v>
      </c>
      <c r="G284" t="s">
        <v>5957</v>
      </c>
      <c r="H284" t="s">
        <v>5958</v>
      </c>
      <c r="I284" t="s">
        <v>5959</v>
      </c>
      <c r="J284" t="s">
        <v>5960</v>
      </c>
      <c r="K284" t="s">
        <v>5961</v>
      </c>
      <c r="L284" t="s">
        <v>5962</v>
      </c>
      <c r="M284" t="s">
        <v>5963</v>
      </c>
      <c r="N284" t="s">
        <v>5964</v>
      </c>
      <c r="O284">
        <f>-751.898579542412 -61.1228613283315 -744.725520728316</f>
        <v>-1557.7469615990594</v>
      </c>
      <c r="P284">
        <f>-758.721287090875 -55.3783255318212 -428.329169467696</f>
        <v>-1242.4287820903921</v>
      </c>
      <c r="Q284">
        <f>-510.302380240973 -62.0606561201328 -351.61259054118</f>
        <v>-923.97562690228574</v>
      </c>
      <c r="R284" t="s">
        <v>5965</v>
      </c>
      <c r="S284" t="s">
        <v>5966</v>
      </c>
      <c r="T284" t="s">
        <v>5967</v>
      </c>
      <c r="U284" t="s">
        <v>5968</v>
      </c>
      <c r="V284" t="s">
        <v>5969</v>
      </c>
      <c r="W284" t="s">
        <v>5970</v>
      </c>
      <c r="X284" t="s">
        <v>5971</v>
      </c>
      <c r="Y284" t="s">
        <v>5972</v>
      </c>
    </row>
    <row r="285" spans="1:25" x14ac:dyDescent="0.3">
      <c r="A285">
        <v>14200</v>
      </c>
      <c r="B285" t="s">
        <v>5973</v>
      </c>
      <c r="C285" t="s">
        <v>5974</v>
      </c>
      <c r="D285" t="s">
        <v>5975</v>
      </c>
      <c r="E285" t="s">
        <v>5976</v>
      </c>
      <c r="F285" t="s">
        <v>5977</v>
      </c>
      <c r="G285" t="s">
        <v>5978</v>
      </c>
      <c r="H285" t="s">
        <v>5979</v>
      </c>
      <c r="I285" t="s">
        <v>5980</v>
      </c>
      <c r="J285" t="s">
        <v>5981</v>
      </c>
      <c r="K285" t="s">
        <v>5982</v>
      </c>
      <c r="L285" t="s">
        <v>5983</v>
      </c>
      <c r="M285" t="s">
        <v>5984</v>
      </c>
      <c r="N285" t="s">
        <v>5985</v>
      </c>
      <c r="O285">
        <f>-752.027494414562 -67.7917449634256 -745.199665045605</f>
        <v>-1565.0189044235926</v>
      </c>
      <c r="P285">
        <f>-759.491060614959 -61.0002653371002 -428.838612448619</f>
        <v>-1249.3299384006782</v>
      </c>
      <c r="Q285">
        <f>-511.152308928826 -61.9565140726468 -351.579203024193</f>
        <v>-924.68802602566586</v>
      </c>
      <c r="R285" t="s">
        <v>5986</v>
      </c>
      <c r="S285" t="s">
        <v>5987</v>
      </c>
      <c r="T285" t="s">
        <v>5988</v>
      </c>
      <c r="U285" t="s">
        <v>5989</v>
      </c>
      <c r="V285" t="s">
        <v>5990</v>
      </c>
      <c r="W285" t="s">
        <v>5991</v>
      </c>
      <c r="X285" t="s">
        <v>5992</v>
      </c>
      <c r="Y285" t="s">
        <v>5993</v>
      </c>
    </row>
    <row r="286" spans="1:25" x14ac:dyDescent="0.3">
      <c r="A286">
        <v>14250</v>
      </c>
      <c r="B286" t="s">
        <v>5994</v>
      </c>
      <c r="C286" t="s">
        <v>5995</v>
      </c>
      <c r="D286" t="s">
        <v>5996</v>
      </c>
      <c r="E286" t="s">
        <v>5997</v>
      </c>
      <c r="F286" t="s">
        <v>5998</v>
      </c>
      <c r="G286" t="s">
        <v>5999</v>
      </c>
      <c r="H286" t="s">
        <v>6000</v>
      </c>
      <c r="I286" t="s">
        <v>6001</v>
      </c>
      <c r="J286" t="s">
        <v>6002</v>
      </c>
      <c r="K286" t="s">
        <v>6003</v>
      </c>
      <c r="L286" t="s">
        <v>6004</v>
      </c>
      <c r="M286" t="s">
        <v>6005</v>
      </c>
      <c r="N286" t="s">
        <v>6006</v>
      </c>
      <c r="O286">
        <f>-756.723183060697 -82.4185961867956 -745.151964329189</f>
        <v>-1584.2937435766817</v>
      </c>
      <c r="P286">
        <f>-765.522706148742 -72.9390956877385 -428.89427778767</f>
        <v>-1267.3560796241504</v>
      </c>
      <c r="Q286">
        <f>-517.445624165831 -63.3818661955131 -351.379851066186</f>
        <v>-932.20734142753008</v>
      </c>
      <c r="R286" t="s">
        <v>6007</v>
      </c>
      <c r="S286" t="s">
        <v>6008</v>
      </c>
      <c r="T286" t="s">
        <v>6009</v>
      </c>
      <c r="U286" t="s">
        <v>6010</v>
      </c>
      <c r="V286" t="s">
        <v>6011</v>
      </c>
      <c r="W286" t="s">
        <v>6012</v>
      </c>
      <c r="X286" t="s">
        <v>6013</v>
      </c>
      <c r="Y286" t="s">
        <v>6014</v>
      </c>
    </row>
    <row r="287" spans="1:25" x14ac:dyDescent="0.3">
      <c r="A287">
        <v>14300</v>
      </c>
      <c r="B287" t="s">
        <v>6015</v>
      </c>
      <c r="C287" t="s">
        <v>6016</v>
      </c>
      <c r="D287" t="s">
        <v>6017</v>
      </c>
      <c r="E287" t="s">
        <v>6018</v>
      </c>
      <c r="F287" t="s">
        <v>6019</v>
      </c>
      <c r="G287" t="s">
        <v>6020</v>
      </c>
      <c r="H287" t="s">
        <v>6021</v>
      </c>
      <c r="I287" t="s">
        <v>6022</v>
      </c>
      <c r="J287" t="s">
        <v>6023</v>
      </c>
      <c r="K287" t="s">
        <v>6024</v>
      </c>
      <c r="L287" t="s">
        <v>6025</v>
      </c>
      <c r="M287" t="s">
        <v>6026</v>
      </c>
      <c r="N287" t="s">
        <v>6027</v>
      </c>
      <c r="O287">
        <f>-758.835942504697 -90.5825782134807 -744.425302003387</f>
        <v>-1593.8438227215647</v>
      </c>
      <c r="P287">
        <f>-768.452417695793 -79.1027947234381 -428.25778807408</f>
        <v>-1275.8130004933112</v>
      </c>
      <c r="Q287">
        <f>-520.474270578749 -64.6567761029016 -351.184863239673</f>
        <v>-936.31590992132374</v>
      </c>
      <c r="R287" t="s">
        <v>6028</v>
      </c>
      <c r="S287" t="s">
        <v>6029</v>
      </c>
      <c r="T287" t="s">
        <v>6030</v>
      </c>
      <c r="U287" t="s">
        <v>6031</v>
      </c>
      <c r="V287">
        <f>-700.151861092822 -4.77654026517962 -233.764913643777</f>
        <v>-938.6933150017785</v>
      </c>
      <c r="W287" t="s">
        <v>6032</v>
      </c>
      <c r="X287" t="s">
        <v>6033</v>
      </c>
      <c r="Y287" t="s">
        <v>6034</v>
      </c>
    </row>
    <row r="288" spans="1:25" x14ac:dyDescent="0.3">
      <c r="A288">
        <v>14350</v>
      </c>
      <c r="B288" t="s">
        <v>6035</v>
      </c>
      <c r="C288" t="s">
        <v>6036</v>
      </c>
      <c r="D288" t="s">
        <v>6037</v>
      </c>
      <c r="E288" t="s">
        <v>6038</v>
      </c>
      <c r="F288" t="s">
        <v>6039</v>
      </c>
      <c r="G288" t="s">
        <v>6040</v>
      </c>
      <c r="H288" t="s">
        <v>6041</v>
      </c>
      <c r="I288" t="s">
        <v>6042</v>
      </c>
      <c r="J288" t="s">
        <v>6043</v>
      </c>
      <c r="K288" t="s">
        <v>6044</v>
      </c>
      <c r="L288" t="s">
        <v>6045</v>
      </c>
      <c r="M288" t="s">
        <v>6046</v>
      </c>
      <c r="N288" t="s">
        <v>6047</v>
      </c>
      <c r="O288">
        <f>-765.303596616049 -105.665004449714 -743.485338159762</f>
        <v>-1614.4539392255251</v>
      </c>
      <c r="P288">
        <f>-774.913754483526 -90.3319187544168 -427.48102275477</f>
        <v>-1292.7266959927128</v>
      </c>
      <c r="Q288">
        <f>-527.831956804746 -66.5010644348311 -349.861798534943</f>
        <v>-944.19481977452006</v>
      </c>
      <c r="R288" t="s">
        <v>6048</v>
      </c>
      <c r="S288" t="s">
        <v>6049</v>
      </c>
      <c r="T288" t="s">
        <v>6050</v>
      </c>
      <c r="U288" t="s">
        <v>6051</v>
      </c>
      <c r="V288">
        <f>-713.835959538803 -16.7355830318568 -236.632632535359</f>
        <v>-967.20417510601874</v>
      </c>
      <c r="W288" t="s">
        <v>6052</v>
      </c>
      <c r="X288" t="s">
        <v>6053</v>
      </c>
      <c r="Y288" t="s">
        <v>6054</v>
      </c>
    </row>
    <row r="289" spans="1:25" x14ac:dyDescent="0.3">
      <c r="A289">
        <v>14400</v>
      </c>
      <c r="B289" t="s">
        <v>6055</v>
      </c>
      <c r="C289" t="s">
        <v>6056</v>
      </c>
      <c r="D289" t="s">
        <v>6057</v>
      </c>
      <c r="E289" t="s">
        <v>6058</v>
      </c>
      <c r="F289" t="s">
        <v>6059</v>
      </c>
      <c r="G289" t="s">
        <v>6060</v>
      </c>
      <c r="H289" t="s">
        <v>6061</v>
      </c>
      <c r="I289" t="s">
        <v>6062</v>
      </c>
      <c r="J289" t="s">
        <v>6063</v>
      </c>
      <c r="K289" t="s">
        <v>6064</v>
      </c>
      <c r="L289" t="s">
        <v>6065</v>
      </c>
      <c r="M289" t="s">
        <v>6066</v>
      </c>
      <c r="N289" t="s">
        <v>6067</v>
      </c>
      <c r="O289">
        <f>-767.888721274606 -113.934577366404 -742.846012305409</f>
        <v>-1624.669310946419</v>
      </c>
      <c r="P289">
        <f>-778.225010640414 -96.4341842725373 -426.977240965524</f>
        <v>-1301.6364358784754</v>
      </c>
      <c r="Q289">
        <f>-531.934286576129 -67.6358281878183 -348.532351310027</f>
        <v>-948.10246607397437</v>
      </c>
      <c r="R289" t="s">
        <v>6068</v>
      </c>
      <c r="S289" t="s">
        <v>6069</v>
      </c>
      <c r="T289" t="s">
        <v>6070</v>
      </c>
      <c r="U289" t="s">
        <v>6071</v>
      </c>
      <c r="V289">
        <f>-719.953303850401 -22.5585915891588 -237.708199335404</f>
        <v>-980.22009477496385</v>
      </c>
      <c r="W289" t="s">
        <v>6072</v>
      </c>
      <c r="X289" t="s">
        <v>6073</v>
      </c>
      <c r="Y289" t="s">
        <v>6074</v>
      </c>
    </row>
    <row r="290" spans="1:25" x14ac:dyDescent="0.3">
      <c r="A290">
        <v>14450</v>
      </c>
      <c r="B290" t="s">
        <v>6075</v>
      </c>
      <c r="C290" t="s">
        <v>6076</v>
      </c>
      <c r="D290" t="s">
        <v>6077</v>
      </c>
      <c r="E290" t="s">
        <v>6078</v>
      </c>
      <c r="F290" t="s">
        <v>6079</v>
      </c>
      <c r="G290" t="s">
        <v>6080</v>
      </c>
      <c r="H290" t="s">
        <v>6081</v>
      </c>
      <c r="I290">
        <f>-637.718732512455 -2.05994763951639 -922.788329255768</f>
        <v>-1562.5670094077393</v>
      </c>
      <c r="J290" t="s">
        <v>6082</v>
      </c>
      <c r="K290" t="s">
        <v>6083</v>
      </c>
      <c r="L290" t="s">
        <v>6084</v>
      </c>
      <c r="M290" t="s">
        <v>6085</v>
      </c>
      <c r="N290">
        <f>-719.726699267287 -1.74196672527137 -775.828483037808</f>
        <v>-1497.2971490303664</v>
      </c>
      <c r="O290">
        <f>-772.524978640233 -134.349696535412 -740.416937427308</f>
        <v>-1647.2916126029531</v>
      </c>
      <c r="P290">
        <f>-785.76954014408 -111.633005037646 -424.989056780357</f>
        <v>-1322.3916019620831</v>
      </c>
      <c r="Q290">
        <f>-541.21049849696 -73.3783774597423 -345.179910941672</f>
        <v>-959.76878689837429</v>
      </c>
      <c r="R290" t="s">
        <v>6086</v>
      </c>
      <c r="S290" t="s">
        <v>6087</v>
      </c>
      <c r="T290" t="s">
        <v>6088</v>
      </c>
      <c r="U290" t="s">
        <v>6089</v>
      </c>
      <c r="V290">
        <f>-730.886705894028 -36.1735830235648 -238.935612349782</f>
        <v>-1005.9959012673747</v>
      </c>
      <c r="W290" t="s">
        <v>6090</v>
      </c>
      <c r="X290" t="s">
        <v>6091</v>
      </c>
      <c r="Y290" t="s">
        <v>6092</v>
      </c>
    </row>
    <row r="291" spans="1:25" x14ac:dyDescent="0.3">
      <c r="A291">
        <v>14500</v>
      </c>
      <c r="B291" t="s">
        <v>6093</v>
      </c>
      <c r="C291" t="s">
        <v>6094</v>
      </c>
      <c r="D291" t="s">
        <v>6095</v>
      </c>
      <c r="E291" t="s">
        <v>6096</v>
      </c>
      <c r="F291" t="s">
        <v>6097</v>
      </c>
      <c r="G291" t="s">
        <v>6098</v>
      </c>
      <c r="H291" t="s">
        <v>6099</v>
      </c>
      <c r="I291">
        <f>-641.232436686702 -11.887022988614 -921.908580469015</f>
        <v>-1575.028040144331</v>
      </c>
      <c r="J291" t="s">
        <v>6100</v>
      </c>
      <c r="K291" t="s">
        <v>6101</v>
      </c>
      <c r="L291" t="s">
        <v>6102</v>
      </c>
      <c r="M291" t="s">
        <v>6103</v>
      </c>
      <c r="N291">
        <f>-722.84161501088 -11.2614707313426 -774.616585128328</f>
        <v>-1508.7196708705505</v>
      </c>
      <c r="O291">
        <f>-773.76232458294 -144.290729283957 -738.023393960817</f>
        <v>-1656.076447827714</v>
      </c>
      <c r="P291">
        <f>-787.910821928617 -118.751572529238 -422.850679165075</f>
        <v>-1329.5130736229301</v>
      </c>
      <c r="Q291">
        <f>-544.124883622602 -76.3665291325028 -342.763103460579</f>
        <v>-963.25451621568391</v>
      </c>
      <c r="R291" t="s">
        <v>6104</v>
      </c>
      <c r="S291" t="s">
        <v>6105</v>
      </c>
      <c r="T291" t="s">
        <v>6106</v>
      </c>
      <c r="U291" t="s">
        <v>6107</v>
      </c>
      <c r="V291">
        <f>-735.313309875949 -41.9385062380229 -237.942180379875</f>
        <v>-1015.193996493847</v>
      </c>
      <c r="W291" t="s">
        <v>6108</v>
      </c>
      <c r="X291" t="s">
        <v>6109</v>
      </c>
      <c r="Y291" t="s">
        <v>6110</v>
      </c>
    </row>
    <row r="292" spans="1:25" x14ac:dyDescent="0.3">
      <c r="A292">
        <v>14550</v>
      </c>
      <c r="B292" t="s">
        <v>6111</v>
      </c>
      <c r="C292" t="s">
        <v>6112</v>
      </c>
      <c r="D292" t="s">
        <v>6113</v>
      </c>
      <c r="E292" t="s">
        <v>6114</v>
      </c>
      <c r="F292" t="s">
        <v>6115</v>
      </c>
      <c r="G292" t="s">
        <v>6116</v>
      </c>
      <c r="H292" t="s">
        <v>6117</v>
      </c>
      <c r="I292">
        <f>-648.781595626291 -21.913218633679 -924.297803135848</f>
        <v>-1594.9926173958179</v>
      </c>
      <c r="J292" t="s">
        <v>6118</v>
      </c>
      <c r="K292" t="s">
        <v>6119</v>
      </c>
      <c r="L292" t="s">
        <v>6120</v>
      </c>
      <c r="M292" t="s">
        <v>6121</v>
      </c>
      <c r="N292">
        <f>-729.013262341768 -20.759421071245 -776.05639891396</f>
        <v>-1525.8290823269731</v>
      </c>
      <c r="O292">
        <f>-776.679856573631 -154.243035202037 -736.916568710869</f>
        <v>-1667.8394604865371</v>
      </c>
      <c r="P292">
        <f>-790.59420624443 -123.485216564937 -422.20003802592</f>
        <v>-1336.279460835287</v>
      </c>
      <c r="Q292">
        <f>-547.782291275388 -74.8195620996009 -342.726584797539</f>
        <v>-965.32843817252797</v>
      </c>
      <c r="R292" t="s">
        <v>6122</v>
      </c>
      <c r="S292" t="s">
        <v>6123</v>
      </c>
      <c r="T292" t="s">
        <v>6124</v>
      </c>
      <c r="U292" t="s">
        <v>6125</v>
      </c>
      <c r="V292">
        <f>-743.239886999828 -46.1553768060287 -238.491817271794</f>
        <v>-1027.8870810776507</v>
      </c>
      <c r="W292" t="s">
        <v>6126</v>
      </c>
      <c r="X292" t="s">
        <v>6127</v>
      </c>
      <c r="Y292" t="s">
        <v>6128</v>
      </c>
    </row>
    <row r="293" spans="1:25" x14ac:dyDescent="0.3">
      <c r="A293">
        <v>14600</v>
      </c>
      <c r="B293" t="s">
        <v>6129</v>
      </c>
      <c r="C293" t="s">
        <v>6130</v>
      </c>
      <c r="D293" t="s">
        <v>6131</v>
      </c>
      <c r="E293" t="s">
        <v>6132</v>
      </c>
      <c r="F293" t="s">
        <v>6133</v>
      </c>
      <c r="G293" t="s">
        <v>6134</v>
      </c>
      <c r="H293">
        <f>-710.551921596466 -3.20598600310336 -845.892825157626</f>
        <v>-1559.6507327571953</v>
      </c>
      <c r="I293">
        <f>-652.478749325988 -25.9629677931089 -926.469512253167</f>
        <v>-1604.9112293722637</v>
      </c>
      <c r="J293" t="s">
        <v>6135</v>
      </c>
      <c r="K293" t="s">
        <v>6136</v>
      </c>
      <c r="L293" t="s">
        <v>6137</v>
      </c>
      <c r="M293" t="s">
        <v>6138</v>
      </c>
      <c r="N293">
        <f>-731.839381963704 -24.3357149852238 -777.677767949436</f>
        <v>-1533.8528648983638</v>
      </c>
      <c r="O293">
        <f>-778.391210099986 -157.763926012981 -737.199062026682</f>
        <v>-1673.3541981396488</v>
      </c>
      <c r="P293">
        <f>-791.575009240387 -124.88534433037 -422.665395613978</f>
        <v>-1339.125749184735</v>
      </c>
      <c r="Q293">
        <f>-548.890215039037 -74.4460954919252 -343.912324326884</f>
        <v>-967.24863485784624</v>
      </c>
      <c r="R293" t="s">
        <v>6139</v>
      </c>
      <c r="S293" t="s">
        <v>6140</v>
      </c>
      <c r="T293" t="s">
        <v>6141</v>
      </c>
      <c r="U293" t="s">
        <v>6142</v>
      </c>
      <c r="V293">
        <f>-745.3222387859 -46.9779574583149 -239.364082705028</f>
        <v>-1031.664278949243</v>
      </c>
      <c r="W293" t="s">
        <v>6143</v>
      </c>
      <c r="X293" t="s">
        <v>6144</v>
      </c>
      <c r="Y293" t="s">
        <v>6145</v>
      </c>
    </row>
    <row r="294" spans="1:25" x14ac:dyDescent="0.3">
      <c r="A294">
        <v>14650</v>
      </c>
      <c r="B294" t="s">
        <v>6146</v>
      </c>
      <c r="C294" t="s">
        <v>6147</v>
      </c>
      <c r="D294" t="s">
        <v>6148</v>
      </c>
      <c r="E294" t="s">
        <v>6149</v>
      </c>
      <c r="F294" t="s">
        <v>6150</v>
      </c>
      <c r="G294" t="s">
        <v>6151</v>
      </c>
      <c r="H294">
        <f>-713.334604268511 -10.1510236531544 -848.382821126257</f>
        <v>-1571.8684490479225</v>
      </c>
      <c r="I294">
        <f>-656.448791001476 -33.2735858202323 -929.698995524215</f>
        <v>-1619.4213723459234</v>
      </c>
      <c r="J294" t="s">
        <v>6152</v>
      </c>
      <c r="K294" t="s">
        <v>6153</v>
      </c>
      <c r="L294" t="s">
        <v>6154</v>
      </c>
      <c r="M294" t="s">
        <v>6155</v>
      </c>
      <c r="N294">
        <f>-733.702339668078 -30.7373715121046 -779.722120442306</f>
        <v>-1544.1618316224885</v>
      </c>
      <c r="O294">
        <f>-778.962295355731 -164.101918917173 -737.425136704412</f>
        <v>-1680.489350977316</v>
      </c>
      <c r="P294">
        <f>-789.457113125082 -127.615065926375 -423.18836611816</f>
        <v>-1340.260545169617</v>
      </c>
      <c r="Q294">
        <f>-546.357360589221 -76.6054408557784 -346.100335269944</f>
        <v>-969.06313671494343</v>
      </c>
      <c r="R294" t="s">
        <v>6156</v>
      </c>
      <c r="S294" t="s">
        <v>6157</v>
      </c>
      <c r="T294" t="s">
        <v>6158</v>
      </c>
      <c r="U294" t="s">
        <v>6159</v>
      </c>
      <c r="V294">
        <f>-744.222744535759 -47.8384547881797 -239.735087395142</f>
        <v>-1031.7962867190806</v>
      </c>
      <c r="W294" t="s">
        <v>6160</v>
      </c>
      <c r="X294" t="s">
        <v>6161</v>
      </c>
      <c r="Y294" t="s">
        <v>6162</v>
      </c>
    </row>
    <row r="295" spans="1:25" x14ac:dyDescent="0.3">
      <c r="A295">
        <v>14700</v>
      </c>
      <c r="B295" t="s">
        <v>6163</v>
      </c>
      <c r="C295" t="s">
        <v>6164</v>
      </c>
      <c r="D295" t="s">
        <v>6165</v>
      </c>
      <c r="E295" t="s">
        <v>6166</v>
      </c>
      <c r="F295" t="s">
        <v>6167</v>
      </c>
      <c r="G295" t="s">
        <v>6168</v>
      </c>
      <c r="H295">
        <f>-713.614401733061 -11.6674089010073 -848.568903289023</f>
        <v>-1573.8507139230912</v>
      </c>
      <c r="I295">
        <f>-657.416510120852 -34.9679750640043 -930.311452802589</f>
        <v>-1622.6959379874452</v>
      </c>
      <c r="J295" t="s">
        <v>6169</v>
      </c>
      <c r="K295" t="s">
        <v>6170</v>
      </c>
      <c r="L295" t="s">
        <v>6171</v>
      </c>
      <c r="M295" t="s">
        <v>6172</v>
      </c>
      <c r="N295">
        <f>-733.584877303991 -32.1436961047586 -779.758848657706</f>
        <v>-1545.4874220664556</v>
      </c>
      <c r="O295">
        <f>-779.064011909099 -165.347801990817 -737.089624621246</f>
        <v>-1681.5014385211621</v>
      </c>
      <c r="P295">
        <f>-787.565135777524 -127.587277617666 -422.943104190182</f>
        <v>-1338.0955175853719</v>
      </c>
      <c r="Q295">
        <f>-544.000969566219 -77.4297040095325 -346.767103705319</f>
        <v>-968.19777728107056</v>
      </c>
      <c r="R295" t="s">
        <v>6173</v>
      </c>
      <c r="S295" t="s">
        <v>6174</v>
      </c>
      <c r="T295" t="s">
        <v>6175</v>
      </c>
      <c r="U295" t="s">
        <v>6176</v>
      </c>
      <c r="V295">
        <f>-741.690139402612 -47.3027869171094 -238.960498639616</f>
        <v>-1027.9534249593373</v>
      </c>
      <c r="W295" t="s">
        <v>6177</v>
      </c>
      <c r="X295" t="s">
        <v>6178</v>
      </c>
      <c r="Y295" t="s">
        <v>6179</v>
      </c>
    </row>
    <row r="296" spans="1:25" x14ac:dyDescent="0.3">
      <c r="A296">
        <v>14750</v>
      </c>
      <c r="B296" t="s">
        <v>6180</v>
      </c>
      <c r="C296" t="s">
        <v>6181</v>
      </c>
      <c r="D296" t="s">
        <v>6182</v>
      </c>
      <c r="E296" t="s">
        <v>6183</v>
      </c>
      <c r="F296" t="s">
        <v>6184</v>
      </c>
      <c r="G296" t="s">
        <v>6185</v>
      </c>
      <c r="H296">
        <f>-712.408063407137 -11.0225183109696 -846.647708529716</f>
        <v>-1570.0782902478227</v>
      </c>
      <c r="I296">
        <f>-657.75935446551 -34.5466730609835 -929.370917857456</f>
        <v>-1621.6769453839495</v>
      </c>
      <c r="J296" t="s">
        <v>6186</v>
      </c>
      <c r="K296" t="s">
        <v>6187</v>
      </c>
      <c r="L296" t="s">
        <v>6188</v>
      </c>
      <c r="M296" t="s">
        <v>6189</v>
      </c>
      <c r="N296">
        <f>-731.680653710225 -31.5450702414639 -777.652713620577</f>
        <v>-1540.8784375722657</v>
      </c>
      <c r="O296">
        <f>-778.702059914207 -164.222895533951 -735.07599046879</f>
        <v>-1678.000945916948</v>
      </c>
      <c r="P296">
        <f>-782.905467180914 -127.108047969492 -420.765514122754</f>
        <v>-1330.7790292731599</v>
      </c>
      <c r="Q296">
        <f>-538.047285534017 -80.0170099273087 -346.813011598241</f>
        <v>-964.87730705956665</v>
      </c>
      <c r="R296" t="s">
        <v>6190</v>
      </c>
      <c r="S296" t="s">
        <v>6191</v>
      </c>
      <c r="T296" t="s">
        <v>6192</v>
      </c>
      <c r="U296" t="s">
        <v>6193</v>
      </c>
      <c r="V296">
        <f>-733.436786587633 -45.6560921943817 -235.799596795675</f>
        <v>-1014.8924755776898</v>
      </c>
      <c r="W296" t="s">
        <v>6194</v>
      </c>
      <c r="X296" t="s">
        <v>6195</v>
      </c>
      <c r="Y296" t="s">
        <v>6196</v>
      </c>
    </row>
    <row r="297" spans="1:25" x14ac:dyDescent="0.3">
      <c r="A297">
        <v>14800</v>
      </c>
      <c r="B297" t="s">
        <v>6197</v>
      </c>
      <c r="C297" t="s">
        <v>6198</v>
      </c>
      <c r="D297" t="s">
        <v>6199</v>
      </c>
      <c r="E297" t="s">
        <v>6200</v>
      </c>
      <c r="F297" t="s">
        <v>6201</v>
      </c>
      <c r="G297" t="s">
        <v>6202</v>
      </c>
      <c r="H297">
        <f>-711.734920821083 -8.85711057209778 -845.036526012959</f>
        <v>-1565.6285574061399</v>
      </c>
      <c r="I297">
        <f>-657.965866310539 -32.4301305185622 -928.320383748147</f>
        <v>-1618.7163805772484</v>
      </c>
      <c r="J297" t="s">
        <v>6203</v>
      </c>
      <c r="K297" t="s">
        <v>6204</v>
      </c>
      <c r="L297" t="s">
        <v>6205</v>
      </c>
      <c r="M297" t="s">
        <v>6206</v>
      </c>
      <c r="N297">
        <f>-730.686809782995 -29.4936236187611 -775.98678750215</f>
        <v>-1536.1672209039061</v>
      </c>
      <c r="O297">
        <f>-778.949930552538 -161.836004600381 -733.731633685458</f>
        <v>-1674.517568838377</v>
      </c>
      <c r="P297">
        <f>-781.026234317489 -125.909616938746 -419.26193941988</f>
        <v>-1326.1977906761149</v>
      </c>
      <c r="Q297">
        <f>-535.432645410802 -81.1274179395966 -346.32097527893</f>
        <v>-962.88103862932871</v>
      </c>
      <c r="R297" t="s">
        <v>6207</v>
      </c>
      <c r="S297" t="s">
        <v>6208</v>
      </c>
      <c r="T297" t="s">
        <v>6209</v>
      </c>
      <c r="U297" t="s">
        <v>6210</v>
      </c>
      <c r="V297">
        <f>-728.268087240787 -44.9623480072348 -234.076451969716</f>
        <v>-1007.3068872177379</v>
      </c>
      <c r="W297" t="s">
        <v>6211</v>
      </c>
      <c r="X297" t="s">
        <v>6212</v>
      </c>
      <c r="Y297" t="s">
        <v>6213</v>
      </c>
    </row>
    <row r="298" spans="1:25" x14ac:dyDescent="0.3">
      <c r="A298">
        <v>14850</v>
      </c>
      <c r="B298" t="s">
        <v>6214</v>
      </c>
      <c r="C298" t="s">
        <v>6215</v>
      </c>
      <c r="D298" t="s">
        <v>6216</v>
      </c>
      <c r="E298" t="s">
        <v>6217</v>
      </c>
      <c r="F298" t="s">
        <v>6218</v>
      </c>
      <c r="G298" t="s">
        <v>6219</v>
      </c>
      <c r="H298">
        <f>-709.622287404726 -3.57825734591211 -842.287440495252</f>
        <v>-1555.4879852458901</v>
      </c>
      <c r="I298">
        <f>-657.753190279738 -27.2781586979006 -926.732053644433</f>
        <v>-1611.7634026220717</v>
      </c>
      <c r="J298" t="s">
        <v>6220</v>
      </c>
      <c r="K298" t="s">
        <v>6221</v>
      </c>
      <c r="L298" t="s">
        <v>6222</v>
      </c>
      <c r="M298" t="s">
        <v>6223</v>
      </c>
      <c r="N298">
        <f>-727.979931842742 -24.4866115889179 -773.158972436906</f>
        <v>-1525.6255158685658</v>
      </c>
      <c r="O298">
        <f>-779.483797079678 -155.76304433435 -731.682010272756</f>
        <v>-1666.9288516867841</v>
      </c>
      <c r="P298">
        <f>-777.551332567499 -124.237502363075 -416.739738862663</f>
        <v>-1318.528573793237</v>
      </c>
      <c r="Q298">
        <f>-530.640703243845 -84.709527256691 -345.222288784362</f>
        <v>-960.57251928489791</v>
      </c>
      <c r="R298" t="s">
        <v>6224</v>
      </c>
      <c r="S298" t="s">
        <v>6225</v>
      </c>
      <c r="T298" t="s">
        <v>6226</v>
      </c>
      <c r="U298" t="s">
        <v>6227</v>
      </c>
      <c r="V298">
        <f>-717.305527488745 -45.129176293525 -231.506901514952</f>
        <v>-993.94160529722205</v>
      </c>
      <c r="W298" t="s">
        <v>6228</v>
      </c>
      <c r="X298" t="s">
        <v>6229</v>
      </c>
      <c r="Y298" t="s">
        <v>6230</v>
      </c>
    </row>
    <row r="299" spans="1:25" x14ac:dyDescent="0.3">
      <c r="A299">
        <v>14900</v>
      </c>
      <c r="B299" t="s">
        <v>6231</v>
      </c>
      <c r="C299" t="s">
        <v>6232</v>
      </c>
      <c r="D299" t="s">
        <v>6233</v>
      </c>
      <c r="E299" t="s">
        <v>6234</v>
      </c>
      <c r="F299" t="s">
        <v>6235</v>
      </c>
      <c r="G299" t="s">
        <v>6236</v>
      </c>
      <c r="H299">
        <f>-707.594709492971 -0.705584025286271 -841.537594556532</f>
        <v>-1549.8378880747891</v>
      </c>
      <c r="I299">
        <f>-656.691483858987 -24.4533095588345 -926.554652809089</f>
        <v>-1607.6994462269104</v>
      </c>
      <c r="J299" t="s">
        <v>6237</v>
      </c>
      <c r="K299" t="s">
        <v>6238</v>
      </c>
      <c r="L299" t="s">
        <v>6239</v>
      </c>
      <c r="M299" t="s">
        <v>6240</v>
      </c>
      <c r="N299">
        <f>-725.741089204067 -21.7893956693451 -772.406727156996</f>
        <v>-1519.9372120304081</v>
      </c>
      <c r="O299">
        <f>-778.9017146219 -152.496712098792 -731.229707032866</f>
        <v>-1662.6281337535579</v>
      </c>
      <c r="P299">
        <f>-775.269380733737 -125.004821754202 -415.924705047106</f>
        <v>-1316.198907535045</v>
      </c>
      <c r="Q299">
        <f>-527.934369746553 -87.8335219231703 -344.610625127506</f>
        <v>-960.37851679722939</v>
      </c>
      <c r="R299" t="s">
        <v>6241</v>
      </c>
      <c r="S299" t="s">
        <v>6242</v>
      </c>
      <c r="T299" t="s">
        <v>6243</v>
      </c>
      <c r="U299" t="s">
        <v>6244</v>
      </c>
      <c r="V299">
        <f>-711.309327114637 -45.1430580277574 -230.63111604324</f>
        <v>-987.08350118563442</v>
      </c>
      <c r="W299" t="s">
        <v>6245</v>
      </c>
      <c r="X299" t="s">
        <v>6246</v>
      </c>
      <c r="Y299" t="s">
        <v>6247</v>
      </c>
    </row>
    <row r="300" spans="1:25" x14ac:dyDescent="0.3">
      <c r="A300">
        <v>14950</v>
      </c>
      <c r="B300" t="s">
        <v>6248</v>
      </c>
      <c r="C300" t="s">
        <v>6249</v>
      </c>
      <c r="D300" t="s">
        <v>6250</v>
      </c>
      <c r="E300" t="s">
        <v>6251</v>
      </c>
      <c r="F300" t="s">
        <v>6252</v>
      </c>
      <c r="G300" t="s">
        <v>6253</v>
      </c>
      <c r="H300" t="s">
        <v>6254</v>
      </c>
      <c r="I300">
        <f>-651.155954975407 -14.9454471445208 -926.443566155882</f>
        <v>-1592.5449682758099</v>
      </c>
      <c r="J300" t="s">
        <v>6255</v>
      </c>
      <c r="K300" t="s">
        <v>6256</v>
      </c>
      <c r="L300" t="s">
        <v>6257</v>
      </c>
      <c r="M300" t="s">
        <v>6258</v>
      </c>
      <c r="N300">
        <f>-718.510135316887 -13.3296251356037 -771.444582848831</f>
        <v>-1503.2843433013218</v>
      </c>
      <c r="O300">
        <f>-775.328158791885 -143.092979969103 -731.761426639874</f>
        <v>-1650.1825654008621</v>
      </c>
      <c r="P300">
        <f>-770.359206994983 -123.14031701861 -415.907818442607</f>
        <v>-1309.4073424561998</v>
      </c>
      <c r="Q300">
        <f>-522.773709855503 -88.83060192723 -344.030713332577</f>
        <v>-955.63502511530987</v>
      </c>
      <c r="R300" t="s">
        <v>6259</v>
      </c>
      <c r="S300" t="s">
        <v>6260</v>
      </c>
      <c r="T300" t="s">
        <v>6261</v>
      </c>
      <c r="U300" t="s">
        <v>6262</v>
      </c>
      <c r="V300">
        <f>-698.429627490159 -42.7663033164097 -228.789459539912</f>
        <v>-969.9853903464807</v>
      </c>
      <c r="W300" t="s">
        <v>6263</v>
      </c>
      <c r="X300" t="s">
        <v>6264</v>
      </c>
      <c r="Y300" t="s">
        <v>6265</v>
      </c>
    </row>
    <row r="301" spans="1:25" x14ac:dyDescent="0.3">
      <c r="A301">
        <v>15000</v>
      </c>
      <c r="B301" t="s">
        <v>6266</v>
      </c>
      <c r="C301" t="s">
        <v>6267</v>
      </c>
      <c r="D301" t="s">
        <v>6268</v>
      </c>
      <c r="E301" t="s">
        <v>6269</v>
      </c>
      <c r="F301" t="s">
        <v>6270</v>
      </c>
      <c r="G301" t="s">
        <v>6271</v>
      </c>
      <c r="H301" t="s">
        <v>6272</v>
      </c>
      <c r="I301">
        <f>-646.458421392409 -9.34328466453189 -925.768854213835</f>
        <v>-1581.5705602707758</v>
      </c>
      <c r="J301" t="s">
        <v>6273</v>
      </c>
      <c r="K301" t="s">
        <v>6274</v>
      </c>
      <c r="L301" t="s">
        <v>6275</v>
      </c>
      <c r="M301" t="s">
        <v>6276</v>
      </c>
      <c r="N301">
        <f>-713.43663799783 -8.49951866475226 -770.534948566986</f>
        <v>-1492.4711052295684</v>
      </c>
      <c r="O301">
        <f>-771.942744678115 -137.808227599113 -732.008122958616</f>
        <v>-1641.7590952358441</v>
      </c>
      <c r="P301">
        <f>-767.970566361057 -119.771230730707 -416.025390919227</f>
        <v>-1303.767188010991</v>
      </c>
      <c r="Q301">
        <f>-520.438715055567 -87.0938134910457 -343.209020505596</f>
        <v>-950.74154905220871</v>
      </c>
      <c r="R301" t="s">
        <v>6277</v>
      </c>
      <c r="S301" t="s">
        <v>6278</v>
      </c>
      <c r="T301" t="s">
        <v>6279</v>
      </c>
      <c r="U301" t="s">
        <v>6280</v>
      </c>
      <c r="V301">
        <f>-691.446263252494 -40.9403345282212 -227.415043767671</f>
        <v>-959.80164154838621</v>
      </c>
      <c r="W301" t="s">
        <v>6281</v>
      </c>
      <c r="X301" t="s">
        <v>6282</v>
      </c>
      <c r="Y301" t="s">
        <v>6283</v>
      </c>
    </row>
    <row r="302" spans="1:25" x14ac:dyDescent="0.3">
      <c r="A302">
        <v>15050</v>
      </c>
      <c r="B302" t="s">
        <v>6284</v>
      </c>
      <c r="C302" t="s">
        <v>6285</v>
      </c>
      <c r="D302" t="s">
        <v>6286</v>
      </c>
      <c r="E302" t="s">
        <v>6287</v>
      </c>
      <c r="F302" t="s">
        <v>6288</v>
      </c>
      <c r="G302" t="s">
        <v>6289</v>
      </c>
      <c r="H302" t="s">
        <v>6290</v>
      </c>
      <c r="I302" t="s">
        <v>6291</v>
      </c>
      <c r="J302" t="s">
        <v>6292</v>
      </c>
      <c r="K302" t="s">
        <v>6293</v>
      </c>
      <c r="L302" t="s">
        <v>6294</v>
      </c>
      <c r="M302" t="s">
        <v>6295</v>
      </c>
      <c r="N302" t="s">
        <v>6296</v>
      </c>
      <c r="O302">
        <f>-767.053360742482 -126.015884814561 -732.152108589714</f>
        <v>-1625.221354146757</v>
      </c>
      <c r="P302">
        <f>-765.160595404616 -109.196732772927 -416.082869978452</f>
        <v>-1290.4401981559949</v>
      </c>
      <c r="Q302">
        <f>-517.416364965494 -82.3672170369821 -341.618068968903</f>
        <v>-941.40165097137913</v>
      </c>
      <c r="R302" t="s">
        <v>6297</v>
      </c>
      <c r="S302" t="s">
        <v>6298</v>
      </c>
      <c r="T302" t="s">
        <v>6299</v>
      </c>
      <c r="U302" t="s">
        <v>6300</v>
      </c>
      <c r="V302">
        <f>-680.572499403112 -36.0679578120248 -224.232871536824</f>
        <v>-940.8733287519608</v>
      </c>
      <c r="W302" t="s">
        <v>6301</v>
      </c>
      <c r="X302" t="s">
        <v>6302</v>
      </c>
      <c r="Y302" t="s">
        <v>6303</v>
      </c>
    </row>
    <row r="303" spans="1:25" x14ac:dyDescent="0.3">
      <c r="A303">
        <v>15100</v>
      </c>
      <c r="B303" t="s">
        <v>6304</v>
      </c>
      <c r="C303" t="s">
        <v>6305</v>
      </c>
      <c r="D303" t="s">
        <v>6306</v>
      </c>
      <c r="E303" t="s">
        <v>6307</v>
      </c>
      <c r="F303" t="s">
        <v>6308</v>
      </c>
      <c r="G303" t="s">
        <v>6309</v>
      </c>
      <c r="H303" t="s">
        <v>6310</v>
      </c>
      <c r="I303" t="s">
        <v>6311</v>
      </c>
      <c r="J303" t="s">
        <v>6312</v>
      </c>
      <c r="K303" t="s">
        <v>6313</v>
      </c>
      <c r="L303" t="s">
        <v>6314</v>
      </c>
      <c r="M303" t="s">
        <v>6315</v>
      </c>
      <c r="N303" t="s">
        <v>6316</v>
      </c>
      <c r="O303">
        <f>-764.578405775458 -120.149623734072 -731.555975572212</f>
        <v>-1616.284005081742</v>
      </c>
      <c r="P303">
        <f>-763.14881613366 -103.684396350992 -415.465699988297</f>
        <v>-1282.298912472949</v>
      </c>
      <c r="Q303">
        <f>-515.012421978759 -81.4415540513478 -340.795356276065</f>
        <v>-937.24933230617171</v>
      </c>
      <c r="R303" t="s">
        <v>6317</v>
      </c>
      <c r="S303" t="s">
        <v>6318</v>
      </c>
      <c r="T303" t="s">
        <v>6319</v>
      </c>
      <c r="U303" t="s">
        <v>6320</v>
      </c>
      <c r="V303">
        <f>-675.721258143248 -32.5946875702498 -222.252788175867</f>
        <v>-930.56873388936469</v>
      </c>
      <c r="W303" t="s">
        <v>6321</v>
      </c>
      <c r="X303" t="s">
        <v>6322</v>
      </c>
      <c r="Y303" t="s">
        <v>6323</v>
      </c>
    </row>
    <row r="304" spans="1:25" x14ac:dyDescent="0.3">
      <c r="A304">
        <v>15150</v>
      </c>
      <c r="B304" t="s">
        <v>6324</v>
      </c>
      <c r="C304" t="s">
        <v>6325</v>
      </c>
      <c r="D304" t="s">
        <v>6326</v>
      </c>
      <c r="E304" t="s">
        <v>6327</v>
      </c>
      <c r="F304" t="s">
        <v>6328</v>
      </c>
      <c r="G304" t="s">
        <v>6329</v>
      </c>
      <c r="H304" t="s">
        <v>6330</v>
      </c>
      <c r="I304" t="s">
        <v>6331</v>
      </c>
      <c r="J304" t="s">
        <v>6332</v>
      </c>
      <c r="K304" t="s">
        <v>6333</v>
      </c>
      <c r="L304" t="s">
        <v>6334</v>
      </c>
      <c r="M304" t="s">
        <v>6335</v>
      </c>
      <c r="N304" t="s">
        <v>6336</v>
      </c>
      <c r="O304">
        <f>-760.108567698906 -108.185429756057 -729.911027548336</f>
        <v>-1598.2050250032989</v>
      </c>
      <c r="P304">
        <f>-758.505983337676 -92.3793407884957 -413.787980110274</f>
        <v>-1264.6733042364458</v>
      </c>
      <c r="Q304">
        <f>-509.658072895168 -81.4341270699344 -338.974951009801</f>
        <v>-930.06715097490337</v>
      </c>
      <c r="R304" t="s">
        <v>6337</v>
      </c>
      <c r="S304" t="s">
        <v>6338</v>
      </c>
      <c r="T304" t="s">
        <v>6339</v>
      </c>
      <c r="U304" t="s">
        <v>6340</v>
      </c>
      <c r="V304">
        <f>-667.047433217477 -24.4790868101588 -218.798255634797</f>
        <v>-910.32477566243278</v>
      </c>
      <c r="W304" t="s">
        <v>6341</v>
      </c>
      <c r="X304" t="s">
        <v>6342</v>
      </c>
      <c r="Y304" t="s">
        <v>6343</v>
      </c>
    </row>
    <row r="305" spans="1:25" x14ac:dyDescent="0.3">
      <c r="A305">
        <v>15200</v>
      </c>
      <c r="B305" t="s">
        <v>6344</v>
      </c>
      <c r="C305" t="s">
        <v>6345</v>
      </c>
      <c r="D305" t="s">
        <v>6346</v>
      </c>
      <c r="E305" t="s">
        <v>6347</v>
      </c>
      <c r="F305" t="s">
        <v>6348</v>
      </c>
      <c r="G305" t="s">
        <v>6349</v>
      </c>
      <c r="H305" t="s">
        <v>6350</v>
      </c>
      <c r="I305" t="s">
        <v>6351</v>
      </c>
      <c r="J305" t="s">
        <v>6352</v>
      </c>
      <c r="K305" t="s">
        <v>6353</v>
      </c>
      <c r="L305" t="s">
        <v>6354</v>
      </c>
      <c r="M305" t="s">
        <v>6355</v>
      </c>
      <c r="N305" t="s">
        <v>6356</v>
      </c>
      <c r="O305">
        <f>-756.438935484819 -101.664004274097 -729.937843564681</f>
        <v>-1588.040783323597</v>
      </c>
      <c r="P305">
        <f>-755.045941759827 -86.2275281073751 -413.795517098593</f>
        <v>-1255.0689869657949</v>
      </c>
      <c r="Q305">
        <f>-506.200882552869 -80.6897428586688 -338.379739286194</f>
        <v>-925.27036469773179</v>
      </c>
      <c r="R305" t="s">
        <v>6357</v>
      </c>
      <c r="S305" t="s">
        <v>6358</v>
      </c>
      <c r="T305" t="s">
        <v>6359</v>
      </c>
      <c r="U305" t="s">
        <v>6360</v>
      </c>
      <c r="V305">
        <f>-661.70170833422 -20.884212991919 -218.48401630803</f>
        <v>-901.06993763416904</v>
      </c>
      <c r="W305" t="s">
        <v>6361</v>
      </c>
      <c r="X305" t="s">
        <v>6362</v>
      </c>
      <c r="Y305" t="s">
        <v>6363</v>
      </c>
    </row>
    <row r="306" spans="1:25" x14ac:dyDescent="0.3">
      <c r="A306">
        <v>15250</v>
      </c>
      <c r="B306" t="s">
        <v>6364</v>
      </c>
      <c r="C306" t="s">
        <v>6365</v>
      </c>
      <c r="D306" t="s">
        <v>6366</v>
      </c>
      <c r="E306" t="s">
        <v>6367</v>
      </c>
      <c r="F306" t="s">
        <v>6368</v>
      </c>
      <c r="G306" t="s">
        <v>6369</v>
      </c>
      <c r="H306" t="s">
        <v>6370</v>
      </c>
      <c r="I306" t="s">
        <v>6371</v>
      </c>
      <c r="J306" t="s">
        <v>6372</v>
      </c>
      <c r="K306" t="s">
        <v>6373</v>
      </c>
      <c r="L306" t="s">
        <v>6374</v>
      </c>
      <c r="M306" t="s">
        <v>6375</v>
      </c>
      <c r="N306" t="s">
        <v>6376</v>
      </c>
      <c r="O306">
        <f>-748.382396969203 -89.5836308754037 -733.384547340952</f>
        <v>-1571.3505751855587</v>
      </c>
      <c r="P306">
        <f>-750.046121858471 -74.3717410309016 -417.232683257088</f>
        <v>-1241.6505461464606</v>
      </c>
      <c r="Q306">
        <f>-501.91698568317 -77.3606119202848 -339.354661768502</f>
        <v>-918.63225937195693</v>
      </c>
      <c r="R306" t="s">
        <v>6377</v>
      </c>
      <c r="S306" t="s">
        <v>6378</v>
      </c>
      <c r="T306" t="s">
        <v>6379</v>
      </c>
      <c r="U306" t="s">
        <v>6380</v>
      </c>
      <c r="V306">
        <f>-662.756715389217 -10.1439670437501 -222.248749747292</f>
        <v>-895.14943218025905</v>
      </c>
      <c r="W306" t="s">
        <v>6381</v>
      </c>
      <c r="X306" t="s">
        <v>6382</v>
      </c>
      <c r="Y306" t="s">
        <v>6383</v>
      </c>
    </row>
    <row r="307" spans="1:25" x14ac:dyDescent="0.3">
      <c r="A307">
        <v>15300</v>
      </c>
      <c r="B307" t="s">
        <v>6384</v>
      </c>
      <c r="C307" t="s">
        <v>6385</v>
      </c>
      <c r="D307" t="s">
        <v>6386</v>
      </c>
      <c r="E307" t="s">
        <v>6387</v>
      </c>
      <c r="F307" t="s">
        <v>6388</v>
      </c>
      <c r="G307" t="s">
        <v>6389</v>
      </c>
      <c r="H307" t="s">
        <v>6390</v>
      </c>
      <c r="I307" t="s">
        <v>6391</v>
      </c>
      <c r="J307" t="s">
        <v>6392</v>
      </c>
      <c r="K307" t="s">
        <v>6393</v>
      </c>
      <c r="L307" t="s">
        <v>6394</v>
      </c>
      <c r="M307" t="s">
        <v>6395</v>
      </c>
      <c r="N307" t="s">
        <v>6396</v>
      </c>
      <c r="O307">
        <f>-744.945045728545 -84.8568085899301 -735.854620289043</f>
        <v>-1565.6564746075182</v>
      </c>
      <c r="P307">
        <f>-749.76727504513 -68.5171109735538 -419.791464854685</f>
        <v>-1238.0758508733688</v>
      </c>
      <c r="Q307">
        <f>-502.171168887334 -74.8432867466752 -340.430378463321</f>
        <v>-917.44483409733016</v>
      </c>
      <c r="R307" t="s">
        <v>6397</v>
      </c>
      <c r="S307" t="s">
        <v>6398</v>
      </c>
      <c r="T307" t="s">
        <v>6399</v>
      </c>
      <c r="U307" t="s">
        <v>6400</v>
      </c>
      <c r="V307">
        <f>-664.79884451686 -4.55524493223015 -224.72073347062</f>
        <v>-894.07482291971007</v>
      </c>
      <c r="W307" t="s">
        <v>6401</v>
      </c>
      <c r="X307" t="s">
        <v>6402</v>
      </c>
      <c r="Y307" t="s">
        <v>6403</v>
      </c>
    </row>
    <row r="308" spans="1:25" x14ac:dyDescent="0.3">
      <c r="A308">
        <v>15350</v>
      </c>
      <c r="B308" t="s">
        <v>6404</v>
      </c>
      <c r="C308" t="s">
        <v>6405</v>
      </c>
      <c r="D308" t="s">
        <v>6406</v>
      </c>
      <c r="E308" t="s">
        <v>6407</v>
      </c>
      <c r="F308" t="s">
        <v>6408</v>
      </c>
      <c r="G308" t="s">
        <v>6409</v>
      </c>
      <c r="H308" t="s">
        <v>6410</v>
      </c>
      <c r="I308" t="s">
        <v>6411</v>
      </c>
      <c r="J308" t="s">
        <v>6412</v>
      </c>
      <c r="K308" t="s">
        <v>6413</v>
      </c>
      <c r="L308" t="s">
        <v>6414</v>
      </c>
      <c r="M308" t="s">
        <v>6415</v>
      </c>
      <c r="N308" t="s">
        <v>6416</v>
      </c>
      <c r="O308">
        <f>-736.015109382829 -76.3104015542049 -741.294548870417</f>
        <v>-1553.6200598074508</v>
      </c>
      <c r="P308">
        <f>-745.789435930758 -59.8748700167589 -425.350752473144</f>
        <v>-1231.0150584206608</v>
      </c>
      <c r="Q308">
        <f>-499.483654387888 -71.0496788617963 -342.58230334165</f>
        <v>-913.11563659133435</v>
      </c>
      <c r="R308" t="s">
        <v>6417</v>
      </c>
      <c r="S308" t="s">
        <v>6418</v>
      </c>
      <c r="T308" t="s">
        <v>6419</v>
      </c>
      <c r="U308" t="s">
        <v>6420</v>
      </c>
      <c r="V308" t="s">
        <v>6421</v>
      </c>
      <c r="W308" t="s">
        <v>6422</v>
      </c>
      <c r="X308" t="s">
        <v>6423</v>
      </c>
      <c r="Y308" t="s">
        <v>6424</v>
      </c>
    </row>
    <row r="309" spans="1:25" x14ac:dyDescent="0.3">
      <c r="A309">
        <v>15400</v>
      </c>
      <c r="B309" t="s">
        <v>6425</v>
      </c>
      <c r="C309" t="s">
        <v>6426</v>
      </c>
      <c r="D309" t="s">
        <v>6427</v>
      </c>
      <c r="E309" t="s">
        <v>6428</v>
      </c>
      <c r="F309" t="s">
        <v>6429</v>
      </c>
      <c r="G309" t="s">
        <v>6430</v>
      </c>
      <c r="H309" t="s">
        <v>6431</v>
      </c>
      <c r="I309" t="s">
        <v>6432</v>
      </c>
      <c r="J309" t="s">
        <v>6433</v>
      </c>
      <c r="K309" t="s">
        <v>6434</v>
      </c>
      <c r="L309" t="s">
        <v>6435</v>
      </c>
      <c r="M309" t="s">
        <v>6436</v>
      </c>
      <c r="N309" t="s">
        <v>6437</v>
      </c>
      <c r="O309">
        <f>-732.126984863003 -72.5915721102458 -743.6996844732</f>
        <v>-1548.418241446449</v>
      </c>
      <c r="P309">
        <f>-743.830153494278 -56.2091546211609 -427.818659848573</f>
        <v>-1227.857967964012</v>
      </c>
      <c r="Q309">
        <f>-498.17595554517 -69.2354325021047 -343.400731406218</f>
        <v>-910.81211945349264</v>
      </c>
      <c r="R309" t="s">
        <v>6438</v>
      </c>
      <c r="S309" t="s">
        <v>6439</v>
      </c>
      <c r="T309" t="s">
        <v>6440</v>
      </c>
      <c r="U309" t="s">
        <v>6441</v>
      </c>
      <c r="V309" t="s">
        <v>6442</v>
      </c>
      <c r="W309" t="s">
        <v>6443</v>
      </c>
      <c r="X309" t="s">
        <v>6444</v>
      </c>
      <c r="Y309" t="s">
        <v>6445</v>
      </c>
    </row>
    <row r="310" spans="1:25" x14ac:dyDescent="0.3">
      <c r="A310">
        <v>15450</v>
      </c>
      <c r="B310" t="s">
        <v>6446</v>
      </c>
      <c r="C310" t="s">
        <v>6447</v>
      </c>
      <c r="D310" t="s">
        <v>6448</v>
      </c>
      <c r="E310" t="s">
        <v>6449</v>
      </c>
      <c r="F310" t="s">
        <v>6450</v>
      </c>
      <c r="G310" t="s">
        <v>6451</v>
      </c>
      <c r="H310" t="s">
        <v>6452</v>
      </c>
      <c r="I310" t="s">
        <v>6453</v>
      </c>
      <c r="J310" t="s">
        <v>6454</v>
      </c>
      <c r="K310" t="s">
        <v>6455</v>
      </c>
      <c r="L310" t="s">
        <v>6456</v>
      </c>
      <c r="M310" t="s">
        <v>6457</v>
      </c>
      <c r="N310" t="s">
        <v>6458</v>
      </c>
      <c r="O310">
        <f>-726.243995092081 -67.2643039414149 -745.967107390192</f>
        <v>-1539.4754064236881</v>
      </c>
      <c r="P310">
        <f>-740.902326710054 -50.2783089800735 -430.241185934653</f>
        <v>-1221.4218216247805</v>
      </c>
      <c r="Q310">
        <f>-496.128760185324 -66.472348384262 -343.836863043915</f>
        <v>-906.43797161350108</v>
      </c>
      <c r="R310" t="s">
        <v>6459</v>
      </c>
      <c r="S310" t="s">
        <v>6460</v>
      </c>
      <c r="T310" t="s">
        <v>6461</v>
      </c>
      <c r="U310" t="s">
        <v>6462</v>
      </c>
      <c r="V310" t="s">
        <v>6463</v>
      </c>
      <c r="W310" t="s">
        <v>6464</v>
      </c>
      <c r="X310" t="s">
        <v>6465</v>
      </c>
      <c r="Y310" t="s">
        <v>6466</v>
      </c>
    </row>
    <row r="311" spans="1:25" x14ac:dyDescent="0.3">
      <c r="A311">
        <v>15500</v>
      </c>
      <c r="B311" t="s">
        <v>6467</v>
      </c>
      <c r="C311" t="s">
        <v>6468</v>
      </c>
      <c r="D311" t="s">
        <v>6469</v>
      </c>
      <c r="E311" t="s">
        <v>6470</v>
      </c>
      <c r="F311" t="s">
        <v>6471</v>
      </c>
      <c r="G311" t="s">
        <v>6472</v>
      </c>
      <c r="H311" t="s">
        <v>6473</v>
      </c>
      <c r="I311" t="s">
        <v>6474</v>
      </c>
      <c r="J311" t="s">
        <v>6475</v>
      </c>
      <c r="K311" t="s">
        <v>6476</v>
      </c>
      <c r="L311" t="s">
        <v>6477</v>
      </c>
      <c r="M311" t="s">
        <v>6478</v>
      </c>
      <c r="N311" t="s">
        <v>6479</v>
      </c>
      <c r="O311">
        <f>-725.566831215645 -64.8029447633717 -745.746014390541</f>
        <v>-1536.1157903695575</v>
      </c>
      <c r="P311">
        <f>-740.886591960171 -47.9893779165673 -430.042377161737</f>
        <v>-1218.9183470384753</v>
      </c>
      <c r="Q311">
        <f>-496.311186816194 -65.4710931118327 -343.328330660339</f>
        <v>-905.11061058836572</v>
      </c>
      <c r="R311" t="s">
        <v>6480</v>
      </c>
      <c r="S311" t="s">
        <v>6481</v>
      </c>
      <c r="T311" t="s">
        <v>6482</v>
      </c>
      <c r="U311" t="s">
        <v>6483</v>
      </c>
      <c r="V311" t="s">
        <v>6484</v>
      </c>
      <c r="W311" t="s">
        <v>6485</v>
      </c>
      <c r="X311" t="s">
        <v>6486</v>
      </c>
      <c r="Y311" t="s">
        <v>6487</v>
      </c>
    </row>
    <row r="312" spans="1:25" x14ac:dyDescent="0.3">
      <c r="A312">
        <v>15550</v>
      </c>
      <c r="B312" t="s">
        <v>6488</v>
      </c>
      <c r="C312" t="s">
        <v>6489</v>
      </c>
      <c r="D312" t="s">
        <v>6490</v>
      </c>
      <c r="E312" t="s">
        <v>6491</v>
      </c>
      <c r="F312" t="s">
        <v>6492</v>
      </c>
      <c r="G312" t="s">
        <v>6493</v>
      </c>
      <c r="H312" t="s">
        <v>6494</v>
      </c>
      <c r="I312" t="s">
        <v>6495</v>
      </c>
      <c r="J312" t="s">
        <v>6496</v>
      </c>
      <c r="K312" t="s">
        <v>6497</v>
      </c>
      <c r="L312" t="s">
        <v>6498</v>
      </c>
      <c r="M312" t="s">
        <v>6499</v>
      </c>
      <c r="N312" t="s">
        <v>6500</v>
      </c>
      <c r="O312">
        <f>-725.017791552374 -62.8098303320385 -743.990790445054</f>
        <v>-1531.8184123294664</v>
      </c>
      <c r="P312">
        <f>-740.191353305424 -46.6405472815813 -428.246476817442</f>
        <v>-1215.0783774044473</v>
      </c>
      <c r="Q312">
        <f>-495.583036438878 -65.526607548567 -341.920577807856</f>
        <v>-903.03022179530103</v>
      </c>
      <c r="R312" t="s">
        <v>6501</v>
      </c>
      <c r="S312" t="s">
        <v>6502</v>
      </c>
      <c r="T312" t="s">
        <v>6503</v>
      </c>
      <c r="U312" t="s">
        <v>6504</v>
      </c>
      <c r="V312" t="s">
        <v>6505</v>
      </c>
      <c r="W312" t="s">
        <v>6506</v>
      </c>
      <c r="X312" t="s">
        <v>6507</v>
      </c>
      <c r="Y312" t="s">
        <v>6508</v>
      </c>
    </row>
    <row r="313" spans="1:25" x14ac:dyDescent="0.3">
      <c r="A313">
        <v>15600</v>
      </c>
      <c r="B313" t="s">
        <v>6509</v>
      </c>
      <c r="C313" t="s">
        <v>6510</v>
      </c>
      <c r="D313" t="s">
        <v>6511</v>
      </c>
      <c r="E313" t="s">
        <v>6512</v>
      </c>
      <c r="F313" t="s">
        <v>6513</v>
      </c>
      <c r="G313" t="s">
        <v>6514</v>
      </c>
      <c r="H313" t="s">
        <v>6515</v>
      </c>
      <c r="I313" t="s">
        <v>6516</v>
      </c>
      <c r="J313" t="s">
        <v>6517</v>
      </c>
      <c r="K313" t="s">
        <v>6518</v>
      </c>
      <c r="L313" t="s">
        <v>6519</v>
      </c>
      <c r="M313" t="s">
        <v>6520</v>
      </c>
      <c r="N313" t="s">
        <v>6521</v>
      </c>
      <c r="O313">
        <f>-724.470357106822 -63.299151227287 -743.020035762759</f>
        <v>-1530.789544096868</v>
      </c>
      <c r="P313">
        <f>-739.114841359823 -47.5153054656448 -427.231162511066</f>
        <v>-1213.8613093365339</v>
      </c>
      <c r="Q313">
        <f>-494.41768381357 -66.6160162343031 -341.204915185318</f>
        <v>-902.23861523319113</v>
      </c>
      <c r="R313" t="s">
        <v>6522</v>
      </c>
      <c r="S313" t="s">
        <v>6523</v>
      </c>
      <c r="T313" t="s">
        <v>6524</v>
      </c>
      <c r="U313" t="s">
        <v>6525</v>
      </c>
      <c r="V313" t="s">
        <v>6526</v>
      </c>
      <c r="W313" t="s">
        <v>6527</v>
      </c>
      <c r="X313" t="s">
        <v>6528</v>
      </c>
      <c r="Y313" t="s">
        <v>6529</v>
      </c>
    </row>
    <row r="314" spans="1:25" x14ac:dyDescent="0.3">
      <c r="A314">
        <v>15650</v>
      </c>
      <c r="B314" t="s">
        <v>6530</v>
      </c>
      <c r="C314" t="s">
        <v>6531</v>
      </c>
      <c r="D314" t="s">
        <v>6532</v>
      </c>
      <c r="E314" t="s">
        <v>6533</v>
      </c>
      <c r="F314" t="s">
        <v>6534</v>
      </c>
      <c r="G314" t="s">
        <v>6535</v>
      </c>
      <c r="H314" t="s">
        <v>6536</v>
      </c>
      <c r="I314" t="s">
        <v>6537</v>
      </c>
      <c r="J314" t="s">
        <v>6538</v>
      </c>
      <c r="K314" t="s">
        <v>6539</v>
      </c>
      <c r="L314" t="s">
        <v>6540</v>
      </c>
      <c r="M314" t="s">
        <v>6541</v>
      </c>
      <c r="N314" t="s">
        <v>6542</v>
      </c>
      <c r="O314">
        <f>-725.956237490935 -60.3377039997199 -741.785610377059</f>
        <v>-1528.0795518677139</v>
      </c>
      <c r="P314">
        <f>-739.710143240007 -45.3308232813347 -425.918841200774</f>
        <v>-1210.9598077221158</v>
      </c>
      <c r="Q314">
        <f>-495.082534089893 -64.6173942348405 -339.736321048313</f>
        <v>-899.43624937304651</v>
      </c>
      <c r="R314" t="s">
        <v>6543</v>
      </c>
      <c r="S314" t="s">
        <v>6544</v>
      </c>
      <c r="T314" t="s">
        <v>6545</v>
      </c>
      <c r="U314" t="s">
        <v>6546</v>
      </c>
      <c r="V314" t="s">
        <v>6547</v>
      </c>
      <c r="W314" t="s">
        <v>6548</v>
      </c>
      <c r="X314" t="s">
        <v>6549</v>
      </c>
      <c r="Y314" t="s">
        <v>6550</v>
      </c>
    </row>
    <row r="315" spans="1:25" x14ac:dyDescent="0.3">
      <c r="A315">
        <v>15700</v>
      </c>
      <c r="B315" t="s">
        <v>6551</v>
      </c>
      <c r="C315" t="s">
        <v>6552</v>
      </c>
      <c r="D315" t="s">
        <v>6553</v>
      </c>
      <c r="E315" t="s">
        <v>6554</v>
      </c>
      <c r="F315" t="s">
        <v>6555</v>
      </c>
      <c r="G315" t="s">
        <v>6556</v>
      </c>
      <c r="H315" t="s">
        <v>6557</v>
      </c>
      <c r="I315" t="s">
        <v>6558</v>
      </c>
      <c r="J315" t="s">
        <v>6559</v>
      </c>
      <c r="K315" t="s">
        <v>6560</v>
      </c>
      <c r="L315" t="s">
        <v>6561</v>
      </c>
      <c r="M315" t="s">
        <v>6562</v>
      </c>
      <c r="N315" t="s">
        <v>6563</v>
      </c>
      <c r="O315">
        <f>-725.320695725526 -58.6454517018128 -740.650043499712</f>
        <v>-1524.6161909270509</v>
      </c>
      <c r="P315">
        <f>-739.423854718281 -43.2058477787621 -424.819510436765</f>
        <v>-1207.449212933808</v>
      </c>
      <c r="Q315">
        <f>-494.75230678614 -62.9190095396416 -338.858911800767</f>
        <v>-896.53022812654854</v>
      </c>
      <c r="R315" t="s">
        <v>6564</v>
      </c>
      <c r="S315" t="s">
        <v>6565</v>
      </c>
      <c r="T315" t="s">
        <v>6566</v>
      </c>
      <c r="U315" t="s">
        <v>6567</v>
      </c>
      <c r="V315" t="s">
        <v>6568</v>
      </c>
      <c r="W315" t="s">
        <v>6569</v>
      </c>
      <c r="X315" t="s">
        <v>6570</v>
      </c>
      <c r="Y315" t="s">
        <v>6571</v>
      </c>
    </row>
    <row r="316" spans="1:25" x14ac:dyDescent="0.3">
      <c r="A316">
        <v>15750</v>
      </c>
      <c r="B316" t="s">
        <v>6572</v>
      </c>
      <c r="C316" t="s">
        <v>6573</v>
      </c>
      <c r="D316" t="s">
        <v>6574</v>
      </c>
      <c r="E316" t="s">
        <v>6575</v>
      </c>
      <c r="F316" t="s">
        <v>6576</v>
      </c>
      <c r="G316" t="s">
        <v>6577</v>
      </c>
      <c r="H316" t="s">
        <v>6578</v>
      </c>
      <c r="I316" t="s">
        <v>6579</v>
      </c>
      <c r="J316" t="s">
        <v>6580</v>
      </c>
      <c r="K316" t="s">
        <v>6581</v>
      </c>
      <c r="L316" t="s">
        <v>6582</v>
      </c>
      <c r="M316" t="s">
        <v>6583</v>
      </c>
      <c r="N316" t="s">
        <v>6584</v>
      </c>
      <c r="O316">
        <f>-724.613234301703 -57.9479667805992 -738.770492376747</f>
        <v>-1521.3316934590493</v>
      </c>
      <c r="P316">
        <f>-738.524734332012 -42.35275767745 -422.939214352109</f>
        <v>-1203.8167063615711</v>
      </c>
      <c r="Q316">
        <f>-493.500414703117 -62.8833347088498 -338.182902439024</f>
        <v>-894.56665185099075</v>
      </c>
      <c r="R316" t="s">
        <v>6585</v>
      </c>
      <c r="S316" t="s">
        <v>6586</v>
      </c>
      <c r="T316" t="s">
        <v>6587</v>
      </c>
      <c r="U316" t="s">
        <v>6588</v>
      </c>
      <c r="V316" t="s">
        <v>6589</v>
      </c>
      <c r="W316" t="s">
        <v>6590</v>
      </c>
      <c r="X316" t="s">
        <v>6591</v>
      </c>
      <c r="Y316" t="s">
        <v>6592</v>
      </c>
    </row>
    <row r="317" spans="1:25" x14ac:dyDescent="0.3">
      <c r="A317">
        <v>15800</v>
      </c>
      <c r="B317" t="s">
        <v>6593</v>
      </c>
      <c r="C317" t="s">
        <v>6594</v>
      </c>
      <c r="D317" t="s">
        <v>6595</v>
      </c>
      <c r="E317" t="s">
        <v>6596</v>
      </c>
      <c r="F317" t="s">
        <v>6597</v>
      </c>
      <c r="G317" t="s">
        <v>6598</v>
      </c>
      <c r="H317" t="s">
        <v>6599</v>
      </c>
      <c r="I317" t="s">
        <v>6600</v>
      </c>
      <c r="J317" t="s">
        <v>6601</v>
      </c>
      <c r="K317" t="s">
        <v>6602</v>
      </c>
      <c r="L317" t="s">
        <v>6603</v>
      </c>
      <c r="M317" t="s">
        <v>6604</v>
      </c>
      <c r="N317" t="s">
        <v>6605</v>
      </c>
      <c r="O317">
        <f>-723.515551888742 -58.5352958561177 -738.347937986621</f>
        <v>-1520.3987857314808</v>
      </c>
      <c r="P317">
        <f>-736.307251132636 -43.369855215238 -422.448407321701</f>
        <v>-1202.125513669575</v>
      </c>
      <c r="Q317">
        <f>-491.138200108874 -63.8704123476186 -338.104382250041</f>
        <v>-893.11299470653364</v>
      </c>
      <c r="R317" t="s">
        <v>6606</v>
      </c>
      <c r="S317" t="s">
        <v>6607</v>
      </c>
      <c r="T317" t="s">
        <v>6608</v>
      </c>
      <c r="U317" t="s">
        <v>6609</v>
      </c>
      <c r="V317" t="s">
        <v>6610</v>
      </c>
      <c r="W317" t="s">
        <v>6611</v>
      </c>
      <c r="X317" t="s">
        <v>6612</v>
      </c>
      <c r="Y317" t="s">
        <v>6613</v>
      </c>
    </row>
    <row r="318" spans="1:25" x14ac:dyDescent="0.3">
      <c r="A318">
        <v>15850</v>
      </c>
      <c r="B318" t="s">
        <v>6614</v>
      </c>
      <c r="C318" t="s">
        <v>6615</v>
      </c>
      <c r="D318" t="s">
        <v>6616</v>
      </c>
      <c r="E318" t="s">
        <v>6617</v>
      </c>
      <c r="F318" t="s">
        <v>6618</v>
      </c>
      <c r="G318" t="s">
        <v>6619</v>
      </c>
      <c r="H318" t="s">
        <v>6620</v>
      </c>
      <c r="I318" t="s">
        <v>6621</v>
      </c>
      <c r="J318" t="s">
        <v>6622</v>
      </c>
      <c r="K318" t="s">
        <v>6623</v>
      </c>
      <c r="L318" t="s">
        <v>6624</v>
      </c>
      <c r="M318" t="s">
        <v>6625</v>
      </c>
      <c r="N318" t="s">
        <v>6626</v>
      </c>
      <c r="O318">
        <f>-721.77950723585 -59.5429431678117 -737.718968747815</f>
        <v>-1519.0414191514767</v>
      </c>
      <c r="P318">
        <f>-732.715294135345 -43.9630731025163 -421.769780614744</f>
        <v>-1198.4481478526052</v>
      </c>
      <c r="Q318">
        <f>-487.38795786598 -63.5846788668443 -337.677312534003</f>
        <v>-888.64994926682732</v>
      </c>
      <c r="R318" t="s">
        <v>6627</v>
      </c>
      <c r="S318" t="s">
        <v>6628</v>
      </c>
      <c r="T318" t="s">
        <v>6629</v>
      </c>
      <c r="U318" t="s">
        <v>6630</v>
      </c>
      <c r="V318" t="s">
        <v>6631</v>
      </c>
      <c r="W318" t="s">
        <v>6632</v>
      </c>
      <c r="X318" t="s">
        <v>6633</v>
      </c>
      <c r="Y318" t="s">
        <v>6634</v>
      </c>
    </row>
    <row r="319" spans="1:25" x14ac:dyDescent="0.3">
      <c r="A319">
        <v>15900</v>
      </c>
      <c r="B319" t="s">
        <v>6635</v>
      </c>
      <c r="C319" t="s">
        <v>6636</v>
      </c>
      <c r="D319" t="s">
        <v>6637</v>
      </c>
      <c r="E319" t="s">
        <v>6638</v>
      </c>
      <c r="F319" t="s">
        <v>6639</v>
      </c>
      <c r="G319" t="s">
        <v>6640</v>
      </c>
      <c r="H319" t="s">
        <v>6641</v>
      </c>
      <c r="I319" t="s">
        <v>6642</v>
      </c>
      <c r="J319" t="s">
        <v>6643</v>
      </c>
      <c r="K319" t="s">
        <v>6644</v>
      </c>
      <c r="L319" t="s">
        <v>6645</v>
      </c>
      <c r="M319" t="s">
        <v>6646</v>
      </c>
      <c r="N319" t="s">
        <v>6647</v>
      </c>
      <c r="O319">
        <f>-721.605150161629 -59.1249466355507 -737.21269661688</f>
        <v>-1517.9427934140597</v>
      </c>
      <c r="P319">
        <f>-732.238720606699 -43.3238341200504 -421.264197047242</f>
        <v>-1196.8267517739914</v>
      </c>
      <c r="Q319">
        <f>-486.886567396082 -62.6218226550234 -337.169255675829</f>
        <v>-886.67764572693432</v>
      </c>
      <c r="R319" t="s">
        <v>6648</v>
      </c>
      <c r="S319" t="s">
        <v>6649</v>
      </c>
      <c r="T319" t="s">
        <v>6650</v>
      </c>
      <c r="U319" t="s">
        <v>6651</v>
      </c>
      <c r="V319" t="s">
        <v>6652</v>
      </c>
      <c r="W319" t="s">
        <v>6653</v>
      </c>
      <c r="X319" t="s">
        <v>6654</v>
      </c>
      <c r="Y319" t="s">
        <v>6655</v>
      </c>
    </row>
    <row r="320" spans="1:25" x14ac:dyDescent="0.3">
      <c r="A320">
        <v>15950</v>
      </c>
      <c r="B320" t="s">
        <v>6656</v>
      </c>
      <c r="C320" t="s">
        <v>6657</v>
      </c>
      <c r="D320" t="s">
        <v>6658</v>
      </c>
      <c r="E320" t="s">
        <v>6659</v>
      </c>
      <c r="F320" t="s">
        <v>6660</v>
      </c>
      <c r="G320" t="s">
        <v>6661</v>
      </c>
      <c r="H320" t="s">
        <v>6662</v>
      </c>
      <c r="I320" t="s">
        <v>6663</v>
      </c>
      <c r="J320" t="s">
        <v>6664</v>
      </c>
      <c r="K320" t="s">
        <v>6665</v>
      </c>
      <c r="L320" t="s">
        <v>6666</v>
      </c>
      <c r="M320" t="s">
        <v>6667</v>
      </c>
      <c r="N320" t="s">
        <v>6668</v>
      </c>
      <c r="O320">
        <f>-721.764685749871 -58.6526748200586 -736.583309218425</f>
        <v>-1517.0006697883546</v>
      </c>
      <c r="P320">
        <f>-732.061577449374 -42.8520849314602 -420.623591222302</f>
        <v>-1195.5372536031364</v>
      </c>
      <c r="Q320">
        <f>-486.476071463086 -61.8863616539734 -337.152070277385</f>
        <v>-885.51450339444432</v>
      </c>
      <c r="R320" t="s">
        <v>6669</v>
      </c>
      <c r="S320" t="s">
        <v>6670</v>
      </c>
      <c r="T320" t="s">
        <v>6671</v>
      </c>
      <c r="U320" t="s">
        <v>6672</v>
      </c>
      <c r="V320" t="s">
        <v>6673</v>
      </c>
      <c r="W320" t="s">
        <v>6674</v>
      </c>
      <c r="X320" t="s">
        <v>6675</v>
      </c>
      <c r="Y320" t="s">
        <v>6676</v>
      </c>
    </row>
    <row r="321" spans="1:25" x14ac:dyDescent="0.3">
      <c r="A321">
        <v>16000</v>
      </c>
      <c r="B321" t="s">
        <v>6677</v>
      </c>
      <c r="C321" t="s">
        <v>6678</v>
      </c>
      <c r="D321" t="s">
        <v>6679</v>
      </c>
      <c r="E321" t="s">
        <v>6680</v>
      </c>
      <c r="F321" t="s">
        <v>6681</v>
      </c>
      <c r="G321" t="s">
        <v>6682</v>
      </c>
      <c r="H321" t="s">
        <v>6683</v>
      </c>
      <c r="I321" t="s">
        <v>6684</v>
      </c>
      <c r="J321" t="s">
        <v>6685</v>
      </c>
      <c r="K321" t="s">
        <v>6686</v>
      </c>
      <c r="L321" t="s">
        <v>6687</v>
      </c>
      <c r="M321" t="s">
        <v>6688</v>
      </c>
      <c r="N321" t="s">
        <v>6689</v>
      </c>
      <c r="O321">
        <f>-722.050709962471 -58.6188156206988 -736.371076315086</f>
        <v>-1517.0406018982558</v>
      </c>
      <c r="P321">
        <f>-731.807328835827 -43.0932345150202 -420.38063763276</f>
        <v>-1195.2812009836071</v>
      </c>
      <c r="Q321">
        <f>-486.108590445527 -62.1600301119554 -337.250476899178</f>
        <v>-885.51909745666046</v>
      </c>
      <c r="R321" t="s">
        <v>6690</v>
      </c>
      <c r="S321" t="s">
        <v>6691</v>
      </c>
      <c r="T321" t="s">
        <v>6692</v>
      </c>
      <c r="U321" t="s">
        <v>6693</v>
      </c>
      <c r="V321" t="s">
        <v>6694</v>
      </c>
      <c r="W321" t="s">
        <v>6695</v>
      </c>
      <c r="X321" t="s">
        <v>6696</v>
      </c>
      <c r="Y321" t="s">
        <v>6697</v>
      </c>
    </row>
    <row r="322" spans="1:25" x14ac:dyDescent="0.3">
      <c r="A322">
        <v>16050</v>
      </c>
      <c r="B322" t="s">
        <v>6698</v>
      </c>
      <c r="C322" t="s">
        <v>6699</v>
      </c>
      <c r="D322" t="s">
        <v>6700</v>
      </c>
      <c r="E322" t="s">
        <v>6701</v>
      </c>
      <c r="F322" t="s">
        <v>6702</v>
      </c>
      <c r="G322" t="s">
        <v>6703</v>
      </c>
      <c r="H322" t="s">
        <v>6704</v>
      </c>
      <c r="I322" t="s">
        <v>6705</v>
      </c>
      <c r="J322" t="s">
        <v>6706</v>
      </c>
      <c r="K322" t="s">
        <v>6707</v>
      </c>
      <c r="L322" t="s">
        <v>6708</v>
      </c>
      <c r="M322" t="s">
        <v>6709</v>
      </c>
      <c r="N322" t="s">
        <v>6710</v>
      </c>
      <c r="O322">
        <f>-722.360926647066 -58.3377265240133 -735.969276726678</f>
        <v>-1516.6679298977574</v>
      </c>
      <c r="P322">
        <f>-731.518156636647 -42.4397566611003 -419.979427349412</f>
        <v>-1193.9373406471593</v>
      </c>
      <c r="Q322">
        <f>-485.71417190831 -61.332193086577 -337.120989797933</f>
        <v>-884.16735479281999</v>
      </c>
      <c r="R322" t="s">
        <v>6711</v>
      </c>
      <c r="S322" t="s">
        <v>6712</v>
      </c>
      <c r="T322" t="s">
        <v>6713</v>
      </c>
      <c r="U322" t="s">
        <v>6714</v>
      </c>
      <c r="V322" t="s">
        <v>6715</v>
      </c>
      <c r="W322" t="s">
        <v>6716</v>
      </c>
      <c r="X322" t="s">
        <v>6717</v>
      </c>
      <c r="Y322" t="s">
        <v>6718</v>
      </c>
    </row>
    <row r="323" spans="1:25" x14ac:dyDescent="0.3">
      <c r="A323">
        <v>16100</v>
      </c>
      <c r="B323" t="s">
        <v>6719</v>
      </c>
      <c r="C323" t="s">
        <v>6720</v>
      </c>
      <c r="D323" t="s">
        <v>6721</v>
      </c>
      <c r="E323" t="s">
        <v>6722</v>
      </c>
      <c r="F323" t="s">
        <v>6723</v>
      </c>
      <c r="G323" t="s">
        <v>6724</v>
      </c>
      <c r="H323" t="s">
        <v>6725</v>
      </c>
      <c r="I323" t="s">
        <v>6726</v>
      </c>
      <c r="J323" t="s">
        <v>6727</v>
      </c>
      <c r="K323" t="s">
        <v>6728</v>
      </c>
      <c r="L323" t="s">
        <v>6729</v>
      </c>
      <c r="M323" t="s">
        <v>6730</v>
      </c>
      <c r="N323" t="s">
        <v>6731</v>
      </c>
      <c r="O323">
        <f>-722.388943075368 -58.1224996924404 -735.815571686501</f>
        <v>-1516.3270144543094</v>
      </c>
      <c r="P323">
        <f>-731.618653327338 -41.9871955755004 -419.839857645092</f>
        <v>-1193.4457065479305</v>
      </c>
      <c r="Q323">
        <f>-485.775672015809 -60.4444408632619 -336.999149221119</f>
        <v>-883.21926210019001</v>
      </c>
      <c r="R323" t="s">
        <v>6732</v>
      </c>
      <c r="S323" t="s">
        <v>6733</v>
      </c>
      <c r="T323" t="s">
        <v>6734</v>
      </c>
      <c r="U323" t="s">
        <v>6735</v>
      </c>
      <c r="V323" t="s">
        <v>6736</v>
      </c>
      <c r="W323" t="s">
        <v>6737</v>
      </c>
      <c r="X323" t="s">
        <v>6738</v>
      </c>
      <c r="Y323" t="s">
        <v>6739</v>
      </c>
    </row>
    <row r="324" spans="1:25" x14ac:dyDescent="0.3">
      <c r="A324">
        <v>16150</v>
      </c>
      <c r="B324" t="s">
        <v>6740</v>
      </c>
      <c r="C324" t="s">
        <v>6741</v>
      </c>
      <c r="D324" t="s">
        <v>6742</v>
      </c>
      <c r="E324" t="s">
        <v>6743</v>
      </c>
      <c r="F324" t="s">
        <v>6744</v>
      </c>
      <c r="G324" t="s">
        <v>6745</v>
      </c>
      <c r="H324" t="s">
        <v>6746</v>
      </c>
      <c r="I324" t="s">
        <v>6747</v>
      </c>
      <c r="J324" t="s">
        <v>6748</v>
      </c>
      <c r="K324" t="s">
        <v>6749</v>
      </c>
      <c r="L324" t="s">
        <v>6750</v>
      </c>
      <c r="M324" t="s">
        <v>6751</v>
      </c>
      <c r="N324" t="s">
        <v>6752</v>
      </c>
      <c r="O324">
        <f>-722.885533771778 -57.7383418736758 -735.805276274544</f>
        <v>-1516.4291519199978</v>
      </c>
      <c r="P324">
        <f>-732.08623985403 -42.0022173296363 -419.808612740804</f>
        <v>-1193.8970699244703</v>
      </c>
      <c r="Q324">
        <f>-486.213847932075 -59.4845016420757 -336.843427568535</f>
        <v>-882.54177714268576</v>
      </c>
      <c r="R324" t="s">
        <v>6753</v>
      </c>
      <c r="S324" t="s">
        <v>6754</v>
      </c>
      <c r="T324" t="s">
        <v>6755</v>
      </c>
      <c r="U324" t="s">
        <v>6756</v>
      </c>
      <c r="V324" t="s">
        <v>6757</v>
      </c>
      <c r="W324" t="s">
        <v>6758</v>
      </c>
      <c r="X324" t="s">
        <v>6759</v>
      </c>
      <c r="Y324" t="s">
        <v>6760</v>
      </c>
    </row>
    <row r="325" spans="1:25" x14ac:dyDescent="0.3">
      <c r="A325">
        <v>16200</v>
      </c>
      <c r="B325" t="s">
        <v>6761</v>
      </c>
      <c r="C325" t="s">
        <v>6762</v>
      </c>
      <c r="D325" t="s">
        <v>6763</v>
      </c>
      <c r="E325" t="s">
        <v>6764</v>
      </c>
      <c r="F325" t="s">
        <v>6765</v>
      </c>
      <c r="G325" t="s">
        <v>6766</v>
      </c>
      <c r="H325" t="s">
        <v>6767</v>
      </c>
      <c r="I325" t="s">
        <v>6768</v>
      </c>
      <c r="J325" t="s">
        <v>6769</v>
      </c>
      <c r="K325" t="s">
        <v>6770</v>
      </c>
      <c r="L325" t="s">
        <v>6771</v>
      </c>
      <c r="M325" t="s">
        <v>6772</v>
      </c>
      <c r="N325" t="s">
        <v>6773</v>
      </c>
      <c r="O325">
        <f>-723.301718555909 -57.465411705113 -735.859098059418</f>
        <v>-1516.6262283204401</v>
      </c>
      <c r="P325">
        <f>-732.431317661465 -41.9232554595992 -419.850776036367</f>
        <v>-1194.2053491574311</v>
      </c>
      <c r="Q325">
        <f>-486.540227065408 -59.1776859154868 -336.893761555975</f>
        <v>-882.61167453686971</v>
      </c>
      <c r="R325" t="s">
        <v>6774</v>
      </c>
      <c r="S325" t="s">
        <v>6775</v>
      </c>
      <c r="T325" t="s">
        <v>6776</v>
      </c>
      <c r="U325" t="s">
        <v>6777</v>
      </c>
      <c r="V325" t="s">
        <v>6778</v>
      </c>
      <c r="W325" t="s">
        <v>6779</v>
      </c>
      <c r="X325" t="s">
        <v>6780</v>
      </c>
      <c r="Y325" t="s">
        <v>6781</v>
      </c>
    </row>
    <row r="326" spans="1:25" x14ac:dyDescent="0.3">
      <c r="A326">
        <v>16250</v>
      </c>
      <c r="B326" t="s">
        <v>6782</v>
      </c>
      <c r="C326" t="s">
        <v>6783</v>
      </c>
      <c r="D326" t="s">
        <v>6784</v>
      </c>
      <c r="E326" t="s">
        <v>6785</v>
      </c>
      <c r="F326" t="s">
        <v>6786</v>
      </c>
      <c r="G326" t="s">
        <v>6787</v>
      </c>
      <c r="H326" t="s">
        <v>6788</v>
      </c>
      <c r="I326" t="s">
        <v>6789</v>
      </c>
      <c r="J326" t="s">
        <v>6790</v>
      </c>
      <c r="K326" t="s">
        <v>6791</v>
      </c>
      <c r="L326" t="s">
        <v>6792</v>
      </c>
      <c r="M326" t="s">
        <v>6793</v>
      </c>
      <c r="N326" t="s">
        <v>6794</v>
      </c>
      <c r="O326">
        <f>-724.450339332803 -56.9479132983067 -735.931051143626</f>
        <v>-1517.3293037747358</v>
      </c>
      <c r="P326">
        <f>-733.344532430517 -41.9936860015541 -419.887523031457</f>
        <v>-1195.2257414635283</v>
      </c>
      <c r="Q326">
        <f>-487.3461009671 -59.0788533984039 -337.214154267442</f>
        <v>-883.63910863294586</v>
      </c>
      <c r="R326" t="s">
        <v>6795</v>
      </c>
      <c r="S326" t="s">
        <v>6796</v>
      </c>
      <c r="T326" t="s">
        <v>6797</v>
      </c>
      <c r="U326" t="s">
        <v>6798</v>
      </c>
      <c r="V326" t="s">
        <v>6799</v>
      </c>
      <c r="W326" t="s">
        <v>6800</v>
      </c>
      <c r="X326" t="s">
        <v>6801</v>
      </c>
      <c r="Y326" t="s">
        <v>6802</v>
      </c>
    </row>
    <row r="327" spans="1:25" x14ac:dyDescent="0.3">
      <c r="A327">
        <v>16300</v>
      </c>
      <c r="B327" t="s">
        <v>6803</v>
      </c>
      <c r="C327" t="s">
        <v>6804</v>
      </c>
      <c r="D327" t="s">
        <v>6805</v>
      </c>
      <c r="E327" t="s">
        <v>6806</v>
      </c>
      <c r="F327" t="s">
        <v>6807</v>
      </c>
      <c r="G327" t="s">
        <v>6808</v>
      </c>
      <c r="H327" t="s">
        <v>6809</v>
      </c>
      <c r="I327" t="s">
        <v>6810</v>
      </c>
      <c r="J327" t="s">
        <v>6811</v>
      </c>
      <c r="K327" t="s">
        <v>6812</v>
      </c>
      <c r="L327" t="s">
        <v>6813</v>
      </c>
      <c r="M327" t="s">
        <v>6814</v>
      </c>
      <c r="N327" t="s">
        <v>6815</v>
      </c>
      <c r="O327">
        <f>-725.152228805316 -56.815480665414 -736.005548387074</f>
        <v>-1517.9732578578041</v>
      </c>
      <c r="P327">
        <f>-733.852934151978 -42.1251649717995 -419.94437792169</f>
        <v>-1195.9224770454675</v>
      </c>
      <c r="Q327">
        <f>-487.796837903194 -59.1409998006511 -337.428054023616</f>
        <v>-884.36589172746108</v>
      </c>
      <c r="R327" t="s">
        <v>6816</v>
      </c>
      <c r="S327" t="s">
        <v>6817</v>
      </c>
      <c r="T327" t="s">
        <v>6818</v>
      </c>
      <c r="U327" t="s">
        <v>6819</v>
      </c>
      <c r="V327" t="s">
        <v>6820</v>
      </c>
      <c r="W327" t="s">
        <v>6821</v>
      </c>
      <c r="X327" t="s">
        <v>6822</v>
      </c>
      <c r="Y327" t="s">
        <v>6823</v>
      </c>
    </row>
    <row r="328" spans="1:25" x14ac:dyDescent="0.3">
      <c r="A328">
        <v>16350</v>
      </c>
      <c r="B328" t="s">
        <v>6824</v>
      </c>
      <c r="C328" t="s">
        <v>6825</v>
      </c>
      <c r="D328" t="s">
        <v>6826</v>
      </c>
      <c r="E328" t="s">
        <v>6827</v>
      </c>
      <c r="F328" t="s">
        <v>6828</v>
      </c>
      <c r="G328" t="s">
        <v>6829</v>
      </c>
      <c r="H328" t="s">
        <v>6830</v>
      </c>
      <c r="I328" t="s">
        <v>6831</v>
      </c>
      <c r="J328" t="s">
        <v>6832</v>
      </c>
      <c r="K328" t="s">
        <v>6833</v>
      </c>
      <c r="L328" t="s">
        <v>6834</v>
      </c>
      <c r="M328" t="s">
        <v>6835</v>
      </c>
      <c r="N328" t="s">
        <v>6836</v>
      </c>
      <c r="O328">
        <f>-726.561305261538 -56.5573915422449 -736.197200113155</f>
        <v>-1519.3158969169378</v>
      </c>
      <c r="P328">
        <f>-735.15139731434 -42.4727631984829 -420.105315238243</f>
        <v>-1197.7294757510658</v>
      </c>
      <c r="Q328">
        <f>-489.027781555147 -59.3738695566772 -337.76728211651</f>
        <v>-886.16893322833425</v>
      </c>
      <c r="R328" t="s">
        <v>6837</v>
      </c>
      <c r="S328" t="s">
        <v>6838</v>
      </c>
      <c r="T328" t="s">
        <v>6839</v>
      </c>
      <c r="U328" t="s">
        <v>6840</v>
      </c>
      <c r="V328" t="s">
        <v>6841</v>
      </c>
      <c r="W328" t="s">
        <v>6842</v>
      </c>
      <c r="X328" t="s">
        <v>6843</v>
      </c>
      <c r="Y328" t="s">
        <v>6844</v>
      </c>
    </row>
    <row r="329" spans="1:25" x14ac:dyDescent="0.3">
      <c r="A329">
        <v>16400</v>
      </c>
      <c r="B329" t="s">
        <v>6845</v>
      </c>
      <c r="C329" t="s">
        <v>6846</v>
      </c>
      <c r="D329" t="s">
        <v>6847</v>
      </c>
      <c r="E329" t="s">
        <v>6848</v>
      </c>
      <c r="F329" t="s">
        <v>6849</v>
      </c>
      <c r="G329" t="s">
        <v>6850</v>
      </c>
      <c r="H329" t="s">
        <v>6851</v>
      </c>
      <c r="I329" t="s">
        <v>6852</v>
      </c>
      <c r="J329" t="s">
        <v>6853</v>
      </c>
      <c r="K329" t="s">
        <v>6854</v>
      </c>
      <c r="L329" t="s">
        <v>6855</v>
      </c>
      <c r="M329" t="s">
        <v>6856</v>
      </c>
      <c r="N329" t="s">
        <v>6857</v>
      </c>
      <c r="O329">
        <f>-727.162850700634 -56.4105187327925 -736.291439693076</f>
        <v>-1519.8648091265025</v>
      </c>
      <c r="P329">
        <f>-735.751922626755 -42.3548616826315 -420.198394486091</f>
        <v>-1198.3051787954776</v>
      </c>
      <c r="Q329">
        <f>-489.628646918757 -59.2398392767016 -337.855855974484</f>
        <v>-886.72434216994247</v>
      </c>
      <c r="R329" t="s">
        <v>6858</v>
      </c>
      <c r="S329" t="s">
        <v>6859</v>
      </c>
      <c r="T329" t="s">
        <v>6860</v>
      </c>
      <c r="U329" t="s">
        <v>6861</v>
      </c>
      <c r="V329" t="s">
        <v>6862</v>
      </c>
      <c r="W329" t="s">
        <v>6863</v>
      </c>
      <c r="X329" t="s">
        <v>6864</v>
      </c>
      <c r="Y329" t="s">
        <v>6865</v>
      </c>
    </row>
    <row r="330" spans="1:25" x14ac:dyDescent="0.3">
      <c r="A330">
        <v>16450</v>
      </c>
      <c r="B330" t="s">
        <v>6866</v>
      </c>
      <c r="C330" t="s">
        <v>6867</v>
      </c>
      <c r="D330" t="s">
        <v>6868</v>
      </c>
      <c r="E330" t="s">
        <v>6869</v>
      </c>
      <c r="F330" t="s">
        <v>6870</v>
      </c>
      <c r="G330" t="s">
        <v>6871</v>
      </c>
      <c r="H330" t="s">
        <v>6872</v>
      </c>
      <c r="I330" t="s">
        <v>6873</v>
      </c>
      <c r="J330" t="s">
        <v>6874</v>
      </c>
      <c r="K330" t="s">
        <v>6875</v>
      </c>
      <c r="L330" t="s">
        <v>6876</v>
      </c>
      <c r="M330" t="s">
        <v>6877</v>
      </c>
      <c r="N330" t="s">
        <v>6878</v>
      </c>
      <c r="O330">
        <f>-728.316268486728 -56.0935167497789 -736.465727836573</f>
        <v>-1520.8755130730799</v>
      </c>
      <c r="P330">
        <f>-736.728161427612 -42.0644364441628 -420.366739876588</f>
        <v>-1199.1593377483628</v>
      </c>
      <c r="Q330">
        <f>-490.622081700203 -59.2438036716565 -338.033885700109</f>
        <v>-887.89977107196842</v>
      </c>
      <c r="R330" t="s">
        <v>6879</v>
      </c>
      <c r="S330" t="s">
        <v>6880</v>
      </c>
      <c r="T330" t="s">
        <v>6881</v>
      </c>
      <c r="U330" t="s">
        <v>6882</v>
      </c>
      <c r="V330" t="s">
        <v>6883</v>
      </c>
      <c r="W330" t="s">
        <v>6884</v>
      </c>
      <c r="X330" t="s">
        <v>6885</v>
      </c>
      <c r="Y330" t="s">
        <v>6886</v>
      </c>
    </row>
    <row r="331" spans="1:25" x14ac:dyDescent="0.3">
      <c r="A331">
        <v>16500</v>
      </c>
      <c r="B331" t="s">
        <v>6887</v>
      </c>
      <c r="C331" t="s">
        <v>6888</v>
      </c>
      <c r="D331" t="s">
        <v>6889</v>
      </c>
      <c r="E331" t="s">
        <v>6890</v>
      </c>
      <c r="F331" t="s">
        <v>6891</v>
      </c>
      <c r="G331" t="s">
        <v>6892</v>
      </c>
      <c r="H331" t="s">
        <v>6893</v>
      </c>
      <c r="I331" t="s">
        <v>6894</v>
      </c>
      <c r="J331" t="s">
        <v>6895</v>
      </c>
      <c r="K331" t="s">
        <v>6896</v>
      </c>
      <c r="L331" t="s">
        <v>6897</v>
      </c>
      <c r="M331" t="s">
        <v>6898</v>
      </c>
      <c r="N331" t="s">
        <v>6899</v>
      </c>
      <c r="O331">
        <f>-728.994844338468 -55.9118260154273 -736.475653483022</f>
        <v>-1521.3823238369173</v>
      </c>
      <c r="P331">
        <f>-737.233741807105 -41.8937714751978 -420.371567127225</f>
        <v>-1199.4990804095278</v>
      </c>
      <c r="Q331">
        <f>-491.10370158353 -59.3958153902609 -338.17804596847</f>
        <v>-888.67756294226081</v>
      </c>
      <c r="R331" t="s">
        <v>6900</v>
      </c>
      <c r="S331" t="s">
        <v>6901</v>
      </c>
      <c r="T331" t="s">
        <v>6902</v>
      </c>
      <c r="U331" t="s">
        <v>6903</v>
      </c>
      <c r="V331" t="s">
        <v>6904</v>
      </c>
      <c r="W331" t="s">
        <v>6905</v>
      </c>
      <c r="X331" t="s">
        <v>6906</v>
      </c>
      <c r="Y331" t="s">
        <v>6907</v>
      </c>
    </row>
    <row r="332" spans="1:25" x14ac:dyDescent="0.3">
      <c r="A332">
        <v>16550</v>
      </c>
      <c r="B332" t="s">
        <v>6908</v>
      </c>
      <c r="C332" t="s">
        <v>6909</v>
      </c>
      <c r="D332" t="s">
        <v>6910</v>
      </c>
      <c r="E332" t="s">
        <v>6911</v>
      </c>
      <c r="F332" t="s">
        <v>6912</v>
      </c>
      <c r="G332" t="s">
        <v>6913</v>
      </c>
      <c r="H332" t="s">
        <v>6914</v>
      </c>
      <c r="I332" t="s">
        <v>6915</v>
      </c>
      <c r="J332" t="s">
        <v>6916</v>
      </c>
      <c r="K332" t="s">
        <v>6917</v>
      </c>
      <c r="L332" t="s">
        <v>6918</v>
      </c>
      <c r="M332" t="s">
        <v>6919</v>
      </c>
      <c r="N332" t="s">
        <v>6920</v>
      </c>
      <c r="O332">
        <f>-730.367376655246 -55.429654350263 -736.372631582018</f>
        <v>-1522.169662587527</v>
      </c>
      <c r="P332">
        <f>-738.128142450186 -41.753650691388 -420.241469579295</f>
        <v>-1200.123262720869</v>
      </c>
      <c r="Q332">
        <f>-491.928569628787 -60.0280347302501 -338.425069048489</f>
        <v>-890.38167340752602</v>
      </c>
      <c r="R332" t="s">
        <v>6921</v>
      </c>
      <c r="S332" t="s">
        <v>6922</v>
      </c>
      <c r="T332" t="s">
        <v>6923</v>
      </c>
      <c r="U332" t="s">
        <v>6924</v>
      </c>
      <c r="V332" t="s">
        <v>6925</v>
      </c>
      <c r="W332" t="s">
        <v>6926</v>
      </c>
      <c r="X332" t="s">
        <v>6927</v>
      </c>
      <c r="Y332" t="s">
        <v>6928</v>
      </c>
    </row>
    <row r="333" spans="1:25" x14ac:dyDescent="0.3">
      <c r="A333">
        <v>16600</v>
      </c>
      <c r="B333" t="s">
        <v>6929</v>
      </c>
      <c r="C333" t="s">
        <v>6930</v>
      </c>
      <c r="D333" t="s">
        <v>6931</v>
      </c>
      <c r="E333" t="s">
        <v>6932</v>
      </c>
      <c r="F333" t="s">
        <v>6933</v>
      </c>
      <c r="G333" t="s">
        <v>6934</v>
      </c>
      <c r="H333" t="s">
        <v>6935</v>
      </c>
      <c r="I333" t="s">
        <v>6936</v>
      </c>
      <c r="J333" t="s">
        <v>6937</v>
      </c>
      <c r="K333" t="s">
        <v>6938</v>
      </c>
      <c r="L333" t="s">
        <v>6939</v>
      </c>
      <c r="M333" t="s">
        <v>6940</v>
      </c>
      <c r="N333" t="s">
        <v>6941</v>
      </c>
      <c r="O333">
        <f>-730.888614114126 -55.2519144459909 -736.311350986763</f>
        <v>-1522.4518795468798</v>
      </c>
      <c r="P333">
        <f>-738.443835191037 -41.5953069689635 -420.174313062997</f>
        <v>-1200.2134552229975</v>
      </c>
      <c r="Q333">
        <f>-492.199382734848 -60.2004353467423 -338.56815591485</f>
        <v>-890.96797399644038</v>
      </c>
      <c r="R333" t="s">
        <v>6942</v>
      </c>
      <c r="S333" t="s">
        <v>6943</v>
      </c>
      <c r="T333" t="s">
        <v>6944</v>
      </c>
      <c r="U333" t="s">
        <v>6945</v>
      </c>
      <c r="V333" t="s">
        <v>6946</v>
      </c>
      <c r="W333" t="s">
        <v>6947</v>
      </c>
      <c r="X333" t="s">
        <v>6948</v>
      </c>
      <c r="Y333" t="s">
        <v>6949</v>
      </c>
    </row>
    <row r="334" spans="1:25" x14ac:dyDescent="0.3">
      <c r="A334">
        <v>16650</v>
      </c>
      <c r="B334" t="s">
        <v>6950</v>
      </c>
      <c r="C334" t="s">
        <v>6951</v>
      </c>
      <c r="D334" t="s">
        <v>6952</v>
      </c>
      <c r="E334" t="s">
        <v>6953</v>
      </c>
      <c r="F334" t="s">
        <v>6954</v>
      </c>
      <c r="G334" t="s">
        <v>6955</v>
      </c>
      <c r="H334" t="s">
        <v>6956</v>
      </c>
      <c r="I334" t="s">
        <v>6957</v>
      </c>
      <c r="J334" t="s">
        <v>6958</v>
      </c>
      <c r="K334" t="s">
        <v>6959</v>
      </c>
      <c r="L334" t="s">
        <v>6960</v>
      </c>
      <c r="M334" t="s">
        <v>6961</v>
      </c>
      <c r="N334" t="s">
        <v>6962</v>
      </c>
      <c r="O334">
        <f>-731.69189694395 -55.0490962040506 -736.347491396465</f>
        <v>-1523.0884845444657</v>
      </c>
      <c r="P334">
        <f>-738.917487129897 -41.4332394518513 -420.201183430218</f>
        <v>-1200.5519100119664</v>
      </c>
      <c r="Q334">
        <f>-492.645220717587 -60.6387906367513 -338.818249792487</f>
        <v>-892.1022611468253</v>
      </c>
      <c r="R334" t="s">
        <v>6963</v>
      </c>
      <c r="S334" t="s">
        <v>6964</v>
      </c>
      <c r="T334" t="s">
        <v>6965</v>
      </c>
      <c r="U334" t="s">
        <v>6966</v>
      </c>
      <c r="V334" t="s">
        <v>6967</v>
      </c>
      <c r="W334" t="s">
        <v>6968</v>
      </c>
      <c r="X334" t="s">
        <v>6969</v>
      </c>
      <c r="Y334" t="s">
        <v>6970</v>
      </c>
    </row>
    <row r="335" spans="1:25" x14ac:dyDescent="0.3">
      <c r="A335">
        <v>16700</v>
      </c>
      <c r="B335" t="s">
        <v>6971</v>
      </c>
      <c r="C335" t="s">
        <v>6972</v>
      </c>
      <c r="D335" t="s">
        <v>6973</v>
      </c>
      <c r="E335" t="s">
        <v>6974</v>
      </c>
      <c r="F335" t="s">
        <v>6975</v>
      </c>
      <c r="G335" t="s">
        <v>6976</v>
      </c>
      <c r="H335" t="s">
        <v>6977</v>
      </c>
      <c r="I335" t="s">
        <v>6978</v>
      </c>
      <c r="J335" t="s">
        <v>6979</v>
      </c>
      <c r="K335" t="s">
        <v>6980</v>
      </c>
      <c r="L335" t="s">
        <v>6981</v>
      </c>
      <c r="M335" t="s">
        <v>6982</v>
      </c>
      <c r="N335" t="s">
        <v>6983</v>
      </c>
      <c r="O335">
        <f>-731.799602883694 -54.9911675434089 -736.345875137325</f>
        <v>-1523.1366455644279</v>
      </c>
      <c r="P335">
        <f>-738.991046782602 -41.3791075838187 -420.198468378039</f>
        <v>-1200.5686227444598</v>
      </c>
      <c r="Q335">
        <f>-492.696779352997 -60.983818241107 -338.97761276958</f>
        <v>-892.65821036368402</v>
      </c>
      <c r="R335" t="s">
        <v>6984</v>
      </c>
      <c r="S335" t="s">
        <v>6985</v>
      </c>
      <c r="T335" t="s">
        <v>6986</v>
      </c>
      <c r="U335" t="s">
        <v>6987</v>
      </c>
      <c r="V335" t="s">
        <v>6988</v>
      </c>
      <c r="W335" t="s">
        <v>6989</v>
      </c>
      <c r="X335" t="s">
        <v>6990</v>
      </c>
      <c r="Y335" t="s">
        <v>6991</v>
      </c>
    </row>
    <row r="336" spans="1:25" x14ac:dyDescent="0.3">
      <c r="A336">
        <v>16750</v>
      </c>
      <c r="B336" t="s">
        <v>6992</v>
      </c>
      <c r="C336" t="s">
        <v>6993</v>
      </c>
      <c r="D336" t="s">
        <v>6994</v>
      </c>
      <c r="E336" t="s">
        <v>6995</v>
      </c>
      <c r="F336" t="s">
        <v>6996</v>
      </c>
      <c r="G336" t="s">
        <v>6997</v>
      </c>
      <c r="H336" t="s">
        <v>6998</v>
      </c>
      <c r="I336" t="s">
        <v>6999</v>
      </c>
      <c r="J336" t="s">
        <v>7000</v>
      </c>
      <c r="K336" t="s">
        <v>7001</v>
      </c>
      <c r="L336" t="s">
        <v>7002</v>
      </c>
      <c r="M336" t="s">
        <v>7003</v>
      </c>
      <c r="N336" t="s">
        <v>7004</v>
      </c>
      <c r="O336">
        <f>-731.904716900048 -55.0456449625458 -736.205862098442</f>
        <v>-1523.1562239610357</v>
      </c>
      <c r="P336">
        <f>-738.854158209716 -41.4206086689683 -420.053544000598</f>
        <v>-1200.3283108792823</v>
      </c>
      <c r="Q336">
        <f>-492.583262311716 -62.1102304259421 -339.031055260053</f>
        <v>-893.72454799771106</v>
      </c>
      <c r="R336" t="s">
        <v>7005</v>
      </c>
      <c r="S336" t="s">
        <v>7006</v>
      </c>
      <c r="T336" t="s">
        <v>7007</v>
      </c>
      <c r="U336" t="s">
        <v>7008</v>
      </c>
      <c r="V336" t="s">
        <v>7009</v>
      </c>
      <c r="W336" t="s">
        <v>7010</v>
      </c>
      <c r="X336" t="s">
        <v>7011</v>
      </c>
      <c r="Y336" t="s">
        <v>7012</v>
      </c>
    </row>
    <row r="337" spans="1:25" x14ac:dyDescent="0.3">
      <c r="A337">
        <v>16800</v>
      </c>
      <c r="B337" t="s">
        <v>7013</v>
      </c>
      <c r="C337" t="s">
        <v>7014</v>
      </c>
      <c r="D337" t="s">
        <v>7015</v>
      </c>
      <c r="E337" t="s">
        <v>7016</v>
      </c>
      <c r="F337" t="s">
        <v>7017</v>
      </c>
      <c r="G337" t="s">
        <v>7018</v>
      </c>
      <c r="H337" t="s">
        <v>7019</v>
      </c>
      <c r="I337" t="s">
        <v>7020</v>
      </c>
      <c r="J337" t="s">
        <v>7021</v>
      </c>
      <c r="K337" t="s">
        <v>7022</v>
      </c>
      <c r="L337" t="s">
        <v>7023</v>
      </c>
      <c r="M337" t="s">
        <v>7024</v>
      </c>
      <c r="N337" t="s">
        <v>7025</v>
      </c>
      <c r="O337">
        <f>-731.976512620755 -55.1066776151088 -736.114259545351</f>
        <v>-1523.1974497812148</v>
      </c>
      <c r="P337">
        <f>-738.790809398275 -41.4772507015366 -419.959317866458</f>
        <v>-1200.2273779662696</v>
      </c>
      <c r="Q337">
        <f>-492.539070461327 -62.7175684153844 -339.021071863942</f>
        <v>-894.27771074065345</v>
      </c>
      <c r="R337" t="s">
        <v>7026</v>
      </c>
      <c r="S337" t="s">
        <v>7027</v>
      </c>
      <c r="T337" t="s">
        <v>7028</v>
      </c>
      <c r="U337" t="s">
        <v>7029</v>
      </c>
      <c r="V337" t="s">
        <v>7030</v>
      </c>
      <c r="W337" t="s">
        <v>7031</v>
      </c>
      <c r="X337" t="s">
        <v>7032</v>
      </c>
      <c r="Y337" t="s">
        <v>7033</v>
      </c>
    </row>
    <row r="338" spans="1:25" x14ac:dyDescent="0.3">
      <c r="A338">
        <v>16850</v>
      </c>
      <c r="B338" t="s">
        <v>7034</v>
      </c>
      <c r="C338" t="s">
        <v>7035</v>
      </c>
      <c r="D338" t="s">
        <v>7036</v>
      </c>
      <c r="E338" t="s">
        <v>7037</v>
      </c>
      <c r="F338" t="s">
        <v>7038</v>
      </c>
      <c r="G338" t="s">
        <v>7039</v>
      </c>
      <c r="H338" t="s">
        <v>7040</v>
      </c>
      <c r="I338" t="s">
        <v>7041</v>
      </c>
      <c r="J338" t="s">
        <v>7042</v>
      </c>
      <c r="K338" t="s">
        <v>7043</v>
      </c>
      <c r="L338" t="s">
        <v>7044</v>
      </c>
      <c r="M338" t="s">
        <v>7045</v>
      </c>
      <c r="N338" t="s">
        <v>7046</v>
      </c>
      <c r="O338">
        <f>-731.853183249972 -55.1070742382203 -736.031688492803</f>
        <v>-1522.9919459809953</v>
      </c>
      <c r="P338">
        <f>-738.722484502869 -41.1848428552939 -419.890525505393</f>
        <v>-1199.7978528635558</v>
      </c>
      <c r="Q338">
        <f>-492.60054934215 -63.5422307380072 -338.858405661232</f>
        <v>-895.00118574138924</v>
      </c>
      <c r="R338" t="s">
        <v>7047</v>
      </c>
      <c r="S338" t="s">
        <v>7048</v>
      </c>
      <c r="T338" t="s">
        <v>7049</v>
      </c>
      <c r="U338" t="s">
        <v>7050</v>
      </c>
      <c r="V338" t="s">
        <v>7051</v>
      </c>
      <c r="W338" t="s">
        <v>7052</v>
      </c>
      <c r="X338" t="s">
        <v>7053</v>
      </c>
      <c r="Y338" t="s">
        <v>7054</v>
      </c>
    </row>
    <row r="339" spans="1:25" x14ac:dyDescent="0.3">
      <c r="A339">
        <v>16900</v>
      </c>
      <c r="B339" t="s">
        <v>7055</v>
      </c>
      <c r="C339" t="s">
        <v>7056</v>
      </c>
      <c r="D339" t="s">
        <v>7057</v>
      </c>
      <c r="E339" t="s">
        <v>7058</v>
      </c>
      <c r="F339" t="s">
        <v>7059</v>
      </c>
      <c r="G339" t="s">
        <v>7060</v>
      </c>
      <c r="H339" t="s">
        <v>7061</v>
      </c>
      <c r="I339" t="s">
        <v>7062</v>
      </c>
      <c r="J339" t="s">
        <v>7063</v>
      </c>
      <c r="K339" t="s">
        <v>7064</v>
      </c>
      <c r="L339" t="s">
        <v>7065</v>
      </c>
      <c r="M339" t="s">
        <v>7066</v>
      </c>
      <c r="N339" t="s">
        <v>7067</v>
      </c>
      <c r="O339">
        <f>-731.628664344428 -55.0962594087741 -735.992147101721</f>
        <v>-1522.7170708549231</v>
      </c>
      <c r="P339">
        <f>-738.59879351347 -41.0392693864367 -419.859303373815</f>
        <v>-1199.4973662737216</v>
      </c>
      <c r="Q339">
        <f>-492.532943594313 -63.9598405950876 -338.814163210352</f>
        <v>-895.30694739975252</v>
      </c>
      <c r="R339" t="s">
        <v>7068</v>
      </c>
      <c r="S339" t="s">
        <v>7069</v>
      </c>
      <c r="T339" t="s">
        <v>7070</v>
      </c>
      <c r="U339" t="s">
        <v>7071</v>
      </c>
      <c r="V339" t="s">
        <v>7072</v>
      </c>
      <c r="W339" t="s">
        <v>7073</v>
      </c>
      <c r="X339" t="s">
        <v>7074</v>
      </c>
      <c r="Y339" t="s">
        <v>7075</v>
      </c>
    </row>
    <row r="340" spans="1:25" x14ac:dyDescent="0.3">
      <c r="A340">
        <v>16950</v>
      </c>
      <c r="B340" t="s">
        <v>7076</v>
      </c>
      <c r="C340" t="s">
        <v>7077</v>
      </c>
      <c r="D340" t="s">
        <v>7078</v>
      </c>
      <c r="E340" t="s">
        <v>7079</v>
      </c>
      <c r="F340" t="s">
        <v>7080</v>
      </c>
      <c r="G340" t="s">
        <v>7081</v>
      </c>
      <c r="H340" t="s">
        <v>7082</v>
      </c>
      <c r="I340" t="s">
        <v>7083</v>
      </c>
      <c r="J340" t="s">
        <v>7084</v>
      </c>
      <c r="K340" t="s">
        <v>7085</v>
      </c>
      <c r="L340" t="s">
        <v>7086</v>
      </c>
      <c r="M340" t="s">
        <v>7087</v>
      </c>
      <c r="N340" t="s">
        <v>7088</v>
      </c>
      <c r="O340">
        <f>-730.846491519228 -54.9509369240839 -735.849650736867</f>
        <v>-1521.6470791801789</v>
      </c>
      <c r="P340">
        <f>-738.067656249295 -40.6273097484641 -419.734215571973</f>
        <v>-1198.429181569732</v>
      </c>
      <c r="Q340">
        <f>-492.099817810306 -64.387726141269 -338.633625431697</f>
        <v>-895.12116938327199</v>
      </c>
      <c r="R340" t="s">
        <v>7089</v>
      </c>
      <c r="S340" t="s">
        <v>7090</v>
      </c>
      <c r="T340" t="s">
        <v>7091</v>
      </c>
      <c r="U340" t="s">
        <v>7092</v>
      </c>
      <c r="V340" t="s">
        <v>7093</v>
      </c>
      <c r="W340" t="s">
        <v>7094</v>
      </c>
      <c r="X340" t="s">
        <v>7095</v>
      </c>
      <c r="Y340" t="s">
        <v>7096</v>
      </c>
    </row>
    <row r="341" spans="1:25" x14ac:dyDescent="0.3">
      <c r="A341">
        <v>17000</v>
      </c>
      <c r="B341" t="s">
        <v>7097</v>
      </c>
      <c r="C341" t="s">
        <v>7098</v>
      </c>
      <c r="D341" t="s">
        <v>7099</v>
      </c>
      <c r="E341" t="s">
        <v>7100</v>
      </c>
      <c r="F341" t="s">
        <v>7101</v>
      </c>
      <c r="G341" t="s">
        <v>7102</v>
      </c>
      <c r="H341" t="s">
        <v>7103</v>
      </c>
      <c r="I341" t="s">
        <v>7104</v>
      </c>
      <c r="J341" t="s">
        <v>7105</v>
      </c>
      <c r="K341" t="s">
        <v>7106</v>
      </c>
      <c r="L341" t="s">
        <v>7107</v>
      </c>
      <c r="M341" t="s">
        <v>7108</v>
      </c>
      <c r="N341" t="s">
        <v>7109</v>
      </c>
      <c r="O341">
        <f>-730.026774708047 -54.8323533014923 -735.668226801831</f>
        <v>-1520.5273548113703</v>
      </c>
      <c r="P341">
        <f>-737.625781118285 -40.156444750198 -419.578001080443</f>
        <v>-1197.3602269489261</v>
      </c>
      <c r="Q341">
        <f>-491.778034017429 -64.6299030701098 -338.325318246899</f>
        <v>-894.73325533443779</v>
      </c>
      <c r="R341" t="s">
        <v>7110</v>
      </c>
      <c r="S341" t="s">
        <v>7111</v>
      </c>
      <c r="T341" t="s">
        <v>7112</v>
      </c>
      <c r="U341" t="s">
        <v>7113</v>
      </c>
      <c r="V341" t="s">
        <v>7114</v>
      </c>
      <c r="W341" t="s">
        <v>7115</v>
      </c>
      <c r="X341" t="s">
        <v>7116</v>
      </c>
      <c r="Y341" t="s">
        <v>7117</v>
      </c>
    </row>
    <row r="342" spans="1:25" x14ac:dyDescent="0.3">
      <c r="A342">
        <v>17050</v>
      </c>
      <c r="B342" t="s">
        <v>7118</v>
      </c>
      <c r="C342" t="s">
        <v>7119</v>
      </c>
      <c r="D342" t="s">
        <v>7120</v>
      </c>
      <c r="E342" t="s">
        <v>7121</v>
      </c>
      <c r="F342" t="s">
        <v>7122</v>
      </c>
      <c r="G342" t="s">
        <v>7123</v>
      </c>
      <c r="H342" t="s">
        <v>7124</v>
      </c>
      <c r="I342" t="s">
        <v>7125</v>
      </c>
      <c r="J342" t="s">
        <v>7126</v>
      </c>
      <c r="K342" t="s">
        <v>7127</v>
      </c>
      <c r="L342" t="s">
        <v>7128</v>
      </c>
      <c r="M342" t="s">
        <v>7129</v>
      </c>
      <c r="N342" t="s">
        <v>7130</v>
      </c>
      <c r="O342">
        <f>-729.234324540749 -54.6482914785759 -735.426968896322</f>
        <v>-1519.3095849156468</v>
      </c>
      <c r="P342">
        <f>-736.69042059389 -39.6537866481847 -419.348292643482</f>
        <v>-1195.6924998855568</v>
      </c>
      <c r="Q342">
        <f>-490.981782869513 -64.9805330922957 -337.936618693542</f>
        <v>-893.89893465535079</v>
      </c>
      <c r="R342" t="s">
        <v>7131</v>
      </c>
      <c r="S342" t="s">
        <v>7132</v>
      </c>
      <c r="T342" t="s">
        <v>7133</v>
      </c>
      <c r="U342" t="s">
        <v>7134</v>
      </c>
      <c r="V342" t="s">
        <v>7135</v>
      </c>
      <c r="W342" t="s">
        <v>7136</v>
      </c>
      <c r="X342" t="s">
        <v>7137</v>
      </c>
      <c r="Y342" t="s">
        <v>7138</v>
      </c>
    </row>
    <row r="343" spans="1:25" x14ac:dyDescent="0.3">
      <c r="A343">
        <v>17100</v>
      </c>
      <c r="B343" t="s">
        <v>7139</v>
      </c>
      <c r="C343" t="s">
        <v>7140</v>
      </c>
      <c r="D343" t="s">
        <v>7141</v>
      </c>
      <c r="E343" t="s">
        <v>7142</v>
      </c>
      <c r="F343" t="s">
        <v>7143</v>
      </c>
      <c r="G343" t="s">
        <v>7144</v>
      </c>
      <c r="H343" t="s">
        <v>7145</v>
      </c>
      <c r="I343" t="s">
        <v>7146</v>
      </c>
      <c r="J343" t="s">
        <v>7147</v>
      </c>
      <c r="K343" t="s">
        <v>7148</v>
      </c>
      <c r="L343" t="s">
        <v>7149</v>
      </c>
      <c r="M343" t="s">
        <v>7150</v>
      </c>
      <c r="N343" t="s">
        <v>7151</v>
      </c>
      <c r="O343">
        <f>-728.822931821128 -54.6104692607576 -735.225762287773</f>
        <v>-1518.6591633696585</v>
      </c>
      <c r="P343">
        <f>-736.105589418084 -39.3836123333572 -419.154053566571</f>
        <v>-1194.6432553180123</v>
      </c>
      <c r="Q343">
        <f>-490.420012835078 -65.1920494320188 -337.823894164023</f>
        <v>-893.43595643111985</v>
      </c>
      <c r="R343" t="s">
        <v>7152</v>
      </c>
      <c r="S343" t="s">
        <v>7153</v>
      </c>
      <c r="T343" t="s">
        <v>7154</v>
      </c>
      <c r="U343" t="s">
        <v>7155</v>
      </c>
      <c r="V343" t="s">
        <v>7156</v>
      </c>
      <c r="W343" t="s">
        <v>7157</v>
      </c>
      <c r="X343" t="s">
        <v>7158</v>
      </c>
      <c r="Y343" t="s">
        <v>7159</v>
      </c>
    </row>
    <row r="344" spans="1:25" x14ac:dyDescent="0.3">
      <c r="A344">
        <v>17150</v>
      </c>
      <c r="B344" t="s">
        <v>7160</v>
      </c>
      <c r="C344" t="s">
        <v>7161</v>
      </c>
      <c r="D344" t="s">
        <v>7162</v>
      </c>
      <c r="E344" t="s">
        <v>7163</v>
      </c>
      <c r="F344" t="s">
        <v>7164</v>
      </c>
      <c r="G344" t="s">
        <v>7165</v>
      </c>
      <c r="H344" t="s">
        <v>7166</v>
      </c>
      <c r="I344" t="s">
        <v>7167</v>
      </c>
      <c r="J344" t="s">
        <v>7168</v>
      </c>
      <c r="K344" t="s">
        <v>7169</v>
      </c>
      <c r="L344" t="s">
        <v>7170</v>
      </c>
      <c r="M344" t="s">
        <v>7171</v>
      </c>
      <c r="N344" t="s">
        <v>7172</v>
      </c>
      <c r="O344">
        <f>-727.830438413931 -54.5915979400836 -734.817019007587</f>
        <v>-1517.2390553616015</v>
      </c>
      <c r="P344">
        <f>-734.759255486847 -38.7707623886586 -418.76667652779</f>
        <v>-1192.2966944032955</v>
      </c>
      <c r="Q344">
        <f>-489.053513213083 -65.4269656356798 -337.771584370371</f>
        <v>-892.25206321913379</v>
      </c>
      <c r="R344" t="s">
        <v>7173</v>
      </c>
      <c r="S344" t="s">
        <v>7174</v>
      </c>
      <c r="T344" t="s">
        <v>7175</v>
      </c>
      <c r="U344" t="s">
        <v>7176</v>
      </c>
      <c r="V344" t="s">
        <v>7177</v>
      </c>
      <c r="W344" t="s">
        <v>7178</v>
      </c>
      <c r="X344" t="s">
        <v>7179</v>
      </c>
      <c r="Y344" t="s">
        <v>7180</v>
      </c>
    </row>
    <row r="345" spans="1:25" x14ac:dyDescent="0.3">
      <c r="A345">
        <v>17200</v>
      </c>
      <c r="B345" t="s">
        <v>7181</v>
      </c>
      <c r="C345" t="s">
        <v>7182</v>
      </c>
      <c r="D345" t="s">
        <v>7183</v>
      </c>
      <c r="E345" t="s">
        <v>7184</v>
      </c>
      <c r="F345" t="s">
        <v>7185</v>
      </c>
      <c r="G345" t="s">
        <v>7186</v>
      </c>
      <c r="H345" t="s">
        <v>7187</v>
      </c>
      <c r="I345" t="s">
        <v>7188</v>
      </c>
      <c r="J345" t="s">
        <v>7189</v>
      </c>
      <c r="K345" t="s">
        <v>7190</v>
      </c>
      <c r="L345" t="s">
        <v>7191</v>
      </c>
      <c r="M345" t="s">
        <v>7192</v>
      </c>
      <c r="N345" t="s">
        <v>7193</v>
      </c>
      <c r="O345">
        <f>-727.269733111943 -54.6696887309615 -734.605004493329</f>
        <v>-1516.5444263362335</v>
      </c>
      <c r="P345">
        <f>-734.009449739055 -38.6972267633641 -418.558129042245</f>
        <v>-1191.2648055446641</v>
      </c>
      <c r="Q345">
        <f>-488.297640366676 -65.6513633525597 -337.680111731609</f>
        <v>-891.62911545084467</v>
      </c>
      <c r="R345" t="s">
        <v>7194</v>
      </c>
      <c r="S345" t="s">
        <v>7195</v>
      </c>
      <c r="T345" t="s">
        <v>7196</v>
      </c>
      <c r="U345" t="s">
        <v>7197</v>
      </c>
      <c r="V345" t="s">
        <v>7198</v>
      </c>
      <c r="W345" t="s">
        <v>7199</v>
      </c>
      <c r="X345" t="s">
        <v>7200</v>
      </c>
      <c r="Y345" t="s">
        <v>7201</v>
      </c>
    </row>
    <row r="346" spans="1:25" x14ac:dyDescent="0.3">
      <c r="A346">
        <v>17250</v>
      </c>
      <c r="B346" t="s">
        <v>7202</v>
      </c>
      <c r="C346" t="s">
        <v>7203</v>
      </c>
      <c r="D346" t="s">
        <v>7204</v>
      </c>
      <c r="E346" t="s">
        <v>7205</v>
      </c>
      <c r="F346" t="s">
        <v>7206</v>
      </c>
      <c r="G346" t="s">
        <v>7207</v>
      </c>
      <c r="H346" t="s">
        <v>7208</v>
      </c>
      <c r="I346" t="s">
        <v>7209</v>
      </c>
      <c r="J346" t="s">
        <v>7210</v>
      </c>
      <c r="K346" t="s">
        <v>7211</v>
      </c>
      <c r="L346" t="s">
        <v>7212</v>
      </c>
      <c r="M346" t="s">
        <v>7213</v>
      </c>
      <c r="N346" t="s">
        <v>7214</v>
      </c>
      <c r="O346">
        <f>-726.102973072138 -54.8732649323583 -734.206694579182</f>
        <v>-1515.1829325836784</v>
      </c>
      <c r="P346">
        <f>-732.469794683961 -38.3415181414509 -418.180882047282</f>
        <v>-1188.992194872694</v>
      </c>
      <c r="Q346">
        <f>-486.747857608405 -65.8043804064646 -337.504983079255</f>
        <v>-890.05722109412466</v>
      </c>
      <c r="R346" t="s">
        <v>7215</v>
      </c>
      <c r="S346" t="s">
        <v>7216</v>
      </c>
      <c r="T346" t="s">
        <v>7217</v>
      </c>
      <c r="U346" t="s">
        <v>7218</v>
      </c>
      <c r="V346" t="s">
        <v>7219</v>
      </c>
      <c r="W346" t="s">
        <v>7220</v>
      </c>
      <c r="X346" t="s">
        <v>7221</v>
      </c>
      <c r="Y346" t="s">
        <v>7222</v>
      </c>
    </row>
    <row r="347" spans="1:25" x14ac:dyDescent="0.3">
      <c r="A347">
        <v>17300</v>
      </c>
      <c r="B347" t="s">
        <v>7223</v>
      </c>
      <c r="C347" t="s">
        <v>7224</v>
      </c>
      <c r="D347" t="s">
        <v>7225</v>
      </c>
      <c r="E347" t="s">
        <v>7226</v>
      </c>
      <c r="F347" t="s">
        <v>7227</v>
      </c>
      <c r="G347" t="s">
        <v>7228</v>
      </c>
      <c r="H347" t="s">
        <v>7229</v>
      </c>
      <c r="I347" t="s">
        <v>7230</v>
      </c>
      <c r="J347" t="s">
        <v>7231</v>
      </c>
      <c r="K347" t="s">
        <v>7232</v>
      </c>
      <c r="L347" t="s">
        <v>7233</v>
      </c>
      <c r="M347" t="s">
        <v>7234</v>
      </c>
      <c r="N347" t="s">
        <v>7235</v>
      </c>
      <c r="O347">
        <f>-725.493413562411 -54.8290874401655 -734.023319497715</f>
        <v>-1514.3458205002914</v>
      </c>
      <c r="P347">
        <f>-731.635641832005 -38.1757669748135 -417.999403470875</f>
        <v>-1187.8108122776935</v>
      </c>
      <c r="Q347">
        <f>-485.997403049732 -66.0562643469066 -337.211784287437</f>
        <v>-889.26545168407563</v>
      </c>
      <c r="R347" t="s">
        <v>7236</v>
      </c>
      <c r="S347" t="s">
        <v>7237</v>
      </c>
      <c r="T347" t="s">
        <v>7238</v>
      </c>
      <c r="U347" t="s">
        <v>7239</v>
      </c>
      <c r="V347" t="s">
        <v>7240</v>
      </c>
      <c r="W347" t="s">
        <v>7241</v>
      </c>
      <c r="X347" t="s">
        <v>7242</v>
      </c>
      <c r="Y347" t="s">
        <v>7243</v>
      </c>
    </row>
    <row r="348" spans="1:25" x14ac:dyDescent="0.3">
      <c r="A348">
        <v>17350</v>
      </c>
      <c r="B348" t="s">
        <v>7244</v>
      </c>
      <c r="C348" t="s">
        <v>7245</v>
      </c>
      <c r="D348" t="s">
        <v>7246</v>
      </c>
      <c r="E348" t="s">
        <v>7247</v>
      </c>
      <c r="F348" t="s">
        <v>7248</v>
      </c>
      <c r="G348" t="s">
        <v>7249</v>
      </c>
      <c r="H348" t="s">
        <v>7250</v>
      </c>
      <c r="I348" t="s">
        <v>7251</v>
      </c>
      <c r="J348" t="s">
        <v>7252</v>
      </c>
      <c r="K348" t="s">
        <v>7253</v>
      </c>
      <c r="L348" t="s">
        <v>7254</v>
      </c>
      <c r="M348" t="s">
        <v>7255</v>
      </c>
      <c r="N348" t="s">
        <v>7256</v>
      </c>
      <c r="O348">
        <f>-723.795565839157 -54.9138118239755 -733.705482038434</f>
        <v>-1512.4148597015665</v>
      </c>
      <c r="P348">
        <f>-729.532615045217 -37.761038894176 -417.700708020501</f>
        <v>-1184.9943619598939</v>
      </c>
      <c r="Q348">
        <f>-483.946570954215 -66.1181555494759 -336.920522675169</f>
        <v>-886.98524917885993</v>
      </c>
      <c r="R348" t="s">
        <v>7257</v>
      </c>
      <c r="S348" t="s">
        <v>7258</v>
      </c>
      <c r="T348" t="s">
        <v>7259</v>
      </c>
      <c r="U348" t="s">
        <v>7260</v>
      </c>
      <c r="V348" t="s">
        <v>7261</v>
      </c>
      <c r="W348" t="s">
        <v>7262</v>
      </c>
      <c r="X348" t="s">
        <v>7263</v>
      </c>
      <c r="Y348" t="s">
        <v>7264</v>
      </c>
    </row>
    <row r="349" spans="1:25" x14ac:dyDescent="0.3">
      <c r="A349">
        <v>17400</v>
      </c>
      <c r="B349" t="s">
        <v>7265</v>
      </c>
      <c r="C349" t="s">
        <v>7266</v>
      </c>
      <c r="D349" t="s">
        <v>7267</v>
      </c>
      <c r="E349" t="s">
        <v>7268</v>
      </c>
      <c r="F349" t="s">
        <v>7269</v>
      </c>
      <c r="G349" t="s">
        <v>7270</v>
      </c>
      <c r="H349" t="s">
        <v>7271</v>
      </c>
      <c r="I349" t="s">
        <v>7272</v>
      </c>
      <c r="J349" t="s">
        <v>7273</v>
      </c>
      <c r="K349" t="s">
        <v>7274</v>
      </c>
      <c r="L349" t="s">
        <v>7275</v>
      </c>
      <c r="M349" t="s">
        <v>7276</v>
      </c>
      <c r="N349" t="s">
        <v>7277</v>
      </c>
      <c r="O349">
        <f>-723.062545232507 -54.8563008993885 -733.585271267341</f>
        <v>-1511.5041173992365</v>
      </c>
      <c r="P349">
        <f>-728.408437912978 -37.858895785392 -417.565203038055</f>
        <v>-1183.832536736425</v>
      </c>
      <c r="Q349">
        <f>-482.773271345703 -66.1381540842203 -336.907272753378</f>
        <v>-885.81869818330119</v>
      </c>
      <c r="R349" t="s">
        <v>7278</v>
      </c>
      <c r="S349" t="s">
        <v>7279</v>
      </c>
      <c r="T349" t="s">
        <v>7280</v>
      </c>
      <c r="U349" t="s">
        <v>7281</v>
      </c>
      <c r="V349" t="s">
        <v>7282</v>
      </c>
      <c r="W349" t="s">
        <v>7283</v>
      </c>
      <c r="X349" t="s">
        <v>7284</v>
      </c>
      <c r="Y349" t="s">
        <v>7285</v>
      </c>
    </row>
    <row r="350" spans="1:25" x14ac:dyDescent="0.3">
      <c r="A350">
        <v>17450</v>
      </c>
      <c r="B350" t="s">
        <v>7286</v>
      </c>
      <c r="C350" t="s">
        <v>7287</v>
      </c>
      <c r="D350" t="s">
        <v>7288</v>
      </c>
      <c r="E350" t="s">
        <v>7289</v>
      </c>
      <c r="F350" t="s">
        <v>7290</v>
      </c>
      <c r="G350" t="s">
        <v>7291</v>
      </c>
      <c r="H350" t="s">
        <v>7292</v>
      </c>
      <c r="I350" t="s">
        <v>7293</v>
      </c>
      <c r="J350" t="s">
        <v>7294</v>
      </c>
      <c r="K350" t="s">
        <v>7295</v>
      </c>
      <c r="L350" t="s">
        <v>7296</v>
      </c>
      <c r="M350" t="s">
        <v>7297</v>
      </c>
      <c r="N350" t="s">
        <v>7298</v>
      </c>
      <c r="O350">
        <f>-721.966630760596 -54.7991500319897 -733.446087197423</f>
        <v>-1510.2118679900086</v>
      </c>
      <c r="P350">
        <f>-726.685357744798 -37.9502387803209 -417.408143006253</f>
        <v>-1182.043739531372</v>
      </c>
      <c r="Q350">
        <f>-480.909918191682 -65.974815433611 -337.089265778808</f>
        <v>-883.97399940410094</v>
      </c>
      <c r="R350" t="s">
        <v>7299</v>
      </c>
      <c r="S350" t="s">
        <v>7300</v>
      </c>
      <c r="T350" t="s">
        <v>7301</v>
      </c>
      <c r="U350" t="s">
        <v>7302</v>
      </c>
      <c r="V350" t="s">
        <v>7303</v>
      </c>
      <c r="W350" t="s">
        <v>7304</v>
      </c>
      <c r="X350" t="s">
        <v>7305</v>
      </c>
      <c r="Y350" t="s">
        <v>7306</v>
      </c>
    </row>
    <row r="351" spans="1:25" x14ac:dyDescent="0.3">
      <c r="A351">
        <v>17500</v>
      </c>
      <c r="B351" t="s">
        <v>7307</v>
      </c>
      <c r="C351" t="s">
        <v>7308</v>
      </c>
      <c r="D351" t="s">
        <v>7309</v>
      </c>
      <c r="E351" t="s">
        <v>7310</v>
      </c>
      <c r="F351" t="s">
        <v>7311</v>
      </c>
      <c r="G351" t="s">
        <v>7312</v>
      </c>
      <c r="H351" t="s">
        <v>7313</v>
      </c>
      <c r="I351" t="s">
        <v>7314</v>
      </c>
      <c r="J351" t="s">
        <v>7315</v>
      </c>
      <c r="K351" t="s">
        <v>7316</v>
      </c>
      <c r="L351" t="s">
        <v>7317</v>
      </c>
      <c r="M351" t="s">
        <v>7318</v>
      </c>
      <c r="N351" t="s">
        <v>7319</v>
      </c>
      <c r="O351">
        <f>-721.698884746133 -54.8306584709671 -733.49548222339</f>
        <v>-1510.02502544049</v>
      </c>
      <c r="P351">
        <f>-726.050641141066 -38.1168965385566 -417.445068992543</f>
        <v>-1181.6126066721656</v>
      </c>
      <c r="Q351">
        <f>-480.21323301278 -66.0297260154573 -337.277335943066</f>
        <v>-883.5202949713032</v>
      </c>
      <c r="R351" t="s">
        <v>7320</v>
      </c>
      <c r="S351" t="s">
        <v>7321</v>
      </c>
      <c r="T351" t="s">
        <v>7322</v>
      </c>
      <c r="U351" t="s">
        <v>7323</v>
      </c>
      <c r="V351" t="s">
        <v>7324</v>
      </c>
      <c r="W351" t="s">
        <v>7325</v>
      </c>
      <c r="X351" t="s">
        <v>7326</v>
      </c>
      <c r="Y351" t="s">
        <v>7327</v>
      </c>
    </row>
    <row r="352" spans="1:25" x14ac:dyDescent="0.3">
      <c r="A352">
        <v>17550</v>
      </c>
      <c r="B352" t="s">
        <v>7328</v>
      </c>
      <c r="C352" t="s">
        <v>7329</v>
      </c>
      <c r="D352" t="s">
        <v>7330</v>
      </c>
      <c r="E352" t="s">
        <v>7331</v>
      </c>
      <c r="F352" t="s">
        <v>7332</v>
      </c>
      <c r="G352" t="s">
        <v>7333</v>
      </c>
      <c r="H352" t="s">
        <v>7334</v>
      </c>
      <c r="I352" t="s">
        <v>7335</v>
      </c>
      <c r="J352" t="s">
        <v>7336</v>
      </c>
      <c r="K352" t="s">
        <v>7337</v>
      </c>
      <c r="L352" t="s">
        <v>7338</v>
      </c>
      <c r="M352" t="s">
        <v>7339</v>
      </c>
      <c r="N352" t="s">
        <v>7340</v>
      </c>
      <c r="O352">
        <f>-721.211664048148 -55.4056085531131 -733.970579120436</f>
        <v>-1510.587851721697</v>
      </c>
      <c r="P352">
        <f>-725.135091939755 -39.352049460485 -417.880162132806</f>
        <v>-1182.367303533046</v>
      </c>
      <c r="Q352">
        <f>-479.524258884308 -67.9773665041002 -337.27048084336</f>
        <v>-884.77210623176825</v>
      </c>
      <c r="R352" t="s">
        <v>7341</v>
      </c>
      <c r="S352" t="s">
        <v>7342</v>
      </c>
      <c r="T352" t="s">
        <v>7343</v>
      </c>
      <c r="U352" t="s">
        <v>7344</v>
      </c>
      <c r="V352" t="s">
        <v>7345</v>
      </c>
      <c r="W352" t="s">
        <v>7346</v>
      </c>
      <c r="X352" t="s">
        <v>7347</v>
      </c>
      <c r="Y352" t="s">
        <v>7348</v>
      </c>
    </row>
    <row r="353" spans="1:25" x14ac:dyDescent="0.3">
      <c r="A353">
        <v>17600</v>
      </c>
      <c r="B353" t="s">
        <v>7349</v>
      </c>
      <c r="C353" t="s">
        <v>7350</v>
      </c>
      <c r="D353" t="s">
        <v>7351</v>
      </c>
      <c r="E353" t="s">
        <v>7352</v>
      </c>
      <c r="F353" t="s">
        <v>7353</v>
      </c>
      <c r="G353" t="s">
        <v>7354</v>
      </c>
      <c r="H353" t="s">
        <v>7355</v>
      </c>
      <c r="I353" t="s">
        <v>7356</v>
      </c>
      <c r="J353" t="s">
        <v>7357</v>
      </c>
      <c r="K353" t="s">
        <v>7358</v>
      </c>
      <c r="L353" t="s">
        <v>7359</v>
      </c>
      <c r="M353" t="s">
        <v>7360</v>
      </c>
      <c r="N353" t="s">
        <v>7361</v>
      </c>
      <c r="O353">
        <f>-720.638480606041 -55.8062192296779 -734.237286032809</f>
        <v>-1510.681985868528</v>
      </c>
      <c r="P353">
        <f>-724.653734801543 -39.7336835577371 -418.149133094201</f>
        <v>-1182.536551453481</v>
      </c>
      <c r="Q353">
        <f>-479.055294589858 -68.1293833607556 -337.420243811685</f>
        <v>-884.60492176229855</v>
      </c>
      <c r="R353" t="s">
        <v>7362</v>
      </c>
      <c r="S353" t="s">
        <v>7363</v>
      </c>
      <c r="T353" t="s">
        <v>7364</v>
      </c>
      <c r="U353" t="s">
        <v>7365</v>
      </c>
      <c r="V353" t="s">
        <v>7366</v>
      </c>
      <c r="W353" t="s">
        <v>7367</v>
      </c>
      <c r="X353" t="s">
        <v>7368</v>
      </c>
      <c r="Y353" t="s">
        <v>7369</v>
      </c>
    </row>
    <row r="354" spans="1:25" x14ac:dyDescent="0.3">
      <c r="A354">
        <v>17650</v>
      </c>
      <c r="B354" t="s">
        <v>7370</v>
      </c>
      <c r="C354" t="s">
        <v>7371</v>
      </c>
      <c r="D354" t="s">
        <v>7372</v>
      </c>
      <c r="E354" t="s">
        <v>7373</v>
      </c>
      <c r="F354" t="s">
        <v>7374</v>
      </c>
      <c r="G354" t="s">
        <v>7375</v>
      </c>
      <c r="H354" t="s">
        <v>7376</v>
      </c>
      <c r="I354" t="s">
        <v>7377</v>
      </c>
      <c r="J354" t="s">
        <v>7378</v>
      </c>
      <c r="K354" t="s">
        <v>7379</v>
      </c>
      <c r="L354" t="s">
        <v>7380</v>
      </c>
      <c r="M354" t="s">
        <v>7381</v>
      </c>
      <c r="N354" t="s">
        <v>7382</v>
      </c>
      <c r="O354">
        <f>-719.31156763154 -56.411315734784 -734.430892137203</f>
        <v>-1510.153775503527</v>
      </c>
      <c r="P354">
        <f>-723.604291865939 -39.7828951379418 -418.375082295096</f>
        <v>-1181.7622692989767</v>
      </c>
      <c r="Q354">
        <f>-478.479839676968 -69.6350721409647 -336.736240957681</f>
        <v>-884.85115277561363</v>
      </c>
      <c r="R354" t="s">
        <v>7383</v>
      </c>
      <c r="S354" t="s">
        <v>7384</v>
      </c>
      <c r="T354" t="s">
        <v>7385</v>
      </c>
      <c r="U354" t="s">
        <v>7386</v>
      </c>
      <c r="V354" t="s">
        <v>7387</v>
      </c>
      <c r="W354" t="s">
        <v>7388</v>
      </c>
      <c r="X354" t="s">
        <v>7389</v>
      </c>
      <c r="Y354" t="s">
        <v>7390</v>
      </c>
    </row>
    <row r="355" spans="1:25" x14ac:dyDescent="0.3">
      <c r="A355">
        <v>17700</v>
      </c>
      <c r="B355" t="s">
        <v>7391</v>
      </c>
      <c r="C355" t="s">
        <v>7392</v>
      </c>
      <c r="D355" t="s">
        <v>7393</v>
      </c>
      <c r="E355" t="s">
        <v>7394</v>
      </c>
      <c r="F355" t="s">
        <v>7395</v>
      </c>
      <c r="G355" t="s">
        <v>7396</v>
      </c>
      <c r="H355" t="s">
        <v>7397</v>
      </c>
      <c r="I355" t="s">
        <v>7398</v>
      </c>
      <c r="J355" t="s">
        <v>7399</v>
      </c>
      <c r="K355" t="s">
        <v>7400</v>
      </c>
      <c r="L355" t="s">
        <v>7401</v>
      </c>
      <c r="M355" t="s">
        <v>7402</v>
      </c>
      <c r="N355" t="s">
        <v>7403</v>
      </c>
      <c r="O355">
        <f>-718.411510614368 -56.3676469267307 -734.388633542963</f>
        <v>-1509.1677910840617</v>
      </c>
      <c r="P355">
        <f>-722.800985685639 -39.4727723683127 -418.348410194053</f>
        <v>-1180.6221682480048</v>
      </c>
      <c r="Q355">
        <f>-477.653762421278 -69.4034698893104 -336.806559146011</f>
        <v>-883.8637914565993</v>
      </c>
      <c r="R355" t="s">
        <v>7404</v>
      </c>
      <c r="S355" t="s">
        <v>7405</v>
      </c>
      <c r="T355" t="s">
        <v>7406</v>
      </c>
      <c r="U355" t="s">
        <v>7407</v>
      </c>
      <c r="V355" t="s">
        <v>7408</v>
      </c>
      <c r="W355" t="s">
        <v>7409</v>
      </c>
      <c r="X355" t="s">
        <v>7410</v>
      </c>
      <c r="Y355" t="s">
        <v>7411</v>
      </c>
    </row>
    <row r="356" spans="1:25" x14ac:dyDescent="0.3">
      <c r="A356">
        <v>17750</v>
      </c>
      <c r="B356" t="s">
        <v>7412</v>
      </c>
      <c r="C356" t="s">
        <v>7413</v>
      </c>
      <c r="D356" t="s">
        <v>7414</v>
      </c>
      <c r="E356" t="s">
        <v>7415</v>
      </c>
      <c r="F356" t="s">
        <v>7416</v>
      </c>
      <c r="G356" t="s">
        <v>7417</v>
      </c>
      <c r="H356" t="s">
        <v>7418</v>
      </c>
      <c r="I356" t="s">
        <v>7419</v>
      </c>
      <c r="J356" t="s">
        <v>7420</v>
      </c>
      <c r="K356" t="s">
        <v>7421</v>
      </c>
      <c r="L356" t="s">
        <v>7422</v>
      </c>
      <c r="M356" t="s">
        <v>7423</v>
      </c>
      <c r="N356" t="s">
        <v>7424</v>
      </c>
      <c r="O356">
        <f>-716.907811877318 -56.2988191217744 -734.155608837842</f>
        <v>-1507.3622398369344</v>
      </c>
      <c r="P356">
        <f>-721.89274353783 -39.7041197652409 -418.108265980222</f>
        <v>-1179.705129283293</v>
      </c>
      <c r="Q356">
        <f>-476.972291339448 -69.2403401055433 -335.745475304166</f>
        <v>-881.95810674915731</v>
      </c>
      <c r="R356" t="s">
        <v>7425</v>
      </c>
      <c r="S356" t="s">
        <v>7426</v>
      </c>
      <c r="T356" t="s">
        <v>7427</v>
      </c>
      <c r="U356" t="s">
        <v>7428</v>
      </c>
      <c r="V356" t="s">
        <v>7429</v>
      </c>
      <c r="W356" t="s">
        <v>7430</v>
      </c>
      <c r="X356" t="s">
        <v>7431</v>
      </c>
      <c r="Y356" t="s">
        <v>7432</v>
      </c>
    </row>
    <row r="357" spans="1:25" x14ac:dyDescent="0.3">
      <c r="A357">
        <v>17800</v>
      </c>
      <c r="B357" t="s">
        <v>7433</v>
      </c>
      <c r="C357" t="s">
        <v>7434</v>
      </c>
      <c r="D357" t="s">
        <v>7435</v>
      </c>
      <c r="E357" t="s">
        <v>7436</v>
      </c>
      <c r="F357" t="s">
        <v>7437</v>
      </c>
      <c r="G357" t="s">
        <v>7438</v>
      </c>
      <c r="H357" t="s">
        <v>7439</v>
      </c>
      <c r="I357" t="s">
        <v>7440</v>
      </c>
      <c r="J357" t="s">
        <v>7441</v>
      </c>
      <c r="K357" t="s">
        <v>7442</v>
      </c>
      <c r="L357" t="s">
        <v>7443</v>
      </c>
      <c r="M357" t="s">
        <v>7444</v>
      </c>
      <c r="N357" t="s">
        <v>7445</v>
      </c>
      <c r="O357">
        <f>-716.121059810988 -56.2823400347404 -734.067185732666</f>
        <v>-1506.4705855783943</v>
      </c>
      <c r="P357">
        <f>-721.643478221268 -39.4794988385079 -418.039742775982</f>
        <v>-1179.1627198357578</v>
      </c>
      <c r="Q357">
        <f>-476.698744129953 -68.3423084115502 -335.510601730027</f>
        <v>-880.5516542715302</v>
      </c>
      <c r="R357" t="s">
        <v>7446</v>
      </c>
      <c r="S357" t="s">
        <v>7447</v>
      </c>
      <c r="T357" t="s">
        <v>7448</v>
      </c>
      <c r="U357" t="s">
        <v>7449</v>
      </c>
      <c r="V357" t="s">
        <v>7450</v>
      </c>
      <c r="W357" t="s">
        <v>7451</v>
      </c>
      <c r="X357" t="s">
        <v>7452</v>
      </c>
      <c r="Y357" t="s">
        <v>7453</v>
      </c>
    </row>
    <row r="358" spans="1:25" x14ac:dyDescent="0.3">
      <c r="A358">
        <v>17850</v>
      </c>
      <c r="B358" t="s">
        <v>7454</v>
      </c>
      <c r="C358" t="s">
        <v>7455</v>
      </c>
      <c r="D358" t="s">
        <v>7456</v>
      </c>
      <c r="E358" t="s">
        <v>7457</v>
      </c>
      <c r="F358" t="s">
        <v>7458</v>
      </c>
      <c r="G358" t="s">
        <v>7459</v>
      </c>
      <c r="H358" t="s">
        <v>7460</v>
      </c>
      <c r="I358" t="s">
        <v>7461</v>
      </c>
      <c r="J358" t="s">
        <v>7462</v>
      </c>
      <c r="K358" t="s">
        <v>7463</v>
      </c>
      <c r="L358" t="s">
        <v>7464</v>
      </c>
      <c r="M358" t="s">
        <v>7465</v>
      </c>
      <c r="N358" t="s">
        <v>7466</v>
      </c>
      <c r="O358">
        <f>-714.989389115856 -56.3118326649656 -733.950350335088</f>
        <v>-1505.2515721159098</v>
      </c>
      <c r="P358">
        <f>-720.525825871846 -39.6808557242027 -417.914067797623</f>
        <v>-1178.1207493936718</v>
      </c>
      <c r="Q358">
        <f>-475.572835151954 -68.3369022127958 -335.337480541113</f>
        <v>-879.24721790586284</v>
      </c>
      <c r="R358" t="s">
        <v>7467</v>
      </c>
      <c r="S358" t="s">
        <v>7468</v>
      </c>
      <c r="T358" t="s">
        <v>7469</v>
      </c>
      <c r="U358" t="s">
        <v>7470</v>
      </c>
      <c r="V358" t="s">
        <v>7471</v>
      </c>
      <c r="W358" t="s">
        <v>7472</v>
      </c>
      <c r="X358" t="s">
        <v>7473</v>
      </c>
      <c r="Y358" t="s">
        <v>7474</v>
      </c>
    </row>
    <row r="359" spans="1:25" x14ac:dyDescent="0.3">
      <c r="A359">
        <v>17900</v>
      </c>
      <c r="B359" t="s">
        <v>7475</v>
      </c>
      <c r="C359" t="s">
        <v>7476</v>
      </c>
      <c r="D359" t="s">
        <v>7477</v>
      </c>
      <c r="E359" t="s">
        <v>7478</v>
      </c>
      <c r="F359" t="s">
        <v>7479</v>
      </c>
      <c r="G359" t="s">
        <v>7480</v>
      </c>
      <c r="H359" t="s">
        <v>7481</v>
      </c>
      <c r="I359" t="s">
        <v>7482</v>
      </c>
      <c r="J359" t="s">
        <v>7483</v>
      </c>
      <c r="K359" t="s">
        <v>7484</v>
      </c>
      <c r="L359" t="s">
        <v>7485</v>
      </c>
      <c r="M359" t="s">
        <v>7486</v>
      </c>
      <c r="N359" t="s">
        <v>7487</v>
      </c>
      <c r="O359">
        <f>-714.564732263236 -56.4929999647077 -733.840662125382</f>
        <v>-1504.8983943533258</v>
      </c>
      <c r="P359">
        <f>-720.110798603932 -39.3308981514774 -417.83301476805</f>
        <v>-1177.2747115234595</v>
      </c>
      <c r="Q359">
        <f>-475.093218000371 -68.045766807239 -335.468621868264</f>
        <v>-878.60760667587397</v>
      </c>
      <c r="R359" t="s">
        <v>7488</v>
      </c>
      <c r="S359" t="s">
        <v>7489</v>
      </c>
      <c r="T359" t="s">
        <v>7490</v>
      </c>
      <c r="U359" t="s">
        <v>7491</v>
      </c>
      <c r="V359" t="s">
        <v>7492</v>
      </c>
      <c r="W359" t="s">
        <v>7493</v>
      </c>
      <c r="X359" t="s">
        <v>7494</v>
      </c>
      <c r="Y359" t="s">
        <v>7495</v>
      </c>
    </row>
    <row r="360" spans="1:25" x14ac:dyDescent="0.3">
      <c r="A360">
        <v>17950</v>
      </c>
      <c r="B360" t="s">
        <v>7496</v>
      </c>
      <c r="C360" t="s">
        <v>7497</v>
      </c>
      <c r="D360" t="s">
        <v>7498</v>
      </c>
      <c r="E360" t="s">
        <v>7499</v>
      </c>
      <c r="F360" t="s">
        <v>7500</v>
      </c>
      <c r="G360" t="s">
        <v>7501</v>
      </c>
      <c r="H360" t="s">
        <v>7502</v>
      </c>
      <c r="I360" t="s">
        <v>7503</v>
      </c>
      <c r="J360" t="s">
        <v>7504</v>
      </c>
      <c r="K360" t="s">
        <v>7505</v>
      </c>
      <c r="L360" t="s">
        <v>7506</v>
      </c>
      <c r="M360" t="s">
        <v>7507</v>
      </c>
      <c r="N360" t="s">
        <v>7508</v>
      </c>
      <c r="O360">
        <f>-713.560997912462 -56.7299818689726 -733.633773660157</f>
        <v>-1503.9247534415915</v>
      </c>
      <c r="P360">
        <f>-719.470438654081 -39.5296201032581 -417.634645182816</f>
        <v>-1176.6347039401551</v>
      </c>
      <c r="Q360">
        <f>-474.47195354239 -68.2802896310939 -335.225947655317</f>
        <v>-877.97819082880085</v>
      </c>
      <c r="R360" t="s">
        <v>7509</v>
      </c>
      <c r="S360" t="s">
        <v>7510</v>
      </c>
      <c r="T360" t="s">
        <v>7511</v>
      </c>
      <c r="U360" t="s">
        <v>7512</v>
      </c>
      <c r="V360" t="s">
        <v>7513</v>
      </c>
      <c r="W360" t="s">
        <v>7514</v>
      </c>
      <c r="X360" t="s">
        <v>7515</v>
      </c>
      <c r="Y360" t="s">
        <v>7516</v>
      </c>
    </row>
    <row r="361" spans="1:25" x14ac:dyDescent="0.3">
      <c r="A361">
        <v>18000</v>
      </c>
      <c r="B361" t="s">
        <v>7517</v>
      </c>
      <c r="C361" t="s">
        <v>7518</v>
      </c>
      <c r="D361" t="s">
        <v>7519</v>
      </c>
      <c r="E361" t="s">
        <v>7520</v>
      </c>
      <c r="F361" t="s">
        <v>7521</v>
      </c>
      <c r="G361" t="s">
        <v>7522</v>
      </c>
      <c r="H361" t="s">
        <v>7523</v>
      </c>
      <c r="I361" t="s">
        <v>7524</v>
      </c>
      <c r="J361" t="s">
        <v>7525</v>
      </c>
      <c r="K361" t="s">
        <v>7526</v>
      </c>
      <c r="L361" t="s">
        <v>7527</v>
      </c>
      <c r="M361" t="s">
        <v>7528</v>
      </c>
      <c r="N361" t="s">
        <v>7529</v>
      </c>
      <c r="O361">
        <f>-713.119749034407 -56.6956984898891 -733.541043328791</f>
        <v>-1503.3564908530871</v>
      </c>
      <c r="P361">
        <f>-719.353753515671 -39.4240017668947 -417.552108581345</f>
        <v>-1176.3298638639108</v>
      </c>
      <c r="Q361">
        <f>-474.432472251478 -68.0639687158455 -334.875839116152</f>
        <v>-877.37228008347552</v>
      </c>
      <c r="R361" t="s">
        <v>7530</v>
      </c>
      <c r="S361" t="s">
        <v>7531</v>
      </c>
      <c r="T361" t="s">
        <v>7532</v>
      </c>
      <c r="U361" t="s">
        <v>7533</v>
      </c>
      <c r="V361" t="s">
        <v>7534</v>
      </c>
      <c r="W361" t="s">
        <v>7535</v>
      </c>
      <c r="X361" t="s">
        <v>7536</v>
      </c>
      <c r="Y361" t="s">
        <v>7537</v>
      </c>
    </row>
    <row r="362" spans="1:25" x14ac:dyDescent="0.3">
      <c r="A362">
        <v>18050</v>
      </c>
      <c r="B362" t="s">
        <v>7538</v>
      </c>
      <c r="C362" t="s">
        <v>7539</v>
      </c>
      <c r="D362" t="s">
        <v>7540</v>
      </c>
      <c r="E362" t="s">
        <v>7541</v>
      </c>
      <c r="F362" t="s">
        <v>7542</v>
      </c>
      <c r="G362" t="s">
        <v>7543</v>
      </c>
      <c r="H362" t="s">
        <v>7544</v>
      </c>
      <c r="I362" t="s">
        <v>7545</v>
      </c>
      <c r="J362" t="s">
        <v>7546</v>
      </c>
      <c r="K362" t="s">
        <v>7547</v>
      </c>
      <c r="L362" t="s">
        <v>7548</v>
      </c>
      <c r="M362" t="s">
        <v>7549</v>
      </c>
      <c r="N362" t="s">
        <v>7550</v>
      </c>
      <c r="O362">
        <f>-711.586903956804 -56.9335399577283 -733.581711992998</f>
        <v>-1502.1021559075302</v>
      </c>
      <c r="P362">
        <f>-718.505005485869 -39.6509326026535 -417.607504435585</f>
        <v>-1175.7634425241074</v>
      </c>
      <c r="Q362">
        <f>-473.869078661578 -68.5608628417378 -334.183663705555</f>
        <v>-876.61360520887081</v>
      </c>
      <c r="R362" t="s">
        <v>7551</v>
      </c>
      <c r="S362" t="s">
        <v>7552</v>
      </c>
      <c r="T362" t="s">
        <v>7553</v>
      </c>
      <c r="U362" t="s">
        <v>7554</v>
      </c>
      <c r="V362" t="s">
        <v>7555</v>
      </c>
      <c r="W362" t="s">
        <v>7556</v>
      </c>
      <c r="X362" t="s">
        <v>7557</v>
      </c>
      <c r="Y362" t="s">
        <v>7558</v>
      </c>
    </row>
    <row r="363" spans="1:25" x14ac:dyDescent="0.3">
      <c r="A363">
        <v>18100</v>
      </c>
      <c r="B363" t="s">
        <v>7559</v>
      </c>
      <c r="C363" t="s">
        <v>7560</v>
      </c>
      <c r="D363" t="s">
        <v>7561</v>
      </c>
      <c r="E363" t="s">
        <v>7562</v>
      </c>
      <c r="F363" t="s">
        <v>7563</v>
      </c>
      <c r="G363" t="s">
        <v>7564</v>
      </c>
      <c r="H363" t="s">
        <v>7565</v>
      </c>
      <c r="I363" t="s">
        <v>7566</v>
      </c>
      <c r="J363" t="s">
        <v>7567</v>
      </c>
      <c r="K363" t="s">
        <v>7568</v>
      </c>
      <c r="L363" t="s">
        <v>7569</v>
      </c>
      <c r="M363" t="s">
        <v>7570</v>
      </c>
      <c r="N363" t="s">
        <v>7571</v>
      </c>
      <c r="O363">
        <f>-711.065638357066 -57.1446934627577 -733.692638690496</f>
        <v>-1501.9029705103196</v>
      </c>
      <c r="P363">
        <f>-718.256758910714 -39.6212961693841 -417.737983805459</f>
        <v>-1175.6160388855571</v>
      </c>
      <c r="Q363">
        <f>-473.808949548386 -68.8512383199018 -333.875422423291</f>
        <v>-876.53561029157891</v>
      </c>
      <c r="R363" t="s">
        <v>7572</v>
      </c>
      <c r="S363" t="s">
        <v>7573</v>
      </c>
      <c r="T363" t="s">
        <v>7574</v>
      </c>
      <c r="U363" t="s">
        <v>7575</v>
      </c>
      <c r="V363" t="s">
        <v>7576</v>
      </c>
      <c r="W363" t="s">
        <v>7577</v>
      </c>
      <c r="X363" t="s">
        <v>7578</v>
      </c>
      <c r="Y363" t="s">
        <v>7579</v>
      </c>
    </row>
    <row r="364" spans="1:25" x14ac:dyDescent="0.3">
      <c r="A364">
        <v>18150</v>
      </c>
      <c r="B364" t="s">
        <v>7580</v>
      </c>
      <c r="C364" t="s">
        <v>7581</v>
      </c>
      <c r="D364" t="s">
        <v>7582</v>
      </c>
      <c r="E364" t="s">
        <v>7583</v>
      </c>
      <c r="F364" t="s">
        <v>7584</v>
      </c>
      <c r="G364" t="s">
        <v>7585</v>
      </c>
      <c r="H364" t="s">
        <v>7586</v>
      </c>
      <c r="I364" t="s">
        <v>7587</v>
      </c>
      <c r="J364" t="s">
        <v>7588</v>
      </c>
      <c r="K364" t="s">
        <v>7589</v>
      </c>
      <c r="L364" t="s">
        <v>7590</v>
      </c>
      <c r="M364" t="s">
        <v>7591</v>
      </c>
      <c r="N364" t="s">
        <v>7592</v>
      </c>
      <c r="O364">
        <f>-710.175999675851 -58.1373137526582 -734.094137963346</f>
        <v>-1502.4074513918554</v>
      </c>
      <c r="P364">
        <f>-718.271007198775 -40.1777508042394 -418.185746430498</f>
        <v>-1176.6345044335123</v>
      </c>
      <c r="Q364">
        <f>-474.097116247508 -69.7282470073246 -333.640145274597</f>
        <v>-877.4655085294296</v>
      </c>
      <c r="R364" t="s">
        <v>7593</v>
      </c>
      <c r="S364" t="s">
        <v>7594</v>
      </c>
      <c r="T364" t="s">
        <v>7595</v>
      </c>
      <c r="U364" t="s">
        <v>7596</v>
      </c>
      <c r="V364" t="s">
        <v>7597</v>
      </c>
      <c r="W364" t="s">
        <v>7598</v>
      </c>
      <c r="X364" t="s">
        <v>7599</v>
      </c>
      <c r="Y364" t="s">
        <v>7600</v>
      </c>
    </row>
    <row r="365" spans="1:25" x14ac:dyDescent="0.3">
      <c r="A365">
        <v>18200</v>
      </c>
      <c r="B365" t="s">
        <v>7601</v>
      </c>
      <c r="C365" t="s">
        <v>7602</v>
      </c>
      <c r="D365" t="s">
        <v>7603</v>
      </c>
      <c r="E365" t="s">
        <v>7604</v>
      </c>
      <c r="F365" t="s">
        <v>7605</v>
      </c>
      <c r="G365" t="s">
        <v>7606</v>
      </c>
      <c r="H365" t="s">
        <v>7607</v>
      </c>
      <c r="I365" t="s">
        <v>7608</v>
      </c>
      <c r="J365" t="s">
        <v>7609</v>
      </c>
      <c r="K365" t="s">
        <v>7610</v>
      </c>
      <c r="L365" t="s">
        <v>7611</v>
      </c>
      <c r="M365" t="s">
        <v>7612</v>
      </c>
      <c r="N365" t="s">
        <v>7613</v>
      </c>
      <c r="O365">
        <f>-709.92100953535 -58.4948968989618 -734.395861657666</f>
        <v>-1502.8117680919777</v>
      </c>
      <c r="P365">
        <f>-718.211694481974 -40.6235395197029 -418.487520783847</f>
        <v>-1177.322754785524</v>
      </c>
      <c r="Q365">
        <f>-474.144455874833 -70.2192605968091 -333.650329711714</f>
        <v>-878.01404618335607</v>
      </c>
      <c r="R365" t="s">
        <v>7614</v>
      </c>
      <c r="S365" t="s">
        <v>7615</v>
      </c>
      <c r="T365" t="s">
        <v>7616</v>
      </c>
      <c r="U365" t="s">
        <v>7617</v>
      </c>
      <c r="V365" t="s">
        <v>7618</v>
      </c>
      <c r="W365" t="s">
        <v>7619</v>
      </c>
      <c r="X365" t="s">
        <v>7620</v>
      </c>
      <c r="Y365" t="s">
        <v>7621</v>
      </c>
    </row>
    <row r="366" spans="1:25" x14ac:dyDescent="0.3">
      <c r="A366">
        <v>18250</v>
      </c>
      <c r="B366" t="s">
        <v>7622</v>
      </c>
      <c r="C366" t="s">
        <v>7623</v>
      </c>
      <c r="D366" t="s">
        <v>7624</v>
      </c>
      <c r="E366" t="s">
        <v>7625</v>
      </c>
      <c r="F366" t="s">
        <v>7626</v>
      </c>
      <c r="G366" t="s">
        <v>7627</v>
      </c>
      <c r="H366" t="s">
        <v>7628</v>
      </c>
      <c r="I366" t="s">
        <v>7629</v>
      </c>
      <c r="J366" t="s">
        <v>7630</v>
      </c>
      <c r="K366" t="s">
        <v>7631</v>
      </c>
      <c r="L366" t="s">
        <v>7632</v>
      </c>
      <c r="M366" t="s">
        <v>7633</v>
      </c>
      <c r="N366" t="s">
        <v>7634</v>
      </c>
      <c r="O366">
        <f>-709.684327973514 -58.853196014378 -734.556786337178</f>
        <v>-1503.09431032507</v>
      </c>
      <c r="P366">
        <f>-718.079503932039 -40.9454101308468 -418.653258820418</f>
        <v>-1177.6781728833037</v>
      </c>
      <c r="Q366">
        <f>-474.041654357807 -70.4490323232258 -333.699628703532</f>
        <v>-878.19031538456488</v>
      </c>
      <c r="R366" t="s">
        <v>7635</v>
      </c>
      <c r="S366" t="s">
        <v>7636</v>
      </c>
      <c r="T366" t="s">
        <v>7637</v>
      </c>
      <c r="U366" t="s">
        <v>7638</v>
      </c>
      <c r="V366" t="s">
        <v>7639</v>
      </c>
      <c r="W366" t="s">
        <v>7640</v>
      </c>
      <c r="X366" t="s">
        <v>7641</v>
      </c>
      <c r="Y366" t="s">
        <v>7642</v>
      </c>
    </row>
    <row r="367" spans="1:25" x14ac:dyDescent="0.3">
      <c r="A367">
        <v>18300</v>
      </c>
      <c r="B367" t="s">
        <v>7643</v>
      </c>
      <c r="C367" t="s">
        <v>7644</v>
      </c>
      <c r="D367" t="s">
        <v>7645</v>
      </c>
      <c r="E367" t="s">
        <v>7646</v>
      </c>
      <c r="F367" t="s">
        <v>7647</v>
      </c>
      <c r="G367" t="s">
        <v>7648</v>
      </c>
      <c r="H367" t="s">
        <v>7649</v>
      </c>
      <c r="I367" t="s">
        <v>7650</v>
      </c>
      <c r="J367" t="s">
        <v>7651</v>
      </c>
      <c r="K367" t="s">
        <v>7652</v>
      </c>
      <c r="L367" t="s">
        <v>7653</v>
      </c>
      <c r="M367" t="s">
        <v>7654</v>
      </c>
      <c r="N367" t="s">
        <v>7655</v>
      </c>
      <c r="O367">
        <f>-709.09835007742 -59.38867586118 -734.61245117067</f>
        <v>-1503.0994771092701</v>
      </c>
      <c r="P367">
        <f>-717.428628766313 -41.4421673815125 -418.70944864387</f>
        <v>-1177.5802447916953</v>
      </c>
      <c r="Q367">
        <f>-473.456008139538 -71.084932485074 -333.617087198366</f>
        <v>-878.15802782297806</v>
      </c>
      <c r="R367" t="s">
        <v>7656</v>
      </c>
      <c r="S367" t="s">
        <v>7657</v>
      </c>
      <c r="T367" t="s">
        <v>7658</v>
      </c>
      <c r="U367" t="s">
        <v>7659</v>
      </c>
      <c r="V367" t="s">
        <v>7660</v>
      </c>
      <c r="W367" t="s">
        <v>7661</v>
      </c>
      <c r="X367" t="s">
        <v>7662</v>
      </c>
      <c r="Y367" t="s">
        <v>7663</v>
      </c>
    </row>
    <row r="368" spans="1:25" x14ac:dyDescent="0.3">
      <c r="A368">
        <v>18350</v>
      </c>
      <c r="B368" t="s">
        <v>7664</v>
      </c>
      <c r="C368" t="s">
        <v>7665</v>
      </c>
      <c r="D368" t="s">
        <v>7666</v>
      </c>
      <c r="E368" t="s">
        <v>7667</v>
      </c>
      <c r="F368" t="s">
        <v>7668</v>
      </c>
      <c r="G368" t="s">
        <v>7669</v>
      </c>
      <c r="H368" t="s">
        <v>7670</v>
      </c>
      <c r="I368" t="s">
        <v>7671</v>
      </c>
      <c r="J368" t="s">
        <v>7672</v>
      </c>
      <c r="K368" t="s">
        <v>7673</v>
      </c>
      <c r="L368" t="s">
        <v>7674</v>
      </c>
      <c r="M368" t="s">
        <v>7675</v>
      </c>
      <c r="N368" t="s">
        <v>7676</v>
      </c>
      <c r="O368">
        <f>-708.802781954649 -59.5982129768036 -734.59396064539</f>
        <v>-1502.9949555768426</v>
      </c>
      <c r="P368">
        <f>-717.017494050061 -41.6279762644635 -418.689222140055</f>
        <v>-1177.3346924545795</v>
      </c>
      <c r="Q368">
        <f>-473.042354341569 -71.1929690242475 -333.576976884547</f>
        <v>-877.81230025036348</v>
      </c>
      <c r="R368" t="s">
        <v>7677</v>
      </c>
      <c r="S368" t="s">
        <v>7678</v>
      </c>
      <c r="T368" t="s">
        <v>7679</v>
      </c>
      <c r="U368" t="s">
        <v>7680</v>
      </c>
      <c r="V368" t="s">
        <v>7681</v>
      </c>
      <c r="W368" t="s">
        <v>7682</v>
      </c>
      <c r="X368" t="s">
        <v>7683</v>
      </c>
      <c r="Y368" t="s">
        <v>7684</v>
      </c>
    </row>
    <row r="369" spans="1:25" x14ac:dyDescent="0.3">
      <c r="A369">
        <v>18400</v>
      </c>
      <c r="B369" t="s">
        <v>7685</v>
      </c>
      <c r="C369" t="s">
        <v>7686</v>
      </c>
      <c r="D369" t="s">
        <v>7687</v>
      </c>
      <c r="E369" t="s">
        <v>7688</v>
      </c>
      <c r="F369" t="s">
        <v>7689</v>
      </c>
      <c r="G369" t="s">
        <v>7690</v>
      </c>
      <c r="H369" t="s">
        <v>7691</v>
      </c>
      <c r="I369" t="s">
        <v>7692</v>
      </c>
      <c r="J369" t="s">
        <v>7693</v>
      </c>
      <c r="K369" t="s">
        <v>7694</v>
      </c>
      <c r="L369" t="s">
        <v>7695</v>
      </c>
      <c r="M369" t="s">
        <v>7696</v>
      </c>
      <c r="N369" t="s">
        <v>7697</v>
      </c>
      <c r="O369">
        <f>-708.755095841301 -59.6613175507587 -734.58822169889</f>
        <v>-1503.0046350909497</v>
      </c>
      <c r="P369">
        <f>-716.998840184114 -42.0277426726448 -418.665330852174</f>
        <v>-1177.6919137089328</v>
      </c>
      <c r="Q369">
        <f>-472.98995780039 -71.4431084209905 -333.597992794953</f>
        <v>-878.03105901633353</v>
      </c>
      <c r="R369" t="s">
        <v>7698</v>
      </c>
      <c r="S369" t="s">
        <v>7699</v>
      </c>
      <c r="T369" t="s">
        <v>7700</v>
      </c>
      <c r="U369" t="s">
        <v>7701</v>
      </c>
      <c r="V369" t="s">
        <v>7702</v>
      </c>
      <c r="W369" t="s">
        <v>7703</v>
      </c>
      <c r="X369" t="s">
        <v>7704</v>
      </c>
      <c r="Y369" t="s">
        <v>7705</v>
      </c>
    </row>
    <row r="370" spans="1:25" x14ac:dyDescent="0.3">
      <c r="A370">
        <v>18450</v>
      </c>
      <c r="B370" t="s">
        <v>7706</v>
      </c>
      <c r="C370" t="s">
        <v>7707</v>
      </c>
      <c r="D370" t="s">
        <v>7708</v>
      </c>
      <c r="E370" t="s">
        <v>7709</v>
      </c>
      <c r="F370" t="s">
        <v>7710</v>
      </c>
      <c r="G370" t="s">
        <v>7711</v>
      </c>
      <c r="H370" t="s">
        <v>7712</v>
      </c>
      <c r="I370" t="s">
        <v>7713</v>
      </c>
      <c r="J370" t="s">
        <v>7714</v>
      </c>
      <c r="K370" t="s">
        <v>7715</v>
      </c>
      <c r="L370" t="s">
        <v>7716</v>
      </c>
      <c r="M370" t="s">
        <v>7717</v>
      </c>
      <c r="N370" t="s">
        <v>7718</v>
      </c>
      <c r="O370">
        <f>-708.726438471202 -59.6715843599279 -734.591416046149</f>
        <v>-1502.9894388772789</v>
      </c>
      <c r="P370">
        <f>-716.960837301175 -42.1908706430067 -418.659744105645</f>
        <v>-1177.8114520498268</v>
      </c>
      <c r="Q370">
        <f>-472.934965486856 -71.3741973337417 -333.561032489592</f>
        <v>-877.87019531018973</v>
      </c>
      <c r="R370" t="s">
        <v>7719</v>
      </c>
      <c r="S370" t="s">
        <v>7720</v>
      </c>
      <c r="T370" t="s">
        <v>7721</v>
      </c>
      <c r="U370" t="s">
        <v>7722</v>
      </c>
      <c r="V370" t="s">
        <v>7723</v>
      </c>
      <c r="W370" t="s">
        <v>7724</v>
      </c>
      <c r="X370" t="s">
        <v>7725</v>
      </c>
      <c r="Y370" t="s">
        <v>7726</v>
      </c>
    </row>
    <row r="371" spans="1:25" x14ac:dyDescent="0.3">
      <c r="A371">
        <v>18500</v>
      </c>
      <c r="B371" t="s">
        <v>7727</v>
      </c>
      <c r="C371" t="s">
        <v>7728</v>
      </c>
      <c r="D371" t="s">
        <v>7729</v>
      </c>
      <c r="E371" t="s">
        <v>7730</v>
      </c>
      <c r="F371" t="s">
        <v>7731</v>
      </c>
      <c r="G371" t="s">
        <v>7732</v>
      </c>
      <c r="H371" t="s">
        <v>7733</v>
      </c>
      <c r="I371" t="s">
        <v>7734</v>
      </c>
      <c r="J371" t="s">
        <v>7735</v>
      </c>
      <c r="K371" t="s">
        <v>7736</v>
      </c>
      <c r="L371" t="s">
        <v>7737</v>
      </c>
      <c r="M371" t="s">
        <v>7738</v>
      </c>
      <c r="N371" t="s">
        <v>7739</v>
      </c>
      <c r="O371">
        <f>-708.753768511294 -59.5617123885568 -734.53901703061</f>
        <v>-1502.8544979304606</v>
      </c>
      <c r="P371">
        <f>-717.119134229334 -42.0000098181883 -418.615375659832</f>
        <v>-1177.7345197073544</v>
      </c>
      <c r="Q371">
        <f>-473.075007141083 -71.000142367287 -333.506501456579</f>
        <v>-877.58165096494895</v>
      </c>
      <c r="R371" t="s">
        <v>7740</v>
      </c>
      <c r="S371" t="s">
        <v>7741</v>
      </c>
      <c r="T371" t="s">
        <v>7742</v>
      </c>
      <c r="U371" t="s">
        <v>7743</v>
      </c>
      <c r="V371" t="s">
        <v>7744</v>
      </c>
      <c r="W371" t="s">
        <v>7745</v>
      </c>
      <c r="X371" t="s">
        <v>7746</v>
      </c>
      <c r="Y371" t="s">
        <v>7747</v>
      </c>
    </row>
    <row r="372" spans="1:25" x14ac:dyDescent="0.3">
      <c r="A372">
        <v>18550</v>
      </c>
      <c r="B372" t="s">
        <v>7748</v>
      </c>
      <c r="C372" t="s">
        <v>7749</v>
      </c>
      <c r="D372" t="s">
        <v>7750</v>
      </c>
      <c r="E372" t="s">
        <v>7751</v>
      </c>
      <c r="F372" t="s">
        <v>7752</v>
      </c>
      <c r="G372" t="s">
        <v>7753</v>
      </c>
      <c r="H372" t="s">
        <v>7754</v>
      </c>
      <c r="I372" t="s">
        <v>7755</v>
      </c>
      <c r="J372" t="s">
        <v>7756</v>
      </c>
      <c r="K372" t="s">
        <v>7757</v>
      </c>
      <c r="L372" t="s">
        <v>7758</v>
      </c>
      <c r="M372" t="s">
        <v>7759</v>
      </c>
      <c r="N372" t="s">
        <v>7760</v>
      </c>
      <c r="O372">
        <f>-708.987784723096 -59.1629813106961 -734.312950330291</f>
        <v>-1502.463716364083</v>
      </c>
      <c r="P372">
        <f>-717.064827775525 -41.7661692948038 -418.372632630326</f>
        <v>-1177.2036297006548</v>
      </c>
      <c r="Q372">
        <f>-473.217491164449 -70.7473195444916 -332.695434329875</f>
        <v>-876.66024503881567</v>
      </c>
      <c r="R372" t="s">
        <v>7761</v>
      </c>
      <c r="S372" t="s">
        <v>7762</v>
      </c>
      <c r="T372" t="s">
        <v>7763</v>
      </c>
      <c r="U372" t="s">
        <v>7764</v>
      </c>
      <c r="V372" t="s">
        <v>7765</v>
      </c>
      <c r="W372" t="s">
        <v>7766</v>
      </c>
      <c r="X372" t="s">
        <v>7767</v>
      </c>
      <c r="Y372" t="s">
        <v>7768</v>
      </c>
    </row>
    <row r="373" spans="1:25" x14ac:dyDescent="0.3">
      <c r="A373">
        <v>18600</v>
      </c>
      <c r="B373" t="s">
        <v>7769</v>
      </c>
      <c r="C373" t="s">
        <v>7770</v>
      </c>
      <c r="D373" t="s">
        <v>7771</v>
      </c>
      <c r="E373" t="s">
        <v>7772</v>
      </c>
      <c r="F373" t="s">
        <v>7773</v>
      </c>
      <c r="G373" t="s">
        <v>7774</v>
      </c>
      <c r="H373" t="s">
        <v>7775</v>
      </c>
      <c r="I373" t="s">
        <v>7776</v>
      </c>
      <c r="J373" t="s">
        <v>7777</v>
      </c>
      <c r="K373" t="s">
        <v>7778</v>
      </c>
      <c r="L373" t="s">
        <v>7779</v>
      </c>
      <c r="M373" t="s">
        <v>7780</v>
      </c>
      <c r="N373" t="s">
        <v>7781</v>
      </c>
      <c r="O373">
        <f>-709.266204548228 -59.2951852468732 -734.261385015536</f>
        <v>-1502.8227748106372</v>
      </c>
      <c r="P373">
        <f>-717.142363320747 -41.8962477439529 -418.316042663321</f>
        <v>-1177.3546537280208</v>
      </c>
      <c r="Q373">
        <f>-473.365753160181 -70.985552514567 -332.474041940192</f>
        <v>-876.82534761494003</v>
      </c>
      <c r="R373" t="s">
        <v>7782</v>
      </c>
      <c r="S373" t="s">
        <v>7783</v>
      </c>
      <c r="T373" t="s">
        <v>7784</v>
      </c>
      <c r="U373" t="s">
        <v>7785</v>
      </c>
      <c r="V373" t="s">
        <v>7786</v>
      </c>
      <c r="W373" t="s">
        <v>7787</v>
      </c>
      <c r="X373" t="s">
        <v>7788</v>
      </c>
      <c r="Y373" t="s">
        <v>7789</v>
      </c>
    </row>
    <row r="374" spans="1:25" x14ac:dyDescent="0.3">
      <c r="A374">
        <v>18650</v>
      </c>
      <c r="B374" t="s">
        <v>7790</v>
      </c>
      <c r="C374" t="s">
        <v>7791</v>
      </c>
      <c r="D374" t="s">
        <v>7792</v>
      </c>
      <c r="E374" t="s">
        <v>7793</v>
      </c>
      <c r="F374" t="s">
        <v>7794</v>
      </c>
      <c r="G374" t="s">
        <v>7795</v>
      </c>
      <c r="H374" t="s">
        <v>7796</v>
      </c>
      <c r="I374" t="s">
        <v>7797</v>
      </c>
      <c r="J374" t="s">
        <v>7798</v>
      </c>
      <c r="K374" t="s">
        <v>7799</v>
      </c>
      <c r="L374" t="s">
        <v>7800</v>
      </c>
      <c r="M374" t="s">
        <v>7801</v>
      </c>
      <c r="N374" t="s">
        <v>7802</v>
      </c>
      <c r="O374">
        <f>-709.404949013392 -59.7809260723418 -734.184321442352</f>
        <v>-1503.3701965280857</v>
      </c>
      <c r="P374">
        <f>-717.093319516877 -42.2711966322108 -418.240548140311</f>
        <v>-1177.6050642893988</v>
      </c>
      <c r="Q374">
        <f>-473.440376356005 -71.310222570859 -332.031109386941</f>
        <v>-876.78170831380498</v>
      </c>
      <c r="R374" t="s">
        <v>7803</v>
      </c>
      <c r="S374" t="s">
        <v>7804</v>
      </c>
      <c r="T374" t="s">
        <v>7805</v>
      </c>
      <c r="U374" t="s">
        <v>7806</v>
      </c>
      <c r="V374" t="s">
        <v>7807</v>
      </c>
      <c r="W374" t="s">
        <v>7808</v>
      </c>
      <c r="X374" t="s">
        <v>7809</v>
      </c>
      <c r="Y374" t="s">
        <v>7810</v>
      </c>
    </row>
    <row r="375" spans="1:25" x14ac:dyDescent="0.3">
      <c r="A375">
        <v>18700</v>
      </c>
      <c r="B375" t="s">
        <v>7811</v>
      </c>
      <c r="C375" t="s">
        <v>7812</v>
      </c>
      <c r="D375" t="s">
        <v>7813</v>
      </c>
      <c r="E375" t="s">
        <v>7814</v>
      </c>
      <c r="F375" t="s">
        <v>7815</v>
      </c>
      <c r="G375" t="s">
        <v>7816</v>
      </c>
      <c r="H375" t="s">
        <v>7817</v>
      </c>
      <c r="I375" t="s">
        <v>7818</v>
      </c>
      <c r="J375" t="s">
        <v>7819</v>
      </c>
      <c r="K375" t="s">
        <v>7820</v>
      </c>
      <c r="L375" t="s">
        <v>7821</v>
      </c>
      <c r="M375" t="s">
        <v>7822</v>
      </c>
      <c r="N375" t="s">
        <v>7823</v>
      </c>
      <c r="O375">
        <f>-709.630707660051 -60.2509269912409 -734.186951724961</f>
        <v>-1504.0685863762528</v>
      </c>
      <c r="P375">
        <f>-717.276185185709 -42.3182855607763 -418.26587554771</f>
        <v>-1177.8603462941953</v>
      </c>
      <c r="Q375">
        <f>-473.537255162291 -71.1013518305494 -332.214017855597</f>
        <v>-876.85262484843747</v>
      </c>
      <c r="R375" t="s">
        <v>7824</v>
      </c>
      <c r="S375" t="s">
        <v>7825</v>
      </c>
      <c r="T375" t="s">
        <v>7826</v>
      </c>
      <c r="U375" t="s">
        <v>7827</v>
      </c>
      <c r="V375" t="s">
        <v>7828</v>
      </c>
      <c r="W375" t="s">
        <v>7829</v>
      </c>
      <c r="X375" t="s">
        <v>7830</v>
      </c>
      <c r="Y375" t="s">
        <v>7831</v>
      </c>
    </row>
    <row r="376" spans="1:25" x14ac:dyDescent="0.3">
      <c r="A376">
        <v>18750</v>
      </c>
      <c r="B376" t="s">
        <v>7832</v>
      </c>
      <c r="C376" t="s">
        <v>7833</v>
      </c>
      <c r="D376" t="s">
        <v>7834</v>
      </c>
      <c r="E376" t="s">
        <v>7835</v>
      </c>
      <c r="F376" t="s">
        <v>7836</v>
      </c>
      <c r="G376" t="s">
        <v>7837</v>
      </c>
      <c r="H376" t="s">
        <v>7838</v>
      </c>
      <c r="I376" t="s">
        <v>7839</v>
      </c>
      <c r="J376" t="s">
        <v>7840</v>
      </c>
      <c r="K376" t="s">
        <v>7841</v>
      </c>
      <c r="L376" t="s">
        <v>7842</v>
      </c>
      <c r="M376" t="s">
        <v>7843</v>
      </c>
      <c r="N376" t="s">
        <v>7844</v>
      </c>
      <c r="O376">
        <f>-710.172998311181 -61.2511796362703 -734.22740064675</f>
        <v>-1505.6515785942013</v>
      </c>
      <c r="P376">
        <f>-716.899548488822 -43.2778901506133 -418.28762156603</f>
        <v>-1178.4650602054653</v>
      </c>
      <c r="Q376">
        <f>-473.165183793603 -71.6233965039276 -332.077553972416</f>
        <v>-876.86613426994654</v>
      </c>
      <c r="R376" t="s">
        <v>7845</v>
      </c>
      <c r="S376" t="s">
        <v>7846</v>
      </c>
      <c r="T376" t="s">
        <v>7847</v>
      </c>
      <c r="U376" t="s">
        <v>7848</v>
      </c>
      <c r="V376" t="s">
        <v>7849</v>
      </c>
      <c r="W376" t="s">
        <v>7850</v>
      </c>
      <c r="X376" t="s">
        <v>7851</v>
      </c>
      <c r="Y376" t="s">
        <v>7852</v>
      </c>
    </row>
    <row r="377" spans="1:25" x14ac:dyDescent="0.3">
      <c r="A377">
        <v>18800</v>
      </c>
      <c r="B377" t="s">
        <v>7853</v>
      </c>
      <c r="C377" t="s">
        <v>7854</v>
      </c>
      <c r="D377" t="s">
        <v>7855</v>
      </c>
      <c r="E377" t="s">
        <v>7856</v>
      </c>
      <c r="F377" t="s">
        <v>7857</v>
      </c>
      <c r="G377" t="s">
        <v>7858</v>
      </c>
      <c r="H377" t="s">
        <v>7859</v>
      </c>
      <c r="I377" t="s">
        <v>7860</v>
      </c>
      <c r="J377" t="s">
        <v>7861</v>
      </c>
      <c r="K377" t="s">
        <v>7862</v>
      </c>
      <c r="L377" t="s">
        <v>7863</v>
      </c>
      <c r="M377" t="s">
        <v>7864</v>
      </c>
      <c r="N377" t="s">
        <v>7865</v>
      </c>
      <c r="O377">
        <f>-710.921305219081 -61.8176329827236 -734.198543058218</f>
        <v>-1506.9374812600227</v>
      </c>
      <c r="P377">
        <f>-717.151235486863 -43.5238935104599 -418.26707899928</f>
        <v>-1178.942207996603</v>
      </c>
      <c r="Q377">
        <f>-473.366996163036 -71.5312346203168 -332.087535943142</f>
        <v>-876.98576672649483</v>
      </c>
      <c r="R377" t="s">
        <v>7866</v>
      </c>
      <c r="S377" t="s">
        <v>7867</v>
      </c>
      <c r="T377" t="s">
        <v>7868</v>
      </c>
      <c r="U377" t="s">
        <v>7869</v>
      </c>
      <c r="V377" t="s">
        <v>7870</v>
      </c>
      <c r="W377" t="s">
        <v>7871</v>
      </c>
      <c r="X377" t="s">
        <v>7872</v>
      </c>
      <c r="Y377" t="s">
        <v>7873</v>
      </c>
    </row>
    <row r="378" spans="1:25" x14ac:dyDescent="0.3">
      <c r="A378">
        <v>18850</v>
      </c>
      <c r="B378" t="s">
        <v>7874</v>
      </c>
      <c r="C378" t="s">
        <v>7875</v>
      </c>
      <c r="D378" t="s">
        <v>7876</v>
      </c>
      <c r="E378" t="s">
        <v>7877</v>
      </c>
      <c r="F378" t="s">
        <v>7878</v>
      </c>
      <c r="G378" t="s">
        <v>7879</v>
      </c>
      <c r="H378" t="s">
        <v>7880</v>
      </c>
      <c r="I378" t="s">
        <v>7881</v>
      </c>
      <c r="J378" t="s">
        <v>7882</v>
      </c>
      <c r="K378" t="s">
        <v>7883</v>
      </c>
      <c r="L378" t="s">
        <v>7884</v>
      </c>
      <c r="M378" t="s">
        <v>7885</v>
      </c>
      <c r="N378" t="s">
        <v>7886</v>
      </c>
      <c r="O378">
        <f>-712.327846984302 -63.0409527953518 -734.03131627046</f>
        <v>-1509.4001160501139</v>
      </c>
      <c r="P378">
        <f>-717.642847202324 -44.4012709589977 -418.103368641535</f>
        <v>-1180.1474868028567</v>
      </c>
      <c r="Q378">
        <f>-473.537087825701 -71.6159231939694 -332.582422734131</f>
        <v>-877.73543375380143</v>
      </c>
      <c r="R378" t="s">
        <v>7887</v>
      </c>
      <c r="S378" t="s">
        <v>7888</v>
      </c>
      <c r="T378" t="s">
        <v>7889</v>
      </c>
      <c r="U378" t="s">
        <v>7890</v>
      </c>
      <c r="V378" t="s">
        <v>7891</v>
      </c>
      <c r="W378" t="s">
        <v>7892</v>
      </c>
      <c r="X378" t="s">
        <v>7893</v>
      </c>
      <c r="Y378" t="s">
        <v>7894</v>
      </c>
    </row>
    <row r="379" spans="1:25" x14ac:dyDescent="0.3">
      <c r="A379">
        <v>18900</v>
      </c>
      <c r="B379" t="s">
        <v>7895</v>
      </c>
      <c r="C379" t="s">
        <v>7896</v>
      </c>
      <c r="D379" t="s">
        <v>7897</v>
      </c>
      <c r="E379" t="s">
        <v>7898</v>
      </c>
      <c r="F379" t="s">
        <v>7899</v>
      </c>
      <c r="G379" t="s">
        <v>7900</v>
      </c>
      <c r="H379" t="s">
        <v>7901</v>
      </c>
      <c r="I379" t="s">
        <v>7902</v>
      </c>
      <c r="J379" t="s">
        <v>7903</v>
      </c>
      <c r="K379" t="s">
        <v>7904</v>
      </c>
      <c r="L379" t="s">
        <v>7905</v>
      </c>
      <c r="M379" t="s">
        <v>7906</v>
      </c>
      <c r="N379" t="s">
        <v>7907</v>
      </c>
      <c r="O379">
        <f>-713.033441849484 -63.6066504694338 -733.880933167146</f>
        <v>-1510.521025486064</v>
      </c>
      <c r="P379">
        <f>-717.900503605649 -44.8484993086408 -417.952713817444</f>
        <v>-1180.7017167317338</v>
      </c>
      <c r="Q379">
        <f>-473.699892981663 -71.5384449158164 -332.537450283583</f>
        <v>-877.77578818106235</v>
      </c>
      <c r="R379" t="s">
        <v>7908</v>
      </c>
      <c r="S379" t="s">
        <v>7909</v>
      </c>
      <c r="T379" t="s">
        <v>7910</v>
      </c>
      <c r="U379" t="s">
        <v>7911</v>
      </c>
      <c r="V379" t="s">
        <v>7912</v>
      </c>
      <c r="W379" t="s">
        <v>7913</v>
      </c>
      <c r="X379" t="s">
        <v>7914</v>
      </c>
      <c r="Y379" t="s">
        <v>7915</v>
      </c>
    </row>
    <row r="380" spans="1:25" x14ac:dyDescent="0.3">
      <c r="A380">
        <v>18950</v>
      </c>
      <c r="B380" t="s">
        <v>7916</v>
      </c>
      <c r="C380" t="s">
        <v>7917</v>
      </c>
      <c r="D380" t="s">
        <v>7918</v>
      </c>
      <c r="E380" t="s">
        <v>7919</v>
      </c>
      <c r="F380" t="s">
        <v>7920</v>
      </c>
      <c r="G380" t="s">
        <v>7921</v>
      </c>
      <c r="H380" t="s">
        <v>7922</v>
      </c>
      <c r="I380" t="s">
        <v>7923</v>
      </c>
      <c r="J380" t="s">
        <v>7924</v>
      </c>
      <c r="K380" t="s">
        <v>7925</v>
      </c>
      <c r="L380" t="s">
        <v>7926</v>
      </c>
      <c r="M380" t="s">
        <v>7927</v>
      </c>
      <c r="N380" t="s">
        <v>7928</v>
      </c>
      <c r="O380">
        <f>-714.436435796041 -64.7408302606866 -733.439021766228</f>
        <v>-1512.6162878229557</v>
      </c>
      <c r="P380">
        <f>-718.543618675951 -45.8186656475559 -417.509713477961</f>
        <v>-1181.8719978014678</v>
      </c>
      <c r="Q380">
        <f>-473.870747599269 -70.7882772832418 -332.929654669781</f>
        <v>-877.58867955229175</v>
      </c>
      <c r="R380" t="s">
        <v>7929</v>
      </c>
      <c r="S380" t="s">
        <v>7930</v>
      </c>
      <c r="T380" t="s">
        <v>7931</v>
      </c>
      <c r="U380" t="s">
        <v>7932</v>
      </c>
      <c r="V380" t="s">
        <v>7933</v>
      </c>
      <c r="W380" t="s">
        <v>7934</v>
      </c>
      <c r="X380" t="s">
        <v>7935</v>
      </c>
      <c r="Y380" t="s">
        <v>7936</v>
      </c>
    </row>
    <row r="381" spans="1:25" x14ac:dyDescent="0.3">
      <c r="A381">
        <v>19000</v>
      </c>
      <c r="B381" t="s">
        <v>7937</v>
      </c>
      <c r="C381" t="s">
        <v>7938</v>
      </c>
      <c r="D381" t="s">
        <v>7939</v>
      </c>
      <c r="E381" t="s">
        <v>7940</v>
      </c>
      <c r="F381" t="s">
        <v>7941</v>
      </c>
      <c r="G381" t="s">
        <v>7942</v>
      </c>
      <c r="H381" t="s">
        <v>7943</v>
      </c>
      <c r="I381" t="s">
        <v>7944</v>
      </c>
      <c r="J381" t="s">
        <v>7945</v>
      </c>
      <c r="K381" t="s">
        <v>7946</v>
      </c>
      <c r="L381" t="s">
        <v>7947</v>
      </c>
      <c r="M381" t="s">
        <v>7948</v>
      </c>
      <c r="N381" t="s">
        <v>7949</v>
      </c>
      <c r="O381">
        <f>-715.076266754767 -65.2849542241652 -733.114422779377</f>
        <v>-1513.4756437583092</v>
      </c>
      <c r="P381">
        <f>-718.611194421773 -46.1271488517878 -417.192535843604</f>
        <v>-1181.9308791171647</v>
      </c>
      <c r="Q381">
        <f>-473.713515462722 -70.1851697969446 -333.000210572111</f>
        <v>-876.89889583177762</v>
      </c>
      <c r="R381" t="s">
        <v>7950</v>
      </c>
      <c r="S381" t="s">
        <v>7951</v>
      </c>
      <c r="T381" t="s">
        <v>7952</v>
      </c>
      <c r="U381" t="s">
        <v>7953</v>
      </c>
      <c r="V381" t="s">
        <v>7954</v>
      </c>
      <c r="W381" t="s">
        <v>7955</v>
      </c>
      <c r="X381" t="s">
        <v>7956</v>
      </c>
      <c r="Y381" t="s">
        <v>7957</v>
      </c>
    </row>
    <row r="382" spans="1:25" x14ac:dyDescent="0.3">
      <c r="A382">
        <v>19050</v>
      </c>
      <c r="B382" t="s">
        <v>7958</v>
      </c>
      <c r="C382" t="s">
        <v>7959</v>
      </c>
      <c r="D382" t="s">
        <v>7960</v>
      </c>
      <c r="E382" t="s">
        <v>7961</v>
      </c>
      <c r="F382" t="s">
        <v>7962</v>
      </c>
      <c r="G382" t="s">
        <v>7963</v>
      </c>
      <c r="H382" t="s">
        <v>7964</v>
      </c>
      <c r="I382" t="s">
        <v>7965</v>
      </c>
      <c r="J382" t="s">
        <v>7966</v>
      </c>
      <c r="K382" t="s">
        <v>7967</v>
      </c>
      <c r="L382" t="s">
        <v>7968</v>
      </c>
      <c r="M382" t="s">
        <v>7969</v>
      </c>
      <c r="N382" t="s">
        <v>7970</v>
      </c>
      <c r="O382">
        <f>-716.620939421009 -66.3171427227351 -732.280537070587</f>
        <v>-1515.2186192143311</v>
      </c>
      <c r="P382">
        <f>-719.104825402563 -46.2399042305792 -416.405603411397</f>
        <v>-1181.7503330445393</v>
      </c>
      <c r="Q382">
        <f>-473.665979751649 -68.3102228245334 -333.250586084656</f>
        <v>-875.22678866083834</v>
      </c>
      <c r="R382" t="s">
        <v>7971</v>
      </c>
      <c r="S382" t="s">
        <v>7972</v>
      </c>
      <c r="T382" t="s">
        <v>7973</v>
      </c>
      <c r="U382" t="s">
        <v>7974</v>
      </c>
      <c r="V382" t="s">
        <v>7975</v>
      </c>
      <c r="W382" t="s">
        <v>7976</v>
      </c>
      <c r="X382" t="s">
        <v>7977</v>
      </c>
      <c r="Y382" t="s">
        <v>7978</v>
      </c>
    </row>
    <row r="383" spans="1:25" x14ac:dyDescent="0.3">
      <c r="A383">
        <v>19100</v>
      </c>
      <c r="B383" t="s">
        <v>7979</v>
      </c>
      <c r="C383" t="s">
        <v>7980</v>
      </c>
      <c r="D383" t="s">
        <v>7981</v>
      </c>
      <c r="E383" t="s">
        <v>7982</v>
      </c>
      <c r="F383" t="s">
        <v>7983</v>
      </c>
      <c r="G383" t="s">
        <v>7984</v>
      </c>
      <c r="H383" t="s">
        <v>7985</v>
      </c>
      <c r="I383" t="s">
        <v>7986</v>
      </c>
      <c r="J383" t="s">
        <v>7987</v>
      </c>
      <c r="K383" t="s">
        <v>7988</v>
      </c>
      <c r="L383" t="s">
        <v>7989</v>
      </c>
      <c r="M383" t="s">
        <v>7990</v>
      </c>
      <c r="N383" t="s">
        <v>7991</v>
      </c>
      <c r="O383">
        <f>-717.231185304883 -66.4197315016563 -731.880268997722</f>
        <v>-1515.5311858042614</v>
      </c>
      <c r="P383">
        <f>-719.253652746178 -46.538245395039 -415.989677662302</f>
        <v>-1181.781575803519</v>
      </c>
      <c r="Q383">
        <f>-473.638679984821 -68.0467458269545 -333.208610872739</f>
        <v>-874.8940366845145</v>
      </c>
      <c r="R383" t="s">
        <v>7992</v>
      </c>
      <c r="S383" t="s">
        <v>7993</v>
      </c>
      <c r="T383" t="s">
        <v>7994</v>
      </c>
      <c r="U383" t="s">
        <v>7995</v>
      </c>
      <c r="V383" t="s">
        <v>7996</v>
      </c>
      <c r="W383" t="s">
        <v>7997</v>
      </c>
      <c r="X383" t="s">
        <v>7998</v>
      </c>
      <c r="Y383" t="s">
        <v>7999</v>
      </c>
    </row>
    <row r="384" spans="1:25" x14ac:dyDescent="0.3">
      <c r="A384">
        <v>19150</v>
      </c>
      <c r="B384" t="s">
        <v>8000</v>
      </c>
      <c r="C384" t="s">
        <v>8001</v>
      </c>
      <c r="D384" t="s">
        <v>8002</v>
      </c>
      <c r="E384" t="s">
        <v>8003</v>
      </c>
      <c r="F384" t="s">
        <v>8004</v>
      </c>
      <c r="G384" t="s">
        <v>8005</v>
      </c>
      <c r="H384" t="s">
        <v>8006</v>
      </c>
      <c r="I384" t="s">
        <v>8007</v>
      </c>
      <c r="J384" t="s">
        <v>8008</v>
      </c>
      <c r="K384" t="s">
        <v>8009</v>
      </c>
      <c r="L384" t="s">
        <v>8010</v>
      </c>
      <c r="M384" t="s">
        <v>8011</v>
      </c>
      <c r="N384" t="s">
        <v>8012</v>
      </c>
      <c r="O384">
        <f>-718.549247726905 -66.444370606888 -731.225759869072</f>
        <v>-1516.2193782028651</v>
      </c>
      <c r="P384">
        <f>-720.425049528197 -46.2216510086357 -415.355954526516</f>
        <v>-1182.0026550633486</v>
      </c>
      <c r="Q384">
        <f>-474.343769092715 -67.1334836615936 -333.816318582473</f>
        <v>-875.2935713367815</v>
      </c>
      <c r="R384" t="s">
        <v>8013</v>
      </c>
      <c r="S384" t="s">
        <v>8014</v>
      </c>
      <c r="T384" t="s">
        <v>8015</v>
      </c>
      <c r="U384" t="s">
        <v>8016</v>
      </c>
      <c r="V384" t="s">
        <v>8017</v>
      </c>
      <c r="W384" t="s">
        <v>8018</v>
      </c>
      <c r="X384" t="s">
        <v>8019</v>
      </c>
      <c r="Y384" t="s">
        <v>8020</v>
      </c>
    </row>
    <row r="385" spans="1:25" x14ac:dyDescent="0.3">
      <c r="A385">
        <v>19200</v>
      </c>
      <c r="B385" t="s">
        <v>8021</v>
      </c>
      <c r="C385" t="s">
        <v>8022</v>
      </c>
      <c r="D385" t="s">
        <v>8023</v>
      </c>
      <c r="E385" t="s">
        <v>8024</v>
      </c>
      <c r="F385" t="s">
        <v>8025</v>
      </c>
      <c r="G385" t="s">
        <v>8026</v>
      </c>
      <c r="H385" t="s">
        <v>8027</v>
      </c>
      <c r="I385" t="s">
        <v>8028</v>
      </c>
      <c r="J385" t="s">
        <v>8029</v>
      </c>
      <c r="K385" t="s">
        <v>8030</v>
      </c>
      <c r="L385" t="s">
        <v>8031</v>
      </c>
      <c r="M385" t="s">
        <v>8032</v>
      </c>
      <c r="N385" t="s">
        <v>8033</v>
      </c>
      <c r="O385">
        <f>-719.258464864659 -66.2382087940587 -730.88858427814</f>
        <v>-1516.3852579368577</v>
      </c>
      <c r="P385">
        <f>-720.834560969958 -46.5933090563465 -414.980690451098</f>
        <v>-1182.4085604774025</v>
      </c>
      <c r="Q385">
        <f>-474.680016823142 -67.7079336790614 -333.714793342557</f>
        <v>-876.10274384476043</v>
      </c>
      <c r="R385" t="s">
        <v>8034</v>
      </c>
      <c r="S385" t="s">
        <v>8035</v>
      </c>
      <c r="T385" t="s">
        <v>8036</v>
      </c>
      <c r="U385" t="s">
        <v>8037</v>
      </c>
      <c r="V385" t="s">
        <v>8038</v>
      </c>
      <c r="W385" t="s">
        <v>8039</v>
      </c>
      <c r="X385" t="s">
        <v>8040</v>
      </c>
      <c r="Y385" t="s">
        <v>8041</v>
      </c>
    </row>
    <row r="386" spans="1:25" x14ac:dyDescent="0.3">
      <c r="A386">
        <v>19250</v>
      </c>
      <c r="B386" t="s">
        <v>8042</v>
      </c>
      <c r="C386" t="s">
        <v>8043</v>
      </c>
      <c r="D386" t="s">
        <v>8044</v>
      </c>
      <c r="E386" t="s">
        <v>8045</v>
      </c>
      <c r="F386" t="s">
        <v>8046</v>
      </c>
      <c r="G386" t="s">
        <v>8047</v>
      </c>
      <c r="H386" t="s">
        <v>8048</v>
      </c>
      <c r="I386" t="s">
        <v>8049</v>
      </c>
      <c r="J386" t="s">
        <v>8050</v>
      </c>
      <c r="K386" t="s">
        <v>8051</v>
      </c>
      <c r="L386" t="s">
        <v>8052</v>
      </c>
      <c r="M386" t="s">
        <v>8053</v>
      </c>
      <c r="N386" t="s">
        <v>8054</v>
      </c>
      <c r="O386">
        <f>-720.73456679254 -66.1540944888329 -730.211536601518</f>
        <v>-1517.1001978828908</v>
      </c>
      <c r="P386">
        <f>-721.643525844763 -46.2695214227961 -414.316066332616</f>
        <v>-1182.229113600175</v>
      </c>
      <c r="Q386">
        <f>-475.311957552432 -67.2548510283882 -333.554467137969</f>
        <v>-876.12127571878921</v>
      </c>
      <c r="R386" t="s">
        <v>8055</v>
      </c>
      <c r="S386" t="s">
        <v>8056</v>
      </c>
      <c r="T386" t="s">
        <v>8057</v>
      </c>
      <c r="U386" t="s">
        <v>8058</v>
      </c>
      <c r="V386" t="s">
        <v>8059</v>
      </c>
      <c r="W386" t="s">
        <v>8060</v>
      </c>
      <c r="X386" t="s">
        <v>8061</v>
      </c>
      <c r="Y386" t="s">
        <v>8062</v>
      </c>
    </row>
    <row r="387" spans="1:25" x14ac:dyDescent="0.3">
      <c r="A387">
        <v>19300</v>
      </c>
      <c r="B387" t="s">
        <v>8063</v>
      </c>
      <c r="C387" t="s">
        <v>8064</v>
      </c>
      <c r="D387" t="s">
        <v>8065</v>
      </c>
      <c r="E387" t="s">
        <v>8066</v>
      </c>
      <c r="F387" t="s">
        <v>8067</v>
      </c>
      <c r="G387" t="s">
        <v>8068</v>
      </c>
      <c r="H387" t="s">
        <v>8069</v>
      </c>
      <c r="I387" t="s">
        <v>8070</v>
      </c>
      <c r="J387" t="s">
        <v>8071</v>
      </c>
      <c r="K387" t="s">
        <v>8072</v>
      </c>
      <c r="L387" t="s">
        <v>8073</v>
      </c>
      <c r="M387" t="s">
        <v>8074</v>
      </c>
      <c r="N387" t="s">
        <v>8075</v>
      </c>
      <c r="O387">
        <f>-720.854644666808 -66.2616291195427 -729.910503394666</f>
        <v>-1517.0267771810168</v>
      </c>
      <c r="P387">
        <f>-721.410959679605 -46.0961327596278 -414.032014079072</f>
        <v>-1181.5391065183048</v>
      </c>
      <c r="Q387">
        <f>-475.064673990929 -67.3449012384256 -333.384357739575</f>
        <v>-875.79393296892954</v>
      </c>
      <c r="R387" t="s">
        <v>8076</v>
      </c>
      <c r="S387" t="s">
        <v>8077</v>
      </c>
      <c r="T387" t="s">
        <v>8078</v>
      </c>
      <c r="U387" t="s">
        <v>8079</v>
      </c>
      <c r="V387" t="s">
        <v>8080</v>
      </c>
      <c r="W387" t="s">
        <v>8081</v>
      </c>
      <c r="X387" t="s">
        <v>8082</v>
      </c>
      <c r="Y387" t="s">
        <v>8083</v>
      </c>
    </row>
    <row r="388" spans="1:25" x14ac:dyDescent="0.3">
      <c r="A388">
        <v>19350</v>
      </c>
      <c r="B388" t="s">
        <v>8084</v>
      </c>
      <c r="C388" t="s">
        <v>8085</v>
      </c>
      <c r="D388" t="s">
        <v>8086</v>
      </c>
      <c r="E388" t="s">
        <v>8087</v>
      </c>
      <c r="F388" t="s">
        <v>8088</v>
      </c>
      <c r="G388" t="s">
        <v>8089</v>
      </c>
      <c r="H388" t="s">
        <v>8090</v>
      </c>
      <c r="I388" t="s">
        <v>8091</v>
      </c>
      <c r="J388" t="s">
        <v>8092</v>
      </c>
      <c r="K388" t="s">
        <v>8093</v>
      </c>
      <c r="L388" t="s">
        <v>8094</v>
      </c>
      <c r="M388" t="s">
        <v>8095</v>
      </c>
      <c r="N388" t="s">
        <v>8096</v>
      </c>
      <c r="O388">
        <f>-721.067019263797 -66.3614661898166 -729.458227280192</f>
        <v>-1516.8867127338056</v>
      </c>
      <c r="P388">
        <f>-721.512261276441 -45.6377742240902 -413.615695271723</f>
        <v>-1180.7657307722543</v>
      </c>
      <c r="Q388">
        <f>-475.312535805353 -67.6650228600006 -332.72960758411</f>
        <v>-875.70716624946363</v>
      </c>
      <c r="R388" t="s">
        <v>8097</v>
      </c>
      <c r="S388" t="s">
        <v>8098</v>
      </c>
      <c r="T388" t="s">
        <v>8099</v>
      </c>
      <c r="U388" t="s">
        <v>8100</v>
      </c>
      <c r="V388" t="s">
        <v>8101</v>
      </c>
      <c r="W388" t="s">
        <v>8102</v>
      </c>
      <c r="X388" t="s">
        <v>8103</v>
      </c>
      <c r="Y388" t="s">
        <v>8104</v>
      </c>
    </row>
    <row r="389" spans="1:25" x14ac:dyDescent="0.3">
      <c r="A389">
        <v>19400</v>
      </c>
      <c r="B389" t="s">
        <v>8105</v>
      </c>
      <c r="C389" t="s">
        <v>8106</v>
      </c>
      <c r="D389" t="s">
        <v>8107</v>
      </c>
      <c r="E389" t="s">
        <v>8108</v>
      </c>
      <c r="F389" t="s">
        <v>8109</v>
      </c>
      <c r="G389" t="s">
        <v>8110</v>
      </c>
      <c r="H389" t="s">
        <v>8111</v>
      </c>
      <c r="I389" t="s">
        <v>8112</v>
      </c>
      <c r="J389" t="s">
        <v>8113</v>
      </c>
      <c r="K389" t="s">
        <v>8114</v>
      </c>
      <c r="L389" t="s">
        <v>8115</v>
      </c>
      <c r="M389" t="s">
        <v>8116</v>
      </c>
      <c r="N389" t="s">
        <v>8117</v>
      </c>
      <c r="O389">
        <f>-720.932534045029 -66.347347289581 -729.379454925545</f>
        <v>-1516.659336260155</v>
      </c>
      <c r="P389">
        <f>-721.520661584856 -45.4467794726734 -413.548832731706</f>
        <v>-1180.5162737892354</v>
      </c>
      <c r="Q389">
        <f>-475.413899527513 -67.8130246079818 -332.472958708682</f>
        <v>-875.69988284417684</v>
      </c>
      <c r="R389" t="s">
        <v>8118</v>
      </c>
      <c r="S389" t="s">
        <v>8119</v>
      </c>
      <c r="T389" t="s">
        <v>8120</v>
      </c>
      <c r="U389" t="s">
        <v>8121</v>
      </c>
      <c r="V389" t="s">
        <v>8122</v>
      </c>
      <c r="W389" t="s">
        <v>8123</v>
      </c>
      <c r="X389" t="s">
        <v>8124</v>
      </c>
      <c r="Y389" t="s">
        <v>8125</v>
      </c>
    </row>
    <row r="390" spans="1:25" x14ac:dyDescent="0.3">
      <c r="A390">
        <v>19450</v>
      </c>
      <c r="B390" t="s">
        <v>8126</v>
      </c>
      <c r="C390" t="s">
        <v>8127</v>
      </c>
      <c r="D390" t="s">
        <v>8128</v>
      </c>
      <c r="E390" t="s">
        <v>8129</v>
      </c>
      <c r="F390" t="s">
        <v>8130</v>
      </c>
      <c r="G390" t="s">
        <v>8131</v>
      </c>
      <c r="H390" t="s">
        <v>8132</v>
      </c>
      <c r="I390" t="s">
        <v>8133</v>
      </c>
      <c r="J390" t="s">
        <v>8134</v>
      </c>
      <c r="K390" t="s">
        <v>8135</v>
      </c>
      <c r="L390" t="s">
        <v>8136</v>
      </c>
      <c r="M390" t="s">
        <v>8137</v>
      </c>
      <c r="N390" t="s">
        <v>8138</v>
      </c>
      <c r="O390">
        <f>-720.600107088847 -65.6528035248243 -729.37931352056</f>
        <v>-1515.6322241342314</v>
      </c>
      <c r="P390">
        <f>-721.446727171611 -44.8830439433041 -413.540619798362</f>
        <v>-1179.8703909132771</v>
      </c>
      <c r="Q390">
        <f>-475.545991050888 -68.3085797809304 -332.139674125606</f>
        <v>-875.99424495742437</v>
      </c>
      <c r="R390" t="s">
        <v>8139</v>
      </c>
      <c r="S390" t="s">
        <v>8140</v>
      </c>
      <c r="T390" t="s">
        <v>8141</v>
      </c>
      <c r="U390" t="s">
        <v>8142</v>
      </c>
      <c r="V390" t="s">
        <v>8143</v>
      </c>
      <c r="W390" t="s">
        <v>8144</v>
      </c>
      <c r="X390" t="s">
        <v>8145</v>
      </c>
      <c r="Y390" t="s">
        <v>8146</v>
      </c>
    </row>
    <row r="391" spans="1:25" x14ac:dyDescent="0.3">
      <c r="A391">
        <v>19500</v>
      </c>
      <c r="B391" t="s">
        <v>8147</v>
      </c>
      <c r="C391" t="s">
        <v>8148</v>
      </c>
      <c r="D391" t="s">
        <v>8149</v>
      </c>
      <c r="E391" t="s">
        <v>8150</v>
      </c>
      <c r="F391" t="s">
        <v>8151</v>
      </c>
      <c r="G391" t="s">
        <v>8152</v>
      </c>
      <c r="H391" t="s">
        <v>8153</v>
      </c>
      <c r="I391" t="s">
        <v>8154</v>
      </c>
      <c r="J391" t="s">
        <v>8155</v>
      </c>
      <c r="K391" t="s">
        <v>8156</v>
      </c>
      <c r="L391" t="s">
        <v>8157</v>
      </c>
      <c r="M391" t="s">
        <v>8158</v>
      </c>
      <c r="N391" t="s">
        <v>8159</v>
      </c>
      <c r="O391">
        <f>-720.343804996676 -65.319589921058 -729.313809366677</f>
        <v>-1514.9772042844111</v>
      </c>
      <c r="P391">
        <f>-721.425465240055 -44.5180353074202 -413.477819981759</f>
        <v>-1179.4213205292342</v>
      </c>
      <c r="Q391">
        <f>-475.61508485688 -68.6141483248189 -331.999677280215</f>
        <v>-876.22891046191387</v>
      </c>
      <c r="R391" t="s">
        <v>8160</v>
      </c>
      <c r="S391" t="s">
        <v>8161</v>
      </c>
      <c r="T391" t="s">
        <v>8162</v>
      </c>
      <c r="U391" t="s">
        <v>8163</v>
      </c>
      <c r="V391" t="s">
        <v>8164</v>
      </c>
      <c r="W391" t="s">
        <v>8165</v>
      </c>
      <c r="X391" t="s">
        <v>8166</v>
      </c>
      <c r="Y391" t="s">
        <v>8167</v>
      </c>
    </row>
    <row r="392" spans="1:25" x14ac:dyDescent="0.3">
      <c r="A392">
        <v>19550</v>
      </c>
      <c r="B392" t="s">
        <v>8168</v>
      </c>
      <c r="C392" t="s">
        <v>8169</v>
      </c>
      <c r="D392" t="s">
        <v>8170</v>
      </c>
      <c r="E392" t="s">
        <v>8171</v>
      </c>
      <c r="F392" t="s">
        <v>8172</v>
      </c>
      <c r="G392" t="s">
        <v>8173</v>
      </c>
      <c r="H392" t="s">
        <v>8174</v>
      </c>
      <c r="I392" t="s">
        <v>8175</v>
      </c>
      <c r="J392" t="s">
        <v>8176</v>
      </c>
      <c r="K392" t="s">
        <v>8177</v>
      </c>
      <c r="L392" t="s">
        <v>8178</v>
      </c>
      <c r="M392" t="s">
        <v>8179</v>
      </c>
      <c r="N392" t="s">
        <v>8180</v>
      </c>
      <c r="O392">
        <f>-719.696428015185 -64.8942572280093 -729.244914545839</f>
        <v>-1513.8355997890335</v>
      </c>
      <c r="P392">
        <f>-721.197053502135 -43.7683684683859 -413.432259753979</f>
        <v>-1178.3976817244998</v>
      </c>
      <c r="Q392">
        <f>-475.593718098768 -68.6241327257983 -331.558861800361</f>
        <v>-875.77671262492731</v>
      </c>
      <c r="R392" t="s">
        <v>8181</v>
      </c>
      <c r="S392" t="s">
        <v>8182</v>
      </c>
      <c r="T392" t="s">
        <v>8183</v>
      </c>
      <c r="U392" t="s">
        <v>8184</v>
      </c>
      <c r="V392" t="s">
        <v>8185</v>
      </c>
      <c r="W392" t="s">
        <v>8186</v>
      </c>
      <c r="X392" t="s">
        <v>8187</v>
      </c>
      <c r="Y392" t="s">
        <v>8188</v>
      </c>
    </row>
    <row r="393" spans="1:25" x14ac:dyDescent="0.3">
      <c r="A393">
        <v>19600</v>
      </c>
      <c r="B393" t="s">
        <v>8189</v>
      </c>
      <c r="C393" t="s">
        <v>8190</v>
      </c>
      <c r="D393" t="s">
        <v>8191</v>
      </c>
      <c r="E393" t="s">
        <v>8192</v>
      </c>
      <c r="F393" t="s">
        <v>8193</v>
      </c>
      <c r="G393" t="s">
        <v>8194</v>
      </c>
      <c r="H393" t="s">
        <v>8195</v>
      </c>
      <c r="I393" t="s">
        <v>8196</v>
      </c>
      <c r="J393" t="s">
        <v>8197</v>
      </c>
      <c r="K393" t="s">
        <v>8198</v>
      </c>
      <c r="L393" t="s">
        <v>8199</v>
      </c>
      <c r="M393" t="s">
        <v>8200</v>
      </c>
      <c r="N393" t="s">
        <v>8201</v>
      </c>
      <c r="O393">
        <f>-719.427087856057 -64.8079665260036 -729.234195534072</f>
        <v>-1513.4692499161326</v>
      </c>
      <c r="P393">
        <f>-721.152780659913 -43.6521114718212 -413.424671093011</f>
        <v>-1178.2295632247451</v>
      </c>
      <c r="Q393">
        <f>-475.623076552094 -68.630110069111 -331.367698320945</f>
        <v>-875.62088494215004</v>
      </c>
      <c r="R393" t="s">
        <v>8202</v>
      </c>
      <c r="S393" t="s">
        <v>8203</v>
      </c>
      <c r="T393" t="s">
        <v>8204</v>
      </c>
      <c r="U393" t="s">
        <v>8205</v>
      </c>
      <c r="V393" t="s">
        <v>8206</v>
      </c>
      <c r="W393" t="s">
        <v>8207</v>
      </c>
      <c r="X393" t="s">
        <v>8208</v>
      </c>
      <c r="Y393" t="s">
        <v>8209</v>
      </c>
    </row>
    <row r="394" spans="1:25" x14ac:dyDescent="0.3">
      <c r="A394">
        <v>19650</v>
      </c>
      <c r="B394" t="s">
        <v>8210</v>
      </c>
      <c r="C394" t="s">
        <v>8211</v>
      </c>
      <c r="D394" t="s">
        <v>8212</v>
      </c>
      <c r="E394" t="s">
        <v>8213</v>
      </c>
      <c r="F394" t="s">
        <v>8214</v>
      </c>
      <c r="G394" t="s">
        <v>8215</v>
      </c>
      <c r="H394" t="s">
        <v>8216</v>
      </c>
      <c r="I394" t="s">
        <v>8217</v>
      </c>
      <c r="J394" t="s">
        <v>8218</v>
      </c>
      <c r="K394" t="s">
        <v>8219</v>
      </c>
      <c r="L394" t="s">
        <v>8220</v>
      </c>
      <c r="M394" t="s">
        <v>8221</v>
      </c>
      <c r="N394" t="s">
        <v>8222</v>
      </c>
      <c r="O394">
        <f>-718.887806308365 -64.6984455252295 -729.179838517572</f>
        <v>-1512.7660903511664</v>
      </c>
      <c r="P394">
        <f>-720.834071834295 -43.5493719167139 -413.371116031119</f>
        <v>-1177.7545597821279</v>
      </c>
      <c r="Q394">
        <f>-475.40723791407 -68.8641657909732 -331.110013659826</f>
        <v>-875.38141736486921</v>
      </c>
      <c r="R394" t="s">
        <v>8223</v>
      </c>
      <c r="S394" t="s">
        <v>8224</v>
      </c>
      <c r="T394" t="s">
        <v>8225</v>
      </c>
      <c r="U394" t="s">
        <v>8226</v>
      </c>
      <c r="V394" t="s">
        <v>8227</v>
      </c>
      <c r="W394" t="s">
        <v>8228</v>
      </c>
      <c r="X394" t="s">
        <v>8229</v>
      </c>
      <c r="Y394" t="s">
        <v>8230</v>
      </c>
    </row>
    <row r="395" spans="1:25" x14ac:dyDescent="0.3">
      <c r="A395">
        <v>19700</v>
      </c>
      <c r="B395" t="s">
        <v>8231</v>
      </c>
      <c r="C395" t="s">
        <v>8232</v>
      </c>
      <c r="D395" t="s">
        <v>8233</v>
      </c>
      <c r="E395" t="s">
        <v>8234</v>
      </c>
      <c r="F395" t="s">
        <v>8235</v>
      </c>
      <c r="G395" t="s">
        <v>8236</v>
      </c>
      <c r="H395" t="s">
        <v>8237</v>
      </c>
      <c r="I395" t="s">
        <v>8238</v>
      </c>
      <c r="J395" t="s">
        <v>8239</v>
      </c>
      <c r="K395" t="s">
        <v>8240</v>
      </c>
      <c r="L395" t="s">
        <v>8241</v>
      </c>
      <c r="M395" t="s">
        <v>8242</v>
      </c>
      <c r="N395" t="s">
        <v>8243</v>
      </c>
      <c r="O395">
        <f>-718.548197359715 -64.5772337535495 -729.192465081898</f>
        <v>-1512.3178961951626</v>
      </c>
      <c r="P395">
        <f>-720.450590357104 -43.5598675464528 -413.374729472567</f>
        <v>-1177.3851873761239</v>
      </c>
      <c r="Q395">
        <f>-475.04867142114 -69.0837086732083 -331.103987770581</f>
        <v>-875.23636786492921</v>
      </c>
      <c r="R395" t="s">
        <v>8244</v>
      </c>
      <c r="S395" t="s">
        <v>8245</v>
      </c>
      <c r="T395" t="s">
        <v>8246</v>
      </c>
      <c r="U395" t="s">
        <v>8247</v>
      </c>
      <c r="V395" t="s">
        <v>8248</v>
      </c>
      <c r="W395" t="s">
        <v>8249</v>
      </c>
      <c r="X395" t="s">
        <v>8250</v>
      </c>
      <c r="Y395" t="s">
        <v>8251</v>
      </c>
    </row>
    <row r="396" spans="1:25" x14ac:dyDescent="0.3">
      <c r="A396">
        <v>19750</v>
      </c>
      <c r="B396" t="s">
        <v>8252</v>
      </c>
      <c r="C396" t="s">
        <v>8253</v>
      </c>
      <c r="D396" t="s">
        <v>8254</v>
      </c>
      <c r="E396" t="s">
        <v>8255</v>
      </c>
      <c r="F396" t="s">
        <v>8256</v>
      </c>
      <c r="G396" t="s">
        <v>8257</v>
      </c>
      <c r="H396" t="s">
        <v>8258</v>
      </c>
      <c r="I396" t="s">
        <v>8259</v>
      </c>
      <c r="J396" t="s">
        <v>8260</v>
      </c>
      <c r="K396" t="s">
        <v>8261</v>
      </c>
      <c r="L396" t="s">
        <v>8262</v>
      </c>
      <c r="M396" t="s">
        <v>8263</v>
      </c>
      <c r="N396" t="s">
        <v>8264</v>
      </c>
      <c r="O396">
        <f>-717.585089685035 -64.2724962179993 -729.341321548955</f>
        <v>-1511.1989074519893</v>
      </c>
      <c r="P396">
        <f>-719.737554718393 -43.2844823225764 -413.523172653931</f>
        <v>-1176.5452096949004</v>
      </c>
      <c r="Q396">
        <f>-474.386351906281 -68.7898607887248 -331.095695084977</f>
        <v>-874.27190777998283</v>
      </c>
      <c r="R396" t="s">
        <v>8265</v>
      </c>
      <c r="S396" t="s">
        <v>8266</v>
      </c>
      <c r="T396" t="s">
        <v>8267</v>
      </c>
      <c r="U396" t="s">
        <v>8268</v>
      </c>
      <c r="V396" t="s">
        <v>8269</v>
      </c>
      <c r="W396" t="s">
        <v>8270</v>
      </c>
      <c r="X396" t="s">
        <v>8271</v>
      </c>
      <c r="Y396" t="s">
        <v>8272</v>
      </c>
    </row>
    <row r="397" spans="1:25" x14ac:dyDescent="0.3">
      <c r="A397">
        <v>19800</v>
      </c>
      <c r="B397" t="s">
        <v>8273</v>
      </c>
      <c r="C397" t="s">
        <v>8274</v>
      </c>
      <c r="D397" t="s">
        <v>8275</v>
      </c>
      <c r="E397" t="s">
        <v>8276</v>
      </c>
      <c r="F397" t="s">
        <v>8277</v>
      </c>
      <c r="G397" t="s">
        <v>8278</v>
      </c>
      <c r="H397" t="s">
        <v>8279</v>
      </c>
      <c r="I397" t="s">
        <v>8280</v>
      </c>
      <c r="J397" t="s">
        <v>8281</v>
      </c>
      <c r="K397" t="s">
        <v>8282</v>
      </c>
      <c r="L397" t="s">
        <v>8283</v>
      </c>
      <c r="M397" t="s">
        <v>8284</v>
      </c>
      <c r="N397" t="s">
        <v>8285</v>
      </c>
      <c r="O397">
        <f>-717.135640508991 -64.1691125862433 -729.551374659248</f>
        <v>-1510.8561277544823</v>
      </c>
      <c r="P397">
        <f>-719.469719207727 -43.4064186397384 -413.719546458179</f>
        <v>-1176.5956843056445</v>
      </c>
      <c r="Q397">
        <f>-474.140152507008 -68.7629746933253 -331.181684018941</f>
        <v>-874.08481121927434</v>
      </c>
      <c r="R397" t="s">
        <v>8286</v>
      </c>
      <c r="S397" t="s">
        <v>8287</v>
      </c>
      <c r="T397" t="s">
        <v>8288</v>
      </c>
      <c r="U397" t="s">
        <v>8289</v>
      </c>
      <c r="V397" t="s">
        <v>8290</v>
      </c>
      <c r="W397" t="s">
        <v>8291</v>
      </c>
      <c r="X397" t="s">
        <v>8292</v>
      </c>
      <c r="Y397" t="s">
        <v>8293</v>
      </c>
    </row>
    <row r="398" spans="1:25" x14ac:dyDescent="0.3">
      <c r="A398">
        <v>19850</v>
      </c>
      <c r="B398" t="s">
        <v>8294</v>
      </c>
      <c r="C398" t="s">
        <v>8295</v>
      </c>
      <c r="D398" t="s">
        <v>8296</v>
      </c>
      <c r="E398" t="s">
        <v>8297</v>
      </c>
      <c r="F398" t="s">
        <v>8298</v>
      </c>
      <c r="G398" t="s">
        <v>8299</v>
      </c>
      <c r="H398" t="s">
        <v>8300</v>
      </c>
      <c r="I398" t="s">
        <v>8301</v>
      </c>
      <c r="J398" t="s">
        <v>8302</v>
      </c>
      <c r="K398" t="s">
        <v>8303</v>
      </c>
      <c r="L398" t="s">
        <v>8304</v>
      </c>
      <c r="M398" t="s">
        <v>8305</v>
      </c>
      <c r="N398" t="s">
        <v>8306</v>
      </c>
      <c r="O398">
        <f>-716.286008451148 -63.8949083783257 -730.117045619442</f>
        <v>-1510.2979624489158</v>
      </c>
      <c r="P398">
        <f>-718.81096155891 -43.5754710046226 -414.257952429874</f>
        <v>-1176.6443849934067</v>
      </c>
      <c r="Q398">
        <f>-473.479836950219 -68.7901735460359 -331.681088341672</f>
        <v>-873.95109883792702</v>
      </c>
      <c r="R398" t="s">
        <v>8307</v>
      </c>
      <c r="S398" t="s">
        <v>8308</v>
      </c>
      <c r="T398" t="s">
        <v>8309</v>
      </c>
      <c r="U398" t="s">
        <v>8310</v>
      </c>
      <c r="V398" t="s">
        <v>8311</v>
      </c>
      <c r="W398" t="s">
        <v>8312</v>
      </c>
      <c r="X398" t="s">
        <v>8313</v>
      </c>
      <c r="Y398" t="s">
        <v>8314</v>
      </c>
    </row>
    <row r="399" spans="1:25" x14ac:dyDescent="0.3">
      <c r="A399">
        <v>19900</v>
      </c>
      <c r="B399" t="s">
        <v>8315</v>
      </c>
      <c r="C399" t="s">
        <v>8316</v>
      </c>
      <c r="D399" t="s">
        <v>8317</v>
      </c>
      <c r="E399" t="s">
        <v>8318</v>
      </c>
      <c r="F399" t="s">
        <v>8319</v>
      </c>
      <c r="G399" t="s">
        <v>8320</v>
      </c>
      <c r="H399" t="s">
        <v>8321</v>
      </c>
      <c r="I399" t="s">
        <v>8322</v>
      </c>
      <c r="J399" t="s">
        <v>8323</v>
      </c>
      <c r="K399" t="s">
        <v>8324</v>
      </c>
      <c r="L399" t="s">
        <v>8325</v>
      </c>
      <c r="M399" t="s">
        <v>8326</v>
      </c>
      <c r="N399" t="s">
        <v>8327</v>
      </c>
      <c r="O399">
        <f>-715.941632733973 -63.8466041746856 -730.363990729806</f>
        <v>-1510.1522276384646</v>
      </c>
      <c r="P399">
        <f>-718.563307569053 -43.7873274724593 -414.489057689462</f>
        <v>-1176.8396927309743</v>
      </c>
      <c r="Q399">
        <f>-473.210380258941 -69.0185887775701 -331.982194466331</f>
        <v>-874.21116350284206</v>
      </c>
      <c r="R399" t="s">
        <v>8328</v>
      </c>
      <c r="S399" t="s">
        <v>8329</v>
      </c>
      <c r="T399" t="s">
        <v>8330</v>
      </c>
      <c r="U399" t="s">
        <v>8331</v>
      </c>
      <c r="V399" t="s">
        <v>8332</v>
      </c>
      <c r="W399" t="s">
        <v>8333</v>
      </c>
      <c r="X399" t="s">
        <v>8334</v>
      </c>
      <c r="Y399" t="s">
        <v>8335</v>
      </c>
    </row>
    <row r="400" spans="1:25" x14ac:dyDescent="0.3">
      <c r="A400">
        <v>19950</v>
      </c>
      <c r="B400" t="s">
        <v>8336</v>
      </c>
      <c r="C400" t="s">
        <v>8337</v>
      </c>
      <c r="D400" t="s">
        <v>8338</v>
      </c>
      <c r="E400" t="s">
        <v>8339</v>
      </c>
      <c r="F400" t="s">
        <v>8340</v>
      </c>
      <c r="G400" t="s">
        <v>8341</v>
      </c>
      <c r="H400" t="s">
        <v>8342</v>
      </c>
      <c r="I400" t="s">
        <v>8343</v>
      </c>
      <c r="J400" t="s">
        <v>8344</v>
      </c>
      <c r="K400" t="s">
        <v>8345</v>
      </c>
      <c r="L400" t="s">
        <v>8346</v>
      </c>
      <c r="M400" t="s">
        <v>8347</v>
      </c>
      <c r="N400" t="s">
        <v>8348</v>
      </c>
      <c r="O400">
        <f>-714.880998291241 -63.7046417366321 -730.944924808442</f>
        <v>-1509.5305648363151</v>
      </c>
      <c r="P400">
        <f>-717.825660153099 -44.0037796121601 -415.050200472583</f>
        <v>-1176.8796402378421</v>
      </c>
      <c r="Q400">
        <f>-472.423215521027 -68.8963750771898 -332.587912355694</f>
        <v>-873.90750295391081</v>
      </c>
      <c r="R400" t="s">
        <v>8349</v>
      </c>
      <c r="S400" t="s">
        <v>8350</v>
      </c>
      <c r="T400" t="s">
        <v>8351</v>
      </c>
      <c r="U400" t="s">
        <v>8352</v>
      </c>
      <c r="V400" t="s">
        <v>8353</v>
      </c>
      <c r="W400" t="s">
        <v>8354</v>
      </c>
      <c r="X400" t="s">
        <v>8355</v>
      </c>
      <c r="Y400" t="s">
        <v>8356</v>
      </c>
    </row>
    <row r="401" spans="1:25" x14ac:dyDescent="0.3">
      <c r="A401">
        <v>20000</v>
      </c>
      <c r="B401" t="s">
        <v>8357</v>
      </c>
      <c r="C401" t="s">
        <v>8358</v>
      </c>
      <c r="D401" t="s">
        <v>8359</v>
      </c>
      <c r="E401" t="s">
        <v>8360</v>
      </c>
      <c r="F401" t="s">
        <v>8361</v>
      </c>
      <c r="G401" t="s">
        <v>8362</v>
      </c>
      <c r="H401" t="s">
        <v>8363</v>
      </c>
      <c r="I401" t="s">
        <v>8364</v>
      </c>
      <c r="J401" t="s">
        <v>8365</v>
      </c>
      <c r="K401" t="s">
        <v>8366</v>
      </c>
      <c r="L401" t="s">
        <v>8367</v>
      </c>
      <c r="M401" t="s">
        <v>8368</v>
      </c>
      <c r="N401" t="s">
        <v>8369</v>
      </c>
      <c r="O401">
        <f>-714.144122297256 -63.6076183846333 -731.355102120186</f>
        <v>-1509.1068428020753</v>
      </c>
      <c r="P401">
        <f>-717.275605152542 -44.2930178404959 -415.438311240489</f>
        <v>-1177.0069342335269</v>
      </c>
      <c r="Q401">
        <f>-471.91066789137 -68.8900666219147 -332.775807854525</f>
        <v>-873.57654236780968</v>
      </c>
      <c r="R401" t="s">
        <v>8370</v>
      </c>
      <c r="S401" t="s">
        <v>8371</v>
      </c>
      <c r="T401" t="s">
        <v>8372</v>
      </c>
      <c r="U401" t="s">
        <v>8373</v>
      </c>
      <c r="V401" t="s">
        <v>8374</v>
      </c>
      <c r="W401" t="s">
        <v>8375</v>
      </c>
      <c r="X401" t="s">
        <v>8376</v>
      </c>
      <c r="Y401" t="s">
        <v>8377</v>
      </c>
    </row>
    <row r="402" spans="1:25" x14ac:dyDescent="0.3">
      <c r="A402">
        <v>20050</v>
      </c>
      <c r="B402" t="s">
        <v>8378</v>
      </c>
      <c r="C402" t="s">
        <v>8379</v>
      </c>
      <c r="D402" t="s">
        <v>8380</v>
      </c>
      <c r="E402" t="s">
        <v>8381</v>
      </c>
      <c r="F402" t="s">
        <v>8382</v>
      </c>
      <c r="G402" t="s">
        <v>8383</v>
      </c>
      <c r="H402" t="s">
        <v>8384</v>
      </c>
      <c r="I402" t="s">
        <v>8385</v>
      </c>
      <c r="J402" t="s">
        <v>8386</v>
      </c>
      <c r="K402" t="s">
        <v>8387</v>
      </c>
      <c r="L402" t="s">
        <v>8388</v>
      </c>
      <c r="M402" t="s">
        <v>8389</v>
      </c>
      <c r="N402" t="s">
        <v>8390</v>
      </c>
      <c r="O402">
        <f>-712.991607911186 -62.8316539160699 -732.46678533715</f>
        <v>-1508.2900471644057</v>
      </c>
      <c r="P402">
        <f>-717.103990488556 -44.6019241046552 -416.496932714936</f>
        <v>-1178.2028473081471</v>
      </c>
      <c r="Q402">
        <f>-471.829289873566 -68.206494750566 -333.279176291002</f>
        <v>-873.31496091513395</v>
      </c>
      <c r="R402" t="s">
        <v>8391</v>
      </c>
      <c r="S402" t="s">
        <v>8392</v>
      </c>
      <c r="T402" t="s">
        <v>8393</v>
      </c>
      <c r="U402" t="s">
        <v>8394</v>
      </c>
      <c r="V402" t="s">
        <v>8395</v>
      </c>
      <c r="W402" t="s">
        <v>8396</v>
      </c>
      <c r="X402" t="s">
        <v>8397</v>
      </c>
      <c r="Y402" t="s">
        <v>8398</v>
      </c>
    </row>
    <row r="403" spans="1:25" x14ac:dyDescent="0.3">
      <c r="A403">
        <v>20100</v>
      </c>
      <c r="B403" t="s">
        <v>8399</v>
      </c>
      <c r="C403" t="s">
        <v>8400</v>
      </c>
      <c r="D403" t="s">
        <v>8401</v>
      </c>
      <c r="E403" t="s">
        <v>8402</v>
      </c>
      <c r="F403" t="s">
        <v>8403</v>
      </c>
      <c r="G403" t="s">
        <v>8404</v>
      </c>
      <c r="H403" t="s">
        <v>8405</v>
      </c>
      <c r="I403" t="s">
        <v>8406</v>
      </c>
      <c r="J403" t="s">
        <v>8407</v>
      </c>
      <c r="K403" t="s">
        <v>8408</v>
      </c>
      <c r="L403" t="s">
        <v>8409</v>
      </c>
      <c r="M403" t="s">
        <v>8410</v>
      </c>
      <c r="N403" t="s">
        <v>8411</v>
      </c>
      <c r="O403">
        <f>-712.05830448038 -62.6819262082226 -733.081946787056</f>
        <v>-1507.8221774756587</v>
      </c>
      <c r="P403">
        <f>-717.052843868051 -45.1765433354517 -417.083868584957</f>
        <v>-1179.3132557884596</v>
      </c>
      <c r="Q403">
        <f>-471.851316391626 -67.9593384123305 -333.422504970943</f>
        <v>-873.23315977489949</v>
      </c>
      <c r="R403" t="s">
        <v>8412</v>
      </c>
      <c r="S403" t="s">
        <v>8413</v>
      </c>
      <c r="T403" t="s">
        <v>8414</v>
      </c>
      <c r="U403" t="s">
        <v>8415</v>
      </c>
      <c r="V403" t="s">
        <v>8416</v>
      </c>
      <c r="W403" t="s">
        <v>8417</v>
      </c>
      <c r="X403" t="s">
        <v>8418</v>
      </c>
      <c r="Y403" t="s">
        <v>8419</v>
      </c>
    </row>
    <row r="404" spans="1:25" x14ac:dyDescent="0.3">
      <c r="A404">
        <v>20150</v>
      </c>
      <c r="B404" t="s">
        <v>8420</v>
      </c>
      <c r="C404" t="s">
        <v>8421</v>
      </c>
      <c r="D404" t="s">
        <v>8422</v>
      </c>
      <c r="E404" t="s">
        <v>8423</v>
      </c>
      <c r="F404" t="s">
        <v>8424</v>
      </c>
      <c r="G404" t="s">
        <v>8425</v>
      </c>
      <c r="H404" t="s">
        <v>8426</v>
      </c>
      <c r="I404" t="s">
        <v>8427</v>
      </c>
      <c r="J404" t="s">
        <v>8428</v>
      </c>
      <c r="K404" t="s">
        <v>8429</v>
      </c>
      <c r="L404" t="s">
        <v>8430</v>
      </c>
      <c r="M404" t="s">
        <v>8431</v>
      </c>
      <c r="N404" t="s">
        <v>8432</v>
      </c>
      <c r="O404">
        <f>-710.240117773574 -61.6512440598617 -734.669924963607</f>
        <v>-1506.5612867970426</v>
      </c>
      <c r="P404">
        <f>-717.533889396096 -45.8576032127933 -418.626326075757</f>
        <v>-1182.0178186846463</v>
      </c>
      <c r="Q404">
        <f>-472.561620873477 -66.2385227409482 -333.683567671895</f>
        <v>-872.48371128632016</v>
      </c>
      <c r="R404" t="s">
        <v>8433</v>
      </c>
      <c r="S404" t="s">
        <v>8434</v>
      </c>
      <c r="T404" t="s">
        <v>8435</v>
      </c>
      <c r="U404" t="s">
        <v>8436</v>
      </c>
      <c r="V404" t="s">
        <v>8437</v>
      </c>
      <c r="W404" t="s">
        <v>8438</v>
      </c>
      <c r="X404" t="s">
        <v>8439</v>
      </c>
      <c r="Y404" t="s">
        <v>8440</v>
      </c>
    </row>
    <row r="405" spans="1:25" x14ac:dyDescent="0.3">
      <c r="A405">
        <v>20200</v>
      </c>
      <c r="B405" t="s">
        <v>8441</v>
      </c>
      <c r="C405" t="s">
        <v>8442</v>
      </c>
      <c r="D405" t="s">
        <v>8443</v>
      </c>
      <c r="E405" t="s">
        <v>8444</v>
      </c>
      <c r="F405" t="s">
        <v>8445</v>
      </c>
      <c r="G405" t="s">
        <v>8446</v>
      </c>
      <c r="H405" t="s">
        <v>8447</v>
      </c>
      <c r="I405" t="s">
        <v>8448</v>
      </c>
      <c r="J405" t="s">
        <v>8449</v>
      </c>
      <c r="K405" t="s">
        <v>8450</v>
      </c>
      <c r="L405" t="s">
        <v>8451</v>
      </c>
      <c r="M405" t="s">
        <v>8452</v>
      </c>
      <c r="N405" t="s">
        <v>8453</v>
      </c>
      <c r="O405">
        <f>-709.373195538686 -60.9813075682746 -735.502074673821</f>
        <v>-1505.8565777807817</v>
      </c>
      <c r="P405">
        <f>-717.962330388576 -46.3015600552783 -419.437336077154</f>
        <v>-1183.7012265210083</v>
      </c>
      <c r="Q405">
        <f>-473.134941198459 -65.2692605219981 -333.752807550129</f>
        <v>-872.15700927058606</v>
      </c>
      <c r="R405" t="s">
        <v>8454</v>
      </c>
      <c r="S405" t="s">
        <v>8455</v>
      </c>
      <c r="T405" t="s">
        <v>8456</v>
      </c>
      <c r="U405" t="s">
        <v>8457</v>
      </c>
      <c r="V405" t="s">
        <v>8458</v>
      </c>
      <c r="W405" t="s">
        <v>8459</v>
      </c>
      <c r="X405" t="s">
        <v>8460</v>
      </c>
      <c r="Y405" t="s">
        <v>8461</v>
      </c>
    </row>
    <row r="406" spans="1:25" x14ac:dyDescent="0.3">
      <c r="A406">
        <v>20250</v>
      </c>
      <c r="B406" t="s">
        <v>8462</v>
      </c>
      <c r="C406" t="s">
        <v>8463</v>
      </c>
      <c r="D406" t="s">
        <v>8464</v>
      </c>
      <c r="E406" t="s">
        <v>8465</v>
      </c>
      <c r="F406" t="s">
        <v>8466</v>
      </c>
      <c r="G406" t="s">
        <v>8467</v>
      </c>
      <c r="H406" t="s">
        <v>8468</v>
      </c>
      <c r="I406" t="s">
        <v>8469</v>
      </c>
      <c r="J406" t="s">
        <v>8470</v>
      </c>
      <c r="K406" t="s">
        <v>8471</v>
      </c>
      <c r="L406" t="s">
        <v>8472</v>
      </c>
      <c r="M406" t="s">
        <v>8473</v>
      </c>
      <c r="N406" t="s">
        <v>8474</v>
      </c>
      <c r="O406">
        <f>-708.377375413211 -59.522680400675 -737.186125970468</f>
        <v>-1505.0861817843538</v>
      </c>
      <c r="P406">
        <f>-718.860990838997 -47.2333435406367 -421.076618625952</f>
        <v>-1187.1709530055857</v>
      </c>
      <c r="Q406">
        <f>-474.278157106815 -63.8646445733857 -334.216203995926</f>
        <v>-872.35900567612669</v>
      </c>
      <c r="R406" t="s">
        <v>8475</v>
      </c>
      <c r="S406" t="s">
        <v>8476</v>
      </c>
      <c r="T406" t="s">
        <v>8477</v>
      </c>
      <c r="U406" t="s">
        <v>8478</v>
      </c>
      <c r="V406" t="s">
        <v>8479</v>
      </c>
      <c r="W406" t="s">
        <v>8480</v>
      </c>
      <c r="X406" t="s">
        <v>8481</v>
      </c>
      <c r="Y406" t="s">
        <v>8482</v>
      </c>
    </row>
    <row r="407" spans="1:25" x14ac:dyDescent="0.3">
      <c r="A407">
        <v>20300</v>
      </c>
      <c r="B407" t="s">
        <v>8483</v>
      </c>
      <c r="C407" t="s">
        <v>8484</v>
      </c>
      <c r="D407" t="s">
        <v>8485</v>
      </c>
      <c r="E407" t="s">
        <v>8486</v>
      </c>
      <c r="F407" t="s">
        <v>8487</v>
      </c>
      <c r="G407" t="s">
        <v>8488</v>
      </c>
      <c r="H407" t="s">
        <v>8489</v>
      </c>
      <c r="I407" t="s">
        <v>8490</v>
      </c>
      <c r="J407" t="s">
        <v>8491</v>
      </c>
      <c r="K407" t="s">
        <v>8492</v>
      </c>
      <c r="L407" t="s">
        <v>8493</v>
      </c>
      <c r="M407" t="s">
        <v>8494</v>
      </c>
      <c r="N407" t="s">
        <v>8495</v>
      </c>
      <c r="O407">
        <f>-707.895467010323 -58.4615465577808 -737.999588413233</f>
        <v>-1504.356601981337</v>
      </c>
      <c r="P407">
        <f>-718.991843715246 -47.5589441137965 -421.8601079243</f>
        <v>-1188.4108957533426</v>
      </c>
      <c r="Q407">
        <f>-474.479607973424 -63.4293511300582 -334.659643448772</f>
        <v>-872.56860255225411</v>
      </c>
      <c r="R407" t="s">
        <v>8496</v>
      </c>
      <c r="S407" t="s">
        <v>8497</v>
      </c>
      <c r="T407" t="s">
        <v>8498</v>
      </c>
      <c r="U407" t="s">
        <v>8499</v>
      </c>
      <c r="V407" t="s">
        <v>8500</v>
      </c>
      <c r="W407" t="s">
        <v>8501</v>
      </c>
      <c r="X407" t="s">
        <v>8502</v>
      </c>
      <c r="Y407" t="s">
        <v>8503</v>
      </c>
    </row>
    <row r="408" spans="1:25" x14ac:dyDescent="0.3">
      <c r="A408">
        <v>20350</v>
      </c>
      <c r="B408" t="s">
        <v>8504</v>
      </c>
      <c r="C408" t="s">
        <v>8505</v>
      </c>
      <c r="D408" t="s">
        <v>8506</v>
      </c>
      <c r="E408" t="s">
        <v>8507</v>
      </c>
      <c r="F408" t="s">
        <v>8508</v>
      </c>
      <c r="G408" t="s">
        <v>8509</v>
      </c>
      <c r="H408" t="s">
        <v>8510</v>
      </c>
      <c r="I408" t="s">
        <v>8511</v>
      </c>
      <c r="J408" t="s">
        <v>8512</v>
      </c>
      <c r="K408" t="s">
        <v>8513</v>
      </c>
      <c r="L408" t="s">
        <v>8514</v>
      </c>
      <c r="M408" t="s">
        <v>8515</v>
      </c>
      <c r="N408" t="s">
        <v>8516</v>
      </c>
      <c r="O408">
        <f>-707.353794508004 -56.6252816862229 -739.647177432956</f>
        <v>-1503.6262536271829</v>
      </c>
      <c r="P408">
        <f>-719.67798110063 -48.3308534489761 -423.473942907624</f>
        <v>-1191.48277745723</v>
      </c>
      <c r="Q408">
        <f>-475.226361253583 -63.2360012538816 -335.933512601187</f>
        <v>-874.39587510865158</v>
      </c>
      <c r="R408" t="s">
        <v>8517</v>
      </c>
      <c r="S408" t="s">
        <v>8518</v>
      </c>
      <c r="T408" t="s">
        <v>8519</v>
      </c>
      <c r="U408" t="s">
        <v>8520</v>
      </c>
      <c r="V408" t="s">
        <v>8521</v>
      </c>
      <c r="W408" t="s">
        <v>8522</v>
      </c>
      <c r="X408" t="s">
        <v>8523</v>
      </c>
      <c r="Y408" t="s">
        <v>8524</v>
      </c>
    </row>
    <row r="409" spans="1:25" x14ac:dyDescent="0.3">
      <c r="A409">
        <v>20400</v>
      </c>
      <c r="B409" t="s">
        <v>8525</v>
      </c>
      <c r="C409" t="s">
        <v>8526</v>
      </c>
      <c r="D409" t="s">
        <v>8527</v>
      </c>
      <c r="E409" t="s">
        <v>8528</v>
      </c>
      <c r="F409" t="s">
        <v>8529</v>
      </c>
      <c r="G409" t="s">
        <v>8530</v>
      </c>
      <c r="H409" t="s">
        <v>8531</v>
      </c>
      <c r="I409" t="s">
        <v>8532</v>
      </c>
      <c r="J409" t="s">
        <v>8533</v>
      </c>
      <c r="K409" t="s">
        <v>8534</v>
      </c>
      <c r="L409" t="s">
        <v>8535</v>
      </c>
      <c r="M409" t="s">
        <v>8536</v>
      </c>
      <c r="N409" t="s">
        <v>8537</v>
      </c>
      <c r="O409">
        <f>-707.30058830641 -55.4966362939117 -740.484451136392</f>
        <v>-1503.2816757367136</v>
      </c>
      <c r="P409">
        <f>-720.215606770327 -48.4965364477318 -424.303570192551</f>
        <v>-1193.0157134106098</v>
      </c>
      <c r="Q409">
        <f>-475.765072742574 -62.9766432375338 -336.689173134103</f>
        <v>-875.43088911421069</v>
      </c>
      <c r="R409" t="s">
        <v>8538</v>
      </c>
      <c r="S409" t="s">
        <v>8539</v>
      </c>
      <c r="T409" t="s">
        <v>8540</v>
      </c>
      <c r="U409" t="s">
        <v>8541</v>
      </c>
      <c r="V409" t="s">
        <v>8542</v>
      </c>
      <c r="W409" t="s">
        <v>8543</v>
      </c>
      <c r="X409" t="s">
        <v>8544</v>
      </c>
      <c r="Y409" t="s">
        <v>8545</v>
      </c>
    </row>
    <row r="410" spans="1:25" x14ac:dyDescent="0.3">
      <c r="A410">
        <v>20450</v>
      </c>
      <c r="B410" t="s">
        <v>8546</v>
      </c>
      <c r="C410" t="s">
        <v>8547</v>
      </c>
      <c r="D410" t="s">
        <v>8548</v>
      </c>
      <c r="E410" t="s">
        <v>8549</v>
      </c>
      <c r="F410" t="s">
        <v>8550</v>
      </c>
      <c r="G410" t="s">
        <v>8551</v>
      </c>
      <c r="H410" t="s">
        <v>8552</v>
      </c>
      <c r="I410" t="s">
        <v>8553</v>
      </c>
      <c r="J410" t="s">
        <v>8554</v>
      </c>
      <c r="K410" t="s">
        <v>8555</v>
      </c>
      <c r="L410" t="s">
        <v>8556</v>
      </c>
      <c r="M410" t="s">
        <v>8557</v>
      </c>
      <c r="N410" t="s">
        <v>8558</v>
      </c>
      <c r="O410">
        <f>-707.41410227354 -52.7772675106423 -742.043345302997</f>
        <v>-1502.2347150871792</v>
      </c>
      <c r="P410">
        <f>-721.34864724414 -48.9016774209065 -425.851973761665</f>
        <v>-1196.1022984267115</v>
      </c>
      <c r="Q410">
        <f>-476.869992320624 -62.8071087365952 -338.22265402921</f>
        <v>-877.8997550864292</v>
      </c>
      <c r="R410" t="s">
        <v>8559</v>
      </c>
      <c r="S410" t="s">
        <v>8560</v>
      </c>
      <c r="T410" t="s">
        <v>8561</v>
      </c>
      <c r="U410" t="s">
        <v>8562</v>
      </c>
      <c r="V410" t="s">
        <v>8563</v>
      </c>
      <c r="W410" t="s">
        <v>8564</v>
      </c>
      <c r="X410" t="s">
        <v>8565</v>
      </c>
      <c r="Y410" t="s">
        <v>8566</v>
      </c>
    </row>
    <row r="411" spans="1:25" x14ac:dyDescent="0.3">
      <c r="A411">
        <v>20500</v>
      </c>
      <c r="B411" t="s">
        <v>8567</v>
      </c>
      <c r="C411" t="s">
        <v>8568</v>
      </c>
      <c r="D411" t="s">
        <v>8569</v>
      </c>
      <c r="E411" t="s">
        <v>8570</v>
      </c>
      <c r="F411" t="s">
        <v>8571</v>
      </c>
      <c r="G411" t="s">
        <v>8572</v>
      </c>
      <c r="H411" t="s">
        <v>8573</v>
      </c>
      <c r="I411" t="s">
        <v>8574</v>
      </c>
      <c r="J411" t="s">
        <v>8575</v>
      </c>
      <c r="K411" t="s">
        <v>8576</v>
      </c>
      <c r="L411" t="s">
        <v>8577</v>
      </c>
      <c r="M411" t="s">
        <v>8578</v>
      </c>
      <c r="N411" t="s">
        <v>8579</v>
      </c>
      <c r="O411">
        <f>-707.250315645226 -51.5817127720552 -742.852027822039</f>
        <v>-1501.6840562393202</v>
      </c>
      <c r="P411">
        <f>-721.714615062047 -49.1608284653762 -426.670044791343</f>
        <v>-1197.5454883187663</v>
      </c>
      <c r="Q411">
        <f>-477.263520826215 -63.093329674927 -338.968480474452</f>
        <v>-879.32533097559394</v>
      </c>
      <c r="R411" t="s">
        <v>8580</v>
      </c>
      <c r="S411" t="s">
        <v>8581</v>
      </c>
      <c r="T411" t="s">
        <v>8582</v>
      </c>
      <c r="U411" t="s">
        <v>8583</v>
      </c>
      <c r="V411" t="s">
        <v>8584</v>
      </c>
      <c r="W411" t="s">
        <v>8585</v>
      </c>
      <c r="X411" t="s">
        <v>8586</v>
      </c>
      <c r="Y411" t="s">
        <v>8587</v>
      </c>
    </row>
    <row r="412" spans="1:25" x14ac:dyDescent="0.3">
      <c r="A412">
        <v>20550</v>
      </c>
      <c r="B412" t="s">
        <v>8588</v>
      </c>
      <c r="C412" t="s">
        <v>8589</v>
      </c>
      <c r="D412" t="s">
        <v>8590</v>
      </c>
      <c r="E412" t="s">
        <v>8591</v>
      </c>
      <c r="F412" t="s">
        <v>8592</v>
      </c>
      <c r="G412" t="s">
        <v>8593</v>
      </c>
      <c r="H412" t="s">
        <v>8594</v>
      </c>
      <c r="I412" t="s">
        <v>8595</v>
      </c>
      <c r="J412" t="s">
        <v>8596</v>
      </c>
      <c r="K412" t="s">
        <v>8597</v>
      </c>
      <c r="L412" t="s">
        <v>8598</v>
      </c>
      <c r="M412" t="s">
        <v>8599</v>
      </c>
      <c r="N412" t="s">
        <v>8600</v>
      </c>
      <c r="O412">
        <f>-707.156145074506 -49.5330895107822 -744.781543665207</f>
        <v>-1501.4707782504952</v>
      </c>
      <c r="P412">
        <f>-722.944766780995 -49.7495119723387 -428.653481075836</f>
        <v>-1201.3477598291697</v>
      </c>
      <c r="Q412">
        <f>-478.691296584039 -63.9708830920576 -340.448745973004</f>
        <v>-883.11092564910064</v>
      </c>
      <c r="R412" t="s">
        <v>8601</v>
      </c>
      <c r="S412" t="s">
        <v>8602</v>
      </c>
      <c r="T412" t="s">
        <v>8603</v>
      </c>
      <c r="U412" t="s">
        <v>8604</v>
      </c>
      <c r="V412" t="s">
        <v>8605</v>
      </c>
      <c r="W412" t="s">
        <v>8606</v>
      </c>
      <c r="X412" t="s">
        <v>8607</v>
      </c>
      <c r="Y412" t="s">
        <v>8608</v>
      </c>
    </row>
    <row r="413" spans="1:25" x14ac:dyDescent="0.3">
      <c r="A413">
        <v>20600</v>
      </c>
      <c r="B413" t="s">
        <v>8609</v>
      </c>
      <c r="C413" t="s">
        <v>8610</v>
      </c>
      <c r="D413" t="s">
        <v>8611</v>
      </c>
      <c r="E413" t="s">
        <v>8612</v>
      </c>
      <c r="F413" t="s">
        <v>8613</v>
      </c>
      <c r="G413" t="s">
        <v>8614</v>
      </c>
      <c r="H413" t="s">
        <v>8615</v>
      </c>
      <c r="I413" t="s">
        <v>8616</v>
      </c>
      <c r="J413" t="s">
        <v>8617</v>
      </c>
      <c r="K413" t="s">
        <v>8618</v>
      </c>
      <c r="L413" t="s">
        <v>8619</v>
      </c>
      <c r="M413" t="s">
        <v>8620</v>
      </c>
      <c r="N413" t="s">
        <v>8621</v>
      </c>
      <c r="O413">
        <f>-707.325229422382 -48.3168477322984 -745.798537225015</f>
        <v>-1501.4406143796955</v>
      </c>
      <c r="P413">
        <f>-723.717559766438 -49.9646528585729 -429.70558349538</f>
        <v>-1203.3877961203907</v>
      </c>
      <c r="Q413">
        <f>-479.605135087586 -64.5563377652154 -341.171652345984</f>
        <v>-885.33312519878541</v>
      </c>
      <c r="R413" t="s">
        <v>8622</v>
      </c>
      <c r="S413" t="s">
        <v>8623</v>
      </c>
      <c r="T413" t="s">
        <v>8624</v>
      </c>
      <c r="U413" t="s">
        <v>8625</v>
      </c>
      <c r="V413" t="s">
        <v>8626</v>
      </c>
      <c r="W413" t="s">
        <v>8627</v>
      </c>
      <c r="X413" t="s">
        <v>8628</v>
      </c>
      <c r="Y413" t="s">
        <v>8629</v>
      </c>
    </row>
    <row r="414" spans="1:25" x14ac:dyDescent="0.3">
      <c r="A414">
        <v>20650</v>
      </c>
      <c r="B414" t="s">
        <v>8630</v>
      </c>
      <c r="C414" t="s">
        <v>8631</v>
      </c>
      <c r="D414" t="s">
        <v>8632</v>
      </c>
      <c r="E414" t="s">
        <v>8633</v>
      </c>
      <c r="F414" t="s">
        <v>8634</v>
      </c>
      <c r="G414" t="s">
        <v>8635</v>
      </c>
      <c r="H414" t="s">
        <v>8636</v>
      </c>
      <c r="I414" t="s">
        <v>8637</v>
      </c>
      <c r="J414" t="s">
        <v>8638</v>
      </c>
      <c r="K414" t="s">
        <v>8639</v>
      </c>
      <c r="L414" t="s">
        <v>8640</v>
      </c>
      <c r="M414" t="s">
        <v>8641</v>
      </c>
      <c r="N414" t="s">
        <v>8642</v>
      </c>
      <c r="O414">
        <f>-707.365476632809 -45.9828130908195 -747.733622590475</f>
        <v>-1501.0819123141034</v>
      </c>
      <c r="P414">
        <f>-725.026083977466 -50.680978579056 -431.739612918145</f>
        <v>-1207.446675474667</v>
      </c>
      <c r="Q414">
        <f>-481.180492401938 -66.7626346247596 -342.729662434376</f>
        <v>-890.67278946107365</v>
      </c>
      <c r="R414" t="s">
        <v>8643</v>
      </c>
      <c r="S414" t="s">
        <v>8644</v>
      </c>
      <c r="T414" t="s">
        <v>8645</v>
      </c>
      <c r="U414" t="s">
        <v>8646</v>
      </c>
      <c r="V414" t="s">
        <v>8647</v>
      </c>
      <c r="W414" t="s">
        <v>8648</v>
      </c>
      <c r="X414" t="s">
        <v>8649</v>
      </c>
      <c r="Y414" t="s">
        <v>8650</v>
      </c>
    </row>
    <row r="415" spans="1:25" x14ac:dyDescent="0.3">
      <c r="A415">
        <v>20700</v>
      </c>
      <c r="B415" t="s">
        <v>8651</v>
      </c>
      <c r="C415" t="s">
        <v>8652</v>
      </c>
      <c r="D415" t="s">
        <v>8653</v>
      </c>
      <c r="E415" t="s">
        <v>8654</v>
      </c>
      <c r="F415" t="s">
        <v>8655</v>
      </c>
      <c r="G415" t="s">
        <v>8656</v>
      </c>
      <c r="H415" t="s">
        <v>8657</v>
      </c>
      <c r="I415" t="s">
        <v>8658</v>
      </c>
      <c r="J415" t="s">
        <v>8659</v>
      </c>
      <c r="K415" t="s">
        <v>8660</v>
      </c>
      <c r="L415" t="s">
        <v>8661</v>
      </c>
      <c r="M415" t="s">
        <v>8662</v>
      </c>
      <c r="N415" t="s">
        <v>8663</v>
      </c>
      <c r="O415">
        <f>-707.555178764661 -44.9511422590938 -748.624308401299</f>
        <v>-1501.1306294250539</v>
      </c>
      <c r="P415">
        <f>-725.855824476477 -50.9901632973363 -432.689440343531</f>
        <v>-1209.5354281173443</v>
      </c>
      <c r="Q415">
        <f>-482.12192057246 -67.8665404238416 -343.521176140216</f>
        <v>-893.50963713651754</v>
      </c>
      <c r="R415" t="s">
        <v>8664</v>
      </c>
      <c r="S415" t="s">
        <v>8665</v>
      </c>
      <c r="T415" t="s">
        <v>8666</v>
      </c>
      <c r="U415" t="s">
        <v>8667</v>
      </c>
      <c r="V415" t="s">
        <v>8668</v>
      </c>
      <c r="W415" t="s">
        <v>8669</v>
      </c>
      <c r="X415" t="s">
        <v>8670</v>
      </c>
      <c r="Y415" t="s">
        <v>8671</v>
      </c>
    </row>
    <row r="416" spans="1:25" x14ac:dyDescent="0.3">
      <c r="A416">
        <v>20750</v>
      </c>
      <c r="B416" t="s">
        <v>8672</v>
      </c>
      <c r="C416" t="s">
        <v>8673</v>
      </c>
      <c r="D416" t="s">
        <v>8674</v>
      </c>
      <c r="E416" t="s">
        <v>8675</v>
      </c>
      <c r="F416" t="s">
        <v>8676</v>
      </c>
      <c r="G416" t="s">
        <v>8677</v>
      </c>
      <c r="H416" t="s">
        <v>8678</v>
      </c>
      <c r="I416" t="s">
        <v>8679</v>
      </c>
      <c r="J416" t="s">
        <v>8680</v>
      </c>
      <c r="K416" t="s">
        <v>8681</v>
      </c>
      <c r="L416" t="s">
        <v>8682</v>
      </c>
      <c r="M416" t="s">
        <v>8683</v>
      </c>
      <c r="N416" t="s">
        <v>8684</v>
      </c>
      <c r="O416">
        <f>-707.115374483307 -43.242898384354 -750.220616494912</f>
        <v>-1500.5788893625731</v>
      </c>
      <c r="P416">
        <f>-726.679825171356 -51.9751397833395 -434.424479166604</f>
        <v>-1213.0794441212995</v>
      </c>
      <c r="Q416">
        <f>-483.225105232923 -70.1100483847888 -344.7421618817</f>
        <v>-898.07731549941172</v>
      </c>
      <c r="R416" t="s">
        <v>8685</v>
      </c>
      <c r="S416" t="s">
        <v>8686</v>
      </c>
      <c r="T416" t="s">
        <v>8687</v>
      </c>
      <c r="U416" t="s">
        <v>8688</v>
      </c>
      <c r="V416" t="s">
        <v>8689</v>
      </c>
      <c r="W416" t="s">
        <v>8690</v>
      </c>
      <c r="X416" t="s">
        <v>8691</v>
      </c>
      <c r="Y416" t="s">
        <v>8692</v>
      </c>
    </row>
    <row r="417" spans="1:25" x14ac:dyDescent="0.3">
      <c r="A417">
        <v>20800</v>
      </c>
      <c r="B417" t="s">
        <v>8693</v>
      </c>
      <c r="C417" t="s">
        <v>8694</v>
      </c>
      <c r="D417" t="s">
        <v>8695</v>
      </c>
      <c r="E417" t="s">
        <v>8696</v>
      </c>
      <c r="F417" t="s">
        <v>8697</v>
      </c>
      <c r="G417" t="s">
        <v>8698</v>
      </c>
      <c r="H417" t="s">
        <v>8699</v>
      </c>
      <c r="I417" t="s">
        <v>8700</v>
      </c>
      <c r="J417" t="s">
        <v>8701</v>
      </c>
      <c r="K417" t="s">
        <v>8702</v>
      </c>
      <c r="L417" t="s">
        <v>8703</v>
      </c>
      <c r="M417" t="s">
        <v>8704</v>
      </c>
      <c r="N417" t="s">
        <v>8705</v>
      </c>
      <c r="O417">
        <f>-707.122905721704 -42.4809236075062 -750.920603505818</f>
        <v>-1500.5244328350282</v>
      </c>
      <c r="P417">
        <f>-727.301578141217 -52.0110019596427 -435.186281142291</f>
        <v>-1214.4988612431507</v>
      </c>
      <c r="Q417">
        <f>-484.017917584192 -70.7140230568523 -345.156550052139</f>
        <v>-899.88849069318326</v>
      </c>
      <c r="R417" t="s">
        <v>8706</v>
      </c>
      <c r="S417" t="s">
        <v>8707</v>
      </c>
      <c r="T417" t="s">
        <v>8708</v>
      </c>
      <c r="U417" t="s">
        <v>8709</v>
      </c>
      <c r="V417" t="s">
        <v>8710</v>
      </c>
      <c r="W417" t="s">
        <v>8711</v>
      </c>
      <c r="X417" t="s">
        <v>8712</v>
      </c>
      <c r="Y417" t="s">
        <v>8713</v>
      </c>
    </row>
    <row r="418" spans="1:25" x14ac:dyDescent="0.3">
      <c r="A418">
        <v>20850</v>
      </c>
      <c r="B418" t="s">
        <v>8714</v>
      </c>
      <c r="C418" t="s">
        <v>8715</v>
      </c>
      <c r="D418" t="s">
        <v>8716</v>
      </c>
      <c r="E418" t="s">
        <v>8717</v>
      </c>
      <c r="F418" t="s">
        <v>8718</v>
      </c>
      <c r="G418" t="s">
        <v>8719</v>
      </c>
      <c r="H418" t="s">
        <v>8720</v>
      </c>
      <c r="I418" t="s">
        <v>8721</v>
      </c>
      <c r="J418" t="s">
        <v>8722</v>
      </c>
      <c r="K418" t="s">
        <v>8723</v>
      </c>
      <c r="L418" t="s">
        <v>8724</v>
      </c>
      <c r="M418" t="s">
        <v>8725</v>
      </c>
      <c r="N418" t="s">
        <v>8726</v>
      </c>
      <c r="O418">
        <f>-706.58078318398 -41.581618228 -752.070783381315</f>
        <v>-1500.2331847932951</v>
      </c>
      <c r="P418">
        <f>-727.582169109973 -52.7953393425112 -436.44536297003</f>
        <v>-1216.8228714225143</v>
      </c>
      <c r="Q418">
        <f>-484.56892771273 -72.2326327701321 -345.842840863174</f>
        <v>-902.64440134603615</v>
      </c>
      <c r="R418" t="s">
        <v>8727</v>
      </c>
      <c r="S418" t="s">
        <v>8728</v>
      </c>
      <c r="T418" t="s">
        <v>8729</v>
      </c>
      <c r="U418" t="s">
        <v>8730</v>
      </c>
      <c r="V418" t="s">
        <v>8731</v>
      </c>
      <c r="W418" t="s">
        <v>8732</v>
      </c>
      <c r="X418" t="s">
        <v>8733</v>
      </c>
      <c r="Y418" t="s">
        <v>8734</v>
      </c>
    </row>
    <row r="419" spans="1:25" x14ac:dyDescent="0.3">
      <c r="A419">
        <v>20900</v>
      </c>
      <c r="B419" t="s">
        <v>8735</v>
      </c>
      <c r="C419" t="s">
        <v>8736</v>
      </c>
      <c r="D419" t="s">
        <v>8737</v>
      </c>
      <c r="E419" t="s">
        <v>8738</v>
      </c>
      <c r="F419" t="s">
        <v>8739</v>
      </c>
      <c r="G419" t="s">
        <v>8740</v>
      </c>
      <c r="H419" t="s">
        <v>8741</v>
      </c>
      <c r="I419" t="s">
        <v>8742</v>
      </c>
      <c r="J419" t="s">
        <v>8743</v>
      </c>
      <c r="K419" t="s">
        <v>8744</v>
      </c>
      <c r="L419" t="s">
        <v>8745</v>
      </c>
      <c r="M419" t="s">
        <v>8746</v>
      </c>
      <c r="N419" t="s">
        <v>8747</v>
      </c>
      <c r="O419">
        <f>-706.451275994116 -41.4151075143816 -752.529488966926</f>
        <v>-1500.3958724754236</v>
      </c>
      <c r="P419">
        <f>-727.845321877982 -53.0167952420381 -436.944533306328</f>
        <v>-1217.8066504263481</v>
      </c>
      <c r="Q419">
        <f>-484.910960112055 -72.6821546847241 -346.179983457124</f>
        <v>-903.77309825390307</v>
      </c>
      <c r="R419" t="s">
        <v>8748</v>
      </c>
      <c r="S419" t="s">
        <v>8749</v>
      </c>
      <c r="T419" t="s">
        <v>8750</v>
      </c>
      <c r="U419" t="s">
        <v>8751</v>
      </c>
      <c r="V419" t="s">
        <v>8752</v>
      </c>
      <c r="W419" t="s">
        <v>8753</v>
      </c>
      <c r="X419" t="s">
        <v>8754</v>
      </c>
      <c r="Y419" t="s">
        <v>8755</v>
      </c>
    </row>
    <row r="420" spans="1:25" x14ac:dyDescent="0.3">
      <c r="A420">
        <v>20950</v>
      </c>
      <c r="B420" t="s">
        <v>8756</v>
      </c>
      <c r="C420" t="s">
        <v>8757</v>
      </c>
      <c r="D420" t="s">
        <v>8758</v>
      </c>
      <c r="E420" t="s">
        <v>8759</v>
      </c>
      <c r="F420" t="s">
        <v>8760</v>
      </c>
      <c r="G420" t="s">
        <v>8761</v>
      </c>
      <c r="H420" t="s">
        <v>8762</v>
      </c>
      <c r="I420" t="s">
        <v>8763</v>
      </c>
      <c r="J420" t="s">
        <v>8764</v>
      </c>
      <c r="K420" t="s">
        <v>8765</v>
      </c>
      <c r="L420" t="s">
        <v>8766</v>
      </c>
      <c r="M420" t="s">
        <v>8767</v>
      </c>
      <c r="N420" t="s">
        <v>8768</v>
      </c>
      <c r="O420">
        <f>-706.031975245548 -41.3737826258398 -753.220688833843</f>
        <v>-1500.6264467052308</v>
      </c>
      <c r="P420">
        <f>-728.028405953426 -53.9089964554166 -437.712732088967</f>
        <v>-1219.6501344978096</v>
      </c>
      <c r="Q420">
        <f>-485.1692916014 -73.790428812566 -346.793905063674</f>
        <v>-905.75362547764007</v>
      </c>
      <c r="R420" t="s">
        <v>8769</v>
      </c>
      <c r="S420" t="s">
        <v>8770</v>
      </c>
      <c r="T420" t="s">
        <v>8771</v>
      </c>
      <c r="U420" t="s">
        <v>8772</v>
      </c>
      <c r="V420" t="s">
        <v>8773</v>
      </c>
      <c r="W420" t="s">
        <v>8774</v>
      </c>
      <c r="X420" t="s">
        <v>8775</v>
      </c>
      <c r="Y420" t="s">
        <v>8776</v>
      </c>
    </row>
    <row r="421" spans="1:25" x14ac:dyDescent="0.3">
      <c r="A421">
        <v>21000</v>
      </c>
      <c r="B421" t="s">
        <v>8777</v>
      </c>
      <c r="C421" t="s">
        <v>8778</v>
      </c>
      <c r="D421" t="s">
        <v>8779</v>
      </c>
      <c r="E421" t="s">
        <v>8780</v>
      </c>
      <c r="F421" t="s">
        <v>8781</v>
      </c>
      <c r="G421" t="s">
        <v>8782</v>
      </c>
      <c r="H421" t="s">
        <v>8783</v>
      </c>
      <c r="I421" t="s">
        <v>8784</v>
      </c>
      <c r="J421" t="s">
        <v>8785</v>
      </c>
      <c r="K421" t="s">
        <v>8786</v>
      </c>
      <c r="L421" t="s">
        <v>8787</v>
      </c>
      <c r="M421" t="s">
        <v>8788</v>
      </c>
      <c r="N421" t="s">
        <v>8789</v>
      </c>
      <c r="O421">
        <f>-705.825307018551 -41.3369175549392 -753.475371870398</f>
        <v>-1500.6375964438882</v>
      </c>
      <c r="P421">
        <f>-727.964022576616 -54.1677350399705 -437.989437727317</f>
        <v>-1220.1211953439035</v>
      </c>
      <c r="Q421">
        <f>-485.107770741573 -74.1589394161847 -347.086891162223</f>
        <v>-906.35360131998073</v>
      </c>
      <c r="R421" t="s">
        <v>8790</v>
      </c>
      <c r="S421" t="s">
        <v>8791</v>
      </c>
      <c r="T421" t="s">
        <v>8792</v>
      </c>
      <c r="U421" t="s">
        <v>8793</v>
      </c>
      <c r="V421" t="s">
        <v>8794</v>
      </c>
      <c r="W421" t="s">
        <v>8795</v>
      </c>
      <c r="X421" t="s">
        <v>8796</v>
      </c>
      <c r="Y421" t="s">
        <v>8797</v>
      </c>
    </row>
    <row r="422" spans="1:25" x14ac:dyDescent="0.3">
      <c r="A422">
        <v>21050</v>
      </c>
      <c r="B422" t="s">
        <v>8798</v>
      </c>
      <c r="C422" t="s">
        <v>8799</v>
      </c>
      <c r="D422" t="s">
        <v>8800</v>
      </c>
      <c r="E422" t="s">
        <v>8801</v>
      </c>
      <c r="F422" t="s">
        <v>8802</v>
      </c>
      <c r="G422" t="s">
        <v>8803</v>
      </c>
      <c r="H422" t="s">
        <v>8804</v>
      </c>
      <c r="I422" t="s">
        <v>8805</v>
      </c>
      <c r="J422" t="s">
        <v>8806</v>
      </c>
      <c r="K422" t="s">
        <v>8807</v>
      </c>
      <c r="L422" t="s">
        <v>8808</v>
      </c>
      <c r="M422" t="s">
        <v>8809</v>
      </c>
      <c r="N422" t="s">
        <v>8810</v>
      </c>
      <c r="O422">
        <f>-705.432781044217 -41.3519103205902 -753.867361105933</f>
        <v>-1500.6520524707403</v>
      </c>
      <c r="P422">
        <f>-727.607933584885 -54.8239837184244 -438.410683770919</f>
        <v>-1220.8426010742285</v>
      </c>
      <c r="Q422">
        <f>-484.754416041606 -74.9149518075774 -347.522833753979</f>
        <v>-907.1922016031624</v>
      </c>
      <c r="R422" t="s">
        <v>8811</v>
      </c>
      <c r="S422" t="s">
        <v>8812</v>
      </c>
      <c r="T422" t="s">
        <v>8813</v>
      </c>
      <c r="U422" t="s">
        <v>8814</v>
      </c>
      <c r="V422" t="s">
        <v>8815</v>
      </c>
      <c r="W422" t="s">
        <v>8816</v>
      </c>
      <c r="X422" t="s">
        <v>8817</v>
      </c>
      <c r="Y422" t="s">
        <v>8818</v>
      </c>
    </row>
    <row r="423" spans="1:25" x14ac:dyDescent="0.3">
      <c r="A423">
        <v>21100</v>
      </c>
      <c r="B423" t="s">
        <v>8819</v>
      </c>
      <c r="C423" t="s">
        <v>8820</v>
      </c>
      <c r="D423" t="s">
        <v>8821</v>
      </c>
      <c r="E423" t="s">
        <v>8822</v>
      </c>
      <c r="F423" t="s">
        <v>8823</v>
      </c>
      <c r="G423" t="s">
        <v>8824</v>
      </c>
      <c r="H423" t="s">
        <v>8825</v>
      </c>
      <c r="I423" t="s">
        <v>8826</v>
      </c>
      <c r="J423" t="s">
        <v>8827</v>
      </c>
      <c r="K423" t="s">
        <v>8828</v>
      </c>
      <c r="L423" t="s">
        <v>8829</v>
      </c>
      <c r="M423" t="s">
        <v>8830</v>
      </c>
      <c r="N423" t="s">
        <v>8831</v>
      </c>
      <c r="O423">
        <f>-705.114253171307 -41.3197579395437 -754.034446241732</f>
        <v>-1500.4684573525828</v>
      </c>
      <c r="P423">
        <f>-727.299035517313 -55.1312168203331 -438.593094776233</f>
        <v>-1221.023347113879</v>
      </c>
      <c r="Q423">
        <f>-484.421941958934 -75.0431795735699 -347.728887833856</f>
        <v>-907.19400936635986</v>
      </c>
      <c r="R423" t="s">
        <v>8832</v>
      </c>
      <c r="S423" t="s">
        <v>8833</v>
      </c>
      <c r="T423" t="s">
        <v>8834</v>
      </c>
      <c r="U423" t="s">
        <v>8835</v>
      </c>
      <c r="V423" t="s">
        <v>8836</v>
      </c>
      <c r="W423" t="s">
        <v>8837</v>
      </c>
      <c r="X423" t="s">
        <v>8838</v>
      </c>
      <c r="Y423" t="s">
        <v>8839</v>
      </c>
    </row>
    <row r="424" spans="1:25" x14ac:dyDescent="0.3">
      <c r="A424">
        <v>21150</v>
      </c>
      <c r="B424" t="s">
        <v>8840</v>
      </c>
      <c r="C424" t="s">
        <v>8841</v>
      </c>
      <c r="D424" t="s">
        <v>8842</v>
      </c>
      <c r="E424" t="s">
        <v>8843</v>
      </c>
      <c r="F424" t="s">
        <v>8844</v>
      </c>
      <c r="G424" t="s">
        <v>8845</v>
      </c>
      <c r="H424" t="s">
        <v>8846</v>
      </c>
      <c r="I424" t="s">
        <v>8847</v>
      </c>
      <c r="J424" t="s">
        <v>8848</v>
      </c>
      <c r="K424" t="s">
        <v>8849</v>
      </c>
      <c r="L424" t="s">
        <v>8850</v>
      </c>
      <c r="M424" t="s">
        <v>8851</v>
      </c>
      <c r="N424" t="s">
        <v>8852</v>
      </c>
      <c r="O424">
        <f>-704.350935120261 -41.6484202382258 -754.304666100889</f>
        <v>-1500.3040214593757</v>
      </c>
      <c r="P424">
        <f>-726.656423607207 -55.732516402292 -438.883841743929</f>
        <v>-1221.272781753428</v>
      </c>
      <c r="Q424">
        <f>-483.762835382921 -75.2434432675257 -347.976852532689</f>
        <v>-906.9831311831357</v>
      </c>
      <c r="R424" t="s">
        <v>8853</v>
      </c>
      <c r="S424" t="s">
        <v>8854</v>
      </c>
      <c r="T424" t="s">
        <v>8855</v>
      </c>
      <c r="U424" t="s">
        <v>8856</v>
      </c>
      <c r="V424" t="s">
        <v>8857</v>
      </c>
      <c r="W424" t="s">
        <v>8858</v>
      </c>
      <c r="X424" t="s">
        <v>8859</v>
      </c>
      <c r="Y424" t="s">
        <v>8860</v>
      </c>
    </row>
    <row r="425" spans="1:25" x14ac:dyDescent="0.3">
      <c r="A425">
        <v>21200</v>
      </c>
      <c r="B425" t="s">
        <v>8861</v>
      </c>
      <c r="C425" t="s">
        <v>8862</v>
      </c>
      <c r="D425" t="s">
        <v>8863</v>
      </c>
      <c r="E425" t="s">
        <v>8864</v>
      </c>
      <c r="F425" t="s">
        <v>8865</v>
      </c>
      <c r="G425" t="s">
        <v>8866</v>
      </c>
      <c r="H425" t="s">
        <v>8867</v>
      </c>
      <c r="I425" t="s">
        <v>8868</v>
      </c>
      <c r="J425" t="s">
        <v>8869</v>
      </c>
      <c r="K425" t="s">
        <v>8870</v>
      </c>
      <c r="L425" t="s">
        <v>8871</v>
      </c>
      <c r="M425" t="s">
        <v>8872</v>
      </c>
      <c r="N425" t="s">
        <v>8873</v>
      </c>
      <c r="O425">
        <f>-704.049131971601 -41.8280831197346 -754.415779499192</f>
        <v>-1500.2929945905275</v>
      </c>
      <c r="P425">
        <f>-726.360585330474 -56.111974372873 -439.004408833837</f>
        <v>-1221.4769685371839</v>
      </c>
      <c r="Q425">
        <f>-483.454984045371 -75.3800070038967 -348.077744385978</f>
        <v>-906.91273543524574</v>
      </c>
      <c r="R425" t="s">
        <v>8874</v>
      </c>
      <c r="S425" t="s">
        <v>8875</v>
      </c>
      <c r="T425" t="s">
        <v>8876</v>
      </c>
      <c r="U425" t="s">
        <v>8877</v>
      </c>
      <c r="V425" t="s">
        <v>8878</v>
      </c>
      <c r="W425" t="s">
        <v>8879</v>
      </c>
      <c r="X425" t="s">
        <v>8880</v>
      </c>
      <c r="Y425" t="s">
        <v>8881</v>
      </c>
    </row>
    <row r="426" spans="1:25" x14ac:dyDescent="0.3">
      <c r="A426">
        <v>21250</v>
      </c>
      <c r="B426" t="s">
        <v>8882</v>
      </c>
      <c r="C426" t="s">
        <v>8883</v>
      </c>
      <c r="D426" t="s">
        <v>8884</v>
      </c>
      <c r="E426" t="s">
        <v>8885</v>
      </c>
      <c r="F426" t="s">
        <v>8886</v>
      </c>
      <c r="G426" t="s">
        <v>8887</v>
      </c>
      <c r="H426" t="s">
        <v>8888</v>
      </c>
      <c r="I426" t="s">
        <v>8889</v>
      </c>
      <c r="J426" t="s">
        <v>8890</v>
      </c>
      <c r="K426" t="s">
        <v>8891</v>
      </c>
      <c r="L426" t="s">
        <v>8892</v>
      </c>
      <c r="M426" t="s">
        <v>8893</v>
      </c>
      <c r="N426" t="s">
        <v>8894</v>
      </c>
      <c r="O426">
        <f>-703.180123280395 -42.1005906676139 -754.661006747538</f>
        <v>-1499.9417206955468</v>
      </c>
      <c r="P426">
        <f>-725.603078100617 -56.4860632732536 -439.262198199472</f>
        <v>-1221.3513395733426</v>
      </c>
      <c r="Q426">
        <f>-482.71122542172 -75.3746405916625 -348.219325356949</f>
        <v>-906.30519137033139</v>
      </c>
      <c r="R426" t="s">
        <v>8895</v>
      </c>
      <c r="S426" t="s">
        <v>8896</v>
      </c>
      <c r="T426" t="s">
        <v>8897</v>
      </c>
      <c r="U426" t="s">
        <v>8898</v>
      </c>
      <c r="V426" t="s">
        <v>8899</v>
      </c>
      <c r="W426" t="s">
        <v>8900</v>
      </c>
      <c r="X426" t="s">
        <v>8901</v>
      </c>
      <c r="Y426" t="s">
        <v>8902</v>
      </c>
    </row>
    <row r="427" spans="1:25" x14ac:dyDescent="0.3">
      <c r="A427">
        <v>21300</v>
      </c>
      <c r="B427" t="s">
        <v>8903</v>
      </c>
      <c r="C427" t="s">
        <v>8904</v>
      </c>
      <c r="D427" t="s">
        <v>8905</v>
      </c>
      <c r="E427" t="s">
        <v>8906</v>
      </c>
      <c r="F427" t="s">
        <v>8907</v>
      </c>
      <c r="G427" t="s">
        <v>8908</v>
      </c>
      <c r="H427" t="s">
        <v>8909</v>
      </c>
      <c r="I427" t="s">
        <v>8910</v>
      </c>
      <c r="J427" t="s">
        <v>8911</v>
      </c>
      <c r="K427" t="s">
        <v>8912</v>
      </c>
      <c r="L427" t="s">
        <v>8913</v>
      </c>
      <c r="M427" t="s">
        <v>8914</v>
      </c>
      <c r="N427" t="s">
        <v>8915</v>
      </c>
      <c r="O427">
        <f>-702.988903814372 -42.1095988087029 -754.755927680118</f>
        <v>-1499.8544303031929</v>
      </c>
      <c r="P427">
        <f>-725.45683847277 -56.647491804237 -439.367221333066</f>
        <v>-1221.471551610073</v>
      </c>
      <c r="Q427">
        <f>-482.552047504791 -75.2698667775346 -348.303930593353</f>
        <v>-906.12584487567858</v>
      </c>
      <c r="R427" t="s">
        <v>8916</v>
      </c>
      <c r="S427" t="s">
        <v>8917</v>
      </c>
      <c r="T427" t="s">
        <v>8918</v>
      </c>
      <c r="U427" t="s">
        <v>8919</v>
      </c>
      <c r="V427" t="s">
        <v>8920</v>
      </c>
      <c r="W427" t="s">
        <v>8921</v>
      </c>
      <c r="X427" t="s">
        <v>8922</v>
      </c>
      <c r="Y427" t="s">
        <v>8923</v>
      </c>
    </row>
    <row r="428" spans="1:25" x14ac:dyDescent="0.3">
      <c r="A428">
        <v>21350</v>
      </c>
      <c r="B428" t="s">
        <v>8924</v>
      </c>
      <c r="C428" t="s">
        <v>8925</v>
      </c>
      <c r="D428" t="s">
        <v>8926</v>
      </c>
      <c r="E428" t="s">
        <v>8927</v>
      </c>
      <c r="F428" t="s">
        <v>8928</v>
      </c>
      <c r="G428" t="s">
        <v>8929</v>
      </c>
      <c r="H428" t="s">
        <v>8930</v>
      </c>
      <c r="I428" t="s">
        <v>8931</v>
      </c>
      <c r="J428" t="s">
        <v>8932</v>
      </c>
      <c r="K428" t="s">
        <v>8933</v>
      </c>
      <c r="L428" t="s">
        <v>8934</v>
      </c>
      <c r="M428" t="s">
        <v>8935</v>
      </c>
      <c r="N428" t="s">
        <v>8936</v>
      </c>
      <c r="O428">
        <f>-702.521101638337 -42.1140337652046 -754.888359862735</f>
        <v>-1499.5234952662765</v>
      </c>
      <c r="P428">
        <f>-724.941829403533 -57.0360633766004 -439.514284571377</f>
        <v>-1221.4921773515105</v>
      </c>
      <c r="Q428">
        <f>-482.008159372039 -75.1915676191454 -348.433465898299</f>
        <v>-905.63319288948344</v>
      </c>
      <c r="R428" t="s">
        <v>8937</v>
      </c>
      <c r="S428" t="s">
        <v>8938</v>
      </c>
      <c r="T428" t="s">
        <v>8939</v>
      </c>
      <c r="U428" t="s">
        <v>8940</v>
      </c>
      <c r="V428" t="s">
        <v>8941</v>
      </c>
      <c r="W428" t="s">
        <v>8942</v>
      </c>
      <c r="X428" t="s">
        <v>8943</v>
      </c>
      <c r="Y428" t="s">
        <v>8944</v>
      </c>
    </row>
    <row r="429" spans="1:25" x14ac:dyDescent="0.3">
      <c r="A429">
        <v>21400</v>
      </c>
      <c r="B429" t="s">
        <v>8945</v>
      </c>
      <c r="C429" t="s">
        <v>8946</v>
      </c>
      <c r="D429" t="s">
        <v>8947</v>
      </c>
      <c r="E429" t="s">
        <v>8948</v>
      </c>
      <c r="F429" t="s">
        <v>8949</v>
      </c>
      <c r="G429" t="s">
        <v>8950</v>
      </c>
      <c r="H429" t="s">
        <v>8951</v>
      </c>
      <c r="I429" t="s">
        <v>8952</v>
      </c>
      <c r="J429" t="s">
        <v>8953</v>
      </c>
      <c r="K429" t="s">
        <v>8954</v>
      </c>
      <c r="L429" t="s">
        <v>8955</v>
      </c>
      <c r="M429" t="s">
        <v>8956</v>
      </c>
      <c r="N429" t="s">
        <v>8957</v>
      </c>
      <c r="O429">
        <f>-702.346988245822 -42.019860220762 -754.94976942319</f>
        <v>-1499.3166178897741</v>
      </c>
      <c r="P429">
        <f>-724.771270162586 -57.0027749295352 -439.578848666619</f>
        <v>-1221.3528937587403</v>
      </c>
      <c r="Q429">
        <f>-481.83479423131 -74.9418803834119 -348.462724484543</f>
        <v>-905.23939909926503</v>
      </c>
      <c r="R429" t="s">
        <v>8958</v>
      </c>
      <c r="S429" t="s">
        <v>8959</v>
      </c>
      <c r="T429" t="s">
        <v>8960</v>
      </c>
      <c r="U429" t="s">
        <v>8961</v>
      </c>
      <c r="V429" t="s">
        <v>8962</v>
      </c>
      <c r="W429" t="s">
        <v>8963</v>
      </c>
      <c r="X429" t="s">
        <v>8964</v>
      </c>
      <c r="Y429" t="s">
        <v>8965</v>
      </c>
    </row>
    <row r="430" spans="1:25" x14ac:dyDescent="0.3">
      <c r="A430">
        <v>21450</v>
      </c>
      <c r="B430" t="s">
        <v>8966</v>
      </c>
      <c r="C430" t="s">
        <v>8967</v>
      </c>
      <c r="D430" t="s">
        <v>8968</v>
      </c>
      <c r="E430" t="s">
        <v>8969</v>
      </c>
      <c r="F430" t="s">
        <v>8970</v>
      </c>
      <c r="G430" t="s">
        <v>8971</v>
      </c>
      <c r="H430" t="s">
        <v>8972</v>
      </c>
      <c r="I430" t="s">
        <v>8973</v>
      </c>
      <c r="J430" t="s">
        <v>8974</v>
      </c>
      <c r="K430" t="s">
        <v>8975</v>
      </c>
      <c r="L430" t="s">
        <v>8976</v>
      </c>
      <c r="M430" t="s">
        <v>8977</v>
      </c>
      <c r="N430" t="s">
        <v>8978</v>
      </c>
      <c r="O430">
        <f>-701.803211842028 -41.9909061760152 -755.086771063249</f>
        <v>-1498.880889081292</v>
      </c>
      <c r="P430">
        <f>-724.238338439118 -57.1890444517419 -439.726833922201</f>
        <v>-1221.1542168130609</v>
      </c>
      <c r="Q430">
        <f>-481.29277768207 -74.7563048532654 -348.562679599823</f>
        <v>-904.61176213515841</v>
      </c>
      <c r="R430" t="s">
        <v>8979</v>
      </c>
      <c r="S430" t="s">
        <v>8980</v>
      </c>
      <c r="T430" t="s">
        <v>8981</v>
      </c>
      <c r="U430" t="s">
        <v>8982</v>
      </c>
      <c r="V430" t="s">
        <v>8983</v>
      </c>
      <c r="W430" t="s">
        <v>8984</v>
      </c>
      <c r="X430" t="s">
        <v>8985</v>
      </c>
      <c r="Y430" t="s">
        <v>8986</v>
      </c>
    </row>
    <row r="431" spans="1:25" x14ac:dyDescent="0.3">
      <c r="A431">
        <v>21500</v>
      </c>
      <c r="B431" t="s">
        <v>8987</v>
      </c>
      <c r="C431" t="s">
        <v>8988</v>
      </c>
      <c r="D431" t="s">
        <v>8989</v>
      </c>
      <c r="E431" t="s">
        <v>8990</v>
      </c>
      <c r="F431" t="s">
        <v>8991</v>
      </c>
      <c r="G431" t="s">
        <v>8992</v>
      </c>
      <c r="H431" t="s">
        <v>8993</v>
      </c>
      <c r="I431" t="s">
        <v>8994</v>
      </c>
      <c r="J431" t="s">
        <v>8995</v>
      </c>
      <c r="K431" t="s">
        <v>8996</v>
      </c>
      <c r="L431" t="s">
        <v>8997</v>
      </c>
      <c r="M431" t="s">
        <v>8998</v>
      </c>
      <c r="N431" t="s">
        <v>8999</v>
      </c>
      <c r="O431">
        <f>-701.612585327138 -41.9824352285173 -755.147031987144</f>
        <v>-1498.7420525427992</v>
      </c>
      <c r="P431">
        <f>-724.034047175963 -57.139295204305 -439.784181498916</f>
        <v>-1220.957523879184</v>
      </c>
      <c r="Q431">
        <f>-481.071630799387 -74.5497875782221 -348.634584243259</f>
        <v>-904.256002620868</v>
      </c>
      <c r="R431" t="s">
        <v>9000</v>
      </c>
      <c r="S431" t="s">
        <v>9001</v>
      </c>
      <c r="T431" t="s">
        <v>9002</v>
      </c>
      <c r="U431" t="s">
        <v>9003</v>
      </c>
      <c r="V431" t="s">
        <v>9004</v>
      </c>
      <c r="W431" t="s">
        <v>9005</v>
      </c>
      <c r="X431" t="s">
        <v>9006</v>
      </c>
      <c r="Y431" t="s">
        <v>9007</v>
      </c>
    </row>
    <row r="432" spans="1:25" x14ac:dyDescent="0.3">
      <c r="A432">
        <v>21550</v>
      </c>
      <c r="B432" t="s">
        <v>9008</v>
      </c>
      <c r="C432" t="s">
        <v>9009</v>
      </c>
      <c r="D432" t="s">
        <v>9010</v>
      </c>
      <c r="E432" t="s">
        <v>9011</v>
      </c>
      <c r="F432" t="s">
        <v>9012</v>
      </c>
      <c r="G432" t="s">
        <v>9013</v>
      </c>
      <c r="H432" t="s">
        <v>9014</v>
      </c>
      <c r="I432" t="s">
        <v>9015</v>
      </c>
      <c r="J432" t="s">
        <v>9016</v>
      </c>
      <c r="K432" t="s">
        <v>9017</v>
      </c>
      <c r="L432" t="s">
        <v>9018</v>
      </c>
      <c r="M432" t="s">
        <v>9019</v>
      </c>
      <c r="N432" t="s">
        <v>9020</v>
      </c>
      <c r="O432">
        <f>-701.272219987119 -41.831564001915 -755.230174476141</f>
        <v>-1498.3339584651749</v>
      </c>
      <c r="P432">
        <f>-723.589944376482 -57.0516433290359 -439.86317426893</f>
        <v>-1220.5047619744478</v>
      </c>
      <c r="Q432">
        <f>-480.599264541971 -74.2648998113966 -348.751757578909</f>
        <v>-903.61592193227671</v>
      </c>
      <c r="R432" t="s">
        <v>9021</v>
      </c>
      <c r="S432" t="s">
        <v>9022</v>
      </c>
      <c r="T432" t="s">
        <v>9023</v>
      </c>
      <c r="U432" t="s">
        <v>9024</v>
      </c>
      <c r="V432" t="s">
        <v>9025</v>
      </c>
      <c r="W432" t="s">
        <v>9026</v>
      </c>
      <c r="X432" t="s">
        <v>9027</v>
      </c>
      <c r="Y432" t="s">
        <v>9028</v>
      </c>
    </row>
    <row r="433" spans="1:25" x14ac:dyDescent="0.3">
      <c r="A433">
        <v>21600</v>
      </c>
      <c r="B433" t="s">
        <v>9029</v>
      </c>
      <c r="C433" t="s">
        <v>9030</v>
      </c>
      <c r="D433" t="s">
        <v>9031</v>
      </c>
      <c r="E433" t="s">
        <v>9032</v>
      </c>
      <c r="F433" t="s">
        <v>9033</v>
      </c>
      <c r="G433" t="s">
        <v>9034</v>
      </c>
      <c r="H433" t="s">
        <v>9035</v>
      </c>
      <c r="I433" t="s">
        <v>9036</v>
      </c>
      <c r="J433" t="s">
        <v>9037</v>
      </c>
      <c r="K433" t="s">
        <v>9038</v>
      </c>
      <c r="L433" t="s">
        <v>9039</v>
      </c>
      <c r="M433" t="s">
        <v>9040</v>
      </c>
      <c r="N433" t="s">
        <v>9041</v>
      </c>
      <c r="O433">
        <f>-700.907818451837 -41.8452284735035 -755.251737576023</f>
        <v>-1498.0047845013635</v>
      </c>
      <c r="P433">
        <f>-723.193339250835 -57.0773053990372 -439.882759587579</f>
        <v>-1220.1534042374512</v>
      </c>
      <c r="Q433">
        <f>-480.191792077227 -74.1943437497985 -348.782135482674</f>
        <v>-903.16827130969943</v>
      </c>
      <c r="R433" t="s">
        <v>9042</v>
      </c>
      <c r="S433" t="s">
        <v>9043</v>
      </c>
      <c r="T433" t="s">
        <v>9044</v>
      </c>
      <c r="U433" t="s">
        <v>9045</v>
      </c>
      <c r="V433" t="s">
        <v>9046</v>
      </c>
      <c r="W433" t="s">
        <v>9047</v>
      </c>
      <c r="X433" t="s">
        <v>9048</v>
      </c>
      <c r="Y433" t="s">
        <v>9049</v>
      </c>
    </row>
    <row r="434" spans="1:25" x14ac:dyDescent="0.3">
      <c r="A434">
        <v>21650</v>
      </c>
      <c r="B434" t="s">
        <v>9050</v>
      </c>
      <c r="C434" t="s">
        <v>9051</v>
      </c>
      <c r="D434" t="s">
        <v>9052</v>
      </c>
      <c r="E434" t="s">
        <v>9053</v>
      </c>
      <c r="F434" t="s">
        <v>9054</v>
      </c>
      <c r="G434" t="s">
        <v>9055</v>
      </c>
      <c r="H434" t="s">
        <v>9056</v>
      </c>
      <c r="I434" t="s">
        <v>9057</v>
      </c>
      <c r="J434" t="s">
        <v>9058</v>
      </c>
      <c r="K434" t="s">
        <v>9059</v>
      </c>
      <c r="L434" t="s">
        <v>9060</v>
      </c>
      <c r="M434" t="s">
        <v>9061</v>
      </c>
      <c r="N434" t="s">
        <v>9062</v>
      </c>
      <c r="O434">
        <f>-700.363277420438 -41.9481762654875 -755.256400434239</f>
        <v>-1497.5678541201646</v>
      </c>
      <c r="P434">
        <f>-722.6946159534 -57.2298420448965 -439.893163568408</f>
        <v>-1219.8176215667045</v>
      </c>
      <c r="Q434">
        <f>-479.688438569828 -73.9989459009075 -348.740226704812</f>
        <v>-902.42761117554755</v>
      </c>
      <c r="R434" t="s">
        <v>9063</v>
      </c>
      <c r="S434" t="s">
        <v>9064</v>
      </c>
      <c r="T434" t="s">
        <v>9065</v>
      </c>
      <c r="U434" t="s">
        <v>9066</v>
      </c>
      <c r="V434" t="s">
        <v>9067</v>
      </c>
      <c r="W434" t="s">
        <v>9068</v>
      </c>
      <c r="X434" t="s">
        <v>9069</v>
      </c>
      <c r="Y434" t="s">
        <v>9070</v>
      </c>
    </row>
    <row r="435" spans="1:25" x14ac:dyDescent="0.3">
      <c r="A435">
        <v>21700</v>
      </c>
      <c r="B435" t="s">
        <v>9071</v>
      </c>
      <c r="C435" t="s">
        <v>9072</v>
      </c>
      <c r="D435" t="s">
        <v>9073</v>
      </c>
      <c r="E435" t="s">
        <v>9074</v>
      </c>
      <c r="F435" t="s">
        <v>9075</v>
      </c>
      <c r="G435" t="s">
        <v>9076</v>
      </c>
      <c r="H435" t="s">
        <v>9077</v>
      </c>
      <c r="I435" t="s">
        <v>9078</v>
      </c>
      <c r="J435" t="s">
        <v>9079</v>
      </c>
      <c r="K435" t="s">
        <v>9080</v>
      </c>
      <c r="L435" t="s">
        <v>9081</v>
      </c>
      <c r="M435" t="s">
        <v>9082</v>
      </c>
      <c r="N435" t="s">
        <v>9083</v>
      </c>
      <c r="O435">
        <f>-700.295536766235 -41.8854036683472 -755.286691008512</f>
        <v>-1497.4676314430942</v>
      </c>
      <c r="P435">
        <f>-722.61903131702 -57.1276400858033 -439.921025353805</f>
        <v>-1219.6676967566282</v>
      </c>
      <c r="Q435">
        <f>-479.630566068729 -73.7015689059472 -348.685241252343</f>
        <v>-902.01737622701921</v>
      </c>
      <c r="R435" t="s">
        <v>9084</v>
      </c>
      <c r="S435" t="s">
        <v>9085</v>
      </c>
      <c r="T435" t="s">
        <v>9086</v>
      </c>
      <c r="U435" t="s">
        <v>9087</v>
      </c>
      <c r="V435" t="s">
        <v>9088</v>
      </c>
      <c r="W435" t="s">
        <v>9089</v>
      </c>
      <c r="X435" t="s">
        <v>9090</v>
      </c>
      <c r="Y435" t="s">
        <v>9091</v>
      </c>
    </row>
    <row r="436" spans="1:25" x14ac:dyDescent="0.3">
      <c r="A436">
        <v>21750</v>
      </c>
      <c r="B436" t="s">
        <v>9092</v>
      </c>
      <c r="C436" t="s">
        <v>9093</v>
      </c>
      <c r="D436" t="s">
        <v>9094</v>
      </c>
      <c r="E436" t="s">
        <v>9095</v>
      </c>
      <c r="F436" t="s">
        <v>9096</v>
      </c>
      <c r="G436" t="s">
        <v>9097</v>
      </c>
      <c r="H436" t="s">
        <v>9098</v>
      </c>
      <c r="I436" t="s">
        <v>9099</v>
      </c>
      <c r="J436" t="s">
        <v>9100</v>
      </c>
      <c r="K436" t="s">
        <v>9101</v>
      </c>
      <c r="L436" t="s">
        <v>9102</v>
      </c>
      <c r="M436" t="s">
        <v>9103</v>
      </c>
      <c r="N436" t="s">
        <v>9104</v>
      </c>
      <c r="O436">
        <f>-700.240448253288 -41.7128658833014 -755.254585262925</f>
        <v>-1497.2078993995146</v>
      </c>
      <c r="P436">
        <f>-722.529627752517 -56.8662320737174 -439.882147143283</f>
        <v>-1219.2780069695173</v>
      </c>
      <c r="Q436">
        <f>-479.567480020166 -73.0984210472911 -348.514866088447</f>
        <v>-901.18076715590405</v>
      </c>
      <c r="R436" t="s">
        <v>9105</v>
      </c>
      <c r="S436" t="s">
        <v>9106</v>
      </c>
      <c r="T436" t="s">
        <v>9107</v>
      </c>
      <c r="U436" t="s">
        <v>9108</v>
      </c>
      <c r="V436" t="s">
        <v>9109</v>
      </c>
      <c r="W436" t="s">
        <v>9110</v>
      </c>
      <c r="X436" t="s">
        <v>9111</v>
      </c>
      <c r="Y436" t="s">
        <v>9112</v>
      </c>
    </row>
    <row r="437" spans="1:25" x14ac:dyDescent="0.3">
      <c r="A437">
        <v>21800</v>
      </c>
      <c r="B437" t="s">
        <v>9113</v>
      </c>
      <c r="C437" t="s">
        <v>9114</v>
      </c>
      <c r="D437" t="s">
        <v>9115</v>
      </c>
      <c r="E437" t="s">
        <v>9116</v>
      </c>
      <c r="F437" t="s">
        <v>9117</v>
      </c>
      <c r="G437" t="s">
        <v>9118</v>
      </c>
      <c r="H437" t="s">
        <v>9119</v>
      </c>
      <c r="I437" t="s">
        <v>9120</v>
      </c>
      <c r="J437" t="s">
        <v>9121</v>
      </c>
      <c r="K437" t="s">
        <v>9122</v>
      </c>
      <c r="L437" t="s">
        <v>9123</v>
      </c>
      <c r="M437" t="s">
        <v>9124</v>
      </c>
      <c r="N437" t="s">
        <v>9125</v>
      </c>
      <c r="O437">
        <f>-699.94285952032 -41.8571929869979 -755.244477226768</f>
        <v>-1497.0445297340859</v>
      </c>
      <c r="P437">
        <f>-722.250104942616 -56.6947675467345 -439.858346212359</f>
        <v>-1218.8032187017095</v>
      </c>
      <c r="Q437">
        <f>-479.272541847873 -72.8118311611756 -348.511886178221</f>
        <v>-900.59625918726965</v>
      </c>
      <c r="R437" t="s">
        <v>9126</v>
      </c>
      <c r="S437" t="s">
        <v>9127</v>
      </c>
      <c r="T437" t="s">
        <v>9128</v>
      </c>
      <c r="U437" t="s">
        <v>9129</v>
      </c>
      <c r="V437" t="s">
        <v>9130</v>
      </c>
      <c r="W437" t="s">
        <v>9131</v>
      </c>
      <c r="X437" t="s">
        <v>9132</v>
      </c>
      <c r="Y437" t="s">
        <v>9133</v>
      </c>
    </row>
    <row r="438" spans="1:25" x14ac:dyDescent="0.3">
      <c r="A438">
        <v>21850</v>
      </c>
      <c r="B438" t="s">
        <v>9134</v>
      </c>
      <c r="C438" t="s">
        <v>9135</v>
      </c>
      <c r="D438" t="s">
        <v>9136</v>
      </c>
      <c r="E438" t="s">
        <v>9137</v>
      </c>
      <c r="F438" t="s">
        <v>9138</v>
      </c>
      <c r="G438" t="s">
        <v>9139</v>
      </c>
      <c r="H438" t="s">
        <v>9140</v>
      </c>
      <c r="I438" t="s">
        <v>9141</v>
      </c>
      <c r="J438" t="s">
        <v>9142</v>
      </c>
      <c r="K438" t="s">
        <v>9143</v>
      </c>
      <c r="L438" t="s">
        <v>9144</v>
      </c>
      <c r="M438" t="s">
        <v>9145</v>
      </c>
      <c r="N438" t="s">
        <v>9146</v>
      </c>
      <c r="O438">
        <f>-699.09404301859 -41.849525542556 -755.404324911585</f>
        <v>-1496.3478934727309</v>
      </c>
      <c r="P438">
        <f>-721.574849031951 -56.4306325017906 -440.01851238102</f>
        <v>-1218.0239939147616</v>
      </c>
      <c r="Q438">
        <f>-478.651250434916 -71.8043845953541 -348.4006981195</f>
        <v>-898.85633314977008</v>
      </c>
      <c r="R438" t="s">
        <v>9147</v>
      </c>
      <c r="S438" t="s">
        <v>9148</v>
      </c>
      <c r="T438" t="s">
        <v>9149</v>
      </c>
      <c r="U438" t="s">
        <v>9150</v>
      </c>
      <c r="V438" t="s">
        <v>9151</v>
      </c>
      <c r="W438" t="s">
        <v>9152</v>
      </c>
      <c r="X438" t="s">
        <v>9153</v>
      </c>
      <c r="Y438" t="s">
        <v>9154</v>
      </c>
    </row>
    <row r="439" spans="1:25" x14ac:dyDescent="0.3">
      <c r="A439">
        <v>21900</v>
      </c>
      <c r="B439" t="s">
        <v>9155</v>
      </c>
      <c r="C439" t="s">
        <v>9156</v>
      </c>
      <c r="D439" t="s">
        <v>9157</v>
      </c>
      <c r="E439" t="s">
        <v>9158</v>
      </c>
      <c r="F439" t="s">
        <v>9159</v>
      </c>
      <c r="G439" t="s">
        <v>9160</v>
      </c>
      <c r="H439" t="s">
        <v>9161</v>
      </c>
      <c r="I439" t="s">
        <v>9162</v>
      </c>
      <c r="J439" t="s">
        <v>9163</v>
      </c>
      <c r="K439" t="s">
        <v>9164</v>
      </c>
      <c r="L439" t="s">
        <v>9165</v>
      </c>
      <c r="M439" t="s">
        <v>9166</v>
      </c>
      <c r="N439" t="s">
        <v>9167</v>
      </c>
      <c r="O439">
        <f>-698.755454239773 -41.8317112437012 -755.469739733227</f>
        <v>-1496.0569052167011</v>
      </c>
      <c r="P439">
        <f>-721.505857223763 -56.258723848164 -440.096229229795</f>
        <v>-1217.8608103017218</v>
      </c>
      <c r="Q439">
        <f>-478.596376288156 -71.0764115742058 -348.349399732309</f>
        <v>-898.02218759467087</v>
      </c>
      <c r="R439" t="s">
        <v>9168</v>
      </c>
      <c r="S439" t="s">
        <v>9169</v>
      </c>
      <c r="T439" t="s">
        <v>9170</v>
      </c>
      <c r="U439" t="s">
        <v>9171</v>
      </c>
      <c r="V439" t="s">
        <v>9172</v>
      </c>
      <c r="W439" t="s">
        <v>9173</v>
      </c>
      <c r="X439" t="s">
        <v>9174</v>
      </c>
      <c r="Y439" t="s">
        <v>9175</v>
      </c>
    </row>
    <row r="440" spans="1:25" x14ac:dyDescent="0.3">
      <c r="A440">
        <v>21950</v>
      </c>
      <c r="B440" t="s">
        <v>9176</v>
      </c>
      <c r="C440" t="s">
        <v>9177</v>
      </c>
      <c r="D440" t="s">
        <v>9178</v>
      </c>
      <c r="E440" t="s">
        <v>9179</v>
      </c>
      <c r="F440" t="s">
        <v>9180</v>
      </c>
      <c r="G440" t="s">
        <v>9181</v>
      </c>
      <c r="H440" t="s">
        <v>9182</v>
      </c>
      <c r="I440" t="s">
        <v>9183</v>
      </c>
      <c r="J440" t="s">
        <v>9184</v>
      </c>
      <c r="K440" t="s">
        <v>9185</v>
      </c>
      <c r="L440" t="s">
        <v>9186</v>
      </c>
      <c r="M440" t="s">
        <v>9187</v>
      </c>
      <c r="N440" t="s">
        <v>9188</v>
      </c>
      <c r="O440">
        <f>-698.136033451654 -41.6656690763834 -755.481875177851</f>
        <v>-1495.2835777058885</v>
      </c>
      <c r="P440">
        <f>-721.136327920019 -55.8631020171383 -440.116111515786</f>
        <v>-1217.1155414529433</v>
      </c>
      <c r="Q440">
        <f>-478.261530354932 -69.7343103329638 -348.129830246859</f>
        <v>-896.12567093475479</v>
      </c>
      <c r="R440" t="s">
        <v>9189</v>
      </c>
      <c r="S440" t="s">
        <v>9190</v>
      </c>
      <c r="T440" t="s">
        <v>9191</v>
      </c>
      <c r="U440" t="s">
        <v>9192</v>
      </c>
      <c r="V440" t="s">
        <v>9193</v>
      </c>
      <c r="W440" t="s">
        <v>9194</v>
      </c>
      <c r="X440" t="s">
        <v>9195</v>
      </c>
      <c r="Y440" t="s">
        <v>9196</v>
      </c>
    </row>
    <row r="441" spans="1:25" x14ac:dyDescent="0.3">
      <c r="A441">
        <v>22000</v>
      </c>
      <c r="B441" t="s">
        <v>9197</v>
      </c>
      <c r="C441" t="s">
        <v>9198</v>
      </c>
      <c r="D441" t="s">
        <v>9199</v>
      </c>
      <c r="E441" t="s">
        <v>9200</v>
      </c>
      <c r="F441" t="s">
        <v>9201</v>
      </c>
      <c r="G441" t="s">
        <v>9202</v>
      </c>
      <c r="H441" t="s">
        <v>9203</v>
      </c>
      <c r="I441" t="s">
        <v>9204</v>
      </c>
      <c r="J441" t="s">
        <v>9205</v>
      </c>
      <c r="K441" t="s">
        <v>9206</v>
      </c>
      <c r="L441" t="s">
        <v>9207</v>
      </c>
      <c r="M441" t="s">
        <v>9208</v>
      </c>
      <c r="N441" t="s">
        <v>9209</v>
      </c>
      <c r="O441">
        <f>-697.71279834928 -41.5930191231696 -755.396782882766</f>
        <v>-1494.7026003552155</v>
      </c>
      <c r="P441">
        <f>-720.757616690914 -55.5918190010716 -440.025393292884</f>
        <v>-1216.3748289848695</v>
      </c>
      <c r="Q441">
        <f>-477.899145215308 -69.0041564540129 -347.928051165714</f>
        <v>-894.83135283503486</v>
      </c>
      <c r="R441" t="s">
        <v>9210</v>
      </c>
      <c r="S441" t="s">
        <v>9211</v>
      </c>
      <c r="T441" t="s">
        <v>9212</v>
      </c>
      <c r="U441" t="s">
        <v>9213</v>
      </c>
      <c r="V441" t="s">
        <v>9214</v>
      </c>
      <c r="W441" t="s">
        <v>9215</v>
      </c>
      <c r="X441" t="s">
        <v>9216</v>
      </c>
      <c r="Y441" t="s">
        <v>9217</v>
      </c>
    </row>
    <row r="442" spans="1:25" x14ac:dyDescent="0.3">
      <c r="A442">
        <v>22050</v>
      </c>
      <c r="B442" t="s">
        <v>9218</v>
      </c>
      <c r="C442" t="s">
        <v>9219</v>
      </c>
      <c r="D442" t="s">
        <v>9220</v>
      </c>
      <c r="E442" t="s">
        <v>9221</v>
      </c>
      <c r="F442" t="s">
        <v>9222</v>
      </c>
      <c r="G442" t="s">
        <v>9223</v>
      </c>
      <c r="H442" t="s">
        <v>9224</v>
      </c>
      <c r="I442" t="s">
        <v>9225</v>
      </c>
      <c r="J442" t="s">
        <v>9226</v>
      </c>
      <c r="K442" t="s">
        <v>9227</v>
      </c>
      <c r="L442" t="s">
        <v>9228</v>
      </c>
      <c r="M442" t="s">
        <v>9229</v>
      </c>
      <c r="N442" t="s">
        <v>9230</v>
      </c>
      <c r="O442">
        <f>-697.147824623564 -41.4417843938193 -755.360714214087</f>
        <v>-1493.9503232314703</v>
      </c>
      <c r="P442">
        <f>-720.297888711209 -55.2106441542676 -439.986861900798</f>
        <v>-1215.4953947662746</v>
      </c>
      <c r="Q442">
        <f>-477.486744065348 -67.7235804986085 -347.638335886988</f>
        <v>-892.84866045094441</v>
      </c>
      <c r="R442" t="s">
        <v>9231</v>
      </c>
      <c r="S442" t="s">
        <v>9232</v>
      </c>
      <c r="T442" t="s">
        <v>9233</v>
      </c>
      <c r="U442" t="s">
        <v>9234</v>
      </c>
      <c r="V442" t="s">
        <v>9235</v>
      </c>
      <c r="W442" t="s">
        <v>9236</v>
      </c>
      <c r="X442" t="s">
        <v>9237</v>
      </c>
      <c r="Y442" t="s">
        <v>9238</v>
      </c>
    </row>
    <row r="443" spans="1:25" x14ac:dyDescent="0.3">
      <c r="A443">
        <v>22100</v>
      </c>
      <c r="B443" t="s">
        <v>9239</v>
      </c>
      <c r="C443" t="s">
        <v>9240</v>
      </c>
      <c r="D443" t="s">
        <v>9241</v>
      </c>
      <c r="E443" t="s">
        <v>9242</v>
      </c>
      <c r="F443" t="s">
        <v>9243</v>
      </c>
      <c r="G443" t="s">
        <v>9244</v>
      </c>
      <c r="H443" t="s">
        <v>9245</v>
      </c>
      <c r="I443" t="s">
        <v>9246</v>
      </c>
      <c r="J443" t="s">
        <v>9247</v>
      </c>
      <c r="K443" t="s">
        <v>9248</v>
      </c>
      <c r="L443" t="s">
        <v>9249</v>
      </c>
      <c r="M443" t="s">
        <v>9250</v>
      </c>
      <c r="N443" t="s">
        <v>9251</v>
      </c>
      <c r="O443">
        <f>-697.039387816192 -41.4353546244804 -755.415609773043</f>
        <v>-1493.8903522137152</v>
      </c>
      <c r="P443">
        <f>-720.146864792795 -55.030659520095 -440.031110140809</f>
        <v>-1215.208634453699</v>
      </c>
      <c r="Q443">
        <f>-477.330874064819 -67.2422407961992 -347.655288572867</f>
        <v>-892.22840343388521</v>
      </c>
      <c r="R443" t="s">
        <v>9252</v>
      </c>
      <c r="S443" t="s">
        <v>9253</v>
      </c>
      <c r="T443" t="s">
        <v>9254</v>
      </c>
      <c r="U443" t="s">
        <v>9255</v>
      </c>
      <c r="V443" t="s">
        <v>9256</v>
      </c>
      <c r="W443" t="s">
        <v>9257</v>
      </c>
      <c r="X443" t="s">
        <v>9258</v>
      </c>
      <c r="Y443" t="s">
        <v>9259</v>
      </c>
    </row>
    <row r="444" spans="1:25" x14ac:dyDescent="0.3">
      <c r="A444">
        <v>22150</v>
      </c>
      <c r="B444" t="s">
        <v>9260</v>
      </c>
      <c r="C444" t="s">
        <v>9261</v>
      </c>
      <c r="D444" t="s">
        <v>9262</v>
      </c>
      <c r="E444" t="s">
        <v>9263</v>
      </c>
      <c r="F444" t="s">
        <v>9264</v>
      </c>
      <c r="G444" t="s">
        <v>9265</v>
      </c>
      <c r="H444" t="s">
        <v>9266</v>
      </c>
      <c r="I444" t="s">
        <v>9267</v>
      </c>
      <c r="J444" t="s">
        <v>9268</v>
      </c>
      <c r="K444" t="s">
        <v>9269</v>
      </c>
      <c r="L444" t="s">
        <v>9270</v>
      </c>
      <c r="M444" t="s">
        <v>9271</v>
      </c>
      <c r="N444" t="s">
        <v>9272</v>
      </c>
      <c r="O444">
        <f>-696.996759435007 -41.2696645503081 -755.473804254089</f>
        <v>-1493.7402282394041</v>
      </c>
      <c r="P444">
        <f>-720.12136055296 -54.5560993831587 -440.077186200758</f>
        <v>-1214.7546461368765</v>
      </c>
      <c r="Q444">
        <f>-477.237512963808 -66.5692117520284 -347.853732000432</f>
        <v>-891.6604567162683</v>
      </c>
      <c r="R444" t="s">
        <v>9273</v>
      </c>
      <c r="S444" t="s">
        <v>9274</v>
      </c>
      <c r="T444" t="s">
        <v>9275</v>
      </c>
      <c r="U444" t="s">
        <v>9276</v>
      </c>
      <c r="V444" t="s">
        <v>9277</v>
      </c>
      <c r="W444" t="s">
        <v>9278</v>
      </c>
      <c r="X444" t="s">
        <v>9279</v>
      </c>
      <c r="Y444" t="s">
        <v>9280</v>
      </c>
    </row>
    <row r="445" spans="1:25" x14ac:dyDescent="0.3">
      <c r="A445">
        <v>22200</v>
      </c>
      <c r="B445" t="s">
        <v>9281</v>
      </c>
      <c r="C445" t="s">
        <v>9282</v>
      </c>
      <c r="D445" t="s">
        <v>9283</v>
      </c>
      <c r="E445" t="s">
        <v>9284</v>
      </c>
      <c r="F445" t="s">
        <v>9285</v>
      </c>
      <c r="G445" t="s">
        <v>9286</v>
      </c>
      <c r="H445" t="s">
        <v>9287</v>
      </c>
      <c r="I445" t="s">
        <v>9288</v>
      </c>
      <c r="J445" t="s">
        <v>9289</v>
      </c>
      <c r="K445" t="s">
        <v>9290</v>
      </c>
      <c r="L445" t="s">
        <v>9291</v>
      </c>
      <c r="M445" t="s">
        <v>9292</v>
      </c>
      <c r="N445" t="s">
        <v>9293</v>
      </c>
      <c r="O445">
        <f>-697.138806440585 -40.9988632678246 -755.446128158216</f>
        <v>-1493.5837978666254</v>
      </c>
      <c r="P445">
        <f>-720.163588368074 -54.1987289096603 -440.038739104453</f>
        <v>-1214.4010563821873</v>
      </c>
      <c r="Q445">
        <f>-477.258907749335 -66.3109085646367 -347.883237671403</f>
        <v>-891.45305398537471</v>
      </c>
      <c r="R445" t="s">
        <v>9294</v>
      </c>
      <c r="S445" t="s">
        <v>9295</v>
      </c>
      <c r="T445" t="s">
        <v>9296</v>
      </c>
      <c r="U445" t="s">
        <v>9297</v>
      </c>
      <c r="V445" t="s">
        <v>9298</v>
      </c>
      <c r="W445" t="s">
        <v>9299</v>
      </c>
      <c r="X445" t="s">
        <v>9300</v>
      </c>
      <c r="Y445" t="s">
        <v>9301</v>
      </c>
    </row>
    <row r="446" spans="1:25" x14ac:dyDescent="0.3">
      <c r="A446">
        <v>22250</v>
      </c>
      <c r="B446" t="s">
        <v>9302</v>
      </c>
      <c r="C446" t="s">
        <v>9303</v>
      </c>
      <c r="D446" t="s">
        <v>9304</v>
      </c>
      <c r="E446" t="s">
        <v>9305</v>
      </c>
      <c r="F446" t="s">
        <v>9306</v>
      </c>
      <c r="G446" t="s">
        <v>9307</v>
      </c>
      <c r="H446" t="s">
        <v>9308</v>
      </c>
      <c r="I446" t="s">
        <v>9309</v>
      </c>
      <c r="J446" t="s">
        <v>9310</v>
      </c>
      <c r="K446" t="s">
        <v>9311</v>
      </c>
      <c r="L446" t="s">
        <v>9312</v>
      </c>
      <c r="M446" t="s">
        <v>9313</v>
      </c>
      <c r="N446" t="s">
        <v>9314</v>
      </c>
      <c r="O446">
        <f>-697.089385600245 -40.6569719233648 -755.167731650594</f>
        <v>-1492.9140891742038</v>
      </c>
      <c r="P446">
        <f>-719.797698402038 -53.7729429456713 -439.733862169741</f>
        <v>-1213.3045035174503</v>
      </c>
      <c r="Q446">
        <f>-476.839285140686 -66.4465485722335 -347.795744496031</f>
        <v>-891.08157820895053</v>
      </c>
      <c r="R446" t="s">
        <v>9315</v>
      </c>
      <c r="S446" t="s">
        <v>9316</v>
      </c>
      <c r="T446" t="s">
        <v>9317</v>
      </c>
      <c r="U446" t="s">
        <v>9318</v>
      </c>
      <c r="V446" t="s">
        <v>9319</v>
      </c>
      <c r="W446" t="s">
        <v>9320</v>
      </c>
      <c r="X446" t="s">
        <v>9321</v>
      </c>
      <c r="Y446" t="s">
        <v>9322</v>
      </c>
    </row>
    <row r="447" spans="1:25" x14ac:dyDescent="0.3">
      <c r="A447">
        <v>22300</v>
      </c>
      <c r="B447" t="s">
        <v>9323</v>
      </c>
      <c r="C447" t="s">
        <v>9324</v>
      </c>
      <c r="D447" t="s">
        <v>9325</v>
      </c>
      <c r="E447" t="s">
        <v>9326</v>
      </c>
      <c r="F447" t="s">
        <v>9327</v>
      </c>
      <c r="G447" t="s">
        <v>9328</v>
      </c>
      <c r="H447" t="s">
        <v>9329</v>
      </c>
      <c r="I447" t="s">
        <v>9330</v>
      </c>
      <c r="J447" t="s">
        <v>9331</v>
      </c>
      <c r="K447" t="s">
        <v>9332</v>
      </c>
      <c r="L447" t="s">
        <v>9333</v>
      </c>
      <c r="M447" t="s">
        <v>9334</v>
      </c>
      <c r="N447" t="s">
        <v>9335</v>
      </c>
      <c r="O447">
        <f>-697.083602753823 -40.4069070450917 -755.087656273567</f>
        <v>-1492.5781660724815</v>
      </c>
      <c r="P447">
        <f>-719.671061090265 -53.4734741014522 -439.643087894107</f>
        <v>-1212.7876230858242</v>
      </c>
      <c r="Q447">
        <f>-476.721161641828 -66.4864713022794 -347.72974288599</f>
        <v>-890.93737583009738</v>
      </c>
      <c r="R447" t="s">
        <v>9336</v>
      </c>
      <c r="S447" t="s">
        <v>9337</v>
      </c>
      <c r="T447" t="s">
        <v>9338</v>
      </c>
      <c r="U447" t="s">
        <v>9339</v>
      </c>
      <c r="V447" t="s">
        <v>9340</v>
      </c>
      <c r="W447" t="s">
        <v>9341</v>
      </c>
      <c r="X447" t="s">
        <v>9342</v>
      </c>
      <c r="Y447" t="s">
        <v>9343</v>
      </c>
    </row>
    <row r="448" spans="1:25" x14ac:dyDescent="0.3">
      <c r="A448">
        <v>22350</v>
      </c>
      <c r="B448" t="s">
        <v>9344</v>
      </c>
      <c r="C448" t="s">
        <v>9345</v>
      </c>
      <c r="D448" t="s">
        <v>9346</v>
      </c>
      <c r="E448" t="s">
        <v>9347</v>
      </c>
      <c r="F448" t="s">
        <v>9348</v>
      </c>
      <c r="G448" t="s">
        <v>9349</v>
      </c>
      <c r="H448" t="s">
        <v>9350</v>
      </c>
      <c r="I448" t="s">
        <v>9351</v>
      </c>
      <c r="J448" t="s">
        <v>9352</v>
      </c>
      <c r="K448" t="s">
        <v>9353</v>
      </c>
      <c r="L448" t="s">
        <v>9354</v>
      </c>
      <c r="M448" t="s">
        <v>9355</v>
      </c>
      <c r="N448" t="s">
        <v>9356</v>
      </c>
      <c r="O448">
        <f>-696.718541926794 -40.3177953205818 -754.975641593363</f>
        <v>-1492.0119788407387</v>
      </c>
      <c r="P448">
        <f>-719.250278638288 -53.349119209654 -439.525694491408</f>
        <v>-1212.12509233935</v>
      </c>
      <c r="Q448">
        <f>-476.366595091422 -66.9759725739873 -347.526384341043</f>
        <v>-890.86895200645233</v>
      </c>
      <c r="R448" t="s">
        <v>9357</v>
      </c>
      <c r="S448" t="s">
        <v>9358</v>
      </c>
      <c r="T448" t="s">
        <v>9359</v>
      </c>
      <c r="U448" t="s">
        <v>9360</v>
      </c>
      <c r="V448" t="s">
        <v>9361</v>
      </c>
      <c r="W448" t="s">
        <v>9362</v>
      </c>
      <c r="X448" t="s">
        <v>9363</v>
      </c>
      <c r="Y448" t="s">
        <v>9364</v>
      </c>
    </row>
    <row r="449" spans="1:25" x14ac:dyDescent="0.3">
      <c r="A449">
        <v>22400</v>
      </c>
      <c r="B449" t="s">
        <v>9365</v>
      </c>
      <c r="C449" t="s">
        <v>9366</v>
      </c>
      <c r="D449" t="s">
        <v>9367</v>
      </c>
      <c r="E449" t="s">
        <v>9368</v>
      </c>
      <c r="F449" t="s">
        <v>9369</v>
      </c>
      <c r="G449" t="s">
        <v>9370</v>
      </c>
      <c r="H449" t="s">
        <v>9371</v>
      </c>
      <c r="I449" t="s">
        <v>9372</v>
      </c>
      <c r="J449" t="s">
        <v>9373</v>
      </c>
      <c r="K449" t="s">
        <v>9374</v>
      </c>
      <c r="L449" t="s">
        <v>9375</v>
      </c>
      <c r="M449" t="s">
        <v>9376</v>
      </c>
      <c r="N449" t="s">
        <v>9377</v>
      </c>
      <c r="O449">
        <f>-696.412844518006 -40.3009697293926 -754.936639893172</f>
        <v>-1491.6504541405707</v>
      </c>
      <c r="P449">
        <f>-719.107304426983 -53.2224843817305 -439.493706380122</f>
        <v>-1211.8234951888355</v>
      </c>
      <c r="Q449">
        <f>-476.265457071866 -67.1500073986774 -347.429146664553</f>
        <v>-890.84461113509633</v>
      </c>
      <c r="R449" t="s">
        <v>9378</v>
      </c>
      <c r="S449" t="s">
        <v>9379</v>
      </c>
      <c r="T449" t="s">
        <v>9380</v>
      </c>
      <c r="U449" t="s">
        <v>9381</v>
      </c>
      <c r="V449" t="s">
        <v>9382</v>
      </c>
      <c r="W449" t="s">
        <v>9383</v>
      </c>
      <c r="X449" t="s">
        <v>9384</v>
      </c>
      <c r="Y449" t="s">
        <v>9385</v>
      </c>
    </row>
    <row r="450" spans="1:25" x14ac:dyDescent="0.3">
      <c r="A450">
        <v>22450</v>
      </c>
      <c r="B450" t="s">
        <v>9386</v>
      </c>
      <c r="C450" t="s">
        <v>9387</v>
      </c>
      <c r="D450" t="s">
        <v>9388</v>
      </c>
      <c r="E450" t="s">
        <v>9389</v>
      </c>
      <c r="F450" t="s">
        <v>9390</v>
      </c>
      <c r="G450" t="s">
        <v>9391</v>
      </c>
      <c r="H450" t="s">
        <v>9392</v>
      </c>
      <c r="I450" t="s">
        <v>9393</v>
      </c>
      <c r="J450" t="s">
        <v>9394</v>
      </c>
      <c r="K450" t="s">
        <v>9395</v>
      </c>
      <c r="L450" t="s">
        <v>9396</v>
      </c>
      <c r="M450" t="s">
        <v>9397</v>
      </c>
      <c r="N450" t="s">
        <v>9398</v>
      </c>
      <c r="O450">
        <f>-695.734986135568 -40.1226772992788 -754.946840007564</f>
        <v>-1490.8045034424108</v>
      </c>
      <c r="P450">
        <f>-718.777346979607 -53.2005009235368 -439.535706959828</f>
        <v>-1211.5135548629719</v>
      </c>
      <c r="Q450">
        <f>-476.04219734334 -67.6283138176364 -347.266924615966</f>
        <v>-890.93743577694238</v>
      </c>
      <c r="R450" t="s">
        <v>9399</v>
      </c>
      <c r="S450" t="s">
        <v>9400</v>
      </c>
      <c r="T450" t="s">
        <v>9401</v>
      </c>
      <c r="U450" t="s">
        <v>9402</v>
      </c>
      <c r="V450" t="s">
        <v>9403</v>
      </c>
      <c r="W450" t="s">
        <v>9404</v>
      </c>
      <c r="X450" t="s">
        <v>9405</v>
      </c>
      <c r="Y450" t="s">
        <v>9406</v>
      </c>
    </row>
    <row r="451" spans="1:25" x14ac:dyDescent="0.3">
      <c r="A451">
        <v>22500</v>
      </c>
      <c r="B451" t="s">
        <v>9407</v>
      </c>
      <c r="C451" t="s">
        <v>9408</v>
      </c>
      <c r="D451" t="s">
        <v>9409</v>
      </c>
      <c r="E451" t="s">
        <v>9410</v>
      </c>
      <c r="F451" t="s">
        <v>9411</v>
      </c>
      <c r="G451" t="s">
        <v>9412</v>
      </c>
      <c r="H451" t="s">
        <v>9413</v>
      </c>
      <c r="I451" t="s">
        <v>9414</v>
      </c>
      <c r="J451" t="s">
        <v>9415</v>
      </c>
      <c r="K451" t="s">
        <v>9416</v>
      </c>
      <c r="L451" t="s">
        <v>9417</v>
      </c>
      <c r="M451" t="s">
        <v>9418</v>
      </c>
      <c r="N451" t="s">
        <v>9419</v>
      </c>
      <c r="O451">
        <f>-695.301781844186 -40.1802227110275 -754.987696646088</f>
        <v>-1490.4697012013016</v>
      </c>
      <c r="P451">
        <f>-718.598861025289 -53.3133176789786 -439.597470008397</f>
        <v>-1211.5096487126646</v>
      </c>
      <c r="Q451">
        <f>-475.918045278046 -67.8974750915888 -347.210321360623</f>
        <v>-891.02584173025775</v>
      </c>
      <c r="R451" t="s">
        <v>9420</v>
      </c>
      <c r="S451" t="s">
        <v>9421</v>
      </c>
      <c r="T451" t="s">
        <v>9422</v>
      </c>
      <c r="U451" t="s">
        <v>9423</v>
      </c>
      <c r="V451" t="s">
        <v>9424</v>
      </c>
      <c r="W451" t="s">
        <v>9425</v>
      </c>
      <c r="X451" t="s">
        <v>9426</v>
      </c>
      <c r="Y451" t="s">
        <v>9427</v>
      </c>
    </row>
    <row r="452" spans="1:25" x14ac:dyDescent="0.3">
      <c r="A452">
        <v>22550</v>
      </c>
      <c r="B452" t="s">
        <v>9428</v>
      </c>
      <c r="C452" t="s">
        <v>9429</v>
      </c>
      <c r="D452" t="s">
        <v>9430</v>
      </c>
      <c r="E452" t="s">
        <v>9431</v>
      </c>
      <c r="F452" t="s">
        <v>9432</v>
      </c>
      <c r="G452" t="s">
        <v>9433</v>
      </c>
      <c r="H452" t="s">
        <v>9434</v>
      </c>
      <c r="I452" t="s">
        <v>9435</v>
      </c>
      <c r="J452" t="s">
        <v>9436</v>
      </c>
      <c r="K452" t="s">
        <v>9437</v>
      </c>
      <c r="L452" t="s">
        <v>9438</v>
      </c>
      <c r="M452" t="s">
        <v>9439</v>
      </c>
      <c r="N452" t="s">
        <v>9440</v>
      </c>
      <c r="O452">
        <f>-694.657183566088 -40.5371570064112 -754.959965360011</f>
        <v>-1490.1543059325102</v>
      </c>
      <c r="P452">
        <f>-718.134933098414 -53.7639687068595 -439.587162407095</f>
        <v>-1211.4860642123685</v>
      </c>
      <c r="Q452">
        <f>-475.535210627847 -68.4163375134724 -346.998192396937</f>
        <v>-890.94974053825626</v>
      </c>
      <c r="R452" t="s">
        <v>9441</v>
      </c>
      <c r="S452" t="s">
        <v>9442</v>
      </c>
      <c r="T452" t="s">
        <v>9443</v>
      </c>
      <c r="U452" t="s">
        <v>9444</v>
      </c>
      <c r="V452" t="s">
        <v>9445</v>
      </c>
      <c r="W452" t="s">
        <v>9446</v>
      </c>
      <c r="X452" t="s">
        <v>9447</v>
      </c>
      <c r="Y452" t="s">
        <v>9448</v>
      </c>
    </row>
    <row r="453" spans="1:25" x14ac:dyDescent="0.3">
      <c r="A453">
        <v>22600</v>
      </c>
      <c r="B453" t="s">
        <v>9449</v>
      </c>
      <c r="C453" t="s">
        <v>9450</v>
      </c>
      <c r="D453" t="s">
        <v>9451</v>
      </c>
      <c r="E453" t="s">
        <v>9452</v>
      </c>
      <c r="F453" t="s">
        <v>9453</v>
      </c>
      <c r="G453" t="s">
        <v>9454</v>
      </c>
      <c r="H453" t="s">
        <v>9455</v>
      </c>
      <c r="I453" t="s">
        <v>9456</v>
      </c>
      <c r="J453" t="s">
        <v>9457</v>
      </c>
      <c r="K453" t="s">
        <v>9458</v>
      </c>
      <c r="L453" t="s">
        <v>9459</v>
      </c>
      <c r="M453" t="s">
        <v>9460</v>
      </c>
      <c r="N453" t="s">
        <v>9461</v>
      </c>
      <c r="O453">
        <f>-694.258736181926 -40.7285641137823 -754.941969031013</f>
        <v>-1489.9292693267212</v>
      </c>
      <c r="P453">
        <f>-717.695144937927 -54.0000454166575 -439.567931788682</f>
        <v>-1211.2631221432666</v>
      </c>
      <c r="Q453">
        <f>-475.092806868205 -68.6861296262834 -346.990936947202</f>
        <v>-890.76987344169038</v>
      </c>
      <c r="R453" t="s">
        <v>9462</v>
      </c>
      <c r="S453" t="s">
        <v>9463</v>
      </c>
      <c r="T453" t="s">
        <v>9464</v>
      </c>
      <c r="U453" t="s">
        <v>9465</v>
      </c>
      <c r="V453" t="s">
        <v>9466</v>
      </c>
      <c r="W453" t="s">
        <v>9467</v>
      </c>
      <c r="X453" t="s">
        <v>9468</v>
      </c>
      <c r="Y453" t="s">
        <v>9469</v>
      </c>
    </row>
    <row r="454" spans="1:25" x14ac:dyDescent="0.3">
      <c r="A454">
        <v>22650</v>
      </c>
      <c r="B454" t="s">
        <v>9470</v>
      </c>
      <c r="C454" t="s">
        <v>9471</v>
      </c>
      <c r="D454" t="s">
        <v>9472</v>
      </c>
      <c r="E454" t="s">
        <v>9473</v>
      </c>
      <c r="F454" t="s">
        <v>9474</v>
      </c>
      <c r="G454" t="s">
        <v>9475</v>
      </c>
      <c r="H454" t="s">
        <v>9476</v>
      </c>
      <c r="I454" t="s">
        <v>9477</v>
      </c>
      <c r="J454" t="s">
        <v>9478</v>
      </c>
      <c r="K454" t="s">
        <v>9479</v>
      </c>
      <c r="L454" t="s">
        <v>9480</v>
      </c>
      <c r="M454" t="s">
        <v>9481</v>
      </c>
      <c r="N454" t="s">
        <v>9482</v>
      </c>
      <c r="O454">
        <f>-693.317732757134 -41.2358631785635 -754.955012683037</f>
        <v>-1489.5086086187343</v>
      </c>
      <c r="P454">
        <f>-716.810152813082 -54.4665685321349 -439.583556951543</f>
        <v>-1210.86027829676</v>
      </c>
      <c r="Q454">
        <f>-474.169971912131 -69.1346701783873 -347.102891643448</f>
        <v>-890.40753373396637</v>
      </c>
      <c r="R454" t="s">
        <v>9483</v>
      </c>
      <c r="S454" t="s">
        <v>9484</v>
      </c>
      <c r="T454" t="s">
        <v>9485</v>
      </c>
      <c r="U454" t="s">
        <v>9486</v>
      </c>
      <c r="V454" t="s">
        <v>9487</v>
      </c>
      <c r="W454" t="s">
        <v>9488</v>
      </c>
      <c r="X454" t="s">
        <v>9489</v>
      </c>
      <c r="Y454" t="s">
        <v>9490</v>
      </c>
    </row>
    <row r="455" spans="1:25" x14ac:dyDescent="0.3">
      <c r="A455">
        <v>22700</v>
      </c>
      <c r="B455" t="s">
        <v>9491</v>
      </c>
      <c r="C455" t="s">
        <v>9492</v>
      </c>
      <c r="D455" t="s">
        <v>9493</v>
      </c>
      <c r="E455" t="s">
        <v>9494</v>
      </c>
      <c r="F455" t="s">
        <v>9495</v>
      </c>
      <c r="G455" t="s">
        <v>9496</v>
      </c>
      <c r="H455" t="s">
        <v>9497</v>
      </c>
      <c r="I455" t="s">
        <v>9498</v>
      </c>
      <c r="J455" t="s">
        <v>9499</v>
      </c>
      <c r="K455" t="s">
        <v>9500</v>
      </c>
      <c r="L455" t="s">
        <v>9501</v>
      </c>
      <c r="M455" t="s">
        <v>9502</v>
      </c>
      <c r="N455" t="s">
        <v>9503</v>
      </c>
      <c r="O455">
        <f>-692.971370845135 -41.3504123392649 -754.986433818789</f>
        <v>-1489.3082170031889</v>
      </c>
      <c r="P455">
        <f>-716.513274273291 -54.6874708899163 -439.622992996503</f>
        <v>-1210.8237381597103</v>
      </c>
      <c r="Q455">
        <f>-473.86626365276 -69.2357848734011 -347.141703000927</f>
        <v>-890.24375152708808</v>
      </c>
      <c r="R455" t="s">
        <v>9504</v>
      </c>
      <c r="S455" t="s">
        <v>9505</v>
      </c>
      <c r="T455" t="s">
        <v>9506</v>
      </c>
      <c r="U455" t="s">
        <v>9507</v>
      </c>
      <c r="V455" t="s">
        <v>9508</v>
      </c>
      <c r="W455" t="s">
        <v>9509</v>
      </c>
      <c r="X455" t="s">
        <v>9510</v>
      </c>
      <c r="Y455" t="s">
        <v>9511</v>
      </c>
    </row>
    <row r="456" spans="1:25" x14ac:dyDescent="0.3">
      <c r="A456">
        <v>22750</v>
      </c>
      <c r="B456" t="s">
        <v>9512</v>
      </c>
      <c r="C456" t="s">
        <v>9513</v>
      </c>
      <c r="D456" t="s">
        <v>9514</v>
      </c>
      <c r="E456" t="s">
        <v>9515</v>
      </c>
      <c r="F456" t="s">
        <v>9516</v>
      </c>
      <c r="G456" t="s">
        <v>9517</v>
      </c>
      <c r="H456" t="s">
        <v>9518</v>
      </c>
      <c r="I456" t="s">
        <v>9519</v>
      </c>
      <c r="J456" t="s">
        <v>9520</v>
      </c>
      <c r="K456" t="s">
        <v>9521</v>
      </c>
      <c r="L456" t="s">
        <v>9522</v>
      </c>
      <c r="M456" t="s">
        <v>9523</v>
      </c>
      <c r="N456" t="s">
        <v>9524</v>
      </c>
      <c r="O456">
        <f>-692.093882081674 -41.726756761562 -755.013894930327</f>
        <v>-1488.834533773563</v>
      </c>
      <c r="P456">
        <f>-715.668496385531 -54.8793691320791 -439.645138984851</f>
        <v>-1210.193004502461</v>
      </c>
      <c r="Q456">
        <f>-473.024881980088 -69.2372771855473 -347.125004234491</f>
        <v>-889.38716340012638</v>
      </c>
      <c r="R456" t="s">
        <v>9525</v>
      </c>
      <c r="S456" t="s">
        <v>9526</v>
      </c>
      <c r="T456" t="s">
        <v>9527</v>
      </c>
      <c r="U456" t="s">
        <v>9528</v>
      </c>
      <c r="V456" t="s">
        <v>9529</v>
      </c>
      <c r="W456" t="s">
        <v>9530</v>
      </c>
      <c r="X456" t="s">
        <v>9531</v>
      </c>
      <c r="Y456" t="s">
        <v>9532</v>
      </c>
    </row>
    <row r="457" spans="1:25" x14ac:dyDescent="0.3">
      <c r="A457">
        <v>22800</v>
      </c>
      <c r="B457" t="s">
        <v>9533</v>
      </c>
      <c r="C457" t="s">
        <v>9534</v>
      </c>
      <c r="D457" t="s">
        <v>9535</v>
      </c>
      <c r="E457" t="s">
        <v>9536</v>
      </c>
      <c r="F457" t="s">
        <v>9537</v>
      </c>
      <c r="G457" t="s">
        <v>9538</v>
      </c>
      <c r="H457" t="s">
        <v>9539</v>
      </c>
      <c r="I457" t="s">
        <v>9540</v>
      </c>
      <c r="J457" t="s">
        <v>9541</v>
      </c>
      <c r="K457" t="s">
        <v>9542</v>
      </c>
      <c r="L457" t="s">
        <v>9543</v>
      </c>
      <c r="M457" t="s">
        <v>9544</v>
      </c>
      <c r="N457" t="s">
        <v>9545</v>
      </c>
      <c r="O457">
        <f>-691.684781028932 -41.9925210332151 -754.93385378966</f>
        <v>-1488.6111558518071</v>
      </c>
      <c r="P457">
        <f>-715.218964575356 -55.0821343986131 -439.559495858635</f>
        <v>-1209.8605948326042</v>
      </c>
      <c r="Q457">
        <f>-472.571104384094 -69.3156339438983 -347.031428067237</f>
        <v>-888.91816639522926</v>
      </c>
      <c r="R457" t="s">
        <v>9546</v>
      </c>
      <c r="S457" t="s">
        <v>9547</v>
      </c>
      <c r="T457" t="s">
        <v>9548</v>
      </c>
      <c r="U457" t="s">
        <v>9549</v>
      </c>
      <c r="V457" t="s">
        <v>9550</v>
      </c>
      <c r="W457" t="s">
        <v>9551</v>
      </c>
      <c r="X457" t="s">
        <v>9552</v>
      </c>
      <c r="Y457" t="s">
        <v>9553</v>
      </c>
    </row>
    <row r="458" spans="1:25" x14ac:dyDescent="0.3">
      <c r="A458">
        <v>22850</v>
      </c>
      <c r="B458" t="s">
        <v>9554</v>
      </c>
      <c r="C458" t="s">
        <v>9555</v>
      </c>
      <c r="D458" t="s">
        <v>9556</v>
      </c>
      <c r="E458" t="s">
        <v>9557</v>
      </c>
      <c r="F458" t="s">
        <v>9558</v>
      </c>
      <c r="G458" t="s">
        <v>9559</v>
      </c>
      <c r="H458" t="s">
        <v>9560</v>
      </c>
      <c r="I458" t="s">
        <v>9561</v>
      </c>
      <c r="J458" t="s">
        <v>9562</v>
      </c>
      <c r="K458" t="s">
        <v>9563</v>
      </c>
      <c r="L458" t="s">
        <v>9564</v>
      </c>
      <c r="M458" t="s">
        <v>9565</v>
      </c>
      <c r="N458" t="s">
        <v>9566</v>
      </c>
      <c r="O458">
        <f>-690.884459959228 -42.5363554503988 -754.696971787384</f>
        <v>-1488.1177871970108</v>
      </c>
      <c r="P458">
        <f>-714.290493768495 -55.3846131530172 -439.303293728379</f>
        <v>-1208.9784006498912</v>
      </c>
      <c r="Q458">
        <f>-471.626979267314 -69.3964055189444 -346.782162748007</f>
        <v>-887.80554753426554</v>
      </c>
      <c r="R458" t="s">
        <v>9567</v>
      </c>
      <c r="S458" t="s">
        <v>9568</v>
      </c>
      <c r="T458" t="s">
        <v>9569</v>
      </c>
      <c r="U458" t="s">
        <v>9570</v>
      </c>
      <c r="V458" t="s">
        <v>9571</v>
      </c>
      <c r="W458" t="s">
        <v>9572</v>
      </c>
      <c r="X458" t="s">
        <v>9573</v>
      </c>
      <c r="Y458" t="s">
        <v>9574</v>
      </c>
    </row>
    <row r="459" spans="1:25" x14ac:dyDescent="0.3">
      <c r="A459">
        <v>22900</v>
      </c>
      <c r="B459" t="s">
        <v>9575</v>
      </c>
      <c r="C459" t="s">
        <v>9576</v>
      </c>
      <c r="D459" t="s">
        <v>9577</v>
      </c>
      <c r="E459" t="s">
        <v>9578</v>
      </c>
      <c r="F459" t="s">
        <v>9579</v>
      </c>
      <c r="G459" t="s">
        <v>9580</v>
      </c>
      <c r="H459" t="s">
        <v>9581</v>
      </c>
      <c r="I459" t="s">
        <v>9582</v>
      </c>
      <c r="J459" t="s">
        <v>9583</v>
      </c>
      <c r="K459" t="s">
        <v>9584</v>
      </c>
      <c r="L459" t="s">
        <v>9585</v>
      </c>
      <c r="M459" t="s">
        <v>9586</v>
      </c>
      <c r="N459" t="s">
        <v>9587</v>
      </c>
      <c r="O459">
        <f>-690.473510498384 -42.8602595310699 -754.585641529735</f>
        <v>-1487.919411559189</v>
      </c>
      <c r="P459">
        <f>-713.803030018276 -55.6084105935036 -439.182052611038</f>
        <v>-1208.5934932228174</v>
      </c>
      <c r="Q459">
        <f>-471.11607267168 -69.4697694020854 -346.699868283622</f>
        <v>-887.28571035738742</v>
      </c>
      <c r="R459" t="s">
        <v>9588</v>
      </c>
      <c r="S459" t="s">
        <v>9589</v>
      </c>
      <c r="T459" t="s">
        <v>9590</v>
      </c>
      <c r="U459" t="s">
        <v>9591</v>
      </c>
      <c r="V459" t="s">
        <v>9592</v>
      </c>
      <c r="W459" t="s">
        <v>9593</v>
      </c>
      <c r="X459" t="s">
        <v>9594</v>
      </c>
      <c r="Y459" t="s">
        <v>9595</v>
      </c>
    </row>
    <row r="460" spans="1:25" x14ac:dyDescent="0.3">
      <c r="A460">
        <v>22950</v>
      </c>
      <c r="B460" t="s">
        <v>9596</v>
      </c>
      <c r="C460" t="s">
        <v>9597</v>
      </c>
      <c r="D460" t="s">
        <v>9598</v>
      </c>
      <c r="E460" t="s">
        <v>9599</v>
      </c>
      <c r="F460" t="s">
        <v>9600</v>
      </c>
      <c r="G460" t="s">
        <v>9601</v>
      </c>
      <c r="H460" t="s">
        <v>9602</v>
      </c>
      <c r="I460" t="s">
        <v>9603</v>
      </c>
      <c r="J460" t="s">
        <v>9604</v>
      </c>
      <c r="K460" t="s">
        <v>9605</v>
      </c>
      <c r="L460" t="s">
        <v>9606</v>
      </c>
      <c r="M460" t="s">
        <v>9607</v>
      </c>
      <c r="N460" t="s">
        <v>9608</v>
      </c>
      <c r="O460">
        <f>-689.759083157875 -43.4574331761594 -754.425462167812</f>
        <v>-1487.6419785018466</v>
      </c>
      <c r="P460">
        <f>-712.934377870664 -55.9992161993316 -439.002243580155</f>
        <v>-1207.9358376501505</v>
      </c>
      <c r="Q460">
        <f>-470.20081477344 -69.611290872353 -346.605236203656</f>
        <v>-886.41734184944903</v>
      </c>
      <c r="R460" t="s">
        <v>9609</v>
      </c>
      <c r="S460" t="s">
        <v>9610</v>
      </c>
      <c r="T460" t="s">
        <v>9611</v>
      </c>
      <c r="U460" t="s">
        <v>9612</v>
      </c>
      <c r="V460" t="s">
        <v>9613</v>
      </c>
      <c r="W460" t="s">
        <v>9614</v>
      </c>
      <c r="X460" t="s">
        <v>9615</v>
      </c>
      <c r="Y460" t="s">
        <v>9616</v>
      </c>
    </row>
    <row r="461" spans="1:25" x14ac:dyDescent="0.3">
      <c r="A461">
        <v>23000</v>
      </c>
      <c r="B461" t="s">
        <v>9617</v>
      </c>
      <c r="C461" t="s">
        <v>9618</v>
      </c>
      <c r="D461" t="s">
        <v>9619</v>
      </c>
      <c r="E461" t="s">
        <v>9620</v>
      </c>
      <c r="F461" t="s">
        <v>9621</v>
      </c>
      <c r="G461" t="s">
        <v>9622</v>
      </c>
      <c r="H461" t="s">
        <v>9623</v>
      </c>
      <c r="I461" t="s">
        <v>9624</v>
      </c>
      <c r="J461" t="s">
        <v>9625</v>
      </c>
      <c r="K461" t="s">
        <v>9626</v>
      </c>
      <c r="L461" t="s">
        <v>9627</v>
      </c>
      <c r="M461" t="s">
        <v>9628</v>
      </c>
      <c r="N461" t="s">
        <v>9629</v>
      </c>
      <c r="O461">
        <f>-689.344225299108 -43.7782370750954 -754.346844349827</f>
        <v>-1487.4693067240305</v>
      </c>
      <c r="P461">
        <f>-712.382477151275 -56.3034093217877 -438.912936334436</f>
        <v>-1207.5988228074987</v>
      </c>
      <c r="Q461">
        <f>-469.622982520482 -69.8187383369075 -346.570146388216</f>
        <v>-886.01186724560557</v>
      </c>
      <c r="R461" t="s">
        <v>9630</v>
      </c>
      <c r="S461" t="s">
        <v>9631</v>
      </c>
      <c r="T461" t="s">
        <v>9632</v>
      </c>
      <c r="U461" t="s">
        <v>9633</v>
      </c>
      <c r="V461" t="s">
        <v>9634</v>
      </c>
      <c r="W461" t="s">
        <v>9635</v>
      </c>
      <c r="X461" t="s">
        <v>9636</v>
      </c>
      <c r="Y461" t="s">
        <v>9637</v>
      </c>
    </row>
    <row r="462" spans="1:25" x14ac:dyDescent="0.3">
      <c r="A462">
        <v>23050</v>
      </c>
      <c r="B462" t="s">
        <v>9638</v>
      </c>
      <c r="C462" t="s">
        <v>9639</v>
      </c>
      <c r="D462" t="s">
        <v>9640</v>
      </c>
      <c r="E462" t="s">
        <v>9641</v>
      </c>
      <c r="F462" t="s">
        <v>9642</v>
      </c>
      <c r="G462" t="s">
        <v>9643</v>
      </c>
      <c r="H462" t="s">
        <v>9644</v>
      </c>
      <c r="I462" t="s">
        <v>9645</v>
      </c>
      <c r="J462" t="s">
        <v>9646</v>
      </c>
      <c r="K462" t="s">
        <v>9647</v>
      </c>
      <c r="L462" t="s">
        <v>9648</v>
      </c>
      <c r="M462" t="s">
        <v>9649</v>
      </c>
      <c r="N462" t="s">
        <v>9650</v>
      </c>
      <c r="O462">
        <f>-688.526728931569 -44.4165609601118 -754.247542319853</f>
        <v>-1487.1908322115337</v>
      </c>
      <c r="P462">
        <f>-711.392382466973 -56.6777791644995 -438.790676481855</f>
        <v>-1206.8608381133274</v>
      </c>
      <c r="Q462">
        <f>-468.575499160628 -69.9742195349852 -346.566664609869</f>
        <v>-885.11638330548215</v>
      </c>
      <c r="R462" t="s">
        <v>9651</v>
      </c>
      <c r="S462" t="s">
        <v>9652</v>
      </c>
      <c r="T462" t="s">
        <v>9653</v>
      </c>
      <c r="U462" t="s">
        <v>9654</v>
      </c>
      <c r="V462" t="s">
        <v>9655</v>
      </c>
      <c r="W462" t="s">
        <v>9656</v>
      </c>
      <c r="X462" t="s">
        <v>9657</v>
      </c>
      <c r="Y462" t="s">
        <v>9658</v>
      </c>
    </row>
    <row r="463" spans="1:25" x14ac:dyDescent="0.3">
      <c r="A463">
        <v>23100</v>
      </c>
      <c r="B463" t="s">
        <v>9659</v>
      </c>
      <c r="C463" t="s">
        <v>9660</v>
      </c>
      <c r="D463" t="s">
        <v>9661</v>
      </c>
      <c r="E463" t="s">
        <v>9662</v>
      </c>
      <c r="F463" t="s">
        <v>9663</v>
      </c>
      <c r="G463" t="s">
        <v>9664</v>
      </c>
      <c r="H463" t="s">
        <v>9665</v>
      </c>
      <c r="I463" t="s">
        <v>9666</v>
      </c>
      <c r="J463" t="s">
        <v>9667</v>
      </c>
      <c r="K463" t="s">
        <v>9668</v>
      </c>
      <c r="L463" t="s">
        <v>9669</v>
      </c>
      <c r="M463" t="s">
        <v>9670</v>
      </c>
      <c r="N463" t="s">
        <v>9671</v>
      </c>
      <c r="O463">
        <f>-688.208010445898 -44.7047185808435 -754.18835473016</f>
        <v>-1487.1010837569015</v>
      </c>
      <c r="P463">
        <f>-710.967120366038 -57.0226728404157 -438.726007143716</f>
        <v>-1206.7158003501697</v>
      </c>
      <c r="Q463">
        <f>-468.141011998995 -70.1878225513733 -346.507844154879</f>
        <v>-884.83667870524732</v>
      </c>
      <c r="R463" t="s">
        <v>9672</v>
      </c>
      <c r="S463" t="s">
        <v>9673</v>
      </c>
      <c r="T463" t="s">
        <v>9674</v>
      </c>
      <c r="U463" t="s">
        <v>9675</v>
      </c>
      <c r="V463" t="s">
        <v>9676</v>
      </c>
      <c r="W463" t="s">
        <v>9677</v>
      </c>
      <c r="X463" t="s">
        <v>9678</v>
      </c>
      <c r="Y463" t="s">
        <v>9679</v>
      </c>
    </row>
    <row r="464" spans="1:25" x14ac:dyDescent="0.3">
      <c r="A464">
        <v>23150</v>
      </c>
      <c r="B464" t="s">
        <v>9680</v>
      </c>
      <c r="C464" t="s">
        <v>9681</v>
      </c>
      <c r="D464" t="s">
        <v>9682</v>
      </c>
      <c r="E464" t="s">
        <v>9683</v>
      </c>
      <c r="F464" t="s">
        <v>9684</v>
      </c>
      <c r="G464" t="s">
        <v>9685</v>
      </c>
      <c r="H464" t="s">
        <v>9686</v>
      </c>
      <c r="I464" t="s">
        <v>9687</v>
      </c>
      <c r="J464" t="s">
        <v>9688</v>
      </c>
      <c r="K464" t="s">
        <v>9689</v>
      </c>
      <c r="L464" t="s">
        <v>9690</v>
      </c>
      <c r="M464" t="s">
        <v>9691</v>
      </c>
      <c r="N464" t="s">
        <v>9692</v>
      </c>
      <c r="O464">
        <f>-687.65750065879 -45.1249365431277 -754.173384951963</f>
        <v>-1486.9558221538807</v>
      </c>
      <c r="P464">
        <f>-710.373584898595 -57.2537889998932 -438.700540544008</f>
        <v>-1206.3279144424962</v>
      </c>
      <c r="Q464">
        <f>-467.533457335912 -69.9750360177193 -346.456683173505</f>
        <v>-883.96517652713624</v>
      </c>
      <c r="R464" t="s">
        <v>9693</v>
      </c>
      <c r="S464" t="s">
        <v>9694</v>
      </c>
      <c r="T464" t="s">
        <v>9695</v>
      </c>
      <c r="U464" t="s">
        <v>9696</v>
      </c>
      <c r="V464" t="s">
        <v>9697</v>
      </c>
      <c r="W464" t="s">
        <v>9698</v>
      </c>
      <c r="X464" t="s">
        <v>9699</v>
      </c>
      <c r="Y464" t="s">
        <v>9700</v>
      </c>
    </row>
    <row r="465" spans="1:25" x14ac:dyDescent="0.3">
      <c r="A465">
        <v>23200</v>
      </c>
      <c r="B465" t="s">
        <v>9701</v>
      </c>
      <c r="C465" t="s">
        <v>9702</v>
      </c>
      <c r="D465" t="s">
        <v>9703</v>
      </c>
      <c r="E465" t="s">
        <v>9704</v>
      </c>
      <c r="F465" t="s">
        <v>9705</v>
      </c>
      <c r="G465" t="s">
        <v>9706</v>
      </c>
      <c r="H465" t="s">
        <v>9707</v>
      </c>
      <c r="I465" t="s">
        <v>9708</v>
      </c>
      <c r="J465" t="s">
        <v>9709</v>
      </c>
      <c r="K465" t="s">
        <v>9710</v>
      </c>
      <c r="L465" t="s">
        <v>9711</v>
      </c>
      <c r="M465" t="s">
        <v>9712</v>
      </c>
      <c r="N465" t="s">
        <v>9713</v>
      </c>
      <c r="O465">
        <f>-687.731598113952 -45.4579802402193 -754.151669167531</f>
        <v>-1487.3412475217024</v>
      </c>
      <c r="P465">
        <f>-710.54175523735 -57.5194403713067 -438.683169691986</f>
        <v>-1206.7443653006426</v>
      </c>
      <c r="Q465">
        <f>-467.721538068414 -69.8681004020309 -346.336405237512</f>
        <v>-883.92604370795698</v>
      </c>
      <c r="R465" t="s">
        <v>9714</v>
      </c>
      <c r="S465" t="s">
        <v>9715</v>
      </c>
      <c r="T465" t="s">
        <v>9716</v>
      </c>
      <c r="U465" t="s">
        <v>9717</v>
      </c>
      <c r="V465" t="s">
        <v>9718</v>
      </c>
      <c r="W465" t="s">
        <v>9719</v>
      </c>
      <c r="X465" t="s">
        <v>9720</v>
      </c>
      <c r="Y465" t="s">
        <v>9721</v>
      </c>
    </row>
    <row r="466" spans="1:25" x14ac:dyDescent="0.3">
      <c r="A466">
        <v>23250</v>
      </c>
      <c r="B466" t="s">
        <v>9722</v>
      </c>
      <c r="C466" t="s">
        <v>9723</v>
      </c>
      <c r="D466" t="s">
        <v>9724</v>
      </c>
      <c r="E466" t="s">
        <v>9725</v>
      </c>
      <c r="F466" t="s">
        <v>9726</v>
      </c>
      <c r="G466" t="s">
        <v>9727</v>
      </c>
      <c r="H466" t="s">
        <v>9728</v>
      </c>
      <c r="I466" t="s">
        <v>9729</v>
      </c>
      <c r="J466" t="s">
        <v>9730</v>
      </c>
      <c r="K466" t="s">
        <v>9731</v>
      </c>
      <c r="L466" t="s">
        <v>9732</v>
      </c>
      <c r="M466" t="s">
        <v>9733</v>
      </c>
      <c r="N466" t="s">
        <v>9734</v>
      </c>
      <c r="O466">
        <f>-687.969584024646 -46.4831994823655 -753.805052994942</f>
        <v>-1488.2578365019535</v>
      </c>
      <c r="P466">
        <f>-710.917260428609 -57.8723284723935 -438.32164802979</f>
        <v>-1207.1112369307925</v>
      </c>
      <c r="Q466">
        <f>-468.13583934717 -69.3480300239073 -345.760250961035</f>
        <v>-883.24412033211229</v>
      </c>
      <c r="R466" t="s">
        <v>9735</v>
      </c>
      <c r="S466" t="s">
        <v>9736</v>
      </c>
      <c r="T466" t="s">
        <v>9737</v>
      </c>
      <c r="U466" t="s">
        <v>9738</v>
      </c>
      <c r="V466" t="s">
        <v>9739</v>
      </c>
      <c r="W466" t="s">
        <v>9740</v>
      </c>
      <c r="X466" t="s">
        <v>9741</v>
      </c>
      <c r="Y466" t="s">
        <v>9742</v>
      </c>
    </row>
    <row r="467" spans="1:25" x14ac:dyDescent="0.3">
      <c r="A467">
        <v>23300</v>
      </c>
      <c r="B467" t="s">
        <v>9743</v>
      </c>
      <c r="C467" t="s">
        <v>9744</v>
      </c>
      <c r="D467" t="s">
        <v>9745</v>
      </c>
      <c r="E467" t="s">
        <v>9746</v>
      </c>
      <c r="F467" t="s">
        <v>9747</v>
      </c>
      <c r="G467" t="s">
        <v>9748</v>
      </c>
      <c r="H467" t="s">
        <v>9749</v>
      </c>
      <c r="I467" t="s">
        <v>9750</v>
      </c>
      <c r="J467" t="s">
        <v>9751</v>
      </c>
      <c r="K467" t="s">
        <v>9752</v>
      </c>
      <c r="L467" t="s">
        <v>9753</v>
      </c>
      <c r="M467" t="s">
        <v>9754</v>
      </c>
      <c r="N467" t="s">
        <v>9755</v>
      </c>
      <c r="O467">
        <f>-687.691914052984 -46.8991496311887 -753.6362355742</f>
        <v>-1488.2272992583726</v>
      </c>
      <c r="P467">
        <f>-710.501666359419 -57.766737490168 -438.124319691556</f>
        <v>-1206.3927235411429</v>
      </c>
      <c r="Q467">
        <f>-467.731443272686 -68.961404446489 -345.499504388666</f>
        <v>-882.19235210784109</v>
      </c>
      <c r="R467" t="s">
        <v>9756</v>
      </c>
      <c r="S467" t="s">
        <v>9757</v>
      </c>
      <c r="T467" t="s">
        <v>9758</v>
      </c>
      <c r="U467" t="s">
        <v>9759</v>
      </c>
      <c r="V467" t="s">
        <v>9760</v>
      </c>
      <c r="W467" t="s">
        <v>9761</v>
      </c>
      <c r="X467" t="s">
        <v>9762</v>
      </c>
      <c r="Y467" t="s">
        <v>9763</v>
      </c>
    </row>
    <row r="468" spans="1:25" x14ac:dyDescent="0.3">
      <c r="A468">
        <v>23350</v>
      </c>
      <c r="B468" t="s">
        <v>9764</v>
      </c>
      <c r="C468" t="s">
        <v>9765</v>
      </c>
      <c r="D468" t="s">
        <v>9766</v>
      </c>
      <c r="E468" t="s">
        <v>9767</v>
      </c>
      <c r="F468" t="s">
        <v>9768</v>
      </c>
      <c r="G468" t="s">
        <v>9769</v>
      </c>
      <c r="H468" t="s">
        <v>9770</v>
      </c>
      <c r="I468" t="s">
        <v>9771</v>
      </c>
      <c r="J468" t="s">
        <v>9772</v>
      </c>
      <c r="K468" t="s">
        <v>9773</v>
      </c>
      <c r="L468" t="s">
        <v>9774</v>
      </c>
      <c r="M468" t="s">
        <v>9775</v>
      </c>
      <c r="N468" t="s">
        <v>9776</v>
      </c>
      <c r="O468">
        <f>-687.594461947431 -47.2151276198506 -753.295073617327</f>
        <v>-1488.1046631846086</v>
      </c>
      <c r="P468">
        <f>-710.137556427157 -57.3743916240617 -437.740368269769</f>
        <v>-1205.2523163209878</v>
      </c>
      <c r="Q468">
        <f>-467.308561431449 -67.6016084657554 -345.157596469971</f>
        <v>-880.06776636717541</v>
      </c>
      <c r="R468" t="s">
        <v>9777</v>
      </c>
      <c r="S468" t="s">
        <v>9778</v>
      </c>
      <c r="T468" t="s">
        <v>9779</v>
      </c>
      <c r="U468" t="s">
        <v>9780</v>
      </c>
      <c r="V468" t="s">
        <v>9781</v>
      </c>
      <c r="W468" t="s">
        <v>9782</v>
      </c>
      <c r="X468" t="s">
        <v>9783</v>
      </c>
      <c r="Y468" t="s">
        <v>9784</v>
      </c>
    </row>
    <row r="469" spans="1:25" x14ac:dyDescent="0.3">
      <c r="A469">
        <v>23400</v>
      </c>
      <c r="B469" t="s">
        <v>9785</v>
      </c>
      <c r="C469" t="s">
        <v>9786</v>
      </c>
      <c r="D469" t="s">
        <v>9787</v>
      </c>
      <c r="E469" t="s">
        <v>9788</v>
      </c>
      <c r="F469" t="s">
        <v>9789</v>
      </c>
      <c r="G469" t="s">
        <v>9790</v>
      </c>
      <c r="H469" t="s">
        <v>9791</v>
      </c>
      <c r="I469" t="s">
        <v>9792</v>
      </c>
      <c r="J469" t="s">
        <v>9793</v>
      </c>
      <c r="K469" t="s">
        <v>9794</v>
      </c>
      <c r="L469" t="s">
        <v>9795</v>
      </c>
      <c r="M469" t="s">
        <v>9796</v>
      </c>
      <c r="N469" t="s">
        <v>9797</v>
      </c>
      <c r="O469">
        <f>-687.886550517413 -47.1130899943173 -753.084659739581</f>
        <v>-1488.0843002513111</v>
      </c>
      <c r="P469">
        <f>-710.182972875194 -57.1267039811519 -437.507796459957</f>
        <v>-1204.8174733163028</v>
      </c>
      <c r="Q469">
        <f>-467.259533748264 -66.7737966495561 -345.111096882433</f>
        <v>-879.14442728025313</v>
      </c>
      <c r="R469" t="s">
        <v>9798</v>
      </c>
      <c r="S469" t="s">
        <v>9799</v>
      </c>
      <c r="T469" t="s">
        <v>9800</v>
      </c>
      <c r="U469" t="s">
        <v>9801</v>
      </c>
      <c r="V469" t="s">
        <v>9802</v>
      </c>
      <c r="W469" t="s">
        <v>9803</v>
      </c>
      <c r="X469" t="s">
        <v>9804</v>
      </c>
      <c r="Y469" t="s">
        <v>9805</v>
      </c>
    </row>
    <row r="470" spans="1:25" x14ac:dyDescent="0.3">
      <c r="A470">
        <v>23450</v>
      </c>
      <c r="B470" t="s">
        <v>9806</v>
      </c>
      <c r="C470" t="s">
        <v>9807</v>
      </c>
      <c r="D470" t="s">
        <v>9808</v>
      </c>
      <c r="E470" t="s">
        <v>9809</v>
      </c>
      <c r="F470" t="s">
        <v>9810</v>
      </c>
      <c r="G470" t="s">
        <v>9811</v>
      </c>
      <c r="H470" t="s">
        <v>9812</v>
      </c>
      <c r="I470" t="s">
        <v>9813</v>
      </c>
      <c r="J470" t="s">
        <v>9814</v>
      </c>
      <c r="K470" t="s">
        <v>9815</v>
      </c>
      <c r="L470" t="s">
        <v>9816</v>
      </c>
      <c r="M470" t="s">
        <v>9817</v>
      </c>
      <c r="N470" t="s">
        <v>9818</v>
      </c>
      <c r="O470">
        <f>-688.867463969774 -46.7569899549919 -752.804696206888</f>
        <v>-1488.4291501316538</v>
      </c>
      <c r="P470">
        <f>-710.497391989634 -56.6140661769577 -437.176503019568</f>
        <v>-1204.2879611861597</v>
      </c>
      <c r="Q470">
        <f>-467.276566154615 -65.7224908592059 -345.510040767955</f>
        <v>-878.50909778177584</v>
      </c>
      <c r="R470" t="s">
        <v>9819</v>
      </c>
      <c r="S470" t="s">
        <v>9820</v>
      </c>
      <c r="T470" t="s">
        <v>9821</v>
      </c>
      <c r="U470" t="s">
        <v>9822</v>
      </c>
      <c r="V470" t="s">
        <v>9823</v>
      </c>
      <c r="W470" t="s">
        <v>9824</v>
      </c>
      <c r="X470" t="s">
        <v>9825</v>
      </c>
      <c r="Y470" t="s">
        <v>9826</v>
      </c>
    </row>
    <row r="471" spans="1:25" x14ac:dyDescent="0.3">
      <c r="A471">
        <v>23500</v>
      </c>
      <c r="B471" t="s">
        <v>9827</v>
      </c>
      <c r="C471" t="s">
        <v>9828</v>
      </c>
      <c r="D471" t="s">
        <v>9829</v>
      </c>
      <c r="E471" t="s">
        <v>9830</v>
      </c>
      <c r="F471" t="s">
        <v>9831</v>
      </c>
      <c r="G471" t="s">
        <v>9832</v>
      </c>
      <c r="H471" t="s">
        <v>9833</v>
      </c>
      <c r="I471" t="s">
        <v>9834</v>
      </c>
      <c r="J471" t="s">
        <v>9835</v>
      </c>
      <c r="K471" t="s">
        <v>9836</v>
      </c>
      <c r="L471" t="s">
        <v>9837</v>
      </c>
      <c r="M471" t="s">
        <v>9838</v>
      </c>
      <c r="N471" t="s">
        <v>9839</v>
      </c>
      <c r="O471">
        <f>-689.450711459717 -46.478539784533 -752.698622539578</f>
        <v>-1488.6278737838279</v>
      </c>
      <c r="P471">
        <f>-710.706972672894 -56.1974449906863 -437.040674777905</f>
        <v>-1203.9450924414855</v>
      </c>
      <c r="Q471">
        <f>-467.350789804797 -65.2289810907703 -345.726591936243</f>
        <v>-878.30636283181025</v>
      </c>
      <c r="R471" t="s">
        <v>9840</v>
      </c>
      <c r="S471" t="s">
        <v>9841</v>
      </c>
      <c r="T471" t="s">
        <v>9842</v>
      </c>
      <c r="U471" t="s">
        <v>9843</v>
      </c>
      <c r="V471" t="s">
        <v>9844</v>
      </c>
      <c r="W471" t="s">
        <v>9845</v>
      </c>
      <c r="X471" t="s">
        <v>9846</v>
      </c>
      <c r="Y471" t="s">
        <v>9847</v>
      </c>
    </row>
    <row r="472" spans="1:25" x14ac:dyDescent="0.3">
      <c r="A472">
        <v>23550</v>
      </c>
      <c r="B472" t="s">
        <v>9848</v>
      </c>
      <c r="C472" t="s">
        <v>9849</v>
      </c>
      <c r="D472" t="s">
        <v>9850</v>
      </c>
      <c r="E472" t="s">
        <v>9851</v>
      </c>
      <c r="F472" t="s">
        <v>9852</v>
      </c>
      <c r="G472" t="s">
        <v>9853</v>
      </c>
      <c r="H472" t="s">
        <v>9854</v>
      </c>
      <c r="I472" t="s">
        <v>9855</v>
      </c>
      <c r="J472" t="s">
        <v>9856</v>
      </c>
      <c r="K472" t="s">
        <v>9857</v>
      </c>
      <c r="L472" t="s">
        <v>9858</v>
      </c>
      <c r="M472" t="s">
        <v>9859</v>
      </c>
      <c r="N472" t="s">
        <v>9860</v>
      </c>
      <c r="O472">
        <f>-690.407485561674 -45.9631452130773 -752.548749095646</f>
        <v>-1488.9193798703973</v>
      </c>
      <c r="P472">
        <f>-711.329188521264 -55.3961821743096 -436.859864752592</f>
        <v>-1203.5852354481656</v>
      </c>
      <c r="Q472">
        <f>-467.858874778621 -64.7007533122742 -345.8780030956</f>
        <v>-878.4376311864952</v>
      </c>
      <c r="R472" t="s">
        <v>9861</v>
      </c>
      <c r="S472" t="s">
        <v>9862</v>
      </c>
      <c r="T472" t="s">
        <v>9863</v>
      </c>
      <c r="U472" t="s">
        <v>9864</v>
      </c>
      <c r="V472" t="s">
        <v>9865</v>
      </c>
      <c r="W472" t="s">
        <v>9866</v>
      </c>
      <c r="X472" t="s">
        <v>9867</v>
      </c>
      <c r="Y472" t="s">
        <v>9868</v>
      </c>
    </row>
    <row r="473" spans="1:25" x14ac:dyDescent="0.3">
      <c r="A473">
        <v>23600</v>
      </c>
      <c r="B473" t="s">
        <v>9869</v>
      </c>
      <c r="C473" t="s">
        <v>9870</v>
      </c>
      <c r="D473" t="s">
        <v>9871</v>
      </c>
      <c r="E473" t="s">
        <v>9872</v>
      </c>
      <c r="F473" t="s">
        <v>9873</v>
      </c>
      <c r="G473" t="s">
        <v>9874</v>
      </c>
      <c r="H473" t="s">
        <v>9875</v>
      </c>
      <c r="I473" t="s">
        <v>9876</v>
      </c>
      <c r="J473" t="s">
        <v>9877</v>
      </c>
      <c r="K473" t="s">
        <v>9878</v>
      </c>
      <c r="L473" t="s">
        <v>9879</v>
      </c>
      <c r="M473" t="s">
        <v>9880</v>
      </c>
      <c r="N473" t="s">
        <v>9881</v>
      </c>
      <c r="O473">
        <f>-690.742009350646 -45.6775929698979 -752.436633726814</f>
        <v>-1488.8562360473579</v>
      </c>
      <c r="P473">
        <f>-711.535300382855 -55.0752514564172 -436.738316161174</f>
        <v>-1203.3488680004461</v>
      </c>
      <c r="Q473">
        <f>-468.084810127356 -64.6083070275374 -345.727091774286</f>
        <v>-878.42020892917935</v>
      </c>
      <c r="R473" t="s">
        <v>9882</v>
      </c>
      <c r="S473" t="s">
        <v>9883</v>
      </c>
      <c r="T473" t="s">
        <v>9884</v>
      </c>
      <c r="U473" t="s">
        <v>9885</v>
      </c>
      <c r="V473" t="s">
        <v>9886</v>
      </c>
      <c r="W473" t="s">
        <v>9887</v>
      </c>
      <c r="X473" t="s">
        <v>9888</v>
      </c>
      <c r="Y473" t="s">
        <v>9889</v>
      </c>
    </row>
    <row r="474" spans="1:25" x14ac:dyDescent="0.3">
      <c r="A474">
        <v>23650</v>
      </c>
      <c r="B474" t="s">
        <v>9890</v>
      </c>
      <c r="C474" t="s">
        <v>9891</v>
      </c>
      <c r="D474" t="s">
        <v>9892</v>
      </c>
      <c r="E474" t="s">
        <v>9893</v>
      </c>
      <c r="F474" t="s">
        <v>9894</v>
      </c>
      <c r="G474" t="s">
        <v>9895</v>
      </c>
      <c r="H474" t="s">
        <v>9896</v>
      </c>
      <c r="I474" t="s">
        <v>9897</v>
      </c>
      <c r="J474" t="s">
        <v>9898</v>
      </c>
      <c r="K474" t="s">
        <v>9899</v>
      </c>
      <c r="L474" t="s">
        <v>9900</v>
      </c>
      <c r="M474" t="s">
        <v>9901</v>
      </c>
      <c r="N474" t="s">
        <v>9902</v>
      </c>
      <c r="O474">
        <f>-691.263548820149 -45.2042571455263 -752.122923764348</f>
        <v>-1488.5907297300232</v>
      </c>
      <c r="P474">
        <f>-712.058636814457 -53.9317933655682 -436.40534785405</f>
        <v>-1202.3957780340752</v>
      </c>
      <c r="Q474">
        <f>-468.66303612249 -63.569812730952 -345.258542708438</f>
        <v>-877.49139156187994</v>
      </c>
      <c r="R474" t="s">
        <v>9903</v>
      </c>
      <c r="S474" t="s">
        <v>9904</v>
      </c>
      <c r="T474" t="s">
        <v>9905</v>
      </c>
      <c r="U474" t="s">
        <v>9906</v>
      </c>
      <c r="V474" t="s">
        <v>9907</v>
      </c>
      <c r="W474" t="s">
        <v>9908</v>
      </c>
      <c r="X474" t="s">
        <v>9909</v>
      </c>
      <c r="Y474" t="s">
        <v>9910</v>
      </c>
    </row>
    <row r="475" spans="1:25" x14ac:dyDescent="0.3">
      <c r="A475">
        <v>23700</v>
      </c>
      <c r="B475" t="s">
        <v>9911</v>
      </c>
      <c r="C475" t="s">
        <v>9912</v>
      </c>
      <c r="D475" t="s">
        <v>9913</v>
      </c>
      <c r="E475" t="s">
        <v>9914</v>
      </c>
      <c r="F475" t="s">
        <v>9915</v>
      </c>
      <c r="G475" t="s">
        <v>9916</v>
      </c>
      <c r="H475" t="s">
        <v>9917</v>
      </c>
      <c r="I475" t="s">
        <v>9918</v>
      </c>
      <c r="J475" t="s">
        <v>9919</v>
      </c>
      <c r="K475" t="s">
        <v>9920</v>
      </c>
      <c r="L475" t="s">
        <v>9921</v>
      </c>
      <c r="M475" t="s">
        <v>9922</v>
      </c>
      <c r="N475" t="s">
        <v>9923</v>
      </c>
      <c r="O475">
        <f>-691.856324795857 -44.9190114104445 -751.946551057621</f>
        <v>-1488.7218872639223</v>
      </c>
      <c r="P475">
        <f>-712.719263297759 -53.341910559662 -436.225244101936</f>
        <v>-1202.2864179593571</v>
      </c>
      <c r="Q475">
        <f>-469.331588303056 -62.9245645492927 -345.051289756067</f>
        <v>-877.30744260841561</v>
      </c>
      <c r="R475" t="s">
        <v>9924</v>
      </c>
      <c r="S475" t="s">
        <v>9925</v>
      </c>
      <c r="T475" t="s">
        <v>9926</v>
      </c>
      <c r="U475" t="s">
        <v>9927</v>
      </c>
      <c r="V475" t="s">
        <v>9928</v>
      </c>
      <c r="W475" t="s">
        <v>9929</v>
      </c>
      <c r="X475" t="s">
        <v>9930</v>
      </c>
      <c r="Y475" t="s">
        <v>9931</v>
      </c>
    </row>
    <row r="476" spans="1:25" x14ac:dyDescent="0.3">
      <c r="A476">
        <v>23750</v>
      </c>
      <c r="B476" t="s">
        <v>9932</v>
      </c>
      <c r="C476" t="s">
        <v>9933</v>
      </c>
      <c r="D476" t="s">
        <v>9934</v>
      </c>
      <c r="E476" t="s">
        <v>9935</v>
      </c>
      <c r="F476" t="s">
        <v>9936</v>
      </c>
      <c r="G476" t="s">
        <v>9937</v>
      </c>
      <c r="H476" t="s">
        <v>9938</v>
      </c>
      <c r="I476" t="s">
        <v>9939</v>
      </c>
      <c r="J476" t="s">
        <v>9940</v>
      </c>
      <c r="K476" t="s">
        <v>9941</v>
      </c>
      <c r="L476" t="s">
        <v>9942</v>
      </c>
      <c r="M476" t="s">
        <v>9943</v>
      </c>
      <c r="N476" t="s">
        <v>9944</v>
      </c>
      <c r="O476">
        <f>-693.733016430192 -43.9789463047623 -751.552897393802</f>
        <v>-1489.2648601287565</v>
      </c>
      <c r="P476">
        <f>-714.350445383277 -52.366787479039 -435.814511681301</f>
        <v>-1202.5317445436169</v>
      </c>
      <c r="Q476">
        <f>-470.903861536307 -62.0296865232365 -344.806334449452</f>
        <v>-877.73988250899538</v>
      </c>
      <c r="R476" t="s">
        <v>9945</v>
      </c>
      <c r="S476" t="s">
        <v>9946</v>
      </c>
      <c r="T476" t="s">
        <v>9947</v>
      </c>
      <c r="U476" t="s">
        <v>9948</v>
      </c>
      <c r="V476" t="s">
        <v>9949</v>
      </c>
      <c r="W476" t="s">
        <v>9950</v>
      </c>
      <c r="X476" t="s">
        <v>9951</v>
      </c>
      <c r="Y476" t="s">
        <v>9952</v>
      </c>
    </row>
    <row r="477" spans="1:25" x14ac:dyDescent="0.3">
      <c r="A477">
        <v>23800</v>
      </c>
      <c r="B477" t="s">
        <v>9953</v>
      </c>
      <c r="C477" t="s">
        <v>9954</v>
      </c>
      <c r="D477" t="s">
        <v>9955</v>
      </c>
      <c r="E477" t="s">
        <v>9956</v>
      </c>
      <c r="F477" t="s">
        <v>9957</v>
      </c>
      <c r="G477" t="s">
        <v>9958</v>
      </c>
      <c r="H477" t="s">
        <v>9959</v>
      </c>
      <c r="I477" t="s">
        <v>9960</v>
      </c>
      <c r="J477" t="s">
        <v>9961</v>
      </c>
      <c r="K477" t="s">
        <v>9962</v>
      </c>
      <c r="L477" t="s">
        <v>9963</v>
      </c>
      <c r="M477" t="s">
        <v>9964</v>
      </c>
      <c r="N477" t="s">
        <v>9965</v>
      </c>
      <c r="O477">
        <f>-694.610694112538 -43.3104092081999 -751.346603024859</f>
        <v>-1489.2677063455967</v>
      </c>
      <c r="P477">
        <f>-715.02444798338 -51.6672409763876 -435.594098623971</f>
        <v>-1202.2857875837385</v>
      </c>
      <c r="Q477">
        <f>-471.490961786626 -61.5403372124547 -344.841628843807</f>
        <v>-877.87292784288775</v>
      </c>
      <c r="R477" t="s">
        <v>9966</v>
      </c>
      <c r="S477" t="s">
        <v>9967</v>
      </c>
      <c r="T477" t="s">
        <v>9968</v>
      </c>
      <c r="U477" t="s">
        <v>9969</v>
      </c>
      <c r="V477" t="s">
        <v>9970</v>
      </c>
      <c r="W477" t="s">
        <v>9971</v>
      </c>
      <c r="X477" t="s">
        <v>9972</v>
      </c>
      <c r="Y477" t="s">
        <v>9973</v>
      </c>
    </row>
    <row r="478" spans="1:25" x14ac:dyDescent="0.3">
      <c r="A478">
        <v>23850</v>
      </c>
      <c r="B478" t="s">
        <v>9974</v>
      </c>
      <c r="C478" t="s">
        <v>9975</v>
      </c>
      <c r="D478" t="s">
        <v>9976</v>
      </c>
      <c r="E478" t="s">
        <v>9977</v>
      </c>
      <c r="F478" t="s">
        <v>9978</v>
      </c>
      <c r="G478" t="s">
        <v>9979</v>
      </c>
      <c r="H478" t="s">
        <v>9980</v>
      </c>
      <c r="I478" t="s">
        <v>9981</v>
      </c>
      <c r="J478" t="s">
        <v>9982</v>
      </c>
      <c r="K478" t="s">
        <v>9983</v>
      </c>
      <c r="L478" t="s">
        <v>9984</v>
      </c>
      <c r="M478" t="s">
        <v>9985</v>
      </c>
      <c r="N478" t="s">
        <v>9986</v>
      </c>
      <c r="O478">
        <f>-696.150866060227 -42.013247847628 -751.035860272601</f>
        <v>-1489.1999741804561</v>
      </c>
      <c r="P478">
        <f>-716.156464464038 -50.3765216092643 -435.257385151992</f>
        <v>-1201.7903712252942</v>
      </c>
      <c r="Q478">
        <f>-472.617698868686 -60.8820751308131 -344.589970900967</f>
        <v>-878.08974490046603</v>
      </c>
      <c r="R478" t="s">
        <v>9987</v>
      </c>
      <c r="S478" t="s">
        <v>9988</v>
      </c>
      <c r="T478" t="s">
        <v>9989</v>
      </c>
      <c r="U478" t="s">
        <v>9990</v>
      </c>
      <c r="V478" t="s">
        <v>9991</v>
      </c>
      <c r="W478" t="s">
        <v>9992</v>
      </c>
      <c r="X478" t="s">
        <v>9993</v>
      </c>
      <c r="Y478" t="s">
        <v>9994</v>
      </c>
    </row>
    <row r="479" spans="1:25" x14ac:dyDescent="0.3">
      <c r="A479">
        <v>23900</v>
      </c>
      <c r="B479" t="s">
        <v>9995</v>
      </c>
      <c r="C479" t="s">
        <v>9996</v>
      </c>
      <c r="D479" t="s">
        <v>9997</v>
      </c>
      <c r="E479" t="s">
        <v>9998</v>
      </c>
      <c r="F479" t="s">
        <v>9999</v>
      </c>
      <c r="G479" t="s">
        <v>10000</v>
      </c>
      <c r="H479" t="s">
        <v>10001</v>
      </c>
      <c r="I479" t="s">
        <v>10002</v>
      </c>
      <c r="J479" t="s">
        <v>10003</v>
      </c>
      <c r="K479" t="s">
        <v>10004</v>
      </c>
      <c r="L479" t="s">
        <v>10005</v>
      </c>
      <c r="M479" t="s">
        <v>10006</v>
      </c>
      <c r="N479" t="s">
        <v>10007</v>
      </c>
      <c r="O479">
        <f>-696.949195077673 -41.6377474512942 -750.906924065685</f>
        <v>-1489.4938665946522</v>
      </c>
      <c r="P479">
        <f>-716.777374506646 -49.8332039884135 -435.112964967955</f>
        <v>-1201.7235434630145</v>
      </c>
      <c r="Q479">
        <f>-473.262138437994 -60.5395564365544 -344.405982411132</f>
        <v>-878.20767728568035</v>
      </c>
      <c r="R479" t="s">
        <v>10008</v>
      </c>
      <c r="S479" t="s">
        <v>10009</v>
      </c>
      <c r="T479" t="s">
        <v>10010</v>
      </c>
      <c r="U479" t="s">
        <v>10011</v>
      </c>
      <c r="V479" t="s">
        <v>10012</v>
      </c>
      <c r="W479" t="s">
        <v>10013</v>
      </c>
      <c r="X479" t="s">
        <v>10014</v>
      </c>
      <c r="Y479" t="s">
        <v>10015</v>
      </c>
    </row>
    <row r="480" spans="1:25" x14ac:dyDescent="0.3">
      <c r="A480">
        <v>23950</v>
      </c>
      <c r="B480" t="s">
        <v>10016</v>
      </c>
      <c r="C480" t="s">
        <v>10017</v>
      </c>
      <c r="D480" t="s">
        <v>10018</v>
      </c>
      <c r="E480" t="s">
        <v>10019</v>
      </c>
      <c r="F480" t="s">
        <v>10020</v>
      </c>
      <c r="G480" t="s">
        <v>10021</v>
      </c>
      <c r="H480" t="s">
        <v>10022</v>
      </c>
      <c r="I480" t="s">
        <v>10023</v>
      </c>
      <c r="J480" t="s">
        <v>10024</v>
      </c>
      <c r="K480" t="s">
        <v>10025</v>
      </c>
      <c r="L480" t="s">
        <v>10026</v>
      </c>
      <c r="M480" t="s">
        <v>10027</v>
      </c>
      <c r="N480" t="s">
        <v>10028</v>
      </c>
      <c r="O480">
        <f>-698.448018330437 -41.2709051008783 -750.73619412967</f>
        <v>-1490.4551175609854</v>
      </c>
      <c r="P480">
        <f>-717.863289579755 -49.6576094245961 -434.921571178218</f>
        <v>-1202.4424701825692</v>
      </c>
      <c r="Q480">
        <f>-474.450901711816 -60.8947854916798 -344.003157326226</f>
        <v>-879.34884452972187</v>
      </c>
      <c r="R480" t="s">
        <v>10029</v>
      </c>
      <c r="S480" t="s">
        <v>10030</v>
      </c>
      <c r="T480" t="s">
        <v>10031</v>
      </c>
      <c r="U480" t="s">
        <v>10032</v>
      </c>
      <c r="V480" t="s">
        <v>10033</v>
      </c>
      <c r="W480" t="s">
        <v>10034</v>
      </c>
      <c r="X480" t="s">
        <v>10035</v>
      </c>
      <c r="Y480" t="s">
        <v>10036</v>
      </c>
    </row>
    <row r="481" spans="1:25" x14ac:dyDescent="0.3">
      <c r="A481">
        <v>24000</v>
      </c>
      <c r="B481" t="s">
        <v>10037</v>
      </c>
      <c r="C481" t="s">
        <v>10038</v>
      </c>
      <c r="D481" t="s">
        <v>10039</v>
      </c>
      <c r="E481" t="s">
        <v>10040</v>
      </c>
      <c r="F481" t="s">
        <v>10041</v>
      </c>
      <c r="G481" t="s">
        <v>10042</v>
      </c>
      <c r="H481" t="s">
        <v>10043</v>
      </c>
      <c r="I481" t="s">
        <v>10044</v>
      </c>
      <c r="J481" t="s">
        <v>10045</v>
      </c>
      <c r="K481" t="s">
        <v>10046</v>
      </c>
      <c r="L481" t="s">
        <v>10047</v>
      </c>
      <c r="M481" t="s">
        <v>10048</v>
      </c>
      <c r="N481" t="s">
        <v>10049</v>
      </c>
      <c r="O481">
        <f>-699.231511451965 -41.2476522478187 -750.66527719308</f>
        <v>-1491.1444408928637</v>
      </c>
      <c r="P481">
        <f>-718.551790000347 -49.3731270197336 -434.837869378473</f>
        <v>-1202.7627863985535</v>
      </c>
      <c r="Q481">
        <f>-475.144121890683 -60.9493070451986 -343.949135293505</f>
        <v>-880.04256422938647</v>
      </c>
      <c r="R481" t="s">
        <v>10050</v>
      </c>
      <c r="S481" t="s">
        <v>10051</v>
      </c>
      <c r="T481" t="s">
        <v>10052</v>
      </c>
      <c r="U481" t="s">
        <v>10053</v>
      </c>
      <c r="V481" t="s">
        <v>10054</v>
      </c>
      <c r="W481" t="s">
        <v>10055</v>
      </c>
      <c r="X481" t="s">
        <v>10056</v>
      </c>
      <c r="Y481" t="s">
        <v>10057</v>
      </c>
    </row>
    <row r="482" spans="1:25" x14ac:dyDescent="0.3">
      <c r="A482">
        <v>24050</v>
      </c>
      <c r="B482" t="s">
        <v>10058</v>
      </c>
      <c r="C482" t="s">
        <v>10059</v>
      </c>
      <c r="D482" t="s">
        <v>10060</v>
      </c>
      <c r="E482" t="s">
        <v>10061</v>
      </c>
      <c r="F482" t="s">
        <v>10062</v>
      </c>
      <c r="G482" t="s">
        <v>10063</v>
      </c>
      <c r="H482" t="s">
        <v>10064</v>
      </c>
      <c r="I482" t="s">
        <v>10065</v>
      </c>
      <c r="J482" t="s">
        <v>10066</v>
      </c>
      <c r="K482" t="s">
        <v>10067</v>
      </c>
      <c r="L482" t="s">
        <v>10068</v>
      </c>
      <c r="M482" t="s">
        <v>10069</v>
      </c>
      <c r="N482" t="s">
        <v>10070</v>
      </c>
      <c r="O482">
        <f>-700.489824846469 -41.6188502951977 -750.465385087891</f>
        <v>-1492.5740602295577</v>
      </c>
      <c r="P482">
        <f>-719.601146737489 -49.8257079764721 -434.627408449797</f>
        <v>-1204.0542631637582</v>
      </c>
      <c r="Q482">
        <f>-476.192110649637 -62.3344180963088 -343.865995511666</f>
        <v>-882.39252425761174</v>
      </c>
      <c r="R482" t="s">
        <v>10071</v>
      </c>
      <c r="S482" t="s">
        <v>10072</v>
      </c>
      <c r="T482" t="s">
        <v>10073</v>
      </c>
      <c r="U482" t="s">
        <v>10074</v>
      </c>
      <c r="V482" t="s">
        <v>10075</v>
      </c>
      <c r="W482" t="s">
        <v>10076</v>
      </c>
      <c r="X482" t="s">
        <v>10077</v>
      </c>
      <c r="Y482" t="s">
        <v>10078</v>
      </c>
    </row>
    <row r="483" spans="1:25" x14ac:dyDescent="0.3">
      <c r="A483">
        <v>24100</v>
      </c>
      <c r="B483" t="s">
        <v>10079</v>
      </c>
      <c r="C483" t="s">
        <v>10080</v>
      </c>
      <c r="D483" t="s">
        <v>10081</v>
      </c>
      <c r="E483" t="s">
        <v>10082</v>
      </c>
      <c r="F483" t="s">
        <v>10083</v>
      </c>
      <c r="G483" t="s">
        <v>10084</v>
      </c>
      <c r="H483" t="s">
        <v>10085</v>
      </c>
      <c r="I483" t="s">
        <v>10086</v>
      </c>
      <c r="J483" t="s">
        <v>10087</v>
      </c>
      <c r="K483" t="s">
        <v>10088</v>
      </c>
      <c r="L483" t="s">
        <v>10089</v>
      </c>
      <c r="M483" t="s">
        <v>10090</v>
      </c>
      <c r="N483" t="s">
        <v>10091</v>
      </c>
      <c r="O483">
        <f>-700.795420788932 -42.0143345720476 -750.390803729945</f>
        <v>-1493.2005590909246</v>
      </c>
      <c r="P483">
        <f>-719.927332469911 -50.058947267544 -434.549959333644</f>
        <v>-1204.5362390710989</v>
      </c>
      <c r="Q483">
        <f>-476.528904939369 -63.015513295263 -343.822938308929</f>
        <v>-883.36735654356096</v>
      </c>
      <c r="R483" t="s">
        <v>10092</v>
      </c>
      <c r="S483" t="s">
        <v>10093</v>
      </c>
      <c r="T483" t="s">
        <v>10094</v>
      </c>
      <c r="U483" t="s">
        <v>10095</v>
      </c>
      <c r="V483" t="s">
        <v>10096</v>
      </c>
      <c r="W483" t="s">
        <v>10097</v>
      </c>
      <c r="X483" t="s">
        <v>10098</v>
      </c>
      <c r="Y483" t="s">
        <v>10099</v>
      </c>
    </row>
    <row r="484" spans="1:25" x14ac:dyDescent="0.3">
      <c r="A484">
        <v>24150</v>
      </c>
      <c r="B484" t="s">
        <v>10100</v>
      </c>
      <c r="C484" t="s">
        <v>10101</v>
      </c>
      <c r="D484" t="s">
        <v>10102</v>
      </c>
      <c r="E484" t="s">
        <v>10103</v>
      </c>
      <c r="F484" t="s">
        <v>10104</v>
      </c>
      <c r="G484" t="s">
        <v>10105</v>
      </c>
      <c r="H484" t="s">
        <v>10106</v>
      </c>
      <c r="I484" t="s">
        <v>10107</v>
      </c>
      <c r="J484" t="s">
        <v>10108</v>
      </c>
      <c r="K484" t="s">
        <v>10109</v>
      </c>
      <c r="L484" t="s">
        <v>10110</v>
      </c>
      <c r="M484" t="s">
        <v>10111</v>
      </c>
      <c r="N484" t="s">
        <v>10112</v>
      </c>
      <c r="O484">
        <f>-701.638354029049 -42.512213504973 -750.323170643223</f>
        <v>-1494.473738177245</v>
      </c>
      <c r="P484">
        <f>-720.757589712149 -50.3394077985588 -434.476103086976</f>
        <v>-1205.5731005976838</v>
      </c>
      <c r="Q484">
        <f>-477.430237111577 -63.7438071749659 -343.623747986429</f>
        <v>-884.79779227297195</v>
      </c>
      <c r="R484" t="s">
        <v>10113</v>
      </c>
      <c r="S484" t="s">
        <v>10114</v>
      </c>
      <c r="T484" t="s">
        <v>10115</v>
      </c>
      <c r="U484" t="s">
        <v>10116</v>
      </c>
      <c r="V484" t="s">
        <v>10117</v>
      </c>
      <c r="W484" t="s">
        <v>10118</v>
      </c>
      <c r="X484" t="s">
        <v>10119</v>
      </c>
      <c r="Y484" t="s">
        <v>10120</v>
      </c>
    </row>
    <row r="485" spans="1:25" x14ac:dyDescent="0.3">
      <c r="A485">
        <v>24200</v>
      </c>
      <c r="B485" t="s">
        <v>10121</v>
      </c>
      <c r="C485" t="s">
        <v>10122</v>
      </c>
      <c r="D485" t="s">
        <v>10123</v>
      </c>
      <c r="E485" t="s">
        <v>10124</v>
      </c>
      <c r="F485" t="s">
        <v>10125</v>
      </c>
      <c r="G485" t="s">
        <v>10126</v>
      </c>
      <c r="H485" t="s">
        <v>10127</v>
      </c>
      <c r="I485" t="s">
        <v>10128</v>
      </c>
      <c r="J485" t="s">
        <v>10129</v>
      </c>
      <c r="K485" t="s">
        <v>10130</v>
      </c>
      <c r="L485" t="s">
        <v>10131</v>
      </c>
      <c r="M485" t="s">
        <v>10132</v>
      </c>
      <c r="N485" t="s">
        <v>10133</v>
      </c>
      <c r="O485">
        <f>-701.963104838451 -42.4499553388366 -750.259094469622</f>
        <v>-1494.6721546469098</v>
      </c>
      <c r="P485">
        <f>-720.941490082708 -50.4175098776464 -434.407046472161</f>
        <v>-1205.7660464325154</v>
      </c>
      <c r="Q485">
        <f>-477.633888003682 -63.8778331336491 -343.509872608532</f>
        <v>-885.02159374586313</v>
      </c>
      <c r="R485" t="s">
        <v>10134</v>
      </c>
      <c r="S485" t="s">
        <v>10135</v>
      </c>
      <c r="T485" t="s">
        <v>10136</v>
      </c>
      <c r="U485" t="s">
        <v>10137</v>
      </c>
      <c r="V485" t="s">
        <v>10138</v>
      </c>
      <c r="W485" t="s">
        <v>10139</v>
      </c>
      <c r="X485" t="s">
        <v>10140</v>
      </c>
      <c r="Y485" t="s">
        <v>10141</v>
      </c>
    </row>
    <row r="486" spans="1:25" x14ac:dyDescent="0.3">
      <c r="A486">
        <v>24250</v>
      </c>
      <c r="B486" t="s">
        <v>10142</v>
      </c>
      <c r="C486" t="s">
        <v>10143</v>
      </c>
      <c r="D486" t="s">
        <v>10144</v>
      </c>
      <c r="E486" t="s">
        <v>10145</v>
      </c>
      <c r="F486" t="s">
        <v>10146</v>
      </c>
      <c r="G486" t="s">
        <v>10147</v>
      </c>
      <c r="H486" t="s">
        <v>10148</v>
      </c>
      <c r="I486" t="s">
        <v>10149</v>
      </c>
      <c r="J486" t="s">
        <v>10150</v>
      </c>
      <c r="K486" t="s">
        <v>10151</v>
      </c>
      <c r="L486" t="s">
        <v>10152</v>
      </c>
      <c r="M486" t="s">
        <v>10153</v>
      </c>
      <c r="N486" t="s">
        <v>10154</v>
      </c>
      <c r="O486">
        <f>-702.58288415461 -42.6665135416215 -750.119744514403</f>
        <v>-1495.3691422106344</v>
      </c>
      <c r="P486">
        <f>-721.445888397218 -50.5865967390407 -434.259569348973</f>
        <v>-1206.2920544852318</v>
      </c>
      <c r="Q486">
        <f>-478.06636658257 -64.2297826146578 -343.582325443839</f>
        <v>-885.87847464106676</v>
      </c>
      <c r="R486" t="s">
        <v>10155</v>
      </c>
      <c r="S486" t="s">
        <v>10156</v>
      </c>
      <c r="T486" t="s">
        <v>10157</v>
      </c>
      <c r="U486" t="s">
        <v>10158</v>
      </c>
      <c r="V486" t="s">
        <v>10159</v>
      </c>
      <c r="W486" t="s">
        <v>10160</v>
      </c>
      <c r="X486" t="s">
        <v>10161</v>
      </c>
      <c r="Y486" t="s">
        <v>10162</v>
      </c>
    </row>
    <row r="487" spans="1:25" x14ac:dyDescent="0.3">
      <c r="A487">
        <v>24300</v>
      </c>
      <c r="B487" t="s">
        <v>10163</v>
      </c>
      <c r="C487" t="s">
        <v>10164</v>
      </c>
      <c r="D487" t="s">
        <v>10165</v>
      </c>
      <c r="E487" t="s">
        <v>10166</v>
      </c>
      <c r="F487" t="s">
        <v>10167</v>
      </c>
      <c r="G487" t="s">
        <v>10168</v>
      </c>
      <c r="H487" t="s">
        <v>10169</v>
      </c>
      <c r="I487" t="s">
        <v>10170</v>
      </c>
      <c r="J487" t="s">
        <v>10171</v>
      </c>
      <c r="K487" t="s">
        <v>10172</v>
      </c>
      <c r="L487" t="s">
        <v>10173</v>
      </c>
      <c r="M487" t="s">
        <v>10174</v>
      </c>
      <c r="N487" t="s">
        <v>10175</v>
      </c>
      <c r="O487">
        <f>-703.036122380504 -42.7733282624608 -750.10105530208</f>
        <v>-1495.9105059450449</v>
      </c>
      <c r="P487">
        <f>-721.8223997409 -50.9075614147694 -434.241876544859</f>
        <v>-1206.9718377005283</v>
      </c>
      <c r="Q487">
        <f>-478.420080291012 -64.4920468762016 -343.617078708542</f>
        <v>-886.52920587575568</v>
      </c>
      <c r="R487" t="s">
        <v>10176</v>
      </c>
      <c r="S487" t="s">
        <v>10177</v>
      </c>
      <c r="T487" t="s">
        <v>10178</v>
      </c>
      <c r="U487" t="s">
        <v>10179</v>
      </c>
      <c r="V487" t="s">
        <v>10180</v>
      </c>
      <c r="W487" t="s">
        <v>10181</v>
      </c>
      <c r="X487" t="s">
        <v>10182</v>
      </c>
      <c r="Y487" t="s">
        <v>10183</v>
      </c>
    </row>
    <row r="488" spans="1:25" x14ac:dyDescent="0.3">
      <c r="A488">
        <v>24350</v>
      </c>
      <c r="B488" t="s">
        <v>10184</v>
      </c>
      <c r="C488" t="s">
        <v>10185</v>
      </c>
      <c r="D488" t="s">
        <v>10186</v>
      </c>
      <c r="E488" t="s">
        <v>10187</v>
      </c>
      <c r="F488" t="s">
        <v>10188</v>
      </c>
      <c r="G488" t="s">
        <v>10189</v>
      </c>
      <c r="H488" t="s">
        <v>10190</v>
      </c>
      <c r="I488" t="s">
        <v>10191</v>
      </c>
      <c r="J488" t="s">
        <v>10192</v>
      </c>
      <c r="K488" t="s">
        <v>10193</v>
      </c>
      <c r="L488" t="s">
        <v>10194</v>
      </c>
      <c r="M488" t="s">
        <v>10195</v>
      </c>
      <c r="N488" t="s">
        <v>10196</v>
      </c>
      <c r="O488">
        <f>-703.365911606157 -43.0743953399347 -750.112482864972</f>
        <v>-1496.5527898110636</v>
      </c>
      <c r="P488">
        <f>-722.133852112598 -51.2425630407029 -434.252994244528</f>
        <v>-1207.6294093978288</v>
      </c>
      <c r="Q488">
        <f>-478.738119819194 -64.4690945062539 -343.557897835854</f>
        <v>-886.76511216130189</v>
      </c>
      <c r="R488" t="s">
        <v>10197</v>
      </c>
      <c r="S488" t="s">
        <v>10198</v>
      </c>
      <c r="T488" t="s">
        <v>10199</v>
      </c>
      <c r="U488" t="s">
        <v>10200</v>
      </c>
      <c r="V488" t="s">
        <v>10201</v>
      </c>
      <c r="W488" t="s">
        <v>10202</v>
      </c>
      <c r="X488" t="s">
        <v>10203</v>
      </c>
      <c r="Y488" t="s">
        <v>10204</v>
      </c>
    </row>
    <row r="489" spans="1:25" x14ac:dyDescent="0.3">
      <c r="A489">
        <v>24400</v>
      </c>
      <c r="B489" t="s">
        <v>10205</v>
      </c>
      <c r="C489" t="s">
        <v>10206</v>
      </c>
      <c r="D489" t="s">
        <v>10207</v>
      </c>
      <c r="E489" t="s">
        <v>10208</v>
      </c>
      <c r="F489" t="s">
        <v>10209</v>
      </c>
      <c r="G489" t="s">
        <v>10210</v>
      </c>
      <c r="H489" t="s">
        <v>10211</v>
      </c>
      <c r="I489" t="s">
        <v>10212</v>
      </c>
      <c r="J489" t="s">
        <v>10213</v>
      </c>
      <c r="K489" t="s">
        <v>10214</v>
      </c>
      <c r="L489" t="s">
        <v>10215</v>
      </c>
      <c r="M489" t="s">
        <v>10216</v>
      </c>
      <c r="N489" t="s">
        <v>10217</v>
      </c>
      <c r="O489">
        <f>-703.628182559743 -43.3284870080518 -750.149409065629</f>
        <v>-1497.1060786334237</v>
      </c>
      <c r="P489">
        <f>-722.476763063542 -51.336167271184 -434.290653992733</f>
        <v>-1208.103584327459</v>
      </c>
      <c r="Q489">
        <f>-479.125231274317 -64.3537874555923 -343.446631007789</f>
        <v>-886.92564973769822</v>
      </c>
      <c r="R489" t="s">
        <v>10218</v>
      </c>
      <c r="S489" t="s">
        <v>10219</v>
      </c>
      <c r="T489" t="s">
        <v>10220</v>
      </c>
      <c r="U489" t="s">
        <v>10221</v>
      </c>
      <c r="V489" t="s">
        <v>10222</v>
      </c>
      <c r="W489" t="s">
        <v>10223</v>
      </c>
      <c r="X489" t="s">
        <v>10224</v>
      </c>
      <c r="Y489" t="s">
        <v>10225</v>
      </c>
    </row>
    <row r="490" spans="1:25" x14ac:dyDescent="0.3">
      <c r="A490">
        <v>24450</v>
      </c>
      <c r="B490" t="s">
        <v>10226</v>
      </c>
      <c r="C490" t="s">
        <v>10227</v>
      </c>
      <c r="D490" t="s">
        <v>10228</v>
      </c>
      <c r="E490" t="s">
        <v>10229</v>
      </c>
      <c r="F490" t="s">
        <v>10230</v>
      </c>
      <c r="G490" t="s">
        <v>10231</v>
      </c>
      <c r="H490" t="s">
        <v>10232</v>
      </c>
      <c r="I490" t="s">
        <v>10233</v>
      </c>
      <c r="J490" t="s">
        <v>10234</v>
      </c>
      <c r="K490" t="s">
        <v>10235</v>
      </c>
      <c r="L490" t="s">
        <v>10236</v>
      </c>
      <c r="M490" t="s">
        <v>10237</v>
      </c>
      <c r="N490" t="s">
        <v>10238</v>
      </c>
      <c r="O490">
        <f>-703.807875771872 -43.7847530100757 -750.160826433221</f>
        <v>-1497.7534552151687</v>
      </c>
      <c r="P490">
        <f>-722.599851487801 -51.8925492298297 -434.301238677069</f>
        <v>-1208.7936393946998</v>
      </c>
      <c r="Q490">
        <f>-479.254489678869 -64.1046228251012 -343.329192608264</f>
        <v>-886.68830511223427</v>
      </c>
      <c r="R490" t="s">
        <v>10239</v>
      </c>
      <c r="S490" t="s">
        <v>10240</v>
      </c>
      <c r="T490" t="s">
        <v>10241</v>
      </c>
      <c r="U490" t="s">
        <v>10242</v>
      </c>
      <c r="V490" t="s">
        <v>10243</v>
      </c>
      <c r="W490" t="s">
        <v>10244</v>
      </c>
      <c r="X490" t="s">
        <v>10245</v>
      </c>
      <c r="Y490" t="s">
        <v>10246</v>
      </c>
    </row>
    <row r="491" spans="1:25" x14ac:dyDescent="0.3">
      <c r="A491">
        <v>24500</v>
      </c>
      <c r="B491" t="s">
        <v>10247</v>
      </c>
      <c r="C491" t="s">
        <v>10248</v>
      </c>
      <c r="D491" t="s">
        <v>10249</v>
      </c>
      <c r="E491" t="s">
        <v>10250</v>
      </c>
      <c r="F491" t="s">
        <v>10251</v>
      </c>
      <c r="G491" t="s">
        <v>10252</v>
      </c>
      <c r="H491" t="s">
        <v>10253</v>
      </c>
      <c r="I491" t="s">
        <v>10254</v>
      </c>
      <c r="J491" t="s">
        <v>10255</v>
      </c>
      <c r="K491" t="s">
        <v>10256</v>
      </c>
      <c r="L491" t="s">
        <v>10257</v>
      </c>
      <c r="M491" t="s">
        <v>10258</v>
      </c>
      <c r="N491" t="s">
        <v>10259</v>
      </c>
      <c r="O491">
        <f>-703.859025435368 -43.9698564645971 -750.169915179536</f>
        <v>-1497.9987970795012</v>
      </c>
      <c r="P491">
        <f>-722.694068608569 -51.962830285813 -434.309915071515</f>
        <v>-1208.966813965897</v>
      </c>
      <c r="Q491">
        <f>-479.333385167131 -63.7076734751299 -343.317065952913</f>
        <v>-886.35812459517388</v>
      </c>
      <c r="R491" t="s">
        <v>10260</v>
      </c>
      <c r="S491" t="s">
        <v>10261</v>
      </c>
      <c r="T491" t="s">
        <v>10262</v>
      </c>
      <c r="U491" t="s">
        <v>10263</v>
      </c>
      <c r="V491" t="s">
        <v>10264</v>
      </c>
      <c r="W491" t="s">
        <v>10265</v>
      </c>
      <c r="X491" t="s">
        <v>10266</v>
      </c>
      <c r="Y491" t="s">
        <v>10267</v>
      </c>
    </row>
    <row r="492" spans="1:25" x14ac:dyDescent="0.3">
      <c r="A492">
        <v>24550</v>
      </c>
      <c r="B492" t="s">
        <v>10268</v>
      </c>
      <c r="C492" t="s">
        <v>10269</v>
      </c>
      <c r="D492" t="s">
        <v>10270</v>
      </c>
      <c r="E492" t="s">
        <v>10271</v>
      </c>
      <c r="F492" t="s">
        <v>10272</v>
      </c>
      <c r="G492" t="s">
        <v>10273</v>
      </c>
      <c r="H492" t="s">
        <v>10274</v>
      </c>
      <c r="I492" t="s">
        <v>10275</v>
      </c>
      <c r="J492" t="s">
        <v>10276</v>
      </c>
      <c r="K492" t="s">
        <v>10277</v>
      </c>
      <c r="L492" t="s">
        <v>10278</v>
      </c>
      <c r="M492" t="s">
        <v>10279</v>
      </c>
      <c r="N492" t="s">
        <v>10280</v>
      </c>
      <c r="O492">
        <f>-704.15161470287 -43.9644125793193 -750.230689354744</f>
        <v>-1498.3467166369333</v>
      </c>
      <c r="P492">
        <f>-722.957961488035 -52.1764577920965 -434.374652272488</f>
        <v>-1209.5090715526194</v>
      </c>
      <c r="Q492">
        <f>-479.549444944292 -62.9772786352848 -343.392835939347</f>
        <v>-885.91955951892373</v>
      </c>
      <c r="R492" t="s">
        <v>10281</v>
      </c>
      <c r="S492" t="s">
        <v>10282</v>
      </c>
      <c r="T492" t="s">
        <v>10283</v>
      </c>
      <c r="U492" t="s">
        <v>10284</v>
      </c>
      <c r="V492" t="s">
        <v>10285</v>
      </c>
      <c r="W492" t="s">
        <v>10286</v>
      </c>
      <c r="X492" t="s">
        <v>10287</v>
      </c>
      <c r="Y492" t="s">
        <v>10288</v>
      </c>
    </row>
    <row r="493" spans="1:25" x14ac:dyDescent="0.3">
      <c r="A493">
        <v>24600</v>
      </c>
      <c r="B493" t="s">
        <v>10289</v>
      </c>
      <c r="C493" t="s">
        <v>10290</v>
      </c>
      <c r="D493" t="s">
        <v>10291</v>
      </c>
      <c r="E493" t="s">
        <v>10292</v>
      </c>
      <c r="F493" t="s">
        <v>10293</v>
      </c>
      <c r="G493" t="s">
        <v>10294</v>
      </c>
      <c r="H493" t="s">
        <v>10295</v>
      </c>
      <c r="I493" t="s">
        <v>10296</v>
      </c>
      <c r="J493" t="s">
        <v>10297</v>
      </c>
      <c r="K493" t="s">
        <v>10298</v>
      </c>
      <c r="L493" t="s">
        <v>10299</v>
      </c>
      <c r="M493" t="s">
        <v>10300</v>
      </c>
      <c r="N493" t="s">
        <v>10301</v>
      </c>
      <c r="O493">
        <f>-704.415232058408 -44.0309213305516 -750.225718981216</f>
        <v>-1498.6718723701756</v>
      </c>
      <c r="P493">
        <f>-723.182995491652 -52.2392525189712 -434.367210967352</f>
        <v>-1209.7894589779753</v>
      </c>
      <c r="Q493">
        <f>-479.738463049653 -62.5787334040724 -343.428094191379</f>
        <v>-885.74529064510443</v>
      </c>
      <c r="R493" t="s">
        <v>10302</v>
      </c>
      <c r="S493" t="s">
        <v>10303</v>
      </c>
      <c r="T493" t="s">
        <v>10304</v>
      </c>
      <c r="U493" t="s">
        <v>10305</v>
      </c>
      <c r="V493" t="s">
        <v>10306</v>
      </c>
      <c r="W493" t="s">
        <v>10307</v>
      </c>
      <c r="X493" t="s">
        <v>10308</v>
      </c>
      <c r="Y493" t="s">
        <v>10309</v>
      </c>
    </row>
    <row r="494" spans="1:25" x14ac:dyDescent="0.3">
      <c r="A494">
        <v>24650</v>
      </c>
      <c r="B494" t="s">
        <v>10310</v>
      </c>
      <c r="C494" t="s">
        <v>10311</v>
      </c>
      <c r="D494" t="s">
        <v>10312</v>
      </c>
      <c r="E494" t="s">
        <v>10313</v>
      </c>
      <c r="F494" t="s">
        <v>10314</v>
      </c>
      <c r="G494" t="s">
        <v>10315</v>
      </c>
      <c r="H494" t="s">
        <v>10316</v>
      </c>
      <c r="I494" t="s">
        <v>10317</v>
      </c>
      <c r="J494" t="s">
        <v>10318</v>
      </c>
      <c r="K494" t="s">
        <v>10319</v>
      </c>
      <c r="L494" t="s">
        <v>10320</v>
      </c>
      <c r="M494" t="s">
        <v>10321</v>
      </c>
      <c r="N494" t="s">
        <v>10322</v>
      </c>
      <c r="O494">
        <f>-704.864688803797 -43.9314542610325 -750.211586790988</f>
        <v>-1499.0077298558176</v>
      </c>
      <c r="P494">
        <f>-723.54937167525 -52.4427851947203 -434.356160157493</f>
        <v>-1210.3483170274633</v>
      </c>
      <c r="Q494">
        <f>-480.059479313732 -62.0594816814914 -343.4593653703</f>
        <v>-885.57832636552348</v>
      </c>
      <c r="R494" t="s">
        <v>10323</v>
      </c>
      <c r="S494" t="s">
        <v>10324</v>
      </c>
      <c r="T494" t="s">
        <v>10325</v>
      </c>
      <c r="U494" t="s">
        <v>10326</v>
      </c>
      <c r="V494" t="s">
        <v>10327</v>
      </c>
      <c r="W494" t="s">
        <v>10328</v>
      </c>
      <c r="X494" t="s">
        <v>10329</v>
      </c>
      <c r="Y494" t="s">
        <v>10330</v>
      </c>
    </row>
    <row r="495" spans="1:25" x14ac:dyDescent="0.3">
      <c r="A495">
        <v>24700</v>
      </c>
      <c r="B495" t="s">
        <v>10331</v>
      </c>
      <c r="C495" t="s">
        <v>10332</v>
      </c>
      <c r="D495" t="s">
        <v>10333</v>
      </c>
      <c r="E495" t="s">
        <v>10334</v>
      </c>
      <c r="F495" t="s">
        <v>10335</v>
      </c>
      <c r="G495" t="s">
        <v>10336</v>
      </c>
      <c r="H495" t="s">
        <v>10337</v>
      </c>
      <c r="I495" t="s">
        <v>10338</v>
      </c>
      <c r="J495" t="s">
        <v>10339</v>
      </c>
      <c r="K495" t="s">
        <v>10340</v>
      </c>
      <c r="L495" t="s">
        <v>10341</v>
      </c>
      <c r="M495" t="s">
        <v>10342</v>
      </c>
      <c r="N495" t="s">
        <v>10343</v>
      </c>
      <c r="O495">
        <f>-705.146337710682 -43.9271305671987 -750.205882809228</f>
        <v>-1499.2793510871088</v>
      </c>
      <c r="P495">
        <f>-723.80982510751 -52.4800473624664 -434.350303776687</f>
        <v>-1210.6401762466635</v>
      </c>
      <c r="Q495">
        <f>-480.297081511046 -61.895092281723 -343.493685314736</f>
        <v>-885.68585910750494</v>
      </c>
      <c r="R495" t="s">
        <v>10344</v>
      </c>
      <c r="S495" t="s">
        <v>10345</v>
      </c>
      <c r="T495" t="s">
        <v>10346</v>
      </c>
      <c r="U495" t="s">
        <v>10347</v>
      </c>
      <c r="V495" t="s">
        <v>10348</v>
      </c>
      <c r="W495" t="s">
        <v>10349</v>
      </c>
      <c r="X495" t="s">
        <v>10350</v>
      </c>
      <c r="Y495" t="s">
        <v>10351</v>
      </c>
    </row>
    <row r="496" spans="1:25" x14ac:dyDescent="0.3">
      <c r="A496">
        <v>24750</v>
      </c>
      <c r="B496" t="s">
        <v>10352</v>
      </c>
      <c r="C496" t="s">
        <v>10353</v>
      </c>
      <c r="D496" t="s">
        <v>10354</v>
      </c>
      <c r="E496" t="s">
        <v>10355</v>
      </c>
      <c r="F496" t="s">
        <v>10356</v>
      </c>
      <c r="G496" t="s">
        <v>10357</v>
      </c>
      <c r="H496" t="s">
        <v>10358</v>
      </c>
      <c r="I496" t="s">
        <v>10359</v>
      </c>
      <c r="J496" t="s">
        <v>10360</v>
      </c>
      <c r="K496" t="s">
        <v>10361</v>
      </c>
      <c r="L496" t="s">
        <v>10362</v>
      </c>
      <c r="M496" t="s">
        <v>10363</v>
      </c>
      <c r="N496" t="s">
        <v>10364</v>
      </c>
      <c r="O496">
        <f>-705.477474572249 -44.1210008791734 -750.237474278805</f>
        <v>-1499.8359497302274</v>
      </c>
      <c r="P496">
        <f>-724.062713885857 -52.8399235826778 -434.381798669377</f>
        <v>-1211.2844361379118</v>
      </c>
      <c r="Q496">
        <f>-480.539627780929 -62.1786909601876 -343.544875609108</f>
        <v>-886.26319435022458</v>
      </c>
      <c r="R496" t="s">
        <v>10365</v>
      </c>
      <c r="S496" t="s">
        <v>10366</v>
      </c>
      <c r="T496" t="s">
        <v>10367</v>
      </c>
      <c r="U496" t="s">
        <v>10368</v>
      </c>
      <c r="V496" t="s">
        <v>10369</v>
      </c>
      <c r="W496" t="s">
        <v>10370</v>
      </c>
      <c r="X496" t="s">
        <v>10371</v>
      </c>
      <c r="Y496" t="s">
        <v>10372</v>
      </c>
    </row>
    <row r="497" spans="1:25" x14ac:dyDescent="0.3">
      <c r="A497">
        <v>24800</v>
      </c>
      <c r="B497" t="s">
        <v>10373</v>
      </c>
      <c r="C497" t="s">
        <v>10374</v>
      </c>
      <c r="D497" t="s">
        <v>10375</v>
      </c>
      <c r="E497" t="s">
        <v>10376</v>
      </c>
      <c r="F497" t="s">
        <v>10377</v>
      </c>
      <c r="G497" t="s">
        <v>10378</v>
      </c>
      <c r="H497" t="s">
        <v>10379</v>
      </c>
      <c r="I497" t="s">
        <v>10380</v>
      </c>
      <c r="J497" t="s">
        <v>10381</v>
      </c>
      <c r="K497" t="s">
        <v>10382</v>
      </c>
      <c r="L497" t="s">
        <v>10383</v>
      </c>
      <c r="M497" t="s">
        <v>10384</v>
      </c>
      <c r="N497" t="s">
        <v>10385</v>
      </c>
      <c r="O497">
        <f>-705.680450527656 -44.168762465858 -750.268069438665</f>
        <v>-1500.1172824321789</v>
      </c>
      <c r="P497">
        <f>-724.408326439456 -52.905574454064 -434.421268231643</f>
        <v>-1211.7351691251629</v>
      </c>
      <c r="Q497">
        <f>-480.901517639652 -62.3194096242323 -343.54846619401</f>
        <v>-886.76939345789424</v>
      </c>
      <c r="R497" t="s">
        <v>10386</v>
      </c>
      <c r="S497" t="s">
        <v>10387</v>
      </c>
      <c r="T497" t="s">
        <v>10388</v>
      </c>
      <c r="U497" t="s">
        <v>10389</v>
      </c>
      <c r="V497" t="s">
        <v>10390</v>
      </c>
      <c r="W497" t="s">
        <v>10391</v>
      </c>
      <c r="X497" t="s">
        <v>10392</v>
      </c>
      <c r="Y497" t="s">
        <v>10393</v>
      </c>
    </row>
    <row r="498" spans="1:25" x14ac:dyDescent="0.3">
      <c r="A498">
        <v>24850</v>
      </c>
      <c r="B498" t="s">
        <v>10394</v>
      </c>
      <c r="C498" t="s">
        <v>10395</v>
      </c>
      <c r="D498" t="s">
        <v>10396</v>
      </c>
      <c r="E498" t="s">
        <v>10397</v>
      </c>
      <c r="F498" t="s">
        <v>10398</v>
      </c>
      <c r="G498" t="s">
        <v>10399</v>
      </c>
      <c r="H498" t="s">
        <v>10400</v>
      </c>
      <c r="I498" t="s">
        <v>10401</v>
      </c>
      <c r="J498" t="s">
        <v>10402</v>
      </c>
      <c r="K498" t="s">
        <v>10403</v>
      </c>
      <c r="L498" t="s">
        <v>10404</v>
      </c>
      <c r="M498" t="s">
        <v>10405</v>
      </c>
      <c r="N498" t="s">
        <v>10406</v>
      </c>
      <c r="O498">
        <f>-706.116492769822 -44.3114170887027 -750.427124114134</f>
        <v>-1500.8550339726587</v>
      </c>
      <c r="P498">
        <f>-725.282453300744 -53.1113064888339 -434.608437952379</f>
        <v>-1213.0021977419569</v>
      </c>
      <c r="Q498">
        <f>-481.939090747534 -62.849705298474 -343.332854392076</f>
        <v>-888.12165043808398</v>
      </c>
      <c r="R498" t="s">
        <v>10407</v>
      </c>
      <c r="S498" t="s">
        <v>10408</v>
      </c>
      <c r="T498" t="s">
        <v>10409</v>
      </c>
      <c r="U498" t="s">
        <v>10410</v>
      </c>
      <c r="V498" t="s">
        <v>10411</v>
      </c>
      <c r="W498" t="s">
        <v>10412</v>
      </c>
      <c r="X498" t="s">
        <v>10413</v>
      </c>
      <c r="Y498" t="s">
        <v>10414</v>
      </c>
    </row>
    <row r="499" spans="1:25" x14ac:dyDescent="0.3">
      <c r="A499">
        <v>24900</v>
      </c>
      <c r="B499" t="s">
        <v>10415</v>
      </c>
      <c r="C499" t="s">
        <v>10416</v>
      </c>
      <c r="D499" t="s">
        <v>10417</v>
      </c>
      <c r="E499" t="s">
        <v>10418</v>
      </c>
      <c r="F499" t="s">
        <v>10419</v>
      </c>
      <c r="G499" t="s">
        <v>10420</v>
      </c>
      <c r="H499" t="s">
        <v>10421</v>
      </c>
      <c r="I499" t="s">
        <v>10422</v>
      </c>
      <c r="J499" t="s">
        <v>10423</v>
      </c>
      <c r="K499" t="s">
        <v>10424</v>
      </c>
      <c r="L499" t="s">
        <v>10425</v>
      </c>
      <c r="M499" t="s">
        <v>10426</v>
      </c>
      <c r="N499" t="s">
        <v>10427</v>
      </c>
      <c r="O499">
        <f>-706.417767552522 -44.376422082323 -750.496993468822</f>
        <v>-1501.291183103667</v>
      </c>
      <c r="P499">
        <f>-725.742376092931 -53.09348961204 -434.685659740105</f>
        <v>-1213.5215254450759</v>
      </c>
      <c r="Q499">
        <f>-482.490112914044 -62.956993698074 -343.18110259332</f>
        <v>-888.628209205438</v>
      </c>
      <c r="R499" t="s">
        <v>10428</v>
      </c>
      <c r="S499" t="s">
        <v>10429</v>
      </c>
      <c r="T499" t="s">
        <v>10430</v>
      </c>
      <c r="U499" t="s">
        <v>10431</v>
      </c>
      <c r="V499" t="s">
        <v>10432</v>
      </c>
      <c r="W499" t="s">
        <v>10433</v>
      </c>
      <c r="X499" t="s">
        <v>10434</v>
      </c>
      <c r="Y499" t="s">
        <v>10435</v>
      </c>
    </row>
    <row r="500" spans="1:25" x14ac:dyDescent="0.3">
      <c r="A500">
        <v>24950</v>
      </c>
      <c r="B500" t="s">
        <v>10436</v>
      </c>
      <c r="C500" t="s">
        <v>10437</v>
      </c>
      <c r="D500" t="s">
        <v>10438</v>
      </c>
      <c r="E500" t="s">
        <v>10439</v>
      </c>
      <c r="F500" t="s">
        <v>10440</v>
      </c>
      <c r="G500" t="s">
        <v>10441</v>
      </c>
      <c r="H500" t="s">
        <v>10442</v>
      </c>
      <c r="I500" t="s">
        <v>10443</v>
      </c>
      <c r="J500" t="s">
        <v>10444</v>
      </c>
      <c r="K500" t="s">
        <v>10445</v>
      </c>
      <c r="L500" t="s">
        <v>10446</v>
      </c>
      <c r="M500" t="s">
        <v>10447</v>
      </c>
      <c r="N500" t="s">
        <v>10448</v>
      </c>
      <c r="O500">
        <f>-706.85910585057 -44.4573316112444 -750.492670218683</f>
        <v>-1501.8091076804974</v>
      </c>
      <c r="P500">
        <f>-726.377798371999 -52.9628787074141 -434.687660170363</f>
        <v>-1214.0283372497761</v>
      </c>
      <c r="Q500">
        <f>-483.242502924573 -62.96179034017 -342.887240567923</f>
        <v>-889.09153383266607</v>
      </c>
      <c r="R500" t="s">
        <v>10449</v>
      </c>
      <c r="S500" t="s">
        <v>10450</v>
      </c>
      <c r="T500" t="s">
        <v>10451</v>
      </c>
      <c r="U500" t="s">
        <v>10452</v>
      </c>
      <c r="V500" t="s">
        <v>10453</v>
      </c>
      <c r="W500" t="s">
        <v>10454</v>
      </c>
      <c r="X500" t="s">
        <v>10455</v>
      </c>
      <c r="Y500" t="s">
        <v>10456</v>
      </c>
    </row>
    <row r="501" spans="1:25" x14ac:dyDescent="0.3">
      <c r="A501">
        <v>25000</v>
      </c>
      <c r="B501" t="s">
        <v>10457</v>
      </c>
      <c r="C501" t="s">
        <v>10458</v>
      </c>
      <c r="D501" t="s">
        <v>10459</v>
      </c>
      <c r="E501" t="s">
        <v>10460</v>
      </c>
      <c r="F501" t="s">
        <v>10461</v>
      </c>
      <c r="G501" t="s">
        <v>10462</v>
      </c>
      <c r="H501" t="s">
        <v>10463</v>
      </c>
      <c r="I501" t="s">
        <v>10464</v>
      </c>
      <c r="J501" t="s">
        <v>10465</v>
      </c>
      <c r="K501" t="s">
        <v>10466</v>
      </c>
      <c r="L501" t="s">
        <v>10467</v>
      </c>
      <c r="M501" t="s">
        <v>10468</v>
      </c>
      <c r="N501" t="s">
        <v>10469</v>
      </c>
      <c r="O501">
        <f>-707.111897670087 -44.455160648932 -750.421822015171</f>
        <v>-1501.9888803341901</v>
      </c>
      <c r="P501">
        <f>-726.646147744407 -52.7822404435419 -434.61304989609</f>
        <v>-1214.0414380840389</v>
      </c>
      <c r="Q501">
        <f>-483.499775625886 -62.8159078141621 -342.845768694465</f>
        <v>-889.16145213451318</v>
      </c>
      <c r="R501" t="s">
        <v>10470</v>
      </c>
      <c r="S501" t="s">
        <v>10471</v>
      </c>
      <c r="T501" t="s">
        <v>10472</v>
      </c>
      <c r="U501" t="s">
        <v>10473</v>
      </c>
      <c r="V501" t="s">
        <v>10474</v>
      </c>
      <c r="W501" t="s">
        <v>10475</v>
      </c>
      <c r="X501" t="s">
        <v>10476</v>
      </c>
      <c r="Y501" t="s">
        <v>10477</v>
      </c>
    </row>
    <row r="502" spans="1:25" x14ac:dyDescent="0.3">
      <c r="A502">
        <v>25050</v>
      </c>
      <c r="B502" t="s">
        <v>10478</v>
      </c>
      <c r="C502" t="s">
        <v>10479</v>
      </c>
      <c r="D502" t="s">
        <v>10480</v>
      </c>
      <c r="E502" t="s">
        <v>10481</v>
      </c>
      <c r="F502" t="s">
        <v>10482</v>
      </c>
      <c r="G502" t="s">
        <v>10483</v>
      </c>
      <c r="H502" t="s">
        <v>10484</v>
      </c>
      <c r="I502" t="s">
        <v>10485</v>
      </c>
      <c r="J502" t="s">
        <v>10486</v>
      </c>
      <c r="K502" t="s">
        <v>10487</v>
      </c>
      <c r="L502" t="s">
        <v>10488</v>
      </c>
      <c r="M502" t="s">
        <v>10489</v>
      </c>
      <c r="N502" t="s">
        <v>10490</v>
      </c>
      <c r="O502">
        <f>-707.767917783054 -44.5606353271262 -750.248362793332</f>
        <v>-1502.5769159035121</v>
      </c>
      <c r="P502">
        <f>-727.013410667731 -52.7342685931958 -434.417871817214</f>
        <v>-1214.1655510781409</v>
      </c>
      <c r="Q502">
        <f>-483.823995506048 -62.7490980422735 -342.762761926791</f>
        <v>-889.33585547511245</v>
      </c>
      <c r="R502" t="s">
        <v>10491</v>
      </c>
      <c r="S502" t="s">
        <v>10492</v>
      </c>
      <c r="T502" t="s">
        <v>10493</v>
      </c>
      <c r="U502" t="s">
        <v>10494</v>
      </c>
      <c r="V502" t="s">
        <v>10495</v>
      </c>
      <c r="W502" t="s">
        <v>10496</v>
      </c>
      <c r="X502" t="s">
        <v>10497</v>
      </c>
      <c r="Y502" t="s">
        <v>10498</v>
      </c>
    </row>
    <row r="503" spans="1:25" x14ac:dyDescent="0.3">
      <c r="A503">
        <v>25100</v>
      </c>
      <c r="B503" t="s">
        <v>10499</v>
      </c>
      <c r="C503" t="s">
        <v>10500</v>
      </c>
      <c r="D503" t="s">
        <v>10501</v>
      </c>
      <c r="E503" t="s">
        <v>10502</v>
      </c>
      <c r="F503" t="s">
        <v>10503</v>
      </c>
      <c r="G503" t="s">
        <v>10504</v>
      </c>
      <c r="H503" t="s">
        <v>10505</v>
      </c>
      <c r="I503" t="s">
        <v>10506</v>
      </c>
      <c r="J503" t="s">
        <v>10507</v>
      </c>
      <c r="K503" t="s">
        <v>10508</v>
      </c>
      <c r="L503" t="s">
        <v>10509</v>
      </c>
      <c r="M503" t="s">
        <v>10510</v>
      </c>
      <c r="N503" t="s">
        <v>10511</v>
      </c>
      <c r="O503">
        <f>-707.991362763541 -44.5926092668753 -750.131277648331</f>
        <v>-1502.7152496787473</v>
      </c>
      <c r="P503">
        <f>-727.073983698664 -52.6612462353919 -434.28802585375</f>
        <v>-1214.023255787806</v>
      </c>
      <c r="Q503">
        <f>-483.859216974729 -62.7163914210478 -342.704660135134</f>
        <v>-889.28026853091092</v>
      </c>
      <c r="R503" t="s">
        <v>10512</v>
      </c>
      <c r="S503" t="s">
        <v>10513</v>
      </c>
      <c r="T503" t="s">
        <v>10514</v>
      </c>
      <c r="U503" t="s">
        <v>10515</v>
      </c>
      <c r="V503" t="s">
        <v>10516</v>
      </c>
      <c r="W503" t="s">
        <v>10517</v>
      </c>
      <c r="X503" t="s">
        <v>10518</v>
      </c>
      <c r="Y503" t="s">
        <v>10519</v>
      </c>
    </row>
    <row r="504" spans="1:25" x14ac:dyDescent="0.3">
      <c r="A504">
        <v>25150</v>
      </c>
      <c r="B504" t="s">
        <v>10520</v>
      </c>
      <c r="C504" t="s">
        <v>10521</v>
      </c>
      <c r="D504" t="s">
        <v>10522</v>
      </c>
      <c r="E504" t="s">
        <v>10523</v>
      </c>
      <c r="F504" t="s">
        <v>10524</v>
      </c>
      <c r="G504" t="s">
        <v>10525</v>
      </c>
      <c r="H504" t="s">
        <v>10526</v>
      </c>
      <c r="I504" t="s">
        <v>10527</v>
      </c>
      <c r="J504" t="s">
        <v>10528</v>
      </c>
      <c r="K504" t="s">
        <v>10529</v>
      </c>
      <c r="L504" t="s">
        <v>10530</v>
      </c>
      <c r="M504" t="s">
        <v>10531</v>
      </c>
      <c r="N504" t="s">
        <v>10532</v>
      </c>
      <c r="O504">
        <f>-708.110234014449 -44.8304433153698 -750.014531605457</f>
        <v>-1502.955208935276</v>
      </c>
      <c r="P504">
        <f>-726.999249833967 -52.7060385032576 -434.154655762675</f>
        <v>-1213.8599440998996</v>
      </c>
      <c r="Q504">
        <f>-483.740365809834 -62.899895770787 -342.703966799935</f>
        <v>-889.34422838055593</v>
      </c>
      <c r="R504" t="s">
        <v>10533</v>
      </c>
      <c r="S504" t="s">
        <v>10534</v>
      </c>
      <c r="T504" t="s">
        <v>10535</v>
      </c>
      <c r="U504" t="s">
        <v>10536</v>
      </c>
      <c r="V504" t="s">
        <v>10537</v>
      </c>
      <c r="W504" t="s">
        <v>10538</v>
      </c>
      <c r="X504" t="s">
        <v>10539</v>
      </c>
      <c r="Y504" t="s">
        <v>10540</v>
      </c>
    </row>
    <row r="505" spans="1:25" x14ac:dyDescent="0.3">
      <c r="A505">
        <v>25200</v>
      </c>
      <c r="B505" t="s">
        <v>10541</v>
      </c>
      <c r="C505" t="s">
        <v>10542</v>
      </c>
      <c r="D505" t="s">
        <v>10543</v>
      </c>
      <c r="E505" t="s">
        <v>10544</v>
      </c>
      <c r="F505" t="s">
        <v>10545</v>
      </c>
      <c r="G505" t="s">
        <v>10546</v>
      </c>
      <c r="H505" t="s">
        <v>10547</v>
      </c>
      <c r="I505" t="s">
        <v>10548</v>
      </c>
      <c r="J505" t="s">
        <v>10549</v>
      </c>
      <c r="K505" t="s">
        <v>10550</v>
      </c>
      <c r="L505" t="s">
        <v>10551</v>
      </c>
      <c r="M505" t="s">
        <v>10552</v>
      </c>
      <c r="N505" t="s">
        <v>10553</v>
      </c>
      <c r="O505">
        <f>-708.194233024548 -44.9197204918894 -749.96286599745</f>
        <v>-1503.0768195138874</v>
      </c>
      <c r="P505">
        <f>-726.966065053598 -52.7952704830548 -434.096089645809</f>
        <v>-1213.8574251824616</v>
      </c>
      <c r="Q505">
        <f>-483.686018816313 -63.0911604045039 -342.713048199347</f>
        <v>-889.49022742016382</v>
      </c>
      <c r="R505" t="s">
        <v>10554</v>
      </c>
      <c r="S505" t="s">
        <v>10555</v>
      </c>
      <c r="T505" t="s">
        <v>10556</v>
      </c>
      <c r="U505" t="s">
        <v>10557</v>
      </c>
      <c r="V505" t="s">
        <v>10558</v>
      </c>
      <c r="W505" t="s">
        <v>10559</v>
      </c>
      <c r="X505" t="s">
        <v>10560</v>
      </c>
      <c r="Y505" t="s">
        <v>10561</v>
      </c>
    </row>
    <row r="506" spans="1:25" x14ac:dyDescent="0.3">
      <c r="A506">
        <v>25250</v>
      </c>
      <c r="B506" t="s">
        <v>10562</v>
      </c>
      <c r="C506" t="s">
        <v>10563</v>
      </c>
      <c r="D506" t="s">
        <v>10564</v>
      </c>
      <c r="E506" t="s">
        <v>10565</v>
      </c>
      <c r="F506" t="s">
        <v>10566</v>
      </c>
      <c r="G506" t="s">
        <v>10567</v>
      </c>
      <c r="H506" t="s">
        <v>10568</v>
      </c>
      <c r="I506" t="s">
        <v>10569</v>
      </c>
      <c r="J506" t="s">
        <v>10570</v>
      </c>
      <c r="K506" t="s">
        <v>10571</v>
      </c>
      <c r="L506" t="s">
        <v>10572</v>
      </c>
      <c r="M506" t="s">
        <v>10573</v>
      </c>
      <c r="N506" t="s">
        <v>10574</v>
      </c>
      <c r="O506">
        <f>-707.960341652725 -45.1664123751561 -749.926773745857</f>
        <v>-1503.0535277737381</v>
      </c>
      <c r="P506">
        <f>-726.685492834511 -52.7285488134555 -434.049608488393</f>
        <v>-1213.4636501363595</v>
      </c>
      <c r="Q506">
        <f>-483.385383880292 -63.6773665140545 -342.796113348797</f>
        <v>-889.8588637431435</v>
      </c>
      <c r="R506" t="s">
        <v>10575</v>
      </c>
      <c r="S506" t="s">
        <v>10576</v>
      </c>
      <c r="T506" t="s">
        <v>10577</v>
      </c>
      <c r="U506" t="s">
        <v>10578</v>
      </c>
      <c r="V506" t="s">
        <v>10579</v>
      </c>
      <c r="W506" t="s">
        <v>10580</v>
      </c>
      <c r="X506" t="s">
        <v>10581</v>
      </c>
      <c r="Y506" t="s">
        <v>10582</v>
      </c>
    </row>
    <row r="507" spans="1:25" x14ac:dyDescent="0.3">
      <c r="A507">
        <v>25300</v>
      </c>
      <c r="B507" t="s">
        <v>10583</v>
      </c>
      <c r="C507" t="s">
        <v>10584</v>
      </c>
      <c r="D507" t="s">
        <v>10585</v>
      </c>
      <c r="E507" t="s">
        <v>10586</v>
      </c>
      <c r="F507" t="s">
        <v>10587</v>
      </c>
      <c r="G507" t="s">
        <v>10588</v>
      </c>
      <c r="H507" t="s">
        <v>10589</v>
      </c>
      <c r="I507" t="s">
        <v>10590</v>
      </c>
      <c r="J507" t="s">
        <v>10591</v>
      </c>
      <c r="K507" t="s">
        <v>10592</v>
      </c>
      <c r="L507" t="s">
        <v>10593</v>
      </c>
      <c r="M507" t="s">
        <v>10594</v>
      </c>
      <c r="N507" t="s">
        <v>10595</v>
      </c>
      <c r="O507">
        <f>-707.797108515956 -45.1413526419492 -749.991736235914</f>
        <v>-1502.9301973938191</v>
      </c>
      <c r="P507">
        <f>-726.646082199957 -52.7215995850711 -434.122386855306</f>
        <v>-1213.4900686403341</v>
      </c>
      <c r="Q507">
        <f>-483.378442441167 -63.9836275145317 -342.820279951059</f>
        <v>-890.18234990675774</v>
      </c>
      <c r="R507" t="s">
        <v>10596</v>
      </c>
      <c r="S507" t="s">
        <v>10597</v>
      </c>
      <c r="T507" t="s">
        <v>10598</v>
      </c>
      <c r="U507" t="s">
        <v>10599</v>
      </c>
      <c r="V507" t="s">
        <v>10600</v>
      </c>
      <c r="W507" t="s">
        <v>10601</v>
      </c>
      <c r="X507" t="s">
        <v>10602</v>
      </c>
      <c r="Y507" t="s">
        <v>10603</v>
      </c>
    </row>
    <row r="508" spans="1:25" x14ac:dyDescent="0.3">
      <c r="A508">
        <v>25350</v>
      </c>
      <c r="B508" t="s">
        <v>10604</v>
      </c>
      <c r="C508" t="s">
        <v>10605</v>
      </c>
      <c r="D508" t="s">
        <v>10606</v>
      </c>
      <c r="E508" t="s">
        <v>10607</v>
      </c>
      <c r="F508" t="s">
        <v>10608</v>
      </c>
      <c r="G508" t="s">
        <v>10609</v>
      </c>
      <c r="H508" t="s">
        <v>10610</v>
      </c>
      <c r="I508" t="s">
        <v>10611</v>
      </c>
      <c r="J508" t="s">
        <v>10612</v>
      </c>
      <c r="K508" t="s">
        <v>10613</v>
      </c>
      <c r="L508" t="s">
        <v>10614</v>
      </c>
      <c r="M508" t="s">
        <v>10615</v>
      </c>
      <c r="N508" t="s">
        <v>10616</v>
      </c>
      <c r="O508">
        <f>-707.290092536942 -44.8458982834961 -750.161694359287</f>
        <v>-1502.2976851797252</v>
      </c>
      <c r="P508">
        <f>-726.662569910505 -52.4947036299441 -434.325649785618</f>
        <v>-1213.4829233260671</v>
      </c>
      <c r="Q508">
        <f>-483.566912596119 -64.4071570073572 -342.648918062516</f>
        <v>-890.62298766599224</v>
      </c>
      <c r="R508" t="s">
        <v>10617</v>
      </c>
      <c r="S508" t="s">
        <v>10618</v>
      </c>
      <c r="T508" t="s">
        <v>10619</v>
      </c>
      <c r="U508" t="s">
        <v>10620</v>
      </c>
      <c r="V508" t="s">
        <v>10621</v>
      </c>
      <c r="W508" t="s">
        <v>10622</v>
      </c>
      <c r="X508" t="s">
        <v>10623</v>
      </c>
      <c r="Y508" t="s">
        <v>10624</v>
      </c>
    </row>
    <row r="509" spans="1:25" x14ac:dyDescent="0.3">
      <c r="A509">
        <v>25400</v>
      </c>
      <c r="B509" t="s">
        <v>10625</v>
      </c>
      <c r="C509" t="s">
        <v>10626</v>
      </c>
      <c r="D509" t="s">
        <v>10627</v>
      </c>
      <c r="E509" t="s">
        <v>10628</v>
      </c>
      <c r="F509" t="s">
        <v>10629</v>
      </c>
      <c r="G509" t="s">
        <v>10630</v>
      </c>
      <c r="H509" t="s">
        <v>10631</v>
      </c>
      <c r="I509" t="s">
        <v>10632</v>
      </c>
      <c r="J509" t="s">
        <v>10633</v>
      </c>
      <c r="K509" t="s">
        <v>10634</v>
      </c>
      <c r="L509" t="s">
        <v>10635</v>
      </c>
      <c r="M509" t="s">
        <v>10636</v>
      </c>
      <c r="N509" t="s">
        <v>10637</v>
      </c>
      <c r="O509">
        <f>-706.88702933642 -44.9406534769755 -750.243841550791</f>
        <v>-1502.0715243641866</v>
      </c>
      <c r="P509">
        <f>-726.622976197053 -52.5473540328503 -434.429235417237</f>
        <v>-1213.5995656471405</v>
      </c>
      <c r="Q509">
        <f>-483.643956682781 -64.9093997178259 -342.502986896205</f>
        <v>-891.05634329681186</v>
      </c>
      <c r="R509" t="s">
        <v>10638</v>
      </c>
      <c r="S509" t="s">
        <v>10639</v>
      </c>
      <c r="T509" t="s">
        <v>10640</v>
      </c>
      <c r="U509" t="s">
        <v>10641</v>
      </c>
      <c r="V509" t="s">
        <v>10642</v>
      </c>
      <c r="W509" t="s">
        <v>10643</v>
      </c>
      <c r="X509" t="s">
        <v>10644</v>
      </c>
      <c r="Y509" t="s">
        <v>10645</v>
      </c>
    </row>
    <row r="510" spans="1:25" x14ac:dyDescent="0.3">
      <c r="A510">
        <v>25450</v>
      </c>
      <c r="B510" t="s">
        <v>10646</v>
      </c>
      <c r="C510" t="s">
        <v>10647</v>
      </c>
      <c r="D510" t="s">
        <v>10648</v>
      </c>
      <c r="E510" t="s">
        <v>10649</v>
      </c>
      <c r="F510" t="s">
        <v>10650</v>
      </c>
      <c r="G510" t="s">
        <v>10651</v>
      </c>
      <c r="H510" t="s">
        <v>10652</v>
      </c>
      <c r="I510" t="s">
        <v>10653</v>
      </c>
      <c r="J510" t="s">
        <v>10654</v>
      </c>
      <c r="K510" t="s">
        <v>10655</v>
      </c>
      <c r="L510" t="s">
        <v>10656</v>
      </c>
      <c r="M510" t="s">
        <v>10657</v>
      </c>
      <c r="N510" t="s">
        <v>10658</v>
      </c>
      <c r="O510">
        <f>-705.894907181036 -45.087204252038 -750.449650187555</f>
        <v>-1501.431761620629</v>
      </c>
      <c r="P510">
        <f>-726.483394283531 -52.4995457141897 -434.685018150669</f>
        <v>-1213.6679581483897</v>
      </c>
      <c r="Q510">
        <f>-483.795794890296 -65.5353101485268 -342.084701766082</f>
        <v>-891.41580680490483</v>
      </c>
      <c r="R510" t="s">
        <v>10659</v>
      </c>
      <c r="S510" t="s">
        <v>10660</v>
      </c>
      <c r="T510" t="s">
        <v>10661</v>
      </c>
      <c r="U510" t="s">
        <v>10662</v>
      </c>
      <c r="V510" t="s">
        <v>10663</v>
      </c>
      <c r="W510" t="s">
        <v>10664</v>
      </c>
      <c r="X510" t="s">
        <v>10665</v>
      </c>
      <c r="Y510" t="s">
        <v>10666</v>
      </c>
    </row>
    <row r="511" spans="1:25" x14ac:dyDescent="0.3">
      <c r="A511">
        <v>25500</v>
      </c>
      <c r="B511" t="s">
        <v>10667</v>
      </c>
      <c r="C511" t="s">
        <v>10668</v>
      </c>
      <c r="D511" t="s">
        <v>10669</v>
      </c>
      <c r="E511" t="s">
        <v>10670</v>
      </c>
      <c r="F511" t="s">
        <v>10671</v>
      </c>
      <c r="G511" t="s">
        <v>10672</v>
      </c>
      <c r="H511" t="s">
        <v>10673</v>
      </c>
      <c r="I511" t="s">
        <v>10674</v>
      </c>
      <c r="J511" t="s">
        <v>10675</v>
      </c>
      <c r="K511" t="s">
        <v>10676</v>
      </c>
      <c r="L511" t="s">
        <v>10677</v>
      </c>
      <c r="M511" t="s">
        <v>10678</v>
      </c>
      <c r="N511" t="s">
        <v>10679</v>
      </c>
      <c r="O511">
        <f>-705.319944183893 -45.3012436755537 -750.567392181094</f>
        <v>-1501.1885800405407</v>
      </c>
      <c r="P511">
        <f>-726.326970484249 -52.6524592313713 -434.828847717476</f>
        <v>-1213.8082774330962</v>
      </c>
      <c r="Q511">
        <f>-483.781361990526 -65.7776878013103 -341.869626245412</f>
        <v>-891.42867603724835</v>
      </c>
      <c r="R511" t="s">
        <v>10680</v>
      </c>
      <c r="S511" t="s">
        <v>10681</v>
      </c>
      <c r="T511" t="s">
        <v>10682</v>
      </c>
      <c r="U511" t="s">
        <v>10683</v>
      </c>
      <c r="V511" t="s">
        <v>10684</v>
      </c>
      <c r="W511" t="s">
        <v>10685</v>
      </c>
      <c r="X511" t="s">
        <v>10686</v>
      </c>
      <c r="Y511" t="s">
        <v>10687</v>
      </c>
    </row>
    <row r="512" spans="1:25" x14ac:dyDescent="0.3">
      <c r="A512">
        <v>25550</v>
      </c>
      <c r="B512" t="s">
        <v>10688</v>
      </c>
      <c r="C512" t="s">
        <v>10689</v>
      </c>
      <c r="D512" t="s">
        <v>10690</v>
      </c>
      <c r="E512" t="s">
        <v>10691</v>
      </c>
      <c r="F512" t="s">
        <v>10692</v>
      </c>
      <c r="G512" t="s">
        <v>10693</v>
      </c>
      <c r="H512" t="s">
        <v>10694</v>
      </c>
      <c r="I512" t="s">
        <v>10695</v>
      </c>
      <c r="J512" t="s">
        <v>10696</v>
      </c>
      <c r="K512" t="s">
        <v>10697</v>
      </c>
      <c r="L512" t="s">
        <v>10698</v>
      </c>
      <c r="M512" t="s">
        <v>10699</v>
      </c>
      <c r="N512" t="s">
        <v>10700</v>
      </c>
      <c r="O512">
        <f>-704.078423775797 -45.7356293825296 -750.704512377735</f>
        <v>-1500.5185655360615</v>
      </c>
      <c r="P512">
        <f>-725.78874551295 -52.9079414367388 -435.009294660155</f>
        <v>-1213.7059816098438</v>
      </c>
      <c r="Q512">
        <f>-483.443298029121 -66.1609000460826 -341.547570823704</f>
        <v>-891.15176889890768</v>
      </c>
      <c r="R512" t="s">
        <v>10701</v>
      </c>
      <c r="S512" t="s">
        <v>10702</v>
      </c>
      <c r="T512" t="s">
        <v>10703</v>
      </c>
      <c r="U512" t="s">
        <v>10704</v>
      </c>
      <c r="V512" t="s">
        <v>10705</v>
      </c>
      <c r="W512" t="s">
        <v>10706</v>
      </c>
      <c r="X512" t="s">
        <v>10707</v>
      </c>
      <c r="Y512" t="s">
        <v>10708</v>
      </c>
    </row>
    <row r="513" spans="1:25" x14ac:dyDescent="0.3">
      <c r="A513">
        <v>25600</v>
      </c>
      <c r="B513" t="s">
        <v>10709</v>
      </c>
      <c r="C513" t="s">
        <v>10710</v>
      </c>
      <c r="D513" t="s">
        <v>10711</v>
      </c>
      <c r="E513" t="s">
        <v>10712</v>
      </c>
      <c r="F513" t="s">
        <v>10713</v>
      </c>
      <c r="G513" t="s">
        <v>10714</v>
      </c>
      <c r="H513" t="s">
        <v>10715</v>
      </c>
      <c r="I513" t="s">
        <v>10716</v>
      </c>
      <c r="J513" t="s">
        <v>10717</v>
      </c>
      <c r="K513" t="s">
        <v>10718</v>
      </c>
      <c r="L513" t="s">
        <v>10719</v>
      </c>
      <c r="M513" t="s">
        <v>10720</v>
      </c>
      <c r="N513" t="s">
        <v>10721</v>
      </c>
      <c r="O513">
        <f>-703.504082764891 -45.8814306490692 -750.776736554137</f>
        <v>-1500.1622499680971</v>
      </c>
      <c r="P513">
        <f>-725.537131629642 -53.0414224100825 -435.103653810408</f>
        <v>-1213.6822078501325</v>
      </c>
      <c r="Q513">
        <f>-483.268623488858 -66.3415737780012 -341.449563915013</f>
        <v>-891.05976118187232</v>
      </c>
      <c r="R513" t="s">
        <v>10722</v>
      </c>
      <c r="S513" t="s">
        <v>10723</v>
      </c>
      <c r="T513" t="s">
        <v>10724</v>
      </c>
      <c r="U513" t="s">
        <v>10725</v>
      </c>
      <c r="V513" t="s">
        <v>10726</v>
      </c>
      <c r="W513" t="s">
        <v>10727</v>
      </c>
      <c r="X513" t="s">
        <v>10728</v>
      </c>
      <c r="Y513" t="s">
        <v>10729</v>
      </c>
    </row>
    <row r="514" spans="1:25" x14ac:dyDescent="0.3">
      <c r="A514">
        <v>25650</v>
      </c>
      <c r="B514" t="s">
        <v>10730</v>
      </c>
      <c r="C514" t="s">
        <v>10731</v>
      </c>
      <c r="D514" t="s">
        <v>10732</v>
      </c>
      <c r="E514" t="s">
        <v>10733</v>
      </c>
      <c r="F514" t="s">
        <v>10734</v>
      </c>
      <c r="G514" t="s">
        <v>10735</v>
      </c>
      <c r="H514" t="s">
        <v>10736</v>
      </c>
      <c r="I514" t="s">
        <v>10737</v>
      </c>
      <c r="J514" t="s">
        <v>10738</v>
      </c>
      <c r="K514" t="s">
        <v>10739</v>
      </c>
      <c r="L514" t="s">
        <v>10740</v>
      </c>
      <c r="M514" t="s">
        <v>10741</v>
      </c>
      <c r="N514" t="s">
        <v>10742</v>
      </c>
      <c r="O514">
        <f>-702.767729239 -46.0610528003519 -750.831437054886</f>
        <v>-1499.6602190942381</v>
      </c>
      <c r="P514">
        <f>-725.180924964662 -53.331164234334 -435.187589802245</f>
        <v>-1213.6996790012411</v>
      </c>
      <c r="Q514">
        <f>-483.007054595875 -66.39820618509 -341.256088889698</f>
        <v>-890.66134967066296</v>
      </c>
      <c r="R514" t="s">
        <v>10743</v>
      </c>
      <c r="S514" t="s">
        <v>10744</v>
      </c>
      <c r="T514" t="s">
        <v>10745</v>
      </c>
      <c r="U514" t="s">
        <v>10746</v>
      </c>
      <c r="V514" t="s">
        <v>10747</v>
      </c>
      <c r="W514" t="s">
        <v>10748</v>
      </c>
      <c r="X514" t="s">
        <v>10749</v>
      </c>
      <c r="Y514" t="s">
        <v>10750</v>
      </c>
    </row>
    <row r="515" spans="1:25" x14ac:dyDescent="0.3">
      <c r="A515">
        <v>25700</v>
      </c>
      <c r="B515" t="s">
        <v>10751</v>
      </c>
      <c r="C515" t="s">
        <v>10752</v>
      </c>
      <c r="D515" t="s">
        <v>10753</v>
      </c>
      <c r="E515" t="s">
        <v>10754</v>
      </c>
      <c r="F515" t="s">
        <v>10755</v>
      </c>
      <c r="G515" t="s">
        <v>10756</v>
      </c>
      <c r="H515" t="s">
        <v>10757</v>
      </c>
      <c r="I515" t="s">
        <v>10758</v>
      </c>
      <c r="J515" t="s">
        <v>10759</v>
      </c>
      <c r="K515" t="s">
        <v>10760</v>
      </c>
      <c r="L515" t="s">
        <v>10761</v>
      </c>
      <c r="M515" t="s">
        <v>10762</v>
      </c>
      <c r="N515" t="s">
        <v>10763</v>
      </c>
      <c r="O515">
        <f>-702.437979930806 -46.2928747216479 -750.790871188115</f>
        <v>-1499.5217258405689</v>
      </c>
      <c r="P515">
        <f>-724.938243502588 -53.3218270741784 -435.147913895785</f>
        <v>-1213.4079844725513</v>
      </c>
      <c r="Q515">
        <f>-482.772569702181 -66.1923411212342 -341.16789763154</f>
        <v>-890.13280845495512</v>
      </c>
      <c r="R515" t="s">
        <v>10764</v>
      </c>
      <c r="S515" t="s">
        <v>10765</v>
      </c>
      <c r="T515" t="s">
        <v>10766</v>
      </c>
      <c r="U515" t="s">
        <v>10767</v>
      </c>
      <c r="V515" t="s">
        <v>10768</v>
      </c>
      <c r="W515" t="s">
        <v>10769</v>
      </c>
      <c r="X515" t="s">
        <v>10770</v>
      </c>
      <c r="Y515" t="s">
        <v>10771</v>
      </c>
    </row>
    <row r="516" spans="1:25" x14ac:dyDescent="0.3">
      <c r="A516">
        <v>25750</v>
      </c>
      <c r="B516" t="s">
        <v>10772</v>
      </c>
      <c r="C516" t="s">
        <v>10773</v>
      </c>
      <c r="D516" t="s">
        <v>10774</v>
      </c>
      <c r="E516" t="s">
        <v>10775</v>
      </c>
      <c r="F516" t="s">
        <v>10776</v>
      </c>
      <c r="G516" t="s">
        <v>10777</v>
      </c>
      <c r="H516" t="s">
        <v>10778</v>
      </c>
      <c r="I516" t="s">
        <v>10779</v>
      </c>
      <c r="J516" t="s">
        <v>10780</v>
      </c>
      <c r="K516" t="s">
        <v>10781</v>
      </c>
      <c r="L516" t="s">
        <v>10782</v>
      </c>
      <c r="M516" t="s">
        <v>10783</v>
      </c>
      <c r="N516" t="s">
        <v>10784</v>
      </c>
      <c r="O516">
        <f>-701.602791622286 -46.8932803865832 -750.584616156677</f>
        <v>-1499.0806881655462</v>
      </c>
      <c r="P516">
        <f>-723.847930325045 -53.5941749765593 -434.91642967352</f>
        <v>-1212.3585349751243</v>
      </c>
      <c r="Q516">
        <f>-481.663325560663 -66.0924414007736 -340.935288166634</f>
        <v>-888.69105512807062</v>
      </c>
      <c r="R516" t="s">
        <v>10785</v>
      </c>
      <c r="S516" t="s">
        <v>10786</v>
      </c>
      <c r="T516" t="s">
        <v>10787</v>
      </c>
      <c r="U516" t="s">
        <v>10788</v>
      </c>
      <c r="V516" t="s">
        <v>10789</v>
      </c>
      <c r="W516" t="s">
        <v>10790</v>
      </c>
      <c r="X516" t="s">
        <v>10791</v>
      </c>
      <c r="Y516" t="s">
        <v>10792</v>
      </c>
    </row>
    <row r="517" spans="1:25" x14ac:dyDescent="0.3">
      <c r="A517">
        <v>25800</v>
      </c>
      <c r="B517" t="s">
        <v>10793</v>
      </c>
      <c r="C517" t="s">
        <v>10794</v>
      </c>
      <c r="D517" t="s">
        <v>10795</v>
      </c>
      <c r="E517" t="s">
        <v>10796</v>
      </c>
      <c r="F517" t="s">
        <v>10797</v>
      </c>
      <c r="G517" t="s">
        <v>10798</v>
      </c>
      <c r="H517" t="s">
        <v>10799</v>
      </c>
      <c r="I517" t="s">
        <v>10800</v>
      </c>
      <c r="J517" t="s">
        <v>10801</v>
      </c>
      <c r="K517" t="s">
        <v>10802</v>
      </c>
      <c r="L517" t="s">
        <v>10803</v>
      </c>
      <c r="M517" t="s">
        <v>10804</v>
      </c>
      <c r="N517" t="s">
        <v>10805</v>
      </c>
      <c r="O517">
        <f>-701.184117063696 -47.3912747369491 -750.446213666502</f>
        <v>-1499.0216054671471</v>
      </c>
      <c r="P517">
        <f>-723.356081594377 -53.7127097669686 -434.765044740021</f>
        <v>-1211.8338361013666</v>
      </c>
      <c r="Q517">
        <f>-481.115881183756 -66.054001368291 -340.906483172496</f>
        <v>-888.07636572454305</v>
      </c>
      <c r="R517" t="s">
        <v>10806</v>
      </c>
      <c r="S517" t="s">
        <v>10807</v>
      </c>
      <c r="T517" t="s">
        <v>10808</v>
      </c>
      <c r="U517" t="s">
        <v>10809</v>
      </c>
      <c r="V517" t="s">
        <v>10810</v>
      </c>
      <c r="W517" t="s">
        <v>10811</v>
      </c>
      <c r="X517" t="s">
        <v>10812</v>
      </c>
      <c r="Y517" t="s">
        <v>10813</v>
      </c>
    </row>
    <row r="518" spans="1:25" x14ac:dyDescent="0.3">
      <c r="A518">
        <v>25850</v>
      </c>
      <c r="B518" t="s">
        <v>10814</v>
      </c>
      <c r="C518" t="s">
        <v>10815</v>
      </c>
      <c r="D518" t="s">
        <v>10816</v>
      </c>
      <c r="E518" t="s">
        <v>10817</v>
      </c>
      <c r="F518" t="s">
        <v>10818</v>
      </c>
      <c r="G518" t="s">
        <v>10819</v>
      </c>
      <c r="H518" t="s">
        <v>10820</v>
      </c>
      <c r="I518" t="s">
        <v>10821</v>
      </c>
      <c r="J518" t="s">
        <v>10822</v>
      </c>
      <c r="K518" t="s">
        <v>10823</v>
      </c>
      <c r="L518" t="s">
        <v>10824</v>
      </c>
      <c r="M518" t="s">
        <v>10825</v>
      </c>
      <c r="N518" t="s">
        <v>10826</v>
      </c>
      <c r="O518">
        <f>-700.453127699277 -48.0912235449759 -750.219470221204</f>
        <v>-1498.7638214654571</v>
      </c>
      <c r="P518">
        <f>-722.336563939446 -54.2854026396831 -434.515690706904</f>
        <v>-1211.1376572860331</v>
      </c>
      <c r="Q518">
        <f>-479.976707590266 -66.2345496605317 -340.915490008982</f>
        <v>-887.12674725977968</v>
      </c>
      <c r="R518" t="s">
        <v>10827</v>
      </c>
      <c r="S518" t="s">
        <v>10828</v>
      </c>
      <c r="T518" t="s">
        <v>10829</v>
      </c>
      <c r="U518" t="s">
        <v>10830</v>
      </c>
      <c r="V518" t="s">
        <v>10831</v>
      </c>
      <c r="W518" t="s">
        <v>10832</v>
      </c>
      <c r="X518" t="s">
        <v>10833</v>
      </c>
      <c r="Y518" t="s">
        <v>10834</v>
      </c>
    </row>
    <row r="519" spans="1:25" x14ac:dyDescent="0.3">
      <c r="A519">
        <v>25900</v>
      </c>
      <c r="B519" t="s">
        <v>10835</v>
      </c>
      <c r="C519" t="s">
        <v>10836</v>
      </c>
      <c r="D519" t="s">
        <v>10837</v>
      </c>
      <c r="E519" t="s">
        <v>10838</v>
      </c>
      <c r="F519" t="s">
        <v>10839</v>
      </c>
      <c r="G519" t="s">
        <v>10840</v>
      </c>
      <c r="H519" t="s">
        <v>10841</v>
      </c>
      <c r="I519" t="s">
        <v>10842</v>
      </c>
      <c r="J519" t="s">
        <v>10843</v>
      </c>
      <c r="K519" t="s">
        <v>10844</v>
      </c>
      <c r="L519" t="s">
        <v>10845</v>
      </c>
      <c r="M519" t="s">
        <v>10846</v>
      </c>
      <c r="N519" t="s">
        <v>10847</v>
      </c>
      <c r="O519">
        <f>-699.938085737667 -48.2873850087558 -750.147762424388</f>
        <v>-1498.3732331708109</v>
      </c>
      <c r="P519">
        <f>-721.706887007011 -54.3830590682646 -434.434020990033</f>
        <v>-1210.5239670653086</v>
      </c>
      <c r="Q519">
        <f>-479.310932889374 -66.1092199955647 -340.899172176386</f>
        <v>-886.31932506132466</v>
      </c>
      <c r="R519" t="s">
        <v>10848</v>
      </c>
      <c r="S519" t="s">
        <v>10849</v>
      </c>
      <c r="T519" t="s">
        <v>10850</v>
      </c>
      <c r="U519" t="s">
        <v>10851</v>
      </c>
      <c r="V519" t="s">
        <v>10852</v>
      </c>
      <c r="W519" t="s">
        <v>10853</v>
      </c>
      <c r="X519" t="s">
        <v>10854</v>
      </c>
      <c r="Y519" t="s">
        <v>10855</v>
      </c>
    </row>
    <row r="520" spans="1:25" x14ac:dyDescent="0.3">
      <c r="A520">
        <v>25950</v>
      </c>
      <c r="B520" t="s">
        <v>10856</v>
      </c>
      <c r="C520" t="s">
        <v>10857</v>
      </c>
      <c r="D520" t="s">
        <v>10858</v>
      </c>
      <c r="E520" t="s">
        <v>10859</v>
      </c>
      <c r="F520" t="s">
        <v>10860</v>
      </c>
      <c r="G520" t="s">
        <v>10861</v>
      </c>
      <c r="H520" t="s">
        <v>10862</v>
      </c>
      <c r="I520" t="s">
        <v>10863</v>
      </c>
      <c r="J520" t="s">
        <v>10864</v>
      </c>
      <c r="K520" t="s">
        <v>10865</v>
      </c>
      <c r="L520" t="s">
        <v>10866</v>
      </c>
      <c r="M520" t="s">
        <v>10867</v>
      </c>
      <c r="N520" t="s">
        <v>10868</v>
      </c>
      <c r="O520">
        <f>-699.265594718574 -48.8352701456511 -749.92085439421</f>
        <v>-1498.021719258435</v>
      </c>
      <c r="P520">
        <f>-720.721005291451 -54.8491231728683 -434.184139778746</f>
        <v>-1209.7542682430653</v>
      </c>
      <c r="Q520">
        <f>-478.237021644321 -65.8366331823033 -340.78781512726</f>
        <v>-884.86146995388435</v>
      </c>
      <c r="R520" t="s">
        <v>10869</v>
      </c>
      <c r="S520" t="s">
        <v>10870</v>
      </c>
      <c r="T520" t="s">
        <v>10871</v>
      </c>
      <c r="U520" t="s">
        <v>10872</v>
      </c>
      <c r="V520" t="s">
        <v>10873</v>
      </c>
      <c r="W520" t="s">
        <v>10874</v>
      </c>
      <c r="X520" t="s">
        <v>10875</v>
      </c>
      <c r="Y520" t="s">
        <v>10876</v>
      </c>
    </row>
    <row r="521" spans="1:25" x14ac:dyDescent="0.3">
      <c r="A521">
        <v>26000</v>
      </c>
      <c r="B521" t="s">
        <v>10877</v>
      </c>
      <c r="C521" t="s">
        <v>10878</v>
      </c>
      <c r="D521" t="s">
        <v>10879</v>
      </c>
      <c r="E521" t="s">
        <v>10880</v>
      </c>
      <c r="F521" t="s">
        <v>10881</v>
      </c>
      <c r="G521" t="s">
        <v>10882</v>
      </c>
      <c r="H521" t="s">
        <v>10883</v>
      </c>
      <c r="I521" t="s">
        <v>10884</v>
      </c>
      <c r="J521" t="s">
        <v>10885</v>
      </c>
      <c r="K521" t="s">
        <v>10886</v>
      </c>
      <c r="L521" t="s">
        <v>10887</v>
      </c>
      <c r="M521" t="s">
        <v>10888</v>
      </c>
      <c r="N521" t="s">
        <v>10889</v>
      </c>
      <c r="O521">
        <f>-698.740696303257 -49.1622733670711 -749.792903703903</f>
        <v>-1497.695873374231</v>
      </c>
      <c r="P521">
        <f>-720.039719514522 -54.9880933150625 -434.041929902141</f>
        <v>-1209.0697427317255</v>
      </c>
      <c r="Q521">
        <f>-477.48818294381 -65.6634660234631 -340.785097705853</f>
        <v>-883.93674667312609</v>
      </c>
      <c r="R521" t="s">
        <v>10890</v>
      </c>
      <c r="S521" t="s">
        <v>10891</v>
      </c>
      <c r="T521" t="s">
        <v>10892</v>
      </c>
      <c r="U521" t="s">
        <v>10893</v>
      </c>
      <c r="V521" t="s">
        <v>10894</v>
      </c>
      <c r="W521" t="s">
        <v>10895</v>
      </c>
      <c r="X521" t="s">
        <v>10896</v>
      </c>
      <c r="Y521" t="s">
        <v>10897</v>
      </c>
    </row>
    <row r="522" spans="1:25" x14ac:dyDescent="0.3">
      <c r="A522">
        <v>26050</v>
      </c>
      <c r="B522" t="s">
        <v>10898</v>
      </c>
      <c r="C522" t="s">
        <v>10899</v>
      </c>
      <c r="D522" t="s">
        <v>10900</v>
      </c>
      <c r="E522" t="s">
        <v>10901</v>
      </c>
      <c r="F522" t="s">
        <v>10902</v>
      </c>
      <c r="G522" t="s">
        <v>10903</v>
      </c>
      <c r="H522" t="s">
        <v>10904</v>
      </c>
      <c r="I522" t="s">
        <v>10905</v>
      </c>
      <c r="J522" t="s">
        <v>10906</v>
      </c>
      <c r="K522" t="s">
        <v>10907</v>
      </c>
      <c r="L522" t="s">
        <v>10908</v>
      </c>
      <c r="M522" t="s">
        <v>10909</v>
      </c>
      <c r="N522" t="s">
        <v>10910</v>
      </c>
      <c r="O522">
        <f>-698.203591183142 -49.941640260281 -749.496111750088</f>
        <v>-1497.6413431935109</v>
      </c>
      <c r="P522">
        <f>-719.268945238926 -55.4191086239653 -433.723319893415</f>
        <v>-1208.4113737563061</v>
      </c>
      <c r="Q522">
        <f>-476.617067402571 -65.3394151453306 -340.644452041025</f>
        <v>-882.60093458892652</v>
      </c>
      <c r="R522" t="s">
        <v>10911</v>
      </c>
      <c r="S522" t="s">
        <v>10912</v>
      </c>
      <c r="T522" t="s">
        <v>10913</v>
      </c>
      <c r="U522" t="s">
        <v>10914</v>
      </c>
      <c r="V522" t="s">
        <v>10915</v>
      </c>
      <c r="W522" t="s">
        <v>10916</v>
      </c>
      <c r="X522" t="s">
        <v>10917</v>
      </c>
      <c r="Y522" t="s">
        <v>10918</v>
      </c>
    </row>
    <row r="523" spans="1:25" x14ac:dyDescent="0.3">
      <c r="A523">
        <v>26100</v>
      </c>
      <c r="B523" t="s">
        <v>10919</v>
      </c>
      <c r="C523" t="s">
        <v>10920</v>
      </c>
      <c r="D523" t="s">
        <v>10921</v>
      </c>
      <c r="E523" t="s">
        <v>10922</v>
      </c>
      <c r="F523" t="s">
        <v>10923</v>
      </c>
      <c r="G523" t="s">
        <v>10924</v>
      </c>
      <c r="H523" t="s">
        <v>10925</v>
      </c>
      <c r="I523" t="s">
        <v>10926</v>
      </c>
      <c r="J523" t="s">
        <v>10927</v>
      </c>
      <c r="K523" t="s">
        <v>10928</v>
      </c>
      <c r="L523" t="s">
        <v>10929</v>
      </c>
      <c r="M523" t="s">
        <v>10930</v>
      </c>
      <c r="N523" t="s">
        <v>10931</v>
      </c>
      <c r="O523">
        <f>-697.900592765539 -50.1185229048474 -749.40903476481</f>
        <v>-1497.4281504351966</v>
      </c>
      <c r="P523">
        <f>-718.788297051546 -55.5453855547341 -433.623648118471</f>
        <v>-1207.957330724751</v>
      </c>
      <c r="Q523">
        <f>-476.081038710637 -65.1395774153125 -340.654865126829</f>
        <v>-881.87548125277851</v>
      </c>
      <c r="R523" t="s">
        <v>10932</v>
      </c>
      <c r="S523" t="s">
        <v>10933</v>
      </c>
      <c r="T523" t="s">
        <v>10934</v>
      </c>
      <c r="U523" t="s">
        <v>10935</v>
      </c>
      <c r="V523" t="s">
        <v>10936</v>
      </c>
      <c r="W523" t="s">
        <v>10937</v>
      </c>
      <c r="X523" t="s">
        <v>10938</v>
      </c>
      <c r="Y523" t="s">
        <v>10939</v>
      </c>
    </row>
    <row r="524" spans="1:25" x14ac:dyDescent="0.3">
      <c r="A524">
        <v>26150</v>
      </c>
      <c r="B524" t="s">
        <v>10940</v>
      </c>
      <c r="C524" t="s">
        <v>10941</v>
      </c>
      <c r="D524" t="s">
        <v>10942</v>
      </c>
      <c r="E524" t="s">
        <v>10943</v>
      </c>
      <c r="F524" t="s">
        <v>10944</v>
      </c>
      <c r="G524" t="s">
        <v>10945</v>
      </c>
      <c r="H524" t="s">
        <v>10946</v>
      </c>
      <c r="I524" t="s">
        <v>10947</v>
      </c>
      <c r="J524" t="s">
        <v>10948</v>
      </c>
      <c r="K524" t="s">
        <v>10949</v>
      </c>
      <c r="L524" t="s">
        <v>10950</v>
      </c>
      <c r="M524" t="s">
        <v>10951</v>
      </c>
      <c r="N524" t="s">
        <v>10952</v>
      </c>
      <c r="O524">
        <f>-697.482426507456 -50.1758521240024 -749.314971940082</f>
        <v>-1496.9732505715406</v>
      </c>
      <c r="P524">
        <f>-717.959161596458 -55.7432639941626 -433.505204104656</f>
        <v>-1207.2076296952766</v>
      </c>
      <c r="Q524">
        <f>-475.080562258159 -64.8620500818442 -340.936685285676</f>
        <v>-880.8792976256791</v>
      </c>
      <c r="R524" t="s">
        <v>10953</v>
      </c>
      <c r="S524" t="s">
        <v>10954</v>
      </c>
      <c r="T524" t="s">
        <v>10955</v>
      </c>
      <c r="U524" t="s">
        <v>10956</v>
      </c>
      <c r="V524" t="s">
        <v>10957</v>
      </c>
      <c r="W524" t="s">
        <v>10958</v>
      </c>
      <c r="X524" t="s">
        <v>10959</v>
      </c>
      <c r="Y524" t="s">
        <v>10960</v>
      </c>
    </row>
    <row r="525" spans="1:25" x14ac:dyDescent="0.3">
      <c r="A525">
        <v>26200</v>
      </c>
      <c r="B525" t="s">
        <v>10961</v>
      </c>
      <c r="C525" t="s">
        <v>10962</v>
      </c>
      <c r="D525" t="s">
        <v>10963</v>
      </c>
      <c r="E525" t="s">
        <v>10964</v>
      </c>
      <c r="F525" t="s">
        <v>10965</v>
      </c>
      <c r="G525" t="s">
        <v>10966</v>
      </c>
      <c r="H525" t="s">
        <v>10967</v>
      </c>
      <c r="I525" t="s">
        <v>10968</v>
      </c>
      <c r="J525" t="s">
        <v>10969</v>
      </c>
      <c r="K525" t="s">
        <v>10970</v>
      </c>
      <c r="L525" t="s">
        <v>10971</v>
      </c>
      <c r="M525" t="s">
        <v>10972</v>
      </c>
      <c r="N525" t="s">
        <v>10973</v>
      </c>
      <c r="O525">
        <f>-697.31373135731 -49.9903424387351 -749.348976231112</f>
        <v>-1496.653050027157</v>
      </c>
      <c r="P525">
        <f>-717.638956108905 -55.6920795169274 -433.531693237348</f>
        <v>-1206.8627288631803</v>
      </c>
      <c r="Q525">
        <f>-474.685125397857 -64.7008127676736 -341.150051023728</f>
        <v>-880.53598918925866</v>
      </c>
      <c r="R525" t="s">
        <v>10974</v>
      </c>
      <c r="S525" t="s">
        <v>10975</v>
      </c>
      <c r="T525" t="s">
        <v>10976</v>
      </c>
      <c r="U525" t="s">
        <v>10977</v>
      </c>
      <c r="V525" t="s">
        <v>10978</v>
      </c>
      <c r="W525" t="s">
        <v>10979</v>
      </c>
      <c r="X525" t="s">
        <v>10980</v>
      </c>
      <c r="Y525" t="s">
        <v>10981</v>
      </c>
    </row>
    <row r="526" spans="1:25" x14ac:dyDescent="0.3">
      <c r="A526">
        <v>26250</v>
      </c>
      <c r="B526" t="s">
        <v>10982</v>
      </c>
      <c r="C526" t="s">
        <v>10983</v>
      </c>
      <c r="D526" t="s">
        <v>10984</v>
      </c>
      <c r="E526" t="s">
        <v>10985</v>
      </c>
      <c r="F526" t="s">
        <v>10986</v>
      </c>
      <c r="G526" t="s">
        <v>10987</v>
      </c>
      <c r="H526" t="s">
        <v>10988</v>
      </c>
      <c r="I526" t="s">
        <v>10989</v>
      </c>
      <c r="J526" t="s">
        <v>10990</v>
      </c>
      <c r="K526" t="s">
        <v>10991</v>
      </c>
      <c r="L526" t="s">
        <v>10992</v>
      </c>
      <c r="M526" t="s">
        <v>10993</v>
      </c>
      <c r="N526" t="s">
        <v>10994</v>
      </c>
      <c r="O526">
        <f>-697.357750579313 -49.9291062050372 -749.489807878205</f>
        <v>-1496.7766646625553</v>
      </c>
      <c r="P526">
        <f>-717.233869565102 -56.062829563095 -433.652013971576</f>
        <v>-1206.9487130997732</v>
      </c>
      <c r="Q526">
        <f>-474.161913225945 -65.1759103234804 -341.592311006015</f>
        <v>-880.93013455544042</v>
      </c>
      <c r="R526" t="s">
        <v>10995</v>
      </c>
      <c r="S526" t="s">
        <v>10996</v>
      </c>
      <c r="T526" t="s">
        <v>10997</v>
      </c>
      <c r="U526" t="s">
        <v>10998</v>
      </c>
      <c r="V526" t="s">
        <v>10999</v>
      </c>
      <c r="W526" t="s">
        <v>11000</v>
      </c>
      <c r="X526" t="s">
        <v>11001</v>
      </c>
      <c r="Y526" t="s">
        <v>11002</v>
      </c>
    </row>
    <row r="527" spans="1:25" x14ac:dyDescent="0.3">
      <c r="A527">
        <v>26300</v>
      </c>
      <c r="B527" t="s">
        <v>11003</v>
      </c>
      <c r="C527" t="s">
        <v>11004</v>
      </c>
      <c r="D527" t="s">
        <v>11005</v>
      </c>
      <c r="E527" t="s">
        <v>11006</v>
      </c>
      <c r="F527" t="s">
        <v>11007</v>
      </c>
      <c r="G527" t="s">
        <v>11008</v>
      </c>
      <c r="H527" t="s">
        <v>11009</v>
      </c>
      <c r="I527" t="s">
        <v>11010</v>
      </c>
      <c r="J527" t="s">
        <v>11011</v>
      </c>
      <c r="K527" t="s">
        <v>11012</v>
      </c>
      <c r="L527" t="s">
        <v>11013</v>
      </c>
      <c r="M527" t="s">
        <v>11014</v>
      </c>
      <c r="N527" t="s">
        <v>11015</v>
      </c>
      <c r="O527">
        <f>-697.335545264313 -50.1040036451577 -749.543128393496</f>
        <v>-1496.9826773029667</v>
      </c>
      <c r="P527">
        <f>-717.02142910854 -56.1815359098591 -433.692338363453</f>
        <v>-1206.895303381852</v>
      </c>
      <c r="Q527">
        <f>-473.889916659416 -65.5228034826416 -341.812661993216</f>
        <v>-881.22538213527355</v>
      </c>
      <c r="R527" t="s">
        <v>11016</v>
      </c>
      <c r="S527" t="s">
        <v>11017</v>
      </c>
      <c r="T527" t="s">
        <v>11018</v>
      </c>
      <c r="U527" t="s">
        <v>11019</v>
      </c>
      <c r="V527" t="s">
        <v>11020</v>
      </c>
      <c r="W527" t="s">
        <v>11021</v>
      </c>
      <c r="X527" t="s">
        <v>11022</v>
      </c>
      <c r="Y527" t="s">
        <v>11023</v>
      </c>
    </row>
    <row r="528" spans="1:25" x14ac:dyDescent="0.3">
      <c r="A528">
        <v>26350</v>
      </c>
      <c r="B528" t="s">
        <v>11024</v>
      </c>
      <c r="C528" t="s">
        <v>11025</v>
      </c>
      <c r="D528" t="s">
        <v>11026</v>
      </c>
      <c r="E528" t="s">
        <v>11027</v>
      </c>
      <c r="F528" t="s">
        <v>11028</v>
      </c>
      <c r="G528" t="s">
        <v>11029</v>
      </c>
      <c r="H528" t="s">
        <v>11030</v>
      </c>
      <c r="I528" t="s">
        <v>11031</v>
      </c>
      <c r="J528" t="s">
        <v>11032</v>
      </c>
      <c r="K528" t="s">
        <v>11033</v>
      </c>
      <c r="L528" t="s">
        <v>11034</v>
      </c>
      <c r="M528" t="s">
        <v>11035</v>
      </c>
      <c r="N528" t="s">
        <v>11036</v>
      </c>
      <c r="O528">
        <f>-697.614132733587 -50.5699568961327 -749.616587127013</f>
        <v>-1497.8006767567326</v>
      </c>
      <c r="P528">
        <f>-716.968877377494 -56.5636782157394 -433.743859214216</f>
        <v>-1207.2764148074493</v>
      </c>
      <c r="Q528">
        <f>-473.796726369807 -66.3997811574225 -342.02359900616</f>
        <v>-882.22010653338953</v>
      </c>
      <c r="R528" t="s">
        <v>11037</v>
      </c>
      <c r="S528" t="s">
        <v>11038</v>
      </c>
      <c r="T528" t="s">
        <v>11039</v>
      </c>
      <c r="U528" t="s">
        <v>11040</v>
      </c>
      <c r="V528" t="s">
        <v>11041</v>
      </c>
      <c r="W528" t="s">
        <v>11042</v>
      </c>
      <c r="X528" t="s">
        <v>11043</v>
      </c>
      <c r="Y528" t="s">
        <v>11044</v>
      </c>
    </row>
    <row r="529" spans="1:25" x14ac:dyDescent="0.3">
      <c r="A529">
        <v>26400</v>
      </c>
      <c r="B529" t="s">
        <v>11045</v>
      </c>
      <c r="C529" t="s">
        <v>11046</v>
      </c>
      <c r="D529" t="s">
        <v>11047</v>
      </c>
      <c r="E529" t="s">
        <v>11048</v>
      </c>
      <c r="F529" t="s">
        <v>11049</v>
      </c>
      <c r="G529" t="s">
        <v>11050</v>
      </c>
      <c r="H529" t="s">
        <v>11051</v>
      </c>
      <c r="I529" t="s">
        <v>11052</v>
      </c>
      <c r="J529" t="s">
        <v>11053</v>
      </c>
      <c r="K529" t="s">
        <v>11054</v>
      </c>
      <c r="L529" t="s">
        <v>11055</v>
      </c>
      <c r="M529" t="s">
        <v>11056</v>
      </c>
      <c r="N529" t="s">
        <v>11057</v>
      </c>
      <c r="O529">
        <f>-697.858349734207 -51.0957678786535 -749.558074301278</f>
        <v>-1498.5121919141384</v>
      </c>
      <c r="P529">
        <f>-717.233556537488 -56.8501083634101 -433.682044704232</f>
        <v>-1207.76570960513</v>
      </c>
      <c r="Q529">
        <f>-474.091337139412 -66.8452588828866 -341.89955294575</f>
        <v>-882.83614896804863</v>
      </c>
      <c r="R529" t="s">
        <v>11058</v>
      </c>
      <c r="S529" t="s">
        <v>11059</v>
      </c>
      <c r="T529" t="s">
        <v>11060</v>
      </c>
      <c r="U529" t="s">
        <v>11061</v>
      </c>
      <c r="V529" t="s">
        <v>11062</v>
      </c>
      <c r="W529" t="s">
        <v>11063</v>
      </c>
      <c r="X529" t="s">
        <v>11064</v>
      </c>
      <c r="Y529" t="s">
        <v>11065</v>
      </c>
    </row>
    <row r="530" spans="1:25" x14ac:dyDescent="0.3">
      <c r="A530">
        <v>26450</v>
      </c>
      <c r="B530" t="s">
        <v>11066</v>
      </c>
      <c r="C530" t="s">
        <v>11067</v>
      </c>
      <c r="D530" t="s">
        <v>11068</v>
      </c>
      <c r="E530" t="s">
        <v>11069</v>
      </c>
      <c r="F530" t="s">
        <v>11070</v>
      </c>
      <c r="G530" t="s">
        <v>11071</v>
      </c>
      <c r="H530" t="s">
        <v>11072</v>
      </c>
      <c r="I530" t="s">
        <v>11073</v>
      </c>
      <c r="J530" t="s">
        <v>11074</v>
      </c>
      <c r="K530" t="s">
        <v>11075</v>
      </c>
      <c r="L530" t="s">
        <v>11076</v>
      </c>
      <c r="M530" t="s">
        <v>11077</v>
      </c>
      <c r="N530" t="s">
        <v>11078</v>
      </c>
      <c r="O530">
        <f>-698.757983192576 -52.0983033806838 -749.461478449127</f>
        <v>-1500.3177650223868</v>
      </c>
      <c r="P530">
        <f>-717.88026156954 -57.2624130071467 -433.559823172016</f>
        <v>-1208.7024977487029</v>
      </c>
      <c r="Q530">
        <f>-474.8452473704 -67.7005723386415 -341.543088851951</f>
        <v>-884.08890856099254</v>
      </c>
      <c r="R530" t="s">
        <v>11079</v>
      </c>
      <c r="S530" t="s">
        <v>11080</v>
      </c>
      <c r="T530" t="s">
        <v>11081</v>
      </c>
      <c r="U530" t="s">
        <v>11082</v>
      </c>
      <c r="V530" t="s">
        <v>11083</v>
      </c>
      <c r="W530" t="s">
        <v>11084</v>
      </c>
      <c r="X530" t="s">
        <v>11085</v>
      </c>
      <c r="Y530" t="s">
        <v>11086</v>
      </c>
    </row>
    <row r="531" spans="1:25" x14ac:dyDescent="0.3">
      <c r="A531">
        <v>26500</v>
      </c>
      <c r="B531" t="s">
        <v>11087</v>
      </c>
      <c r="C531" t="s">
        <v>11088</v>
      </c>
      <c r="D531" t="s">
        <v>11089</v>
      </c>
      <c r="E531" t="s">
        <v>11090</v>
      </c>
      <c r="F531" t="s">
        <v>11091</v>
      </c>
      <c r="G531" t="s">
        <v>11092</v>
      </c>
      <c r="H531" t="s">
        <v>11093</v>
      </c>
      <c r="I531" t="s">
        <v>11094</v>
      </c>
      <c r="J531" t="s">
        <v>11095</v>
      </c>
      <c r="K531" t="s">
        <v>11096</v>
      </c>
      <c r="L531" t="s">
        <v>11097</v>
      </c>
      <c r="M531" t="s">
        <v>11098</v>
      </c>
      <c r="N531" t="s">
        <v>11099</v>
      </c>
      <c r="O531">
        <f>-699.094629689374 -52.550123463634 -749.353647174486</f>
        <v>-1500.998400327494</v>
      </c>
      <c r="P531">
        <f>-718.034810380869 -57.3565039219575 -433.435442879884</f>
        <v>-1208.8267571827105</v>
      </c>
      <c r="Q531">
        <f>-475.059579672578 -68.2629834572026 -341.315383695298</f>
        <v>-884.63794682507864</v>
      </c>
      <c r="R531" t="s">
        <v>11100</v>
      </c>
      <c r="S531" t="s">
        <v>11101</v>
      </c>
      <c r="T531" t="s">
        <v>11102</v>
      </c>
      <c r="U531" t="s">
        <v>11103</v>
      </c>
      <c r="V531" t="s">
        <v>11104</v>
      </c>
      <c r="W531" t="s">
        <v>11105</v>
      </c>
      <c r="X531" t="s">
        <v>11106</v>
      </c>
      <c r="Y531" t="s">
        <v>11107</v>
      </c>
    </row>
    <row r="532" spans="1:25" x14ac:dyDescent="0.3">
      <c r="A532">
        <v>26550</v>
      </c>
      <c r="B532" t="s">
        <v>11108</v>
      </c>
      <c r="C532" t="s">
        <v>11109</v>
      </c>
      <c r="D532" t="s">
        <v>11110</v>
      </c>
      <c r="E532" t="s">
        <v>11111</v>
      </c>
      <c r="F532" t="s">
        <v>11112</v>
      </c>
      <c r="G532" t="s">
        <v>11113</v>
      </c>
      <c r="H532" t="s">
        <v>11114</v>
      </c>
      <c r="I532" t="s">
        <v>11115</v>
      </c>
      <c r="J532" t="s">
        <v>11116</v>
      </c>
      <c r="K532" t="s">
        <v>11117</v>
      </c>
      <c r="L532" t="s">
        <v>11118</v>
      </c>
      <c r="M532" t="s">
        <v>11119</v>
      </c>
      <c r="N532" t="s">
        <v>11120</v>
      </c>
      <c r="O532">
        <f>-699.047234268069 -53.2995429982152 -749.098877225051</f>
        <v>-1501.4456544913351</v>
      </c>
      <c r="P532">
        <f>-718.177251039123 -56.9860739792061 -433.177063532947</f>
        <v>-1208.3403885512762</v>
      </c>
      <c r="Q532">
        <f>-475.283125988637 -68.586545263157 -340.927876308771</f>
        <v>-884.79754756056491</v>
      </c>
      <c r="R532" t="s">
        <v>11121</v>
      </c>
      <c r="S532" t="s">
        <v>11122</v>
      </c>
      <c r="T532" t="s">
        <v>11123</v>
      </c>
      <c r="U532" t="s">
        <v>11124</v>
      </c>
      <c r="V532" t="s">
        <v>11125</v>
      </c>
      <c r="W532" t="s">
        <v>11126</v>
      </c>
      <c r="X532" t="s">
        <v>11127</v>
      </c>
      <c r="Y532" t="s">
        <v>11128</v>
      </c>
    </row>
    <row r="533" spans="1:25" x14ac:dyDescent="0.3">
      <c r="A533">
        <v>26600</v>
      </c>
      <c r="B533" t="s">
        <v>11129</v>
      </c>
      <c r="C533" t="s">
        <v>11130</v>
      </c>
      <c r="D533" t="s">
        <v>11131</v>
      </c>
      <c r="E533" t="s">
        <v>11132</v>
      </c>
      <c r="F533" t="s">
        <v>11133</v>
      </c>
      <c r="G533" t="s">
        <v>11134</v>
      </c>
      <c r="H533" t="s">
        <v>11135</v>
      </c>
      <c r="I533" t="s">
        <v>11136</v>
      </c>
      <c r="J533" t="s">
        <v>11137</v>
      </c>
      <c r="K533" t="s">
        <v>11138</v>
      </c>
      <c r="L533" t="s">
        <v>11139</v>
      </c>
      <c r="M533" t="s">
        <v>11140</v>
      </c>
      <c r="N533" t="s">
        <v>11141</v>
      </c>
      <c r="O533">
        <f>-699.043643377784 -53.8169289001203 -748.860581386651</f>
        <v>-1501.7211536645552</v>
      </c>
      <c r="P533">
        <f>-718.45217363852 -56.9490620780916 -432.94977850471</f>
        <v>-1208.3510142213217</v>
      </c>
      <c r="Q533">
        <f>-475.597478030245 -68.5751953714864 -340.599986856564</f>
        <v>-884.77266025829533</v>
      </c>
      <c r="R533" t="s">
        <v>11142</v>
      </c>
      <c r="S533" t="s">
        <v>11143</v>
      </c>
      <c r="T533" t="s">
        <v>11144</v>
      </c>
      <c r="U533" t="s">
        <v>11145</v>
      </c>
      <c r="V533" t="s">
        <v>11146</v>
      </c>
      <c r="W533" t="s">
        <v>11147</v>
      </c>
      <c r="X533" t="s">
        <v>11148</v>
      </c>
      <c r="Y533" t="s">
        <v>11149</v>
      </c>
    </row>
    <row r="534" spans="1:25" x14ac:dyDescent="0.3">
      <c r="A534">
        <v>26650</v>
      </c>
      <c r="B534" t="s">
        <v>11150</v>
      </c>
      <c r="C534" t="s">
        <v>11151</v>
      </c>
      <c r="D534" t="s">
        <v>11152</v>
      </c>
      <c r="E534" t="s">
        <v>11153</v>
      </c>
      <c r="F534" t="s">
        <v>11154</v>
      </c>
      <c r="G534" t="s">
        <v>11155</v>
      </c>
      <c r="H534" t="s">
        <v>11156</v>
      </c>
      <c r="I534" t="s">
        <v>11157</v>
      </c>
      <c r="J534" t="s">
        <v>11158</v>
      </c>
      <c r="K534" t="s">
        <v>11159</v>
      </c>
      <c r="L534" t="s">
        <v>11160</v>
      </c>
      <c r="M534" t="s">
        <v>11161</v>
      </c>
      <c r="N534" t="s">
        <v>11162</v>
      </c>
      <c r="O534">
        <f>-698.98975902088 -54.3947318669964 -748.246616586734</f>
        <v>-1501.6311074746104</v>
      </c>
      <c r="P534">
        <f>-718.822425307625 -56.5554947941409 -432.353870218483</f>
        <v>-1207.731790320249</v>
      </c>
      <c r="Q534">
        <f>-476.058850396686 -67.8099719910442 -339.718809830805</f>
        <v>-883.58763221853519</v>
      </c>
      <c r="R534" t="s">
        <v>11163</v>
      </c>
      <c r="S534" t="s">
        <v>11164</v>
      </c>
      <c r="T534" t="s">
        <v>11165</v>
      </c>
      <c r="U534" t="s">
        <v>11166</v>
      </c>
      <c r="V534" t="s">
        <v>11167</v>
      </c>
      <c r="W534" t="s">
        <v>11168</v>
      </c>
      <c r="X534" t="s">
        <v>11169</v>
      </c>
      <c r="Y534" t="s">
        <v>11170</v>
      </c>
    </row>
    <row r="535" spans="1:25" x14ac:dyDescent="0.3">
      <c r="A535">
        <v>26700</v>
      </c>
      <c r="B535" t="s">
        <v>11171</v>
      </c>
      <c r="C535" t="s">
        <v>11172</v>
      </c>
      <c r="D535" t="s">
        <v>11173</v>
      </c>
      <c r="E535" t="s">
        <v>11174</v>
      </c>
      <c r="F535" t="s">
        <v>11175</v>
      </c>
      <c r="G535" t="s">
        <v>11176</v>
      </c>
      <c r="H535" t="s">
        <v>11177</v>
      </c>
      <c r="I535" t="s">
        <v>11178</v>
      </c>
      <c r="J535" t="s">
        <v>11179</v>
      </c>
      <c r="K535" t="s">
        <v>11180</v>
      </c>
      <c r="L535" t="s">
        <v>11181</v>
      </c>
      <c r="M535" t="s">
        <v>11182</v>
      </c>
      <c r="N535" t="s">
        <v>11183</v>
      </c>
      <c r="O535">
        <f>-699.086709438233 -54.7311328783994 -747.925043007785</f>
        <v>-1501.7428853244173</v>
      </c>
      <c r="P535">
        <f>-719.017926916849 -56.3408112105901 -432.035219700129</f>
        <v>-1207.3939578275681</v>
      </c>
      <c r="Q535">
        <f>-476.298471258493 -67.3415573662392 -339.254406804237</f>
        <v>-882.89443542896925</v>
      </c>
      <c r="R535" t="s">
        <v>11184</v>
      </c>
      <c r="S535" t="s">
        <v>11185</v>
      </c>
      <c r="T535" t="s">
        <v>11186</v>
      </c>
      <c r="U535" t="s">
        <v>11187</v>
      </c>
      <c r="V535" t="s">
        <v>11188</v>
      </c>
      <c r="W535" t="s">
        <v>11189</v>
      </c>
      <c r="X535" t="s">
        <v>11190</v>
      </c>
      <c r="Y535" t="s">
        <v>11191</v>
      </c>
    </row>
    <row r="536" spans="1:25" x14ac:dyDescent="0.3">
      <c r="A536">
        <v>26750</v>
      </c>
      <c r="B536" t="s">
        <v>11192</v>
      </c>
      <c r="C536" t="s">
        <v>11193</v>
      </c>
      <c r="D536" t="s">
        <v>11194</v>
      </c>
      <c r="E536" t="s">
        <v>11195</v>
      </c>
      <c r="F536" t="s">
        <v>11196</v>
      </c>
      <c r="G536" t="s">
        <v>11197</v>
      </c>
      <c r="H536" t="s">
        <v>11198</v>
      </c>
      <c r="I536" t="s">
        <v>11199</v>
      </c>
      <c r="J536" t="s">
        <v>11200</v>
      </c>
      <c r="K536" t="s">
        <v>11201</v>
      </c>
      <c r="L536" t="s">
        <v>11202</v>
      </c>
      <c r="M536" t="s">
        <v>11203</v>
      </c>
      <c r="N536" t="s">
        <v>11204</v>
      </c>
      <c r="O536">
        <f>-699.558088381267 -54.798608356934 -747.36920535336</f>
        <v>-1501.725902091561</v>
      </c>
      <c r="P536">
        <f>-719.50562897226 -55.6554708413089 -431.477518404767</f>
        <v>-1206.638618218336</v>
      </c>
      <c r="Q536">
        <f>-476.822643307654 -65.8804467673183 -338.512403963929</f>
        <v>-881.2154940389014</v>
      </c>
      <c r="R536" t="s">
        <v>11205</v>
      </c>
      <c r="S536" t="s">
        <v>11206</v>
      </c>
      <c r="T536" t="s">
        <v>11207</v>
      </c>
      <c r="U536" t="s">
        <v>11208</v>
      </c>
      <c r="V536" t="s">
        <v>11209</v>
      </c>
      <c r="W536" t="s">
        <v>11210</v>
      </c>
      <c r="X536" t="s">
        <v>11211</v>
      </c>
      <c r="Y536" t="s">
        <v>11212</v>
      </c>
    </row>
    <row r="537" spans="1:25" x14ac:dyDescent="0.3">
      <c r="A537">
        <v>26800</v>
      </c>
      <c r="B537" t="s">
        <v>11213</v>
      </c>
      <c r="C537" t="s">
        <v>11214</v>
      </c>
      <c r="D537" t="s">
        <v>11215</v>
      </c>
      <c r="E537" t="s">
        <v>11216</v>
      </c>
      <c r="F537" t="s">
        <v>11217</v>
      </c>
      <c r="G537" t="s">
        <v>11218</v>
      </c>
      <c r="H537" t="s">
        <v>11219</v>
      </c>
      <c r="I537" t="s">
        <v>11220</v>
      </c>
      <c r="J537" t="s">
        <v>11221</v>
      </c>
      <c r="K537" t="s">
        <v>11222</v>
      </c>
      <c r="L537" t="s">
        <v>11223</v>
      </c>
      <c r="M537" t="s">
        <v>11224</v>
      </c>
      <c r="N537" t="s">
        <v>11225</v>
      </c>
      <c r="O537">
        <f>-699.95994697124 -54.6052480590831 -747.136658792236</f>
        <v>-1501.7018538225591</v>
      </c>
      <c r="P537">
        <f>-719.903941149719 -55.3655405646136 -431.244520902501</f>
        <v>-1206.5140026168337</v>
      </c>
      <c r="Q537">
        <f>-477.199114609491 -65.0471694598543 -338.278527834319</f>
        <v>-880.52481190366427</v>
      </c>
      <c r="R537" t="s">
        <v>11226</v>
      </c>
      <c r="S537" t="s">
        <v>11227</v>
      </c>
      <c r="T537" t="s">
        <v>11228</v>
      </c>
      <c r="U537" t="s">
        <v>11229</v>
      </c>
      <c r="V537" t="s">
        <v>11230</v>
      </c>
      <c r="W537" t="s">
        <v>11231</v>
      </c>
      <c r="X537" t="s">
        <v>11232</v>
      </c>
      <c r="Y537" t="s">
        <v>11233</v>
      </c>
    </row>
    <row r="538" spans="1:25" x14ac:dyDescent="0.3">
      <c r="A538">
        <v>26850</v>
      </c>
      <c r="B538" t="s">
        <v>11234</v>
      </c>
      <c r="C538" t="s">
        <v>11235</v>
      </c>
      <c r="D538" t="s">
        <v>11236</v>
      </c>
      <c r="E538" t="s">
        <v>11237</v>
      </c>
      <c r="F538" t="s">
        <v>11238</v>
      </c>
      <c r="G538" t="s">
        <v>11239</v>
      </c>
      <c r="H538" t="s">
        <v>11240</v>
      </c>
      <c r="I538" t="s">
        <v>11241</v>
      </c>
      <c r="J538" t="s">
        <v>11242</v>
      </c>
      <c r="K538" t="s">
        <v>11243</v>
      </c>
      <c r="L538" t="s">
        <v>11244</v>
      </c>
      <c r="M538" t="s">
        <v>11245</v>
      </c>
      <c r="N538" t="s">
        <v>11246</v>
      </c>
      <c r="O538">
        <f>-701.025894323394 -53.7655699626807 -746.880557454077</f>
        <v>-1501.6720217401516</v>
      </c>
      <c r="P538">
        <f>-720.915098304526 -54.3744948742612 -430.984621337309</f>
        <v>-1206.2742145160964</v>
      </c>
      <c r="Q538">
        <f>-478.117987996219 -63.2556849670436 -338.179702441683</f>
        <v>-879.55337540494565</v>
      </c>
      <c r="R538" t="s">
        <v>11247</v>
      </c>
      <c r="S538" t="s">
        <v>11248</v>
      </c>
      <c r="T538" t="s">
        <v>11249</v>
      </c>
      <c r="U538" t="s">
        <v>11250</v>
      </c>
      <c r="V538" t="s">
        <v>11251</v>
      </c>
      <c r="W538" t="s">
        <v>11252</v>
      </c>
      <c r="X538" t="s">
        <v>11253</v>
      </c>
      <c r="Y538" t="s">
        <v>11254</v>
      </c>
    </row>
    <row r="539" spans="1:25" x14ac:dyDescent="0.3">
      <c r="A539">
        <v>26900</v>
      </c>
      <c r="B539" t="s">
        <v>11255</v>
      </c>
      <c r="C539" t="s">
        <v>11256</v>
      </c>
      <c r="D539" t="s">
        <v>11257</v>
      </c>
      <c r="E539" t="s">
        <v>11258</v>
      </c>
      <c r="F539" t="s">
        <v>11259</v>
      </c>
      <c r="G539" t="s">
        <v>11260</v>
      </c>
      <c r="H539" t="s">
        <v>11261</v>
      </c>
      <c r="I539" t="s">
        <v>11262</v>
      </c>
      <c r="J539" t="s">
        <v>11263</v>
      </c>
      <c r="K539" t="s">
        <v>11264</v>
      </c>
      <c r="L539" t="s">
        <v>11265</v>
      </c>
      <c r="M539" t="s">
        <v>11266</v>
      </c>
      <c r="N539" t="s">
        <v>11267</v>
      </c>
      <c r="O539">
        <f>-701.568406670084 -53.1732866251625 -746.819245432015</f>
        <v>-1501.5609387272616</v>
      </c>
      <c r="P539">
        <f>-721.497718508027 -53.8429319757529 -430.925923679596</f>
        <v>-1206.2665741633759</v>
      </c>
      <c r="Q539">
        <f>-478.670719548835 -62.4324434350838 -338.171933092068</f>
        <v>-879.27509607598677</v>
      </c>
      <c r="R539" t="s">
        <v>11268</v>
      </c>
      <c r="S539" t="s">
        <v>11269</v>
      </c>
      <c r="T539" t="s">
        <v>11270</v>
      </c>
      <c r="U539" t="s">
        <v>11271</v>
      </c>
      <c r="V539" t="s">
        <v>11272</v>
      </c>
      <c r="W539" t="s">
        <v>11273</v>
      </c>
      <c r="X539" t="s">
        <v>11274</v>
      </c>
      <c r="Y539" t="s">
        <v>11275</v>
      </c>
    </row>
    <row r="540" spans="1:25" x14ac:dyDescent="0.3">
      <c r="A540">
        <v>26950</v>
      </c>
      <c r="B540" t="s">
        <v>11276</v>
      </c>
      <c r="C540" t="s">
        <v>11277</v>
      </c>
      <c r="D540" t="s">
        <v>11278</v>
      </c>
      <c r="E540" t="s">
        <v>11279</v>
      </c>
      <c r="F540" t="s">
        <v>11280</v>
      </c>
      <c r="G540" t="s">
        <v>11281</v>
      </c>
      <c r="H540" t="s">
        <v>11282</v>
      </c>
      <c r="I540" t="s">
        <v>11283</v>
      </c>
      <c r="J540" t="s">
        <v>11284</v>
      </c>
      <c r="K540" t="s">
        <v>11285</v>
      </c>
      <c r="L540" t="s">
        <v>11286</v>
      </c>
      <c r="M540" t="s">
        <v>11287</v>
      </c>
      <c r="N540" t="s">
        <v>11288</v>
      </c>
      <c r="O540">
        <f>-702.990512623823 -51.7507219794543 -746.849121951818</f>
        <v>-1501.5903565550952</v>
      </c>
      <c r="P540">
        <f>-723.123076281216 -52.7704680062861 -430.96971918763</f>
        <v>-1206.863263475132</v>
      </c>
      <c r="Q540">
        <f>-480.312384449526 -60.8504265053541 -338.127165187901</f>
        <v>-879.28997614278114</v>
      </c>
      <c r="R540" t="s">
        <v>11289</v>
      </c>
      <c r="S540" t="s">
        <v>11290</v>
      </c>
      <c r="T540" t="s">
        <v>11291</v>
      </c>
      <c r="U540" t="s">
        <v>11292</v>
      </c>
      <c r="V540" t="s">
        <v>11293</v>
      </c>
      <c r="W540" t="s">
        <v>11294</v>
      </c>
      <c r="X540" t="s">
        <v>11295</v>
      </c>
      <c r="Y540" t="s">
        <v>11296</v>
      </c>
    </row>
    <row r="541" spans="1:25" x14ac:dyDescent="0.3">
      <c r="A541">
        <v>27000</v>
      </c>
      <c r="B541" t="s">
        <v>11297</v>
      </c>
      <c r="C541" t="s">
        <v>11298</v>
      </c>
      <c r="D541" t="s">
        <v>11299</v>
      </c>
      <c r="E541" t="s">
        <v>11300</v>
      </c>
      <c r="F541" t="s">
        <v>11301</v>
      </c>
      <c r="G541" t="s">
        <v>11302</v>
      </c>
      <c r="H541" t="s">
        <v>11303</v>
      </c>
      <c r="I541" t="s">
        <v>11304</v>
      </c>
      <c r="J541" t="s">
        <v>11305</v>
      </c>
      <c r="K541" t="s">
        <v>11306</v>
      </c>
      <c r="L541" t="s">
        <v>11307</v>
      </c>
      <c r="M541" t="s">
        <v>11308</v>
      </c>
      <c r="N541" t="s">
        <v>11309</v>
      </c>
      <c r="O541">
        <f>-703.877318205781 -50.8127483207411 -746.974332417429</f>
        <v>-1501.664398943951</v>
      </c>
      <c r="P541">
        <f>-724.169491834476 -52.1018942493195 -431.106112440654</f>
        <v>-1207.3774985244495</v>
      </c>
      <c r="Q541">
        <f>-481.399346953394 -60.0136488558867 -338.142844887537</f>
        <v>-879.55584069681777</v>
      </c>
      <c r="R541" t="s">
        <v>11310</v>
      </c>
      <c r="S541" t="s">
        <v>11311</v>
      </c>
      <c r="T541" t="s">
        <v>11312</v>
      </c>
      <c r="U541" t="s">
        <v>11313</v>
      </c>
      <c r="V541" t="s">
        <v>11314</v>
      </c>
      <c r="W541" t="s">
        <v>11315</v>
      </c>
      <c r="X541" t="s">
        <v>11316</v>
      </c>
      <c r="Y541" t="s">
        <v>11317</v>
      </c>
    </row>
    <row r="542" spans="1:25" x14ac:dyDescent="0.3">
      <c r="A542">
        <v>27050</v>
      </c>
      <c r="B542" t="s">
        <v>11318</v>
      </c>
      <c r="C542" t="s">
        <v>11319</v>
      </c>
      <c r="D542" t="s">
        <v>11320</v>
      </c>
      <c r="E542" t="s">
        <v>11321</v>
      </c>
      <c r="F542" t="s">
        <v>11322</v>
      </c>
      <c r="G542" t="s">
        <v>11323</v>
      </c>
      <c r="H542" t="s">
        <v>11324</v>
      </c>
      <c r="I542" t="s">
        <v>11325</v>
      </c>
      <c r="J542" t="s">
        <v>11326</v>
      </c>
      <c r="K542" t="s">
        <v>11327</v>
      </c>
      <c r="L542" t="s">
        <v>11328</v>
      </c>
      <c r="M542" t="s">
        <v>11329</v>
      </c>
      <c r="N542" t="s">
        <v>11330</v>
      </c>
      <c r="O542">
        <f>-705.355948188297 -48.9925229386447 -747.241886564556</f>
        <v>-1501.5903576914977</v>
      </c>
      <c r="P542">
        <f>-726.171479070137 -50.966733207033 -431.41110868352</f>
        <v>-1208.54932096069</v>
      </c>
      <c r="Q542">
        <f>-483.502089139801 -58.8144906164885 -338.180138794766</f>
        <v>-880.49671855105544</v>
      </c>
      <c r="R542" t="s">
        <v>11331</v>
      </c>
      <c r="S542" t="s">
        <v>11332</v>
      </c>
      <c r="T542" t="s">
        <v>11333</v>
      </c>
      <c r="U542" t="s">
        <v>11334</v>
      </c>
      <c r="V542" t="s">
        <v>11335</v>
      </c>
      <c r="W542" t="s">
        <v>11336</v>
      </c>
      <c r="X542" t="s">
        <v>11337</v>
      </c>
      <c r="Y542" t="s">
        <v>11338</v>
      </c>
    </row>
    <row r="543" spans="1:25" x14ac:dyDescent="0.3">
      <c r="A543">
        <v>27100</v>
      </c>
      <c r="B543" t="s">
        <v>11339</v>
      </c>
      <c r="C543" t="s">
        <v>11340</v>
      </c>
      <c r="D543" t="s">
        <v>11341</v>
      </c>
      <c r="E543" t="s">
        <v>11342</v>
      </c>
      <c r="F543" t="s">
        <v>11343</v>
      </c>
      <c r="G543" t="s">
        <v>11344</v>
      </c>
      <c r="H543" t="s">
        <v>11345</v>
      </c>
      <c r="I543" t="s">
        <v>11346</v>
      </c>
      <c r="J543" t="s">
        <v>11347</v>
      </c>
      <c r="K543" t="s">
        <v>11348</v>
      </c>
      <c r="L543" t="s">
        <v>11349</v>
      </c>
      <c r="M543" t="s">
        <v>11350</v>
      </c>
      <c r="N543" t="s">
        <v>11351</v>
      </c>
      <c r="O543">
        <f>-705.922096229902 -47.8990607119686 -747.448563968853</f>
        <v>-1501.2697209107237</v>
      </c>
      <c r="P543">
        <f>-726.980148336758 -50.3148763855324 -431.63714047914</f>
        <v>-1208.9321652014305</v>
      </c>
      <c r="Q543">
        <f>-484.386439641009 -58.2222141359416 -338.214401352768</f>
        <v>-880.82305512971857</v>
      </c>
      <c r="R543" t="s">
        <v>11352</v>
      </c>
      <c r="S543" t="s">
        <v>11353</v>
      </c>
      <c r="T543" t="s">
        <v>11354</v>
      </c>
      <c r="U543" t="s">
        <v>11355</v>
      </c>
      <c r="V543" t="s">
        <v>11356</v>
      </c>
      <c r="W543" t="s">
        <v>11357</v>
      </c>
      <c r="X543" t="s">
        <v>11358</v>
      </c>
      <c r="Y543" t="s">
        <v>11359</v>
      </c>
    </row>
    <row r="544" spans="1:25" x14ac:dyDescent="0.3">
      <c r="A544">
        <v>27150</v>
      </c>
      <c r="B544" t="s">
        <v>11360</v>
      </c>
      <c r="C544" t="s">
        <v>11361</v>
      </c>
      <c r="D544" t="s">
        <v>11362</v>
      </c>
      <c r="E544" t="s">
        <v>11363</v>
      </c>
      <c r="F544" t="s">
        <v>11364</v>
      </c>
      <c r="G544" t="s">
        <v>11365</v>
      </c>
      <c r="H544" t="s">
        <v>11366</v>
      </c>
      <c r="I544" t="s">
        <v>11367</v>
      </c>
      <c r="J544" t="s">
        <v>11368</v>
      </c>
      <c r="K544" t="s">
        <v>11369</v>
      </c>
      <c r="L544" t="s">
        <v>11370</v>
      </c>
      <c r="M544" t="s">
        <v>11371</v>
      </c>
      <c r="N544" t="s">
        <v>11372</v>
      </c>
      <c r="O544">
        <f>-706.980322122334 -46.0442551145941 -747.847724357249</f>
        <v>-1500.8723015941771</v>
      </c>
      <c r="P544">
        <f>-728.804777971338 -49.1069428954015 -432.093795615102</f>
        <v>-1210.0055164818416</v>
      </c>
      <c r="Q544">
        <f>-486.370020434214 -57.214878324884 -338.27658992683</f>
        <v>-881.86148868592795</v>
      </c>
      <c r="R544" t="s">
        <v>11373</v>
      </c>
      <c r="S544" t="s">
        <v>11374</v>
      </c>
      <c r="T544" t="s">
        <v>11375</v>
      </c>
      <c r="U544" t="s">
        <v>11376</v>
      </c>
      <c r="V544" t="s">
        <v>11377</v>
      </c>
      <c r="W544" t="s">
        <v>11378</v>
      </c>
      <c r="X544" t="s">
        <v>11379</v>
      </c>
      <c r="Y544" t="s">
        <v>11380</v>
      </c>
    </row>
    <row r="545" spans="1:25" x14ac:dyDescent="0.3">
      <c r="A545">
        <v>27200</v>
      </c>
      <c r="B545" t="s">
        <v>11381</v>
      </c>
      <c r="C545" t="s">
        <v>11382</v>
      </c>
      <c r="D545" t="s">
        <v>11383</v>
      </c>
      <c r="E545" t="s">
        <v>11384</v>
      </c>
      <c r="F545" t="s">
        <v>11385</v>
      </c>
      <c r="G545" t="s">
        <v>11386</v>
      </c>
      <c r="H545" t="s">
        <v>11387</v>
      </c>
      <c r="I545" t="s">
        <v>11388</v>
      </c>
      <c r="J545" t="s">
        <v>11389</v>
      </c>
      <c r="K545" t="s">
        <v>11390</v>
      </c>
      <c r="L545" t="s">
        <v>11391</v>
      </c>
      <c r="M545" t="s">
        <v>11392</v>
      </c>
      <c r="N545" t="s">
        <v>11393</v>
      </c>
      <c r="O545">
        <f>-707.814956552591 -45.130047187713 -748.015841413467</f>
        <v>-1500.9608451537711</v>
      </c>
      <c r="P545">
        <f>-729.967609705459 -48.4823768238591 -432.287847789221</f>
        <v>-1210.7378343185392</v>
      </c>
      <c r="Q545">
        <f>-487.644599294344 -56.6928884195627 -338.190791835166</f>
        <v>-882.52827954907275</v>
      </c>
      <c r="R545" t="s">
        <v>11394</v>
      </c>
      <c r="S545" t="s">
        <v>11395</v>
      </c>
      <c r="T545" t="s">
        <v>11396</v>
      </c>
      <c r="U545" t="s">
        <v>11397</v>
      </c>
      <c r="V545" t="s">
        <v>11398</v>
      </c>
      <c r="W545" t="s">
        <v>11399</v>
      </c>
      <c r="X545" t="s">
        <v>11400</v>
      </c>
      <c r="Y545" t="s">
        <v>11401</v>
      </c>
    </row>
    <row r="546" spans="1:25" x14ac:dyDescent="0.3">
      <c r="A546">
        <v>27250</v>
      </c>
      <c r="B546" t="s">
        <v>11402</v>
      </c>
      <c r="C546" t="s">
        <v>11403</v>
      </c>
      <c r="D546" t="s">
        <v>11404</v>
      </c>
      <c r="E546" t="s">
        <v>11405</v>
      </c>
      <c r="F546" t="s">
        <v>11406</v>
      </c>
      <c r="G546" t="s">
        <v>11407</v>
      </c>
      <c r="H546" t="s">
        <v>11408</v>
      </c>
      <c r="I546" t="s">
        <v>11409</v>
      </c>
      <c r="J546" t="s">
        <v>11410</v>
      </c>
      <c r="K546" t="s">
        <v>11411</v>
      </c>
      <c r="L546" t="s">
        <v>11412</v>
      </c>
      <c r="M546" t="s">
        <v>11413</v>
      </c>
      <c r="N546" t="s">
        <v>11414</v>
      </c>
      <c r="O546">
        <f>-709.273933279915 -43.7545209248233 -748.289109758141</f>
        <v>-1501.3175639628794</v>
      </c>
      <c r="P546">
        <f>-731.822757190002 -47.6432767986589 -432.595268177257</f>
        <v>-1212.0613021659178</v>
      </c>
      <c r="Q546">
        <f>-489.626733718799 -55.7918304314487 -338.166620197784</f>
        <v>-883.5851843480317</v>
      </c>
      <c r="R546" t="s">
        <v>11415</v>
      </c>
      <c r="S546" t="s">
        <v>11416</v>
      </c>
      <c r="T546" t="s">
        <v>11417</v>
      </c>
      <c r="U546" t="s">
        <v>11418</v>
      </c>
      <c r="V546" t="s">
        <v>11419</v>
      </c>
      <c r="W546" t="s">
        <v>11420</v>
      </c>
      <c r="X546" t="s">
        <v>11421</v>
      </c>
      <c r="Y546" t="s">
        <v>11422</v>
      </c>
    </row>
    <row r="547" spans="1:25" x14ac:dyDescent="0.3">
      <c r="A547">
        <v>27300</v>
      </c>
      <c r="B547" t="s">
        <v>11423</v>
      </c>
      <c r="C547" t="s">
        <v>11424</v>
      </c>
      <c r="D547" t="s">
        <v>11425</v>
      </c>
      <c r="E547" t="s">
        <v>11426</v>
      </c>
      <c r="F547" t="s">
        <v>11427</v>
      </c>
      <c r="G547" t="s">
        <v>11428</v>
      </c>
      <c r="H547" t="s">
        <v>11429</v>
      </c>
      <c r="I547" t="s">
        <v>11430</v>
      </c>
      <c r="J547" t="s">
        <v>11431</v>
      </c>
      <c r="K547" t="s">
        <v>11432</v>
      </c>
      <c r="L547" t="s">
        <v>11433</v>
      </c>
      <c r="M547" t="s">
        <v>11434</v>
      </c>
      <c r="N547" t="s">
        <v>11435</v>
      </c>
      <c r="O547">
        <f>-709.960527616822 -43.0866607344658 -748.413500223645</f>
        <v>-1501.4606885749326</v>
      </c>
      <c r="P547">
        <f>-732.648916998798 -47.2169208177322 -432.732589373534</f>
        <v>-1212.5984271900643</v>
      </c>
      <c r="Q547">
        <f>-490.475777056793 -55.3256858174145 -338.242167267562</f>
        <v>-884.04363014176943</v>
      </c>
      <c r="R547" t="s">
        <v>11436</v>
      </c>
      <c r="S547" t="s">
        <v>11437</v>
      </c>
      <c r="T547" t="s">
        <v>11438</v>
      </c>
      <c r="U547" t="s">
        <v>11439</v>
      </c>
      <c r="V547" t="s">
        <v>11440</v>
      </c>
      <c r="W547" t="s">
        <v>11441</v>
      </c>
      <c r="X547" t="s">
        <v>11442</v>
      </c>
      <c r="Y547" t="s">
        <v>11443</v>
      </c>
    </row>
    <row r="548" spans="1:25" x14ac:dyDescent="0.3">
      <c r="A548">
        <v>27350</v>
      </c>
      <c r="B548" t="s">
        <v>11444</v>
      </c>
      <c r="C548" t="s">
        <v>11445</v>
      </c>
      <c r="D548" t="s">
        <v>11446</v>
      </c>
      <c r="E548" t="s">
        <v>11447</v>
      </c>
      <c r="F548" t="s">
        <v>11448</v>
      </c>
      <c r="G548" t="s">
        <v>11449</v>
      </c>
      <c r="H548" t="s">
        <v>11450</v>
      </c>
      <c r="I548" t="s">
        <v>11451</v>
      </c>
      <c r="J548" t="s">
        <v>11452</v>
      </c>
      <c r="K548" t="s">
        <v>11453</v>
      </c>
      <c r="L548" t="s">
        <v>11454</v>
      </c>
      <c r="M548" t="s">
        <v>11455</v>
      </c>
      <c r="N548" t="s">
        <v>11456</v>
      </c>
      <c r="O548">
        <f>-711.130260571804 -41.6580620030247 -748.694383462767</f>
        <v>-1501.4827060375956</v>
      </c>
      <c r="P548">
        <f>-734.012579169658 -46.2497277916548 -433.033797197891</f>
        <v>-1213.2961041592039</v>
      </c>
      <c r="Q548">
        <f>-491.855967899402 -53.9962399493681 -338.470634821834</f>
        <v>-884.32284267060413</v>
      </c>
      <c r="R548" t="s">
        <v>11457</v>
      </c>
      <c r="S548" t="s">
        <v>11458</v>
      </c>
      <c r="T548" t="s">
        <v>11459</v>
      </c>
      <c r="U548" t="s">
        <v>11460</v>
      </c>
      <c r="V548" t="s">
        <v>11461</v>
      </c>
      <c r="W548" t="s">
        <v>11462</v>
      </c>
      <c r="X548" t="s">
        <v>11463</v>
      </c>
      <c r="Y548" t="s">
        <v>11464</v>
      </c>
    </row>
    <row r="549" spans="1:25" x14ac:dyDescent="0.3">
      <c r="A549">
        <v>27400</v>
      </c>
      <c r="B549" t="s">
        <v>11465</v>
      </c>
      <c r="C549" t="s">
        <v>11466</v>
      </c>
      <c r="D549" t="s">
        <v>11467</v>
      </c>
      <c r="E549" t="s">
        <v>11468</v>
      </c>
      <c r="F549" t="s">
        <v>11469</v>
      </c>
      <c r="G549" t="s">
        <v>11470</v>
      </c>
      <c r="H549" t="s">
        <v>11471</v>
      </c>
      <c r="I549" t="s">
        <v>11472</v>
      </c>
      <c r="J549" t="s">
        <v>11473</v>
      </c>
      <c r="K549" t="s">
        <v>11474</v>
      </c>
      <c r="L549" t="s">
        <v>11475</v>
      </c>
      <c r="M549" t="s">
        <v>11476</v>
      </c>
      <c r="N549" t="s">
        <v>11477</v>
      </c>
      <c r="O549">
        <f>-711.515007361365 -41.0744676596833 -748.792075940742</f>
        <v>-1501.3815509617903</v>
      </c>
      <c r="P549">
        <f>-734.594190963464 -45.8480474018229 -433.148760194922</f>
        <v>-1213.5909985602088</v>
      </c>
      <c r="Q549">
        <f>-492.448905616747 -53.2874938366163 -338.531607635279</f>
        <v>-884.26800708864232</v>
      </c>
      <c r="R549" t="s">
        <v>11478</v>
      </c>
      <c r="S549" t="s">
        <v>11479</v>
      </c>
      <c r="T549" t="s">
        <v>11480</v>
      </c>
      <c r="U549" t="s">
        <v>11481</v>
      </c>
      <c r="V549" t="s">
        <v>11482</v>
      </c>
      <c r="W549" t="s">
        <v>11483</v>
      </c>
      <c r="X549" t="s">
        <v>11484</v>
      </c>
      <c r="Y549" t="s">
        <v>11485</v>
      </c>
    </row>
    <row r="550" spans="1:25" x14ac:dyDescent="0.3">
      <c r="A550">
        <v>27450</v>
      </c>
      <c r="B550" t="s">
        <v>11486</v>
      </c>
      <c r="C550" t="s">
        <v>11487</v>
      </c>
      <c r="D550" t="s">
        <v>11488</v>
      </c>
      <c r="E550" t="s">
        <v>11489</v>
      </c>
      <c r="F550" t="s">
        <v>11490</v>
      </c>
      <c r="G550" t="s">
        <v>11491</v>
      </c>
      <c r="H550" t="s">
        <v>11492</v>
      </c>
      <c r="I550" t="s">
        <v>11493</v>
      </c>
      <c r="J550" t="s">
        <v>11494</v>
      </c>
      <c r="K550" t="s">
        <v>11495</v>
      </c>
      <c r="L550" t="s">
        <v>11496</v>
      </c>
      <c r="M550" t="s">
        <v>11497</v>
      </c>
      <c r="N550" t="s">
        <v>11498</v>
      </c>
      <c r="O550">
        <f>-712.223547262069 -40.0617723794855 -749.04813163547</f>
        <v>-1501.3334512770246</v>
      </c>
      <c r="P550">
        <f>-735.606841380329 -45.3003992303175 -433.434519318792</f>
        <v>-1214.3417599294385</v>
      </c>
      <c r="Q550">
        <f>-493.550286000038 -51.9914062735502 -338.534904067722</f>
        <v>-884.07659634131016</v>
      </c>
      <c r="R550" t="s">
        <v>11499</v>
      </c>
      <c r="S550" t="s">
        <v>11500</v>
      </c>
      <c r="T550" t="s">
        <v>11501</v>
      </c>
      <c r="U550" t="s">
        <v>11502</v>
      </c>
      <c r="V550" t="s">
        <v>11503</v>
      </c>
      <c r="W550" t="s">
        <v>11504</v>
      </c>
      <c r="X550" t="s">
        <v>11505</v>
      </c>
      <c r="Y550" t="s">
        <v>11506</v>
      </c>
    </row>
    <row r="551" spans="1:25" x14ac:dyDescent="0.3">
      <c r="A551">
        <v>27500</v>
      </c>
      <c r="B551" t="s">
        <v>11507</v>
      </c>
      <c r="C551" t="s">
        <v>11508</v>
      </c>
      <c r="D551" t="s">
        <v>11509</v>
      </c>
      <c r="E551" t="s">
        <v>11510</v>
      </c>
      <c r="F551" t="s">
        <v>11511</v>
      </c>
      <c r="G551" t="s">
        <v>11512</v>
      </c>
      <c r="H551" t="s">
        <v>11513</v>
      </c>
      <c r="I551" t="s">
        <v>11514</v>
      </c>
      <c r="J551" t="s">
        <v>11515</v>
      </c>
      <c r="K551" t="s">
        <v>11516</v>
      </c>
      <c r="L551" t="s">
        <v>11517</v>
      </c>
      <c r="M551" t="s">
        <v>11518</v>
      </c>
      <c r="N551" t="s">
        <v>11519</v>
      </c>
      <c r="O551">
        <f>-712.55073450423 -39.5781111018837 -749.233610596854</f>
        <v>-1501.3624562029677</v>
      </c>
      <c r="P551">
        <f>-736.09805367382 -45.0970892415064 -433.636990685337</f>
        <v>-1214.8321336006634</v>
      </c>
      <c r="Q551">
        <f>-494.089246312008 -51.3851544813476 -338.58829654696</f>
        <v>-884.06269734031559</v>
      </c>
      <c r="R551" t="s">
        <v>11520</v>
      </c>
      <c r="S551" t="s">
        <v>11521</v>
      </c>
      <c r="T551" t="s">
        <v>11522</v>
      </c>
      <c r="U551" t="s">
        <v>11523</v>
      </c>
      <c r="V551" t="s">
        <v>11524</v>
      </c>
      <c r="W551" t="s">
        <v>11525</v>
      </c>
      <c r="X551" t="s">
        <v>11526</v>
      </c>
      <c r="Y551" t="s">
        <v>11527</v>
      </c>
    </row>
    <row r="552" spans="1:25" x14ac:dyDescent="0.3">
      <c r="A552">
        <v>27550</v>
      </c>
      <c r="B552" t="s">
        <v>11528</v>
      </c>
      <c r="C552" t="s">
        <v>11529</v>
      </c>
      <c r="D552" t="s">
        <v>11530</v>
      </c>
      <c r="E552" t="s">
        <v>11531</v>
      </c>
      <c r="F552" t="s">
        <v>11532</v>
      </c>
      <c r="G552" t="s">
        <v>11533</v>
      </c>
      <c r="H552" t="s">
        <v>11534</v>
      </c>
      <c r="I552" t="s">
        <v>11535</v>
      </c>
      <c r="J552" t="s">
        <v>11536</v>
      </c>
      <c r="K552" t="s">
        <v>11537</v>
      </c>
      <c r="L552" t="s">
        <v>11538</v>
      </c>
      <c r="M552" t="s">
        <v>11539</v>
      </c>
      <c r="N552" t="s">
        <v>11540</v>
      </c>
      <c r="O552">
        <f>-713.14815262819 -38.1473076313468 -749.830346343064</f>
        <v>-1501.1258066026007</v>
      </c>
      <c r="P552">
        <f>-737.16022732739 -44.5980841969547 -434.286375335341</f>
        <v>-1216.0446868596857</v>
      </c>
      <c r="Q552">
        <f>-495.309362456826 -49.9131978411192 -338.777452771345</f>
        <v>-884.00001306929016</v>
      </c>
      <c r="R552" t="s">
        <v>11541</v>
      </c>
      <c r="S552" t="s">
        <v>11542</v>
      </c>
      <c r="T552" t="s">
        <v>11543</v>
      </c>
      <c r="U552" t="s">
        <v>11544</v>
      </c>
      <c r="V552" t="s">
        <v>11545</v>
      </c>
      <c r="W552" t="s">
        <v>11546</v>
      </c>
      <c r="X552" t="s">
        <v>11547</v>
      </c>
      <c r="Y552" t="s">
        <v>11548</v>
      </c>
    </row>
    <row r="553" spans="1:25" x14ac:dyDescent="0.3">
      <c r="A553">
        <v>27600</v>
      </c>
      <c r="B553" t="s">
        <v>11549</v>
      </c>
      <c r="C553" t="s">
        <v>11550</v>
      </c>
      <c r="D553" t="s">
        <v>11551</v>
      </c>
      <c r="E553" t="s">
        <v>11552</v>
      </c>
      <c r="F553" t="s">
        <v>11553</v>
      </c>
      <c r="G553" t="s">
        <v>11554</v>
      </c>
      <c r="H553" t="s">
        <v>11555</v>
      </c>
      <c r="I553" t="s">
        <v>11556</v>
      </c>
      <c r="J553" t="s">
        <v>11557</v>
      </c>
      <c r="K553" t="s">
        <v>11558</v>
      </c>
      <c r="L553" t="s">
        <v>11559</v>
      </c>
      <c r="M553" t="s">
        <v>11560</v>
      </c>
      <c r="N553" t="s">
        <v>11561</v>
      </c>
      <c r="O553">
        <f>-713.406014393894 -37.3244320448484 -750.240345706203</f>
        <v>-1500.9707921449453</v>
      </c>
      <c r="P553">
        <f>-737.714382984878 -44.3115054589516 -434.730476592144</f>
        <v>-1216.7563650359734</v>
      </c>
      <c r="Q553">
        <f>-495.931336690321 -49.0520226396388 -339.01963878049</f>
        <v>-884.00299811044988</v>
      </c>
      <c r="R553" t="s">
        <v>11562</v>
      </c>
      <c r="S553" t="s">
        <v>11563</v>
      </c>
      <c r="T553" t="s">
        <v>11564</v>
      </c>
      <c r="U553" t="s">
        <v>11565</v>
      </c>
      <c r="V553" t="s">
        <v>11566</v>
      </c>
      <c r="W553" t="s">
        <v>11567</v>
      </c>
      <c r="X553" t="s">
        <v>11568</v>
      </c>
      <c r="Y553" t="s">
        <v>11569</v>
      </c>
    </row>
    <row r="554" spans="1:25" x14ac:dyDescent="0.3">
      <c r="A554">
        <v>27650</v>
      </c>
      <c r="B554" t="s">
        <v>11570</v>
      </c>
      <c r="C554" t="s">
        <v>11571</v>
      </c>
      <c r="D554" t="s">
        <v>11572</v>
      </c>
      <c r="E554" t="s">
        <v>11573</v>
      </c>
      <c r="F554" t="s">
        <v>11574</v>
      </c>
      <c r="G554" t="s">
        <v>11575</v>
      </c>
      <c r="H554" t="s">
        <v>11576</v>
      </c>
      <c r="I554" t="s">
        <v>11577</v>
      </c>
      <c r="J554" t="s">
        <v>11578</v>
      </c>
      <c r="K554" t="s">
        <v>11579</v>
      </c>
      <c r="L554" t="s">
        <v>11580</v>
      </c>
      <c r="M554" t="s">
        <v>11581</v>
      </c>
      <c r="N554" t="s">
        <v>11582</v>
      </c>
      <c r="O554">
        <f>-713.949209579177 -35.487680861575 -751.139188649171</f>
        <v>-1500.576079089923</v>
      </c>
      <c r="P554">
        <f>-738.753860569904 -43.9811962127208 -435.704836836506</f>
        <v>-1218.4398936191308</v>
      </c>
      <c r="Q554">
        <f>-497.132176421494 -47.8082156427658 -339.546739266407</f>
        <v>-884.4871313306669</v>
      </c>
      <c r="R554" t="s">
        <v>11583</v>
      </c>
      <c r="S554" t="s">
        <v>11584</v>
      </c>
      <c r="T554" t="s">
        <v>11585</v>
      </c>
      <c r="U554" t="s">
        <v>11586</v>
      </c>
      <c r="V554" t="s">
        <v>11587</v>
      </c>
      <c r="W554" t="s">
        <v>11588</v>
      </c>
      <c r="X554" t="s">
        <v>11589</v>
      </c>
      <c r="Y554" t="s">
        <v>11590</v>
      </c>
    </row>
    <row r="555" spans="1:25" x14ac:dyDescent="0.3">
      <c r="A555">
        <v>27700</v>
      </c>
      <c r="B555" t="s">
        <v>11591</v>
      </c>
      <c r="C555" t="s">
        <v>11592</v>
      </c>
      <c r="D555" t="s">
        <v>11593</v>
      </c>
      <c r="E555" t="s">
        <v>11594</v>
      </c>
      <c r="F555" t="s">
        <v>11595</v>
      </c>
      <c r="G555" t="s">
        <v>11596</v>
      </c>
      <c r="H555" t="s">
        <v>11597</v>
      </c>
      <c r="I555" t="s">
        <v>11598</v>
      </c>
      <c r="J555" t="s">
        <v>11599</v>
      </c>
      <c r="K555" t="s">
        <v>11600</v>
      </c>
      <c r="L555" t="s">
        <v>11601</v>
      </c>
      <c r="M555" t="s">
        <v>11602</v>
      </c>
      <c r="N555" t="s">
        <v>11603</v>
      </c>
      <c r="O555">
        <f>-714.287243057277 -34.7272289615 -751.530934061943</f>
        <v>-1500.5454060807201</v>
      </c>
      <c r="P555">
        <f>-739.340687142846 -43.9148292811292 -436.135822851951</f>
        <v>-1219.3913392759262</v>
      </c>
      <c r="Q555">
        <f>-497.778245442442 -47.5411441736032 -339.821352794324</f>
        <v>-885.14074241036928</v>
      </c>
      <c r="R555" t="s">
        <v>11604</v>
      </c>
      <c r="S555" t="s">
        <v>11605</v>
      </c>
      <c r="T555" t="s">
        <v>11606</v>
      </c>
      <c r="U555" t="s">
        <v>11607</v>
      </c>
      <c r="V555" t="s">
        <v>11608</v>
      </c>
      <c r="W555" t="s">
        <v>11609</v>
      </c>
      <c r="X555" t="s">
        <v>11610</v>
      </c>
      <c r="Y555" t="s">
        <v>11611</v>
      </c>
    </row>
    <row r="556" spans="1:25" x14ac:dyDescent="0.3">
      <c r="A556">
        <v>27750</v>
      </c>
      <c r="B556" t="s">
        <v>11612</v>
      </c>
      <c r="C556" t="s">
        <v>11613</v>
      </c>
      <c r="D556" t="s">
        <v>11614</v>
      </c>
      <c r="E556" t="s">
        <v>11615</v>
      </c>
      <c r="F556" t="s">
        <v>11616</v>
      </c>
      <c r="G556" t="s">
        <v>11617</v>
      </c>
      <c r="H556" t="s">
        <v>11618</v>
      </c>
      <c r="I556" t="s">
        <v>11619</v>
      </c>
      <c r="J556" t="s">
        <v>11620</v>
      </c>
      <c r="K556" t="s">
        <v>11621</v>
      </c>
      <c r="L556" t="s">
        <v>11622</v>
      </c>
      <c r="M556" t="s">
        <v>11623</v>
      </c>
      <c r="N556" t="s">
        <v>11624</v>
      </c>
      <c r="O556">
        <f>-714.79691542745 -33.4401177159737 -752.264193097234</f>
        <v>-1500.5012262406576</v>
      </c>
      <c r="P556">
        <f>-740.195446448528 -43.6630578900383 -436.928394061149</f>
        <v>-1220.7868983997153</v>
      </c>
      <c r="Q556">
        <f>-498.707001186506 -47.5266476009549 -340.437669070396</f>
        <v>-886.67131785785682</v>
      </c>
      <c r="R556" t="s">
        <v>11625</v>
      </c>
      <c r="S556" t="s">
        <v>11626</v>
      </c>
      <c r="T556" t="s">
        <v>11627</v>
      </c>
      <c r="U556" t="s">
        <v>11628</v>
      </c>
      <c r="V556" t="s">
        <v>11629</v>
      </c>
      <c r="W556" t="s">
        <v>11630</v>
      </c>
      <c r="X556" t="s">
        <v>11631</v>
      </c>
      <c r="Y556" t="s">
        <v>11632</v>
      </c>
    </row>
    <row r="557" spans="1:25" x14ac:dyDescent="0.3">
      <c r="A557">
        <v>27800</v>
      </c>
      <c r="B557" t="s">
        <v>11633</v>
      </c>
      <c r="C557" t="s">
        <v>11634</v>
      </c>
      <c r="D557" t="s">
        <v>11635</v>
      </c>
      <c r="E557" t="s">
        <v>11636</v>
      </c>
      <c r="F557" t="s">
        <v>11637</v>
      </c>
      <c r="G557" t="s">
        <v>11638</v>
      </c>
      <c r="H557" t="s">
        <v>11639</v>
      </c>
      <c r="I557" t="s">
        <v>11640</v>
      </c>
      <c r="J557" t="s">
        <v>11641</v>
      </c>
      <c r="K557" t="s">
        <v>11642</v>
      </c>
      <c r="L557" t="s">
        <v>11643</v>
      </c>
      <c r="M557" t="s">
        <v>11644</v>
      </c>
      <c r="N557" t="s">
        <v>11645</v>
      </c>
      <c r="O557">
        <f>-715.002276385872 -32.9720735860212 -752.511095047766</f>
        <v>-1500.4854450196594</v>
      </c>
      <c r="P557">
        <f>-740.552617861989 -43.6770811760512 -437.203674440098</f>
        <v>-1221.433373478138</v>
      </c>
      <c r="Q557">
        <f>-499.090116178121 -47.8719355180442 -340.661803516126</f>
        <v>-887.62385521229112</v>
      </c>
      <c r="R557" t="s">
        <v>11646</v>
      </c>
      <c r="S557" t="s">
        <v>11647</v>
      </c>
      <c r="T557" t="s">
        <v>11648</v>
      </c>
      <c r="U557" t="s">
        <v>11649</v>
      </c>
      <c r="V557" t="s">
        <v>11650</v>
      </c>
      <c r="W557" t="s">
        <v>11651</v>
      </c>
      <c r="X557" t="s">
        <v>11652</v>
      </c>
      <c r="Y557" t="s">
        <v>11653</v>
      </c>
    </row>
    <row r="558" spans="1:25" x14ac:dyDescent="0.3">
      <c r="A558">
        <v>27850</v>
      </c>
      <c r="B558" t="s">
        <v>11654</v>
      </c>
      <c r="C558" t="s">
        <v>11655</v>
      </c>
      <c r="D558" t="s">
        <v>11656</v>
      </c>
      <c r="E558" t="s">
        <v>11657</v>
      </c>
      <c r="F558" t="s">
        <v>11658</v>
      </c>
      <c r="G558" t="s">
        <v>11659</v>
      </c>
      <c r="H558" t="s">
        <v>11660</v>
      </c>
      <c r="I558" t="s">
        <v>11661</v>
      </c>
      <c r="J558" t="s">
        <v>11662</v>
      </c>
      <c r="K558" t="s">
        <v>11663</v>
      </c>
      <c r="L558" t="s">
        <v>11664</v>
      </c>
      <c r="M558" t="s">
        <v>11665</v>
      </c>
      <c r="N558" t="s">
        <v>11666</v>
      </c>
      <c r="O558">
        <f>-715.142541586999 -32.5640571167371 -752.940245218805</f>
        <v>-1500.6468439225409</v>
      </c>
      <c r="P558">
        <f>-740.917916318464 -43.8731511464071 -437.672160156316</f>
        <v>-1222.4632276211871</v>
      </c>
      <c r="Q558">
        <f>-499.508639298958 -49.0043640457427 -341.042525374519</f>
        <v>-889.55552871921964</v>
      </c>
      <c r="R558" t="s">
        <v>11667</v>
      </c>
      <c r="S558" t="s">
        <v>11668</v>
      </c>
      <c r="T558" t="s">
        <v>11669</v>
      </c>
      <c r="U558" t="s">
        <v>11670</v>
      </c>
      <c r="V558" t="s">
        <v>11671</v>
      </c>
      <c r="W558" t="s">
        <v>11672</v>
      </c>
      <c r="X558" t="s">
        <v>11673</v>
      </c>
      <c r="Y558" t="s">
        <v>11674</v>
      </c>
    </row>
    <row r="559" spans="1:25" x14ac:dyDescent="0.3">
      <c r="A559">
        <v>27900</v>
      </c>
      <c r="B559" t="s">
        <v>11675</v>
      </c>
      <c r="C559" t="s">
        <v>11676</v>
      </c>
      <c r="D559" t="s">
        <v>11677</v>
      </c>
      <c r="E559" t="s">
        <v>11678</v>
      </c>
      <c r="F559" t="s">
        <v>11679</v>
      </c>
      <c r="G559" t="s">
        <v>11680</v>
      </c>
      <c r="H559" t="s">
        <v>11681</v>
      </c>
      <c r="I559" t="s">
        <v>11682</v>
      </c>
      <c r="J559" t="s">
        <v>11683</v>
      </c>
      <c r="K559" t="s">
        <v>11684</v>
      </c>
      <c r="L559" t="s">
        <v>11685</v>
      </c>
      <c r="M559" t="s">
        <v>11686</v>
      </c>
      <c r="N559" t="s">
        <v>11687</v>
      </c>
      <c r="O559">
        <f>-715.051939090044 -32.3926654595832 -753.050105135432</f>
        <v>-1500.4947096850592</v>
      </c>
      <c r="P559">
        <f>-740.927913861444 -43.9587261754216 -437.799722495248</f>
        <v>-1222.6863625321137</v>
      </c>
      <c r="Q559">
        <f>-499.535896129213 -49.640552441914 -341.157875661539</f>
        <v>-890.33432423266595</v>
      </c>
      <c r="R559" t="s">
        <v>11688</v>
      </c>
      <c r="S559" t="s">
        <v>11689</v>
      </c>
      <c r="T559" t="s">
        <v>11690</v>
      </c>
      <c r="U559" t="s">
        <v>11691</v>
      </c>
      <c r="V559" t="s">
        <v>11692</v>
      </c>
      <c r="W559" t="s">
        <v>11693</v>
      </c>
      <c r="X559" t="s">
        <v>11694</v>
      </c>
      <c r="Y559" t="s">
        <v>11695</v>
      </c>
    </row>
    <row r="560" spans="1:25" x14ac:dyDescent="0.3">
      <c r="A560">
        <v>27950</v>
      </c>
      <c r="B560" t="s">
        <v>11696</v>
      </c>
      <c r="C560" t="s">
        <v>11697</v>
      </c>
      <c r="D560" t="s">
        <v>11698</v>
      </c>
      <c r="E560" t="s">
        <v>11699</v>
      </c>
      <c r="F560" t="s">
        <v>11700</v>
      </c>
      <c r="G560" t="s">
        <v>11701</v>
      </c>
      <c r="H560" t="s">
        <v>11702</v>
      </c>
      <c r="I560" t="s">
        <v>11703</v>
      </c>
      <c r="J560" t="s">
        <v>11704</v>
      </c>
      <c r="K560" t="s">
        <v>11705</v>
      </c>
      <c r="L560" t="s">
        <v>11706</v>
      </c>
      <c r="M560" t="s">
        <v>11707</v>
      </c>
      <c r="N560" t="s">
        <v>11708</v>
      </c>
      <c r="O560">
        <f>-714.940996602166 -32.6546659098174 -753.101467623038</f>
        <v>-1500.6971301350213</v>
      </c>
      <c r="P560">
        <f>-741.211334494076 -44.0428733877886 -437.87707928394</f>
        <v>-1223.1312871658047</v>
      </c>
      <c r="Q560">
        <f>-499.859223895842 -50.9907469998113 -341.218203632148</f>
        <v>-892.06817452780138</v>
      </c>
      <c r="R560" t="s">
        <v>11709</v>
      </c>
      <c r="S560" t="s">
        <v>11710</v>
      </c>
      <c r="T560" t="s">
        <v>11711</v>
      </c>
      <c r="U560" t="s">
        <v>11712</v>
      </c>
      <c r="V560" t="s">
        <v>11713</v>
      </c>
      <c r="W560" t="s">
        <v>11714</v>
      </c>
      <c r="X560" t="s">
        <v>11715</v>
      </c>
      <c r="Y560" t="s">
        <v>11716</v>
      </c>
    </row>
    <row r="561" spans="1:25" x14ac:dyDescent="0.3">
      <c r="A561">
        <v>28000</v>
      </c>
      <c r="B561" t="s">
        <v>11717</v>
      </c>
      <c r="C561" t="s">
        <v>11718</v>
      </c>
      <c r="D561" t="s">
        <v>11719</v>
      </c>
      <c r="E561" t="s">
        <v>11720</v>
      </c>
      <c r="F561" t="s">
        <v>11721</v>
      </c>
      <c r="G561" t="s">
        <v>11722</v>
      </c>
      <c r="H561" t="s">
        <v>11723</v>
      </c>
      <c r="I561" t="s">
        <v>11724</v>
      </c>
      <c r="J561" t="s">
        <v>11725</v>
      </c>
      <c r="K561" t="s">
        <v>11726</v>
      </c>
      <c r="L561" t="s">
        <v>11727</v>
      </c>
      <c r="M561" t="s">
        <v>11728</v>
      </c>
      <c r="N561" t="s">
        <v>11729</v>
      </c>
      <c r="O561">
        <f>-714.772475554817 -32.9174194397726 -753.139551019023</f>
        <v>-1500.8294460136126</v>
      </c>
      <c r="P561">
        <f>-741.154266692362 -44.2640287172117 -437.923157854262</f>
        <v>-1223.3414532638355</v>
      </c>
      <c r="Q561">
        <f>-499.884889346308 -51.6699054459136 -341.091619286778</f>
        <v>-892.64641407899967</v>
      </c>
      <c r="R561" t="s">
        <v>11730</v>
      </c>
      <c r="S561" t="s">
        <v>11731</v>
      </c>
      <c r="T561" t="s">
        <v>11732</v>
      </c>
      <c r="U561" t="s">
        <v>11733</v>
      </c>
      <c r="V561" t="s">
        <v>11734</v>
      </c>
      <c r="W561" t="s">
        <v>11735</v>
      </c>
      <c r="X561" t="s">
        <v>11736</v>
      </c>
      <c r="Y561" t="s">
        <v>11737</v>
      </c>
    </row>
    <row r="562" spans="1:25" x14ac:dyDescent="0.3">
      <c r="A562">
        <v>28050</v>
      </c>
      <c r="B562" t="s">
        <v>11738</v>
      </c>
      <c r="C562" t="s">
        <v>11739</v>
      </c>
      <c r="D562" t="s">
        <v>11740</v>
      </c>
      <c r="E562" t="s">
        <v>11741</v>
      </c>
      <c r="F562" t="s">
        <v>11742</v>
      </c>
      <c r="G562" t="s">
        <v>11743</v>
      </c>
      <c r="H562" t="s">
        <v>11744</v>
      </c>
      <c r="I562" t="s">
        <v>11745</v>
      </c>
      <c r="J562" t="s">
        <v>11746</v>
      </c>
      <c r="K562" t="s">
        <v>11747</v>
      </c>
      <c r="L562" t="s">
        <v>11748</v>
      </c>
      <c r="M562" t="s">
        <v>11749</v>
      </c>
      <c r="N562" t="s">
        <v>11750</v>
      </c>
      <c r="O562">
        <f>-714.801455650023 -33.493376878293 -753.135352114098</f>
        <v>-1501.4301846424141</v>
      </c>
      <c r="P562">
        <f>-741.333331894318 -44.499019515411 -437.919472547273</f>
        <v>-1223.751823957002</v>
      </c>
      <c r="Q562">
        <f>-500.184415496851 -52.4382846217354 -340.830617611328</f>
        <v>-893.45331772991449</v>
      </c>
      <c r="R562" t="s">
        <v>11751</v>
      </c>
      <c r="S562" t="s">
        <v>11752</v>
      </c>
      <c r="T562" t="s">
        <v>11753</v>
      </c>
      <c r="U562" t="s">
        <v>11754</v>
      </c>
      <c r="V562" t="s">
        <v>11755</v>
      </c>
      <c r="W562" t="s">
        <v>11756</v>
      </c>
      <c r="X562" t="s">
        <v>11757</v>
      </c>
      <c r="Y562" t="s">
        <v>11758</v>
      </c>
    </row>
    <row r="563" spans="1:25" x14ac:dyDescent="0.3">
      <c r="A563">
        <v>28100</v>
      </c>
      <c r="B563" t="s">
        <v>11759</v>
      </c>
      <c r="C563" t="s">
        <v>11760</v>
      </c>
      <c r="D563" t="s">
        <v>11761</v>
      </c>
      <c r="E563" t="s">
        <v>11762</v>
      </c>
      <c r="F563" t="s">
        <v>11763</v>
      </c>
      <c r="G563" t="s">
        <v>11764</v>
      </c>
      <c r="H563" t="s">
        <v>11765</v>
      </c>
      <c r="I563" t="s">
        <v>11766</v>
      </c>
      <c r="J563" t="s">
        <v>11767</v>
      </c>
      <c r="K563" t="s">
        <v>11768</v>
      </c>
      <c r="L563" t="s">
        <v>11769</v>
      </c>
      <c r="M563" t="s">
        <v>11770</v>
      </c>
      <c r="N563" t="s">
        <v>11771</v>
      </c>
      <c r="O563">
        <f>-714.804358973679 -33.8343195435186 -753.074878328442</f>
        <v>-1501.7135568456397</v>
      </c>
      <c r="P563">
        <f>-741.190147340664 -44.8331972616868 -437.846430131538</f>
        <v>-1223.8697747338888</v>
      </c>
      <c r="Q563">
        <f>-500.013361767552 -53.0898651331997 -340.853432685446</f>
        <v>-893.9566595861977</v>
      </c>
      <c r="R563" t="s">
        <v>11772</v>
      </c>
      <c r="S563" t="s">
        <v>11773</v>
      </c>
      <c r="T563" t="s">
        <v>11774</v>
      </c>
      <c r="U563" t="s">
        <v>11775</v>
      </c>
      <c r="V563" t="s">
        <v>11776</v>
      </c>
      <c r="W563" t="s">
        <v>11777</v>
      </c>
      <c r="X563" t="s">
        <v>11778</v>
      </c>
      <c r="Y563" t="s">
        <v>11779</v>
      </c>
    </row>
    <row r="564" spans="1:25" x14ac:dyDescent="0.3">
      <c r="A564">
        <v>28150</v>
      </c>
      <c r="B564" t="s">
        <v>11780</v>
      </c>
      <c r="C564" t="s">
        <v>11781</v>
      </c>
      <c r="D564" t="s">
        <v>11782</v>
      </c>
      <c r="E564" t="s">
        <v>11783</v>
      </c>
      <c r="F564" t="s">
        <v>11784</v>
      </c>
      <c r="G564" t="s">
        <v>11785</v>
      </c>
      <c r="H564" t="s">
        <v>11786</v>
      </c>
      <c r="I564" t="s">
        <v>11787</v>
      </c>
      <c r="J564" t="s">
        <v>11788</v>
      </c>
      <c r="K564" t="s">
        <v>11789</v>
      </c>
      <c r="L564" t="s">
        <v>11790</v>
      </c>
      <c r="M564" t="s">
        <v>11791</v>
      </c>
      <c r="N564" t="s">
        <v>11792</v>
      </c>
      <c r="O564">
        <f>-714.930062734328 -34.4752248221521 -753.007067182553</f>
        <v>-1502.4123547390332</v>
      </c>
      <c r="P564">
        <f>-741.008222532882 -45.1849058340422 -437.743035053478</f>
        <v>-1223.9361634204022</v>
      </c>
      <c r="Q564">
        <f>-499.709167552525 -54.0714444258967 -341.110486374007</f>
        <v>-894.89109835242868</v>
      </c>
      <c r="R564" t="s">
        <v>11793</v>
      </c>
      <c r="S564" t="s">
        <v>11794</v>
      </c>
      <c r="T564" t="s">
        <v>11795</v>
      </c>
      <c r="U564" t="s">
        <v>11796</v>
      </c>
      <c r="V564" t="s">
        <v>11797</v>
      </c>
      <c r="W564" t="s">
        <v>11798</v>
      </c>
      <c r="X564" t="s">
        <v>11799</v>
      </c>
      <c r="Y564" t="s">
        <v>11800</v>
      </c>
    </row>
    <row r="565" spans="1:25" x14ac:dyDescent="0.3">
      <c r="A565">
        <v>28200</v>
      </c>
      <c r="B565" t="s">
        <v>11801</v>
      </c>
      <c r="C565" t="s">
        <v>11802</v>
      </c>
      <c r="D565" t="s">
        <v>11803</v>
      </c>
      <c r="E565" t="s">
        <v>11804</v>
      </c>
      <c r="F565" t="s">
        <v>11805</v>
      </c>
      <c r="G565" t="s">
        <v>11806</v>
      </c>
      <c r="H565" t="s">
        <v>11807</v>
      </c>
      <c r="I565" t="s">
        <v>11808</v>
      </c>
      <c r="J565" t="s">
        <v>11809</v>
      </c>
      <c r="K565" t="s">
        <v>11810</v>
      </c>
      <c r="L565" t="s">
        <v>11811</v>
      </c>
      <c r="M565" t="s">
        <v>11812</v>
      </c>
      <c r="N565" t="s">
        <v>11813</v>
      </c>
      <c r="O565">
        <f>-714.959895172118 -34.8480615728008 -752.957458481285</f>
        <v>-1502.7654152262039</v>
      </c>
      <c r="P565">
        <f>-740.907896515274 -45.5798411324872 -437.683506284833</f>
        <v>-1224.1712439325943</v>
      </c>
      <c r="Q565">
        <f>-499.551249457631 -54.596577148495 -341.206794398172</f>
        <v>-895.354621004298</v>
      </c>
      <c r="R565" t="s">
        <v>11814</v>
      </c>
      <c r="S565" t="s">
        <v>11815</v>
      </c>
      <c r="T565" t="s">
        <v>11816</v>
      </c>
      <c r="U565" t="s">
        <v>11817</v>
      </c>
      <c r="V565" t="s">
        <v>11818</v>
      </c>
      <c r="W565" t="s">
        <v>11819</v>
      </c>
      <c r="X565" t="s">
        <v>11820</v>
      </c>
      <c r="Y565" t="s">
        <v>11821</v>
      </c>
    </row>
    <row r="566" spans="1:25" x14ac:dyDescent="0.3">
      <c r="A566">
        <v>28250</v>
      </c>
      <c r="B566" t="s">
        <v>11822</v>
      </c>
      <c r="C566" t="s">
        <v>11823</v>
      </c>
      <c r="D566" t="s">
        <v>11824</v>
      </c>
      <c r="E566" t="s">
        <v>11825</v>
      </c>
      <c r="F566" t="s">
        <v>11826</v>
      </c>
      <c r="G566" t="s">
        <v>11827</v>
      </c>
      <c r="H566" t="s">
        <v>11828</v>
      </c>
      <c r="I566" t="s">
        <v>11829</v>
      </c>
      <c r="J566" t="s">
        <v>11830</v>
      </c>
      <c r="K566" t="s">
        <v>11831</v>
      </c>
      <c r="L566" t="s">
        <v>11832</v>
      </c>
      <c r="M566" t="s">
        <v>11833</v>
      </c>
      <c r="N566" t="s">
        <v>11834</v>
      </c>
      <c r="O566">
        <f>-714.615826211591 -35.9020746465178 -752.788824609628</f>
        <v>-1503.3067254677367</v>
      </c>
      <c r="P566">
        <f>-740.341255795499 -46.5009867677816 -437.492049028385</f>
        <v>-1224.3342915916655</v>
      </c>
      <c r="Q566">
        <f>-498.908417011301 -55.8650347580583 -341.239587940275</f>
        <v>-896.01303970963431</v>
      </c>
      <c r="R566" t="s">
        <v>11835</v>
      </c>
      <c r="S566" t="s">
        <v>11836</v>
      </c>
      <c r="T566" t="s">
        <v>11837</v>
      </c>
      <c r="U566" t="s">
        <v>11838</v>
      </c>
      <c r="V566" t="s">
        <v>11839</v>
      </c>
      <c r="W566" t="s">
        <v>11840</v>
      </c>
      <c r="X566" t="s">
        <v>11841</v>
      </c>
      <c r="Y566" t="s">
        <v>11842</v>
      </c>
    </row>
    <row r="567" spans="1:25" x14ac:dyDescent="0.3">
      <c r="A567">
        <v>28300</v>
      </c>
      <c r="B567" t="s">
        <v>11843</v>
      </c>
      <c r="C567" t="s">
        <v>11844</v>
      </c>
      <c r="D567" t="s">
        <v>11845</v>
      </c>
      <c r="E567" t="s">
        <v>11846</v>
      </c>
      <c r="F567" t="s">
        <v>11847</v>
      </c>
      <c r="G567" t="s">
        <v>11848</v>
      </c>
      <c r="H567" t="s">
        <v>11849</v>
      </c>
      <c r="I567" t="s">
        <v>11850</v>
      </c>
      <c r="J567" t="s">
        <v>11851</v>
      </c>
      <c r="K567" t="s">
        <v>11852</v>
      </c>
      <c r="L567" t="s">
        <v>11853</v>
      </c>
      <c r="M567" t="s">
        <v>11854</v>
      </c>
      <c r="N567" t="s">
        <v>11855</v>
      </c>
      <c r="O567">
        <f>-714.538789367975 -36.6977713274237 -752.700615778517</f>
        <v>-1503.9371764739158</v>
      </c>
      <c r="P567">
        <f>-740.135233527595 -47.0836657857187 -437.38630110036</f>
        <v>-1224.6052004136736</v>
      </c>
      <c r="Q567">
        <f>-498.712082625025 -56.5320494265973 -341.117636203407</f>
        <v>-896.36176825502935</v>
      </c>
      <c r="R567" t="s">
        <v>11856</v>
      </c>
      <c r="S567" t="s">
        <v>11857</v>
      </c>
      <c r="T567" t="s">
        <v>11858</v>
      </c>
      <c r="U567" t="s">
        <v>11859</v>
      </c>
      <c r="V567" t="s">
        <v>11860</v>
      </c>
      <c r="W567" t="s">
        <v>11861</v>
      </c>
      <c r="X567" t="s">
        <v>11862</v>
      </c>
      <c r="Y567" t="s">
        <v>11863</v>
      </c>
    </row>
    <row r="568" spans="1:25" x14ac:dyDescent="0.3">
      <c r="A568">
        <v>28350</v>
      </c>
      <c r="B568" t="s">
        <v>11864</v>
      </c>
      <c r="C568" t="s">
        <v>11865</v>
      </c>
      <c r="D568" t="s">
        <v>11866</v>
      </c>
      <c r="E568" t="s">
        <v>11867</v>
      </c>
      <c r="F568" t="s">
        <v>11868</v>
      </c>
      <c r="G568" t="s">
        <v>11869</v>
      </c>
      <c r="H568" t="s">
        <v>11870</v>
      </c>
      <c r="I568" t="s">
        <v>11871</v>
      </c>
      <c r="J568" t="s">
        <v>11872</v>
      </c>
      <c r="K568" t="s">
        <v>11873</v>
      </c>
      <c r="L568" t="s">
        <v>11874</v>
      </c>
      <c r="M568" t="s">
        <v>11875</v>
      </c>
      <c r="N568" t="s">
        <v>11876</v>
      </c>
      <c r="O568">
        <f>-714.253832797638 -37.7877436435933 -752.603569035942</f>
        <v>-1504.6451454771732</v>
      </c>
      <c r="P568">
        <f>-739.668213122817 -47.9678322653351 -437.267895743339</f>
        <v>-1224.9039411314911</v>
      </c>
      <c r="Q568">
        <f>-498.264647800588 -57.2493943907939 -340.933953147561</f>
        <v>-896.44799533894297</v>
      </c>
      <c r="R568" t="s">
        <v>11877</v>
      </c>
      <c r="S568" t="s">
        <v>11878</v>
      </c>
      <c r="T568" t="s">
        <v>11879</v>
      </c>
      <c r="U568" t="s">
        <v>11880</v>
      </c>
      <c r="V568" t="s">
        <v>11881</v>
      </c>
      <c r="W568" t="s">
        <v>11882</v>
      </c>
      <c r="X568" t="s">
        <v>11883</v>
      </c>
      <c r="Y568" t="s">
        <v>11884</v>
      </c>
    </row>
    <row r="569" spans="1:25" x14ac:dyDescent="0.3">
      <c r="A569">
        <v>28400</v>
      </c>
      <c r="B569" t="s">
        <v>11885</v>
      </c>
      <c r="C569" t="s">
        <v>11886</v>
      </c>
      <c r="D569" t="s">
        <v>11887</v>
      </c>
      <c r="E569" t="s">
        <v>11888</v>
      </c>
      <c r="F569" t="s">
        <v>11889</v>
      </c>
      <c r="G569" t="s">
        <v>11890</v>
      </c>
      <c r="H569" t="s">
        <v>11891</v>
      </c>
      <c r="I569" t="s">
        <v>11892</v>
      </c>
      <c r="J569" t="s">
        <v>11893</v>
      </c>
      <c r="K569" t="s">
        <v>11894</v>
      </c>
      <c r="L569" t="s">
        <v>11895</v>
      </c>
      <c r="M569" t="s">
        <v>11896</v>
      </c>
      <c r="N569" t="s">
        <v>11897</v>
      </c>
      <c r="O569">
        <f>-713.968143348678 -38.4686955143852 -752.456542044349</f>
        <v>-1504.8933809074124</v>
      </c>
      <c r="P569">
        <f>-739.403839122236 -48.6018376176066 -437.120903461758</f>
        <v>-1225.1265802016007</v>
      </c>
      <c r="Q569">
        <f>-497.997412751372 -57.9711804973208 -340.802756365448</f>
        <v>-896.77134961414072</v>
      </c>
      <c r="R569" t="s">
        <v>11898</v>
      </c>
      <c r="S569" t="s">
        <v>11899</v>
      </c>
      <c r="T569" t="s">
        <v>11900</v>
      </c>
      <c r="U569" t="s">
        <v>11901</v>
      </c>
      <c r="V569" t="s">
        <v>11902</v>
      </c>
      <c r="W569" t="s">
        <v>11903</v>
      </c>
      <c r="X569" t="s">
        <v>11904</v>
      </c>
      <c r="Y569" t="s">
        <v>11905</v>
      </c>
    </row>
    <row r="570" spans="1:25" x14ac:dyDescent="0.3">
      <c r="A570">
        <v>28450</v>
      </c>
      <c r="B570" t="s">
        <v>11906</v>
      </c>
      <c r="C570" t="s">
        <v>11907</v>
      </c>
      <c r="D570" t="s">
        <v>11908</v>
      </c>
      <c r="E570" t="s">
        <v>11909</v>
      </c>
      <c r="F570" t="s">
        <v>11910</v>
      </c>
      <c r="G570" t="s">
        <v>11911</v>
      </c>
      <c r="H570" t="s">
        <v>11912</v>
      </c>
      <c r="I570" t="s">
        <v>11913</v>
      </c>
      <c r="J570" t="s">
        <v>11914</v>
      </c>
      <c r="K570" t="s">
        <v>11915</v>
      </c>
      <c r="L570" t="s">
        <v>11916</v>
      </c>
      <c r="M570" t="s">
        <v>11917</v>
      </c>
      <c r="N570" t="s">
        <v>11918</v>
      </c>
      <c r="O570">
        <f>-713.645232427711 -39.8404678854122 -752.34978800043</f>
        <v>-1505.835488313553</v>
      </c>
      <c r="P570">
        <f>-739.256629984317 -49.3546011672777 -437.009070499705</f>
        <v>-1225.6203016512995</v>
      </c>
      <c r="Q570">
        <f>-497.894718679375 -58.837866142695 -340.590430274888</f>
        <v>-897.32301509695799</v>
      </c>
      <c r="R570" t="s">
        <v>11919</v>
      </c>
      <c r="S570" t="s">
        <v>11920</v>
      </c>
      <c r="T570" t="s">
        <v>11921</v>
      </c>
      <c r="U570" t="s">
        <v>11922</v>
      </c>
      <c r="V570" t="s">
        <v>11923</v>
      </c>
      <c r="W570" t="s">
        <v>11924</v>
      </c>
      <c r="X570" t="s">
        <v>11925</v>
      </c>
      <c r="Y570" t="s">
        <v>11926</v>
      </c>
    </row>
    <row r="571" spans="1:25" x14ac:dyDescent="0.3">
      <c r="A571">
        <v>28500</v>
      </c>
      <c r="B571" t="s">
        <v>11927</v>
      </c>
      <c r="C571" t="s">
        <v>11928</v>
      </c>
      <c r="D571" t="s">
        <v>11929</v>
      </c>
      <c r="E571" t="s">
        <v>11930</v>
      </c>
      <c r="F571" t="s">
        <v>11931</v>
      </c>
      <c r="G571" t="s">
        <v>11932</v>
      </c>
      <c r="H571" t="s">
        <v>11933</v>
      </c>
      <c r="I571" t="s">
        <v>11934</v>
      </c>
      <c r="J571" t="s">
        <v>11935</v>
      </c>
      <c r="K571" t="s">
        <v>11936</v>
      </c>
      <c r="L571" t="s">
        <v>11937</v>
      </c>
      <c r="M571" t="s">
        <v>11938</v>
      </c>
      <c r="N571" t="s">
        <v>11939</v>
      </c>
      <c r="O571">
        <f>-713.338650151622 -40.3720352503508 -752.34556911443</f>
        <v>-1506.0562545164028</v>
      </c>
      <c r="P571">
        <f>-738.875096494197 -49.9554413126796 -437.001014428306</f>
        <v>-1225.8315522351827</v>
      </c>
      <c r="Q571">
        <f>-497.561229581675 -59.3646602911765 -340.45494590954</f>
        <v>-897.3808357823915</v>
      </c>
      <c r="R571" t="s">
        <v>11940</v>
      </c>
      <c r="S571" t="s">
        <v>11941</v>
      </c>
      <c r="T571" t="s">
        <v>11942</v>
      </c>
      <c r="U571" t="s">
        <v>11943</v>
      </c>
      <c r="V571" t="s">
        <v>11944</v>
      </c>
      <c r="W571" t="s">
        <v>11945</v>
      </c>
      <c r="X571" t="s">
        <v>11946</v>
      </c>
      <c r="Y571" t="s">
        <v>11947</v>
      </c>
    </row>
    <row r="572" spans="1:25" x14ac:dyDescent="0.3">
      <c r="A572">
        <v>28550</v>
      </c>
      <c r="B572" t="s">
        <v>11948</v>
      </c>
      <c r="C572" t="s">
        <v>11949</v>
      </c>
      <c r="D572" t="s">
        <v>11950</v>
      </c>
      <c r="E572" t="s">
        <v>11951</v>
      </c>
      <c r="F572" t="s">
        <v>11952</v>
      </c>
      <c r="G572" t="s">
        <v>11953</v>
      </c>
      <c r="H572" t="s">
        <v>11954</v>
      </c>
      <c r="I572" t="s">
        <v>11955</v>
      </c>
      <c r="J572" t="s">
        <v>11956</v>
      </c>
      <c r="K572" t="s">
        <v>11957</v>
      </c>
      <c r="L572" t="s">
        <v>11958</v>
      </c>
      <c r="M572" t="s">
        <v>11959</v>
      </c>
      <c r="N572" t="s">
        <v>11960</v>
      </c>
      <c r="O572">
        <f>-713.104018266258 -41.3184709137229 -752.324554093617</f>
        <v>-1506.7470432735979</v>
      </c>
      <c r="P572">
        <f>-738.745565142578 -50.4611407800485 -436.975356885948</f>
        <v>-1226.1820628085745</v>
      </c>
      <c r="Q572">
        <f>-497.479036408072 -60.0315045109689 -340.327055058274</f>
        <v>-897.83759597731489</v>
      </c>
      <c r="R572" t="s">
        <v>11961</v>
      </c>
      <c r="S572" t="s">
        <v>11962</v>
      </c>
      <c r="T572" t="s">
        <v>11963</v>
      </c>
      <c r="U572" t="s">
        <v>11964</v>
      </c>
      <c r="V572" t="s">
        <v>11965</v>
      </c>
      <c r="W572" t="s">
        <v>11966</v>
      </c>
      <c r="X572" t="s">
        <v>11967</v>
      </c>
      <c r="Y572" t="s">
        <v>11968</v>
      </c>
    </row>
    <row r="573" spans="1:25" x14ac:dyDescent="0.3">
      <c r="A573">
        <v>28600</v>
      </c>
      <c r="B573" t="s">
        <v>11969</v>
      </c>
      <c r="C573" t="s">
        <v>11970</v>
      </c>
      <c r="D573" t="s">
        <v>11971</v>
      </c>
      <c r="E573" t="s">
        <v>11972</v>
      </c>
      <c r="F573" t="s">
        <v>11973</v>
      </c>
      <c r="G573" t="s">
        <v>11974</v>
      </c>
      <c r="H573" t="s">
        <v>11975</v>
      </c>
      <c r="I573" t="s">
        <v>11976</v>
      </c>
      <c r="J573" t="s">
        <v>11977</v>
      </c>
      <c r="K573" t="s">
        <v>11978</v>
      </c>
      <c r="L573" t="s">
        <v>11979</v>
      </c>
      <c r="M573" t="s">
        <v>11980</v>
      </c>
      <c r="N573" t="s">
        <v>11981</v>
      </c>
      <c r="O573">
        <f>-712.88387613813 -41.8182904333753 -752.338982787717</f>
        <v>-1507.0411493592223</v>
      </c>
      <c r="P573">
        <f>-738.46922904082 -50.9383753643128 -436.984480890696</f>
        <v>-1226.3920852958288</v>
      </c>
      <c r="Q573">
        <f>-497.233545292605 -60.7271016468248 -340.280898087552</f>
        <v>-898.24154502698184</v>
      </c>
      <c r="R573" t="s">
        <v>11982</v>
      </c>
      <c r="S573" t="s">
        <v>11983</v>
      </c>
      <c r="T573" t="s">
        <v>11984</v>
      </c>
      <c r="U573" t="s">
        <v>11985</v>
      </c>
      <c r="V573" t="s">
        <v>11986</v>
      </c>
      <c r="W573" t="s">
        <v>11987</v>
      </c>
      <c r="X573" t="s">
        <v>11988</v>
      </c>
      <c r="Y573" t="s">
        <v>11989</v>
      </c>
    </row>
    <row r="574" spans="1:25" x14ac:dyDescent="0.3">
      <c r="A574">
        <v>28650</v>
      </c>
      <c r="B574" t="s">
        <v>11990</v>
      </c>
      <c r="C574" t="s">
        <v>11991</v>
      </c>
      <c r="D574" t="s">
        <v>11992</v>
      </c>
      <c r="E574" t="s">
        <v>11993</v>
      </c>
      <c r="F574" t="s">
        <v>11994</v>
      </c>
      <c r="G574" t="s">
        <v>11995</v>
      </c>
      <c r="H574" t="s">
        <v>11996</v>
      </c>
      <c r="I574" t="s">
        <v>11997</v>
      </c>
      <c r="J574" t="s">
        <v>11998</v>
      </c>
      <c r="K574" t="s">
        <v>11999</v>
      </c>
      <c r="L574" t="s">
        <v>12000</v>
      </c>
      <c r="M574" t="s">
        <v>12001</v>
      </c>
      <c r="N574" t="s">
        <v>12002</v>
      </c>
      <c r="O574">
        <f>-712.235301204516 -42.9099692801385 -752.331818604303</f>
        <v>-1507.4770890889574</v>
      </c>
      <c r="P574">
        <f>-738.005660636347 -51.9061747115386 -436.989026756179</f>
        <v>-1226.9008621040646</v>
      </c>
      <c r="Q574">
        <f>-496.842466867676 -61.9955089632806 -340.135552861619</f>
        <v>-898.97352869257554</v>
      </c>
      <c r="R574" t="s">
        <v>12003</v>
      </c>
      <c r="S574" t="s">
        <v>12004</v>
      </c>
      <c r="T574" t="s">
        <v>12005</v>
      </c>
      <c r="U574" t="s">
        <v>12006</v>
      </c>
      <c r="V574" t="s">
        <v>12007</v>
      </c>
      <c r="W574" t="s">
        <v>12008</v>
      </c>
      <c r="X574" t="s">
        <v>12009</v>
      </c>
      <c r="Y574" t="s">
        <v>12010</v>
      </c>
    </row>
    <row r="575" spans="1:25" x14ac:dyDescent="0.3">
      <c r="A575">
        <v>28700</v>
      </c>
      <c r="B575" t="s">
        <v>12011</v>
      </c>
      <c r="C575" t="s">
        <v>12012</v>
      </c>
      <c r="D575" t="s">
        <v>12013</v>
      </c>
      <c r="E575" t="s">
        <v>12014</v>
      </c>
      <c r="F575" t="s">
        <v>12015</v>
      </c>
      <c r="G575" t="s">
        <v>12016</v>
      </c>
      <c r="H575" t="s">
        <v>12017</v>
      </c>
      <c r="I575" t="s">
        <v>12018</v>
      </c>
      <c r="J575" t="s">
        <v>12019</v>
      </c>
      <c r="K575" t="s">
        <v>12020</v>
      </c>
      <c r="L575" t="s">
        <v>12021</v>
      </c>
      <c r="M575" t="s">
        <v>12022</v>
      </c>
      <c r="N575" t="s">
        <v>12023</v>
      </c>
      <c r="O575">
        <f>-711.829283401556 -43.5320834955342 -752.285489482275</f>
        <v>-1507.6468563793651</v>
      </c>
      <c r="P575">
        <f>-737.776967833952 -52.4887719083001 -436.956037692871</f>
        <v>-1227.2217774351232</v>
      </c>
      <c r="Q575">
        <f>-496.65044908107 -62.7884549598077 -340.033223907243</f>
        <v>-899.47212794812071</v>
      </c>
      <c r="R575" t="s">
        <v>12024</v>
      </c>
      <c r="S575" t="s">
        <v>12025</v>
      </c>
      <c r="T575" t="s">
        <v>12026</v>
      </c>
      <c r="U575" t="s">
        <v>12027</v>
      </c>
      <c r="V575" t="s">
        <v>12028</v>
      </c>
      <c r="W575" t="s">
        <v>12029</v>
      </c>
      <c r="X575" t="s">
        <v>12030</v>
      </c>
      <c r="Y575" t="s">
        <v>12031</v>
      </c>
    </row>
    <row r="576" spans="1:25" x14ac:dyDescent="0.3">
      <c r="A576">
        <v>28750</v>
      </c>
      <c r="B576" t="s">
        <v>12032</v>
      </c>
      <c r="C576" t="s">
        <v>12033</v>
      </c>
      <c r="D576" t="s">
        <v>12034</v>
      </c>
      <c r="E576" t="s">
        <v>12035</v>
      </c>
      <c r="F576" t="s">
        <v>12036</v>
      </c>
      <c r="G576" t="s">
        <v>12037</v>
      </c>
      <c r="H576" t="s">
        <v>12038</v>
      </c>
      <c r="I576" t="s">
        <v>12039</v>
      </c>
      <c r="J576" t="s">
        <v>12040</v>
      </c>
      <c r="K576" t="s">
        <v>12041</v>
      </c>
      <c r="L576" t="s">
        <v>12042</v>
      </c>
      <c r="M576" t="s">
        <v>12043</v>
      </c>
      <c r="N576" t="s">
        <v>12044</v>
      </c>
      <c r="O576">
        <f>-710.962998179817 -44.9644677533895 -752.133563678836</f>
        <v>-1508.0610296120426</v>
      </c>
      <c r="P576">
        <f>-737.273054209275 -53.2680816680333 -436.816189760358</f>
        <v>-1227.3573256376662</v>
      </c>
      <c r="Q576">
        <f>-496.285102413944 -64.3341360257402 -339.634137831882</f>
        <v>-900.25337627156614</v>
      </c>
      <c r="R576" t="s">
        <v>12045</v>
      </c>
      <c r="S576" t="s">
        <v>12046</v>
      </c>
      <c r="T576" t="s">
        <v>12047</v>
      </c>
      <c r="U576" t="s">
        <v>12048</v>
      </c>
      <c r="V576" t="s">
        <v>12049</v>
      </c>
      <c r="W576" t="s">
        <v>12050</v>
      </c>
      <c r="X576" t="s">
        <v>12051</v>
      </c>
      <c r="Y576" t="s">
        <v>12052</v>
      </c>
    </row>
    <row r="577" spans="1:25" x14ac:dyDescent="0.3">
      <c r="A577">
        <v>28800</v>
      </c>
      <c r="B577" t="s">
        <v>12053</v>
      </c>
      <c r="C577" t="s">
        <v>12054</v>
      </c>
      <c r="D577" t="s">
        <v>12055</v>
      </c>
      <c r="E577" t="s">
        <v>12056</v>
      </c>
      <c r="F577" t="s">
        <v>12057</v>
      </c>
      <c r="G577" t="s">
        <v>12058</v>
      </c>
      <c r="H577" t="s">
        <v>12059</v>
      </c>
      <c r="I577" t="s">
        <v>12060</v>
      </c>
      <c r="J577" t="s">
        <v>12061</v>
      </c>
      <c r="K577" t="s">
        <v>12062</v>
      </c>
      <c r="L577" t="s">
        <v>12063</v>
      </c>
      <c r="M577" t="s">
        <v>12064</v>
      </c>
      <c r="N577" t="s">
        <v>12065</v>
      </c>
      <c r="O577">
        <f>-710.498828763239 -45.6089386346139 -752.078946250074</f>
        <v>-1508.1867136479268</v>
      </c>
      <c r="P577">
        <f>-736.903443044373 -53.7047059610193 -436.764075312618</f>
        <v>-1227.3722243180102</v>
      </c>
      <c r="Q577">
        <f>-496.021538604704 -64.9782023170574 -339.342942225258</f>
        <v>-900.34268314701944</v>
      </c>
      <c r="R577" t="s">
        <v>12066</v>
      </c>
      <c r="S577" t="s">
        <v>12067</v>
      </c>
      <c r="T577" t="s">
        <v>12068</v>
      </c>
      <c r="U577" t="s">
        <v>12069</v>
      </c>
      <c r="V577" t="s">
        <v>12070</v>
      </c>
      <c r="W577" t="s">
        <v>12071</v>
      </c>
      <c r="X577" t="s">
        <v>12072</v>
      </c>
      <c r="Y577" t="s">
        <v>12073</v>
      </c>
    </row>
    <row r="578" spans="1:25" x14ac:dyDescent="0.3">
      <c r="A578">
        <v>28850</v>
      </c>
      <c r="B578" t="s">
        <v>12074</v>
      </c>
      <c r="C578" t="s">
        <v>12075</v>
      </c>
      <c r="D578" t="s">
        <v>12076</v>
      </c>
      <c r="E578" t="s">
        <v>12077</v>
      </c>
      <c r="F578" t="s">
        <v>12078</v>
      </c>
      <c r="G578" t="s">
        <v>12079</v>
      </c>
      <c r="H578" t="s">
        <v>12080</v>
      </c>
      <c r="I578" t="s">
        <v>12081</v>
      </c>
      <c r="J578" t="s">
        <v>12082</v>
      </c>
      <c r="K578" t="s">
        <v>12083</v>
      </c>
      <c r="L578" t="s">
        <v>12084</v>
      </c>
      <c r="M578" t="s">
        <v>12085</v>
      </c>
      <c r="N578" t="s">
        <v>12086</v>
      </c>
      <c r="O578">
        <f>-709.25475809463 -47.0476072435049 -751.926016958387</f>
        <v>-1508.2283822965219</v>
      </c>
      <c r="P578">
        <f>-736.020981827297 -54.5475007133584 -436.626985737933</f>
        <v>-1227.1954682785884</v>
      </c>
      <c r="Q578">
        <f>-495.290452949495 -66.1337025248006 -338.868904949696</f>
        <v>-900.29306042399162</v>
      </c>
      <c r="R578" t="s">
        <v>12087</v>
      </c>
      <c r="S578" t="s">
        <v>12088</v>
      </c>
      <c r="T578" t="s">
        <v>12089</v>
      </c>
      <c r="U578" t="s">
        <v>12090</v>
      </c>
      <c r="V578" t="s">
        <v>12091</v>
      </c>
      <c r="W578" t="s">
        <v>12092</v>
      </c>
      <c r="X578" t="s">
        <v>12093</v>
      </c>
      <c r="Y578" t="s">
        <v>12094</v>
      </c>
    </row>
    <row r="579" spans="1:25" x14ac:dyDescent="0.3">
      <c r="A579">
        <v>28900</v>
      </c>
      <c r="B579" t="s">
        <v>12095</v>
      </c>
      <c r="C579" t="s">
        <v>12096</v>
      </c>
      <c r="D579" t="s">
        <v>12097</v>
      </c>
      <c r="E579" t="s">
        <v>12098</v>
      </c>
      <c r="F579" t="s">
        <v>12099</v>
      </c>
      <c r="G579" t="s">
        <v>12100</v>
      </c>
      <c r="H579" t="s">
        <v>12101</v>
      </c>
      <c r="I579" t="s">
        <v>12102</v>
      </c>
      <c r="J579" t="s">
        <v>12103</v>
      </c>
      <c r="K579" t="s">
        <v>12104</v>
      </c>
      <c r="L579" t="s">
        <v>12105</v>
      </c>
      <c r="M579" t="s">
        <v>12106</v>
      </c>
      <c r="N579" t="s">
        <v>12107</v>
      </c>
      <c r="O579">
        <f>-708.759830231198 -47.4866720395621 -751.87272365649</f>
        <v>-1508.1192259272502</v>
      </c>
      <c r="P579">
        <f>-735.604349682479 -54.8295876840107 -436.576621481978</f>
        <v>-1227.0105588484676</v>
      </c>
      <c r="Q579">
        <f>-494.916267720422 -66.5523156404488 -338.730274857345</f>
        <v>-900.19885821821572</v>
      </c>
      <c r="R579" t="s">
        <v>12108</v>
      </c>
      <c r="S579" t="s">
        <v>12109</v>
      </c>
      <c r="T579" t="s">
        <v>12110</v>
      </c>
      <c r="U579" t="s">
        <v>12111</v>
      </c>
      <c r="V579" t="s">
        <v>12112</v>
      </c>
      <c r="W579" t="s">
        <v>12113</v>
      </c>
      <c r="X579" t="s">
        <v>12114</v>
      </c>
      <c r="Y579" t="s">
        <v>12115</v>
      </c>
    </row>
    <row r="580" spans="1:25" x14ac:dyDescent="0.3">
      <c r="A580">
        <v>28950</v>
      </c>
      <c r="B580" t="s">
        <v>12116</v>
      </c>
      <c r="C580" t="s">
        <v>12117</v>
      </c>
      <c r="D580" t="s">
        <v>12118</v>
      </c>
      <c r="E580" t="s">
        <v>12119</v>
      </c>
      <c r="F580" t="s">
        <v>12120</v>
      </c>
      <c r="G580" t="s">
        <v>12121</v>
      </c>
      <c r="H580" t="s">
        <v>12122</v>
      </c>
      <c r="I580" t="s">
        <v>12123</v>
      </c>
      <c r="J580" t="s">
        <v>12124</v>
      </c>
      <c r="K580" t="s">
        <v>12125</v>
      </c>
      <c r="L580" t="s">
        <v>12126</v>
      </c>
      <c r="M580" t="s">
        <v>12127</v>
      </c>
      <c r="N580" t="s">
        <v>12128</v>
      </c>
      <c r="O580">
        <f>-707.974791022848 -48.3004555405571 -751.768615042406</f>
        <v>-1508.0438616058111</v>
      </c>
      <c r="P580">
        <f>-734.726843739622 -55.674719364164 -436.465326295021</f>
        <v>-1226.866889398807</v>
      </c>
      <c r="Q580">
        <f>-494.018030772753 -67.6847970670899 -338.705058177995</f>
        <v>-900.40788601783788</v>
      </c>
      <c r="R580" t="s">
        <v>12129</v>
      </c>
      <c r="S580" t="s">
        <v>12130</v>
      </c>
      <c r="T580" t="s">
        <v>12131</v>
      </c>
      <c r="U580" t="s">
        <v>12132</v>
      </c>
      <c r="V580" t="s">
        <v>12133</v>
      </c>
      <c r="W580" t="s">
        <v>12134</v>
      </c>
      <c r="X580" t="s">
        <v>12135</v>
      </c>
      <c r="Y580" t="s">
        <v>12136</v>
      </c>
    </row>
    <row r="581" spans="1:25" x14ac:dyDescent="0.3">
      <c r="A581">
        <v>29000</v>
      </c>
      <c r="B581" t="s">
        <v>12137</v>
      </c>
      <c r="C581" t="s">
        <v>12138</v>
      </c>
      <c r="D581" t="s">
        <v>12139</v>
      </c>
      <c r="E581" t="s">
        <v>12140</v>
      </c>
      <c r="F581" t="s">
        <v>12141</v>
      </c>
      <c r="G581" t="s">
        <v>12142</v>
      </c>
      <c r="H581" t="s">
        <v>12143</v>
      </c>
      <c r="I581" t="s">
        <v>12144</v>
      </c>
      <c r="J581" t="s">
        <v>12145</v>
      </c>
      <c r="K581" t="s">
        <v>12146</v>
      </c>
      <c r="L581" t="s">
        <v>12147</v>
      </c>
      <c r="M581" t="s">
        <v>12148</v>
      </c>
      <c r="N581" t="s">
        <v>12149</v>
      </c>
      <c r="O581">
        <f>-707.623452204477 -48.753192692405 -751.678203509679</f>
        <v>-1508.054848406561</v>
      </c>
      <c r="P581">
        <f>-734.338765955551 -56.0239637727882 -436.369439230919</f>
        <v>-1226.7321689592582</v>
      </c>
      <c r="Q581">
        <f>-493.59327101568 -68.204570796695 -338.720651440782</f>
        <v>-900.51849325315698</v>
      </c>
      <c r="R581" t="s">
        <v>12150</v>
      </c>
      <c r="S581" t="s">
        <v>12151</v>
      </c>
      <c r="T581" t="s">
        <v>12152</v>
      </c>
      <c r="U581" t="s">
        <v>12153</v>
      </c>
      <c r="V581" t="s">
        <v>12154</v>
      </c>
      <c r="W581" t="s">
        <v>12155</v>
      </c>
      <c r="X581" t="s">
        <v>12156</v>
      </c>
      <c r="Y581" t="s">
        <v>12157</v>
      </c>
    </row>
    <row r="582" spans="1:25" x14ac:dyDescent="0.3">
      <c r="A582">
        <v>29050</v>
      </c>
      <c r="B582" t="s">
        <v>12158</v>
      </c>
      <c r="C582" t="s">
        <v>12159</v>
      </c>
      <c r="D582" t="s">
        <v>12160</v>
      </c>
      <c r="E582" t="s">
        <v>12161</v>
      </c>
      <c r="F582" t="s">
        <v>12162</v>
      </c>
      <c r="G582" t="s">
        <v>12163</v>
      </c>
      <c r="H582" t="s">
        <v>12164</v>
      </c>
      <c r="I582" t="s">
        <v>12165</v>
      </c>
      <c r="J582" t="s">
        <v>12166</v>
      </c>
      <c r="K582" t="s">
        <v>12167</v>
      </c>
      <c r="L582" t="s">
        <v>12168</v>
      </c>
      <c r="M582" t="s">
        <v>12169</v>
      </c>
      <c r="N582" t="s">
        <v>12170</v>
      </c>
      <c r="O582">
        <f>-706.830677607352 -49.3966115366982 -751.587076847495</f>
        <v>-1507.8143659915452</v>
      </c>
      <c r="P582">
        <f>-733.442514508597 -56.3911494246356 -436.263258086924</f>
        <v>-1226.0969220201566</v>
      </c>
      <c r="Q582">
        <f>-492.722918943089 -68.9328553204505 -338.596441769549</f>
        <v>-900.25221603308842</v>
      </c>
      <c r="R582" t="s">
        <v>12171</v>
      </c>
      <c r="S582" t="s">
        <v>12172</v>
      </c>
      <c r="T582" t="s">
        <v>12173</v>
      </c>
      <c r="U582" t="s">
        <v>12174</v>
      </c>
      <c r="V582" t="s">
        <v>12175</v>
      </c>
      <c r="W582" t="s">
        <v>12176</v>
      </c>
      <c r="X582" t="s">
        <v>12177</v>
      </c>
      <c r="Y582" t="s">
        <v>12178</v>
      </c>
    </row>
    <row r="583" spans="1:25" x14ac:dyDescent="0.3">
      <c r="A583">
        <v>29100</v>
      </c>
      <c r="B583" t="s">
        <v>12179</v>
      </c>
      <c r="C583" t="s">
        <v>12180</v>
      </c>
      <c r="D583" t="s">
        <v>12181</v>
      </c>
      <c r="E583" t="s">
        <v>12182</v>
      </c>
      <c r="F583" t="s">
        <v>12183</v>
      </c>
      <c r="G583" t="s">
        <v>12184</v>
      </c>
      <c r="H583" t="s">
        <v>12185</v>
      </c>
      <c r="I583" t="s">
        <v>12186</v>
      </c>
      <c r="J583" t="s">
        <v>12187</v>
      </c>
      <c r="K583" t="s">
        <v>12188</v>
      </c>
      <c r="L583" t="s">
        <v>12189</v>
      </c>
      <c r="M583" t="s">
        <v>12190</v>
      </c>
      <c r="N583" t="s">
        <v>12191</v>
      </c>
      <c r="O583">
        <f>-706.351317957282 -49.6614288297674 -751.507925479134</f>
        <v>-1507.5206722661833</v>
      </c>
      <c r="P583">
        <f>-733.094428864034 -56.4667246496103 -436.191226003025</f>
        <v>-1225.7523795166694</v>
      </c>
      <c r="Q583">
        <f>-492.415338435631 -69.2307684546172 -338.453299287289</f>
        <v>-900.09940617753728</v>
      </c>
      <c r="R583" t="s">
        <v>12192</v>
      </c>
      <c r="S583" t="s">
        <v>12193</v>
      </c>
      <c r="T583" t="s">
        <v>12194</v>
      </c>
      <c r="U583" t="s">
        <v>12195</v>
      </c>
      <c r="V583" t="s">
        <v>12196</v>
      </c>
      <c r="W583" t="s">
        <v>12197</v>
      </c>
      <c r="X583" t="s">
        <v>12198</v>
      </c>
      <c r="Y583" t="s">
        <v>12199</v>
      </c>
    </row>
    <row r="584" spans="1:25" x14ac:dyDescent="0.3">
      <c r="A584">
        <v>29150</v>
      </c>
      <c r="B584" t="s">
        <v>12200</v>
      </c>
      <c r="C584" t="s">
        <v>12201</v>
      </c>
      <c r="D584" t="s">
        <v>12202</v>
      </c>
      <c r="E584" t="s">
        <v>12203</v>
      </c>
      <c r="F584" t="s">
        <v>12204</v>
      </c>
      <c r="G584" t="s">
        <v>12205</v>
      </c>
      <c r="H584" t="s">
        <v>12206</v>
      </c>
      <c r="I584" t="s">
        <v>12207</v>
      </c>
      <c r="J584" t="s">
        <v>12208</v>
      </c>
      <c r="K584" t="s">
        <v>12209</v>
      </c>
      <c r="L584" t="s">
        <v>12210</v>
      </c>
      <c r="M584" t="s">
        <v>12211</v>
      </c>
      <c r="N584" t="s">
        <v>12212</v>
      </c>
      <c r="O584">
        <f>-705.707363865312 -49.9373312021371 -751.505242090643</f>
        <v>-1507.1499371580921</v>
      </c>
      <c r="P584">
        <f>-732.627587011219 -56.5104644929993 -436.198651234245</f>
        <v>-1225.3367027384634</v>
      </c>
      <c r="Q584">
        <f>-492.070883377943 -69.660520393777 -338.210726252296</f>
        <v>-899.94213002401602</v>
      </c>
      <c r="R584" t="s">
        <v>12213</v>
      </c>
      <c r="S584" t="s">
        <v>12214</v>
      </c>
      <c r="T584" t="s">
        <v>12215</v>
      </c>
      <c r="U584" t="s">
        <v>12216</v>
      </c>
      <c r="V584" t="s">
        <v>12217</v>
      </c>
      <c r="W584" t="s">
        <v>12218</v>
      </c>
      <c r="X584" t="s">
        <v>12219</v>
      </c>
      <c r="Y584" t="s">
        <v>12220</v>
      </c>
    </row>
    <row r="585" spans="1:25" x14ac:dyDescent="0.3">
      <c r="A585">
        <v>29200</v>
      </c>
      <c r="B585" t="s">
        <v>12221</v>
      </c>
      <c r="C585" t="s">
        <v>12222</v>
      </c>
      <c r="D585" t="s">
        <v>12223</v>
      </c>
      <c r="E585" t="s">
        <v>12224</v>
      </c>
      <c r="F585" t="s">
        <v>12225</v>
      </c>
      <c r="G585" t="s">
        <v>12226</v>
      </c>
      <c r="H585" t="s">
        <v>12227</v>
      </c>
      <c r="I585" t="s">
        <v>12228</v>
      </c>
      <c r="J585" t="s">
        <v>12229</v>
      </c>
      <c r="K585" t="s">
        <v>12230</v>
      </c>
      <c r="L585" t="s">
        <v>12231</v>
      </c>
      <c r="M585" t="s">
        <v>12232</v>
      </c>
      <c r="N585" t="s">
        <v>12233</v>
      </c>
      <c r="O585">
        <f>-705.632135977053 -49.9638325457042 -751.480343928293</f>
        <v>-1507.0763124510504</v>
      </c>
      <c r="P585">
        <f>-732.489237881136 -56.4975109880838 -436.167513915193</f>
        <v>-1225.1542627844128</v>
      </c>
      <c r="Q585">
        <f>-491.927099587692 -69.9011334750574 -338.227348423904</f>
        <v>-900.05558148665341</v>
      </c>
      <c r="R585" t="s">
        <v>12234</v>
      </c>
      <c r="S585" t="s">
        <v>12235</v>
      </c>
      <c r="T585" t="s">
        <v>12236</v>
      </c>
      <c r="U585" t="s">
        <v>12237</v>
      </c>
      <c r="V585" t="s">
        <v>12238</v>
      </c>
      <c r="W585" t="s">
        <v>12239</v>
      </c>
      <c r="X585" t="s">
        <v>12240</v>
      </c>
      <c r="Y585" t="s">
        <v>12241</v>
      </c>
    </row>
    <row r="586" spans="1:25" x14ac:dyDescent="0.3">
      <c r="A586">
        <v>29250</v>
      </c>
      <c r="B586" t="s">
        <v>12242</v>
      </c>
      <c r="C586" t="s">
        <v>12243</v>
      </c>
      <c r="D586" t="s">
        <v>12244</v>
      </c>
      <c r="E586" t="s">
        <v>12245</v>
      </c>
      <c r="F586" t="s">
        <v>12246</v>
      </c>
      <c r="G586" t="s">
        <v>12247</v>
      </c>
      <c r="H586" t="s">
        <v>12248</v>
      </c>
      <c r="I586" t="s">
        <v>12249</v>
      </c>
      <c r="J586" t="s">
        <v>12250</v>
      </c>
      <c r="K586" t="s">
        <v>12251</v>
      </c>
      <c r="L586" t="s">
        <v>12252</v>
      </c>
      <c r="M586" t="s">
        <v>12253</v>
      </c>
      <c r="N586" t="s">
        <v>12254</v>
      </c>
      <c r="O586">
        <f>-705.735766390491 -50.0592248165099 -751.239928445003</f>
        <v>-1507.0349196520037</v>
      </c>
      <c r="P586">
        <f>-732.356859463384 -56.1904375636491 -435.898863581719</f>
        <v>-1224.4461606087521</v>
      </c>
      <c r="Q586">
        <f>-491.712235191942 -70.3133051238772 -338.263159183114</f>
        <v>-900.28869949893317</v>
      </c>
      <c r="R586" t="s">
        <v>12255</v>
      </c>
      <c r="S586" t="s">
        <v>12256</v>
      </c>
      <c r="T586" t="s">
        <v>12257</v>
      </c>
      <c r="U586" t="s">
        <v>12258</v>
      </c>
      <c r="V586" t="s">
        <v>12259</v>
      </c>
      <c r="W586" t="s">
        <v>12260</v>
      </c>
      <c r="X586" t="s">
        <v>12261</v>
      </c>
      <c r="Y586" t="s">
        <v>12262</v>
      </c>
    </row>
    <row r="587" spans="1:25" x14ac:dyDescent="0.3">
      <c r="A587">
        <v>29300</v>
      </c>
      <c r="B587" t="s">
        <v>12263</v>
      </c>
      <c r="C587" t="s">
        <v>12264</v>
      </c>
      <c r="D587" t="s">
        <v>12265</v>
      </c>
      <c r="E587" t="s">
        <v>12266</v>
      </c>
      <c r="F587" t="s">
        <v>12267</v>
      </c>
      <c r="G587" t="s">
        <v>12268</v>
      </c>
      <c r="H587" t="s">
        <v>12269</v>
      </c>
      <c r="I587" t="s">
        <v>12270</v>
      </c>
      <c r="J587" t="s">
        <v>12271</v>
      </c>
      <c r="K587" t="s">
        <v>12272</v>
      </c>
      <c r="L587" t="s">
        <v>12273</v>
      </c>
      <c r="M587" t="s">
        <v>12274</v>
      </c>
      <c r="N587" t="s">
        <v>12275</v>
      </c>
      <c r="O587">
        <f>-705.891979886722 -50.277241306318 -751.09206043443</f>
        <v>-1507.26128162747</v>
      </c>
      <c r="P587">
        <f>-732.313190818768 -56.1986299743239 -435.730357666657</f>
        <v>-1224.2421784597491</v>
      </c>
      <c r="Q587">
        <f>-491.631353421074 -70.6519329133419 -338.234504321067</f>
        <v>-900.51779065548283</v>
      </c>
      <c r="R587" t="s">
        <v>12276</v>
      </c>
      <c r="S587" t="s">
        <v>12277</v>
      </c>
      <c r="T587" t="s">
        <v>12278</v>
      </c>
      <c r="U587" t="s">
        <v>12279</v>
      </c>
      <c r="V587" t="s">
        <v>12280</v>
      </c>
      <c r="W587" t="s">
        <v>12281</v>
      </c>
      <c r="X587" t="s">
        <v>12282</v>
      </c>
      <c r="Y587" t="s">
        <v>12283</v>
      </c>
    </row>
    <row r="588" spans="1:25" x14ac:dyDescent="0.3">
      <c r="A588">
        <v>29350</v>
      </c>
      <c r="B588" t="s">
        <v>12284</v>
      </c>
      <c r="C588" t="s">
        <v>12285</v>
      </c>
      <c r="D588" t="s">
        <v>12286</v>
      </c>
      <c r="E588" t="s">
        <v>12287</v>
      </c>
      <c r="F588" t="s">
        <v>12288</v>
      </c>
      <c r="G588" t="s">
        <v>12289</v>
      </c>
      <c r="H588" t="s">
        <v>12290</v>
      </c>
      <c r="I588" t="s">
        <v>12291</v>
      </c>
      <c r="J588" t="s">
        <v>12292</v>
      </c>
      <c r="K588" t="s">
        <v>12293</v>
      </c>
      <c r="L588" t="s">
        <v>12294</v>
      </c>
      <c r="M588" t="s">
        <v>12295</v>
      </c>
      <c r="N588" t="s">
        <v>12296</v>
      </c>
      <c r="O588">
        <f>-706.247287525515 -50.4605178388263 -750.827631892354</f>
        <v>-1507.5354372566953</v>
      </c>
      <c r="P588">
        <f>-732.259542569278 -55.8097716469003 -435.421732703852</f>
        <v>-1223.4910469200304</v>
      </c>
      <c r="Q588">
        <f>-491.564637564784 -70.9596555058486 -338.064012243045</f>
        <v>-900.58830531367755</v>
      </c>
      <c r="R588" t="s">
        <v>12297</v>
      </c>
      <c r="S588" t="s">
        <v>12298</v>
      </c>
      <c r="T588" t="s">
        <v>12299</v>
      </c>
      <c r="U588" t="s">
        <v>12300</v>
      </c>
      <c r="V588" t="s">
        <v>12301</v>
      </c>
      <c r="W588" t="s">
        <v>12302</v>
      </c>
      <c r="X588" t="s">
        <v>12303</v>
      </c>
      <c r="Y588" t="s">
        <v>12304</v>
      </c>
    </row>
    <row r="589" spans="1:25" x14ac:dyDescent="0.3">
      <c r="A589">
        <v>29400</v>
      </c>
      <c r="B589" t="s">
        <v>12305</v>
      </c>
      <c r="C589" t="s">
        <v>12306</v>
      </c>
      <c r="D589" t="s">
        <v>12307</v>
      </c>
      <c r="E589" t="s">
        <v>12308</v>
      </c>
      <c r="F589" t="s">
        <v>12309</v>
      </c>
      <c r="G589" t="s">
        <v>12310</v>
      </c>
      <c r="H589" t="s">
        <v>12311</v>
      </c>
      <c r="I589" t="s">
        <v>12312</v>
      </c>
      <c r="J589" t="s">
        <v>12313</v>
      </c>
      <c r="K589" t="s">
        <v>12314</v>
      </c>
      <c r="L589" t="s">
        <v>12315</v>
      </c>
      <c r="M589" t="s">
        <v>12316</v>
      </c>
      <c r="N589" t="s">
        <v>12317</v>
      </c>
      <c r="O589">
        <f>-706.27699500273 -50.6737586464294 -750.69175395128</f>
        <v>-1507.6425076004393</v>
      </c>
      <c r="P589">
        <f>-732.183273075482 -55.8012274426926 -435.273346057117</f>
        <v>-1223.2578465752918</v>
      </c>
      <c r="Q589">
        <f>-491.510282630903 -71.3176681637656 -337.919473494232</f>
        <v>-900.74742428890067</v>
      </c>
      <c r="R589" t="s">
        <v>12318</v>
      </c>
      <c r="S589" t="s">
        <v>12319</v>
      </c>
      <c r="T589" t="s">
        <v>12320</v>
      </c>
      <c r="U589" t="s">
        <v>12321</v>
      </c>
      <c r="V589" t="s">
        <v>12322</v>
      </c>
      <c r="W589" t="s">
        <v>12323</v>
      </c>
      <c r="X589" t="s">
        <v>12324</v>
      </c>
      <c r="Y589" t="s">
        <v>12325</v>
      </c>
    </row>
    <row r="590" spans="1:25" x14ac:dyDescent="0.3">
      <c r="A590">
        <v>29450</v>
      </c>
      <c r="B590" t="s">
        <v>12326</v>
      </c>
      <c r="C590" t="s">
        <v>12327</v>
      </c>
      <c r="D590" t="s">
        <v>12328</v>
      </c>
      <c r="E590" t="s">
        <v>12329</v>
      </c>
      <c r="F590" t="s">
        <v>12330</v>
      </c>
      <c r="G590" t="s">
        <v>12331</v>
      </c>
      <c r="H590" t="s">
        <v>12332</v>
      </c>
      <c r="I590" t="s">
        <v>12333</v>
      </c>
      <c r="J590" t="s">
        <v>12334</v>
      </c>
      <c r="K590" t="s">
        <v>12335</v>
      </c>
      <c r="L590" t="s">
        <v>12336</v>
      </c>
      <c r="M590" t="s">
        <v>12337</v>
      </c>
      <c r="N590" t="s">
        <v>12338</v>
      </c>
      <c r="O590">
        <f>-706.038758578303 -50.8173686497082 -750.497539577535</f>
        <v>-1507.3536668055463</v>
      </c>
      <c r="P590">
        <f>-731.927445318043 -55.4795170674497 -435.070457249287</f>
        <v>-1222.4774196347798</v>
      </c>
      <c r="Q590">
        <f>-491.308177444235 -71.6736588851129 -337.694253510668</f>
        <v>-900.67608984001595</v>
      </c>
      <c r="R590" t="s">
        <v>12339</v>
      </c>
      <c r="S590" t="s">
        <v>12340</v>
      </c>
      <c r="T590" t="s">
        <v>12341</v>
      </c>
      <c r="U590" t="s">
        <v>12342</v>
      </c>
      <c r="V590" t="s">
        <v>12343</v>
      </c>
      <c r="W590" t="s">
        <v>12344</v>
      </c>
      <c r="X590" t="s">
        <v>12345</v>
      </c>
      <c r="Y590" t="s">
        <v>12346</v>
      </c>
    </row>
    <row r="591" spans="1:25" x14ac:dyDescent="0.3">
      <c r="A591">
        <v>29500</v>
      </c>
      <c r="B591" t="s">
        <v>12347</v>
      </c>
      <c r="C591" t="s">
        <v>12348</v>
      </c>
      <c r="D591" t="s">
        <v>12349</v>
      </c>
      <c r="E591" t="s">
        <v>12350</v>
      </c>
      <c r="F591" t="s">
        <v>12351</v>
      </c>
      <c r="G591" t="s">
        <v>12352</v>
      </c>
      <c r="H591" t="s">
        <v>12353</v>
      </c>
      <c r="I591" t="s">
        <v>12354</v>
      </c>
      <c r="J591" t="s">
        <v>12355</v>
      </c>
      <c r="K591" t="s">
        <v>12356</v>
      </c>
      <c r="L591" t="s">
        <v>12357</v>
      </c>
      <c r="M591" t="s">
        <v>12358</v>
      </c>
      <c r="N591" t="s">
        <v>12359</v>
      </c>
      <c r="O591">
        <f>-705.925447566701 -50.9786610977249 -750.421320397469</f>
        <v>-1507.3254290618947</v>
      </c>
      <c r="P591">
        <f>-731.849171223783 -55.4813317259413 -434.994952098614</f>
        <v>-1222.3254550483384</v>
      </c>
      <c r="Q591">
        <f>-491.260982903638 -71.9344428226075 -337.585071402764</f>
        <v>-900.78049712900952</v>
      </c>
      <c r="R591" t="s">
        <v>12360</v>
      </c>
      <c r="S591" t="s">
        <v>12361</v>
      </c>
      <c r="T591" t="s">
        <v>12362</v>
      </c>
      <c r="U591" t="s">
        <v>12363</v>
      </c>
      <c r="V591" t="s">
        <v>12364</v>
      </c>
      <c r="W591" t="s">
        <v>12365</v>
      </c>
      <c r="X591" t="s">
        <v>12366</v>
      </c>
      <c r="Y591" t="s">
        <v>12367</v>
      </c>
    </row>
    <row r="592" spans="1:25" x14ac:dyDescent="0.3">
      <c r="A592">
        <v>29550</v>
      </c>
      <c r="B592" t="s">
        <v>12368</v>
      </c>
      <c r="C592" t="s">
        <v>12369</v>
      </c>
      <c r="D592" t="s">
        <v>12370</v>
      </c>
      <c r="E592" t="s">
        <v>12371</v>
      </c>
      <c r="F592" t="s">
        <v>12372</v>
      </c>
      <c r="G592" t="s">
        <v>12373</v>
      </c>
      <c r="H592" t="s">
        <v>12374</v>
      </c>
      <c r="I592" t="s">
        <v>12375</v>
      </c>
      <c r="J592" t="s">
        <v>12376</v>
      </c>
      <c r="K592" t="s">
        <v>12377</v>
      </c>
      <c r="L592" t="s">
        <v>12378</v>
      </c>
      <c r="M592" t="s">
        <v>12379</v>
      </c>
      <c r="N592" t="s">
        <v>12380</v>
      </c>
      <c r="O592">
        <f>-706.097284420008 -51.2860532549282 -750.333892270032</f>
        <v>-1507.7172299449683</v>
      </c>
      <c r="P592">
        <f>-731.955349619501 -55.4923227779766 -434.897871603352</f>
        <v>-1222.3455440008297</v>
      </c>
      <c r="Q592">
        <f>-491.430911438754 -72.190058329983 -337.372272077122</f>
        <v>-900.99324184585907</v>
      </c>
      <c r="R592" t="s">
        <v>12381</v>
      </c>
      <c r="S592" t="s">
        <v>12382</v>
      </c>
      <c r="T592" t="s">
        <v>12383</v>
      </c>
      <c r="U592" t="s">
        <v>12384</v>
      </c>
      <c r="V592" t="s">
        <v>12385</v>
      </c>
      <c r="W592" t="s">
        <v>12386</v>
      </c>
      <c r="X592" t="s">
        <v>12387</v>
      </c>
      <c r="Y592" t="s">
        <v>12388</v>
      </c>
    </row>
    <row r="593" spans="1:25" x14ac:dyDescent="0.3">
      <c r="A593">
        <v>29600</v>
      </c>
      <c r="B593" t="s">
        <v>12389</v>
      </c>
      <c r="C593" t="s">
        <v>12390</v>
      </c>
      <c r="D593" t="s">
        <v>12391</v>
      </c>
      <c r="E593" t="s">
        <v>12392</v>
      </c>
      <c r="F593" t="s">
        <v>12393</v>
      </c>
      <c r="G593" t="s">
        <v>12394</v>
      </c>
      <c r="H593" t="s">
        <v>12395</v>
      </c>
      <c r="I593" t="s">
        <v>12396</v>
      </c>
      <c r="J593" t="s">
        <v>12397</v>
      </c>
      <c r="K593" t="s">
        <v>12398</v>
      </c>
      <c r="L593" t="s">
        <v>12399</v>
      </c>
      <c r="M593" t="s">
        <v>12400</v>
      </c>
      <c r="N593" t="s">
        <v>12401</v>
      </c>
      <c r="O593">
        <f>-706.276338220074 -51.4259809075922 -750.264473157028</f>
        <v>-1507.9667922846943</v>
      </c>
      <c r="P593">
        <f>-732.017675107601 -55.5587113015374 -434.817954243975</f>
        <v>-1222.3943406531134</v>
      </c>
      <c r="Q593">
        <f>-491.50357178485 -72.3085466693544 -337.275937800516</f>
        <v>-901.08805625472041</v>
      </c>
      <c r="R593" t="s">
        <v>12402</v>
      </c>
      <c r="S593" t="s">
        <v>12403</v>
      </c>
      <c r="T593" t="s">
        <v>12404</v>
      </c>
      <c r="U593" t="s">
        <v>12405</v>
      </c>
      <c r="V593" t="s">
        <v>12406</v>
      </c>
      <c r="W593" t="s">
        <v>12407</v>
      </c>
      <c r="X593" t="s">
        <v>12408</v>
      </c>
      <c r="Y593" t="s">
        <v>12409</v>
      </c>
    </row>
    <row r="594" spans="1:25" x14ac:dyDescent="0.3">
      <c r="A594">
        <v>29650</v>
      </c>
      <c r="B594" t="s">
        <v>12410</v>
      </c>
      <c r="C594" t="s">
        <v>12411</v>
      </c>
      <c r="D594" t="s">
        <v>12412</v>
      </c>
      <c r="E594" t="s">
        <v>12413</v>
      </c>
      <c r="F594" t="s">
        <v>12414</v>
      </c>
      <c r="G594" t="s">
        <v>12415</v>
      </c>
      <c r="H594" t="s">
        <v>12416</v>
      </c>
      <c r="I594" t="s">
        <v>12417</v>
      </c>
      <c r="J594" t="s">
        <v>12418</v>
      </c>
      <c r="K594" t="s">
        <v>12419</v>
      </c>
      <c r="L594" t="s">
        <v>12420</v>
      </c>
      <c r="M594" t="s">
        <v>12421</v>
      </c>
      <c r="N594" t="s">
        <v>12422</v>
      </c>
      <c r="O594">
        <f>-706.282782292549 -51.3993336359908 -750.182670583884</f>
        <v>-1507.864786512424</v>
      </c>
      <c r="P594">
        <f>-731.662468095329 -55.3037924507653 -434.703900450334</f>
        <v>-1221.6701609964284</v>
      </c>
      <c r="Q594">
        <f>-491.074974735922 -72.1774032505596 -337.364491891459</f>
        <v>-900.61686987794064</v>
      </c>
      <c r="R594" t="s">
        <v>12423</v>
      </c>
      <c r="S594" t="s">
        <v>12424</v>
      </c>
      <c r="T594" t="s">
        <v>12425</v>
      </c>
      <c r="U594" t="s">
        <v>12426</v>
      </c>
      <c r="V594" t="s">
        <v>12427</v>
      </c>
      <c r="W594" t="s">
        <v>12428</v>
      </c>
      <c r="X594" t="s">
        <v>12429</v>
      </c>
      <c r="Y594" t="s">
        <v>12430</v>
      </c>
    </row>
    <row r="595" spans="1:25" x14ac:dyDescent="0.3">
      <c r="A595">
        <v>29700</v>
      </c>
      <c r="B595" t="s">
        <v>12431</v>
      </c>
      <c r="C595" t="s">
        <v>12432</v>
      </c>
      <c r="D595" t="s">
        <v>12433</v>
      </c>
      <c r="E595" t="s">
        <v>12434</v>
      </c>
      <c r="F595" t="s">
        <v>12435</v>
      </c>
      <c r="G595" t="s">
        <v>12436</v>
      </c>
      <c r="H595" t="s">
        <v>12437</v>
      </c>
      <c r="I595" t="s">
        <v>12438</v>
      </c>
      <c r="J595" t="s">
        <v>12439</v>
      </c>
      <c r="K595" t="s">
        <v>12440</v>
      </c>
      <c r="L595" t="s">
        <v>12441</v>
      </c>
      <c r="M595" t="s">
        <v>12442</v>
      </c>
      <c r="N595" t="s">
        <v>12443</v>
      </c>
      <c r="O595">
        <f>-706.475592135151 -51.3328378016442 -750.130150350426</f>
        <v>-1507.9385802872212</v>
      </c>
      <c r="P595">
        <f>-731.549553707661 -55.2359201814475 -434.626908407298</f>
        <v>-1221.4123822964063</v>
      </c>
      <c r="Q595">
        <f>-490.906380409946 -72.0982125484288 -337.423143576955</f>
        <v>-900.42773653532981</v>
      </c>
      <c r="R595" t="s">
        <v>12444</v>
      </c>
      <c r="S595" t="s">
        <v>12445</v>
      </c>
      <c r="T595" t="s">
        <v>12446</v>
      </c>
      <c r="U595" t="s">
        <v>12447</v>
      </c>
      <c r="V595" t="s">
        <v>12448</v>
      </c>
      <c r="W595" t="s">
        <v>12449</v>
      </c>
      <c r="X595" t="s">
        <v>12450</v>
      </c>
      <c r="Y595" t="s">
        <v>12451</v>
      </c>
    </row>
    <row r="596" spans="1:25" x14ac:dyDescent="0.3">
      <c r="A596">
        <v>29750</v>
      </c>
      <c r="B596" t="s">
        <v>12452</v>
      </c>
      <c r="C596" t="s">
        <v>12453</v>
      </c>
      <c r="D596" t="s">
        <v>12454</v>
      </c>
      <c r="E596" t="s">
        <v>12455</v>
      </c>
      <c r="F596" t="s">
        <v>12456</v>
      </c>
      <c r="G596" t="s">
        <v>12457</v>
      </c>
      <c r="H596" t="s">
        <v>12458</v>
      </c>
      <c r="I596" t="s">
        <v>12459</v>
      </c>
      <c r="J596" t="s">
        <v>12460</v>
      </c>
      <c r="K596" t="s">
        <v>12461</v>
      </c>
      <c r="L596" t="s">
        <v>12462</v>
      </c>
      <c r="M596" t="s">
        <v>12463</v>
      </c>
      <c r="N596" t="s">
        <v>12464</v>
      </c>
      <c r="O596">
        <f>-706.985900087483 -51.0458916205039 -750.053223908045</f>
        <v>-1508.0850156160318</v>
      </c>
      <c r="P596">
        <f>-731.469615415191 -54.904734298545 -434.503142990265</f>
        <v>-1220.877492704001</v>
      </c>
      <c r="Q596">
        <f>-490.659060200176 -71.6338639742733 -337.69175998965</f>
        <v>-899.98468416409924</v>
      </c>
      <c r="R596" t="s">
        <v>12465</v>
      </c>
      <c r="S596" t="s">
        <v>12466</v>
      </c>
      <c r="T596" t="s">
        <v>12467</v>
      </c>
      <c r="U596" t="s">
        <v>12468</v>
      </c>
      <c r="V596" t="s">
        <v>12469</v>
      </c>
      <c r="W596" t="s">
        <v>12470</v>
      </c>
      <c r="X596" t="s">
        <v>12471</v>
      </c>
      <c r="Y596" t="s">
        <v>12472</v>
      </c>
    </row>
    <row r="597" spans="1:25" x14ac:dyDescent="0.3">
      <c r="A597">
        <v>29800</v>
      </c>
      <c r="B597" t="s">
        <v>12473</v>
      </c>
      <c r="C597" t="s">
        <v>12474</v>
      </c>
      <c r="D597" t="s">
        <v>12475</v>
      </c>
      <c r="E597" t="s">
        <v>12476</v>
      </c>
      <c r="F597" t="s">
        <v>12477</v>
      </c>
      <c r="G597" t="s">
        <v>12478</v>
      </c>
      <c r="H597" t="s">
        <v>12479</v>
      </c>
      <c r="I597" t="s">
        <v>12480</v>
      </c>
      <c r="J597" t="s">
        <v>12481</v>
      </c>
      <c r="K597" t="s">
        <v>12482</v>
      </c>
      <c r="L597" t="s">
        <v>12483</v>
      </c>
      <c r="M597" t="s">
        <v>12484</v>
      </c>
      <c r="N597" t="s">
        <v>12485</v>
      </c>
      <c r="O597">
        <f>-707.316326130648 -50.9760965252358 -750.02908665975</f>
        <v>-1508.3215093156336</v>
      </c>
      <c r="P597">
        <f>-731.447613601914 -54.7572852125095 -434.450941469049</f>
        <v>-1220.6558402834726</v>
      </c>
      <c r="Q597">
        <f>-490.571037212364 -71.499406810344 -337.806126271524</f>
        <v>-899.87657029423201</v>
      </c>
      <c r="R597" t="s">
        <v>12486</v>
      </c>
      <c r="S597" t="s">
        <v>12487</v>
      </c>
      <c r="T597" t="s">
        <v>12488</v>
      </c>
      <c r="U597" t="s">
        <v>12489</v>
      </c>
      <c r="V597" t="s">
        <v>12490</v>
      </c>
      <c r="W597" t="s">
        <v>12491</v>
      </c>
      <c r="X597" t="s">
        <v>12492</v>
      </c>
      <c r="Y597" t="s">
        <v>12493</v>
      </c>
    </row>
    <row r="598" spans="1:25" x14ac:dyDescent="0.3">
      <c r="A598">
        <v>29850</v>
      </c>
      <c r="B598" t="s">
        <v>12494</v>
      </c>
      <c r="C598" t="s">
        <v>12495</v>
      </c>
      <c r="D598" t="s">
        <v>12496</v>
      </c>
      <c r="E598" t="s">
        <v>12497</v>
      </c>
      <c r="F598" t="s">
        <v>12498</v>
      </c>
      <c r="G598" t="s">
        <v>12499</v>
      </c>
      <c r="H598" t="s">
        <v>12500</v>
      </c>
      <c r="I598" t="s">
        <v>12501</v>
      </c>
      <c r="J598" t="s">
        <v>12502</v>
      </c>
      <c r="K598" t="s">
        <v>12503</v>
      </c>
      <c r="L598" t="s">
        <v>12504</v>
      </c>
      <c r="M598" t="s">
        <v>12505</v>
      </c>
      <c r="N598" t="s">
        <v>12506</v>
      </c>
      <c r="O598">
        <f>-707.614462139324 -51.0957393692465 -749.801076006612</f>
        <v>-1508.5112775151824</v>
      </c>
      <c r="P598">
        <f>-731.141923992544 -54.5493538981332 -434.173586483505</f>
        <v>-1219.8648643741822</v>
      </c>
      <c r="Q598">
        <f>-490.146783566749 -71.4737266793747 -337.856643646736</f>
        <v>-899.47715389285963</v>
      </c>
      <c r="R598" t="s">
        <v>12507</v>
      </c>
      <c r="S598" t="s">
        <v>12508</v>
      </c>
      <c r="T598" t="s">
        <v>12509</v>
      </c>
      <c r="U598" t="s">
        <v>12510</v>
      </c>
      <c r="V598" t="s">
        <v>12511</v>
      </c>
      <c r="W598" t="s">
        <v>12512</v>
      </c>
      <c r="X598" t="s">
        <v>12513</v>
      </c>
      <c r="Y598" t="s">
        <v>12514</v>
      </c>
    </row>
    <row r="599" spans="1:25" x14ac:dyDescent="0.3">
      <c r="A599">
        <v>29900</v>
      </c>
      <c r="B599" t="s">
        <v>12515</v>
      </c>
      <c r="C599" t="s">
        <v>12516</v>
      </c>
      <c r="D599" t="s">
        <v>12517</v>
      </c>
      <c r="E599" t="s">
        <v>12518</v>
      </c>
      <c r="F599" t="s">
        <v>12519</v>
      </c>
      <c r="G599" t="s">
        <v>12520</v>
      </c>
      <c r="H599" t="s">
        <v>12521</v>
      </c>
      <c r="I599" t="s">
        <v>12522</v>
      </c>
      <c r="J599" t="s">
        <v>12523</v>
      </c>
      <c r="K599" t="s">
        <v>12524</v>
      </c>
      <c r="L599" t="s">
        <v>12525</v>
      </c>
      <c r="M599" t="s">
        <v>12526</v>
      </c>
      <c r="N599" t="s">
        <v>12527</v>
      </c>
      <c r="O599">
        <f>-707.646333389406 -51.2373093831068 -749.624230875673</f>
        <v>-1508.5078736481858</v>
      </c>
      <c r="P599">
        <f>-731.109126946305 -54.2281181868236 -433.98720689285</f>
        <v>-1219.3244520259786</v>
      </c>
      <c r="Q599">
        <f>-490.068385549113 -71.1625887304203 -337.786339066637</f>
        <v>-899.01731334617034</v>
      </c>
      <c r="R599" t="s">
        <v>12528</v>
      </c>
      <c r="S599" t="s">
        <v>12529</v>
      </c>
      <c r="T599" t="s">
        <v>12530</v>
      </c>
      <c r="U599" t="s">
        <v>12531</v>
      </c>
      <c r="V599" t="s">
        <v>12532</v>
      </c>
      <c r="W599" t="s">
        <v>12533</v>
      </c>
      <c r="X599" t="s">
        <v>12534</v>
      </c>
      <c r="Y599" t="s">
        <v>12535</v>
      </c>
    </row>
    <row r="600" spans="1:25" x14ac:dyDescent="0.3">
      <c r="A600">
        <v>29950</v>
      </c>
      <c r="B600" t="s">
        <v>12536</v>
      </c>
      <c r="C600" t="s">
        <v>12537</v>
      </c>
      <c r="D600" t="s">
        <v>12538</v>
      </c>
      <c r="E600" t="s">
        <v>12539</v>
      </c>
      <c r="F600" t="s">
        <v>12540</v>
      </c>
      <c r="G600" t="s">
        <v>12541</v>
      </c>
      <c r="H600" t="s">
        <v>12542</v>
      </c>
      <c r="I600" t="s">
        <v>12543</v>
      </c>
      <c r="J600" t="s">
        <v>12544</v>
      </c>
      <c r="K600" t="s">
        <v>12545</v>
      </c>
      <c r="L600" t="s">
        <v>12546</v>
      </c>
      <c r="M600" t="s">
        <v>12547</v>
      </c>
      <c r="N600" t="s">
        <v>12548</v>
      </c>
      <c r="O600">
        <f>-707.537042866592 -51.2808775413889 -749.244192591613</f>
        <v>-1508.0621129995939</v>
      </c>
      <c r="P600">
        <f>-730.962651396629 -53.4036205411167 -433.597281340022</f>
        <v>-1217.9635532777677</v>
      </c>
      <c r="Q600">
        <f>-489.970907042193 -70.0116001921326 -337.216834255914</f>
        <v>-897.19934149023959</v>
      </c>
      <c r="R600" t="s">
        <v>12549</v>
      </c>
      <c r="S600" t="s">
        <v>12550</v>
      </c>
      <c r="T600" t="s">
        <v>12551</v>
      </c>
      <c r="U600" t="s">
        <v>12552</v>
      </c>
      <c r="V600" t="s">
        <v>12553</v>
      </c>
      <c r="W600" t="s">
        <v>12554</v>
      </c>
      <c r="X600" t="s">
        <v>12555</v>
      </c>
      <c r="Y600" t="s">
        <v>12556</v>
      </c>
    </row>
    <row r="601" spans="1:25" x14ac:dyDescent="0.3">
      <c r="A601">
        <v>30000</v>
      </c>
      <c r="B601" t="s">
        <v>12557</v>
      </c>
      <c r="C601" t="s">
        <v>12558</v>
      </c>
      <c r="D601" t="s">
        <v>12559</v>
      </c>
      <c r="E601" t="s">
        <v>12560</v>
      </c>
      <c r="F601" t="s">
        <v>12561</v>
      </c>
      <c r="G601" t="s">
        <v>12562</v>
      </c>
      <c r="H601" t="s">
        <v>12563</v>
      </c>
      <c r="I601" t="s">
        <v>12564</v>
      </c>
      <c r="J601" t="s">
        <v>12565</v>
      </c>
      <c r="K601" t="s">
        <v>12566</v>
      </c>
      <c r="L601" t="s">
        <v>12567</v>
      </c>
      <c r="M601" t="s">
        <v>12568</v>
      </c>
      <c r="N601" t="s">
        <v>12569</v>
      </c>
      <c r="O601">
        <f>-707.741970857326 -51.1800387254377 -749.063674909924</f>
        <v>-1507.9856844926876</v>
      </c>
      <c r="P601">
        <f>-730.991665343148 -52.6620537425304 -433.400187230744</f>
        <v>-1217.0539063164224</v>
      </c>
      <c r="Q601">
        <f>-490.027792418694 -69.0743580130588 -336.916634603441</f>
        <v>-896.01878503519379</v>
      </c>
      <c r="R601" t="s">
        <v>12570</v>
      </c>
      <c r="S601" t="s">
        <v>12571</v>
      </c>
      <c r="T601" t="s">
        <v>12572</v>
      </c>
      <c r="U601" t="s">
        <v>12573</v>
      </c>
      <c r="V601" t="s">
        <v>12574</v>
      </c>
      <c r="W601" t="s">
        <v>12575</v>
      </c>
      <c r="X601" t="s">
        <v>12576</v>
      </c>
      <c r="Y601" t="s">
        <v>12577</v>
      </c>
    </row>
    <row r="602" spans="1:25" x14ac:dyDescent="0.3">
      <c r="A602">
        <v>30050</v>
      </c>
      <c r="B602" t="s">
        <v>12578</v>
      </c>
      <c r="C602" t="s">
        <v>12579</v>
      </c>
      <c r="D602" t="s">
        <v>12580</v>
      </c>
      <c r="E602" t="s">
        <v>12581</v>
      </c>
      <c r="F602" t="s">
        <v>12582</v>
      </c>
      <c r="G602" t="s">
        <v>12583</v>
      </c>
      <c r="H602" t="s">
        <v>12584</v>
      </c>
      <c r="I602" t="s">
        <v>12585</v>
      </c>
      <c r="J602" t="s">
        <v>12586</v>
      </c>
      <c r="K602" t="s">
        <v>12587</v>
      </c>
      <c r="L602" t="s">
        <v>12588</v>
      </c>
      <c r="M602" t="s">
        <v>12589</v>
      </c>
      <c r="N602" t="s">
        <v>12590</v>
      </c>
      <c r="O602">
        <f>-708.672512826598 -50.9752221335259 -748.471315994136</f>
        <v>-1508.1190509542598</v>
      </c>
      <c r="P602">
        <f>-730.734207968771 -51.6614154851486 -432.719828886427</f>
        <v>-1215.1154523403466</v>
      </c>
      <c r="Q602">
        <f>-489.603197956365 -67.9397338779195 -336.631968520999</f>
        <v>-894.17490035528363</v>
      </c>
      <c r="R602" t="s">
        <v>12591</v>
      </c>
      <c r="S602" t="s">
        <v>12592</v>
      </c>
      <c r="T602" t="s">
        <v>12593</v>
      </c>
      <c r="U602" t="s">
        <v>12594</v>
      </c>
      <c r="V602" t="s">
        <v>12595</v>
      </c>
      <c r="W602" t="s">
        <v>12596</v>
      </c>
      <c r="X602" t="s">
        <v>12597</v>
      </c>
      <c r="Y602" t="s">
        <v>12598</v>
      </c>
    </row>
    <row r="603" spans="1:25" x14ac:dyDescent="0.3">
      <c r="A603">
        <v>30100</v>
      </c>
      <c r="B603" t="s">
        <v>12599</v>
      </c>
      <c r="C603" t="s">
        <v>12600</v>
      </c>
      <c r="D603" t="s">
        <v>12601</v>
      </c>
      <c r="E603" t="s">
        <v>12602</v>
      </c>
      <c r="F603" t="s">
        <v>12603</v>
      </c>
      <c r="G603" t="s">
        <v>12604</v>
      </c>
      <c r="H603" t="s">
        <v>12605</v>
      </c>
      <c r="I603" t="s">
        <v>12606</v>
      </c>
      <c r="J603" t="s">
        <v>12607</v>
      </c>
      <c r="K603" t="s">
        <v>12608</v>
      </c>
      <c r="L603" t="s">
        <v>12609</v>
      </c>
      <c r="M603" t="s">
        <v>12610</v>
      </c>
      <c r="N603" t="s">
        <v>12611</v>
      </c>
      <c r="O603">
        <f>-709.489590131791 -50.874975196999 -748.046046690486</f>
        <v>-1508.410612019276</v>
      </c>
      <c r="P603">
        <f>-730.657923351407 -50.9875108489862 -432.232627236287</f>
        <v>-1213.8780614366801</v>
      </c>
      <c r="Q603">
        <f>-489.316707840628 -67.3185984248369 -336.682800525839</f>
        <v>-893.31810679130399</v>
      </c>
      <c r="R603" t="s">
        <v>12612</v>
      </c>
      <c r="S603" t="s">
        <v>12613</v>
      </c>
      <c r="T603" t="s">
        <v>12614</v>
      </c>
      <c r="U603" t="s">
        <v>12615</v>
      </c>
      <c r="V603" t="s">
        <v>12616</v>
      </c>
      <c r="W603" t="s">
        <v>12617</v>
      </c>
      <c r="X603" t="s">
        <v>12618</v>
      </c>
      <c r="Y603" t="s">
        <v>12619</v>
      </c>
    </row>
    <row r="604" spans="1:25" x14ac:dyDescent="0.3">
      <c r="A604">
        <v>30150</v>
      </c>
      <c r="B604" t="s">
        <v>12620</v>
      </c>
      <c r="C604" t="s">
        <v>12621</v>
      </c>
      <c r="D604" t="s">
        <v>12622</v>
      </c>
      <c r="E604" t="s">
        <v>12623</v>
      </c>
      <c r="F604" t="s">
        <v>12624</v>
      </c>
      <c r="G604" t="s">
        <v>12625</v>
      </c>
      <c r="H604" t="s">
        <v>12626</v>
      </c>
      <c r="I604" t="s">
        <v>12627</v>
      </c>
      <c r="J604" t="s">
        <v>12628</v>
      </c>
      <c r="K604" t="s">
        <v>12629</v>
      </c>
      <c r="L604" t="s">
        <v>12630</v>
      </c>
      <c r="M604" t="s">
        <v>12631</v>
      </c>
      <c r="N604" t="s">
        <v>12632</v>
      </c>
      <c r="O604">
        <f>-711.653863767189 -50.9698506262994 -747.006906309323</f>
        <v>-1509.6306207028115</v>
      </c>
      <c r="P604">
        <f>-730.690708984486 -50.3450144307701 -431.058588065845</f>
        <v>-1212.0943114811012</v>
      </c>
      <c r="Q604">
        <f>-488.892177269301 -67.1055420240368 -336.747187613724</f>
        <v>-892.74490690706182</v>
      </c>
      <c r="R604" t="s">
        <v>12633</v>
      </c>
      <c r="S604" t="s">
        <v>12634</v>
      </c>
      <c r="T604" t="s">
        <v>12635</v>
      </c>
      <c r="U604" t="s">
        <v>12636</v>
      </c>
      <c r="V604" t="s">
        <v>12637</v>
      </c>
      <c r="W604" t="s">
        <v>12638</v>
      </c>
      <c r="X604" t="s">
        <v>12639</v>
      </c>
      <c r="Y604" t="s">
        <v>12640</v>
      </c>
    </row>
    <row r="605" spans="1:25" x14ac:dyDescent="0.3">
      <c r="A605">
        <v>30200</v>
      </c>
      <c r="B605" t="s">
        <v>12641</v>
      </c>
      <c r="C605" t="s">
        <v>12642</v>
      </c>
      <c r="D605" t="s">
        <v>12643</v>
      </c>
      <c r="E605" t="s">
        <v>12644</v>
      </c>
      <c r="F605" t="s">
        <v>12645</v>
      </c>
      <c r="G605" t="s">
        <v>12646</v>
      </c>
      <c r="H605" t="s">
        <v>12647</v>
      </c>
      <c r="I605" t="s">
        <v>12648</v>
      </c>
      <c r="J605" t="s">
        <v>12649</v>
      </c>
      <c r="K605" t="s">
        <v>12650</v>
      </c>
      <c r="L605" t="s">
        <v>12651</v>
      </c>
      <c r="M605" t="s">
        <v>12652</v>
      </c>
      <c r="N605" t="s">
        <v>12653</v>
      </c>
      <c r="O605">
        <f>-712.658271685657 -51.1028393055346 -746.397855066642</f>
        <v>-1510.1589660578338</v>
      </c>
      <c r="P605">
        <f>-730.580290021478 -49.8406385693211 -430.386146293818</f>
        <v>-1210.8070748846171</v>
      </c>
      <c r="Q605">
        <f>-488.525264677154 -66.8790790500516 -336.785452438843</f>
        <v>-892.18979616604861</v>
      </c>
      <c r="R605" t="s">
        <v>12654</v>
      </c>
      <c r="S605" t="s">
        <v>12655</v>
      </c>
      <c r="T605" t="s">
        <v>12656</v>
      </c>
      <c r="U605" t="s">
        <v>12657</v>
      </c>
      <c r="V605" t="s">
        <v>12658</v>
      </c>
      <c r="W605" t="s">
        <v>12659</v>
      </c>
      <c r="X605" t="s">
        <v>12660</v>
      </c>
      <c r="Y605" t="s">
        <v>12661</v>
      </c>
    </row>
    <row r="606" spans="1:25" x14ac:dyDescent="0.3">
      <c r="A606">
        <v>30250</v>
      </c>
      <c r="B606" t="s">
        <v>12662</v>
      </c>
      <c r="C606" t="s">
        <v>12663</v>
      </c>
      <c r="D606" t="s">
        <v>12664</v>
      </c>
      <c r="E606" t="s">
        <v>12665</v>
      </c>
      <c r="F606" t="s">
        <v>12666</v>
      </c>
      <c r="G606" t="s">
        <v>12667</v>
      </c>
      <c r="H606" t="s">
        <v>12668</v>
      </c>
      <c r="I606" t="s">
        <v>12669</v>
      </c>
      <c r="J606" t="s">
        <v>12670</v>
      </c>
      <c r="K606" t="s">
        <v>12671</v>
      </c>
      <c r="L606" t="s">
        <v>12672</v>
      </c>
      <c r="M606" t="s">
        <v>12673</v>
      </c>
      <c r="N606" t="s">
        <v>12674</v>
      </c>
      <c r="O606">
        <f>-714.996942499766 -51.3800928842932 -745.099774266688</f>
        <v>-1511.4768096507471</v>
      </c>
      <c r="P606">
        <f>-730.442103335525 -49.0310680257646 -428.963502454493</f>
        <v>-1208.4366738157826</v>
      </c>
      <c r="Q606">
        <f>-487.808479879699 -66.2456445895918 -336.905624324558</f>
        <v>-890.9597487938488</v>
      </c>
      <c r="R606" t="s">
        <v>12675</v>
      </c>
      <c r="S606" t="s">
        <v>12676</v>
      </c>
      <c r="T606" t="s">
        <v>12677</v>
      </c>
      <c r="U606" t="s">
        <v>12678</v>
      </c>
      <c r="V606" t="s">
        <v>12679</v>
      </c>
      <c r="W606" t="s">
        <v>12680</v>
      </c>
      <c r="X606" t="s">
        <v>12681</v>
      </c>
      <c r="Y606" t="s">
        <v>12682</v>
      </c>
    </row>
    <row r="607" spans="1:25" x14ac:dyDescent="0.3">
      <c r="A607">
        <v>30300</v>
      </c>
      <c r="B607" t="s">
        <v>12683</v>
      </c>
      <c r="C607" t="s">
        <v>12684</v>
      </c>
      <c r="D607" t="s">
        <v>12685</v>
      </c>
      <c r="E607" t="s">
        <v>12686</v>
      </c>
      <c r="F607" t="s">
        <v>12687</v>
      </c>
      <c r="G607" t="s">
        <v>12688</v>
      </c>
      <c r="H607" t="s">
        <v>12689</v>
      </c>
      <c r="I607" t="s">
        <v>12690</v>
      </c>
      <c r="J607" t="s">
        <v>12691</v>
      </c>
      <c r="K607" t="s">
        <v>12692</v>
      </c>
      <c r="L607" t="s">
        <v>12693</v>
      </c>
      <c r="M607" t="s">
        <v>12694</v>
      </c>
      <c r="N607" t="s">
        <v>12695</v>
      </c>
      <c r="O607">
        <f>-716.129646935494 -51.4319162513516 -744.409292421352</f>
        <v>-1511.9708556081976</v>
      </c>
      <c r="P607">
        <f>-730.307619740224 -48.6980511671347 -428.216731055721</f>
        <v>-1207.2224019630798</v>
      </c>
      <c r="Q607">
        <f>-487.397621552496 -66.1109519607685 -336.928278304612</f>
        <v>-890.43685181787646</v>
      </c>
      <c r="R607" t="s">
        <v>12696</v>
      </c>
      <c r="S607" t="s">
        <v>12697</v>
      </c>
      <c r="T607" t="s">
        <v>12698</v>
      </c>
      <c r="U607" t="s">
        <v>12699</v>
      </c>
      <c r="V607" t="s">
        <v>12700</v>
      </c>
      <c r="W607" t="s">
        <v>12701</v>
      </c>
      <c r="X607" t="s">
        <v>12702</v>
      </c>
      <c r="Y607" t="s">
        <v>12703</v>
      </c>
    </row>
    <row r="608" spans="1:25" x14ac:dyDescent="0.3">
      <c r="A608">
        <v>30350</v>
      </c>
      <c r="B608" t="s">
        <v>12704</v>
      </c>
      <c r="C608" t="s">
        <v>12705</v>
      </c>
      <c r="D608" t="s">
        <v>12706</v>
      </c>
      <c r="E608" t="s">
        <v>12707</v>
      </c>
      <c r="F608" t="s">
        <v>12708</v>
      </c>
      <c r="G608" t="s">
        <v>12709</v>
      </c>
      <c r="H608" t="s">
        <v>12710</v>
      </c>
      <c r="I608" t="s">
        <v>12711</v>
      </c>
      <c r="J608" t="s">
        <v>12712</v>
      </c>
      <c r="K608" t="s">
        <v>12713</v>
      </c>
      <c r="L608" t="s">
        <v>12714</v>
      </c>
      <c r="M608" t="s">
        <v>12715</v>
      </c>
      <c r="N608" t="s">
        <v>12716</v>
      </c>
      <c r="O608">
        <f>-716.931046976771 -51.6607122615444 -743.70004229324</f>
        <v>-1512.2918015315554</v>
      </c>
      <c r="P608">
        <f>-729.985422014906 -48.5302705402794 -427.46283276142</f>
        <v>-1205.9785253166053</v>
      </c>
      <c r="Q608">
        <f>-486.772489705957 -66.1379710752265 -337.022404516495</f>
        <v>-889.93286529767852</v>
      </c>
      <c r="R608" t="s">
        <v>12717</v>
      </c>
      <c r="S608" t="s">
        <v>12718</v>
      </c>
      <c r="T608" t="s">
        <v>12719</v>
      </c>
      <c r="U608" t="s">
        <v>12720</v>
      </c>
      <c r="V608" t="s">
        <v>12721</v>
      </c>
      <c r="W608" t="s">
        <v>12722</v>
      </c>
      <c r="X608" t="s">
        <v>12723</v>
      </c>
      <c r="Y608" t="s">
        <v>12724</v>
      </c>
    </row>
    <row r="609" spans="1:25" x14ac:dyDescent="0.3">
      <c r="A609">
        <v>30400</v>
      </c>
      <c r="B609" t="s">
        <v>12725</v>
      </c>
      <c r="C609" t="s">
        <v>12726</v>
      </c>
      <c r="D609" t="s">
        <v>12727</v>
      </c>
      <c r="E609" t="s">
        <v>12728</v>
      </c>
      <c r="F609" t="s">
        <v>12729</v>
      </c>
      <c r="G609" t="s">
        <v>12730</v>
      </c>
      <c r="H609" t="s">
        <v>12731</v>
      </c>
      <c r="I609" t="s">
        <v>12732</v>
      </c>
      <c r="J609" t="s">
        <v>12733</v>
      </c>
      <c r="K609" t="s">
        <v>12734</v>
      </c>
      <c r="L609" t="s">
        <v>12735</v>
      </c>
      <c r="M609" t="s">
        <v>12736</v>
      </c>
      <c r="N609" t="s">
        <v>12737</v>
      </c>
      <c r="O609">
        <f>-717.7051564289 -52.3133558280406 -742.420220649035</f>
        <v>-1512.4387329059755</v>
      </c>
      <c r="P609">
        <f>-729.098258007452 -48.4003000237042 -426.127598908442</f>
        <v>-1203.6261569395983</v>
      </c>
      <c r="Q609">
        <f>-485.403933805241 -66.1642679673225 -337.023276627419</f>
        <v>-888.59147839998252</v>
      </c>
      <c r="R609" t="s">
        <v>12738</v>
      </c>
      <c r="S609" t="s">
        <v>12739</v>
      </c>
      <c r="T609" t="s">
        <v>12740</v>
      </c>
      <c r="U609" t="s">
        <v>12741</v>
      </c>
      <c r="V609" t="s">
        <v>12742</v>
      </c>
      <c r="W609" t="s">
        <v>12743</v>
      </c>
      <c r="X609" t="s">
        <v>12744</v>
      </c>
      <c r="Y609" t="s">
        <v>12745</v>
      </c>
    </row>
    <row r="610" spans="1:25" x14ac:dyDescent="0.3">
      <c r="A610">
        <v>30450</v>
      </c>
      <c r="B610" t="s">
        <v>12746</v>
      </c>
      <c r="C610" t="s">
        <v>12747</v>
      </c>
      <c r="D610" t="s">
        <v>12748</v>
      </c>
      <c r="E610" t="s">
        <v>12749</v>
      </c>
      <c r="F610" t="s">
        <v>12750</v>
      </c>
      <c r="G610" t="s">
        <v>12751</v>
      </c>
      <c r="H610" t="s">
        <v>12752</v>
      </c>
      <c r="I610" t="s">
        <v>12753</v>
      </c>
      <c r="J610" t="s">
        <v>12754</v>
      </c>
      <c r="K610" t="s">
        <v>12755</v>
      </c>
      <c r="L610" t="s">
        <v>12756</v>
      </c>
      <c r="M610" t="s">
        <v>12757</v>
      </c>
      <c r="N610" t="s">
        <v>12758</v>
      </c>
      <c r="O610">
        <f>-717.63916885373 -52.8029098855034 -741.489085023187</f>
        <v>-1511.9311637624205</v>
      </c>
      <c r="P610">
        <f>-728.087860843619 -48.440498936865 -425.169567972687</f>
        <v>-1201.6979277531709</v>
      </c>
      <c r="Q610">
        <f>-484.11124627068 -65.5081696235643 -336.703991013043</f>
        <v>-886.32340690728734</v>
      </c>
      <c r="R610" t="s">
        <v>12759</v>
      </c>
      <c r="S610" t="s">
        <v>12760</v>
      </c>
      <c r="T610" t="s">
        <v>12761</v>
      </c>
      <c r="U610" t="s">
        <v>12762</v>
      </c>
      <c r="V610" t="s">
        <v>12763</v>
      </c>
      <c r="W610" t="s">
        <v>12764</v>
      </c>
      <c r="X610" t="s">
        <v>12765</v>
      </c>
      <c r="Y610" t="s">
        <v>12766</v>
      </c>
    </row>
    <row r="611" spans="1:25" x14ac:dyDescent="0.3">
      <c r="A611">
        <v>30500</v>
      </c>
      <c r="B611" t="s">
        <v>12767</v>
      </c>
      <c r="C611" t="s">
        <v>12768</v>
      </c>
      <c r="D611" t="s">
        <v>12769</v>
      </c>
      <c r="E611" t="s">
        <v>12770</v>
      </c>
      <c r="F611" t="s">
        <v>12771</v>
      </c>
      <c r="G611" t="s">
        <v>12772</v>
      </c>
      <c r="H611" t="s">
        <v>12773</v>
      </c>
      <c r="I611" t="s">
        <v>12774</v>
      </c>
      <c r="J611" t="s">
        <v>12775</v>
      </c>
      <c r="K611" t="s">
        <v>12776</v>
      </c>
      <c r="L611" t="s">
        <v>12777</v>
      </c>
      <c r="M611" t="s">
        <v>12778</v>
      </c>
      <c r="N611" t="s">
        <v>12779</v>
      </c>
      <c r="O611">
        <f>-717.345496782736 -52.9445541894365 -741.086093196225</f>
        <v>-1511.3761441683973</v>
      </c>
      <c r="P611">
        <f>-727.565207796936 -48.3441822463747 -424.762425831058</f>
        <v>-1200.6718158743686</v>
      </c>
      <c r="Q611">
        <f>-483.492790927414 -64.957900459749 -336.475001175446</f>
        <v>-884.92569256260902</v>
      </c>
      <c r="R611" t="s">
        <v>12780</v>
      </c>
      <c r="S611" t="s">
        <v>12781</v>
      </c>
      <c r="T611" t="s">
        <v>12782</v>
      </c>
      <c r="U611" t="s">
        <v>12783</v>
      </c>
      <c r="V611" t="s">
        <v>12784</v>
      </c>
      <c r="W611" t="s">
        <v>12785</v>
      </c>
      <c r="X611" t="s">
        <v>12786</v>
      </c>
      <c r="Y611" t="s">
        <v>12787</v>
      </c>
    </row>
    <row r="612" spans="1:25" x14ac:dyDescent="0.3">
      <c r="A612">
        <v>30550</v>
      </c>
      <c r="B612" t="s">
        <v>12788</v>
      </c>
      <c r="C612" t="s">
        <v>12789</v>
      </c>
      <c r="D612" t="s">
        <v>12790</v>
      </c>
      <c r="E612" t="s">
        <v>12791</v>
      </c>
      <c r="F612" t="s">
        <v>12792</v>
      </c>
      <c r="G612" t="s">
        <v>12793</v>
      </c>
      <c r="H612" t="s">
        <v>12794</v>
      </c>
      <c r="I612" t="s">
        <v>12795</v>
      </c>
      <c r="J612" t="s">
        <v>12796</v>
      </c>
      <c r="K612" t="s">
        <v>12797</v>
      </c>
      <c r="L612" t="s">
        <v>12798</v>
      </c>
      <c r="M612" t="s">
        <v>12799</v>
      </c>
      <c r="N612" t="s">
        <v>12800</v>
      </c>
      <c r="O612">
        <f>-716.604823238419 -53.0940862272162 -740.580501152171</f>
        <v>-1510.2794106178062</v>
      </c>
      <c r="P612">
        <f>-726.543423779405 -48.0800019446256 -424.254274781374</f>
        <v>-1198.8777005054046</v>
      </c>
      <c r="Q612">
        <f>-482.358704168262 -64.0082018192106 -336.150865486407</f>
        <v>-882.51777147387952</v>
      </c>
      <c r="R612" t="s">
        <v>12801</v>
      </c>
      <c r="S612" t="s">
        <v>12802</v>
      </c>
      <c r="T612" t="s">
        <v>12803</v>
      </c>
      <c r="U612" t="s">
        <v>12804</v>
      </c>
      <c r="V612" t="s">
        <v>12805</v>
      </c>
      <c r="W612" t="s">
        <v>12806</v>
      </c>
      <c r="X612" t="s">
        <v>12807</v>
      </c>
      <c r="Y612" t="s">
        <v>12808</v>
      </c>
    </row>
    <row r="613" spans="1:25" x14ac:dyDescent="0.3">
      <c r="A613">
        <v>30600</v>
      </c>
      <c r="B613" t="s">
        <v>12809</v>
      </c>
      <c r="C613" t="s">
        <v>12810</v>
      </c>
      <c r="D613" t="s">
        <v>12811</v>
      </c>
      <c r="E613" t="s">
        <v>12812</v>
      </c>
      <c r="F613" t="s">
        <v>12813</v>
      </c>
      <c r="G613" t="s">
        <v>12814</v>
      </c>
      <c r="H613" t="s">
        <v>12815</v>
      </c>
      <c r="I613" t="s">
        <v>12816</v>
      </c>
      <c r="J613" t="s">
        <v>12817</v>
      </c>
      <c r="K613" t="s">
        <v>12818</v>
      </c>
      <c r="L613" t="s">
        <v>12819</v>
      </c>
      <c r="M613" t="s">
        <v>12820</v>
      </c>
      <c r="N613" t="s">
        <v>12821</v>
      </c>
      <c r="O613">
        <f>-716.323414863552 -53.0858771965609 -740.240363457325</f>
        <v>-1509.6496555174378</v>
      </c>
      <c r="P613">
        <f>-725.71651023998 -47.8970440916137 -423.900321321037</f>
        <v>-1197.5138756526308</v>
      </c>
      <c r="Q613">
        <f>-481.432151474673 -63.1779430638417 -335.958658939467</f>
        <v>-880.56875347798166</v>
      </c>
      <c r="R613" t="s">
        <v>12822</v>
      </c>
      <c r="S613" t="s">
        <v>12823</v>
      </c>
      <c r="T613" t="s">
        <v>12824</v>
      </c>
      <c r="U613" t="s">
        <v>12825</v>
      </c>
      <c r="V613" t="s">
        <v>12826</v>
      </c>
      <c r="W613" t="s">
        <v>12827</v>
      </c>
      <c r="X613" t="s">
        <v>12828</v>
      </c>
      <c r="Y613" t="s">
        <v>12829</v>
      </c>
    </row>
    <row r="614" spans="1:25" x14ac:dyDescent="0.3">
      <c r="A614">
        <v>30650</v>
      </c>
      <c r="B614" t="s">
        <v>12830</v>
      </c>
      <c r="C614" t="s">
        <v>12831</v>
      </c>
      <c r="D614" t="s">
        <v>12832</v>
      </c>
      <c r="E614" t="s">
        <v>12833</v>
      </c>
      <c r="F614" t="s">
        <v>12834</v>
      </c>
      <c r="G614" t="s">
        <v>12835</v>
      </c>
      <c r="H614" t="s">
        <v>12836</v>
      </c>
      <c r="I614" t="s">
        <v>12837</v>
      </c>
      <c r="J614" t="s">
        <v>12838</v>
      </c>
      <c r="K614" t="s">
        <v>12839</v>
      </c>
      <c r="L614" t="s">
        <v>12840</v>
      </c>
      <c r="M614" t="s">
        <v>12841</v>
      </c>
      <c r="N614" t="s">
        <v>12842</v>
      </c>
      <c r="O614">
        <f>-715.819583699878 -53.0199195801745 -739.700966479251</f>
        <v>-1508.5404697593035</v>
      </c>
      <c r="P614">
        <f>-724.492615617614 -47.8190497898054 -423.340561052424</f>
        <v>-1195.6522264598434</v>
      </c>
      <c r="Q614">
        <f>-479.98859095149 -62.3921622303451 -335.890707180914</f>
        <v>-878.27146036274905</v>
      </c>
      <c r="R614" t="s">
        <v>12843</v>
      </c>
      <c r="S614" t="s">
        <v>12844</v>
      </c>
      <c r="T614" t="s">
        <v>12845</v>
      </c>
      <c r="U614" t="s">
        <v>12846</v>
      </c>
      <c r="V614" t="s">
        <v>12847</v>
      </c>
      <c r="W614" t="s">
        <v>12848</v>
      </c>
      <c r="X614" t="s">
        <v>12849</v>
      </c>
      <c r="Y614" t="s">
        <v>12850</v>
      </c>
    </row>
    <row r="615" spans="1:25" x14ac:dyDescent="0.3">
      <c r="A615">
        <v>30700</v>
      </c>
      <c r="B615" t="s">
        <v>12851</v>
      </c>
      <c r="C615" t="s">
        <v>12852</v>
      </c>
      <c r="D615" t="s">
        <v>12853</v>
      </c>
      <c r="E615" t="s">
        <v>12854</v>
      </c>
      <c r="F615" t="s">
        <v>12855</v>
      </c>
      <c r="G615" t="s">
        <v>12856</v>
      </c>
      <c r="H615" t="s">
        <v>12857</v>
      </c>
      <c r="I615" t="s">
        <v>12858</v>
      </c>
      <c r="J615" t="s">
        <v>12859</v>
      </c>
      <c r="K615" t="s">
        <v>12860</v>
      </c>
      <c r="L615" t="s">
        <v>12861</v>
      </c>
      <c r="M615" t="s">
        <v>12862</v>
      </c>
      <c r="N615" t="s">
        <v>12863</v>
      </c>
      <c r="O615">
        <f>-715.464715007108 -52.8973234188468 -739.40834061204</f>
        <v>-1507.7703790379946</v>
      </c>
      <c r="P615">
        <f>-723.801178129022 -47.5942378441912 -423.040564980831</f>
        <v>-1194.4359809540442</v>
      </c>
      <c r="Q615">
        <f>-479.164924831192 -61.9392093325598 -335.92358137017</f>
        <v>-877.02771553392176</v>
      </c>
      <c r="R615" t="s">
        <v>12864</v>
      </c>
      <c r="S615" t="s">
        <v>12865</v>
      </c>
      <c r="T615" t="s">
        <v>12866</v>
      </c>
      <c r="U615" t="s">
        <v>12867</v>
      </c>
      <c r="V615" t="s">
        <v>12868</v>
      </c>
      <c r="W615" t="s">
        <v>12869</v>
      </c>
      <c r="X615" t="s">
        <v>12870</v>
      </c>
      <c r="Y615" t="s">
        <v>12871</v>
      </c>
    </row>
    <row r="616" spans="1:25" x14ac:dyDescent="0.3">
      <c r="A616">
        <v>30750</v>
      </c>
      <c r="B616" t="s">
        <v>12872</v>
      </c>
      <c r="C616" t="s">
        <v>12873</v>
      </c>
      <c r="D616" t="s">
        <v>12874</v>
      </c>
      <c r="E616" t="s">
        <v>12875</v>
      </c>
      <c r="F616" t="s">
        <v>12876</v>
      </c>
      <c r="G616" t="s">
        <v>12877</v>
      </c>
      <c r="H616" t="s">
        <v>12878</v>
      </c>
      <c r="I616" t="s">
        <v>12879</v>
      </c>
      <c r="J616" t="s">
        <v>12880</v>
      </c>
      <c r="K616" t="s">
        <v>12881</v>
      </c>
      <c r="L616" t="s">
        <v>12882</v>
      </c>
      <c r="M616" t="s">
        <v>12883</v>
      </c>
      <c r="N616" t="s">
        <v>12884</v>
      </c>
      <c r="O616">
        <f>-714.840329454431 -52.6126861842324 -739.076183670209</f>
        <v>-1506.5291993088724</v>
      </c>
      <c r="P616">
        <f>-722.139677418243 -47.5962057633028 -422.678148524752</f>
        <v>-1192.4140317062977</v>
      </c>
      <c r="Q616">
        <f>-477.273052823171 -61.4549397836677 -336.131144365064</f>
        <v>-874.85913697190267</v>
      </c>
      <c r="R616" t="s">
        <v>12885</v>
      </c>
      <c r="S616" t="s">
        <v>12886</v>
      </c>
      <c r="T616" t="s">
        <v>12887</v>
      </c>
      <c r="U616" t="s">
        <v>12888</v>
      </c>
      <c r="V616" t="s">
        <v>12889</v>
      </c>
      <c r="W616" t="s">
        <v>12890</v>
      </c>
      <c r="X616" t="s">
        <v>12891</v>
      </c>
      <c r="Y616" t="s">
        <v>12892</v>
      </c>
    </row>
    <row r="617" spans="1:25" x14ac:dyDescent="0.3">
      <c r="A617">
        <v>30800</v>
      </c>
      <c r="B617" t="s">
        <v>12893</v>
      </c>
      <c r="C617" t="s">
        <v>12894</v>
      </c>
      <c r="D617" t="s">
        <v>12895</v>
      </c>
      <c r="E617" t="s">
        <v>12896</v>
      </c>
      <c r="F617" t="s">
        <v>12897</v>
      </c>
      <c r="G617" t="s">
        <v>12898</v>
      </c>
      <c r="H617" t="s">
        <v>12899</v>
      </c>
      <c r="I617" t="s">
        <v>12900</v>
      </c>
      <c r="J617" t="s">
        <v>12901</v>
      </c>
      <c r="K617" t="s">
        <v>12902</v>
      </c>
      <c r="L617" t="s">
        <v>12903</v>
      </c>
      <c r="M617" t="s">
        <v>12904</v>
      </c>
      <c r="N617" t="s">
        <v>12905</v>
      </c>
      <c r="O617">
        <f>-714.552317759155 -52.4660203171591 -738.990616849037</f>
        <v>-1506.0089549253512</v>
      </c>
      <c r="P617">
        <f>-721.312367025118 -47.6430616261644 -422.577622728614</f>
        <v>-1191.5330513798963</v>
      </c>
      <c r="Q617">
        <f>-476.315576128871 -61.2494398054644 -336.359731565129</f>
        <v>-873.92474749946439</v>
      </c>
      <c r="R617" t="s">
        <v>12906</v>
      </c>
      <c r="S617" t="s">
        <v>12907</v>
      </c>
      <c r="T617" t="s">
        <v>12908</v>
      </c>
      <c r="U617" t="s">
        <v>12909</v>
      </c>
      <c r="V617" t="s">
        <v>12910</v>
      </c>
      <c r="W617" t="s">
        <v>12911</v>
      </c>
      <c r="X617" t="s">
        <v>12912</v>
      </c>
      <c r="Y617" t="s">
        <v>12913</v>
      </c>
    </row>
    <row r="618" spans="1:25" x14ac:dyDescent="0.3">
      <c r="A618">
        <v>30850</v>
      </c>
      <c r="B618" t="s">
        <v>12914</v>
      </c>
      <c r="C618" t="s">
        <v>12915</v>
      </c>
      <c r="D618" t="s">
        <v>12916</v>
      </c>
      <c r="E618" t="s">
        <v>12917</v>
      </c>
      <c r="F618" t="s">
        <v>12918</v>
      </c>
      <c r="G618" t="s">
        <v>12919</v>
      </c>
      <c r="H618" t="s">
        <v>12920</v>
      </c>
      <c r="I618" t="s">
        <v>12921</v>
      </c>
      <c r="J618" t="s">
        <v>12922</v>
      </c>
      <c r="K618" t="s">
        <v>12923</v>
      </c>
      <c r="L618" t="s">
        <v>12924</v>
      </c>
      <c r="M618" t="s">
        <v>12925</v>
      </c>
      <c r="N618" t="s">
        <v>12926</v>
      </c>
      <c r="O618">
        <f>-713.957986317417 -52.193972513267 -738.972696339838</f>
        <v>-1505.1246551705219</v>
      </c>
      <c r="P618">
        <f>-719.996593908146 -47.949719177918 -422.536695161958</f>
        <v>-1190.4830082480221</v>
      </c>
      <c r="Q618">
        <f>-474.736171853061 -61.4035940610504 -337.047842639051</f>
        <v>-873.18760855316236</v>
      </c>
      <c r="R618" t="s">
        <v>12927</v>
      </c>
      <c r="S618" t="s">
        <v>12928</v>
      </c>
      <c r="T618" t="s">
        <v>12929</v>
      </c>
      <c r="U618" t="s">
        <v>12930</v>
      </c>
      <c r="V618" t="s">
        <v>12931</v>
      </c>
      <c r="W618" t="s">
        <v>12932</v>
      </c>
      <c r="X618" t="s">
        <v>12933</v>
      </c>
      <c r="Y618" t="s">
        <v>12934</v>
      </c>
    </row>
    <row r="619" spans="1:25" x14ac:dyDescent="0.3">
      <c r="A619">
        <v>30900</v>
      </c>
      <c r="B619" t="s">
        <v>12935</v>
      </c>
      <c r="C619" t="s">
        <v>12936</v>
      </c>
      <c r="D619" t="s">
        <v>12937</v>
      </c>
      <c r="E619" t="s">
        <v>12938</v>
      </c>
      <c r="F619" t="s">
        <v>12939</v>
      </c>
      <c r="G619" t="s">
        <v>12940</v>
      </c>
      <c r="H619" t="s">
        <v>12941</v>
      </c>
      <c r="I619" t="s">
        <v>12942</v>
      </c>
      <c r="J619" t="s">
        <v>12943</v>
      </c>
      <c r="K619" t="s">
        <v>12944</v>
      </c>
      <c r="L619" t="s">
        <v>12945</v>
      </c>
      <c r="M619" t="s">
        <v>12946</v>
      </c>
      <c r="N619" t="s">
        <v>12947</v>
      </c>
      <c r="O619">
        <f>-713.539826973501 -52.1386600381338 -738.987191989414</f>
        <v>-1504.6656790010488</v>
      </c>
      <c r="P619">
        <f>-719.404121838292 -48.2273863748371 -422.543776990849</f>
        <v>-1190.1752852039781</v>
      </c>
      <c r="Q619">
        <f>-474.040799360737 -61.711380681048 -337.355173723048</f>
        <v>-873.10735376483296</v>
      </c>
      <c r="R619" t="s">
        <v>12948</v>
      </c>
      <c r="S619" t="s">
        <v>12949</v>
      </c>
      <c r="T619" t="s">
        <v>12950</v>
      </c>
      <c r="U619" t="s">
        <v>12951</v>
      </c>
      <c r="V619" t="s">
        <v>12952</v>
      </c>
      <c r="W619" t="s">
        <v>12953</v>
      </c>
      <c r="X619" t="s">
        <v>12954</v>
      </c>
      <c r="Y619" t="s">
        <v>12955</v>
      </c>
    </row>
    <row r="620" spans="1:25" x14ac:dyDescent="0.3">
      <c r="A620">
        <v>30950</v>
      </c>
      <c r="B620" t="s">
        <v>12956</v>
      </c>
      <c r="C620" t="s">
        <v>12957</v>
      </c>
      <c r="D620" t="s">
        <v>12958</v>
      </c>
      <c r="E620" t="s">
        <v>12959</v>
      </c>
      <c r="F620" t="s">
        <v>12960</v>
      </c>
      <c r="G620" t="s">
        <v>12961</v>
      </c>
      <c r="H620" t="s">
        <v>12962</v>
      </c>
      <c r="I620" t="s">
        <v>12963</v>
      </c>
      <c r="J620" t="s">
        <v>12964</v>
      </c>
      <c r="K620" t="s">
        <v>12965</v>
      </c>
      <c r="L620" t="s">
        <v>12966</v>
      </c>
      <c r="M620" t="s">
        <v>12967</v>
      </c>
      <c r="N620" t="s">
        <v>12968</v>
      </c>
      <c r="O620">
        <f>-711.756990809838 -52.4719441520249 -739.040863778836</f>
        <v>-1503.2697987406989</v>
      </c>
      <c r="P620">
        <f>-717.906462353313 -48.5527193452633 -422.602828568932</f>
        <v>-1189.0620102675084</v>
      </c>
      <c r="Q620">
        <f>-472.548737376482 -62.0499290838357 -337.400511527557</f>
        <v>-871.99917798787465</v>
      </c>
      <c r="R620" t="s">
        <v>12969</v>
      </c>
      <c r="S620" t="s">
        <v>12970</v>
      </c>
      <c r="T620" t="s">
        <v>12971</v>
      </c>
      <c r="U620" t="s">
        <v>12972</v>
      </c>
      <c r="V620" t="s">
        <v>12973</v>
      </c>
      <c r="W620" t="s">
        <v>12974</v>
      </c>
      <c r="X620" t="s">
        <v>12975</v>
      </c>
      <c r="Y620" t="s">
        <v>12976</v>
      </c>
    </row>
    <row r="621" spans="1:25" x14ac:dyDescent="0.3">
      <c r="A621">
        <v>31000</v>
      </c>
      <c r="B621" t="s">
        <v>12977</v>
      </c>
      <c r="C621" t="s">
        <v>12978</v>
      </c>
      <c r="D621" t="s">
        <v>12979</v>
      </c>
      <c r="E621" t="s">
        <v>12980</v>
      </c>
      <c r="F621" t="s">
        <v>12981</v>
      </c>
      <c r="G621" t="s">
        <v>12982</v>
      </c>
      <c r="H621" t="s">
        <v>12983</v>
      </c>
      <c r="I621" t="s">
        <v>12984</v>
      </c>
      <c r="J621" t="s">
        <v>12985</v>
      </c>
      <c r="K621" t="s">
        <v>12986</v>
      </c>
      <c r="L621" t="s">
        <v>12987</v>
      </c>
      <c r="M621" t="s">
        <v>12988</v>
      </c>
      <c r="N621" t="s">
        <v>12989</v>
      </c>
      <c r="O621">
        <f>-710.67819759928 -52.6664681587458 -739.132091140204</f>
        <v>-1502.4767568982297</v>
      </c>
      <c r="P621">
        <f>-717.187935851039 -48.8292739472397 -422.700235567765</f>
        <v>-1188.7174453660436</v>
      </c>
      <c r="Q621">
        <f>-471.924609464608 -62.1616020211261 -337.200523103037</f>
        <v>-871.2867345887712</v>
      </c>
      <c r="R621" t="s">
        <v>12990</v>
      </c>
      <c r="S621" t="s">
        <v>12991</v>
      </c>
      <c r="T621" t="s">
        <v>12992</v>
      </c>
      <c r="U621" t="s">
        <v>12993</v>
      </c>
      <c r="V621" t="s">
        <v>12994</v>
      </c>
      <c r="W621" t="s">
        <v>12995</v>
      </c>
      <c r="X621" t="s">
        <v>12996</v>
      </c>
      <c r="Y621" t="s">
        <v>12997</v>
      </c>
    </row>
    <row r="622" spans="1:25" x14ac:dyDescent="0.3">
      <c r="A622">
        <v>31050</v>
      </c>
      <c r="B622" t="s">
        <v>12998</v>
      </c>
      <c r="C622" t="s">
        <v>12999</v>
      </c>
      <c r="D622" t="s">
        <v>13000</v>
      </c>
      <c r="E622" t="s">
        <v>13001</v>
      </c>
      <c r="F622" t="s">
        <v>13002</v>
      </c>
      <c r="G622" t="s">
        <v>13003</v>
      </c>
      <c r="H622" t="s">
        <v>13004</v>
      </c>
      <c r="I622" t="s">
        <v>13005</v>
      </c>
      <c r="J622" t="s">
        <v>13006</v>
      </c>
      <c r="K622" t="s">
        <v>13007</v>
      </c>
      <c r="L622" t="s">
        <v>13008</v>
      </c>
      <c r="M622" t="s">
        <v>13009</v>
      </c>
      <c r="N622" t="s">
        <v>13010</v>
      </c>
      <c r="O622">
        <f>-708.477333098195 -53.062487180365 -739.485719739563</f>
        <v>-1501.0255400181231</v>
      </c>
      <c r="P622">
        <f>-716.350118076797 -49.0945838300609 -423.086523145731</f>
        <v>-1188.531225052589</v>
      </c>
      <c r="Q622">
        <f>-471.389241043683 -61.9463433334004 -336.651455506676</f>
        <v>-869.98703988375928</v>
      </c>
      <c r="R622" t="s">
        <v>13011</v>
      </c>
      <c r="S622" t="s">
        <v>13012</v>
      </c>
      <c r="T622" t="s">
        <v>13013</v>
      </c>
      <c r="U622" t="s">
        <v>13014</v>
      </c>
      <c r="V622" t="s">
        <v>13015</v>
      </c>
      <c r="W622" t="s">
        <v>13016</v>
      </c>
      <c r="X622" t="s">
        <v>13017</v>
      </c>
      <c r="Y622" t="s">
        <v>13018</v>
      </c>
    </row>
    <row r="623" spans="1:25" x14ac:dyDescent="0.3">
      <c r="A623">
        <v>31100</v>
      </c>
      <c r="B623" t="s">
        <v>13019</v>
      </c>
      <c r="C623" t="s">
        <v>13020</v>
      </c>
      <c r="D623" t="s">
        <v>13021</v>
      </c>
      <c r="E623" t="s">
        <v>13022</v>
      </c>
      <c r="F623" t="s">
        <v>13023</v>
      </c>
      <c r="G623" t="s">
        <v>13024</v>
      </c>
      <c r="H623" t="s">
        <v>13025</v>
      </c>
      <c r="I623" t="s">
        <v>13026</v>
      </c>
      <c r="J623" t="s">
        <v>13027</v>
      </c>
      <c r="K623" t="s">
        <v>13028</v>
      </c>
      <c r="L623" t="s">
        <v>13029</v>
      </c>
      <c r="M623" t="s">
        <v>13030</v>
      </c>
      <c r="N623" t="s">
        <v>13031</v>
      </c>
      <c r="O623">
        <f>-707.894935549779 -53.0170937802025 -739.741643950498</f>
        <v>-1500.6536732804793</v>
      </c>
      <c r="P623">
        <f>-716.333335385217 -49.0081774287805 -423.357406589324</f>
        <v>-1188.6989194033215</v>
      </c>
      <c r="Q623">
        <f>-471.538262814732 -61.5049725047927 -336.401908892409</f>
        <v>-869.44514421193367</v>
      </c>
      <c r="R623" t="s">
        <v>13032</v>
      </c>
      <c r="S623" t="s">
        <v>13033</v>
      </c>
      <c r="T623" t="s">
        <v>13034</v>
      </c>
      <c r="U623" t="s">
        <v>13035</v>
      </c>
      <c r="V623" t="s">
        <v>13036</v>
      </c>
      <c r="W623" t="s">
        <v>13037</v>
      </c>
      <c r="X623" t="s">
        <v>13038</v>
      </c>
      <c r="Y623" t="s">
        <v>13039</v>
      </c>
    </row>
    <row r="624" spans="1:25" x14ac:dyDescent="0.3">
      <c r="A624">
        <v>31150</v>
      </c>
      <c r="B624" t="s">
        <v>13040</v>
      </c>
      <c r="C624" t="s">
        <v>13041</v>
      </c>
      <c r="D624" t="s">
        <v>13042</v>
      </c>
      <c r="E624" t="s">
        <v>13043</v>
      </c>
      <c r="F624" t="s">
        <v>13044</v>
      </c>
      <c r="G624" t="s">
        <v>13045</v>
      </c>
      <c r="H624" t="s">
        <v>13046</v>
      </c>
      <c r="I624" t="s">
        <v>13047</v>
      </c>
      <c r="J624" t="s">
        <v>13048</v>
      </c>
      <c r="K624" t="s">
        <v>13049</v>
      </c>
      <c r="L624" t="s">
        <v>13050</v>
      </c>
      <c r="M624" t="s">
        <v>13051</v>
      </c>
      <c r="N624" t="s">
        <v>13052</v>
      </c>
      <c r="O624">
        <f>-707.112519274883 -52.7172049676283 -740.160197663358</f>
        <v>-1499.9899219058693</v>
      </c>
      <c r="P624">
        <f>-716.309485584275 -48.8847099522584 -423.794997188205</f>
        <v>-1188.9891927247384</v>
      </c>
      <c r="Q624">
        <f>-471.671104228834 -60.5575908438186 -336.28575112338</f>
        <v>-868.51444619603262</v>
      </c>
      <c r="R624" t="s">
        <v>13053</v>
      </c>
      <c r="S624" t="s">
        <v>13054</v>
      </c>
      <c r="T624" t="s">
        <v>13055</v>
      </c>
      <c r="U624" t="s">
        <v>13056</v>
      </c>
      <c r="V624" t="s">
        <v>13057</v>
      </c>
      <c r="W624" t="s">
        <v>13058</v>
      </c>
      <c r="X624" t="s">
        <v>13059</v>
      </c>
      <c r="Y624" t="s">
        <v>13060</v>
      </c>
    </row>
    <row r="625" spans="1:25" x14ac:dyDescent="0.3">
      <c r="A625">
        <v>31200</v>
      </c>
      <c r="B625" t="s">
        <v>13061</v>
      </c>
      <c r="C625" t="s">
        <v>13062</v>
      </c>
      <c r="D625" t="s">
        <v>13063</v>
      </c>
      <c r="E625" t="s">
        <v>13064</v>
      </c>
      <c r="F625" t="s">
        <v>13065</v>
      </c>
      <c r="G625" t="s">
        <v>13066</v>
      </c>
      <c r="H625" t="s">
        <v>13067</v>
      </c>
      <c r="I625" t="s">
        <v>13068</v>
      </c>
      <c r="J625" t="s">
        <v>13069</v>
      </c>
      <c r="K625" t="s">
        <v>13070</v>
      </c>
      <c r="L625" t="s">
        <v>13071</v>
      </c>
      <c r="M625" t="s">
        <v>13072</v>
      </c>
      <c r="N625" t="s">
        <v>13073</v>
      </c>
      <c r="O625">
        <f>-706.717799515242 -52.5981234917153 -740.339520314208</f>
        <v>-1499.6554433211654</v>
      </c>
      <c r="P625">
        <f>-716.200897610442 -48.7352580726695 -423.983268086482</f>
        <v>-1188.9194237695933</v>
      </c>
      <c r="Q625">
        <f>-471.589139220555 -60.1327056628543 -336.36349922047</f>
        <v>-868.08534410387927</v>
      </c>
      <c r="R625" t="s">
        <v>13074</v>
      </c>
      <c r="S625" t="s">
        <v>13075</v>
      </c>
      <c r="T625" t="s">
        <v>13076</v>
      </c>
      <c r="U625" t="s">
        <v>13077</v>
      </c>
      <c r="V625" t="s">
        <v>13078</v>
      </c>
      <c r="W625" t="s">
        <v>13079</v>
      </c>
      <c r="X625" t="s">
        <v>13080</v>
      </c>
      <c r="Y625" t="s">
        <v>13081</v>
      </c>
    </row>
    <row r="626" spans="1:25" x14ac:dyDescent="0.3">
      <c r="A626">
        <v>31250</v>
      </c>
      <c r="B626" t="s">
        <v>13082</v>
      </c>
      <c r="C626" t="s">
        <v>13083</v>
      </c>
      <c r="D626" t="s">
        <v>13084</v>
      </c>
      <c r="E626" t="s">
        <v>13085</v>
      </c>
      <c r="F626" t="s">
        <v>13086</v>
      </c>
      <c r="G626" t="s">
        <v>13087</v>
      </c>
      <c r="H626" t="s">
        <v>13088</v>
      </c>
      <c r="I626" t="s">
        <v>13089</v>
      </c>
      <c r="J626" t="s">
        <v>13090</v>
      </c>
      <c r="K626" t="s">
        <v>13091</v>
      </c>
      <c r="L626" t="s">
        <v>13092</v>
      </c>
      <c r="M626" t="s">
        <v>13093</v>
      </c>
      <c r="N626" t="s">
        <v>13094</v>
      </c>
      <c r="O626">
        <f>-706.72257455346 -52.1829467969008 -740.646633420133</f>
        <v>-1499.5521547704939</v>
      </c>
      <c r="P626">
        <f>-716.691061430397 -48.7359208674723 -424.300412018253</f>
        <v>-1189.7273943161222</v>
      </c>
      <c r="Q626">
        <f>-472.147419776794 -59.4579626593677 -336.40567050816</f>
        <v>-868.01105294432159</v>
      </c>
      <c r="R626" t="s">
        <v>13095</v>
      </c>
      <c r="S626" t="s">
        <v>13096</v>
      </c>
      <c r="T626" t="s">
        <v>13097</v>
      </c>
      <c r="U626" t="s">
        <v>13098</v>
      </c>
      <c r="V626" t="s">
        <v>13099</v>
      </c>
      <c r="W626" t="s">
        <v>13100</v>
      </c>
      <c r="X626" t="s">
        <v>13101</v>
      </c>
      <c r="Y626" t="s">
        <v>13102</v>
      </c>
    </row>
    <row r="627" spans="1:25" x14ac:dyDescent="0.3">
      <c r="A627">
        <v>31300</v>
      </c>
      <c r="B627" t="s">
        <v>13103</v>
      </c>
      <c r="C627" t="s">
        <v>13104</v>
      </c>
      <c r="D627" t="s">
        <v>13105</v>
      </c>
      <c r="E627" t="s">
        <v>13106</v>
      </c>
      <c r="F627" t="s">
        <v>13107</v>
      </c>
      <c r="G627" t="s">
        <v>13108</v>
      </c>
      <c r="H627" t="s">
        <v>13109</v>
      </c>
      <c r="I627" t="s">
        <v>13110</v>
      </c>
      <c r="J627" t="s">
        <v>13111</v>
      </c>
      <c r="K627" t="s">
        <v>13112</v>
      </c>
      <c r="L627" t="s">
        <v>13113</v>
      </c>
      <c r="M627" t="s">
        <v>13114</v>
      </c>
      <c r="N627" t="s">
        <v>13115</v>
      </c>
      <c r="O627">
        <f>-706.916788114605 -52.1243102930734 -740.676466737116</f>
        <v>-1499.7175651447944</v>
      </c>
      <c r="P627">
        <f>-717.085426536495 -48.9014367157076 -424.334273947187</f>
        <v>-1190.3211371993896</v>
      </c>
      <c r="Q627">
        <f>-472.548449668437 -59.4695917382828 -336.402247761416</f>
        <v>-868.42028916813581</v>
      </c>
      <c r="R627" t="s">
        <v>13116</v>
      </c>
      <c r="S627" t="s">
        <v>13117</v>
      </c>
      <c r="T627" t="s">
        <v>13118</v>
      </c>
      <c r="U627" t="s">
        <v>13119</v>
      </c>
      <c r="V627" t="s">
        <v>13120</v>
      </c>
      <c r="W627" t="s">
        <v>13121</v>
      </c>
      <c r="X627" t="s">
        <v>13122</v>
      </c>
      <c r="Y627" t="s">
        <v>13123</v>
      </c>
    </row>
    <row r="628" spans="1:25" x14ac:dyDescent="0.3">
      <c r="A628">
        <v>31350</v>
      </c>
      <c r="B628" t="s">
        <v>13124</v>
      </c>
      <c r="C628" t="s">
        <v>13125</v>
      </c>
      <c r="D628" t="s">
        <v>13126</v>
      </c>
      <c r="E628" t="s">
        <v>13127</v>
      </c>
      <c r="F628" t="s">
        <v>13128</v>
      </c>
      <c r="G628" t="s">
        <v>13129</v>
      </c>
      <c r="H628" t="s">
        <v>13130</v>
      </c>
      <c r="I628" t="s">
        <v>13131</v>
      </c>
      <c r="J628" t="s">
        <v>13132</v>
      </c>
      <c r="K628" t="s">
        <v>13133</v>
      </c>
      <c r="L628" t="s">
        <v>13134</v>
      </c>
      <c r="M628" t="s">
        <v>13135</v>
      </c>
      <c r="N628" t="s">
        <v>13136</v>
      </c>
      <c r="O628">
        <f>-707.110827205222 -52.064465047476 -740.672124934082</f>
        <v>-1499.8474171867801</v>
      </c>
      <c r="P628">
        <f>-717.475493534141 -48.8997198113095 -424.335714235432</f>
        <v>-1190.7109275808825</v>
      </c>
      <c r="Q628">
        <f>-472.908937457583 -59.7359726994537 -336.51840302056</f>
        <v>-869.16331317759682</v>
      </c>
      <c r="R628" t="s">
        <v>13137</v>
      </c>
      <c r="S628" t="s">
        <v>13138</v>
      </c>
      <c r="T628" t="s">
        <v>13139</v>
      </c>
      <c r="U628" t="s">
        <v>13140</v>
      </c>
      <c r="V628" t="s">
        <v>13141</v>
      </c>
      <c r="W628" t="s">
        <v>13142</v>
      </c>
      <c r="X628" t="s">
        <v>13143</v>
      </c>
      <c r="Y628" t="s">
        <v>13144</v>
      </c>
    </row>
    <row r="629" spans="1:25" x14ac:dyDescent="0.3">
      <c r="A629">
        <v>31400</v>
      </c>
      <c r="B629" t="s">
        <v>13145</v>
      </c>
      <c r="C629" t="s">
        <v>13146</v>
      </c>
      <c r="D629" t="s">
        <v>13147</v>
      </c>
      <c r="E629" t="s">
        <v>13148</v>
      </c>
      <c r="F629" t="s">
        <v>13149</v>
      </c>
      <c r="G629" t="s">
        <v>13150</v>
      </c>
      <c r="H629" t="s">
        <v>13151</v>
      </c>
      <c r="I629" t="s">
        <v>13152</v>
      </c>
      <c r="J629" t="s">
        <v>13153</v>
      </c>
      <c r="K629" t="s">
        <v>13154</v>
      </c>
      <c r="L629" t="s">
        <v>13155</v>
      </c>
      <c r="M629" t="s">
        <v>13156</v>
      </c>
      <c r="N629" t="s">
        <v>13157</v>
      </c>
      <c r="O629">
        <f>-706.891166440246 -51.8523324347834 -740.695120086928</f>
        <v>-1499.4386189619574</v>
      </c>
      <c r="P629">
        <f>-717.390165445079 -48.8825940533434 -424.361228677662</f>
        <v>-1190.6339881760844</v>
      </c>
      <c r="Q629">
        <f>-472.82540199387 -59.954942576474 -336.568514317285</f>
        <v>-869.34885888762904</v>
      </c>
      <c r="R629" t="s">
        <v>13158</v>
      </c>
      <c r="S629" t="s">
        <v>13159</v>
      </c>
      <c r="T629" t="s">
        <v>13160</v>
      </c>
      <c r="U629" t="s">
        <v>13161</v>
      </c>
      <c r="V629" t="s">
        <v>13162</v>
      </c>
      <c r="W629" t="s">
        <v>13163</v>
      </c>
      <c r="X629" t="s">
        <v>13164</v>
      </c>
      <c r="Y629" t="s">
        <v>13165</v>
      </c>
    </row>
    <row r="630" spans="1:25" x14ac:dyDescent="0.3">
      <c r="A630">
        <v>31450</v>
      </c>
      <c r="B630" t="s">
        <v>13166</v>
      </c>
      <c r="C630" t="s">
        <v>13167</v>
      </c>
      <c r="D630" t="s">
        <v>13168</v>
      </c>
      <c r="E630" t="s">
        <v>13169</v>
      </c>
      <c r="F630" t="s">
        <v>13170</v>
      </c>
      <c r="G630" t="s">
        <v>13171</v>
      </c>
      <c r="H630" t="s">
        <v>13172</v>
      </c>
      <c r="I630" t="s">
        <v>13173</v>
      </c>
      <c r="J630" t="s">
        <v>13174</v>
      </c>
      <c r="K630" t="s">
        <v>13175</v>
      </c>
      <c r="L630" t="s">
        <v>13176</v>
      </c>
      <c r="M630" t="s">
        <v>13177</v>
      </c>
      <c r="N630" t="s">
        <v>13178</v>
      </c>
      <c r="O630">
        <f>-706.440376308245 -51.8986020781936 -740.786105491746</f>
        <v>-1499.1250838781846</v>
      </c>
      <c r="P630">
        <f>-717.921285310658 -49.1198172147569 -424.484595913551</f>
        <v>-1191.5256984389659</v>
      </c>
      <c r="Q630">
        <f>-473.468569544371 -60.4802567984004 -336.417266449993</f>
        <v>-870.36609279276445</v>
      </c>
      <c r="R630" t="s">
        <v>13179</v>
      </c>
      <c r="S630" t="s">
        <v>13180</v>
      </c>
      <c r="T630" t="s">
        <v>13181</v>
      </c>
      <c r="U630" t="s">
        <v>13182</v>
      </c>
      <c r="V630" t="s">
        <v>13183</v>
      </c>
      <c r="W630" t="s">
        <v>13184</v>
      </c>
      <c r="X630" t="s">
        <v>13185</v>
      </c>
      <c r="Y630" t="s">
        <v>13186</v>
      </c>
    </row>
    <row r="631" spans="1:25" x14ac:dyDescent="0.3">
      <c r="A631">
        <v>31500</v>
      </c>
      <c r="B631" t="s">
        <v>13187</v>
      </c>
      <c r="C631" t="s">
        <v>13188</v>
      </c>
      <c r="D631" t="s">
        <v>13189</v>
      </c>
      <c r="E631" t="s">
        <v>13190</v>
      </c>
      <c r="F631" t="s">
        <v>13191</v>
      </c>
      <c r="G631" t="s">
        <v>13192</v>
      </c>
      <c r="H631" t="s">
        <v>13193</v>
      </c>
      <c r="I631" t="s">
        <v>13194</v>
      </c>
      <c r="J631" t="s">
        <v>13195</v>
      </c>
      <c r="K631" t="s">
        <v>13196</v>
      </c>
      <c r="L631" t="s">
        <v>13197</v>
      </c>
      <c r="M631" t="s">
        <v>13198</v>
      </c>
      <c r="N631" t="s">
        <v>13199</v>
      </c>
      <c r="O631">
        <f>-706.285314151951 -51.9100054284429 -740.954723757552</f>
        <v>-1499.1500433379458</v>
      </c>
      <c r="P631">
        <f>-718.305898094384 -49.2961282180461 -424.671750252561</f>
        <v>-1192.2737765649911</v>
      </c>
      <c r="Q631">
        <f>-473.983633867425 -60.6796064569382 -336.246196515142</f>
        <v>-870.90943683950513</v>
      </c>
      <c r="R631" t="s">
        <v>13200</v>
      </c>
      <c r="S631" t="s">
        <v>13201</v>
      </c>
      <c r="T631" t="s">
        <v>13202</v>
      </c>
      <c r="U631" t="s">
        <v>13203</v>
      </c>
      <c r="V631" t="s">
        <v>13204</v>
      </c>
      <c r="W631" t="s">
        <v>13205</v>
      </c>
      <c r="X631" t="s">
        <v>13206</v>
      </c>
      <c r="Y631" t="s">
        <v>13207</v>
      </c>
    </row>
    <row r="632" spans="1:25" x14ac:dyDescent="0.3">
      <c r="A632">
        <v>31550</v>
      </c>
      <c r="B632" t="s">
        <v>13208</v>
      </c>
      <c r="C632" t="s">
        <v>13209</v>
      </c>
      <c r="D632" t="s">
        <v>13210</v>
      </c>
      <c r="E632" t="s">
        <v>13211</v>
      </c>
      <c r="F632" t="s">
        <v>13212</v>
      </c>
      <c r="G632" t="s">
        <v>13213</v>
      </c>
      <c r="H632" t="s">
        <v>13214</v>
      </c>
      <c r="I632" t="s">
        <v>13215</v>
      </c>
      <c r="J632" t="s">
        <v>13216</v>
      </c>
      <c r="K632" t="s">
        <v>13217</v>
      </c>
      <c r="L632" t="s">
        <v>13218</v>
      </c>
      <c r="M632" t="s">
        <v>13219</v>
      </c>
      <c r="N632" t="s">
        <v>13220</v>
      </c>
      <c r="O632">
        <f>-706.028773646295 -51.6532872084904 -741.382805112847</f>
        <v>-1499.0648659676324</v>
      </c>
      <c r="P632">
        <f>-718.707905432254 -49.6800449972252 -425.120927586974</f>
        <v>-1193.5088780164533</v>
      </c>
      <c r="Q632">
        <f>-474.679730569041 -61.0935497950898 -335.89092017755</f>
        <v>-871.66420054168077</v>
      </c>
      <c r="R632" t="s">
        <v>13221</v>
      </c>
      <c r="S632" t="s">
        <v>13222</v>
      </c>
      <c r="T632" t="s">
        <v>13223</v>
      </c>
      <c r="U632" t="s">
        <v>13224</v>
      </c>
      <c r="V632" t="s">
        <v>13225</v>
      </c>
      <c r="W632" t="s">
        <v>13226</v>
      </c>
      <c r="X632" t="s">
        <v>13227</v>
      </c>
      <c r="Y632" t="s">
        <v>13228</v>
      </c>
    </row>
    <row r="633" spans="1:25" x14ac:dyDescent="0.3">
      <c r="A633">
        <v>31600</v>
      </c>
      <c r="B633" t="s">
        <v>13229</v>
      </c>
      <c r="C633" t="s">
        <v>13230</v>
      </c>
      <c r="D633" t="s">
        <v>13231</v>
      </c>
      <c r="E633" t="s">
        <v>13232</v>
      </c>
      <c r="F633" t="s">
        <v>13233</v>
      </c>
      <c r="G633" t="s">
        <v>13234</v>
      </c>
      <c r="H633" t="s">
        <v>13235</v>
      </c>
      <c r="I633" t="s">
        <v>13236</v>
      </c>
      <c r="J633" t="s">
        <v>13237</v>
      </c>
      <c r="K633" t="s">
        <v>13238</v>
      </c>
      <c r="L633" t="s">
        <v>13239</v>
      </c>
      <c r="M633" t="s">
        <v>13240</v>
      </c>
      <c r="N633" t="s">
        <v>13241</v>
      </c>
      <c r="O633">
        <f>-705.783803772463 -51.8664351813702 -741.489771177958</f>
        <v>-1499.1400101317913</v>
      </c>
      <c r="P633">
        <f>-718.786693252134 -50.1165363452969 -425.239841023628</f>
        <v>-1194.143070621059</v>
      </c>
      <c r="Q633">
        <f>-474.86208125975 -61.7264496370194 -335.751926179612</f>
        <v>-872.34045707638143</v>
      </c>
      <c r="R633" t="s">
        <v>13242</v>
      </c>
      <c r="S633" t="s">
        <v>13243</v>
      </c>
      <c r="T633" t="s">
        <v>13244</v>
      </c>
      <c r="U633" t="s">
        <v>13245</v>
      </c>
      <c r="V633" t="s">
        <v>13246</v>
      </c>
      <c r="W633" t="s">
        <v>13247</v>
      </c>
      <c r="X633" t="s">
        <v>13248</v>
      </c>
      <c r="Y633" t="s">
        <v>13249</v>
      </c>
    </row>
    <row r="634" spans="1:25" x14ac:dyDescent="0.3">
      <c r="A634">
        <v>31650</v>
      </c>
      <c r="B634" t="s">
        <v>13250</v>
      </c>
      <c r="C634" t="s">
        <v>13251</v>
      </c>
      <c r="D634" t="s">
        <v>13252</v>
      </c>
      <c r="E634" t="s">
        <v>13253</v>
      </c>
      <c r="F634" t="s">
        <v>13254</v>
      </c>
      <c r="G634" t="s">
        <v>13255</v>
      </c>
      <c r="H634" t="s">
        <v>13256</v>
      </c>
      <c r="I634" t="s">
        <v>13257</v>
      </c>
      <c r="J634" t="s">
        <v>13258</v>
      </c>
      <c r="K634" t="s">
        <v>13259</v>
      </c>
      <c r="L634" t="s">
        <v>13260</v>
      </c>
      <c r="M634" t="s">
        <v>13261</v>
      </c>
      <c r="N634" t="s">
        <v>13262</v>
      </c>
      <c r="O634">
        <f>-705.254666960082 -52.598443324041 -741.651425363528</f>
        <v>-1499.504535647651</v>
      </c>
      <c r="P634">
        <f>-718.812532292143 -50.7603686940752 -425.425186231238</f>
        <v>-1194.9980872174563</v>
      </c>
      <c r="Q634">
        <f>-474.94603982453 -62.7804142012678 -335.833348083261</f>
        <v>-873.55980210905886</v>
      </c>
      <c r="R634" t="s">
        <v>13263</v>
      </c>
      <c r="S634" t="s">
        <v>13264</v>
      </c>
      <c r="T634" t="s">
        <v>13265</v>
      </c>
      <c r="U634" t="s">
        <v>13266</v>
      </c>
      <c r="V634" t="s">
        <v>13267</v>
      </c>
      <c r="W634" t="s">
        <v>13268</v>
      </c>
      <c r="X634" t="s">
        <v>13269</v>
      </c>
      <c r="Y634" t="s">
        <v>13270</v>
      </c>
    </row>
    <row r="635" spans="1:25" x14ac:dyDescent="0.3">
      <c r="A635">
        <v>31700</v>
      </c>
      <c r="B635" t="s">
        <v>13271</v>
      </c>
      <c r="C635" t="s">
        <v>13272</v>
      </c>
      <c r="D635" t="s">
        <v>13273</v>
      </c>
      <c r="E635" t="s">
        <v>13274</v>
      </c>
      <c r="F635" t="s">
        <v>13275</v>
      </c>
      <c r="G635" t="s">
        <v>13276</v>
      </c>
      <c r="H635" t="s">
        <v>13277</v>
      </c>
      <c r="I635" t="s">
        <v>13278</v>
      </c>
      <c r="J635" t="s">
        <v>13279</v>
      </c>
      <c r="K635" t="s">
        <v>13280</v>
      </c>
      <c r="L635" t="s">
        <v>13281</v>
      </c>
      <c r="M635" t="s">
        <v>13282</v>
      </c>
      <c r="N635" t="s">
        <v>13283</v>
      </c>
      <c r="O635">
        <f>-704.948512375322 -52.8185730546538 -741.775387216533</f>
        <v>-1499.5424726465089</v>
      </c>
      <c r="P635">
        <f>-718.538821423528 -50.8882214230666 -425.551244554841</f>
        <v>-1194.9782874014356</v>
      </c>
      <c r="Q635">
        <f>-474.670510538849 -62.9434304406482 -335.969241288828</f>
        <v>-873.58318226832523</v>
      </c>
      <c r="R635" t="s">
        <v>13284</v>
      </c>
      <c r="S635" t="s">
        <v>13285</v>
      </c>
      <c r="T635" t="s">
        <v>13286</v>
      </c>
      <c r="U635" t="s">
        <v>13287</v>
      </c>
      <c r="V635" t="s">
        <v>13288</v>
      </c>
      <c r="W635" t="s">
        <v>13289</v>
      </c>
      <c r="X635" t="s">
        <v>13290</v>
      </c>
      <c r="Y635" t="s">
        <v>13291</v>
      </c>
    </row>
    <row r="636" spans="1:25" x14ac:dyDescent="0.3">
      <c r="A636">
        <v>31750</v>
      </c>
      <c r="B636" t="s">
        <v>13292</v>
      </c>
      <c r="C636" t="s">
        <v>13293</v>
      </c>
      <c r="D636" t="s">
        <v>13294</v>
      </c>
      <c r="E636" t="s">
        <v>13295</v>
      </c>
      <c r="F636" t="s">
        <v>13296</v>
      </c>
      <c r="G636" t="s">
        <v>13297</v>
      </c>
      <c r="H636" t="s">
        <v>13298</v>
      </c>
      <c r="I636" t="s">
        <v>13299</v>
      </c>
      <c r="J636" t="s">
        <v>13300</v>
      </c>
      <c r="K636" t="s">
        <v>13301</v>
      </c>
      <c r="L636" t="s">
        <v>13302</v>
      </c>
      <c r="M636" t="s">
        <v>13303</v>
      </c>
      <c r="N636" t="s">
        <v>13304</v>
      </c>
      <c r="O636">
        <f>-703.683581467931 -53.6479588520858 -741.713690908264</f>
        <v>-1499.045231228281</v>
      </c>
      <c r="P636">
        <f>-717.35644701811 -51.9536291352008 -425.491653644119</f>
        <v>-1194.8017297974297</v>
      </c>
      <c r="Q636">
        <f>-473.420039072696 -63.5950881592878 -336.040035226701</f>
        <v>-873.05516245868478</v>
      </c>
      <c r="R636" t="s">
        <v>13305</v>
      </c>
      <c r="S636" t="s">
        <v>13306</v>
      </c>
      <c r="T636" t="s">
        <v>13307</v>
      </c>
      <c r="U636" t="s">
        <v>13308</v>
      </c>
      <c r="V636" t="s">
        <v>13309</v>
      </c>
      <c r="W636" t="s">
        <v>13310</v>
      </c>
      <c r="X636" t="s">
        <v>13311</v>
      </c>
      <c r="Y636" t="s">
        <v>13312</v>
      </c>
    </row>
    <row r="637" spans="1:25" x14ac:dyDescent="0.3">
      <c r="A637">
        <v>31800</v>
      </c>
      <c r="B637" t="s">
        <v>13313</v>
      </c>
      <c r="C637" t="s">
        <v>13314</v>
      </c>
      <c r="D637" t="s">
        <v>13315</v>
      </c>
      <c r="E637" t="s">
        <v>13316</v>
      </c>
      <c r="F637" t="s">
        <v>13317</v>
      </c>
      <c r="G637" t="s">
        <v>13318</v>
      </c>
      <c r="H637" t="s">
        <v>13319</v>
      </c>
      <c r="I637" t="s">
        <v>13320</v>
      </c>
      <c r="J637" t="s">
        <v>13321</v>
      </c>
      <c r="K637" t="s">
        <v>13322</v>
      </c>
      <c r="L637" t="s">
        <v>13323</v>
      </c>
      <c r="M637" t="s">
        <v>13324</v>
      </c>
      <c r="N637" t="s">
        <v>13325</v>
      </c>
      <c r="O637">
        <f>-703.337351360295 -53.8854850854516 -741.718646514281</f>
        <v>-1498.9414829600275</v>
      </c>
      <c r="P637">
        <f>-716.978164884964 -52.1845879457628 -425.495201567136</f>
        <v>-1194.6579543978628</v>
      </c>
      <c r="Q637">
        <f>-473.006806024171 -63.4383471793046 -336.089579383469</f>
        <v>-872.53473258694453</v>
      </c>
      <c r="R637" t="s">
        <v>13326</v>
      </c>
      <c r="S637" t="s">
        <v>13327</v>
      </c>
      <c r="T637" t="s">
        <v>13328</v>
      </c>
      <c r="U637" t="s">
        <v>13329</v>
      </c>
      <c r="V637" t="s">
        <v>13330</v>
      </c>
      <c r="W637" t="s">
        <v>13331</v>
      </c>
      <c r="X637" t="s">
        <v>13332</v>
      </c>
      <c r="Y637" t="s">
        <v>13333</v>
      </c>
    </row>
    <row r="638" spans="1:25" x14ac:dyDescent="0.3">
      <c r="A638">
        <v>31850</v>
      </c>
      <c r="B638" t="s">
        <v>13334</v>
      </c>
      <c r="C638" t="s">
        <v>13335</v>
      </c>
      <c r="D638" t="s">
        <v>13336</v>
      </c>
      <c r="E638" t="s">
        <v>13337</v>
      </c>
      <c r="F638" t="s">
        <v>13338</v>
      </c>
      <c r="G638" t="s">
        <v>13339</v>
      </c>
      <c r="H638" t="s">
        <v>13340</v>
      </c>
      <c r="I638" t="s">
        <v>13341</v>
      </c>
      <c r="J638" t="s">
        <v>13342</v>
      </c>
      <c r="K638" t="s">
        <v>13343</v>
      </c>
      <c r="L638" t="s">
        <v>13344</v>
      </c>
      <c r="M638" t="s">
        <v>13345</v>
      </c>
      <c r="N638" t="s">
        <v>13346</v>
      </c>
      <c r="O638">
        <f>-702.3697303798 -54.8310271417186 -741.579702902427</f>
        <v>-1498.7804604239454</v>
      </c>
      <c r="P638">
        <f>-716.02170853356 -53.4396552378371 -425.355275967668</f>
        <v>-1194.8166397390651</v>
      </c>
      <c r="Q638">
        <f>-472.021371578027 -63.6762711478996 -335.906342526977</f>
        <v>-871.60398525290361</v>
      </c>
      <c r="R638" t="s">
        <v>13347</v>
      </c>
      <c r="S638" t="s">
        <v>13348</v>
      </c>
      <c r="T638" t="s">
        <v>13349</v>
      </c>
      <c r="U638" t="s">
        <v>13350</v>
      </c>
      <c r="V638" t="s">
        <v>13351</v>
      </c>
      <c r="W638" t="s">
        <v>13352</v>
      </c>
      <c r="X638" t="s">
        <v>13353</v>
      </c>
      <c r="Y638" t="s">
        <v>13354</v>
      </c>
    </row>
    <row r="639" spans="1:25" x14ac:dyDescent="0.3">
      <c r="A639">
        <v>31900</v>
      </c>
      <c r="B639" t="s">
        <v>13355</v>
      </c>
      <c r="C639" t="s">
        <v>13356</v>
      </c>
      <c r="D639" t="s">
        <v>13357</v>
      </c>
      <c r="E639" t="s">
        <v>13358</v>
      </c>
      <c r="F639" t="s">
        <v>13359</v>
      </c>
      <c r="G639" t="s">
        <v>13360</v>
      </c>
      <c r="H639" t="s">
        <v>13361</v>
      </c>
      <c r="I639" t="s">
        <v>13362</v>
      </c>
      <c r="J639" t="s">
        <v>13363</v>
      </c>
      <c r="K639" t="s">
        <v>13364</v>
      </c>
      <c r="L639" t="s">
        <v>13365</v>
      </c>
      <c r="M639" t="s">
        <v>13366</v>
      </c>
      <c r="N639" t="s">
        <v>13367</v>
      </c>
      <c r="O639">
        <f>-702.176913733188 -55.3422196737583 -741.531319832045</f>
        <v>-1499.0504532389914</v>
      </c>
      <c r="P639">
        <f>-715.906859470463 -53.6145079500832 -425.3120127702</f>
        <v>-1194.8333801907461</v>
      </c>
      <c r="Q639">
        <f>-471.898101405782 -63.3636993738764 -335.831531836068</f>
        <v>-871.09333261572647</v>
      </c>
      <c r="R639" t="s">
        <v>13368</v>
      </c>
      <c r="S639" t="s">
        <v>13369</v>
      </c>
      <c r="T639" t="s">
        <v>13370</v>
      </c>
      <c r="U639" t="s">
        <v>13371</v>
      </c>
      <c r="V639" t="s">
        <v>13372</v>
      </c>
      <c r="W639" t="s">
        <v>13373</v>
      </c>
      <c r="X639" t="s">
        <v>13374</v>
      </c>
      <c r="Y639" t="s">
        <v>13375</v>
      </c>
    </row>
    <row r="640" spans="1:25" x14ac:dyDescent="0.3">
      <c r="A640">
        <v>31950</v>
      </c>
      <c r="B640" t="s">
        <v>13376</v>
      </c>
      <c r="C640" t="s">
        <v>13377</v>
      </c>
      <c r="D640" t="s">
        <v>13378</v>
      </c>
      <c r="E640" t="s">
        <v>13379</v>
      </c>
      <c r="F640" t="s">
        <v>13380</v>
      </c>
      <c r="G640" t="s">
        <v>13381</v>
      </c>
      <c r="H640" t="s">
        <v>13382</v>
      </c>
      <c r="I640" t="s">
        <v>13383</v>
      </c>
      <c r="J640" t="s">
        <v>13384</v>
      </c>
      <c r="K640" t="s">
        <v>13385</v>
      </c>
      <c r="L640" t="s">
        <v>13386</v>
      </c>
      <c r="M640" t="s">
        <v>13387</v>
      </c>
      <c r="N640" t="s">
        <v>13388</v>
      </c>
      <c r="O640">
        <f>-701.592992970285 -56.5938582795447 -741.322257284422</f>
        <v>-1499.5091085342517</v>
      </c>
      <c r="P640">
        <f>-714.965008576578 -54.8377264150445 -425.087804957992</f>
        <v>-1194.8905399496145</v>
      </c>
      <c r="Q640">
        <f>-470.858495837171 -63.9205062914698 -335.804293252177</f>
        <v>-870.58329538081784</v>
      </c>
      <c r="R640" t="s">
        <v>13389</v>
      </c>
      <c r="S640" t="s">
        <v>13390</v>
      </c>
      <c r="T640" t="s">
        <v>13391</v>
      </c>
      <c r="U640" t="s">
        <v>13392</v>
      </c>
      <c r="V640" t="s">
        <v>13393</v>
      </c>
      <c r="W640" t="s">
        <v>13394</v>
      </c>
      <c r="X640" t="s">
        <v>13395</v>
      </c>
      <c r="Y640" t="s">
        <v>13396</v>
      </c>
    </row>
    <row r="641" spans="1:25" x14ac:dyDescent="0.3">
      <c r="A641">
        <v>32000</v>
      </c>
      <c r="B641" t="s">
        <v>13397</v>
      </c>
      <c r="C641" t="s">
        <v>13398</v>
      </c>
      <c r="D641" t="s">
        <v>13399</v>
      </c>
      <c r="E641" t="s">
        <v>13400</v>
      </c>
      <c r="F641" t="s">
        <v>13401</v>
      </c>
      <c r="G641" t="s">
        <v>13402</v>
      </c>
      <c r="H641" t="s">
        <v>13403</v>
      </c>
      <c r="I641" t="s">
        <v>13404</v>
      </c>
      <c r="J641" t="s">
        <v>13405</v>
      </c>
      <c r="K641" t="s">
        <v>13406</v>
      </c>
      <c r="L641" t="s">
        <v>13407</v>
      </c>
      <c r="M641" t="s">
        <v>13408</v>
      </c>
      <c r="N641" t="s">
        <v>13409</v>
      </c>
      <c r="O641">
        <f>-701.386953289961 -57.0489357503495 -741.200076014672</f>
        <v>-1499.6359650549825</v>
      </c>
      <c r="P641">
        <f>-714.514548988377 -55.0838788808423 -424.956538950375</f>
        <v>-1194.5549668195943</v>
      </c>
      <c r="Q641">
        <f>-470.327978837718 -64.0446558367832 -335.879546653522</f>
        <v>-870.2521813280232</v>
      </c>
      <c r="R641" t="s">
        <v>13410</v>
      </c>
      <c r="S641" t="s">
        <v>13411</v>
      </c>
      <c r="T641" t="s">
        <v>13412</v>
      </c>
      <c r="U641" t="s">
        <v>13413</v>
      </c>
      <c r="V641" t="s">
        <v>13414</v>
      </c>
      <c r="W641" t="s">
        <v>13415</v>
      </c>
      <c r="X641" t="s">
        <v>13416</v>
      </c>
      <c r="Y641" t="s">
        <v>13417</v>
      </c>
    </row>
    <row r="642" spans="1:25" x14ac:dyDescent="0.3">
      <c r="A642">
        <v>32050</v>
      </c>
      <c r="B642" t="s">
        <v>13418</v>
      </c>
      <c r="C642" t="s">
        <v>13419</v>
      </c>
      <c r="D642" t="s">
        <v>13420</v>
      </c>
      <c r="E642" t="s">
        <v>13421</v>
      </c>
      <c r="F642" t="s">
        <v>13422</v>
      </c>
      <c r="G642" t="s">
        <v>13423</v>
      </c>
      <c r="H642" t="s">
        <v>13424</v>
      </c>
      <c r="I642" t="s">
        <v>13425</v>
      </c>
      <c r="J642" t="s">
        <v>13426</v>
      </c>
      <c r="K642" t="s">
        <v>13427</v>
      </c>
      <c r="L642" t="s">
        <v>13428</v>
      </c>
      <c r="M642" t="s">
        <v>13429</v>
      </c>
      <c r="N642" t="s">
        <v>13430</v>
      </c>
      <c r="O642">
        <f>-700.747417460844 -58.0699714469981 -740.927843430038</f>
        <v>-1499.7452323378802</v>
      </c>
      <c r="P642">
        <f>-713.458136067745 -56.0928536753329 -424.667278235349</f>
        <v>-1194.2182679784269</v>
      </c>
      <c r="Q642">
        <f>-469.116926546091 -64.831579004772 -335.993311711685</f>
        <v>-869.94181726254806</v>
      </c>
      <c r="R642" t="s">
        <v>13431</v>
      </c>
      <c r="S642" t="s">
        <v>13432</v>
      </c>
      <c r="T642" t="s">
        <v>13433</v>
      </c>
      <c r="U642" t="s">
        <v>13434</v>
      </c>
      <c r="V642" t="s">
        <v>13435</v>
      </c>
      <c r="W642" t="s">
        <v>13436</v>
      </c>
      <c r="X642" t="s">
        <v>13437</v>
      </c>
      <c r="Y642" t="s">
        <v>13438</v>
      </c>
    </row>
    <row r="643" spans="1:25" x14ac:dyDescent="0.3">
      <c r="A643">
        <v>32100</v>
      </c>
      <c r="B643" t="s">
        <v>13439</v>
      </c>
      <c r="C643" t="s">
        <v>13440</v>
      </c>
      <c r="D643" t="s">
        <v>13441</v>
      </c>
      <c r="E643" t="s">
        <v>13442</v>
      </c>
      <c r="F643" t="s">
        <v>13443</v>
      </c>
      <c r="G643" t="s">
        <v>13444</v>
      </c>
      <c r="H643" t="s">
        <v>13445</v>
      </c>
      <c r="I643" t="s">
        <v>13446</v>
      </c>
      <c r="J643" t="s">
        <v>13447</v>
      </c>
      <c r="K643" t="s">
        <v>13448</v>
      </c>
      <c r="L643" t="s">
        <v>13449</v>
      </c>
      <c r="M643" t="s">
        <v>13450</v>
      </c>
      <c r="N643" t="s">
        <v>13451</v>
      </c>
      <c r="O643">
        <f>-700.456928008726 -58.489132223767 -740.844800205306</f>
        <v>-1499.790860437799</v>
      </c>
      <c r="P643">
        <f>-713.070265600799 -56.3618989845936 -424.581405720508</f>
        <v>-1194.0135703059004</v>
      </c>
      <c r="Q643">
        <f>-468.684218459635 -64.9991400929464 -336.021079887699</f>
        <v>-869.70443844028046</v>
      </c>
      <c r="R643" t="s">
        <v>13452</v>
      </c>
      <c r="S643" t="s">
        <v>13453</v>
      </c>
      <c r="T643" t="s">
        <v>13454</v>
      </c>
      <c r="U643" t="s">
        <v>13455</v>
      </c>
      <c r="V643" t="s">
        <v>13456</v>
      </c>
      <c r="W643" t="s">
        <v>13457</v>
      </c>
      <c r="X643" t="s">
        <v>13458</v>
      </c>
      <c r="Y643" t="s">
        <v>13459</v>
      </c>
    </row>
    <row r="644" spans="1:25" x14ac:dyDescent="0.3">
      <c r="A644">
        <v>32150</v>
      </c>
      <c r="B644" t="s">
        <v>13460</v>
      </c>
      <c r="C644" t="s">
        <v>13461</v>
      </c>
      <c r="D644" t="s">
        <v>13462</v>
      </c>
      <c r="E644" t="s">
        <v>13463</v>
      </c>
      <c r="F644" t="s">
        <v>13464</v>
      </c>
      <c r="G644" t="s">
        <v>13465</v>
      </c>
      <c r="H644" t="s">
        <v>13466</v>
      </c>
      <c r="I644" t="s">
        <v>13467</v>
      </c>
      <c r="J644" t="s">
        <v>13468</v>
      </c>
      <c r="K644" t="s">
        <v>13469</v>
      </c>
      <c r="L644" t="s">
        <v>13470</v>
      </c>
      <c r="M644" t="s">
        <v>13471</v>
      </c>
      <c r="N644" t="s">
        <v>13472</v>
      </c>
      <c r="O644">
        <f>-699.932561251086 -59.2621990032505 -740.700321208723</f>
        <v>-1499.8950814630596</v>
      </c>
      <c r="P644">
        <f>-712.244494298861 -57.2759672096029 -424.424100860512</f>
        <v>-1193.9445623689758</v>
      </c>
      <c r="Q644">
        <f>-467.83054457372 -65.7332258038964 -335.923514399109</f>
        <v>-869.48728477672535</v>
      </c>
      <c r="R644" t="s">
        <v>13473</v>
      </c>
      <c r="S644" t="s">
        <v>13474</v>
      </c>
      <c r="T644" t="s">
        <v>13475</v>
      </c>
      <c r="U644" t="s">
        <v>13476</v>
      </c>
      <c r="V644" t="s">
        <v>13477</v>
      </c>
      <c r="W644" t="s">
        <v>13478</v>
      </c>
      <c r="X644" t="s">
        <v>13479</v>
      </c>
      <c r="Y644" t="s">
        <v>13480</v>
      </c>
    </row>
    <row r="645" spans="1:25" x14ac:dyDescent="0.3">
      <c r="A645">
        <v>32200</v>
      </c>
      <c r="B645" t="s">
        <v>13481</v>
      </c>
      <c r="C645" t="s">
        <v>13482</v>
      </c>
      <c r="D645" t="s">
        <v>13483</v>
      </c>
      <c r="E645" t="s">
        <v>13484</v>
      </c>
      <c r="F645" t="s">
        <v>13485</v>
      </c>
      <c r="G645" t="s">
        <v>13486</v>
      </c>
      <c r="H645" t="s">
        <v>13487</v>
      </c>
      <c r="I645" t="s">
        <v>13488</v>
      </c>
      <c r="J645" t="s">
        <v>13489</v>
      </c>
      <c r="K645" t="s">
        <v>13490</v>
      </c>
      <c r="L645" t="s">
        <v>13491</v>
      </c>
      <c r="M645" t="s">
        <v>13492</v>
      </c>
      <c r="N645" t="s">
        <v>13493</v>
      </c>
      <c r="O645">
        <f>-699.658554185019 -59.6568517721555 -740.639781676352</f>
        <v>-1499.9551876335265</v>
      </c>
      <c r="P645">
        <f>-711.875913351823 -57.4586356858406 -424.361166855061</f>
        <v>-1193.6957158927246</v>
      </c>
      <c r="Q645">
        <f>-467.452579745397 -65.9373518846705 -335.888852672296</f>
        <v>-869.27878430236353</v>
      </c>
      <c r="R645" t="s">
        <v>13494</v>
      </c>
      <c r="S645" t="s">
        <v>13495</v>
      </c>
      <c r="T645" t="s">
        <v>13496</v>
      </c>
      <c r="U645" t="s">
        <v>13497</v>
      </c>
      <c r="V645" t="s">
        <v>13498</v>
      </c>
      <c r="W645" t="s">
        <v>13499</v>
      </c>
      <c r="X645" t="s">
        <v>13500</v>
      </c>
      <c r="Y645" t="s">
        <v>13501</v>
      </c>
    </row>
    <row r="646" spans="1:25" x14ac:dyDescent="0.3">
      <c r="A646">
        <v>32250</v>
      </c>
      <c r="B646" t="s">
        <v>13502</v>
      </c>
      <c r="C646" t="s">
        <v>13503</v>
      </c>
      <c r="D646" t="s">
        <v>13504</v>
      </c>
      <c r="E646" t="s">
        <v>13505</v>
      </c>
      <c r="F646" t="s">
        <v>13506</v>
      </c>
      <c r="G646" t="s">
        <v>13507</v>
      </c>
      <c r="H646" t="s">
        <v>13508</v>
      </c>
      <c r="I646" t="s">
        <v>13509</v>
      </c>
      <c r="J646" t="s">
        <v>13510</v>
      </c>
      <c r="K646" t="s">
        <v>13511</v>
      </c>
      <c r="L646" t="s">
        <v>13512</v>
      </c>
      <c r="M646" t="s">
        <v>13513</v>
      </c>
      <c r="N646" t="s">
        <v>13514</v>
      </c>
      <c r="O646">
        <f>-698.818861605498 -60.5624775667143 -740.568329626434</f>
        <v>-1499.9496687986461</v>
      </c>
      <c r="P646">
        <f>-711.040161249941 -58.2607127917586 -424.290638793111</f>
        <v>-1193.5915128348106</v>
      </c>
      <c r="Q646">
        <f>-466.613141185576 -66.7475468214673 -335.829129373309</f>
        <v>-869.18981738035234</v>
      </c>
      <c r="R646" t="s">
        <v>13515</v>
      </c>
      <c r="S646" t="s">
        <v>13516</v>
      </c>
      <c r="T646" t="s">
        <v>13517</v>
      </c>
      <c r="U646" t="s">
        <v>13518</v>
      </c>
      <c r="V646" t="s">
        <v>13519</v>
      </c>
      <c r="W646" t="s">
        <v>13520</v>
      </c>
      <c r="X646" t="s">
        <v>13521</v>
      </c>
      <c r="Y646" t="s">
        <v>13522</v>
      </c>
    </row>
    <row r="647" spans="1:25" x14ac:dyDescent="0.3">
      <c r="A647">
        <v>32300</v>
      </c>
      <c r="B647" t="s">
        <v>13523</v>
      </c>
      <c r="C647" t="s">
        <v>13524</v>
      </c>
      <c r="D647" t="s">
        <v>13525</v>
      </c>
      <c r="E647" t="s">
        <v>13526</v>
      </c>
      <c r="F647" t="s">
        <v>13527</v>
      </c>
      <c r="G647" t="s">
        <v>13528</v>
      </c>
      <c r="H647" t="s">
        <v>13529</v>
      </c>
      <c r="I647" t="s">
        <v>13530</v>
      </c>
      <c r="J647" t="s">
        <v>13531</v>
      </c>
      <c r="K647" t="s">
        <v>13532</v>
      </c>
      <c r="L647" t="s">
        <v>13533</v>
      </c>
      <c r="M647" t="s">
        <v>13534</v>
      </c>
      <c r="N647" t="s">
        <v>13535</v>
      </c>
      <c r="O647">
        <f>-698.383456483523 -61.075620302327 -740.543770415922</f>
        <v>-1500.0028472017721</v>
      </c>
      <c r="P647">
        <f>-710.687623885104 -58.6039162095487 -424.270753643874</f>
        <v>-1193.5622937385267</v>
      </c>
      <c r="Q647">
        <f>-466.279335353437 -67.0670900707914 -335.754918860232</f>
        <v>-869.10134428446042</v>
      </c>
      <c r="R647" t="s">
        <v>13536</v>
      </c>
      <c r="S647" t="s">
        <v>13537</v>
      </c>
      <c r="T647" t="s">
        <v>13538</v>
      </c>
      <c r="U647" t="s">
        <v>13539</v>
      </c>
      <c r="V647" t="s">
        <v>13540</v>
      </c>
      <c r="W647" t="s">
        <v>13541</v>
      </c>
      <c r="X647" t="s">
        <v>13542</v>
      </c>
      <c r="Y647" t="s">
        <v>13543</v>
      </c>
    </row>
    <row r="648" spans="1:25" x14ac:dyDescent="0.3">
      <c r="A648">
        <v>32350</v>
      </c>
      <c r="B648" t="s">
        <v>13544</v>
      </c>
      <c r="C648" t="s">
        <v>13545</v>
      </c>
      <c r="D648" t="s">
        <v>13546</v>
      </c>
      <c r="E648" t="s">
        <v>13547</v>
      </c>
      <c r="F648" t="s">
        <v>13548</v>
      </c>
      <c r="G648" t="s">
        <v>13549</v>
      </c>
      <c r="H648" t="s">
        <v>13550</v>
      </c>
      <c r="I648" t="s">
        <v>13551</v>
      </c>
      <c r="J648" t="s">
        <v>13552</v>
      </c>
      <c r="K648" t="s">
        <v>13553</v>
      </c>
      <c r="L648" t="s">
        <v>13554</v>
      </c>
      <c r="M648" t="s">
        <v>13555</v>
      </c>
      <c r="N648" t="s">
        <v>13556</v>
      </c>
      <c r="O648">
        <f>-697.742357047824 -61.8461982201566 -740.478572519799</f>
        <v>-1500.0671277877796</v>
      </c>
      <c r="P648">
        <f>-710.113081080086 -59.2531465366917 -424.209002623158</f>
        <v>-1193.5752302399358</v>
      </c>
      <c r="Q648">
        <f>-465.762145844612 -67.657071655907 -335.529498318509</f>
        <v>-868.94871581902805</v>
      </c>
      <c r="R648" t="s">
        <v>13557</v>
      </c>
      <c r="S648" t="s">
        <v>13558</v>
      </c>
      <c r="T648" t="s">
        <v>13559</v>
      </c>
      <c r="U648" t="s">
        <v>13560</v>
      </c>
      <c r="V648" t="s">
        <v>13561</v>
      </c>
      <c r="W648" t="s">
        <v>13562</v>
      </c>
      <c r="X648" t="s">
        <v>13563</v>
      </c>
      <c r="Y648" t="s">
        <v>13564</v>
      </c>
    </row>
    <row r="649" spans="1:25" x14ac:dyDescent="0.3">
      <c r="A649">
        <v>32400</v>
      </c>
      <c r="B649" t="s">
        <v>13565</v>
      </c>
      <c r="C649" t="s">
        <v>13566</v>
      </c>
      <c r="D649" t="s">
        <v>13567</v>
      </c>
      <c r="E649" t="s">
        <v>13568</v>
      </c>
      <c r="F649" t="s">
        <v>13569</v>
      </c>
      <c r="G649" t="s">
        <v>13570</v>
      </c>
      <c r="H649" t="s">
        <v>13571</v>
      </c>
      <c r="I649" t="s">
        <v>13572</v>
      </c>
      <c r="J649" t="s">
        <v>13573</v>
      </c>
      <c r="K649" t="s">
        <v>13574</v>
      </c>
      <c r="L649" t="s">
        <v>13575</v>
      </c>
      <c r="M649" t="s">
        <v>13576</v>
      </c>
      <c r="N649" t="s">
        <v>13577</v>
      </c>
      <c r="O649">
        <f>-697.499665482572 -62.307880003046 -740.457699282256</f>
        <v>-1500.265244767874</v>
      </c>
      <c r="P649">
        <f>-709.882183160975 -59.4804548052746 -424.190628694275</f>
        <v>-1193.5532666605245</v>
      </c>
      <c r="Q649">
        <f>-465.548937650353 -67.8654510952842 -335.460507542632</f>
        <v>-868.87489628826916</v>
      </c>
      <c r="R649" t="s">
        <v>13578</v>
      </c>
      <c r="S649" t="s">
        <v>13579</v>
      </c>
      <c r="T649" t="s">
        <v>13580</v>
      </c>
      <c r="U649" t="s">
        <v>13581</v>
      </c>
      <c r="V649" t="s">
        <v>13582</v>
      </c>
      <c r="W649" t="s">
        <v>13583</v>
      </c>
      <c r="X649" t="s">
        <v>13584</v>
      </c>
      <c r="Y649" t="s">
        <v>13585</v>
      </c>
    </row>
    <row r="650" spans="1:25" x14ac:dyDescent="0.3">
      <c r="A650">
        <v>32450</v>
      </c>
      <c r="B650" t="s">
        <v>13586</v>
      </c>
      <c r="C650" t="s">
        <v>13587</v>
      </c>
      <c r="D650" t="s">
        <v>13588</v>
      </c>
      <c r="E650" t="s">
        <v>13589</v>
      </c>
      <c r="F650" t="s">
        <v>13590</v>
      </c>
      <c r="G650" t="s">
        <v>13591</v>
      </c>
      <c r="H650" t="s">
        <v>13592</v>
      </c>
      <c r="I650" t="s">
        <v>13593</v>
      </c>
      <c r="J650" t="s">
        <v>13594</v>
      </c>
      <c r="K650" t="s">
        <v>13595</v>
      </c>
      <c r="L650" t="s">
        <v>13596</v>
      </c>
      <c r="M650" t="s">
        <v>13597</v>
      </c>
      <c r="N650" t="s">
        <v>13598</v>
      </c>
      <c r="O650">
        <f>-697.217856792818 -62.8633626572214 -740.362105587796</f>
        <v>-1500.4433250378354</v>
      </c>
      <c r="P650">
        <f>-709.557187979886 -59.7657443714072 -424.095931363849</f>
        <v>-1193.4188637151422</v>
      </c>
      <c r="Q650">
        <f>-465.230040915839 -67.8773423283483 -335.323765453732</f>
        <v>-868.4311486979193</v>
      </c>
      <c r="R650" t="s">
        <v>13599</v>
      </c>
      <c r="S650" t="s">
        <v>13600</v>
      </c>
      <c r="T650" t="s">
        <v>13601</v>
      </c>
      <c r="U650" t="s">
        <v>13602</v>
      </c>
      <c r="V650" t="s">
        <v>13603</v>
      </c>
      <c r="W650" t="s">
        <v>13604</v>
      </c>
      <c r="X650" t="s">
        <v>13605</v>
      </c>
      <c r="Y650" t="s">
        <v>13606</v>
      </c>
    </row>
    <row r="651" spans="1:25" x14ac:dyDescent="0.3">
      <c r="A651">
        <v>32500</v>
      </c>
      <c r="B651" t="s">
        <v>13607</v>
      </c>
      <c r="C651" t="s">
        <v>13608</v>
      </c>
      <c r="D651" t="s">
        <v>13609</v>
      </c>
      <c r="E651" t="s">
        <v>13610</v>
      </c>
      <c r="F651" t="s">
        <v>13611</v>
      </c>
      <c r="G651" t="s">
        <v>13612</v>
      </c>
      <c r="H651" t="s">
        <v>13613</v>
      </c>
      <c r="I651" t="s">
        <v>13614</v>
      </c>
      <c r="J651" t="s">
        <v>13615</v>
      </c>
      <c r="K651" t="s">
        <v>13616</v>
      </c>
      <c r="L651" t="s">
        <v>13617</v>
      </c>
      <c r="M651" t="s">
        <v>13618</v>
      </c>
      <c r="N651" t="s">
        <v>13619</v>
      </c>
      <c r="O651">
        <f>-697.094891391461 -63.1983403075476 -740.265733622938</f>
        <v>-1500.5589653219467</v>
      </c>
      <c r="P651">
        <f>-709.497714986615 -59.9251327191705 -424.00370441883</f>
        <v>-1193.4265521246157</v>
      </c>
      <c r="Q651">
        <f>-465.185812836994 -67.8722420823017 -335.174786031717</f>
        <v>-868.2328409510128</v>
      </c>
      <c r="R651" t="s">
        <v>13620</v>
      </c>
      <c r="S651" t="s">
        <v>13621</v>
      </c>
      <c r="T651" t="s">
        <v>13622</v>
      </c>
      <c r="U651" t="s">
        <v>13623</v>
      </c>
      <c r="V651" t="s">
        <v>13624</v>
      </c>
      <c r="W651" t="s">
        <v>13625</v>
      </c>
      <c r="X651" t="s">
        <v>13626</v>
      </c>
      <c r="Y651" t="s">
        <v>13627</v>
      </c>
    </row>
    <row r="652" spans="1:25" x14ac:dyDescent="0.3">
      <c r="A652">
        <v>32550</v>
      </c>
      <c r="B652" t="s">
        <v>13628</v>
      </c>
      <c r="C652" t="s">
        <v>13629</v>
      </c>
      <c r="D652" t="s">
        <v>13630</v>
      </c>
      <c r="E652" t="s">
        <v>13631</v>
      </c>
      <c r="F652" t="s">
        <v>13632</v>
      </c>
      <c r="G652" t="s">
        <v>13633</v>
      </c>
      <c r="H652" t="s">
        <v>13634</v>
      </c>
      <c r="I652" t="s">
        <v>13635</v>
      </c>
      <c r="J652" t="s">
        <v>13636</v>
      </c>
      <c r="K652" t="s">
        <v>13637</v>
      </c>
      <c r="L652" t="s">
        <v>13638</v>
      </c>
      <c r="M652" t="s">
        <v>13639</v>
      </c>
      <c r="N652" t="s">
        <v>13640</v>
      </c>
      <c r="O652">
        <f>-696.316422601632 -63.8636471815871 -740.107961462944</f>
        <v>-1500.288031246163</v>
      </c>
      <c r="P652">
        <f>-709.220820061739 -60.0462911896125 -423.87211299635</f>
        <v>-1193.1392242477013</v>
      </c>
      <c r="Q652">
        <f>-464.995963483301 -67.6521263087343 -334.774065395442</f>
        <v>-867.4221551874773</v>
      </c>
      <c r="R652" t="s">
        <v>13641</v>
      </c>
      <c r="S652" t="s">
        <v>13642</v>
      </c>
      <c r="T652" t="s">
        <v>13643</v>
      </c>
      <c r="U652" t="s">
        <v>13644</v>
      </c>
      <c r="V652" t="s">
        <v>13645</v>
      </c>
      <c r="W652" t="s">
        <v>13646</v>
      </c>
      <c r="X652" t="s">
        <v>13647</v>
      </c>
      <c r="Y652" t="s">
        <v>13648</v>
      </c>
    </row>
    <row r="653" spans="1:25" x14ac:dyDescent="0.3">
      <c r="A653">
        <v>32600</v>
      </c>
      <c r="B653" t="s">
        <v>13649</v>
      </c>
      <c r="C653" t="s">
        <v>13650</v>
      </c>
      <c r="D653" t="s">
        <v>13651</v>
      </c>
      <c r="E653" t="s">
        <v>13652</v>
      </c>
      <c r="F653" t="s">
        <v>13653</v>
      </c>
      <c r="G653" t="s">
        <v>13654</v>
      </c>
      <c r="H653" t="s">
        <v>13655</v>
      </c>
      <c r="I653" t="s">
        <v>13656</v>
      </c>
      <c r="J653" t="s">
        <v>13657</v>
      </c>
      <c r="K653" t="s">
        <v>13658</v>
      </c>
      <c r="L653" t="s">
        <v>13659</v>
      </c>
      <c r="M653" t="s">
        <v>13660</v>
      </c>
      <c r="N653" t="s">
        <v>13661</v>
      </c>
      <c r="O653">
        <f>-695.988984861761 -64.1982094205998 -740.053810402127</f>
        <v>-1500.241004684488</v>
      </c>
      <c r="P653">
        <f>-709.193195832303 -60.094876853193 -423.834016012891</f>
        <v>-1193.122088698387</v>
      </c>
      <c r="Q653">
        <f>-465.059274343803 -67.5028567004294 -334.470410803629</f>
        <v>-867.03254184786147</v>
      </c>
      <c r="R653" t="s">
        <v>13662</v>
      </c>
      <c r="S653" t="s">
        <v>13663</v>
      </c>
      <c r="T653" t="s">
        <v>13664</v>
      </c>
      <c r="U653" t="s">
        <v>13665</v>
      </c>
      <c r="V653" t="s">
        <v>13666</v>
      </c>
      <c r="W653" t="s">
        <v>13667</v>
      </c>
      <c r="X653" t="s">
        <v>13668</v>
      </c>
      <c r="Y653" t="s">
        <v>13669</v>
      </c>
    </row>
    <row r="654" spans="1:25" x14ac:dyDescent="0.3">
      <c r="A654">
        <v>32650</v>
      </c>
      <c r="B654" t="s">
        <v>13670</v>
      </c>
      <c r="C654" t="s">
        <v>13671</v>
      </c>
      <c r="D654" t="s">
        <v>13672</v>
      </c>
      <c r="E654" t="s">
        <v>13673</v>
      </c>
      <c r="F654" t="s">
        <v>13674</v>
      </c>
      <c r="G654" t="s">
        <v>13675</v>
      </c>
      <c r="H654" t="s">
        <v>13676</v>
      </c>
      <c r="I654" t="s">
        <v>13677</v>
      </c>
      <c r="J654" t="s">
        <v>13678</v>
      </c>
      <c r="K654" t="s">
        <v>13679</v>
      </c>
      <c r="L654" t="s">
        <v>13680</v>
      </c>
      <c r="M654" t="s">
        <v>13681</v>
      </c>
      <c r="N654" t="s">
        <v>13682</v>
      </c>
      <c r="O654">
        <f>-696.044244651937 -64.8424106273053 -739.977017434514</f>
        <v>-1500.8636727137564</v>
      </c>
      <c r="P654">
        <f>-709.517057301064 -60.0851993001202 -423.777606530895</f>
        <v>-1193.3798631320792</v>
      </c>
      <c r="Q654">
        <f>-465.585204100166 -67.2675951375029 -333.845893524159</f>
        <v>-866.69869276182794</v>
      </c>
      <c r="R654" t="s">
        <v>13683</v>
      </c>
      <c r="S654" t="s">
        <v>13684</v>
      </c>
      <c r="T654" t="s">
        <v>13685</v>
      </c>
      <c r="U654" t="s">
        <v>13686</v>
      </c>
      <c r="V654" t="s">
        <v>13687</v>
      </c>
      <c r="W654" t="s">
        <v>13688</v>
      </c>
      <c r="X654" t="s">
        <v>13689</v>
      </c>
      <c r="Y654" t="s">
        <v>13690</v>
      </c>
    </row>
    <row r="655" spans="1:25" x14ac:dyDescent="0.3">
      <c r="A655">
        <v>32700</v>
      </c>
      <c r="B655" t="s">
        <v>13691</v>
      </c>
      <c r="C655" t="s">
        <v>13692</v>
      </c>
      <c r="D655" t="s">
        <v>13693</v>
      </c>
      <c r="E655" t="s">
        <v>13694</v>
      </c>
      <c r="F655" t="s">
        <v>13695</v>
      </c>
      <c r="G655" t="s">
        <v>13696</v>
      </c>
      <c r="H655" t="s">
        <v>13697</v>
      </c>
      <c r="I655" t="s">
        <v>13698</v>
      </c>
      <c r="J655" t="s">
        <v>13699</v>
      </c>
      <c r="K655" t="s">
        <v>13700</v>
      </c>
      <c r="L655" t="s">
        <v>13701</v>
      </c>
      <c r="M655" t="s">
        <v>13702</v>
      </c>
      <c r="N655" t="s">
        <v>13703</v>
      </c>
      <c r="O655">
        <f>-696.148495585977 -65.115283428039 -739.89988012748</f>
        <v>-1501.1636591414958</v>
      </c>
      <c r="P655">
        <f>-709.572996528477 -60.1346991623814 -423.701867866385</f>
        <v>-1193.4095635572435</v>
      </c>
      <c r="Q655">
        <f>-465.696859477738 -67.3416757762852 -333.621112718712</f>
        <v>-866.65964797273523</v>
      </c>
      <c r="R655" t="s">
        <v>13704</v>
      </c>
      <c r="S655" t="s">
        <v>13705</v>
      </c>
      <c r="T655" t="s">
        <v>13706</v>
      </c>
      <c r="U655" t="s">
        <v>13707</v>
      </c>
      <c r="V655" t="s">
        <v>13708</v>
      </c>
      <c r="W655" t="s">
        <v>13709</v>
      </c>
      <c r="X655" t="s">
        <v>13710</v>
      </c>
      <c r="Y655" t="s">
        <v>13711</v>
      </c>
    </row>
    <row r="656" spans="1:25" x14ac:dyDescent="0.3">
      <c r="A656">
        <v>32750</v>
      </c>
      <c r="B656" t="s">
        <v>13712</v>
      </c>
      <c r="C656" t="s">
        <v>13713</v>
      </c>
      <c r="D656" t="s">
        <v>13714</v>
      </c>
      <c r="E656" t="s">
        <v>13715</v>
      </c>
      <c r="F656" t="s">
        <v>13716</v>
      </c>
      <c r="G656" t="s">
        <v>13717</v>
      </c>
      <c r="H656" t="s">
        <v>13718</v>
      </c>
      <c r="I656" t="s">
        <v>13719</v>
      </c>
      <c r="J656" t="s">
        <v>13720</v>
      </c>
      <c r="K656" t="s">
        <v>13721</v>
      </c>
      <c r="L656" t="s">
        <v>13722</v>
      </c>
      <c r="M656" t="s">
        <v>13723</v>
      </c>
      <c r="N656" t="s">
        <v>13724</v>
      </c>
      <c r="O656">
        <f>-696.453238871044 -65.3311455097671 -739.648152335367</f>
        <v>-1501.4325367161782</v>
      </c>
      <c r="P656">
        <f>-709.601821444083 -59.8878533854825 -423.4461521092</f>
        <v>-1192.9358269387656</v>
      </c>
      <c r="Q656">
        <f>-465.729068566239 -67.2925055379706 -333.37230458656</f>
        <v>-866.3938786907695</v>
      </c>
      <c r="R656" t="s">
        <v>13725</v>
      </c>
      <c r="S656" t="s">
        <v>13726</v>
      </c>
      <c r="T656" t="s">
        <v>13727</v>
      </c>
      <c r="U656" t="s">
        <v>13728</v>
      </c>
      <c r="V656" t="s">
        <v>13729</v>
      </c>
      <c r="W656" t="s">
        <v>13730</v>
      </c>
      <c r="X656" t="s">
        <v>13731</v>
      </c>
      <c r="Y656" t="s">
        <v>13732</v>
      </c>
    </row>
    <row r="657" spans="1:25" x14ac:dyDescent="0.3">
      <c r="A657">
        <v>32800</v>
      </c>
      <c r="B657" t="s">
        <v>13733</v>
      </c>
      <c r="C657" t="s">
        <v>13734</v>
      </c>
      <c r="D657" t="s">
        <v>13735</v>
      </c>
      <c r="E657" t="s">
        <v>13736</v>
      </c>
      <c r="F657" t="s">
        <v>13737</v>
      </c>
      <c r="G657" t="s">
        <v>13738</v>
      </c>
      <c r="H657" t="s">
        <v>13739</v>
      </c>
      <c r="I657" t="s">
        <v>13740</v>
      </c>
      <c r="J657" t="s">
        <v>13741</v>
      </c>
      <c r="K657" t="s">
        <v>13742</v>
      </c>
      <c r="L657" t="s">
        <v>13743</v>
      </c>
      <c r="M657" t="s">
        <v>13744</v>
      </c>
      <c r="N657" t="s">
        <v>13745</v>
      </c>
      <c r="O657">
        <f>-696.582607247237 -65.3967611254504 -739.514839475255</f>
        <v>-1501.4942078479426</v>
      </c>
      <c r="P657">
        <f>-709.616174470481 -59.7342870055541 -423.311945669197</f>
        <v>-1192.662407145232</v>
      </c>
      <c r="Q657">
        <f>-465.750168803458 -67.2029813778927 -333.225180484951</f>
        <v>-866.17833066630169</v>
      </c>
      <c r="R657" t="s">
        <v>13746</v>
      </c>
      <c r="S657" t="s">
        <v>13747</v>
      </c>
      <c r="T657" t="s">
        <v>13748</v>
      </c>
      <c r="U657" t="s">
        <v>13749</v>
      </c>
      <c r="V657" t="s">
        <v>13750</v>
      </c>
      <c r="W657" t="s">
        <v>13751</v>
      </c>
      <c r="X657" t="s">
        <v>13752</v>
      </c>
      <c r="Y657" t="s">
        <v>13753</v>
      </c>
    </row>
    <row r="658" spans="1:25" x14ac:dyDescent="0.3">
      <c r="A658">
        <v>32850</v>
      </c>
      <c r="B658" t="s">
        <v>13754</v>
      </c>
      <c r="C658" t="s">
        <v>13755</v>
      </c>
      <c r="D658" t="s">
        <v>13756</v>
      </c>
      <c r="E658" t="s">
        <v>13757</v>
      </c>
      <c r="F658" t="s">
        <v>13758</v>
      </c>
      <c r="G658" t="s">
        <v>13759</v>
      </c>
      <c r="H658" t="s">
        <v>13760</v>
      </c>
      <c r="I658" t="s">
        <v>13761</v>
      </c>
      <c r="J658" t="s">
        <v>13762</v>
      </c>
      <c r="K658" t="s">
        <v>13763</v>
      </c>
      <c r="L658" t="s">
        <v>13764</v>
      </c>
      <c r="M658" t="s">
        <v>13765</v>
      </c>
      <c r="N658" t="s">
        <v>13766</v>
      </c>
      <c r="O658">
        <f>-697.184282752606 -65.3835103662232 -739.267370691042</f>
        <v>-1501.8351638098711</v>
      </c>
      <c r="P658">
        <f>-709.96913565067 -59.370475606913 -423.060954741548</f>
        <v>-1192.400565999131</v>
      </c>
      <c r="Q658">
        <f>-466.109750093377 -66.9666515485965 -332.966569787348</f>
        <v>-866.04297142932148</v>
      </c>
      <c r="R658" t="s">
        <v>13767</v>
      </c>
      <c r="S658" t="s">
        <v>13768</v>
      </c>
      <c r="T658" t="s">
        <v>13769</v>
      </c>
      <c r="U658" t="s">
        <v>13770</v>
      </c>
      <c r="V658" t="s">
        <v>13771</v>
      </c>
      <c r="W658" t="s">
        <v>13772</v>
      </c>
      <c r="X658" t="s">
        <v>13773</v>
      </c>
      <c r="Y658" t="s">
        <v>13774</v>
      </c>
    </row>
    <row r="659" spans="1:25" x14ac:dyDescent="0.3">
      <c r="A659">
        <v>32900</v>
      </c>
      <c r="B659" t="s">
        <v>13775</v>
      </c>
      <c r="C659" t="s">
        <v>13776</v>
      </c>
      <c r="D659" t="s">
        <v>13777</v>
      </c>
      <c r="E659" t="s">
        <v>13778</v>
      </c>
      <c r="F659" t="s">
        <v>13779</v>
      </c>
      <c r="G659" t="s">
        <v>13780</v>
      </c>
      <c r="H659" t="s">
        <v>13781</v>
      </c>
      <c r="I659" t="s">
        <v>13782</v>
      </c>
      <c r="J659" t="s">
        <v>13783</v>
      </c>
      <c r="K659" t="s">
        <v>13784</v>
      </c>
      <c r="L659" t="s">
        <v>13785</v>
      </c>
      <c r="M659" t="s">
        <v>13786</v>
      </c>
      <c r="N659" t="s">
        <v>13787</v>
      </c>
      <c r="O659">
        <f>-697.755026820654 -65.3209062548856 -739.140703276292</f>
        <v>-1502.2166363518318</v>
      </c>
      <c r="P659">
        <f>-710.26679129663 -59.0996102522565 -422.927287764421</f>
        <v>-1192.2936893133076</v>
      </c>
      <c r="Q659">
        <f>-466.413227863612 -66.8626483629257 -332.831680426075</f>
        <v>-866.10755665261263</v>
      </c>
      <c r="R659" t="s">
        <v>13788</v>
      </c>
      <c r="S659" t="s">
        <v>13789</v>
      </c>
      <c r="T659" t="s">
        <v>13790</v>
      </c>
      <c r="U659" t="s">
        <v>13791</v>
      </c>
      <c r="V659" t="s">
        <v>13792</v>
      </c>
      <c r="W659" t="s">
        <v>13793</v>
      </c>
      <c r="X659" t="s">
        <v>13794</v>
      </c>
      <c r="Y659" t="s">
        <v>13795</v>
      </c>
    </row>
    <row r="660" spans="1:25" x14ac:dyDescent="0.3">
      <c r="A660">
        <v>32950</v>
      </c>
      <c r="B660" t="s">
        <v>13796</v>
      </c>
      <c r="C660" t="s">
        <v>13797</v>
      </c>
      <c r="D660" t="s">
        <v>13798</v>
      </c>
      <c r="E660" t="s">
        <v>13799</v>
      </c>
      <c r="F660" t="s">
        <v>13800</v>
      </c>
      <c r="G660" t="s">
        <v>13801</v>
      </c>
      <c r="H660" t="s">
        <v>13802</v>
      </c>
      <c r="I660" t="s">
        <v>13803</v>
      </c>
      <c r="J660" t="s">
        <v>13804</v>
      </c>
      <c r="K660" t="s">
        <v>13805</v>
      </c>
      <c r="L660" t="s">
        <v>13806</v>
      </c>
      <c r="M660" t="s">
        <v>13807</v>
      </c>
      <c r="N660" t="s">
        <v>13808</v>
      </c>
      <c r="O660">
        <f>-698.9187563275 -65.1532544559914 -738.881884905033</f>
        <v>-1502.9538956885244</v>
      </c>
      <c r="P660">
        <f>-710.746457569001 -58.2677274887662 -422.655927521837</f>
        <v>-1191.6701125796042</v>
      </c>
      <c r="Q660">
        <f>-466.701222162139 -66.6712406167405 -333.138584919058</f>
        <v>-866.51104769793756</v>
      </c>
      <c r="R660" t="s">
        <v>13809</v>
      </c>
      <c r="S660" t="s">
        <v>13810</v>
      </c>
      <c r="T660" t="s">
        <v>13811</v>
      </c>
      <c r="U660" t="s">
        <v>13812</v>
      </c>
      <c r="V660" t="s">
        <v>13813</v>
      </c>
      <c r="W660" t="s">
        <v>13814</v>
      </c>
      <c r="X660" t="s">
        <v>13815</v>
      </c>
      <c r="Y660" t="s">
        <v>13816</v>
      </c>
    </row>
    <row r="661" spans="1:25" x14ac:dyDescent="0.3">
      <c r="A661">
        <v>33000</v>
      </c>
      <c r="B661" t="s">
        <v>13817</v>
      </c>
      <c r="C661" t="s">
        <v>13818</v>
      </c>
      <c r="D661" t="s">
        <v>13819</v>
      </c>
      <c r="E661" t="s">
        <v>13820</v>
      </c>
      <c r="F661" t="s">
        <v>13821</v>
      </c>
      <c r="G661" t="s">
        <v>13822</v>
      </c>
      <c r="H661" t="s">
        <v>13823</v>
      </c>
      <c r="I661" t="s">
        <v>13824</v>
      </c>
      <c r="J661" t="s">
        <v>13825</v>
      </c>
      <c r="K661" t="s">
        <v>13826</v>
      </c>
      <c r="L661" t="s">
        <v>13827</v>
      </c>
      <c r="M661" t="s">
        <v>13828</v>
      </c>
      <c r="N661" t="s">
        <v>13829</v>
      </c>
      <c r="O661">
        <f>-699.57993365122 -65.0813734995295 -738.765235199283</f>
        <v>-1503.4265423500324</v>
      </c>
      <c r="P661">
        <f>-710.835368400031 -58.0946247171159 -422.520570223033</f>
        <v>-1191.45056334018</v>
      </c>
      <c r="Q661">
        <f>-466.58475368934 -67.2379555297484 -333.637948744204</f>
        <v>-867.46065796329242</v>
      </c>
      <c r="R661" t="s">
        <v>13830</v>
      </c>
      <c r="S661" t="s">
        <v>13831</v>
      </c>
      <c r="T661" t="s">
        <v>13832</v>
      </c>
      <c r="U661" t="s">
        <v>13833</v>
      </c>
      <c r="V661" t="s">
        <v>13834</v>
      </c>
      <c r="W661" t="s">
        <v>13835</v>
      </c>
      <c r="X661" t="s">
        <v>13836</v>
      </c>
      <c r="Y661" t="s">
        <v>13837</v>
      </c>
    </row>
    <row r="662" spans="1:25" x14ac:dyDescent="0.3">
      <c r="A662">
        <v>33050</v>
      </c>
      <c r="B662" t="s">
        <v>13838</v>
      </c>
      <c r="C662" t="s">
        <v>13839</v>
      </c>
      <c r="D662" t="s">
        <v>13840</v>
      </c>
      <c r="E662" t="s">
        <v>13841</v>
      </c>
      <c r="F662" t="s">
        <v>13842</v>
      </c>
      <c r="G662" t="s">
        <v>13843</v>
      </c>
      <c r="H662" t="s">
        <v>13844</v>
      </c>
      <c r="I662" t="s">
        <v>13845</v>
      </c>
      <c r="J662" t="s">
        <v>13846</v>
      </c>
      <c r="K662" t="s">
        <v>13847</v>
      </c>
      <c r="L662" t="s">
        <v>13848</v>
      </c>
      <c r="M662" t="s">
        <v>13849</v>
      </c>
      <c r="N662" t="s">
        <v>13850</v>
      </c>
      <c r="O662">
        <f>-701.423483670642 -64.6503731367607 -738.586591698551</f>
        <v>-1504.6604485059538</v>
      </c>
      <c r="P662">
        <f>-711.752944775275 -59.0725034353814 -422.28234136417</f>
        <v>-1193.1077895748263</v>
      </c>
      <c r="Q662">
        <f>-466.670159154556 -71.1975817495386 -336.087855497657</f>
        <v>-873.95559640175156</v>
      </c>
      <c r="R662" t="s">
        <v>13851</v>
      </c>
      <c r="S662" t="s">
        <v>13852</v>
      </c>
      <c r="T662" t="s">
        <v>13853</v>
      </c>
      <c r="U662" t="s">
        <v>13854</v>
      </c>
      <c r="V662" t="s">
        <v>13855</v>
      </c>
      <c r="W662" t="s">
        <v>13856</v>
      </c>
      <c r="X662" t="s">
        <v>13857</v>
      </c>
      <c r="Y662" t="s">
        <v>13858</v>
      </c>
    </row>
    <row r="663" spans="1:25" x14ac:dyDescent="0.3">
      <c r="A663">
        <v>33100</v>
      </c>
      <c r="B663" t="s">
        <v>13859</v>
      </c>
      <c r="C663" t="s">
        <v>13860</v>
      </c>
      <c r="D663" t="s">
        <v>13861</v>
      </c>
      <c r="E663" t="s">
        <v>13862</v>
      </c>
      <c r="F663" t="s">
        <v>13863</v>
      </c>
      <c r="G663" t="s">
        <v>13864</v>
      </c>
      <c r="H663" t="s">
        <v>13865</v>
      </c>
      <c r="I663" t="s">
        <v>13866</v>
      </c>
      <c r="J663" t="s">
        <v>13867</v>
      </c>
      <c r="K663" t="s">
        <v>13868</v>
      </c>
      <c r="L663" t="s">
        <v>13869</v>
      </c>
      <c r="M663" t="s">
        <v>13870</v>
      </c>
      <c r="N663" t="s">
        <v>13871</v>
      </c>
      <c r="O663">
        <f>-702.38530979603 -64.5275693079909 -738.511873623725</f>
        <v>-1505.424752727746</v>
      </c>
      <c r="P663">
        <f>-712.358295595692 -59.5061492091404 -422.186824091081</f>
        <v>-1194.0512688959134</v>
      </c>
      <c r="Q663">
        <f>-466.684223463788 -72.6497737250957 -337.845287896889</f>
        <v>-877.17928508577268</v>
      </c>
      <c r="R663" t="s">
        <v>13872</v>
      </c>
      <c r="S663" t="s">
        <v>13873</v>
      </c>
      <c r="T663" t="s">
        <v>13874</v>
      </c>
      <c r="U663" t="s">
        <v>13875</v>
      </c>
      <c r="V663" t="s">
        <v>13876</v>
      </c>
      <c r="W663" t="s">
        <v>13877</v>
      </c>
      <c r="X663" t="s">
        <v>13878</v>
      </c>
      <c r="Y663" t="s">
        <v>13879</v>
      </c>
    </row>
    <row r="664" spans="1:25" x14ac:dyDescent="0.3">
      <c r="A664">
        <v>33150</v>
      </c>
      <c r="B664" t="s">
        <v>13880</v>
      </c>
      <c r="C664" t="s">
        <v>13881</v>
      </c>
      <c r="D664" t="s">
        <v>13882</v>
      </c>
      <c r="E664" t="s">
        <v>13883</v>
      </c>
      <c r="F664" t="s">
        <v>13884</v>
      </c>
      <c r="G664" t="s">
        <v>13885</v>
      </c>
      <c r="H664" t="s">
        <v>13886</v>
      </c>
      <c r="I664" t="s">
        <v>13887</v>
      </c>
      <c r="J664" t="s">
        <v>13888</v>
      </c>
      <c r="K664" t="s">
        <v>13889</v>
      </c>
      <c r="L664" t="s">
        <v>13890</v>
      </c>
      <c r="M664" t="s">
        <v>13891</v>
      </c>
      <c r="N664" t="s">
        <v>13892</v>
      </c>
      <c r="O664">
        <f>-704.235469072567 -64.3612690818081 -738.390315829837</f>
        <v>-1506.9870539842123</v>
      </c>
      <c r="P664">
        <f>-713.870988633224 -58.9263621244829 -422.061616468241</f>
        <v>-1194.8589672259479</v>
      </c>
      <c r="Q664">
        <f>-467.518556873161 -75.8784031018824 -340.421391953265</f>
        <v>-883.8183519283084</v>
      </c>
      <c r="R664" t="s">
        <v>13893</v>
      </c>
      <c r="S664" t="s">
        <v>13894</v>
      </c>
      <c r="T664" t="s">
        <v>13895</v>
      </c>
      <c r="U664" t="s">
        <v>13896</v>
      </c>
      <c r="V664" t="s">
        <v>13897</v>
      </c>
      <c r="W664" t="s">
        <v>13898</v>
      </c>
      <c r="X664" t="s">
        <v>13899</v>
      </c>
      <c r="Y664" t="s">
        <v>13900</v>
      </c>
    </row>
    <row r="665" spans="1:25" x14ac:dyDescent="0.3">
      <c r="A665">
        <v>33200</v>
      </c>
      <c r="B665" t="s">
        <v>13901</v>
      </c>
      <c r="C665" t="s">
        <v>13902</v>
      </c>
      <c r="D665" t="s">
        <v>13903</v>
      </c>
      <c r="E665" t="s">
        <v>13904</v>
      </c>
      <c r="F665" t="s">
        <v>13905</v>
      </c>
      <c r="G665" t="s">
        <v>13906</v>
      </c>
      <c r="H665" t="s">
        <v>13907</v>
      </c>
      <c r="I665" t="s">
        <v>13908</v>
      </c>
      <c r="J665" t="s">
        <v>13909</v>
      </c>
      <c r="K665" t="s">
        <v>13910</v>
      </c>
      <c r="L665" t="s">
        <v>13911</v>
      </c>
      <c r="M665" t="s">
        <v>13912</v>
      </c>
      <c r="N665" t="s">
        <v>13913</v>
      </c>
      <c r="O665">
        <f>-705.153903646475 -64.2074147893595 -738.295512821605</f>
        <v>-1507.6568312574395</v>
      </c>
      <c r="P665">
        <f>-714.643997188859 -59.0952402135285 -421.957174251221</f>
        <v>-1195.6964116536085</v>
      </c>
      <c r="Q665">
        <f>-468.066566542402 -77.4123587577753 -341.296671594667</f>
        <v>-886.77559689484428</v>
      </c>
      <c r="R665" t="s">
        <v>13914</v>
      </c>
      <c r="S665" t="s">
        <v>13915</v>
      </c>
      <c r="T665" t="s">
        <v>13916</v>
      </c>
      <c r="U665" t="s">
        <v>13917</v>
      </c>
      <c r="V665" t="s">
        <v>13918</v>
      </c>
      <c r="W665" t="s">
        <v>13919</v>
      </c>
      <c r="X665" t="s">
        <v>13920</v>
      </c>
      <c r="Y665" t="s">
        <v>13921</v>
      </c>
    </row>
    <row r="666" spans="1:25" x14ac:dyDescent="0.3">
      <c r="A666">
        <v>33250</v>
      </c>
      <c r="B666" t="s">
        <v>13922</v>
      </c>
      <c r="C666" t="s">
        <v>13923</v>
      </c>
      <c r="D666" t="s">
        <v>13924</v>
      </c>
      <c r="E666" t="s">
        <v>13925</v>
      </c>
      <c r="F666" t="s">
        <v>13926</v>
      </c>
      <c r="G666" t="s">
        <v>13927</v>
      </c>
      <c r="H666" t="s">
        <v>13928</v>
      </c>
      <c r="I666" t="s">
        <v>13929</v>
      </c>
      <c r="J666" t="s">
        <v>13930</v>
      </c>
      <c r="K666" t="s">
        <v>13931</v>
      </c>
      <c r="L666" t="s">
        <v>13932</v>
      </c>
      <c r="M666" t="s">
        <v>13933</v>
      </c>
      <c r="N666" t="s">
        <v>13934</v>
      </c>
      <c r="O666">
        <f>-707.000179208365 -64.0963495525252 -738.136943246817</f>
        <v>-1509.2334720077074</v>
      </c>
      <c r="P666">
        <f>-716.485032542266 -58.6656236788745 -421.803754155597</f>
        <v>-1196.9544103767375</v>
      </c>
      <c r="Q666">
        <f>-469.766794791272 -79.6415563266312 -342.228712495375</f>
        <v>-891.6370636132782</v>
      </c>
      <c r="R666" t="s">
        <v>13935</v>
      </c>
      <c r="S666" t="s">
        <v>13936</v>
      </c>
      <c r="T666" t="s">
        <v>13937</v>
      </c>
      <c r="U666" t="s">
        <v>13938</v>
      </c>
      <c r="V666" t="s">
        <v>13939</v>
      </c>
      <c r="W666" t="s">
        <v>13940</v>
      </c>
      <c r="X666" t="s">
        <v>13941</v>
      </c>
      <c r="Y666" t="s">
        <v>13942</v>
      </c>
    </row>
    <row r="667" spans="1:25" x14ac:dyDescent="0.3">
      <c r="A667">
        <v>33300</v>
      </c>
      <c r="B667" t="s">
        <v>13943</v>
      </c>
      <c r="C667" t="s">
        <v>13944</v>
      </c>
      <c r="D667" t="s">
        <v>13945</v>
      </c>
      <c r="E667" t="s">
        <v>13946</v>
      </c>
      <c r="F667" t="s">
        <v>13947</v>
      </c>
      <c r="G667" t="s">
        <v>13948</v>
      </c>
      <c r="H667" t="s">
        <v>13949</v>
      </c>
      <c r="I667" t="s">
        <v>13950</v>
      </c>
      <c r="J667" t="s">
        <v>13951</v>
      </c>
      <c r="K667" t="s">
        <v>13952</v>
      </c>
      <c r="L667" t="s">
        <v>13953</v>
      </c>
      <c r="M667" t="s">
        <v>13954</v>
      </c>
      <c r="N667" t="s">
        <v>13955</v>
      </c>
      <c r="O667">
        <f>-707.512283144879 -64.1590312912185 -738.153195764845</f>
        <v>-1509.8245102009425</v>
      </c>
      <c r="P667">
        <f>-717.064997823215 -58.417410747656 -421.827424315675</f>
        <v>-1197.309832886546</v>
      </c>
      <c r="Q667">
        <f>-470.298978459888 -80.114256045174 -342.594321809743</f>
        <v>-893.00755631480502</v>
      </c>
      <c r="R667" t="s">
        <v>13956</v>
      </c>
      <c r="S667" t="s">
        <v>13957</v>
      </c>
      <c r="T667" t="s">
        <v>13958</v>
      </c>
      <c r="U667" t="s">
        <v>13959</v>
      </c>
      <c r="V667" t="s">
        <v>13960</v>
      </c>
      <c r="W667" t="s">
        <v>13961</v>
      </c>
      <c r="X667" t="s">
        <v>13962</v>
      </c>
      <c r="Y667" t="s">
        <v>13963</v>
      </c>
    </row>
    <row r="668" spans="1:25" x14ac:dyDescent="0.3">
      <c r="A668">
        <v>33350</v>
      </c>
      <c r="B668" t="s">
        <v>13964</v>
      </c>
      <c r="C668" t="s">
        <v>13965</v>
      </c>
      <c r="D668" t="s">
        <v>13966</v>
      </c>
      <c r="E668" t="s">
        <v>13967</v>
      </c>
      <c r="F668" t="s">
        <v>13968</v>
      </c>
      <c r="G668" t="s">
        <v>13969</v>
      </c>
      <c r="H668" t="s">
        <v>13970</v>
      </c>
      <c r="I668" t="s">
        <v>13971</v>
      </c>
      <c r="J668" t="s">
        <v>13972</v>
      </c>
      <c r="K668" t="s">
        <v>13973</v>
      </c>
      <c r="L668" t="s">
        <v>13974</v>
      </c>
      <c r="M668" t="s">
        <v>13975</v>
      </c>
      <c r="N668" t="s">
        <v>13976</v>
      </c>
      <c r="O668">
        <f>-708.179988698565 -64.3120517490372 -738.252830772666</f>
        <v>-1510.7448712202681</v>
      </c>
      <c r="P668">
        <f>-719.30887917592 -59.1552906643774 -421.968524435813</f>
        <v>-1200.4326942761104</v>
      </c>
      <c r="Q668">
        <f>-473.170473671403 -80.3976030711444 -340.686850327869</f>
        <v>-894.25492707041644</v>
      </c>
      <c r="R668" t="s">
        <v>13977</v>
      </c>
      <c r="S668" t="s">
        <v>13978</v>
      </c>
      <c r="T668" t="s">
        <v>13979</v>
      </c>
      <c r="U668" t="s">
        <v>13980</v>
      </c>
      <c r="V668" t="s">
        <v>13981</v>
      </c>
      <c r="W668" t="s">
        <v>13982</v>
      </c>
      <c r="X668" t="s">
        <v>13983</v>
      </c>
      <c r="Y668" t="s">
        <v>13984</v>
      </c>
    </row>
    <row r="669" spans="1:25" x14ac:dyDescent="0.3">
      <c r="A669">
        <v>33400</v>
      </c>
      <c r="B669" t="s">
        <v>13985</v>
      </c>
      <c r="C669" t="s">
        <v>13986</v>
      </c>
      <c r="D669" t="s">
        <v>13987</v>
      </c>
      <c r="E669" t="s">
        <v>13988</v>
      </c>
      <c r="F669" t="s">
        <v>13989</v>
      </c>
      <c r="G669" t="s">
        <v>13990</v>
      </c>
      <c r="H669" t="s">
        <v>13991</v>
      </c>
      <c r="I669" t="s">
        <v>13992</v>
      </c>
      <c r="J669" t="s">
        <v>13993</v>
      </c>
      <c r="K669" t="s">
        <v>13994</v>
      </c>
      <c r="L669" t="s">
        <v>13995</v>
      </c>
      <c r="M669" t="s">
        <v>13996</v>
      </c>
      <c r="N669" t="s">
        <v>13997</v>
      </c>
      <c r="O669">
        <f>-708.416520873364 -64.646584321054 -738.278307211613</f>
        <v>-1511.3414124060309</v>
      </c>
      <c r="P669">
        <f>-720.523847744805 -58.7471032657213 -422.04282151039</f>
        <v>-1201.3137725209162</v>
      </c>
      <c r="Q669">
        <f>-474.945461080531 -79.4284235725686 -338.942960880327</f>
        <v>-893.31684553342666</v>
      </c>
      <c r="R669" t="s">
        <v>13998</v>
      </c>
      <c r="S669" t="s">
        <v>13999</v>
      </c>
      <c r="T669" t="s">
        <v>14000</v>
      </c>
      <c r="U669" t="s">
        <v>14001</v>
      </c>
      <c r="V669" t="s">
        <v>14002</v>
      </c>
      <c r="W669" t="s">
        <v>14003</v>
      </c>
      <c r="X669" t="s">
        <v>14004</v>
      </c>
      <c r="Y669" t="s">
        <v>14005</v>
      </c>
    </row>
    <row r="670" spans="1:25" x14ac:dyDescent="0.3">
      <c r="A670">
        <v>33450</v>
      </c>
      <c r="B670" t="s">
        <v>14006</v>
      </c>
      <c r="C670" t="s">
        <v>14007</v>
      </c>
      <c r="D670" t="s">
        <v>14008</v>
      </c>
      <c r="E670" t="s">
        <v>14009</v>
      </c>
      <c r="F670" t="s">
        <v>14010</v>
      </c>
      <c r="G670" t="s">
        <v>14011</v>
      </c>
      <c r="H670" t="s">
        <v>14012</v>
      </c>
      <c r="I670" t="s">
        <v>14013</v>
      </c>
      <c r="J670" t="s">
        <v>14014</v>
      </c>
      <c r="K670" t="s">
        <v>14015</v>
      </c>
      <c r="L670" t="s">
        <v>14016</v>
      </c>
      <c r="M670" t="s">
        <v>14017</v>
      </c>
      <c r="N670" t="s">
        <v>14018</v>
      </c>
      <c r="O670">
        <f>-709.908509337773 -64.6341926421114 -738.01363636593</f>
        <v>-1512.5563383458143</v>
      </c>
      <c r="P670">
        <f>-722.127874335873 -56.1416294233211 -421.8415706094</f>
        <v>-1200.111074368594</v>
      </c>
      <c r="Q670">
        <f>-477.598875103512 -77.7564672870787 -335.932199032994</f>
        <v>-891.2875414235848</v>
      </c>
      <c r="R670" t="s">
        <v>14019</v>
      </c>
      <c r="S670" t="s">
        <v>14020</v>
      </c>
      <c r="T670" t="s">
        <v>14021</v>
      </c>
      <c r="U670" t="s">
        <v>14022</v>
      </c>
      <c r="V670" t="s">
        <v>14023</v>
      </c>
      <c r="W670" t="s">
        <v>14024</v>
      </c>
      <c r="X670" t="s">
        <v>14025</v>
      </c>
      <c r="Y670" t="s">
        <v>14026</v>
      </c>
    </row>
    <row r="671" spans="1:25" x14ac:dyDescent="0.3">
      <c r="A671">
        <v>33500</v>
      </c>
      <c r="B671" t="s">
        <v>14027</v>
      </c>
      <c r="C671" t="s">
        <v>14028</v>
      </c>
      <c r="D671" t="s">
        <v>14029</v>
      </c>
      <c r="E671" t="s">
        <v>14030</v>
      </c>
      <c r="F671" t="s">
        <v>14031</v>
      </c>
      <c r="G671" t="s">
        <v>14032</v>
      </c>
      <c r="H671" t="s">
        <v>14033</v>
      </c>
      <c r="I671" t="s">
        <v>14034</v>
      </c>
      <c r="J671" t="s">
        <v>14035</v>
      </c>
      <c r="K671" t="s">
        <v>14036</v>
      </c>
      <c r="L671" t="s">
        <v>14037</v>
      </c>
      <c r="M671" t="s">
        <v>14038</v>
      </c>
      <c r="N671" t="s">
        <v>14039</v>
      </c>
      <c r="O671">
        <f>-710.625193058823 -64.5558864135508 -737.549431304347</f>
        <v>-1512.7305107767206</v>
      </c>
      <c r="P671">
        <f>-722.619542676845 -54.9584948711977 -421.400470048444</f>
        <v>-1198.9785075964867</v>
      </c>
      <c r="Q671">
        <f>-478.434549388954 -76.8838120681469 -334.595948381236</f>
        <v>-889.91430983833686</v>
      </c>
      <c r="R671" t="s">
        <v>14040</v>
      </c>
      <c r="S671" t="s">
        <v>14041</v>
      </c>
      <c r="T671" t="s">
        <v>14042</v>
      </c>
      <c r="U671" t="s">
        <v>14043</v>
      </c>
      <c r="V671" t="s">
        <v>14044</v>
      </c>
      <c r="W671" t="s">
        <v>14045</v>
      </c>
      <c r="X671" t="s">
        <v>14046</v>
      </c>
      <c r="Y671" t="s">
        <v>14047</v>
      </c>
    </row>
    <row r="672" spans="1:25" x14ac:dyDescent="0.3">
      <c r="A672">
        <v>33550</v>
      </c>
      <c r="B672" t="s">
        <v>14048</v>
      </c>
      <c r="C672" t="s">
        <v>14049</v>
      </c>
      <c r="D672" t="s">
        <v>14050</v>
      </c>
      <c r="E672" t="s">
        <v>14051</v>
      </c>
      <c r="F672" t="s">
        <v>14052</v>
      </c>
      <c r="G672" t="s">
        <v>14053</v>
      </c>
      <c r="H672" t="s">
        <v>14054</v>
      </c>
      <c r="I672" t="s">
        <v>14055</v>
      </c>
      <c r="J672" t="s">
        <v>14056</v>
      </c>
      <c r="K672" t="s">
        <v>14057</v>
      </c>
      <c r="L672" t="s">
        <v>14058</v>
      </c>
      <c r="M672" t="s">
        <v>14059</v>
      </c>
      <c r="N672" t="s">
        <v>14060</v>
      </c>
      <c r="O672">
        <f>-712.533595683242 -64.1263837130755 -736.520792250891</f>
        <v>-1513.1807716472085</v>
      </c>
      <c r="P672">
        <f>-724.738953184768 -52.7458087887965 -420.439023311191</f>
        <v>-1197.9237852847555</v>
      </c>
      <c r="Q672">
        <f>-480.878007360218 -74.7613551727334 -332.750923896103</f>
        <v>-888.39028642905441</v>
      </c>
      <c r="R672" t="s">
        <v>14061</v>
      </c>
      <c r="S672" t="s">
        <v>14062</v>
      </c>
      <c r="T672" t="s">
        <v>14063</v>
      </c>
      <c r="U672" t="s">
        <v>14064</v>
      </c>
      <c r="V672" t="s">
        <v>14065</v>
      </c>
      <c r="W672" t="s">
        <v>14066</v>
      </c>
      <c r="X672" t="s">
        <v>14067</v>
      </c>
      <c r="Y672" t="s">
        <v>14068</v>
      </c>
    </row>
    <row r="673" spans="1:25" x14ac:dyDescent="0.3">
      <c r="A673">
        <v>33600</v>
      </c>
      <c r="B673" t="s">
        <v>14069</v>
      </c>
      <c r="C673" t="s">
        <v>14070</v>
      </c>
      <c r="D673" t="s">
        <v>14071</v>
      </c>
      <c r="E673" t="s">
        <v>14072</v>
      </c>
      <c r="F673" t="s">
        <v>14073</v>
      </c>
      <c r="G673" t="s">
        <v>14074</v>
      </c>
      <c r="H673" t="s">
        <v>14075</v>
      </c>
      <c r="I673" t="s">
        <v>14076</v>
      </c>
      <c r="J673" t="s">
        <v>14077</v>
      </c>
      <c r="K673" t="s">
        <v>14078</v>
      </c>
      <c r="L673" t="s">
        <v>14079</v>
      </c>
      <c r="M673" t="s">
        <v>14080</v>
      </c>
      <c r="N673" t="s">
        <v>14081</v>
      </c>
      <c r="O673">
        <f>-713.4883421573 -63.8400555444493 -736.097943084142</f>
        <v>-1513.4263407858914</v>
      </c>
      <c r="P673">
        <f>-725.610167908605 -52.1039067859263 -420.025940575192</f>
        <v>-1197.7400152697232</v>
      </c>
      <c r="Q673">
        <f>-481.776340051004 -73.8369450667781 -332.192163418927</f>
        <v>-887.80544853670904</v>
      </c>
      <c r="R673" t="s">
        <v>14082</v>
      </c>
      <c r="S673" t="s">
        <v>14083</v>
      </c>
      <c r="T673" t="s">
        <v>14084</v>
      </c>
      <c r="U673" t="s">
        <v>14085</v>
      </c>
      <c r="V673" t="s">
        <v>14086</v>
      </c>
      <c r="W673" t="s">
        <v>14087</v>
      </c>
      <c r="X673" t="s">
        <v>14088</v>
      </c>
      <c r="Y673" t="s">
        <v>14089</v>
      </c>
    </row>
    <row r="674" spans="1:25" x14ac:dyDescent="0.3">
      <c r="A674">
        <v>33650</v>
      </c>
      <c r="B674" t="s">
        <v>14090</v>
      </c>
      <c r="C674" t="s">
        <v>14091</v>
      </c>
      <c r="D674" t="s">
        <v>14092</v>
      </c>
      <c r="E674" t="s">
        <v>14093</v>
      </c>
      <c r="F674" t="s">
        <v>14094</v>
      </c>
      <c r="G674" t="s">
        <v>14095</v>
      </c>
      <c r="H674" t="s">
        <v>14096</v>
      </c>
      <c r="I674" t="s">
        <v>14097</v>
      </c>
      <c r="J674" t="s">
        <v>14098</v>
      </c>
      <c r="K674" t="s">
        <v>14099</v>
      </c>
      <c r="L674" t="s">
        <v>14100</v>
      </c>
      <c r="M674" t="s">
        <v>14101</v>
      </c>
      <c r="N674" t="s">
        <v>14102</v>
      </c>
      <c r="O674">
        <f>-715.5254407038 -63.4737813397865 -735.335360970063</f>
        <v>-1514.3345830136495</v>
      </c>
      <c r="P674">
        <f>-727.132590524876 -51.1686139087653 -419.265787855628</f>
        <v>-1197.5669922892694</v>
      </c>
      <c r="Q674">
        <f>-483.249349839085 -72.5735574711434 -331.48829784351</f>
        <v>-887.31120515373846</v>
      </c>
      <c r="R674" t="s">
        <v>14103</v>
      </c>
      <c r="S674" t="s">
        <v>14104</v>
      </c>
      <c r="T674" t="s">
        <v>14105</v>
      </c>
      <c r="U674" t="s">
        <v>14106</v>
      </c>
      <c r="V674" t="s">
        <v>14107</v>
      </c>
      <c r="W674" t="s">
        <v>14108</v>
      </c>
      <c r="X674" t="s">
        <v>14109</v>
      </c>
      <c r="Y674" t="s">
        <v>14110</v>
      </c>
    </row>
    <row r="675" spans="1:25" x14ac:dyDescent="0.3">
      <c r="A675">
        <v>33700</v>
      </c>
      <c r="B675" t="s">
        <v>14111</v>
      </c>
      <c r="C675" t="s">
        <v>14112</v>
      </c>
      <c r="D675" t="s">
        <v>14113</v>
      </c>
      <c r="E675" t="s">
        <v>14114</v>
      </c>
      <c r="F675" t="s">
        <v>14115</v>
      </c>
      <c r="G675" t="s">
        <v>14116</v>
      </c>
      <c r="H675" t="s">
        <v>14117</v>
      </c>
      <c r="I675" t="s">
        <v>14118</v>
      </c>
      <c r="J675" t="s">
        <v>14119</v>
      </c>
      <c r="K675" t="s">
        <v>14120</v>
      </c>
      <c r="L675" t="s">
        <v>14121</v>
      </c>
      <c r="M675" t="s">
        <v>14122</v>
      </c>
      <c r="N675" t="s">
        <v>14123</v>
      </c>
      <c r="O675">
        <f>-716.376152666113 -63.5791655076312 -734.93700757329</f>
        <v>-1514.8923257470342</v>
      </c>
      <c r="P675">
        <f>-727.710546770304 -50.7035052166325 -418.880140266972</f>
        <v>-1197.2941922539085</v>
      </c>
      <c r="Q675">
        <f>-483.844880665203 -72.2065859825022 -331.077769982353</f>
        <v>-887.12923663005813</v>
      </c>
      <c r="R675" t="s">
        <v>14124</v>
      </c>
      <c r="S675" t="s">
        <v>14125</v>
      </c>
      <c r="T675" t="s">
        <v>14126</v>
      </c>
      <c r="U675" t="s">
        <v>14127</v>
      </c>
      <c r="V675" t="s">
        <v>14128</v>
      </c>
      <c r="W675" t="s">
        <v>14129</v>
      </c>
      <c r="X675" t="s">
        <v>14130</v>
      </c>
      <c r="Y675" t="s">
        <v>14131</v>
      </c>
    </row>
    <row r="676" spans="1:25" x14ac:dyDescent="0.3">
      <c r="A676">
        <v>33750</v>
      </c>
      <c r="B676" t="s">
        <v>14132</v>
      </c>
      <c r="C676" t="s">
        <v>14133</v>
      </c>
      <c r="D676" t="s">
        <v>14134</v>
      </c>
      <c r="E676" t="s">
        <v>14135</v>
      </c>
      <c r="F676" t="s">
        <v>14136</v>
      </c>
      <c r="G676" t="s">
        <v>14137</v>
      </c>
      <c r="H676" t="s">
        <v>14138</v>
      </c>
      <c r="I676" t="s">
        <v>14139</v>
      </c>
      <c r="J676" t="s">
        <v>14140</v>
      </c>
      <c r="K676" t="s">
        <v>14141</v>
      </c>
      <c r="L676" t="s">
        <v>14142</v>
      </c>
      <c r="M676" t="s">
        <v>14143</v>
      </c>
      <c r="N676" t="s">
        <v>14144</v>
      </c>
      <c r="O676">
        <f>-718.748113355094 -63.8263955746238 -734.025444213113</f>
        <v>-1516.5999531428308</v>
      </c>
      <c r="P676">
        <f>-728.939515260136 -50.1592951300017 -417.962958492062</f>
        <v>-1197.0617688821997</v>
      </c>
      <c r="Q676">
        <f>-485.005708457084 -72.27438587286 -330.502964965329</f>
        <v>-887.78305929527301</v>
      </c>
      <c r="R676" t="s">
        <v>14145</v>
      </c>
      <c r="S676" t="s">
        <v>14146</v>
      </c>
      <c r="T676" t="s">
        <v>14147</v>
      </c>
      <c r="U676" t="s">
        <v>14148</v>
      </c>
      <c r="V676" t="s">
        <v>14149</v>
      </c>
      <c r="W676" t="s">
        <v>14150</v>
      </c>
      <c r="X676" t="s">
        <v>14151</v>
      </c>
      <c r="Y676" t="s">
        <v>14152</v>
      </c>
    </row>
    <row r="677" spans="1:25" x14ac:dyDescent="0.3">
      <c r="A677">
        <v>33800</v>
      </c>
      <c r="B677" t="s">
        <v>14153</v>
      </c>
      <c r="C677" t="s">
        <v>14154</v>
      </c>
      <c r="D677" t="s">
        <v>14155</v>
      </c>
      <c r="E677" t="s">
        <v>14156</v>
      </c>
      <c r="F677" t="s">
        <v>14157</v>
      </c>
      <c r="G677" t="s">
        <v>14158</v>
      </c>
      <c r="H677" t="s">
        <v>14159</v>
      </c>
      <c r="I677" t="s">
        <v>14160</v>
      </c>
      <c r="J677" t="s">
        <v>14161</v>
      </c>
      <c r="K677" t="s">
        <v>14162</v>
      </c>
      <c r="L677" t="s">
        <v>14163</v>
      </c>
      <c r="M677" t="s">
        <v>14164</v>
      </c>
      <c r="N677" t="s">
        <v>14165</v>
      </c>
      <c r="O677">
        <f>-719.76278823857 -63.8623212505443 -733.672540549865</f>
        <v>-1517.2976500389791</v>
      </c>
      <c r="P677">
        <f>-729.294373488711 -49.8316472442641 -417.605331743226</f>
        <v>-1196.7313524762012</v>
      </c>
      <c r="Q677">
        <f>-485.364533067778 -72.5353967129547 -330.285143966854</f>
        <v>-888.18507374758667</v>
      </c>
      <c r="R677" t="s">
        <v>14166</v>
      </c>
      <c r="S677" t="s">
        <v>14167</v>
      </c>
      <c r="T677" t="s">
        <v>14168</v>
      </c>
      <c r="U677" t="s">
        <v>14169</v>
      </c>
      <c r="V677" t="s">
        <v>14170</v>
      </c>
      <c r="W677" t="s">
        <v>14171</v>
      </c>
      <c r="X677" t="s">
        <v>14172</v>
      </c>
      <c r="Y677" t="s">
        <v>14173</v>
      </c>
    </row>
    <row r="678" spans="1:25" x14ac:dyDescent="0.3">
      <c r="A678">
        <v>33850</v>
      </c>
      <c r="B678" t="s">
        <v>14174</v>
      </c>
      <c r="C678" t="s">
        <v>14175</v>
      </c>
      <c r="D678" t="s">
        <v>14176</v>
      </c>
      <c r="E678" t="s">
        <v>14177</v>
      </c>
      <c r="F678" t="s">
        <v>14178</v>
      </c>
      <c r="G678" t="s">
        <v>14179</v>
      </c>
      <c r="H678" t="s">
        <v>14180</v>
      </c>
      <c r="I678" t="s">
        <v>14181</v>
      </c>
      <c r="J678" t="s">
        <v>14182</v>
      </c>
      <c r="K678" t="s">
        <v>14183</v>
      </c>
      <c r="L678" t="s">
        <v>14184</v>
      </c>
      <c r="M678" t="s">
        <v>14185</v>
      </c>
      <c r="N678" t="s">
        <v>14186</v>
      </c>
      <c r="O678">
        <f>-721.813102160182 -64.0294104477161 -732.997031174321</f>
        <v>-1518.8395437822192</v>
      </c>
      <c r="P678">
        <f>-730.480810796272 -48.8240498676892 -416.959361570441</f>
        <v>-1196.264222234402</v>
      </c>
      <c r="Q678">
        <f>-486.710000645235 -72.9126191529824 -329.566332737892</f>
        <v>-889.18895253610947</v>
      </c>
      <c r="R678" t="s">
        <v>14187</v>
      </c>
      <c r="S678" t="s">
        <v>14188</v>
      </c>
      <c r="T678" t="s">
        <v>14189</v>
      </c>
      <c r="U678" t="s">
        <v>14190</v>
      </c>
      <c r="V678" t="s">
        <v>14191</v>
      </c>
      <c r="W678" t="s">
        <v>14192</v>
      </c>
      <c r="X678" t="s">
        <v>14193</v>
      </c>
      <c r="Y678" t="s">
        <v>14194</v>
      </c>
    </row>
    <row r="679" spans="1:25" x14ac:dyDescent="0.3">
      <c r="A679">
        <v>33900</v>
      </c>
      <c r="B679" t="s">
        <v>14195</v>
      </c>
      <c r="C679" t="s">
        <v>14196</v>
      </c>
      <c r="D679" t="s">
        <v>14197</v>
      </c>
      <c r="E679" t="s">
        <v>14198</v>
      </c>
      <c r="F679" t="s">
        <v>14199</v>
      </c>
      <c r="G679" t="s">
        <v>14200</v>
      </c>
      <c r="H679" t="s">
        <v>14201</v>
      </c>
      <c r="I679" t="s">
        <v>14202</v>
      </c>
      <c r="J679" t="s">
        <v>14203</v>
      </c>
      <c r="K679" t="s">
        <v>14204</v>
      </c>
      <c r="L679" t="s">
        <v>14205</v>
      </c>
      <c r="M679" t="s">
        <v>14206</v>
      </c>
      <c r="N679" t="s">
        <v>14207</v>
      </c>
      <c r="O679">
        <f>-722.74356024486 -64.0107378936345 -732.822511269499</f>
        <v>-1519.5768094079936</v>
      </c>
      <c r="P679">
        <f>-731.245221468457 -48.5889255304585 -416.790796230654</f>
        <v>-1196.6249432295695</v>
      </c>
      <c r="Q679">
        <f>-487.582739400603 -73.5652087486501 -329.344698148936</f>
        <v>-890.49264629818913</v>
      </c>
      <c r="R679" t="s">
        <v>14208</v>
      </c>
      <c r="S679" t="s">
        <v>14209</v>
      </c>
      <c r="T679" t="s">
        <v>14210</v>
      </c>
      <c r="U679" t="s">
        <v>14211</v>
      </c>
      <c r="V679" t="s">
        <v>14212</v>
      </c>
      <c r="W679" t="s">
        <v>14213</v>
      </c>
      <c r="X679" t="s">
        <v>14214</v>
      </c>
      <c r="Y679" t="s">
        <v>14215</v>
      </c>
    </row>
    <row r="680" spans="1:25" x14ac:dyDescent="0.3">
      <c r="A680">
        <v>33950</v>
      </c>
      <c r="B680" t="s">
        <v>14216</v>
      </c>
      <c r="C680" t="s">
        <v>14217</v>
      </c>
      <c r="D680" t="s">
        <v>14218</v>
      </c>
      <c r="E680" t="s">
        <v>14219</v>
      </c>
      <c r="F680" t="s">
        <v>14220</v>
      </c>
      <c r="G680" t="s">
        <v>14221</v>
      </c>
      <c r="H680" t="s">
        <v>14222</v>
      </c>
      <c r="I680" t="s">
        <v>14223</v>
      </c>
      <c r="J680" t="s">
        <v>14224</v>
      </c>
      <c r="K680" t="s">
        <v>14225</v>
      </c>
      <c r="L680" t="s">
        <v>14226</v>
      </c>
      <c r="M680" t="s">
        <v>14227</v>
      </c>
      <c r="N680" t="s">
        <v>14228</v>
      </c>
      <c r="O680">
        <f>-723.8939303165 -64.1419320127725 -732.670248337361</f>
        <v>-1520.7061106666335</v>
      </c>
      <c r="P680">
        <f>-732.816284787364 -48.5460523012737 -416.658505710279</f>
        <v>-1198.0208427989166</v>
      </c>
      <c r="Q680">
        <f>-489.333363215282 -74.5127147165977 -329.001005702276</f>
        <v>-892.84708363415575</v>
      </c>
      <c r="R680" t="s">
        <v>14229</v>
      </c>
      <c r="S680" t="s">
        <v>14230</v>
      </c>
      <c r="T680" t="s">
        <v>14231</v>
      </c>
      <c r="U680" t="s">
        <v>14232</v>
      </c>
      <c r="V680" t="s">
        <v>14233</v>
      </c>
      <c r="W680" t="s">
        <v>14234</v>
      </c>
      <c r="X680" t="s">
        <v>14235</v>
      </c>
      <c r="Y680" t="s">
        <v>14236</v>
      </c>
    </row>
    <row r="681" spans="1:25" x14ac:dyDescent="0.3">
      <c r="A681">
        <v>34000</v>
      </c>
      <c r="B681" t="s">
        <v>14237</v>
      </c>
      <c r="C681" t="s">
        <v>14238</v>
      </c>
      <c r="D681" t="s">
        <v>14239</v>
      </c>
      <c r="E681" t="s">
        <v>14240</v>
      </c>
      <c r="F681" t="s">
        <v>14241</v>
      </c>
      <c r="G681" t="s">
        <v>14242</v>
      </c>
      <c r="H681" t="s">
        <v>14243</v>
      </c>
      <c r="I681" t="s">
        <v>14244</v>
      </c>
      <c r="J681" t="s">
        <v>14245</v>
      </c>
      <c r="K681" t="s">
        <v>14246</v>
      </c>
      <c r="L681" t="s">
        <v>14247</v>
      </c>
      <c r="M681" t="s">
        <v>14248</v>
      </c>
      <c r="N681" t="s">
        <v>14249</v>
      </c>
      <c r="O681">
        <f>-724.221402833869 -64.409746412613 -732.648968804296</f>
        <v>-1521.2801180507781</v>
      </c>
      <c r="P681">
        <f>-733.492896947883 -48.8326034848203 -416.646561575077</f>
        <v>-1198.9720620077803</v>
      </c>
      <c r="Q681">
        <f>-490.128114833069 -75.1347672819682 -328.761215588354</f>
        <v>-894.02409770339113</v>
      </c>
      <c r="R681" t="s">
        <v>14250</v>
      </c>
      <c r="S681" t="s">
        <v>14251</v>
      </c>
      <c r="T681" t="s">
        <v>14252</v>
      </c>
      <c r="U681" t="s">
        <v>14253</v>
      </c>
      <c r="V681" t="s">
        <v>14254</v>
      </c>
      <c r="W681" t="s">
        <v>14255</v>
      </c>
      <c r="X681" t="s">
        <v>14256</v>
      </c>
      <c r="Y681" t="s">
        <v>14257</v>
      </c>
    </row>
    <row r="682" spans="1:25" x14ac:dyDescent="0.3">
      <c r="A682">
        <v>34050</v>
      </c>
      <c r="B682" t="s">
        <v>14258</v>
      </c>
      <c r="C682" t="s">
        <v>14259</v>
      </c>
      <c r="D682" t="s">
        <v>14260</v>
      </c>
      <c r="E682" t="s">
        <v>14261</v>
      </c>
      <c r="F682" t="s">
        <v>14262</v>
      </c>
      <c r="G682" t="s">
        <v>14263</v>
      </c>
      <c r="H682" t="s">
        <v>14264</v>
      </c>
      <c r="I682" t="s">
        <v>14265</v>
      </c>
      <c r="J682" t="s">
        <v>14266</v>
      </c>
      <c r="K682" t="s">
        <v>14267</v>
      </c>
      <c r="L682" t="s">
        <v>14268</v>
      </c>
      <c r="M682" t="s">
        <v>14269</v>
      </c>
      <c r="N682" t="s">
        <v>14270</v>
      </c>
      <c r="O682">
        <f>-724.801430558667 -65.4068881919275 -732.497938977822</f>
        <v>-1522.7062577284164</v>
      </c>
      <c r="P682">
        <f>-734.393985508078 -49.4038913916957 -416.526354039906</f>
        <v>-1200.3242309396796</v>
      </c>
      <c r="Q682">
        <f>-491.214979524286 -76.0192136924675 -328.222085505186</f>
        <v>-895.4562787219395</v>
      </c>
      <c r="R682" t="s">
        <v>14271</v>
      </c>
      <c r="S682" t="s">
        <v>14272</v>
      </c>
      <c r="T682" t="s">
        <v>14273</v>
      </c>
      <c r="U682" t="s">
        <v>14274</v>
      </c>
      <c r="V682" t="s">
        <v>14275</v>
      </c>
      <c r="W682" t="s">
        <v>14276</v>
      </c>
      <c r="X682" t="s">
        <v>14277</v>
      </c>
      <c r="Y682" t="s">
        <v>14278</v>
      </c>
    </row>
    <row r="683" spans="1:25" x14ac:dyDescent="0.3">
      <c r="A683">
        <v>34100</v>
      </c>
      <c r="B683" t="s">
        <v>14279</v>
      </c>
      <c r="C683" t="s">
        <v>14280</v>
      </c>
      <c r="D683" t="s">
        <v>14281</v>
      </c>
      <c r="E683" t="s">
        <v>14282</v>
      </c>
      <c r="F683" t="s">
        <v>14283</v>
      </c>
      <c r="G683" t="s">
        <v>14284</v>
      </c>
      <c r="H683" t="s">
        <v>14285</v>
      </c>
      <c r="I683" t="s">
        <v>14286</v>
      </c>
      <c r="J683" t="s">
        <v>14287</v>
      </c>
      <c r="K683" t="s">
        <v>14288</v>
      </c>
      <c r="L683" t="s">
        <v>14289</v>
      </c>
      <c r="M683" t="s">
        <v>14290</v>
      </c>
      <c r="N683" t="s">
        <v>14291</v>
      </c>
      <c r="O683">
        <f>-725.219939026267 -65.8289633982768 -732.502457127</f>
        <v>-1523.5513595515436</v>
      </c>
      <c r="P683">
        <f>-734.697349848439 -49.9042677787625 -416.523331794169</f>
        <v>-1201.1249494213705</v>
      </c>
      <c r="Q683">
        <f>-491.537214275712 -76.5172449580443 -328.166534137554</f>
        <v>-896.22099337131033</v>
      </c>
      <c r="R683" t="s">
        <v>14292</v>
      </c>
      <c r="S683" t="s">
        <v>14293</v>
      </c>
      <c r="T683" t="s">
        <v>14294</v>
      </c>
      <c r="U683" t="s">
        <v>14295</v>
      </c>
      <c r="V683" t="s">
        <v>14296</v>
      </c>
      <c r="W683" t="s">
        <v>14297</v>
      </c>
      <c r="X683" t="s">
        <v>14298</v>
      </c>
      <c r="Y683" t="s">
        <v>14299</v>
      </c>
    </row>
    <row r="684" spans="1:25" x14ac:dyDescent="0.3">
      <c r="A684">
        <v>34150</v>
      </c>
      <c r="B684" t="s">
        <v>14300</v>
      </c>
      <c r="C684" t="s">
        <v>14301</v>
      </c>
      <c r="D684" t="s">
        <v>14302</v>
      </c>
      <c r="E684" t="s">
        <v>14303</v>
      </c>
      <c r="F684" t="s">
        <v>14304</v>
      </c>
      <c r="G684" t="s">
        <v>14305</v>
      </c>
      <c r="H684" t="s">
        <v>14306</v>
      </c>
      <c r="I684" t="s">
        <v>14307</v>
      </c>
      <c r="J684" t="s">
        <v>14308</v>
      </c>
      <c r="K684" t="s">
        <v>14309</v>
      </c>
      <c r="L684" t="s">
        <v>14310</v>
      </c>
      <c r="M684" t="s">
        <v>14311</v>
      </c>
      <c r="N684" t="s">
        <v>14312</v>
      </c>
      <c r="O684">
        <f>-725.902385622025 -66.6934755830036 -732.483652869768</f>
        <v>-1525.0795140747966</v>
      </c>
      <c r="P684">
        <f>-734.972539780583 -50.7848957321378 -416.491851361245</f>
        <v>-1202.2492868739657</v>
      </c>
      <c r="Q684">
        <f>-491.604763900832 -76.9989633403427 -328.588600715188</f>
        <v>-897.19232795636276</v>
      </c>
      <c r="R684" t="s">
        <v>14313</v>
      </c>
      <c r="S684" t="s">
        <v>14314</v>
      </c>
      <c r="T684" t="s">
        <v>14315</v>
      </c>
      <c r="U684" t="s">
        <v>14316</v>
      </c>
      <c r="V684" t="s">
        <v>14317</v>
      </c>
      <c r="W684" t="s">
        <v>14318</v>
      </c>
      <c r="X684" t="s">
        <v>14319</v>
      </c>
      <c r="Y684" t="s">
        <v>14320</v>
      </c>
    </row>
    <row r="685" spans="1:25" x14ac:dyDescent="0.3">
      <c r="A685">
        <v>34200</v>
      </c>
      <c r="B685" t="s">
        <v>14321</v>
      </c>
      <c r="C685" t="s">
        <v>14322</v>
      </c>
      <c r="D685" t="s">
        <v>14323</v>
      </c>
      <c r="E685" t="s">
        <v>14324</v>
      </c>
      <c r="F685" t="s">
        <v>14325</v>
      </c>
      <c r="G685" t="s">
        <v>14326</v>
      </c>
      <c r="H685" t="s">
        <v>14327</v>
      </c>
      <c r="I685" t="s">
        <v>14328</v>
      </c>
      <c r="J685" t="s">
        <v>14329</v>
      </c>
      <c r="K685" t="s">
        <v>14330</v>
      </c>
      <c r="L685" t="s">
        <v>14331</v>
      </c>
      <c r="M685" t="s">
        <v>14332</v>
      </c>
      <c r="N685" t="s">
        <v>14333</v>
      </c>
      <c r="O685">
        <f>-726.417674231105 -67.1671527460792 -732.446753034475</f>
        <v>-1526.0315800116591</v>
      </c>
      <c r="P685">
        <f>-735.086935401028 -51.4001042859259 -416.436669873646</f>
        <v>-1202.9237095605999</v>
      </c>
      <c r="Q685">
        <f>-491.583240891513 -77.4736068195623 -328.868312483984</f>
        <v>-897.92516019505933</v>
      </c>
      <c r="R685" t="s">
        <v>14334</v>
      </c>
      <c r="S685" t="s">
        <v>14335</v>
      </c>
      <c r="T685" t="s">
        <v>14336</v>
      </c>
      <c r="U685" t="s">
        <v>14337</v>
      </c>
      <c r="V685" t="s">
        <v>14338</v>
      </c>
      <c r="W685" t="s">
        <v>14339</v>
      </c>
      <c r="X685" t="s">
        <v>14340</v>
      </c>
      <c r="Y685" t="s">
        <v>14341</v>
      </c>
    </row>
    <row r="686" spans="1:25" x14ac:dyDescent="0.3">
      <c r="A686">
        <v>34250</v>
      </c>
      <c r="B686" t="s">
        <v>14342</v>
      </c>
      <c r="C686" t="s">
        <v>14343</v>
      </c>
      <c r="D686" t="s">
        <v>14344</v>
      </c>
      <c r="E686" t="s">
        <v>14345</v>
      </c>
      <c r="F686" t="s">
        <v>14346</v>
      </c>
      <c r="G686" t="s">
        <v>14347</v>
      </c>
      <c r="H686" t="s">
        <v>14348</v>
      </c>
      <c r="I686" t="s">
        <v>14349</v>
      </c>
      <c r="J686" t="s">
        <v>14350</v>
      </c>
      <c r="K686" t="s">
        <v>14351</v>
      </c>
      <c r="L686" t="s">
        <v>14352</v>
      </c>
      <c r="M686" t="s">
        <v>14353</v>
      </c>
      <c r="N686" t="s">
        <v>14354</v>
      </c>
      <c r="O686">
        <f>-727.394164241811 -67.8441075465071 -732.387186868412</f>
        <v>-1527.6254586567302</v>
      </c>
      <c r="P686">
        <f>-735.185205556942 -52.3947450268099 -416.338456167321</f>
        <v>-1203.918406751073</v>
      </c>
      <c r="Q686">
        <f>-491.395049144026 -78.1945127491169 -329.489454782295</f>
        <v>-899.07901667543797</v>
      </c>
      <c r="R686" t="s">
        <v>14355</v>
      </c>
      <c r="S686" t="s">
        <v>14356</v>
      </c>
      <c r="T686" t="s">
        <v>14357</v>
      </c>
      <c r="U686" t="s">
        <v>14358</v>
      </c>
      <c r="V686" t="s">
        <v>14359</v>
      </c>
      <c r="W686" t="s">
        <v>14360</v>
      </c>
      <c r="X686" t="s">
        <v>14361</v>
      </c>
      <c r="Y686" t="s">
        <v>14362</v>
      </c>
    </row>
    <row r="687" spans="1:25" x14ac:dyDescent="0.3">
      <c r="A687">
        <v>34300</v>
      </c>
      <c r="B687" t="s">
        <v>14363</v>
      </c>
      <c r="C687" t="s">
        <v>14364</v>
      </c>
      <c r="D687" t="s">
        <v>14365</v>
      </c>
      <c r="E687" t="s">
        <v>14366</v>
      </c>
      <c r="F687" t="s">
        <v>14367</v>
      </c>
      <c r="G687" t="s">
        <v>14368</v>
      </c>
      <c r="H687" t="s">
        <v>14369</v>
      </c>
      <c r="I687" t="s">
        <v>14370</v>
      </c>
      <c r="J687" t="s">
        <v>14371</v>
      </c>
      <c r="K687" t="s">
        <v>14372</v>
      </c>
      <c r="L687" t="s">
        <v>14373</v>
      </c>
      <c r="M687" t="s">
        <v>14374</v>
      </c>
      <c r="N687" t="s">
        <v>14375</v>
      </c>
      <c r="O687">
        <f>-727.82695212732 -68.1045114080714 -732.321966299326</f>
        <v>-1528.2534298347175</v>
      </c>
      <c r="P687">
        <f>-735.314699308228 -52.6995103995403 -416.263690223888</f>
        <v>-1204.2778999316563</v>
      </c>
      <c r="Q687">
        <f>-491.371282754455 -78.3490604932433 -329.801128871736</f>
        <v>-899.52147211943429</v>
      </c>
      <c r="R687" t="s">
        <v>14376</v>
      </c>
      <c r="S687" t="s">
        <v>14377</v>
      </c>
      <c r="T687" t="s">
        <v>14378</v>
      </c>
      <c r="U687" t="s">
        <v>14379</v>
      </c>
      <c r="V687" t="s">
        <v>14380</v>
      </c>
      <c r="W687" t="s">
        <v>14381</v>
      </c>
      <c r="X687" t="s">
        <v>14382</v>
      </c>
      <c r="Y687" t="s">
        <v>14383</v>
      </c>
    </row>
    <row r="688" spans="1:25" x14ac:dyDescent="0.3">
      <c r="A688">
        <v>34350</v>
      </c>
      <c r="B688" t="s">
        <v>14384</v>
      </c>
      <c r="C688" t="s">
        <v>14385</v>
      </c>
      <c r="D688" t="s">
        <v>14386</v>
      </c>
      <c r="E688" t="s">
        <v>14387</v>
      </c>
      <c r="F688" t="s">
        <v>14388</v>
      </c>
      <c r="G688" t="s">
        <v>14389</v>
      </c>
      <c r="H688" t="s">
        <v>14390</v>
      </c>
      <c r="I688" t="s">
        <v>14391</v>
      </c>
      <c r="J688" t="s">
        <v>14392</v>
      </c>
      <c r="K688" t="s">
        <v>14393</v>
      </c>
      <c r="L688" t="s">
        <v>14394</v>
      </c>
      <c r="M688" t="s">
        <v>14395</v>
      </c>
      <c r="N688" t="s">
        <v>14396</v>
      </c>
      <c r="O688">
        <f>-728.767070732911 -68.6366063940407 -732.20379536647</f>
        <v>-1529.6074724934215</v>
      </c>
      <c r="P688">
        <f>-735.602272007716 -53.7389877417777 -416.10657335153</f>
        <v>-1205.4478331010237</v>
      </c>
      <c r="Q688">
        <f>-491.487163017701 -79.5417272823013 -330.175682627992</f>
        <v>-901.20457292799438</v>
      </c>
      <c r="R688" t="s">
        <v>14397</v>
      </c>
      <c r="S688" t="s">
        <v>14398</v>
      </c>
      <c r="T688" t="s">
        <v>14399</v>
      </c>
      <c r="U688" t="s">
        <v>14400</v>
      </c>
      <c r="V688" t="s">
        <v>14401</v>
      </c>
      <c r="W688" t="s">
        <v>14402</v>
      </c>
      <c r="X688" t="s">
        <v>14403</v>
      </c>
      <c r="Y688" t="s">
        <v>14404</v>
      </c>
    </row>
    <row r="689" spans="1:25" x14ac:dyDescent="0.3">
      <c r="A689">
        <v>34400</v>
      </c>
      <c r="B689" t="s">
        <v>14405</v>
      </c>
      <c r="C689" t="s">
        <v>14406</v>
      </c>
      <c r="D689" t="s">
        <v>14407</v>
      </c>
      <c r="E689" t="s">
        <v>14408</v>
      </c>
      <c r="F689" t="s">
        <v>14409</v>
      </c>
      <c r="G689" t="s">
        <v>14410</v>
      </c>
      <c r="H689" t="s">
        <v>14411</v>
      </c>
      <c r="I689" t="s">
        <v>14412</v>
      </c>
      <c r="J689" t="s">
        <v>14413</v>
      </c>
      <c r="K689" t="s">
        <v>14414</v>
      </c>
      <c r="L689" t="s">
        <v>14415</v>
      </c>
      <c r="M689" t="s">
        <v>14416</v>
      </c>
      <c r="N689" t="s">
        <v>14417</v>
      </c>
      <c r="O689">
        <f>-729.279333166793 -68.9468944096307 -732.098292173219</f>
        <v>-1530.3245197496426</v>
      </c>
      <c r="P689">
        <f>-735.816135947614 -54.0838967178149 -415.993057680368</f>
        <v>-1205.893090345797</v>
      </c>
      <c r="Q689">
        <f>-491.650574749767 -80.2132610937713 -330.304717088813</f>
        <v>-902.1685529323513</v>
      </c>
      <c r="R689" t="s">
        <v>14418</v>
      </c>
      <c r="S689" t="s">
        <v>14419</v>
      </c>
      <c r="T689" t="s">
        <v>14420</v>
      </c>
      <c r="U689" t="s">
        <v>14421</v>
      </c>
      <c r="V689" t="s">
        <v>14422</v>
      </c>
      <c r="W689" t="s">
        <v>14423</v>
      </c>
      <c r="X689" t="s">
        <v>14424</v>
      </c>
      <c r="Y689" t="s">
        <v>14425</v>
      </c>
    </row>
    <row r="690" spans="1:25" x14ac:dyDescent="0.3">
      <c r="A690">
        <v>34450</v>
      </c>
      <c r="B690" t="s">
        <v>14426</v>
      </c>
      <c r="C690" t="s">
        <v>14427</v>
      </c>
      <c r="D690" t="s">
        <v>14428</v>
      </c>
      <c r="E690" t="s">
        <v>14429</v>
      </c>
      <c r="F690" t="s">
        <v>14430</v>
      </c>
      <c r="G690" t="s">
        <v>14431</v>
      </c>
      <c r="H690" t="s">
        <v>14432</v>
      </c>
      <c r="I690" t="s">
        <v>14433</v>
      </c>
      <c r="J690" t="s">
        <v>14434</v>
      </c>
      <c r="K690" t="s">
        <v>14435</v>
      </c>
      <c r="L690" t="s">
        <v>14436</v>
      </c>
      <c r="M690" t="s">
        <v>14437</v>
      </c>
      <c r="N690" t="s">
        <v>14438</v>
      </c>
      <c r="O690">
        <f>-729.827706816989 -69.5727329966182 -731.759499271158</f>
        <v>-1531.1599390847653</v>
      </c>
      <c r="P690">
        <f>-736.067611973789 -54.8868516218827 -415.639911063604</f>
        <v>-1206.5943746592757</v>
      </c>
      <c r="Q690">
        <f>-491.946243315356 -81.9304595052495 -330.109390957569</f>
        <v>-903.98609377817456</v>
      </c>
      <c r="R690" t="s">
        <v>14439</v>
      </c>
      <c r="S690" t="s">
        <v>14440</v>
      </c>
      <c r="T690" t="s">
        <v>14441</v>
      </c>
      <c r="U690" t="s">
        <v>14442</v>
      </c>
      <c r="V690" t="s">
        <v>14443</v>
      </c>
      <c r="W690" t="s">
        <v>14444</v>
      </c>
      <c r="X690" t="s">
        <v>14445</v>
      </c>
      <c r="Y690" t="s">
        <v>14446</v>
      </c>
    </row>
    <row r="691" spans="1:25" x14ac:dyDescent="0.3">
      <c r="A691">
        <v>34500</v>
      </c>
      <c r="B691" t="s">
        <v>14447</v>
      </c>
      <c r="C691" t="s">
        <v>14448</v>
      </c>
      <c r="D691" t="s">
        <v>14449</v>
      </c>
      <c r="E691" t="s">
        <v>14450</v>
      </c>
      <c r="F691" t="s">
        <v>14451</v>
      </c>
      <c r="G691" t="s">
        <v>14452</v>
      </c>
      <c r="H691" t="s">
        <v>14453</v>
      </c>
      <c r="I691" t="s">
        <v>14454</v>
      </c>
      <c r="J691" t="s">
        <v>14455</v>
      </c>
      <c r="K691" t="s">
        <v>14456</v>
      </c>
      <c r="L691" t="s">
        <v>14457</v>
      </c>
      <c r="M691" t="s">
        <v>14458</v>
      </c>
      <c r="N691" t="s">
        <v>14459</v>
      </c>
      <c r="O691">
        <f>-729.945999479643 -69.881327885719 -731.608301466768</f>
        <v>-1531.4356288321301</v>
      </c>
      <c r="P691">
        <f>-736.218301406 -55.1913508893986 -415.489636117488</f>
        <v>-1206.8992884128866</v>
      </c>
      <c r="Q691">
        <f>-492.156099970183 -82.6051761277645 -329.908057500684</f>
        <v>-904.66933359863151</v>
      </c>
      <c r="R691" t="s">
        <v>14460</v>
      </c>
      <c r="S691" t="s">
        <v>14461</v>
      </c>
      <c r="T691" t="s">
        <v>14462</v>
      </c>
      <c r="U691" t="s">
        <v>14463</v>
      </c>
      <c r="V691" t="s">
        <v>14464</v>
      </c>
      <c r="W691" t="s">
        <v>14465</v>
      </c>
      <c r="X691" t="s">
        <v>14466</v>
      </c>
      <c r="Y691" t="s">
        <v>14467</v>
      </c>
    </row>
    <row r="692" spans="1:25" x14ac:dyDescent="0.3">
      <c r="A692">
        <v>34550</v>
      </c>
      <c r="B692" t="s">
        <v>14468</v>
      </c>
      <c r="C692" t="s">
        <v>14469</v>
      </c>
      <c r="D692" t="s">
        <v>14470</v>
      </c>
      <c r="E692" t="s">
        <v>14471</v>
      </c>
      <c r="F692" t="s">
        <v>14472</v>
      </c>
      <c r="G692" t="s">
        <v>14473</v>
      </c>
      <c r="H692" t="s">
        <v>14474</v>
      </c>
      <c r="I692" t="s">
        <v>14475</v>
      </c>
      <c r="J692" t="s">
        <v>14476</v>
      </c>
      <c r="K692" t="s">
        <v>14477</v>
      </c>
      <c r="L692" t="s">
        <v>14478</v>
      </c>
      <c r="M692" t="s">
        <v>14479</v>
      </c>
      <c r="N692" t="s">
        <v>14480</v>
      </c>
      <c r="O692">
        <f>-729.961989219557 -70.1994859396423 -731.576272660794</f>
        <v>-1531.7377478199933</v>
      </c>
      <c r="P692">
        <f>-736.525653026695 -55.4681792918316 -415.465418534285</f>
        <v>-1207.4592508528115</v>
      </c>
      <c r="Q692">
        <f>-492.652592803081 -83.2363691431756 -329.460372780722</f>
        <v>-905.34933472697867</v>
      </c>
      <c r="R692" t="s">
        <v>14481</v>
      </c>
      <c r="S692" t="s">
        <v>14482</v>
      </c>
      <c r="T692" t="s">
        <v>14483</v>
      </c>
      <c r="U692" t="s">
        <v>14484</v>
      </c>
      <c r="V692" t="s">
        <v>14485</v>
      </c>
      <c r="W692" t="s">
        <v>14486</v>
      </c>
      <c r="X692" t="s">
        <v>14487</v>
      </c>
      <c r="Y692" t="s">
        <v>14488</v>
      </c>
    </row>
    <row r="693" spans="1:25" x14ac:dyDescent="0.3">
      <c r="A693">
        <v>34600</v>
      </c>
      <c r="B693" t="s">
        <v>14489</v>
      </c>
      <c r="C693" t="s">
        <v>14490</v>
      </c>
      <c r="D693" t="s">
        <v>14491</v>
      </c>
      <c r="E693" t="s">
        <v>14492</v>
      </c>
      <c r="F693" t="s">
        <v>14493</v>
      </c>
      <c r="G693" t="s">
        <v>14494</v>
      </c>
      <c r="H693" t="s">
        <v>14495</v>
      </c>
      <c r="I693" t="s">
        <v>14496</v>
      </c>
      <c r="J693" t="s">
        <v>14497</v>
      </c>
      <c r="K693" t="s">
        <v>14498</v>
      </c>
      <c r="L693" t="s">
        <v>14499</v>
      </c>
      <c r="M693" t="s">
        <v>14500</v>
      </c>
      <c r="N693" t="s">
        <v>14501</v>
      </c>
      <c r="O693">
        <f>-729.867808076945 -70.4030703225344 -731.648635421753</f>
        <v>-1531.9195138212326</v>
      </c>
      <c r="P693">
        <f>-736.644448169723 -55.7350841988514 -415.539301161916</f>
        <v>-1207.9188335304902</v>
      </c>
      <c r="Q693">
        <f>-492.815174479641 -83.4835603800068 -329.403572442887</f>
        <v>-905.70230730253479</v>
      </c>
      <c r="R693" t="s">
        <v>14502</v>
      </c>
      <c r="S693" t="s">
        <v>14503</v>
      </c>
      <c r="T693" t="s">
        <v>14504</v>
      </c>
      <c r="U693" t="s">
        <v>14505</v>
      </c>
      <c r="V693" t="s">
        <v>14506</v>
      </c>
      <c r="W693" t="s">
        <v>14507</v>
      </c>
      <c r="X693" t="s">
        <v>14508</v>
      </c>
      <c r="Y693" t="s">
        <v>14509</v>
      </c>
    </row>
    <row r="694" spans="1:25" x14ac:dyDescent="0.3">
      <c r="A694">
        <v>34650</v>
      </c>
      <c r="B694" t="s">
        <v>14510</v>
      </c>
      <c r="C694" t="s">
        <v>14511</v>
      </c>
      <c r="D694" t="s">
        <v>14512</v>
      </c>
      <c r="E694" t="s">
        <v>14513</v>
      </c>
      <c r="F694" t="s">
        <v>14514</v>
      </c>
      <c r="G694" t="s">
        <v>14515</v>
      </c>
      <c r="H694" t="s">
        <v>14516</v>
      </c>
      <c r="I694" t="s">
        <v>14517</v>
      </c>
      <c r="J694" t="s">
        <v>14518</v>
      </c>
      <c r="K694" t="s">
        <v>14519</v>
      </c>
      <c r="L694" t="s">
        <v>14520</v>
      </c>
      <c r="M694" t="s">
        <v>14521</v>
      </c>
      <c r="N694" t="s">
        <v>14522</v>
      </c>
      <c r="O694">
        <f>-729.576736059608 -70.3371250577416 -731.916263415715</f>
        <v>-1531.8301245330645</v>
      </c>
      <c r="P694">
        <f>-736.470528746977 -55.900544995179 -415.798896957605</f>
        <v>-1208.1699706997611</v>
      </c>
      <c r="Q694">
        <f>-492.660856073413 -83.4966366378922 -329.558561772214</f>
        <v>-905.7160544835192</v>
      </c>
      <c r="R694" t="s">
        <v>14523</v>
      </c>
      <c r="S694" t="s">
        <v>14524</v>
      </c>
      <c r="T694" t="s">
        <v>14525</v>
      </c>
      <c r="U694" t="s">
        <v>14526</v>
      </c>
      <c r="V694" t="s">
        <v>14527</v>
      </c>
      <c r="W694" t="s">
        <v>14528</v>
      </c>
      <c r="X694" t="s">
        <v>14529</v>
      </c>
      <c r="Y694" t="s">
        <v>14530</v>
      </c>
    </row>
    <row r="695" spans="1:25" x14ac:dyDescent="0.3">
      <c r="A695">
        <v>34700</v>
      </c>
      <c r="B695" t="s">
        <v>14531</v>
      </c>
      <c r="C695" t="s">
        <v>14532</v>
      </c>
      <c r="D695" t="s">
        <v>14533</v>
      </c>
      <c r="E695" t="s">
        <v>14534</v>
      </c>
      <c r="F695" t="s">
        <v>14535</v>
      </c>
      <c r="G695" t="s">
        <v>14536</v>
      </c>
      <c r="H695" t="s">
        <v>14537</v>
      </c>
      <c r="I695" t="s">
        <v>14538</v>
      </c>
      <c r="J695" t="s">
        <v>14539</v>
      </c>
      <c r="K695" t="s">
        <v>14540</v>
      </c>
      <c r="L695" t="s">
        <v>14541</v>
      </c>
      <c r="M695" t="s">
        <v>14542</v>
      </c>
      <c r="N695" t="s">
        <v>14543</v>
      </c>
      <c r="O695">
        <f>-729.336233346204 -70.3546857551923 -732.002434422993</f>
        <v>-1531.6933535243893</v>
      </c>
      <c r="P695">
        <f>-736.228582487922 -56.1070302026349 -415.876230001302</f>
        <v>-1208.2118426918589</v>
      </c>
      <c r="Q695">
        <f>-492.411986838561 -83.5027472932441 -329.591789299662</f>
        <v>-905.50652343146703</v>
      </c>
      <c r="R695" t="s">
        <v>14544</v>
      </c>
      <c r="S695" t="s">
        <v>14545</v>
      </c>
      <c r="T695" t="s">
        <v>14546</v>
      </c>
      <c r="U695" t="s">
        <v>14547</v>
      </c>
      <c r="V695" t="s">
        <v>14548</v>
      </c>
      <c r="W695" t="s">
        <v>14549</v>
      </c>
      <c r="X695" t="s">
        <v>14550</v>
      </c>
      <c r="Y695" t="s">
        <v>14551</v>
      </c>
    </row>
    <row r="696" spans="1:25" x14ac:dyDescent="0.3">
      <c r="A696">
        <v>34750</v>
      </c>
      <c r="B696" t="s">
        <v>14552</v>
      </c>
      <c r="C696" t="s">
        <v>14553</v>
      </c>
      <c r="D696" t="s">
        <v>14554</v>
      </c>
      <c r="E696" t="s">
        <v>14555</v>
      </c>
      <c r="F696" t="s">
        <v>14556</v>
      </c>
      <c r="G696" t="s">
        <v>14557</v>
      </c>
      <c r="H696" t="s">
        <v>14558</v>
      </c>
      <c r="I696" t="s">
        <v>14559</v>
      </c>
      <c r="J696" t="s">
        <v>14560</v>
      </c>
      <c r="K696" t="s">
        <v>14561</v>
      </c>
      <c r="L696" t="s">
        <v>14562</v>
      </c>
      <c r="M696" t="s">
        <v>14563</v>
      </c>
      <c r="N696" t="s">
        <v>14564</v>
      </c>
      <c r="O696">
        <f>-729.126194302103 -70.340406424838 -732.135846710307</f>
        <v>-1531.602447437248</v>
      </c>
      <c r="P696">
        <f>-736.035433211845 -56.3785802417901 -415.997431508731</f>
        <v>-1208.4114449623662</v>
      </c>
      <c r="Q696">
        <f>-492.10574755833 -83.3304374771783 -329.893089158468</f>
        <v>-905.32927419397629</v>
      </c>
      <c r="R696" t="s">
        <v>14565</v>
      </c>
      <c r="S696" t="s">
        <v>14566</v>
      </c>
      <c r="T696" t="s">
        <v>14567</v>
      </c>
      <c r="U696" t="s">
        <v>14568</v>
      </c>
      <c r="V696" t="s">
        <v>14569</v>
      </c>
      <c r="W696" t="s">
        <v>14570</v>
      </c>
      <c r="X696" t="s">
        <v>14571</v>
      </c>
      <c r="Y696" t="s">
        <v>14572</v>
      </c>
    </row>
    <row r="697" spans="1:25" x14ac:dyDescent="0.3">
      <c r="A697">
        <v>34800</v>
      </c>
      <c r="B697" t="s">
        <v>14573</v>
      </c>
      <c r="C697" t="s">
        <v>14574</v>
      </c>
      <c r="D697" t="s">
        <v>14575</v>
      </c>
      <c r="E697" t="s">
        <v>14576</v>
      </c>
      <c r="F697" t="s">
        <v>14577</v>
      </c>
      <c r="G697" t="s">
        <v>14578</v>
      </c>
      <c r="H697" t="s">
        <v>14579</v>
      </c>
      <c r="I697" t="s">
        <v>14580</v>
      </c>
      <c r="J697" t="s">
        <v>14581</v>
      </c>
      <c r="K697" t="s">
        <v>14582</v>
      </c>
      <c r="L697" t="s">
        <v>14583</v>
      </c>
      <c r="M697" t="s">
        <v>14584</v>
      </c>
      <c r="N697" t="s">
        <v>14585</v>
      </c>
      <c r="O697">
        <f>-728.828098957435 -70.3725546923415 -732.098316163034</f>
        <v>-1531.2989698128106</v>
      </c>
      <c r="P697">
        <f>-735.624997202958 -56.6235439011482 -415.948123549833</f>
        <v>-1208.196664653939</v>
      </c>
      <c r="Q697">
        <f>-491.669300937182 -83.498216047552 -329.89336971701</f>
        <v>-905.06088670174404</v>
      </c>
      <c r="R697" t="s">
        <v>14586</v>
      </c>
      <c r="S697" t="s">
        <v>14587</v>
      </c>
      <c r="T697" t="s">
        <v>14588</v>
      </c>
      <c r="U697" t="s">
        <v>14589</v>
      </c>
      <c r="V697" t="s">
        <v>14590</v>
      </c>
      <c r="W697" t="s">
        <v>14591</v>
      </c>
      <c r="X697" t="s">
        <v>14592</v>
      </c>
      <c r="Y697" t="s">
        <v>14593</v>
      </c>
    </row>
    <row r="698" spans="1:25" x14ac:dyDescent="0.3">
      <c r="A698">
        <v>34850</v>
      </c>
      <c r="B698" t="s">
        <v>14594</v>
      </c>
      <c r="C698" t="s">
        <v>14595</v>
      </c>
      <c r="D698" t="s">
        <v>14596</v>
      </c>
      <c r="E698" t="s">
        <v>14597</v>
      </c>
      <c r="F698" t="s">
        <v>14598</v>
      </c>
      <c r="G698" t="s">
        <v>14599</v>
      </c>
      <c r="H698" t="s">
        <v>14600</v>
      </c>
      <c r="I698" t="s">
        <v>14601</v>
      </c>
      <c r="J698" t="s">
        <v>14602</v>
      </c>
      <c r="K698" t="s">
        <v>14603</v>
      </c>
      <c r="L698" t="s">
        <v>14604</v>
      </c>
      <c r="M698" t="s">
        <v>14605</v>
      </c>
      <c r="N698" t="s">
        <v>14606</v>
      </c>
      <c r="O698">
        <f>-728.477070578767 -70.4236666816671 -731.987397411613</f>
        <v>-1530.888134672047</v>
      </c>
      <c r="P698">
        <f>-735.273876238499 -56.7795731648202 -415.832691872918</f>
        <v>-1207.8861412762374</v>
      </c>
      <c r="Q698">
        <f>-491.244294239115 -83.477493153498 -329.932551722029</f>
        <v>-904.65433911464197</v>
      </c>
      <c r="R698" t="s">
        <v>14607</v>
      </c>
      <c r="S698" t="s">
        <v>14608</v>
      </c>
      <c r="T698" t="s">
        <v>14609</v>
      </c>
      <c r="U698" t="s">
        <v>14610</v>
      </c>
      <c r="V698" t="s">
        <v>14611</v>
      </c>
      <c r="W698" t="s">
        <v>14612</v>
      </c>
      <c r="X698" t="s">
        <v>14613</v>
      </c>
      <c r="Y698" t="s">
        <v>14614</v>
      </c>
    </row>
    <row r="699" spans="1:25" x14ac:dyDescent="0.3">
      <c r="A699">
        <v>34900</v>
      </c>
      <c r="B699" t="s">
        <v>14615</v>
      </c>
      <c r="C699" t="s">
        <v>14616</v>
      </c>
      <c r="D699" t="s">
        <v>14617</v>
      </c>
      <c r="E699" t="s">
        <v>14618</v>
      </c>
      <c r="F699" t="s">
        <v>14619</v>
      </c>
      <c r="G699" t="s">
        <v>14620</v>
      </c>
      <c r="H699" t="s">
        <v>14621</v>
      </c>
      <c r="I699" t="s">
        <v>14622</v>
      </c>
      <c r="J699" t="s">
        <v>14623</v>
      </c>
      <c r="K699" t="s">
        <v>14624</v>
      </c>
      <c r="L699" t="s">
        <v>14625</v>
      </c>
      <c r="M699" t="s">
        <v>14626</v>
      </c>
      <c r="N699" t="s">
        <v>14627</v>
      </c>
      <c r="O699">
        <f>-728.409672435978 -70.4799045990646 -731.875972911921</f>
        <v>-1530.7655499469638</v>
      </c>
      <c r="P699">
        <f>-735.225794730218 -56.814167545429 -415.722586942527</f>
        <v>-1207.7625492181739</v>
      </c>
      <c r="Q699">
        <f>-491.19938889272 -83.433125171269 -329.788953099213</f>
        <v>-904.42146716320201</v>
      </c>
      <c r="R699" t="s">
        <v>14628</v>
      </c>
      <c r="S699" t="s">
        <v>14629</v>
      </c>
      <c r="T699" t="s">
        <v>14630</v>
      </c>
      <c r="U699" t="s">
        <v>14631</v>
      </c>
      <c r="V699" t="s">
        <v>14632</v>
      </c>
      <c r="W699" t="s">
        <v>14633</v>
      </c>
      <c r="X699" t="s">
        <v>14634</v>
      </c>
      <c r="Y699" t="s">
        <v>14635</v>
      </c>
    </row>
    <row r="700" spans="1:25" x14ac:dyDescent="0.3">
      <c r="A700">
        <v>34950</v>
      </c>
      <c r="B700" t="s">
        <v>14636</v>
      </c>
      <c r="C700" t="s">
        <v>14637</v>
      </c>
      <c r="D700" t="s">
        <v>14638</v>
      </c>
      <c r="E700" t="s">
        <v>14639</v>
      </c>
      <c r="F700" t="s">
        <v>14640</v>
      </c>
      <c r="G700" t="s">
        <v>14641</v>
      </c>
      <c r="H700" t="s">
        <v>14642</v>
      </c>
      <c r="I700" t="s">
        <v>14643</v>
      </c>
      <c r="J700" t="s">
        <v>14644</v>
      </c>
      <c r="K700" t="s">
        <v>14645</v>
      </c>
      <c r="L700" t="s">
        <v>14646</v>
      </c>
      <c r="M700" t="s">
        <v>14647</v>
      </c>
      <c r="N700" t="s">
        <v>14648</v>
      </c>
      <c r="O700">
        <f>-728.194181598682 -70.5085509365483 -731.73911833269</f>
        <v>-1530.4418508679205</v>
      </c>
      <c r="P700">
        <f>-735.123454694733 -56.8150101395738 -415.589421670594</f>
        <v>-1207.5278865049008</v>
      </c>
      <c r="Q700">
        <f>-491.152219594728 -83.3957144274427 -329.487405685591</f>
        <v>-904.03533970776175</v>
      </c>
      <c r="R700" t="s">
        <v>14649</v>
      </c>
      <c r="S700" t="s">
        <v>14650</v>
      </c>
      <c r="T700" t="s">
        <v>14651</v>
      </c>
      <c r="U700" t="s">
        <v>14652</v>
      </c>
      <c r="V700" t="s">
        <v>14653</v>
      </c>
      <c r="W700" t="s">
        <v>14654</v>
      </c>
      <c r="X700" t="s">
        <v>14655</v>
      </c>
      <c r="Y700" t="s">
        <v>14656</v>
      </c>
    </row>
    <row r="701" spans="1:25" x14ac:dyDescent="0.3">
      <c r="A701">
        <v>35000</v>
      </c>
      <c r="B701" t="s">
        <v>14657</v>
      </c>
      <c r="C701" t="s">
        <v>14658</v>
      </c>
      <c r="D701" t="s">
        <v>14659</v>
      </c>
      <c r="E701" t="s">
        <v>14660</v>
      </c>
      <c r="F701" t="s">
        <v>14661</v>
      </c>
      <c r="G701" t="s">
        <v>14662</v>
      </c>
      <c r="H701" t="s">
        <v>14663</v>
      </c>
      <c r="I701" t="s">
        <v>14664</v>
      </c>
      <c r="J701" t="s">
        <v>14665</v>
      </c>
      <c r="K701" t="s">
        <v>14666</v>
      </c>
      <c r="L701" t="s">
        <v>14667</v>
      </c>
      <c r="M701" t="s">
        <v>14668</v>
      </c>
      <c r="N701" t="s">
        <v>14669</v>
      </c>
      <c r="O701">
        <f>-728.072522730828 -70.4443955984559 -731.719888430835</f>
        <v>-1530.236806760119</v>
      </c>
      <c r="P701">
        <f>-735.055433680734 -56.6941289854708 -415.573856490895</f>
        <v>-1207.3234191570998</v>
      </c>
      <c r="Q701">
        <f>-491.083659019716 -83.2109400925015 -329.453625785244</f>
        <v>-903.74822489746157</v>
      </c>
      <c r="R701" t="s">
        <v>14670</v>
      </c>
      <c r="S701" t="s">
        <v>14671</v>
      </c>
      <c r="T701" t="s">
        <v>14672</v>
      </c>
      <c r="U701" t="s">
        <v>14673</v>
      </c>
      <c r="V701" t="s">
        <v>14674</v>
      </c>
      <c r="W701" t="s">
        <v>14675</v>
      </c>
      <c r="X701" t="s">
        <v>14676</v>
      </c>
      <c r="Y701" t="s">
        <v>14677</v>
      </c>
    </row>
    <row r="702" spans="1:25" x14ac:dyDescent="0.3">
      <c r="A702">
        <v>35050</v>
      </c>
      <c r="B702" t="s">
        <v>14678</v>
      </c>
      <c r="C702" t="s">
        <v>14679</v>
      </c>
      <c r="D702" t="s">
        <v>14680</v>
      </c>
      <c r="E702" t="s">
        <v>14681</v>
      </c>
      <c r="F702" t="s">
        <v>14682</v>
      </c>
      <c r="G702" t="s">
        <v>14683</v>
      </c>
      <c r="H702" t="s">
        <v>14684</v>
      </c>
      <c r="I702" t="s">
        <v>14685</v>
      </c>
      <c r="J702" t="s">
        <v>14686</v>
      </c>
      <c r="K702" t="s">
        <v>14687</v>
      </c>
      <c r="L702" t="s">
        <v>14688</v>
      </c>
      <c r="M702" t="s">
        <v>14689</v>
      </c>
      <c r="N702" t="s">
        <v>14690</v>
      </c>
      <c r="O702">
        <f>-727.667712241328 -70.0944307768243 -731.708854926211</f>
        <v>-1529.4709979443633</v>
      </c>
      <c r="P702">
        <f>-734.598977758423 -56.4842136293573 -415.555588355971</f>
        <v>-1206.6387797437512</v>
      </c>
      <c r="Q702">
        <f>-490.619048803836 -82.8141420176803 -329.40098464898</f>
        <v>-902.83417547049635</v>
      </c>
      <c r="R702" t="s">
        <v>14691</v>
      </c>
      <c r="S702" t="s">
        <v>14692</v>
      </c>
      <c r="T702" t="s">
        <v>14693</v>
      </c>
      <c r="U702" t="s">
        <v>14694</v>
      </c>
      <c r="V702" t="s">
        <v>14695</v>
      </c>
      <c r="W702" t="s">
        <v>14696</v>
      </c>
      <c r="X702" t="s">
        <v>14697</v>
      </c>
      <c r="Y702" t="s">
        <v>14698</v>
      </c>
    </row>
    <row r="703" spans="1:25" x14ac:dyDescent="0.3">
      <c r="A703">
        <v>35100</v>
      </c>
      <c r="B703" t="s">
        <v>14699</v>
      </c>
      <c r="C703" t="s">
        <v>14700</v>
      </c>
      <c r="D703" t="s">
        <v>14701</v>
      </c>
      <c r="E703" t="s">
        <v>14702</v>
      </c>
      <c r="F703" t="s">
        <v>14703</v>
      </c>
      <c r="G703" t="s">
        <v>14704</v>
      </c>
      <c r="H703" t="s">
        <v>14705</v>
      </c>
      <c r="I703" t="s">
        <v>14706</v>
      </c>
      <c r="J703" t="s">
        <v>14707</v>
      </c>
      <c r="K703" t="s">
        <v>14708</v>
      </c>
      <c r="L703" t="s">
        <v>14709</v>
      </c>
      <c r="M703" t="s">
        <v>14710</v>
      </c>
      <c r="N703" t="s">
        <v>14711</v>
      </c>
      <c r="O703">
        <f>-727.518098970908 -69.8762728405197 -731.692650827418</f>
        <v>-1529.0870226388456</v>
      </c>
      <c r="P703">
        <f>-734.398196018864 -56.3947543717316 -415.53277660181</f>
        <v>-1206.3257269924056</v>
      </c>
      <c r="Q703">
        <f>-490.38715533227 -82.7413597839243 -329.471588392541</f>
        <v>-902.60010350873529</v>
      </c>
      <c r="R703" t="s">
        <v>14712</v>
      </c>
      <c r="S703" t="s">
        <v>14713</v>
      </c>
      <c r="T703" t="s">
        <v>14714</v>
      </c>
      <c r="U703" t="s">
        <v>14715</v>
      </c>
      <c r="V703" t="s">
        <v>14716</v>
      </c>
      <c r="W703" t="s">
        <v>14717</v>
      </c>
      <c r="X703" t="s">
        <v>14718</v>
      </c>
      <c r="Y703" t="s">
        <v>14719</v>
      </c>
    </row>
    <row r="704" spans="1:25" x14ac:dyDescent="0.3">
      <c r="A704">
        <v>35150</v>
      </c>
      <c r="B704" t="s">
        <v>14720</v>
      </c>
      <c r="C704" t="s">
        <v>14721</v>
      </c>
      <c r="D704" t="s">
        <v>14722</v>
      </c>
      <c r="E704" t="s">
        <v>14723</v>
      </c>
      <c r="F704" t="s">
        <v>14724</v>
      </c>
      <c r="G704" t="s">
        <v>14725</v>
      </c>
      <c r="H704" t="s">
        <v>14726</v>
      </c>
      <c r="I704" t="s">
        <v>14727</v>
      </c>
      <c r="J704" t="s">
        <v>14728</v>
      </c>
      <c r="K704" t="s">
        <v>14729</v>
      </c>
      <c r="L704" t="s">
        <v>14730</v>
      </c>
      <c r="M704" t="s">
        <v>14731</v>
      </c>
      <c r="N704" t="s">
        <v>14732</v>
      </c>
      <c r="O704">
        <f>-727.917789861409 -69.1469803105776 -731.702230791061</f>
        <v>-1528.7670009630476</v>
      </c>
      <c r="P704">
        <f>-734.643213405869 -55.9443624602054 -415.527268371855</f>
        <v>-1206.1148442379294</v>
      </c>
      <c r="Q704">
        <f>-490.557543088595 -82.0831341584478 -329.614392100266</f>
        <v>-902.25506934730879</v>
      </c>
      <c r="R704" t="s">
        <v>14733</v>
      </c>
      <c r="S704" t="s">
        <v>14734</v>
      </c>
      <c r="T704" t="s">
        <v>14735</v>
      </c>
      <c r="U704" t="s">
        <v>14736</v>
      </c>
      <c r="V704" t="s">
        <v>14737</v>
      </c>
      <c r="W704" t="s">
        <v>14738</v>
      </c>
      <c r="X704" t="s">
        <v>14739</v>
      </c>
      <c r="Y704" t="s">
        <v>14740</v>
      </c>
    </row>
    <row r="705" spans="1:25" x14ac:dyDescent="0.3">
      <c r="A705">
        <v>35200</v>
      </c>
      <c r="B705" t="s">
        <v>14741</v>
      </c>
      <c r="C705" t="s">
        <v>14742</v>
      </c>
      <c r="D705" t="s">
        <v>14743</v>
      </c>
      <c r="E705" t="s">
        <v>14744</v>
      </c>
      <c r="F705" t="s">
        <v>14745</v>
      </c>
      <c r="G705" t="s">
        <v>14746</v>
      </c>
      <c r="H705" t="s">
        <v>14747</v>
      </c>
      <c r="I705" t="s">
        <v>14748</v>
      </c>
      <c r="J705" t="s">
        <v>14749</v>
      </c>
      <c r="K705" t="s">
        <v>14750</v>
      </c>
      <c r="L705" t="s">
        <v>14751</v>
      </c>
      <c r="M705" t="s">
        <v>14752</v>
      </c>
      <c r="N705" t="s">
        <v>14753</v>
      </c>
      <c r="O705">
        <f>-728.207569242494 -68.7469124732418 -731.744268581894</f>
        <v>-1528.6987502976297</v>
      </c>
      <c r="P705">
        <f>-734.832853856738 -55.7202892336081 -415.559833986117</f>
        <v>-1206.112977076463</v>
      </c>
      <c r="Q705">
        <f>-490.742376561615 -81.8745638351186 -329.665196577178</f>
        <v>-902.28213697391163</v>
      </c>
      <c r="R705" t="s">
        <v>14754</v>
      </c>
      <c r="S705" t="s">
        <v>14755</v>
      </c>
      <c r="T705" t="s">
        <v>14756</v>
      </c>
      <c r="U705" t="s">
        <v>14757</v>
      </c>
      <c r="V705" t="s">
        <v>14758</v>
      </c>
      <c r="W705" t="s">
        <v>14759</v>
      </c>
      <c r="X705" t="s">
        <v>14760</v>
      </c>
      <c r="Y705" t="s">
        <v>14761</v>
      </c>
    </row>
    <row r="706" spans="1:25" x14ac:dyDescent="0.3">
      <c r="A706">
        <v>35250</v>
      </c>
      <c r="B706" t="s">
        <v>14762</v>
      </c>
      <c r="C706" t="s">
        <v>14763</v>
      </c>
      <c r="D706" t="s">
        <v>14764</v>
      </c>
      <c r="E706" t="s">
        <v>14765</v>
      </c>
      <c r="F706" t="s">
        <v>14766</v>
      </c>
      <c r="G706" t="s">
        <v>14767</v>
      </c>
      <c r="H706" t="s">
        <v>14768</v>
      </c>
      <c r="I706" t="s">
        <v>14769</v>
      </c>
      <c r="J706" t="s">
        <v>14770</v>
      </c>
      <c r="K706" t="s">
        <v>14771</v>
      </c>
      <c r="L706" t="s">
        <v>14772</v>
      </c>
      <c r="M706" t="s">
        <v>14773</v>
      </c>
      <c r="N706" t="s">
        <v>14774</v>
      </c>
      <c r="O706">
        <f>-728.763488587582 -68.0208788289135 -731.669014407363</f>
        <v>-1528.4533818238583</v>
      </c>
      <c r="P706">
        <f>-735.253373706121 -54.9517968322841 -415.483627553757</f>
        <v>-1205.6887980921622</v>
      </c>
      <c r="Q706">
        <f>-491.142027969566 -80.9789442568658 -329.609805975828</f>
        <v>-901.7307782022599</v>
      </c>
      <c r="R706" t="s">
        <v>14775</v>
      </c>
      <c r="S706" t="s">
        <v>14776</v>
      </c>
      <c r="T706" t="s">
        <v>14777</v>
      </c>
      <c r="U706" t="s">
        <v>14778</v>
      </c>
      <c r="V706" t="s">
        <v>14779</v>
      </c>
      <c r="W706" t="s">
        <v>14780</v>
      </c>
      <c r="X706" t="s">
        <v>14781</v>
      </c>
      <c r="Y706" t="s">
        <v>14782</v>
      </c>
    </row>
    <row r="707" spans="1:25" x14ac:dyDescent="0.3">
      <c r="A707">
        <v>35300</v>
      </c>
      <c r="B707" t="s">
        <v>14783</v>
      </c>
      <c r="C707" t="s">
        <v>14784</v>
      </c>
      <c r="D707" t="s">
        <v>14785</v>
      </c>
      <c r="E707" t="s">
        <v>14786</v>
      </c>
      <c r="F707" t="s">
        <v>14787</v>
      </c>
      <c r="G707" t="s">
        <v>14788</v>
      </c>
      <c r="H707" t="s">
        <v>14789</v>
      </c>
      <c r="I707" t="s">
        <v>14790</v>
      </c>
      <c r="J707" t="s">
        <v>14791</v>
      </c>
      <c r="K707" t="s">
        <v>14792</v>
      </c>
      <c r="L707" t="s">
        <v>14793</v>
      </c>
      <c r="M707" t="s">
        <v>14794</v>
      </c>
      <c r="N707" t="s">
        <v>14795</v>
      </c>
      <c r="O707">
        <f>-729.031400443262 -67.8782642191989 -731.506864738038</f>
        <v>-1528.4165294004988</v>
      </c>
      <c r="P707">
        <f>-735.385995185746 -54.7915635579607 -415.319304506442</f>
        <v>-1205.4968632501486</v>
      </c>
      <c r="Q707">
        <f>-491.25487567689 -80.8481248425012 -329.51070055479</f>
        <v>-901.61370107418122</v>
      </c>
      <c r="R707" t="s">
        <v>14796</v>
      </c>
      <c r="S707" t="s">
        <v>14797</v>
      </c>
      <c r="T707" t="s">
        <v>14798</v>
      </c>
      <c r="U707" t="s">
        <v>14799</v>
      </c>
      <c r="V707" t="s">
        <v>14800</v>
      </c>
      <c r="W707" t="s">
        <v>14801</v>
      </c>
      <c r="X707" t="s">
        <v>14802</v>
      </c>
      <c r="Y707" t="s">
        <v>14803</v>
      </c>
    </row>
    <row r="708" spans="1:25" x14ac:dyDescent="0.3">
      <c r="A708">
        <v>35350</v>
      </c>
      <c r="B708" t="s">
        <v>14804</v>
      </c>
      <c r="C708" t="s">
        <v>14805</v>
      </c>
      <c r="D708" t="s">
        <v>14806</v>
      </c>
      <c r="E708" t="s">
        <v>14807</v>
      </c>
      <c r="F708" t="s">
        <v>14808</v>
      </c>
      <c r="G708" t="s">
        <v>14809</v>
      </c>
      <c r="H708" t="s">
        <v>14810</v>
      </c>
      <c r="I708" t="s">
        <v>14811</v>
      </c>
      <c r="J708" t="s">
        <v>14812</v>
      </c>
      <c r="K708" t="s">
        <v>14813</v>
      </c>
      <c r="L708" t="s">
        <v>14814</v>
      </c>
      <c r="M708" t="s">
        <v>14815</v>
      </c>
      <c r="N708" t="s">
        <v>14816</v>
      </c>
      <c r="O708">
        <f>-729.880077887625 -67.443776979959 -731.154506435037</f>
        <v>-1528.4783613026211</v>
      </c>
      <c r="P708">
        <f>-735.51808226863 -54.084555225551 -414.964916488067</f>
        <v>-1204.567553982248</v>
      </c>
      <c r="Q708">
        <f>-491.304735407857 -80.2243844996221 -329.41593270321</f>
        <v>-900.94505261068912</v>
      </c>
      <c r="R708" t="s">
        <v>14817</v>
      </c>
      <c r="S708" t="s">
        <v>14818</v>
      </c>
      <c r="T708" t="s">
        <v>14819</v>
      </c>
      <c r="U708" t="s">
        <v>14820</v>
      </c>
      <c r="V708" t="s">
        <v>14821</v>
      </c>
      <c r="W708" t="s">
        <v>14822</v>
      </c>
      <c r="X708" t="s">
        <v>14823</v>
      </c>
      <c r="Y708" t="s">
        <v>14824</v>
      </c>
    </row>
    <row r="709" spans="1:25" x14ac:dyDescent="0.3">
      <c r="A709">
        <v>35400</v>
      </c>
      <c r="B709" t="s">
        <v>14825</v>
      </c>
      <c r="C709" t="s">
        <v>14826</v>
      </c>
      <c r="D709" t="s">
        <v>14827</v>
      </c>
      <c r="E709" t="s">
        <v>14828</v>
      </c>
      <c r="F709" t="s">
        <v>14829</v>
      </c>
      <c r="G709" t="s">
        <v>14830</v>
      </c>
      <c r="H709" t="s">
        <v>14831</v>
      </c>
      <c r="I709" t="s">
        <v>14832</v>
      </c>
      <c r="J709" t="s">
        <v>14833</v>
      </c>
      <c r="K709" t="s">
        <v>14834</v>
      </c>
      <c r="L709" t="s">
        <v>14835</v>
      </c>
      <c r="M709" t="s">
        <v>14836</v>
      </c>
      <c r="N709" t="s">
        <v>14837</v>
      </c>
      <c r="O709">
        <f>-730.197728567282 -67.1765723467654 -730.973133850552</f>
        <v>-1528.3474347645993</v>
      </c>
      <c r="P709">
        <f>-735.289407361311 -53.6410669565182 -414.781768027443</f>
        <v>-1203.7122423452722</v>
      </c>
      <c r="Q709">
        <f>-491.04273345091 -79.8048460315276 -329.335263191384</f>
        <v>-900.1828426738216</v>
      </c>
      <c r="R709" t="s">
        <v>14838</v>
      </c>
      <c r="S709" t="s">
        <v>14839</v>
      </c>
      <c r="T709" t="s">
        <v>14840</v>
      </c>
      <c r="U709" t="s">
        <v>14841</v>
      </c>
      <c r="V709" t="s">
        <v>14842</v>
      </c>
      <c r="W709" t="s">
        <v>14843</v>
      </c>
      <c r="X709" t="s">
        <v>14844</v>
      </c>
      <c r="Y709" t="s">
        <v>14845</v>
      </c>
    </row>
    <row r="710" spans="1:25" x14ac:dyDescent="0.3">
      <c r="A710">
        <v>35450</v>
      </c>
      <c r="B710" t="s">
        <v>14846</v>
      </c>
      <c r="C710" t="s">
        <v>14847</v>
      </c>
      <c r="D710" t="s">
        <v>14848</v>
      </c>
      <c r="E710" t="s">
        <v>14849</v>
      </c>
      <c r="F710" t="s">
        <v>14850</v>
      </c>
      <c r="G710" t="s">
        <v>14851</v>
      </c>
      <c r="H710" t="s">
        <v>14852</v>
      </c>
      <c r="I710" t="s">
        <v>14853</v>
      </c>
      <c r="J710" t="s">
        <v>14854</v>
      </c>
      <c r="K710" t="s">
        <v>14855</v>
      </c>
      <c r="L710" t="s">
        <v>14856</v>
      </c>
      <c r="M710" t="s">
        <v>14857</v>
      </c>
      <c r="N710" t="s">
        <v>14858</v>
      </c>
      <c r="O710">
        <f>-731.069054261026 -66.549399874322 -730.557366214636</f>
        <v>-1528.175820349984</v>
      </c>
      <c r="P710">
        <f>-735.127504674031 -52.377863733263 -414.378777257403</f>
        <v>-1201.8841456646969</v>
      </c>
      <c r="Q710">
        <f>-490.706772090228 -78.1663878701952 -329.316991088352</f>
        <v>-898.19015104877519</v>
      </c>
      <c r="R710" t="s">
        <v>14859</v>
      </c>
      <c r="S710" t="s">
        <v>14860</v>
      </c>
      <c r="T710" t="s">
        <v>14861</v>
      </c>
      <c r="U710" t="s">
        <v>14862</v>
      </c>
      <c r="V710" t="s">
        <v>14863</v>
      </c>
      <c r="W710" t="s">
        <v>14864</v>
      </c>
      <c r="X710" t="s">
        <v>14865</v>
      </c>
      <c r="Y710" t="s">
        <v>14866</v>
      </c>
    </row>
    <row r="711" spans="1:25" x14ac:dyDescent="0.3">
      <c r="A711">
        <v>35500</v>
      </c>
      <c r="B711" t="s">
        <v>14867</v>
      </c>
      <c r="C711" t="s">
        <v>14868</v>
      </c>
      <c r="D711" t="s">
        <v>14869</v>
      </c>
      <c r="E711" t="s">
        <v>14870</v>
      </c>
      <c r="F711" t="s">
        <v>14871</v>
      </c>
      <c r="G711" t="s">
        <v>14872</v>
      </c>
      <c r="H711" t="s">
        <v>14873</v>
      </c>
      <c r="I711" t="s">
        <v>14874</v>
      </c>
      <c r="J711" t="s">
        <v>14875</v>
      </c>
      <c r="K711" t="s">
        <v>14876</v>
      </c>
      <c r="L711" t="s">
        <v>14877</v>
      </c>
      <c r="M711" t="s">
        <v>14878</v>
      </c>
      <c r="N711" t="s">
        <v>14879</v>
      </c>
      <c r="O711">
        <f>-731.590184644435 -66.1296859594015 -730.379204415557</f>
        <v>-1528.0990750193935</v>
      </c>
      <c r="P711">
        <f>-735.23884467309 -51.6555991818866 -414.209369275727</f>
        <v>-1201.1038131307037</v>
      </c>
      <c r="Q711">
        <f>-490.62737768008 -77.0957277022439 -329.592219718971</f>
        <v>-897.31532510129489</v>
      </c>
      <c r="R711" t="s">
        <v>14880</v>
      </c>
      <c r="S711" t="s">
        <v>14881</v>
      </c>
      <c r="T711" t="s">
        <v>14882</v>
      </c>
      <c r="U711" t="s">
        <v>14883</v>
      </c>
      <c r="V711" t="s">
        <v>14884</v>
      </c>
      <c r="W711" t="s">
        <v>14885</v>
      </c>
      <c r="X711" t="s">
        <v>14886</v>
      </c>
      <c r="Y711" t="s">
        <v>14887</v>
      </c>
    </row>
    <row r="712" spans="1:25" x14ac:dyDescent="0.3">
      <c r="A712">
        <v>35550</v>
      </c>
      <c r="B712" t="s">
        <v>14888</v>
      </c>
      <c r="C712" t="s">
        <v>14889</v>
      </c>
      <c r="D712" t="s">
        <v>14890</v>
      </c>
      <c r="E712" t="s">
        <v>14891</v>
      </c>
      <c r="F712" t="s">
        <v>14892</v>
      </c>
      <c r="G712" t="s">
        <v>14893</v>
      </c>
      <c r="H712" t="s">
        <v>14894</v>
      </c>
      <c r="I712" t="s">
        <v>14895</v>
      </c>
      <c r="J712" t="s">
        <v>14896</v>
      </c>
      <c r="K712" t="s">
        <v>14897</v>
      </c>
      <c r="L712" t="s">
        <v>14898</v>
      </c>
      <c r="M712" t="s">
        <v>14899</v>
      </c>
      <c r="N712" t="s">
        <v>14900</v>
      </c>
      <c r="O712">
        <f>-732.754558206164 -65.5266262487655 -729.896649344272</f>
        <v>-1528.1778337992014</v>
      </c>
      <c r="P712">
        <f>-735.252947603992 -50.6279248675864 -413.735342971933</f>
        <v>-1199.6162154435115</v>
      </c>
      <c r="Q712">
        <f>-490.358602405617 -75.6190818955588 -329.805414306297</f>
        <v>-895.78309860747277</v>
      </c>
      <c r="R712" t="s">
        <v>14901</v>
      </c>
      <c r="S712" t="s">
        <v>14902</v>
      </c>
      <c r="T712" t="s">
        <v>14903</v>
      </c>
      <c r="U712" t="s">
        <v>14904</v>
      </c>
      <c r="V712" t="s">
        <v>14905</v>
      </c>
      <c r="W712" t="s">
        <v>14906</v>
      </c>
      <c r="X712" t="s">
        <v>14907</v>
      </c>
      <c r="Y712" t="s">
        <v>14908</v>
      </c>
    </row>
    <row r="713" spans="1:25" x14ac:dyDescent="0.3">
      <c r="A713">
        <v>35600</v>
      </c>
      <c r="B713" t="s">
        <v>14909</v>
      </c>
      <c r="C713" t="s">
        <v>14910</v>
      </c>
      <c r="D713" t="s">
        <v>14911</v>
      </c>
      <c r="E713" t="s">
        <v>14912</v>
      </c>
      <c r="F713" t="s">
        <v>14913</v>
      </c>
      <c r="G713" t="s">
        <v>14914</v>
      </c>
      <c r="H713" t="s">
        <v>14915</v>
      </c>
      <c r="I713" t="s">
        <v>14916</v>
      </c>
      <c r="J713" t="s">
        <v>14917</v>
      </c>
      <c r="K713" t="s">
        <v>14918</v>
      </c>
      <c r="L713" t="s">
        <v>14919</v>
      </c>
      <c r="M713" t="s">
        <v>14920</v>
      </c>
      <c r="N713" t="s">
        <v>14921</v>
      </c>
      <c r="O713">
        <f>-733.306494150646 -65.1456164346152 -729.619820973326</f>
        <v>-1528.0719315585873</v>
      </c>
      <c r="P713">
        <f>-735.340943474146 -50.0437794434736 -413.464900885271</f>
        <v>-1198.8496238028906</v>
      </c>
      <c r="Q713">
        <f>-490.352741492417 -74.4805353101742 -329.645743274935</f>
        <v>-894.47902007752623</v>
      </c>
      <c r="R713" t="s">
        <v>14922</v>
      </c>
      <c r="S713" t="s">
        <v>14923</v>
      </c>
      <c r="T713" t="s">
        <v>14924</v>
      </c>
      <c r="U713" t="s">
        <v>14925</v>
      </c>
      <c r="V713" t="s">
        <v>14926</v>
      </c>
      <c r="W713" t="s">
        <v>14927</v>
      </c>
      <c r="X713" t="s">
        <v>14928</v>
      </c>
      <c r="Y713" t="s">
        <v>14929</v>
      </c>
    </row>
    <row r="714" spans="1:25" x14ac:dyDescent="0.3">
      <c r="A714">
        <v>35650</v>
      </c>
      <c r="B714" t="s">
        <v>14930</v>
      </c>
      <c r="C714" t="s">
        <v>14931</v>
      </c>
      <c r="D714" t="s">
        <v>14932</v>
      </c>
      <c r="E714" t="s">
        <v>14933</v>
      </c>
      <c r="F714" t="s">
        <v>14934</v>
      </c>
      <c r="G714" t="s">
        <v>14935</v>
      </c>
      <c r="H714" t="s">
        <v>14936</v>
      </c>
      <c r="I714" t="s">
        <v>14937</v>
      </c>
      <c r="J714" t="s">
        <v>14938</v>
      </c>
      <c r="K714" t="s">
        <v>14939</v>
      </c>
      <c r="L714" t="s">
        <v>14940</v>
      </c>
      <c r="M714" t="s">
        <v>14941</v>
      </c>
      <c r="N714" t="s">
        <v>14942</v>
      </c>
      <c r="O714">
        <f>-734.483049363628 -64.7254993172776 -729.009459966761</f>
        <v>-1528.2180086476665</v>
      </c>
      <c r="P714">
        <f>-735.511972371376 -48.8880799489289 -412.885517859357</f>
        <v>-1197.2855701796618</v>
      </c>
      <c r="Q714">
        <f>-490.502745099292 -72.2381553601592 -328.818104678652</f>
        <v>-891.5590051381032</v>
      </c>
      <c r="R714" t="s">
        <v>14943</v>
      </c>
      <c r="S714" t="s">
        <v>14944</v>
      </c>
      <c r="T714" t="s">
        <v>14945</v>
      </c>
      <c r="U714" t="s">
        <v>14946</v>
      </c>
      <c r="V714" t="s">
        <v>14947</v>
      </c>
      <c r="W714" t="s">
        <v>14948</v>
      </c>
      <c r="X714" t="s">
        <v>14949</v>
      </c>
      <c r="Y714" t="s">
        <v>14950</v>
      </c>
    </row>
    <row r="715" spans="1:25" x14ac:dyDescent="0.3">
      <c r="A715">
        <v>35700</v>
      </c>
      <c r="B715" t="s">
        <v>14951</v>
      </c>
      <c r="C715" t="s">
        <v>14952</v>
      </c>
      <c r="D715" t="s">
        <v>14953</v>
      </c>
      <c r="E715" t="s">
        <v>14954</v>
      </c>
      <c r="F715" t="s">
        <v>14955</v>
      </c>
      <c r="G715" t="s">
        <v>14956</v>
      </c>
      <c r="H715" t="s">
        <v>14957</v>
      </c>
      <c r="I715" t="s">
        <v>14958</v>
      </c>
      <c r="J715" t="s">
        <v>14959</v>
      </c>
      <c r="K715" t="s">
        <v>14960</v>
      </c>
      <c r="L715" t="s">
        <v>14961</v>
      </c>
      <c r="M715" t="s">
        <v>14962</v>
      </c>
      <c r="N715" t="s">
        <v>14963</v>
      </c>
      <c r="O715">
        <f>-735.023443691472 -64.8056371372425 -728.604361163666</f>
        <v>-1528.4334419923805</v>
      </c>
      <c r="P715">
        <f>-735.728479546568 -48.4535489187701 -412.505766852138</f>
        <v>-1196.6877953174762</v>
      </c>
      <c r="Q715">
        <f>-490.622469481282 -71.0689217923994 -328.520028704426</f>
        <v>-890.21141997810741</v>
      </c>
      <c r="R715" t="s">
        <v>14964</v>
      </c>
      <c r="S715" t="s">
        <v>14965</v>
      </c>
      <c r="T715" t="s">
        <v>14966</v>
      </c>
      <c r="U715" t="s">
        <v>14967</v>
      </c>
      <c r="V715" t="s">
        <v>14968</v>
      </c>
      <c r="W715" t="s">
        <v>14969</v>
      </c>
      <c r="X715" t="s">
        <v>14970</v>
      </c>
      <c r="Y715" t="s">
        <v>14971</v>
      </c>
    </row>
    <row r="716" spans="1:25" x14ac:dyDescent="0.3">
      <c r="A716">
        <v>35750</v>
      </c>
      <c r="B716" t="s">
        <v>14972</v>
      </c>
      <c r="C716" t="s">
        <v>14973</v>
      </c>
      <c r="D716" t="s">
        <v>14974</v>
      </c>
      <c r="E716" t="s">
        <v>14975</v>
      </c>
      <c r="F716" t="s">
        <v>14976</v>
      </c>
      <c r="G716" t="s">
        <v>14977</v>
      </c>
      <c r="H716" t="s">
        <v>14978</v>
      </c>
      <c r="I716" t="s">
        <v>14979</v>
      </c>
      <c r="J716" t="s">
        <v>14980</v>
      </c>
      <c r="K716" t="s">
        <v>14981</v>
      </c>
      <c r="L716" t="s">
        <v>14982</v>
      </c>
      <c r="M716" t="s">
        <v>14983</v>
      </c>
      <c r="N716" t="s">
        <v>14984</v>
      </c>
      <c r="O716">
        <f>-735.989563014357 -64.6816750547719 -727.897844757691</f>
        <v>-1528.5690828268198</v>
      </c>
      <c r="P716">
        <f>-735.557744366915 -46.9939030632722 -411.870604498645</f>
        <v>-1194.4222519288323</v>
      </c>
      <c r="Q716">
        <f>-490.107554666909 -67.8328632030912 -328.43203815903</f>
        <v>-886.37245602903022</v>
      </c>
      <c r="R716" t="s">
        <v>14985</v>
      </c>
      <c r="S716" t="s">
        <v>14986</v>
      </c>
      <c r="T716" t="s">
        <v>14987</v>
      </c>
      <c r="U716" t="s">
        <v>14988</v>
      </c>
      <c r="V716" t="s">
        <v>14989</v>
      </c>
      <c r="W716" t="s">
        <v>14990</v>
      </c>
      <c r="X716" t="s">
        <v>14991</v>
      </c>
      <c r="Y716" t="s">
        <v>14992</v>
      </c>
    </row>
    <row r="717" spans="1:25" x14ac:dyDescent="0.3">
      <c r="A717">
        <v>35800</v>
      </c>
      <c r="B717" t="s">
        <v>14993</v>
      </c>
      <c r="C717" t="s">
        <v>14994</v>
      </c>
      <c r="D717" t="s">
        <v>14995</v>
      </c>
      <c r="E717" t="s">
        <v>14996</v>
      </c>
      <c r="F717" t="s">
        <v>14997</v>
      </c>
      <c r="G717" t="s">
        <v>14998</v>
      </c>
      <c r="H717" t="s">
        <v>14999</v>
      </c>
      <c r="I717" t="s">
        <v>15000</v>
      </c>
      <c r="J717" t="s">
        <v>15001</v>
      </c>
      <c r="K717" t="s">
        <v>15002</v>
      </c>
      <c r="L717" t="s">
        <v>15003</v>
      </c>
      <c r="M717" t="s">
        <v>15004</v>
      </c>
      <c r="N717" t="s">
        <v>15005</v>
      </c>
      <c r="O717">
        <f>-736.432883616646 -64.5148313462907 -727.558859372908</f>
        <v>-1528.5065743358448</v>
      </c>
      <c r="P717">
        <f>-735.411741717892 -46.1447721536099 -411.572044374906</f>
        <v>-1193.1285582464079</v>
      </c>
      <c r="Q717">
        <f>-489.755836710371 -66.4006295258091 -328.596585952551</f>
        <v>-884.75305218873109</v>
      </c>
      <c r="R717" t="s">
        <v>15006</v>
      </c>
      <c r="S717" t="s">
        <v>15007</v>
      </c>
      <c r="T717" t="s">
        <v>15008</v>
      </c>
      <c r="U717" t="s">
        <v>15009</v>
      </c>
      <c r="V717" t="s">
        <v>15010</v>
      </c>
      <c r="W717" t="s">
        <v>15011</v>
      </c>
      <c r="X717" t="s">
        <v>15012</v>
      </c>
      <c r="Y717" t="s">
        <v>15013</v>
      </c>
    </row>
    <row r="718" spans="1:25" x14ac:dyDescent="0.3">
      <c r="A718">
        <v>35850</v>
      </c>
      <c r="B718" t="s">
        <v>15014</v>
      </c>
      <c r="C718" t="s">
        <v>15015</v>
      </c>
      <c r="D718" t="s">
        <v>15016</v>
      </c>
      <c r="E718" t="s">
        <v>15017</v>
      </c>
      <c r="F718" t="s">
        <v>15018</v>
      </c>
      <c r="G718" t="s">
        <v>15019</v>
      </c>
      <c r="H718" t="s">
        <v>15020</v>
      </c>
      <c r="I718" t="s">
        <v>15021</v>
      </c>
      <c r="J718" t="s">
        <v>15022</v>
      </c>
      <c r="K718" t="s">
        <v>15023</v>
      </c>
      <c r="L718" t="s">
        <v>15024</v>
      </c>
      <c r="M718" t="s">
        <v>15025</v>
      </c>
      <c r="N718" t="s">
        <v>15026</v>
      </c>
      <c r="O718">
        <f>-737.807790139551 -63.7437107197634 -726.884524967604</f>
        <v>-1528.4360258269185</v>
      </c>
      <c r="P718">
        <f>-734.986068041188 -44.4764758644571 -410.962002307258</f>
        <v>-1190.4245462129031</v>
      </c>
      <c r="Q718">
        <f>-488.882173035961 -63.7499670885027 -329.087322856117</f>
        <v>-881.71946298058072</v>
      </c>
      <c r="R718" t="s">
        <v>15027</v>
      </c>
      <c r="S718" t="s">
        <v>15028</v>
      </c>
      <c r="T718" t="s">
        <v>15029</v>
      </c>
      <c r="U718" t="s">
        <v>15030</v>
      </c>
      <c r="V718" t="s">
        <v>15031</v>
      </c>
      <c r="W718" t="s">
        <v>15032</v>
      </c>
      <c r="X718" t="s">
        <v>15033</v>
      </c>
      <c r="Y718" t="s">
        <v>15034</v>
      </c>
    </row>
    <row r="719" spans="1:25" x14ac:dyDescent="0.3">
      <c r="A719">
        <v>35900</v>
      </c>
      <c r="B719" t="s">
        <v>15035</v>
      </c>
      <c r="C719" t="s">
        <v>15036</v>
      </c>
      <c r="D719" t="s">
        <v>15037</v>
      </c>
      <c r="E719" t="s">
        <v>15038</v>
      </c>
      <c r="F719" t="s">
        <v>15039</v>
      </c>
      <c r="G719" t="s">
        <v>15040</v>
      </c>
      <c r="H719" t="s">
        <v>15041</v>
      </c>
      <c r="I719" t="s">
        <v>15042</v>
      </c>
      <c r="J719" t="s">
        <v>15043</v>
      </c>
      <c r="K719" t="s">
        <v>15044</v>
      </c>
      <c r="L719" t="s">
        <v>15045</v>
      </c>
      <c r="M719" t="s">
        <v>15046</v>
      </c>
      <c r="N719" t="s">
        <v>15047</v>
      </c>
      <c r="O719">
        <f>-738.359116103608 -63.3058785411376 -726.595542961519</f>
        <v>-1528.2605376062647</v>
      </c>
      <c r="P719">
        <f>-735.047456460072 -43.9432780759935 -410.683670974856</f>
        <v>-1189.6744055109216</v>
      </c>
      <c r="Q719">
        <f>-488.776625188478 -62.8213612303059 -329.219855704267</f>
        <v>-880.81784212305092</v>
      </c>
      <c r="R719" t="s">
        <v>15048</v>
      </c>
      <c r="S719" t="s">
        <v>15049</v>
      </c>
      <c r="T719" t="s">
        <v>15050</v>
      </c>
      <c r="U719" t="s">
        <v>15051</v>
      </c>
      <c r="V719" t="s">
        <v>15052</v>
      </c>
      <c r="W719" t="s">
        <v>15053</v>
      </c>
      <c r="X719" t="s">
        <v>15054</v>
      </c>
      <c r="Y719" t="s">
        <v>15055</v>
      </c>
    </row>
    <row r="720" spans="1:25" x14ac:dyDescent="0.3">
      <c r="A720">
        <v>35950</v>
      </c>
      <c r="B720" t="s">
        <v>15056</v>
      </c>
      <c r="C720" t="s">
        <v>15057</v>
      </c>
      <c r="D720" t="s">
        <v>15058</v>
      </c>
      <c r="E720" t="s">
        <v>15059</v>
      </c>
      <c r="F720" t="s">
        <v>15060</v>
      </c>
      <c r="G720" t="s">
        <v>15061</v>
      </c>
      <c r="H720" t="s">
        <v>15062</v>
      </c>
      <c r="I720" t="s">
        <v>15063</v>
      </c>
      <c r="J720" t="s">
        <v>15064</v>
      </c>
      <c r="K720" t="s">
        <v>15065</v>
      </c>
      <c r="L720" t="s">
        <v>15066</v>
      </c>
      <c r="M720" t="s">
        <v>15067</v>
      </c>
      <c r="N720" t="s">
        <v>15068</v>
      </c>
      <c r="O720">
        <f>-739.144095293326 -62.0793458947098 -726.338176885688</f>
        <v>-1527.5616180737238</v>
      </c>
      <c r="P720">
        <f>-735.103449532401 -42.9281152230558 -410.421814702619</f>
        <v>-1188.4533794580757</v>
      </c>
      <c r="Q720">
        <f>-488.594547667278 -60.5884461788723 -329.406452739221</f>
        <v>-878.58944658537132</v>
      </c>
      <c r="R720" t="s">
        <v>15069</v>
      </c>
      <c r="S720" t="s">
        <v>15070</v>
      </c>
      <c r="T720" t="s">
        <v>15071</v>
      </c>
      <c r="U720" t="s">
        <v>15072</v>
      </c>
      <c r="V720" t="s">
        <v>15073</v>
      </c>
      <c r="W720" t="s">
        <v>15074</v>
      </c>
      <c r="X720" t="s">
        <v>15075</v>
      </c>
      <c r="Y720" t="s">
        <v>15076</v>
      </c>
    </row>
    <row r="721" spans="1:25" x14ac:dyDescent="0.3">
      <c r="A721">
        <v>36000</v>
      </c>
      <c r="B721" t="s">
        <v>15077</v>
      </c>
      <c r="C721" t="s">
        <v>15078</v>
      </c>
      <c r="D721" t="s">
        <v>15079</v>
      </c>
      <c r="E721" t="s">
        <v>15080</v>
      </c>
      <c r="F721" t="s">
        <v>15081</v>
      </c>
      <c r="G721" t="s">
        <v>15082</v>
      </c>
      <c r="H721" t="s">
        <v>15083</v>
      </c>
      <c r="I721" t="s">
        <v>15084</v>
      </c>
      <c r="J721" t="s">
        <v>15085</v>
      </c>
      <c r="K721" t="s">
        <v>15086</v>
      </c>
      <c r="L721" t="s">
        <v>15087</v>
      </c>
      <c r="M721" t="s">
        <v>15088</v>
      </c>
      <c r="N721" t="s">
        <v>15089</v>
      </c>
      <c r="O721">
        <f>-739.22276439261 -61.420557326921 -726.359452250014</f>
        <v>-1527.0027739695449</v>
      </c>
      <c r="P721">
        <f>-734.892267494431 -42.3695652208278 -410.440996646873</f>
        <v>-1187.7028293621318</v>
      </c>
      <c r="Q721">
        <f>-488.358569755844 -59.4481966288211 -329.376067848944</f>
        <v>-877.18283423360901</v>
      </c>
      <c r="R721" t="s">
        <v>15090</v>
      </c>
      <c r="S721" t="s">
        <v>15091</v>
      </c>
      <c r="T721" t="s">
        <v>15092</v>
      </c>
      <c r="U721" t="s">
        <v>15093</v>
      </c>
      <c r="V721" t="s">
        <v>15094</v>
      </c>
      <c r="W721" t="s">
        <v>15095</v>
      </c>
      <c r="X721" t="s">
        <v>15096</v>
      </c>
      <c r="Y721" t="s">
        <v>15097</v>
      </c>
    </row>
    <row r="722" spans="1:25" x14ac:dyDescent="0.3">
      <c r="A722">
        <v>36050</v>
      </c>
      <c r="B722" t="s">
        <v>15098</v>
      </c>
      <c r="C722" t="s">
        <v>15099</v>
      </c>
      <c r="D722" t="s">
        <v>15100</v>
      </c>
      <c r="E722" t="s">
        <v>15101</v>
      </c>
      <c r="F722" t="s">
        <v>15102</v>
      </c>
      <c r="G722" t="s">
        <v>15103</v>
      </c>
      <c r="H722" t="s">
        <v>15104</v>
      </c>
      <c r="I722" t="s">
        <v>15105</v>
      </c>
      <c r="J722" t="s">
        <v>15106</v>
      </c>
      <c r="K722" t="s">
        <v>15107</v>
      </c>
      <c r="L722" t="s">
        <v>15108</v>
      </c>
      <c r="M722" t="s">
        <v>15109</v>
      </c>
      <c r="N722" t="s">
        <v>15110</v>
      </c>
      <c r="O722">
        <f>-739.393343524205 -60.3106581961081 -726.339289647</f>
        <v>-1526.043291367313</v>
      </c>
      <c r="P722">
        <f>-734.818489190229 -40.8284341214844 -410.450529582873</f>
        <v>-1186.0974528945865</v>
      </c>
      <c r="Q722">
        <f>-488.369774754505 -57.6039039700286 -329.064663673926</f>
        <v>-875.03834239845958</v>
      </c>
      <c r="R722" t="s">
        <v>15111</v>
      </c>
      <c r="S722" t="s">
        <v>15112</v>
      </c>
      <c r="T722" t="s">
        <v>15113</v>
      </c>
      <c r="U722" t="s">
        <v>15114</v>
      </c>
      <c r="V722" t="s">
        <v>15115</v>
      </c>
      <c r="W722" t="s">
        <v>15116</v>
      </c>
      <c r="X722" t="s">
        <v>15117</v>
      </c>
      <c r="Y722" t="s">
        <v>15118</v>
      </c>
    </row>
    <row r="723" spans="1:25" x14ac:dyDescent="0.3">
      <c r="A723">
        <v>36100</v>
      </c>
      <c r="B723" t="s">
        <v>15119</v>
      </c>
      <c r="C723" t="s">
        <v>15120</v>
      </c>
      <c r="D723" t="s">
        <v>15121</v>
      </c>
      <c r="E723" t="s">
        <v>15122</v>
      </c>
      <c r="F723" t="s">
        <v>15123</v>
      </c>
      <c r="G723" t="s">
        <v>15124</v>
      </c>
      <c r="H723" t="s">
        <v>15125</v>
      </c>
      <c r="I723" t="s">
        <v>15126</v>
      </c>
      <c r="J723" t="s">
        <v>15127</v>
      </c>
      <c r="K723" t="s">
        <v>15128</v>
      </c>
      <c r="L723" t="s">
        <v>15129</v>
      </c>
      <c r="M723" t="s">
        <v>15130</v>
      </c>
      <c r="N723" t="s">
        <v>15131</v>
      </c>
      <c r="O723">
        <f>-739.433066117074 -59.597196486543 -726.441334351363</f>
        <v>-1525.47159695498</v>
      </c>
      <c r="P723">
        <f>-734.859420473352 -40.1739548089836 -410.549015082464</f>
        <v>-1185.5823903647995</v>
      </c>
      <c r="Q723">
        <f>-488.55343318472 -57.0894554500776 -328.761075778556</f>
        <v>-874.40396441335361</v>
      </c>
      <c r="R723" t="s">
        <v>15132</v>
      </c>
      <c r="S723" t="s">
        <v>15133</v>
      </c>
      <c r="T723" t="s">
        <v>15134</v>
      </c>
      <c r="U723" t="s">
        <v>15135</v>
      </c>
      <c r="V723" t="s">
        <v>15136</v>
      </c>
      <c r="W723" t="s">
        <v>15137</v>
      </c>
      <c r="X723" t="s">
        <v>15138</v>
      </c>
      <c r="Y723" t="s">
        <v>15139</v>
      </c>
    </row>
    <row r="724" spans="1:25" x14ac:dyDescent="0.3">
      <c r="A724">
        <v>36150</v>
      </c>
      <c r="B724" t="s">
        <v>15140</v>
      </c>
      <c r="C724" t="s">
        <v>15141</v>
      </c>
      <c r="D724" t="s">
        <v>15142</v>
      </c>
      <c r="E724" t="s">
        <v>15143</v>
      </c>
      <c r="F724" t="s">
        <v>15144</v>
      </c>
      <c r="G724" t="s">
        <v>15145</v>
      </c>
      <c r="H724" t="s">
        <v>15146</v>
      </c>
      <c r="I724" t="s">
        <v>15147</v>
      </c>
      <c r="J724" t="s">
        <v>15148</v>
      </c>
      <c r="K724" t="s">
        <v>15149</v>
      </c>
      <c r="L724" t="s">
        <v>15150</v>
      </c>
      <c r="M724" t="s">
        <v>15151</v>
      </c>
      <c r="N724" t="s">
        <v>15152</v>
      </c>
      <c r="O724">
        <f>-739.628804881741 -58.1808476349881 -726.769514423714</f>
        <v>-1524.579166940443</v>
      </c>
      <c r="P724">
        <f>-735.310811849343 -38.7825255454798 -410.872174379668</f>
        <v>-1184.9655117744908</v>
      </c>
      <c r="Q724">
        <f>-489.355039098195 -56.2952434654833 -328.160975157313</f>
        <v>-873.81125772099131</v>
      </c>
      <c r="R724" t="s">
        <v>15153</v>
      </c>
      <c r="S724" t="s">
        <v>15154</v>
      </c>
      <c r="T724" t="s">
        <v>15155</v>
      </c>
      <c r="U724" t="s">
        <v>15156</v>
      </c>
      <c r="V724" t="s">
        <v>15157</v>
      </c>
      <c r="W724" t="s">
        <v>15158</v>
      </c>
      <c r="X724" t="s">
        <v>15159</v>
      </c>
      <c r="Y724" t="s">
        <v>15160</v>
      </c>
    </row>
    <row r="725" spans="1:25" x14ac:dyDescent="0.3">
      <c r="A725">
        <v>36200</v>
      </c>
      <c r="B725" t="s">
        <v>15161</v>
      </c>
      <c r="C725" t="s">
        <v>15162</v>
      </c>
      <c r="D725" t="s">
        <v>15163</v>
      </c>
      <c r="E725" t="s">
        <v>15164</v>
      </c>
      <c r="F725" t="s">
        <v>15165</v>
      </c>
      <c r="G725" t="s">
        <v>15166</v>
      </c>
      <c r="H725" t="s">
        <v>15167</v>
      </c>
      <c r="I725" t="s">
        <v>15168</v>
      </c>
      <c r="J725" t="s">
        <v>15169</v>
      </c>
      <c r="K725" t="s">
        <v>15170</v>
      </c>
      <c r="L725" t="s">
        <v>15171</v>
      </c>
      <c r="M725" t="s">
        <v>15172</v>
      </c>
      <c r="N725" t="s">
        <v>15173</v>
      </c>
      <c r="O725">
        <f>-739.745187428647 -57.5638279498778 -726.937146786557</f>
        <v>-1524.2461621650818</v>
      </c>
      <c r="P725">
        <f>-735.833067014423 -38.1358179190452 -411.036123788083</f>
        <v>-1185.0050087215511</v>
      </c>
      <c r="Q725">
        <f>-489.965376127172 -55.9377331487442 -328.125039482911</f>
        <v>-874.02814875882723</v>
      </c>
      <c r="R725" t="s">
        <v>15174</v>
      </c>
      <c r="S725" t="s">
        <v>15175</v>
      </c>
      <c r="T725" t="s">
        <v>15176</v>
      </c>
      <c r="U725" t="s">
        <v>15177</v>
      </c>
      <c r="V725" t="s">
        <v>15178</v>
      </c>
      <c r="W725" t="s">
        <v>15179</v>
      </c>
      <c r="X725" t="s">
        <v>15180</v>
      </c>
      <c r="Y725" t="s">
        <v>15181</v>
      </c>
    </row>
    <row r="726" spans="1:25" x14ac:dyDescent="0.3">
      <c r="A726">
        <v>36250</v>
      </c>
      <c r="B726" t="s">
        <v>15182</v>
      </c>
      <c r="C726" t="s">
        <v>15183</v>
      </c>
      <c r="D726" t="s">
        <v>15184</v>
      </c>
      <c r="E726" t="s">
        <v>15185</v>
      </c>
      <c r="F726" t="s">
        <v>15186</v>
      </c>
      <c r="G726" t="s">
        <v>15187</v>
      </c>
      <c r="H726" t="s">
        <v>15188</v>
      </c>
      <c r="I726" t="s">
        <v>15189</v>
      </c>
      <c r="J726" t="s">
        <v>15190</v>
      </c>
      <c r="K726" t="s">
        <v>15191</v>
      </c>
      <c r="L726" t="s">
        <v>15192</v>
      </c>
      <c r="M726" t="s">
        <v>15193</v>
      </c>
      <c r="N726" t="s">
        <v>15194</v>
      </c>
      <c r="O726">
        <f>-740.106716213382 -55.9325594617035 -727.477009080223</f>
        <v>-1523.5162847553083</v>
      </c>
      <c r="P726">
        <f>-736.633844642117 -37.5127786766891 -411.510366494886</f>
        <v>-1185.656989813692</v>
      </c>
      <c r="Q726">
        <f>-490.884333264425 -55.5650149505261 -328.303748809675</f>
        <v>-874.75309702462619</v>
      </c>
      <c r="R726" t="s">
        <v>15195</v>
      </c>
      <c r="S726" t="s">
        <v>15196</v>
      </c>
      <c r="T726" t="s">
        <v>15197</v>
      </c>
      <c r="U726" t="s">
        <v>15198</v>
      </c>
      <c r="V726" t="s">
        <v>15199</v>
      </c>
      <c r="W726" t="s">
        <v>15200</v>
      </c>
      <c r="X726" t="s">
        <v>15201</v>
      </c>
      <c r="Y726" t="s">
        <v>15202</v>
      </c>
    </row>
    <row r="727" spans="1:25" x14ac:dyDescent="0.3">
      <c r="A727">
        <v>36300</v>
      </c>
      <c r="B727" t="s">
        <v>15203</v>
      </c>
      <c r="C727" t="s">
        <v>15204</v>
      </c>
      <c r="D727" t="s">
        <v>15205</v>
      </c>
      <c r="E727" t="s">
        <v>15206</v>
      </c>
      <c r="F727" t="s">
        <v>15207</v>
      </c>
      <c r="G727" t="s">
        <v>15208</v>
      </c>
      <c r="H727" t="s">
        <v>15209</v>
      </c>
      <c r="I727" t="s">
        <v>15210</v>
      </c>
      <c r="J727" t="s">
        <v>15211</v>
      </c>
      <c r="K727" t="s">
        <v>15212</v>
      </c>
      <c r="L727" t="s">
        <v>15213</v>
      </c>
      <c r="M727" t="s">
        <v>15214</v>
      </c>
      <c r="N727" t="s">
        <v>15215</v>
      </c>
      <c r="O727">
        <f>-740.163601482041 -55.3382748519812 -727.6729230859</f>
        <v>-1523.1747994199222</v>
      </c>
      <c r="P727">
        <f>-737.025753221026 -36.9596818737168 -411.700532796536</f>
        <v>-1185.6859678912788</v>
      </c>
      <c r="Q727">
        <f>-491.254699325939 -55.1571479821694 -328.589233950247</f>
        <v>-875.00108125835527</v>
      </c>
      <c r="R727" t="s">
        <v>15216</v>
      </c>
      <c r="S727" t="s">
        <v>15217</v>
      </c>
      <c r="T727" t="s">
        <v>15218</v>
      </c>
      <c r="U727" t="s">
        <v>15219</v>
      </c>
      <c r="V727" t="s">
        <v>15220</v>
      </c>
      <c r="W727" t="s">
        <v>15221</v>
      </c>
      <c r="X727" t="s">
        <v>15222</v>
      </c>
      <c r="Y727" t="s">
        <v>15223</v>
      </c>
    </row>
    <row r="728" spans="1:25" x14ac:dyDescent="0.3">
      <c r="A728">
        <v>36350</v>
      </c>
      <c r="B728" t="s">
        <v>15224</v>
      </c>
      <c r="C728" t="s">
        <v>15225</v>
      </c>
      <c r="D728" t="s">
        <v>15226</v>
      </c>
      <c r="E728" t="s">
        <v>15227</v>
      </c>
      <c r="F728" t="s">
        <v>15228</v>
      </c>
      <c r="G728" t="s">
        <v>15229</v>
      </c>
      <c r="H728" t="s">
        <v>15230</v>
      </c>
      <c r="I728" t="s">
        <v>15231</v>
      </c>
      <c r="J728" t="s">
        <v>15232</v>
      </c>
      <c r="K728" t="s">
        <v>15233</v>
      </c>
      <c r="L728" t="s">
        <v>15234</v>
      </c>
      <c r="M728" t="s">
        <v>15235</v>
      </c>
      <c r="N728" t="s">
        <v>15236</v>
      </c>
      <c r="O728">
        <f>-740.009666493488 -54.4479525042707 -728.148441541931</f>
        <v>-1522.6060605396897</v>
      </c>
      <c r="P728">
        <f>-737.434127858611 -36.8014225272912 -412.129245719504</f>
        <v>-1186.3647961054062</v>
      </c>
      <c r="Q728">
        <f>-491.756213926948 -55.6093484466248 -328.878463770469</f>
        <v>-876.24402614404187</v>
      </c>
      <c r="R728" t="s">
        <v>15237</v>
      </c>
      <c r="S728" t="s">
        <v>15238</v>
      </c>
      <c r="T728" t="s">
        <v>15239</v>
      </c>
      <c r="U728" t="s">
        <v>15240</v>
      </c>
      <c r="V728" t="s">
        <v>15241</v>
      </c>
      <c r="W728" t="s">
        <v>15242</v>
      </c>
      <c r="X728" t="s">
        <v>15243</v>
      </c>
      <c r="Y728" t="s">
        <v>15244</v>
      </c>
    </row>
    <row r="729" spans="1:25" x14ac:dyDescent="0.3">
      <c r="A729">
        <v>36400</v>
      </c>
      <c r="B729" t="s">
        <v>15245</v>
      </c>
      <c r="C729" t="s">
        <v>15246</v>
      </c>
      <c r="D729" t="s">
        <v>15247</v>
      </c>
      <c r="E729" t="s">
        <v>15248</v>
      </c>
      <c r="F729" t="s">
        <v>15249</v>
      </c>
      <c r="G729" t="s">
        <v>15250</v>
      </c>
      <c r="H729" t="s">
        <v>15251</v>
      </c>
      <c r="I729" t="s">
        <v>15252</v>
      </c>
      <c r="J729" t="s">
        <v>15253</v>
      </c>
      <c r="K729" t="s">
        <v>15254</v>
      </c>
      <c r="L729" t="s">
        <v>15255</v>
      </c>
      <c r="M729" t="s">
        <v>15256</v>
      </c>
      <c r="N729" t="s">
        <v>15257</v>
      </c>
      <c r="O729">
        <f>-739.813062741026 -54.2442932423505 -728.317652468947</f>
        <v>-1522.3750084523235</v>
      </c>
      <c r="P729">
        <f>-737.535156924291 -36.6101598604321 -412.295451402911</f>
        <v>-1186.4407681876341</v>
      </c>
      <c r="Q729">
        <f>-491.902099073021 -55.5504200318078 -328.942493116532</f>
        <v>-876.39501222136084</v>
      </c>
      <c r="R729" t="s">
        <v>15258</v>
      </c>
      <c r="S729" t="s">
        <v>15259</v>
      </c>
      <c r="T729" t="s">
        <v>15260</v>
      </c>
      <c r="U729" t="s">
        <v>15261</v>
      </c>
      <c r="V729" t="s">
        <v>15262</v>
      </c>
      <c r="W729" t="s">
        <v>15263</v>
      </c>
      <c r="X729" t="s">
        <v>15264</v>
      </c>
      <c r="Y729" t="s">
        <v>15265</v>
      </c>
    </row>
    <row r="730" spans="1:25" x14ac:dyDescent="0.3">
      <c r="A730">
        <v>36450</v>
      </c>
      <c r="B730" t="s">
        <v>15266</v>
      </c>
      <c r="C730" t="s">
        <v>15267</v>
      </c>
      <c r="D730" t="s">
        <v>15268</v>
      </c>
      <c r="E730" t="s">
        <v>15269</v>
      </c>
      <c r="F730" t="s">
        <v>15270</v>
      </c>
      <c r="G730" t="s">
        <v>15271</v>
      </c>
      <c r="H730" t="s">
        <v>15272</v>
      </c>
      <c r="I730" t="s">
        <v>15273</v>
      </c>
      <c r="J730" t="s">
        <v>15274</v>
      </c>
      <c r="K730" t="s">
        <v>15275</v>
      </c>
      <c r="L730" t="s">
        <v>15276</v>
      </c>
      <c r="M730" t="s">
        <v>15277</v>
      </c>
      <c r="N730" t="s">
        <v>15278</v>
      </c>
      <c r="O730">
        <f>-739.402657625882 -54.1333381513944 -728.668378444526</f>
        <v>-1522.2043742218023</v>
      </c>
      <c r="P730">
        <f>-737.794128127459 -37.0231338458041 -412.613296337475</f>
        <v>-1187.430558310738</v>
      </c>
      <c r="Q730">
        <f>-492.215365364887 -56.1112168014834 -329.133872818488</f>
        <v>-877.46045498485842</v>
      </c>
      <c r="R730" t="s">
        <v>15279</v>
      </c>
      <c r="S730" t="s">
        <v>15280</v>
      </c>
      <c r="T730" t="s">
        <v>15281</v>
      </c>
      <c r="U730" t="s">
        <v>15282</v>
      </c>
      <c r="V730" t="s">
        <v>15283</v>
      </c>
      <c r="W730" t="s">
        <v>15284</v>
      </c>
      <c r="X730" t="s">
        <v>15285</v>
      </c>
      <c r="Y730" t="s">
        <v>15286</v>
      </c>
    </row>
    <row r="731" spans="1:25" x14ac:dyDescent="0.3">
      <c r="A731">
        <v>36500</v>
      </c>
      <c r="B731" t="s">
        <v>15287</v>
      </c>
      <c r="C731" t="s">
        <v>15288</v>
      </c>
      <c r="D731" t="s">
        <v>15289</v>
      </c>
      <c r="E731" t="s">
        <v>15290</v>
      </c>
      <c r="F731" t="s">
        <v>15291</v>
      </c>
      <c r="G731" t="s">
        <v>15292</v>
      </c>
      <c r="H731" t="s">
        <v>15293</v>
      </c>
      <c r="I731" t="s">
        <v>15294</v>
      </c>
      <c r="J731" t="s">
        <v>15295</v>
      </c>
      <c r="K731" t="s">
        <v>15296</v>
      </c>
      <c r="L731" t="s">
        <v>15297</v>
      </c>
      <c r="M731" t="s">
        <v>15298</v>
      </c>
      <c r="N731" t="s">
        <v>15299</v>
      </c>
      <c r="O731">
        <f>-739.127418209903 -53.8895809846958 -728.877481597896</f>
        <v>-1521.894480792495</v>
      </c>
      <c r="P731">
        <f>-737.633108322255 -37.0618633311392 -412.806747186959</f>
        <v>-1187.5017188403531</v>
      </c>
      <c r="Q731">
        <f>-492.084662025257 -56.2403770038045 -329.259300707979</f>
        <v>-877.58433973704041</v>
      </c>
      <c r="R731" t="s">
        <v>15300</v>
      </c>
      <c r="S731" t="s">
        <v>15301</v>
      </c>
      <c r="T731" t="s">
        <v>15302</v>
      </c>
      <c r="U731" t="s">
        <v>15303</v>
      </c>
      <c r="V731" t="s">
        <v>15304</v>
      </c>
      <c r="W731" t="s">
        <v>15305</v>
      </c>
      <c r="X731" t="s">
        <v>15306</v>
      </c>
      <c r="Y731" t="s">
        <v>15307</v>
      </c>
    </row>
    <row r="732" spans="1:25" x14ac:dyDescent="0.3">
      <c r="A732">
        <v>36550</v>
      </c>
      <c r="B732" t="s">
        <v>15308</v>
      </c>
      <c r="C732" t="s">
        <v>15309</v>
      </c>
      <c r="D732" t="s">
        <v>15310</v>
      </c>
      <c r="E732" t="s">
        <v>15311</v>
      </c>
      <c r="F732" t="s">
        <v>15312</v>
      </c>
      <c r="G732" t="s">
        <v>15313</v>
      </c>
      <c r="H732" t="s">
        <v>15314</v>
      </c>
      <c r="I732" t="s">
        <v>15315</v>
      </c>
      <c r="J732" t="s">
        <v>15316</v>
      </c>
      <c r="K732" t="s">
        <v>15317</v>
      </c>
      <c r="L732" t="s">
        <v>15318</v>
      </c>
      <c r="M732" t="s">
        <v>15319</v>
      </c>
      <c r="N732" t="s">
        <v>15320</v>
      </c>
      <c r="O732">
        <f>-738.469980789581 -53.4531187249324 -729.332145371264</f>
        <v>-1521.2552448857773</v>
      </c>
      <c r="P732">
        <f>-737.176835374263 -37.5618300476199 -413.211972492424</f>
        <v>-1187.9506379143068</v>
      </c>
      <c r="Q732">
        <f>-491.65739489585 -57.3709253424352 -329.726314531426</f>
        <v>-878.75463476971117</v>
      </c>
      <c r="R732" t="s">
        <v>15321</v>
      </c>
      <c r="S732" t="s">
        <v>15322</v>
      </c>
      <c r="T732" t="s">
        <v>15323</v>
      </c>
      <c r="U732" t="s">
        <v>15324</v>
      </c>
      <c r="V732" t="s">
        <v>15325</v>
      </c>
      <c r="W732" t="s">
        <v>15326</v>
      </c>
      <c r="X732" t="s">
        <v>15327</v>
      </c>
      <c r="Y732" t="s">
        <v>15328</v>
      </c>
    </row>
    <row r="733" spans="1:25" x14ac:dyDescent="0.3">
      <c r="A733">
        <v>36600</v>
      </c>
      <c r="B733" t="s">
        <v>15329</v>
      </c>
      <c r="C733" t="s">
        <v>15330</v>
      </c>
      <c r="D733" t="s">
        <v>15331</v>
      </c>
      <c r="E733" t="s">
        <v>15332</v>
      </c>
      <c r="F733" t="s">
        <v>15333</v>
      </c>
      <c r="G733" t="s">
        <v>15334</v>
      </c>
      <c r="H733" t="s">
        <v>15335</v>
      </c>
      <c r="I733" t="s">
        <v>15336</v>
      </c>
      <c r="J733" t="s">
        <v>15337</v>
      </c>
      <c r="K733" t="s">
        <v>15338</v>
      </c>
      <c r="L733" t="s">
        <v>15339</v>
      </c>
      <c r="M733" t="s">
        <v>15340</v>
      </c>
      <c r="N733" t="s">
        <v>15341</v>
      </c>
      <c r="O733">
        <f>-738.241362954724 -53.3033822930156 -729.59536024797</f>
        <v>-1521.1401054957096</v>
      </c>
      <c r="P733">
        <f>-737.18567592335 -37.8296258183902 -413.453642573452</f>
        <v>-1188.4689443151922</v>
      </c>
      <c r="Q733">
        <f>-491.654896056722 -57.8339806409315 -330.047796941453</f>
        <v>-879.53667363910654</v>
      </c>
      <c r="R733" t="s">
        <v>15342</v>
      </c>
      <c r="S733" t="s">
        <v>15343</v>
      </c>
      <c r="T733" t="s">
        <v>15344</v>
      </c>
      <c r="U733" t="s">
        <v>15345</v>
      </c>
      <c r="V733" t="s">
        <v>15346</v>
      </c>
      <c r="W733" t="s">
        <v>15347</v>
      </c>
      <c r="X733" t="s">
        <v>15348</v>
      </c>
      <c r="Y733" t="s">
        <v>15349</v>
      </c>
    </row>
    <row r="734" spans="1:25" x14ac:dyDescent="0.3">
      <c r="A734">
        <v>36650</v>
      </c>
      <c r="B734" t="s">
        <v>15350</v>
      </c>
      <c r="C734" t="s">
        <v>15351</v>
      </c>
      <c r="D734" t="s">
        <v>15352</v>
      </c>
      <c r="E734" t="s">
        <v>15353</v>
      </c>
      <c r="F734" t="s">
        <v>15354</v>
      </c>
      <c r="G734" t="s">
        <v>15355</v>
      </c>
      <c r="H734" t="s">
        <v>15356</v>
      </c>
      <c r="I734" t="s">
        <v>15357</v>
      </c>
      <c r="J734" t="s">
        <v>15358</v>
      </c>
      <c r="K734" t="s">
        <v>15359</v>
      </c>
      <c r="L734" t="s">
        <v>15360</v>
      </c>
      <c r="M734" t="s">
        <v>15361</v>
      </c>
      <c r="N734" t="s">
        <v>15362</v>
      </c>
      <c r="O734">
        <f>-737.147124035026 -53.8561406346578 -730.125931615466</f>
        <v>-1521.1291962851496</v>
      </c>
      <c r="P734">
        <f>-737.02254450351 -38.8253629588828 -413.961024538508</f>
        <v>-1189.8089320009008</v>
      </c>
      <c r="Q734">
        <f>-491.556111144611 -58.952394285044 -330.395498691045</f>
        <v>-880.90400412069994</v>
      </c>
      <c r="R734" t="s">
        <v>15363</v>
      </c>
      <c r="S734" t="s">
        <v>15364</v>
      </c>
      <c r="T734" t="s">
        <v>15365</v>
      </c>
      <c r="U734" t="s">
        <v>15366</v>
      </c>
      <c r="V734" t="s">
        <v>15367</v>
      </c>
      <c r="W734" t="s">
        <v>15368</v>
      </c>
      <c r="X734" t="s">
        <v>15369</v>
      </c>
      <c r="Y734" t="s">
        <v>15370</v>
      </c>
    </row>
    <row r="735" spans="1:25" x14ac:dyDescent="0.3">
      <c r="A735">
        <v>36700</v>
      </c>
      <c r="B735" t="s">
        <v>15371</v>
      </c>
      <c r="C735" t="s">
        <v>15372</v>
      </c>
      <c r="D735" t="s">
        <v>15373</v>
      </c>
      <c r="E735" t="s">
        <v>15374</v>
      </c>
      <c r="F735" t="s">
        <v>15375</v>
      </c>
      <c r="G735" t="s">
        <v>15376</v>
      </c>
      <c r="H735" t="s">
        <v>15377</v>
      </c>
      <c r="I735" t="s">
        <v>15378</v>
      </c>
      <c r="J735" t="s">
        <v>15379</v>
      </c>
      <c r="K735" t="s">
        <v>15380</v>
      </c>
      <c r="L735" t="s">
        <v>15381</v>
      </c>
      <c r="M735" t="s">
        <v>15382</v>
      </c>
      <c r="N735" t="s">
        <v>15383</v>
      </c>
      <c r="O735">
        <f>-736.941499095598 -54.4271574389675 -730.331527734822</f>
        <v>-1521.7001842693876</v>
      </c>
      <c r="P735">
        <f>-737.263457643071 -39.5465210044531 -414.159692528704</f>
        <v>-1190.9696711762281</v>
      </c>
      <c r="Q735">
        <f>-491.872508332328 -59.5507017413092 -330.343445853791</f>
        <v>-881.76665592742825</v>
      </c>
      <c r="R735" t="s">
        <v>15384</v>
      </c>
      <c r="S735" t="s">
        <v>15385</v>
      </c>
      <c r="T735" t="s">
        <v>15386</v>
      </c>
      <c r="U735" t="s">
        <v>15387</v>
      </c>
      <c r="V735" t="s">
        <v>15388</v>
      </c>
      <c r="W735" t="s">
        <v>15389</v>
      </c>
      <c r="X735" t="s">
        <v>15390</v>
      </c>
      <c r="Y735" t="s">
        <v>15391</v>
      </c>
    </row>
    <row r="736" spans="1:25" x14ac:dyDescent="0.3">
      <c r="A736">
        <v>36750</v>
      </c>
      <c r="B736" t="s">
        <v>15392</v>
      </c>
      <c r="C736" t="s">
        <v>15393</v>
      </c>
      <c r="D736" t="s">
        <v>15394</v>
      </c>
      <c r="E736" t="s">
        <v>15395</v>
      </c>
      <c r="F736" t="s">
        <v>15396</v>
      </c>
      <c r="G736" t="s">
        <v>15397</v>
      </c>
      <c r="H736" t="s">
        <v>15398</v>
      </c>
      <c r="I736" t="s">
        <v>15399</v>
      </c>
      <c r="J736" t="s">
        <v>15400</v>
      </c>
      <c r="K736" t="s">
        <v>15401</v>
      </c>
      <c r="L736" t="s">
        <v>15402</v>
      </c>
      <c r="M736" t="s">
        <v>15403</v>
      </c>
      <c r="N736" t="s">
        <v>15404</v>
      </c>
      <c r="O736">
        <f>-736.701590133173 -55.4763191809564 -730.570390105038</f>
        <v>-1522.7482994191673</v>
      </c>
      <c r="P736">
        <f>-737.346918713132 -40.6388634872758 -414.396831172152</f>
        <v>-1192.3826133725597</v>
      </c>
      <c r="Q736">
        <f>-492.033629945423 -60.6219183740482 -330.348685995176</f>
        <v>-883.00423431464719</v>
      </c>
      <c r="R736" t="s">
        <v>15405</v>
      </c>
      <c r="S736" t="s">
        <v>15406</v>
      </c>
      <c r="T736" t="s">
        <v>15407</v>
      </c>
      <c r="U736" t="s">
        <v>15408</v>
      </c>
      <c r="V736" t="s">
        <v>15409</v>
      </c>
      <c r="W736" t="s">
        <v>15410</v>
      </c>
      <c r="X736" t="s">
        <v>15411</v>
      </c>
      <c r="Y736" t="s">
        <v>15412</v>
      </c>
    </row>
    <row r="737" spans="1:25" x14ac:dyDescent="0.3">
      <c r="A737">
        <v>36800</v>
      </c>
      <c r="B737" t="s">
        <v>15413</v>
      </c>
      <c r="C737" t="s">
        <v>15414</v>
      </c>
      <c r="D737" t="s">
        <v>15415</v>
      </c>
      <c r="E737" t="s">
        <v>15416</v>
      </c>
      <c r="F737" t="s">
        <v>15417</v>
      </c>
      <c r="G737" t="s">
        <v>15418</v>
      </c>
      <c r="H737" t="s">
        <v>15419</v>
      </c>
      <c r="I737" t="s">
        <v>15420</v>
      </c>
      <c r="J737" t="s">
        <v>15421</v>
      </c>
      <c r="K737" t="s">
        <v>15422</v>
      </c>
      <c r="L737" t="s">
        <v>15423</v>
      </c>
      <c r="M737" t="s">
        <v>15424</v>
      </c>
      <c r="N737" t="s">
        <v>15425</v>
      </c>
      <c r="O737">
        <f>-736.772001265611 -55.9077285200963 -730.550067242297</f>
        <v>-1523.2297970280042</v>
      </c>
      <c r="P737">
        <f>-737.209741589414 -41.070823122606 -414.376295472976</f>
        <v>-1192.656860184996</v>
      </c>
      <c r="Q737">
        <f>-491.885886400935 -61.2778705564274 -330.412487969044</f>
        <v>-883.57624492640639</v>
      </c>
      <c r="R737" t="s">
        <v>15426</v>
      </c>
      <c r="S737" t="s">
        <v>15427</v>
      </c>
      <c r="T737" t="s">
        <v>15428</v>
      </c>
      <c r="U737" t="s">
        <v>15429</v>
      </c>
      <c r="V737" t="s">
        <v>15430</v>
      </c>
      <c r="W737" t="s">
        <v>15431</v>
      </c>
      <c r="X737" t="s">
        <v>15432</v>
      </c>
      <c r="Y737" t="s">
        <v>15433</v>
      </c>
    </row>
    <row r="738" spans="1:25" x14ac:dyDescent="0.3">
      <c r="A738">
        <v>36850</v>
      </c>
      <c r="B738" t="s">
        <v>15434</v>
      </c>
      <c r="C738" t="s">
        <v>15435</v>
      </c>
      <c r="D738" t="s">
        <v>15436</v>
      </c>
      <c r="E738" t="s">
        <v>15437</v>
      </c>
      <c r="F738" t="s">
        <v>15438</v>
      </c>
      <c r="G738" t="s">
        <v>15439</v>
      </c>
      <c r="H738" t="s">
        <v>15440</v>
      </c>
      <c r="I738" t="s">
        <v>15441</v>
      </c>
      <c r="J738" t="s">
        <v>15442</v>
      </c>
      <c r="K738" t="s">
        <v>15443</v>
      </c>
      <c r="L738" t="s">
        <v>15444</v>
      </c>
      <c r="M738" t="s">
        <v>15445</v>
      </c>
      <c r="N738" t="s">
        <v>15446</v>
      </c>
      <c r="O738">
        <f>-737.223367088762 -56.5908179331 -730.539245747242</f>
        <v>-1524.3534307691039</v>
      </c>
      <c r="P738">
        <f>-737.269007895816 -41.3022308533568 -414.38665819963</f>
        <v>-1192.957896948803</v>
      </c>
      <c r="Q738">
        <f>-491.871376287675 -61.7393058310815 -330.69472075446</f>
        <v>-884.30540287321651</v>
      </c>
      <c r="R738" t="s">
        <v>15447</v>
      </c>
      <c r="S738" t="s">
        <v>15448</v>
      </c>
      <c r="T738" t="s">
        <v>15449</v>
      </c>
      <c r="U738" t="s">
        <v>15450</v>
      </c>
      <c r="V738" t="s">
        <v>15451</v>
      </c>
      <c r="W738" t="s">
        <v>15452</v>
      </c>
      <c r="X738" t="s">
        <v>15453</v>
      </c>
      <c r="Y738" t="s">
        <v>15454</v>
      </c>
    </row>
    <row r="739" spans="1:25" x14ac:dyDescent="0.3">
      <c r="A739">
        <v>36900</v>
      </c>
      <c r="B739" t="s">
        <v>15455</v>
      </c>
      <c r="C739" t="s">
        <v>15456</v>
      </c>
      <c r="D739" t="s">
        <v>15457</v>
      </c>
      <c r="E739" t="s">
        <v>15458</v>
      </c>
      <c r="F739" t="s">
        <v>15459</v>
      </c>
      <c r="G739" t="s">
        <v>15460</v>
      </c>
      <c r="H739" t="s">
        <v>15461</v>
      </c>
      <c r="I739" t="s">
        <v>15462</v>
      </c>
      <c r="J739" t="s">
        <v>15463</v>
      </c>
      <c r="K739" t="s">
        <v>15464</v>
      </c>
      <c r="L739" t="s">
        <v>15465</v>
      </c>
      <c r="M739" t="s">
        <v>15466</v>
      </c>
      <c r="N739" t="s">
        <v>15467</v>
      </c>
      <c r="O739">
        <f>-737.412185056267 -56.9993762899994 -730.453397451504</f>
        <v>-1524.8649587977704</v>
      </c>
      <c r="P739">
        <f>-737.417603941599 -41.6634774905417 -414.303003797509</f>
        <v>-1193.3840852296498</v>
      </c>
      <c r="Q739">
        <f>-492.010922394198 -62.0483339675923 -330.624508920868</f>
        <v>-884.68376528265821</v>
      </c>
      <c r="R739" t="s">
        <v>15468</v>
      </c>
      <c r="S739" t="s">
        <v>15469</v>
      </c>
      <c r="T739" t="s">
        <v>15470</v>
      </c>
      <c r="U739" t="s">
        <v>15471</v>
      </c>
      <c r="V739" t="s">
        <v>15472</v>
      </c>
      <c r="W739" t="s">
        <v>15473</v>
      </c>
      <c r="X739" t="s">
        <v>15474</v>
      </c>
      <c r="Y739" t="s">
        <v>15475</v>
      </c>
    </row>
    <row r="740" spans="1:25" x14ac:dyDescent="0.3">
      <c r="A740">
        <v>36950</v>
      </c>
      <c r="B740" t="s">
        <v>15476</v>
      </c>
      <c r="C740" t="s">
        <v>15477</v>
      </c>
      <c r="D740" t="s">
        <v>15478</v>
      </c>
      <c r="E740" t="s">
        <v>15479</v>
      </c>
      <c r="F740" t="s">
        <v>15480</v>
      </c>
      <c r="G740" t="s">
        <v>15481</v>
      </c>
      <c r="H740" t="s">
        <v>15482</v>
      </c>
      <c r="I740" t="s">
        <v>15483</v>
      </c>
      <c r="J740" t="s">
        <v>15484</v>
      </c>
      <c r="K740" t="s">
        <v>15485</v>
      </c>
      <c r="L740" t="s">
        <v>15486</v>
      </c>
      <c r="M740" t="s">
        <v>15487</v>
      </c>
      <c r="N740" t="s">
        <v>15488</v>
      </c>
      <c r="O740">
        <f>-737.901130688855 -57.6509633820115 -730.292237765055</f>
        <v>-1525.8443318359214</v>
      </c>
      <c r="P740">
        <f>-738.000390518647 -42.6194123342309 -414.127225478728</f>
        <v>-1194.7470283316059</v>
      </c>
      <c r="Q740">
        <f>-492.287550473318 -62.031219084949 -331.118647036998</f>
        <v>-885.43741659526506</v>
      </c>
      <c r="R740" t="s">
        <v>15489</v>
      </c>
      <c r="S740" t="s">
        <v>15490</v>
      </c>
      <c r="T740" t="s">
        <v>15491</v>
      </c>
      <c r="U740" t="s">
        <v>15492</v>
      </c>
      <c r="V740" t="s">
        <v>15493</v>
      </c>
      <c r="W740" t="s">
        <v>15494</v>
      </c>
      <c r="X740" t="s">
        <v>15495</v>
      </c>
      <c r="Y740" t="s">
        <v>15496</v>
      </c>
    </row>
    <row r="741" spans="1:25" x14ac:dyDescent="0.3">
      <c r="A741">
        <v>37000</v>
      </c>
      <c r="B741" t="s">
        <v>15497</v>
      </c>
      <c r="C741" t="s">
        <v>15498</v>
      </c>
      <c r="D741" t="s">
        <v>15499</v>
      </c>
      <c r="E741" t="s">
        <v>15500</v>
      </c>
      <c r="F741" t="s">
        <v>15501</v>
      </c>
      <c r="G741" t="s">
        <v>15502</v>
      </c>
      <c r="H741" t="s">
        <v>15503</v>
      </c>
      <c r="I741" t="s">
        <v>15504</v>
      </c>
      <c r="J741" t="s">
        <v>15505</v>
      </c>
      <c r="K741" t="s">
        <v>15506</v>
      </c>
      <c r="L741" t="s">
        <v>15507</v>
      </c>
      <c r="M741" t="s">
        <v>15508</v>
      </c>
      <c r="N741" t="s">
        <v>15509</v>
      </c>
      <c r="O741">
        <f>-738.322257609857 -58.0599247817402 -730.110780469709</f>
        <v>-1526.4929628613063</v>
      </c>
      <c r="P741">
        <f>-738.036453898891 -42.5043336304429 -413.971283146001</f>
        <v>-1194.5120706753348</v>
      </c>
      <c r="Q741">
        <f>-492.047134026982 -61.9866452990432 -331.802331563011</f>
        <v>-885.83611088903626</v>
      </c>
      <c r="R741" t="s">
        <v>15510</v>
      </c>
      <c r="S741" t="s">
        <v>15511</v>
      </c>
      <c r="T741" t="s">
        <v>15512</v>
      </c>
      <c r="U741" t="s">
        <v>15513</v>
      </c>
      <c r="V741" t="s">
        <v>15514</v>
      </c>
      <c r="W741" t="s">
        <v>15515</v>
      </c>
      <c r="X741" t="s">
        <v>15516</v>
      </c>
      <c r="Y741" t="s">
        <v>15517</v>
      </c>
    </row>
    <row r="742" spans="1:25" x14ac:dyDescent="0.3">
      <c r="A742">
        <v>37050</v>
      </c>
      <c r="B742" t="s">
        <v>15518</v>
      </c>
      <c r="C742" t="s">
        <v>15519</v>
      </c>
      <c r="D742" t="s">
        <v>15520</v>
      </c>
      <c r="E742" t="s">
        <v>15521</v>
      </c>
      <c r="F742" t="s">
        <v>15522</v>
      </c>
      <c r="G742" t="s">
        <v>15523</v>
      </c>
      <c r="H742" t="s">
        <v>15524</v>
      </c>
      <c r="I742" t="s">
        <v>15525</v>
      </c>
      <c r="J742" t="s">
        <v>15526</v>
      </c>
      <c r="K742" t="s">
        <v>15527</v>
      </c>
      <c r="L742" t="s">
        <v>15528</v>
      </c>
      <c r="M742" t="s">
        <v>15529</v>
      </c>
      <c r="N742" t="s">
        <v>15530</v>
      </c>
      <c r="O742">
        <f>-739.340398116585 -58.5912429323362 -729.759835100223</f>
        <v>-1527.6914761491441</v>
      </c>
      <c r="P742">
        <f>-737.881884801425 -43.9515149940557 -413.579943415483</f>
        <v>-1195.4133432109638</v>
      </c>
      <c r="Q742">
        <f>-491.527473049512 -65.4971522898234 -333.036019928022</f>
        <v>-890.06064526735736</v>
      </c>
      <c r="R742" t="s">
        <v>15531</v>
      </c>
      <c r="S742" t="s">
        <v>15532</v>
      </c>
      <c r="T742" t="s">
        <v>15533</v>
      </c>
      <c r="U742" t="s">
        <v>15534</v>
      </c>
      <c r="V742" t="s">
        <v>15535</v>
      </c>
      <c r="W742" t="s">
        <v>15536</v>
      </c>
      <c r="X742" t="s">
        <v>15537</v>
      </c>
      <c r="Y742" t="s">
        <v>15538</v>
      </c>
    </row>
    <row r="743" spans="1:25" x14ac:dyDescent="0.3">
      <c r="A743">
        <v>37100</v>
      </c>
      <c r="B743" t="s">
        <v>15539</v>
      </c>
      <c r="C743" t="s">
        <v>15540</v>
      </c>
      <c r="D743" t="s">
        <v>15541</v>
      </c>
      <c r="E743" t="s">
        <v>15542</v>
      </c>
      <c r="F743" t="s">
        <v>15543</v>
      </c>
      <c r="G743" t="s">
        <v>15544</v>
      </c>
      <c r="H743" t="s">
        <v>15545</v>
      </c>
      <c r="I743" t="s">
        <v>15546</v>
      </c>
      <c r="J743" t="s">
        <v>15547</v>
      </c>
      <c r="K743" t="s">
        <v>15548</v>
      </c>
      <c r="L743" t="s">
        <v>15549</v>
      </c>
      <c r="M743" t="s">
        <v>15550</v>
      </c>
      <c r="N743" t="s">
        <v>15551</v>
      </c>
      <c r="O743">
        <f>-740.084329306413 -58.7868591643019 -729.647447862572</f>
        <v>-1528.5186363332868</v>
      </c>
      <c r="P743">
        <f>-738.549554822462 -44.2647181616055 -413.462463129226</f>
        <v>-1196.2767361132935</v>
      </c>
      <c r="Q743">
        <f>-491.83249708915 -66.4793700679554 -334.221118038858</f>
        <v>-892.53298519596342</v>
      </c>
      <c r="R743" t="s">
        <v>15552</v>
      </c>
      <c r="S743" t="s">
        <v>15553</v>
      </c>
      <c r="T743" t="s">
        <v>15554</v>
      </c>
      <c r="U743" t="s">
        <v>15555</v>
      </c>
      <c r="V743" t="s">
        <v>15556</v>
      </c>
      <c r="W743" t="s">
        <v>15557</v>
      </c>
      <c r="X743" t="s">
        <v>15558</v>
      </c>
      <c r="Y743" t="s">
        <v>15559</v>
      </c>
    </row>
    <row r="744" spans="1:25" x14ac:dyDescent="0.3">
      <c r="A744">
        <v>37150</v>
      </c>
      <c r="B744" t="s">
        <v>15560</v>
      </c>
      <c r="C744" t="s">
        <v>15561</v>
      </c>
      <c r="D744" t="s">
        <v>15562</v>
      </c>
      <c r="E744" t="s">
        <v>15563</v>
      </c>
      <c r="F744" t="s">
        <v>15564</v>
      </c>
      <c r="G744" t="s">
        <v>15565</v>
      </c>
      <c r="H744" t="s">
        <v>15566</v>
      </c>
      <c r="I744" t="s">
        <v>15567</v>
      </c>
      <c r="J744" t="s">
        <v>15568</v>
      </c>
      <c r="K744" t="s">
        <v>15569</v>
      </c>
      <c r="L744" t="s">
        <v>15570</v>
      </c>
      <c r="M744" t="s">
        <v>15571</v>
      </c>
      <c r="N744" t="s">
        <v>15572</v>
      </c>
      <c r="O744">
        <f>-741.611339661296 -59.3878112923339 -729.418751544651</f>
        <v>-1530.4179024982809</v>
      </c>
      <c r="P744">
        <f>-740.667955495119 -44.8366521249995 -413.232748644817</f>
        <v>-1198.7373562649354</v>
      </c>
      <c r="Q744">
        <f>-493.156186970157 -67.8909117543146 -336.757404430185</f>
        <v>-897.80450315465669</v>
      </c>
      <c r="R744" t="s">
        <v>15573</v>
      </c>
      <c r="S744" t="s">
        <v>15574</v>
      </c>
      <c r="T744" t="s">
        <v>15575</v>
      </c>
      <c r="U744" t="s">
        <v>15576</v>
      </c>
      <c r="V744" t="s">
        <v>15577</v>
      </c>
      <c r="W744" t="s">
        <v>15578</v>
      </c>
      <c r="X744" t="s">
        <v>15579</v>
      </c>
      <c r="Y744" t="s">
        <v>15580</v>
      </c>
    </row>
    <row r="745" spans="1:25" x14ac:dyDescent="0.3">
      <c r="A745">
        <v>37200</v>
      </c>
      <c r="B745" t="s">
        <v>15581</v>
      </c>
      <c r="C745" t="s">
        <v>15582</v>
      </c>
      <c r="D745" t="s">
        <v>15583</v>
      </c>
      <c r="E745" t="s">
        <v>15584</v>
      </c>
      <c r="F745" t="s">
        <v>15585</v>
      </c>
      <c r="G745" t="s">
        <v>15586</v>
      </c>
      <c r="H745" t="s">
        <v>15587</v>
      </c>
      <c r="I745" t="s">
        <v>15588</v>
      </c>
      <c r="J745" t="s">
        <v>15589</v>
      </c>
      <c r="K745" t="s">
        <v>15590</v>
      </c>
      <c r="L745" t="s">
        <v>15591</v>
      </c>
      <c r="M745" t="s">
        <v>15592</v>
      </c>
      <c r="N745" t="s">
        <v>15593</v>
      </c>
      <c r="O745">
        <f>-742.27690095563 -59.3533671388168 -729.436167098937</f>
        <v>-1531.0664351933838</v>
      </c>
      <c r="P745">
        <f>-741.472460427172 -44.9695478343565 -413.242079296898</f>
        <v>-1199.6840875584264</v>
      </c>
      <c r="Q745">
        <f>-493.885474749782 -69.1655991310645 -337.365468881164</f>
        <v>-900.41654276201052</v>
      </c>
      <c r="R745" t="s">
        <v>15594</v>
      </c>
      <c r="S745" t="s">
        <v>15595</v>
      </c>
      <c r="T745" t="s">
        <v>15596</v>
      </c>
      <c r="U745" t="s">
        <v>15597</v>
      </c>
      <c r="V745" t="s">
        <v>15598</v>
      </c>
      <c r="W745" t="s">
        <v>15599</v>
      </c>
      <c r="X745" t="s">
        <v>15600</v>
      </c>
      <c r="Y745" t="s">
        <v>15601</v>
      </c>
    </row>
    <row r="746" spans="1:25" x14ac:dyDescent="0.3">
      <c r="A746">
        <v>37250</v>
      </c>
      <c r="B746" t="s">
        <v>15602</v>
      </c>
      <c r="C746" t="s">
        <v>15603</v>
      </c>
      <c r="D746" t="s">
        <v>15604</v>
      </c>
      <c r="E746" t="s">
        <v>15605</v>
      </c>
      <c r="F746" t="s">
        <v>15606</v>
      </c>
      <c r="G746" t="s">
        <v>15607</v>
      </c>
      <c r="H746" t="s">
        <v>15608</v>
      </c>
      <c r="I746" t="s">
        <v>15609</v>
      </c>
      <c r="J746" t="s">
        <v>15610</v>
      </c>
      <c r="K746" t="s">
        <v>15611</v>
      </c>
      <c r="L746" t="s">
        <v>15612</v>
      </c>
      <c r="M746" t="s">
        <v>15613</v>
      </c>
      <c r="N746" t="s">
        <v>15614</v>
      </c>
      <c r="O746">
        <f>-743.747531796358 -58.8397302288427 -729.298229702439</f>
        <v>-1531.8854917276396</v>
      </c>
      <c r="P746">
        <f>-742.899297517795 -44.2862742864022 -413.11213480917</f>
        <v>-1200.2977066133672</v>
      </c>
      <c r="Q746">
        <f>-495.343026610081 -70.3927149119352 -337.770129728669</f>
        <v>-903.50587125068523</v>
      </c>
      <c r="R746" t="s">
        <v>15615</v>
      </c>
      <c r="S746" t="s">
        <v>15616</v>
      </c>
      <c r="T746" t="s">
        <v>15617</v>
      </c>
      <c r="U746" t="s">
        <v>15618</v>
      </c>
      <c r="V746" t="s">
        <v>15619</v>
      </c>
      <c r="W746" t="s">
        <v>15620</v>
      </c>
      <c r="X746" t="s">
        <v>15621</v>
      </c>
      <c r="Y746" t="s">
        <v>15622</v>
      </c>
    </row>
    <row r="747" spans="1:25" x14ac:dyDescent="0.3">
      <c r="A747">
        <v>37300</v>
      </c>
      <c r="B747" t="s">
        <v>15623</v>
      </c>
      <c r="C747" t="s">
        <v>15624</v>
      </c>
      <c r="D747" t="s">
        <v>15625</v>
      </c>
      <c r="E747" t="s">
        <v>15626</v>
      </c>
      <c r="F747" t="s">
        <v>15627</v>
      </c>
      <c r="G747" t="s">
        <v>15628</v>
      </c>
      <c r="H747" t="s">
        <v>15629</v>
      </c>
      <c r="I747" t="s">
        <v>15630</v>
      </c>
      <c r="J747" t="s">
        <v>15631</v>
      </c>
      <c r="K747" t="s">
        <v>15632</v>
      </c>
      <c r="L747" t="s">
        <v>15633</v>
      </c>
      <c r="M747" t="s">
        <v>15634</v>
      </c>
      <c r="N747" t="s">
        <v>15635</v>
      </c>
      <c r="O747">
        <f>-744.653248839975 -58.6019210464601 -729.161691020781</f>
        <v>-1532.4168609072162</v>
      </c>
      <c r="P747">
        <f>-743.770295134749 -44.0885308997601 -412.973876317328</f>
        <v>-1200.832702351837</v>
      </c>
      <c r="Q747">
        <f>-496.259803106406 -70.6043619012494 -337.624676008788</f>
        <v>-904.48884101644342</v>
      </c>
      <c r="R747" t="s">
        <v>15636</v>
      </c>
      <c r="S747" t="s">
        <v>15637</v>
      </c>
      <c r="T747" t="s">
        <v>15638</v>
      </c>
      <c r="U747" t="s">
        <v>15639</v>
      </c>
      <c r="V747" t="s">
        <v>15640</v>
      </c>
      <c r="W747" t="s">
        <v>15641</v>
      </c>
      <c r="X747" t="s">
        <v>15642</v>
      </c>
      <c r="Y747" t="s">
        <v>15643</v>
      </c>
    </row>
    <row r="748" spans="1:25" x14ac:dyDescent="0.3">
      <c r="A748">
        <v>37350</v>
      </c>
      <c r="B748" t="s">
        <v>15644</v>
      </c>
      <c r="C748" t="s">
        <v>15645</v>
      </c>
      <c r="D748" t="s">
        <v>15646</v>
      </c>
      <c r="E748" t="s">
        <v>15647</v>
      </c>
      <c r="F748" t="s">
        <v>15648</v>
      </c>
      <c r="G748" t="s">
        <v>15649</v>
      </c>
      <c r="H748" t="s">
        <v>15650</v>
      </c>
      <c r="I748" t="s">
        <v>15651</v>
      </c>
      <c r="J748" t="s">
        <v>15652</v>
      </c>
      <c r="K748" t="s">
        <v>15653</v>
      </c>
      <c r="L748" t="s">
        <v>15654</v>
      </c>
      <c r="M748" t="s">
        <v>15655</v>
      </c>
      <c r="N748" t="s">
        <v>15656</v>
      </c>
      <c r="O748">
        <f>-746.573179691889 -57.7715309535542 -728.639713005024</f>
        <v>-1532.9844236504673</v>
      </c>
      <c r="P748">
        <f>-745.558742680634 -42.3100725199026 -412.497231179519</f>
        <v>-1200.3660463800556</v>
      </c>
      <c r="Q748">
        <f>-498.968093824174 -69.8159602952846 -334.53214670194</f>
        <v>-903.31620082139852</v>
      </c>
      <c r="R748" t="s">
        <v>15657</v>
      </c>
      <c r="S748" t="s">
        <v>15658</v>
      </c>
      <c r="T748" t="s">
        <v>15659</v>
      </c>
      <c r="U748" t="s">
        <v>15660</v>
      </c>
      <c r="V748" t="s">
        <v>15661</v>
      </c>
      <c r="W748" t="s">
        <v>15662</v>
      </c>
      <c r="X748" t="s">
        <v>15663</v>
      </c>
      <c r="Y748" t="s">
        <v>15664</v>
      </c>
    </row>
    <row r="749" spans="1:25" x14ac:dyDescent="0.3">
      <c r="A749">
        <v>37400</v>
      </c>
      <c r="B749" t="s">
        <v>15665</v>
      </c>
      <c r="C749" t="s">
        <v>15666</v>
      </c>
      <c r="D749" t="s">
        <v>15667</v>
      </c>
      <c r="E749" t="s">
        <v>15668</v>
      </c>
      <c r="F749" t="s">
        <v>15669</v>
      </c>
      <c r="G749" t="s">
        <v>15670</v>
      </c>
      <c r="H749" t="s">
        <v>15671</v>
      </c>
      <c r="I749" t="s">
        <v>15672</v>
      </c>
      <c r="J749" t="s">
        <v>15673</v>
      </c>
      <c r="K749" t="s">
        <v>15674</v>
      </c>
      <c r="L749" t="s">
        <v>15675</v>
      </c>
      <c r="M749" t="s">
        <v>15676</v>
      </c>
      <c r="N749" t="s">
        <v>15677</v>
      </c>
      <c r="O749">
        <f>-747.418834856602 -57.8131072092342 -728.16917439604</f>
        <v>-1533.4011164618762</v>
      </c>
      <c r="P749">
        <f>-746.005189481069 -40.4696679726162 -412.125805355592</f>
        <v>-1198.6006628092773</v>
      </c>
      <c r="Q749">
        <f>-500.064693308564 -68.7764756945694 -332.413779179398</f>
        <v>-901.25494818253151</v>
      </c>
      <c r="R749" t="s">
        <v>15678</v>
      </c>
      <c r="S749" t="s">
        <v>15679</v>
      </c>
      <c r="T749" t="s">
        <v>15680</v>
      </c>
      <c r="U749" t="s">
        <v>15681</v>
      </c>
      <c r="V749" t="s">
        <v>15682</v>
      </c>
      <c r="W749" t="s">
        <v>15683</v>
      </c>
      <c r="X749" t="s">
        <v>15684</v>
      </c>
      <c r="Y749" t="s">
        <v>15685</v>
      </c>
    </row>
    <row r="750" spans="1:25" x14ac:dyDescent="0.3">
      <c r="A750">
        <v>37450</v>
      </c>
      <c r="B750" t="s">
        <v>15686</v>
      </c>
      <c r="C750" t="s">
        <v>15687</v>
      </c>
      <c r="D750" t="s">
        <v>15688</v>
      </c>
      <c r="E750" t="s">
        <v>15689</v>
      </c>
      <c r="F750" t="s">
        <v>15690</v>
      </c>
      <c r="G750" t="s">
        <v>15691</v>
      </c>
      <c r="H750" t="s">
        <v>15692</v>
      </c>
      <c r="I750" t="s">
        <v>15693</v>
      </c>
      <c r="J750" t="s">
        <v>15694</v>
      </c>
      <c r="K750" t="s">
        <v>15695</v>
      </c>
      <c r="L750" t="s">
        <v>15696</v>
      </c>
      <c r="M750" t="s">
        <v>15697</v>
      </c>
      <c r="N750" t="s">
        <v>15698</v>
      </c>
      <c r="O750">
        <f>-749.983770222747 -57.4261562054646 -727.149666774569</f>
        <v>-1534.5595932027807</v>
      </c>
      <c r="P750">
        <f>-746.736661983326 -37.3610615258167 -411.281034664292</f>
        <v>-1195.3787581734348</v>
      </c>
      <c r="Q750">
        <f>-501.573112925717 -67.5074936721915 -329.867787166189</f>
        <v>-898.94839376409755</v>
      </c>
      <c r="R750" t="s">
        <v>15699</v>
      </c>
      <c r="S750" t="s">
        <v>15700</v>
      </c>
      <c r="T750" t="s">
        <v>15701</v>
      </c>
      <c r="U750" t="s">
        <v>15702</v>
      </c>
      <c r="V750" t="s">
        <v>15703</v>
      </c>
      <c r="W750" t="s">
        <v>15704</v>
      </c>
      <c r="X750" t="s">
        <v>15705</v>
      </c>
      <c r="Y750" t="s">
        <v>15706</v>
      </c>
    </row>
    <row r="751" spans="1:25" x14ac:dyDescent="0.3">
      <c r="A751">
        <v>37500</v>
      </c>
      <c r="B751" t="s">
        <v>15707</v>
      </c>
      <c r="C751" t="s">
        <v>15708</v>
      </c>
      <c r="D751" t="s">
        <v>15709</v>
      </c>
      <c r="E751" t="s">
        <v>15710</v>
      </c>
      <c r="F751" t="s">
        <v>15711</v>
      </c>
      <c r="G751" t="s">
        <v>15712</v>
      </c>
      <c r="H751" t="s">
        <v>15713</v>
      </c>
      <c r="I751" t="s">
        <v>15714</v>
      </c>
      <c r="J751" t="s">
        <v>15715</v>
      </c>
      <c r="K751" t="s">
        <v>15716</v>
      </c>
      <c r="L751" t="s">
        <v>15717</v>
      </c>
      <c r="M751" t="s">
        <v>15718</v>
      </c>
      <c r="N751" t="s">
        <v>15719</v>
      </c>
      <c r="O751">
        <f>-751.396821753876 -56.9628753095681 -726.717933266267</f>
        <v>-1535.0776303297112</v>
      </c>
      <c r="P751">
        <f>-746.43431203339 -35.3480119447031 -410.973710300833</f>
        <v>-1192.7560342789261</v>
      </c>
      <c r="Q751">
        <f>-501.570496965815 -66.5950022657469 -329.075083991338</f>
        <v>-897.24058322289989</v>
      </c>
      <c r="R751" t="s">
        <v>15720</v>
      </c>
      <c r="S751" t="s">
        <v>15721</v>
      </c>
      <c r="T751" t="s">
        <v>15722</v>
      </c>
      <c r="U751" t="s">
        <v>15723</v>
      </c>
      <c r="V751" t="s">
        <v>15724</v>
      </c>
      <c r="W751" t="s">
        <v>15725</v>
      </c>
      <c r="X751" t="s">
        <v>15726</v>
      </c>
      <c r="Y751" t="s">
        <v>15727</v>
      </c>
    </row>
    <row r="752" spans="1:25" x14ac:dyDescent="0.3">
      <c r="A752">
        <v>37550</v>
      </c>
      <c r="B752" t="s">
        <v>15728</v>
      </c>
      <c r="C752" t="s">
        <v>15729</v>
      </c>
      <c r="D752" t="s">
        <v>15730</v>
      </c>
      <c r="E752" t="s">
        <v>15731</v>
      </c>
      <c r="F752" t="s">
        <v>15732</v>
      </c>
      <c r="G752" t="s">
        <v>15733</v>
      </c>
      <c r="H752" t="s">
        <v>15734</v>
      </c>
      <c r="I752" t="s">
        <v>15735</v>
      </c>
      <c r="J752" t="s">
        <v>15736</v>
      </c>
      <c r="K752" t="s">
        <v>15737</v>
      </c>
      <c r="L752" t="s">
        <v>15738</v>
      </c>
      <c r="M752" t="s">
        <v>15739</v>
      </c>
      <c r="N752" t="s">
        <v>15740</v>
      </c>
      <c r="O752">
        <f>-752.847191891678 -56.5441631571889 -726.241044326368</f>
        <v>-1535.6323993752349</v>
      </c>
      <c r="P752">
        <f>-746.245092529524 -33.6634680419822 -410.616048446936</f>
        <v>-1190.5246090184423</v>
      </c>
      <c r="Q752">
        <f>-501.507312717534 -65.6995725769721 -328.645492576582</f>
        <v>-895.85237787108804</v>
      </c>
      <c r="R752" t="s">
        <v>15741</v>
      </c>
      <c r="S752" t="s">
        <v>15742</v>
      </c>
      <c r="T752" t="s">
        <v>15743</v>
      </c>
      <c r="U752" t="s">
        <v>15744</v>
      </c>
      <c r="V752" t="s">
        <v>15745</v>
      </c>
      <c r="W752" t="s">
        <v>15746</v>
      </c>
      <c r="X752" t="s">
        <v>15747</v>
      </c>
      <c r="Y752" t="s">
        <v>15748</v>
      </c>
    </row>
    <row r="753" spans="1:25" x14ac:dyDescent="0.3">
      <c r="A753">
        <v>37600</v>
      </c>
      <c r="B753" t="s">
        <v>15749</v>
      </c>
      <c r="C753" t="s">
        <v>15750</v>
      </c>
      <c r="D753" t="s">
        <v>15751</v>
      </c>
      <c r="E753" t="s">
        <v>15752</v>
      </c>
      <c r="F753" t="s">
        <v>15753</v>
      </c>
      <c r="G753" t="s">
        <v>15754</v>
      </c>
      <c r="H753" t="s">
        <v>15755</v>
      </c>
      <c r="I753" t="s">
        <v>15756</v>
      </c>
      <c r="J753" t="s">
        <v>15757</v>
      </c>
      <c r="K753" t="s">
        <v>15758</v>
      </c>
      <c r="L753" t="s">
        <v>15759</v>
      </c>
      <c r="M753" t="s">
        <v>15760</v>
      </c>
      <c r="N753" t="s">
        <v>15761</v>
      </c>
      <c r="O753">
        <f>-755.165461683541 -56.0519713915089 -724.955373739835</f>
        <v>-1536.172806814885</v>
      </c>
      <c r="P753">
        <f>-746.809265541349 -31.6093618208072 -409.489302351705</f>
        <v>-1187.9079297138612</v>
      </c>
      <c r="Q753">
        <f>-501.986918254665 -63.4873959291026 -327.709809514049</f>
        <v>-893.18412369781663</v>
      </c>
      <c r="R753" t="s">
        <v>15762</v>
      </c>
      <c r="S753" t="s">
        <v>15763</v>
      </c>
      <c r="T753" t="s">
        <v>15764</v>
      </c>
      <c r="U753" t="s">
        <v>15765</v>
      </c>
      <c r="V753" t="s">
        <v>15766</v>
      </c>
      <c r="W753" t="s">
        <v>15767</v>
      </c>
      <c r="X753" t="s">
        <v>15768</v>
      </c>
      <c r="Y753" t="s">
        <v>15769</v>
      </c>
    </row>
    <row r="754" spans="1:25" x14ac:dyDescent="0.3">
      <c r="A754">
        <v>37650</v>
      </c>
      <c r="B754" t="s">
        <v>15770</v>
      </c>
      <c r="C754" t="s">
        <v>15771</v>
      </c>
      <c r="D754" t="s">
        <v>15772</v>
      </c>
      <c r="E754" t="s">
        <v>15773</v>
      </c>
      <c r="F754" t="s">
        <v>15774</v>
      </c>
      <c r="G754" t="s">
        <v>15775</v>
      </c>
      <c r="H754" t="s">
        <v>15776</v>
      </c>
      <c r="I754" t="s">
        <v>15777</v>
      </c>
      <c r="J754" t="s">
        <v>15778</v>
      </c>
      <c r="K754" t="s">
        <v>15779</v>
      </c>
      <c r="L754" t="s">
        <v>15780</v>
      </c>
      <c r="M754" t="s">
        <v>15781</v>
      </c>
      <c r="N754" t="s">
        <v>15782</v>
      </c>
      <c r="O754">
        <f>-756.076015092542 -55.5333828188202 -723.957179011356</f>
        <v>-1535.566576922718</v>
      </c>
      <c r="P754">
        <f>-748.295671387032 -30.4577842215394 -408.52578090354</f>
        <v>-1187.2792365121115</v>
      </c>
      <c r="Q754">
        <f>-502.426052687392 -59.5315672155227 -328.870872657205</f>
        <v>-890.82849256011968</v>
      </c>
      <c r="R754" t="s">
        <v>15783</v>
      </c>
      <c r="S754" t="s">
        <v>15784</v>
      </c>
      <c r="T754" t="s">
        <v>15785</v>
      </c>
      <c r="U754" t="s">
        <v>15786</v>
      </c>
      <c r="V754" t="s">
        <v>15787</v>
      </c>
      <c r="W754" t="s">
        <v>15788</v>
      </c>
      <c r="X754" t="s">
        <v>15789</v>
      </c>
      <c r="Y754" t="s">
        <v>15790</v>
      </c>
    </row>
    <row r="755" spans="1:25" x14ac:dyDescent="0.3">
      <c r="A755">
        <v>37700</v>
      </c>
      <c r="B755" t="s">
        <v>15791</v>
      </c>
      <c r="C755" t="s">
        <v>15792</v>
      </c>
      <c r="D755" t="s">
        <v>15793</v>
      </c>
      <c r="E755" t="s">
        <v>15794</v>
      </c>
      <c r="F755" t="s">
        <v>15795</v>
      </c>
      <c r="G755" t="s">
        <v>15796</v>
      </c>
      <c r="H755" t="s">
        <v>15797</v>
      </c>
      <c r="I755" t="s">
        <v>15798</v>
      </c>
      <c r="J755" t="s">
        <v>15799</v>
      </c>
      <c r="K755" t="s">
        <v>15800</v>
      </c>
      <c r="L755" t="s">
        <v>15801</v>
      </c>
      <c r="M755" t="s">
        <v>15802</v>
      </c>
      <c r="N755" t="s">
        <v>15803</v>
      </c>
      <c r="O755">
        <f>-756.334253875034 -54.7511165467363 -723.832730897711</f>
        <v>-1534.9181013194814</v>
      </c>
      <c r="P755">
        <f>-747.887040150232 -29.6474430452827 -408.420921729918</f>
        <v>-1185.9554049254327</v>
      </c>
      <c r="Q755">
        <f>-501.692254766199 -58.3793405778729 -329.651130940626</f>
        <v>-889.72272628469796</v>
      </c>
      <c r="R755" t="s">
        <v>15804</v>
      </c>
      <c r="S755" t="s">
        <v>15805</v>
      </c>
      <c r="T755" t="s">
        <v>15806</v>
      </c>
      <c r="U755" t="s">
        <v>15807</v>
      </c>
      <c r="V755" t="s">
        <v>15808</v>
      </c>
      <c r="W755" t="s">
        <v>15809</v>
      </c>
      <c r="X755" t="s">
        <v>15810</v>
      </c>
      <c r="Y755" t="s">
        <v>15811</v>
      </c>
    </row>
    <row r="756" spans="1:25" x14ac:dyDescent="0.3">
      <c r="A756">
        <v>37750</v>
      </c>
      <c r="B756" t="s">
        <v>15812</v>
      </c>
      <c r="C756" t="s">
        <v>15813</v>
      </c>
      <c r="D756" t="s">
        <v>15814</v>
      </c>
      <c r="E756" t="s">
        <v>15815</v>
      </c>
      <c r="F756" t="s">
        <v>15816</v>
      </c>
      <c r="G756" t="s">
        <v>15817</v>
      </c>
      <c r="H756" t="s">
        <v>15818</v>
      </c>
      <c r="I756" t="s">
        <v>15819</v>
      </c>
      <c r="J756" t="s">
        <v>15820</v>
      </c>
      <c r="K756" t="s">
        <v>15821</v>
      </c>
      <c r="L756" t="s">
        <v>15822</v>
      </c>
      <c r="M756" t="s">
        <v>15823</v>
      </c>
      <c r="N756" t="s">
        <v>15824</v>
      </c>
      <c r="O756">
        <f>-757.222804625794 -53.7116606031236 -723.505843878003</f>
        <v>-1534.4403091069207</v>
      </c>
      <c r="P756">
        <f>-746.781211844814 -27.8579257514368 -408.214289736011</f>
        <v>-1182.8534273322618</v>
      </c>
      <c r="Q756">
        <f>-500.4449152735 -55.6206332911902 -329.539448133548</f>
        <v>-885.60499669823821</v>
      </c>
      <c r="R756" t="s">
        <v>15825</v>
      </c>
      <c r="S756" t="s">
        <v>15826</v>
      </c>
      <c r="T756" t="s">
        <v>15827</v>
      </c>
      <c r="U756" t="s">
        <v>15828</v>
      </c>
      <c r="V756" t="s">
        <v>15829</v>
      </c>
      <c r="W756" t="s">
        <v>15830</v>
      </c>
      <c r="X756" t="s">
        <v>15831</v>
      </c>
      <c r="Y756" t="s">
        <v>15832</v>
      </c>
    </row>
    <row r="757" spans="1:25" x14ac:dyDescent="0.3">
      <c r="A757">
        <v>37800</v>
      </c>
      <c r="B757" t="s">
        <v>15833</v>
      </c>
      <c r="C757" t="s">
        <v>15834</v>
      </c>
      <c r="D757" t="s">
        <v>15835</v>
      </c>
      <c r="E757" t="s">
        <v>15836</v>
      </c>
      <c r="F757" t="s">
        <v>15837</v>
      </c>
      <c r="G757" t="s">
        <v>15838</v>
      </c>
      <c r="H757" t="s">
        <v>15839</v>
      </c>
      <c r="I757" t="s">
        <v>15840</v>
      </c>
      <c r="J757" t="s">
        <v>15841</v>
      </c>
      <c r="K757" t="s">
        <v>15842</v>
      </c>
      <c r="L757" t="s">
        <v>15843</v>
      </c>
      <c r="M757" t="s">
        <v>15844</v>
      </c>
      <c r="N757" t="s">
        <v>15845</v>
      </c>
      <c r="O757">
        <f>-757.798831090197 -53.4526163032128 -723.375967827436</f>
        <v>-1534.6274152208459</v>
      </c>
      <c r="P757">
        <f>-746.988092325551 -27.8286846564122 -408.07814044924</f>
        <v>-1182.8949174312031</v>
      </c>
      <c r="Q757">
        <f>-500.483870679253 -55.1597408581281 -329.779038915002</f>
        <v>-885.4226504523831</v>
      </c>
      <c r="R757" t="s">
        <v>15846</v>
      </c>
      <c r="S757" t="s">
        <v>15847</v>
      </c>
      <c r="T757" t="s">
        <v>15848</v>
      </c>
      <c r="U757" t="s">
        <v>15849</v>
      </c>
      <c r="V757" t="s">
        <v>15850</v>
      </c>
      <c r="W757" t="s">
        <v>15851</v>
      </c>
      <c r="X757" t="s">
        <v>15852</v>
      </c>
      <c r="Y757" t="s">
        <v>15853</v>
      </c>
    </row>
    <row r="758" spans="1:25" x14ac:dyDescent="0.3">
      <c r="A758">
        <v>37850</v>
      </c>
      <c r="B758" t="s">
        <v>15854</v>
      </c>
      <c r="C758" t="s">
        <v>15855</v>
      </c>
      <c r="D758" t="s">
        <v>15856</v>
      </c>
      <c r="E758" t="s">
        <v>15857</v>
      </c>
      <c r="F758" t="s">
        <v>15858</v>
      </c>
      <c r="G758" t="s">
        <v>15859</v>
      </c>
      <c r="H758" t="s">
        <v>15860</v>
      </c>
      <c r="I758" t="s">
        <v>15861</v>
      </c>
      <c r="J758" t="s">
        <v>15862</v>
      </c>
      <c r="K758" t="s">
        <v>15863</v>
      </c>
      <c r="L758" t="s">
        <v>15864</v>
      </c>
      <c r="M758" t="s">
        <v>15865</v>
      </c>
      <c r="N758" t="s">
        <v>15866</v>
      </c>
      <c r="O758">
        <f>-759.538221314105 -52.521667633443 -723.304926819622</f>
        <v>-1535.3648157671701</v>
      </c>
      <c r="P758">
        <f>-748.242120354602 -27.1217605468617 -408.006005606433</f>
        <v>-1183.3698865078966</v>
      </c>
      <c r="Q758">
        <f>-501.091980040889 -52.5602742278261 -331.118079602824</f>
        <v>-884.77033387153915</v>
      </c>
      <c r="R758" t="s">
        <v>15867</v>
      </c>
      <c r="S758" t="s">
        <v>15868</v>
      </c>
      <c r="T758" t="s">
        <v>15869</v>
      </c>
      <c r="U758" t="s">
        <v>15870</v>
      </c>
      <c r="V758" t="s">
        <v>15871</v>
      </c>
      <c r="W758" t="s">
        <v>15872</v>
      </c>
      <c r="X758" t="s">
        <v>15873</v>
      </c>
      <c r="Y758" t="s">
        <v>15874</v>
      </c>
    </row>
    <row r="759" spans="1:25" x14ac:dyDescent="0.3">
      <c r="A759">
        <v>37900</v>
      </c>
      <c r="B759" t="s">
        <v>15875</v>
      </c>
      <c r="C759" t="s">
        <v>15876</v>
      </c>
      <c r="D759" t="s">
        <v>15877</v>
      </c>
      <c r="E759" t="s">
        <v>15878</v>
      </c>
      <c r="F759" t="s">
        <v>15879</v>
      </c>
      <c r="G759" t="s">
        <v>15880</v>
      </c>
      <c r="H759" t="s">
        <v>15881</v>
      </c>
      <c r="I759" t="s">
        <v>15882</v>
      </c>
      <c r="J759" t="s">
        <v>15883</v>
      </c>
      <c r="K759" t="s">
        <v>15884</v>
      </c>
      <c r="L759" t="s">
        <v>15885</v>
      </c>
      <c r="M759" t="s">
        <v>15886</v>
      </c>
      <c r="N759" t="s">
        <v>15887</v>
      </c>
      <c r="O759">
        <f>-760.655171586134 -52.2519079992949 -723.201007258428</f>
        <v>-1536.1080868438569</v>
      </c>
      <c r="P759">
        <f>-748.750584066819 -26.9522265754499 -407.916502822591</f>
        <v>-1183.6193134648599</v>
      </c>
      <c r="Q759">
        <f>-501.532642771839 -52.941082071937 -331.43170502428</f>
        <v>-885.90542986805599</v>
      </c>
      <c r="R759" t="s">
        <v>15888</v>
      </c>
      <c r="S759" t="s">
        <v>15889</v>
      </c>
      <c r="T759" t="s">
        <v>15890</v>
      </c>
      <c r="U759" t="s">
        <v>15891</v>
      </c>
      <c r="V759" t="s">
        <v>15892</v>
      </c>
      <c r="W759" t="s">
        <v>15893</v>
      </c>
      <c r="X759" t="s">
        <v>15894</v>
      </c>
      <c r="Y759" t="s">
        <v>15895</v>
      </c>
    </row>
    <row r="760" spans="1:25" x14ac:dyDescent="0.3">
      <c r="A760">
        <v>37950</v>
      </c>
      <c r="B760" t="s">
        <v>15896</v>
      </c>
      <c r="C760" t="s">
        <v>15897</v>
      </c>
      <c r="D760" t="s">
        <v>15898</v>
      </c>
      <c r="E760" t="s">
        <v>15899</v>
      </c>
      <c r="F760" t="s">
        <v>15900</v>
      </c>
      <c r="G760" t="s">
        <v>15901</v>
      </c>
      <c r="H760" t="s">
        <v>15902</v>
      </c>
      <c r="I760" t="s">
        <v>15903</v>
      </c>
      <c r="J760" t="s">
        <v>15904</v>
      </c>
      <c r="K760" t="s">
        <v>15905</v>
      </c>
      <c r="L760" t="s">
        <v>15906</v>
      </c>
      <c r="M760" t="s">
        <v>15907</v>
      </c>
      <c r="N760" t="s">
        <v>15908</v>
      </c>
      <c r="O760">
        <f>-762.715731675258 -51.5083225617636 -723.098652822431</f>
        <v>-1537.3227070594526</v>
      </c>
      <c r="P760">
        <f>-749.389048851661 -26.6725267099102 -407.834066096166</f>
        <v>-1183.8956416577371</v>
      </c>
      <c r="Q760">
        <f>-501.883904734267 -53.9007917309984 -332.72166800513</f>
        <v>-888.5063644703954</v>
      </c>
      <c r="R760" t="s">
        <v>15909</v>
      </c>
      <c r="S760" t="s">
        <v>15910</v>
      </c>
      <c r="T760" t="s">
        <v>15911</v>
      </c>
      <c r="U760" t="s">
        <v>15912</v>
      </c>
      <c r="V760" t="s">
        <v>15913</v>
      </c>
      <c r="W760" t="s">
        <v>15914</v>
      </c>
      <c r="X760" t="s">
        <v>15915</v>
      </c>
      <c r="Y760" t="s">
        <v>15916</v>
      </c>
    </row>
    <row r="761" spans="1:25" x14ac:dyDescent="0.3">
      <c r="A761">
        <v>38000</v>
      </c>
      <c r="B761" t="s">
        <v>15917</v>
      </c>
      <c r="C761" t="s">
        <v>15918</v>
      </c>
      <c r="D761" t="s">
        <v>15919</v>
      </c>
      <c r="E761" t="s">
        <v>15920</v>
      </c>
      <c r="F761" t="s">
        <v>15921</v>
      </c>
      <c r="G761" t="s">
        <v>15922</v>
      </c>
      <c r="H761" t="s">
        <v>15923</v>
      </c>
      <c r="I761" t="s">
        <v>15924</v>
      </c>
      <c r="J761" t="s">
        <v>15925</v>
      </c>
      <c r="K761" t="s">
        <v>15926</v>
      </c>
      <c r="L761" t="s">
        <v>15927</v>
      </c>
      <c r="M761" t="s">
        <v>15928</v>
      </c>
      <c r="N761" t="s">
        <v>15929</v>
      </c>
      <c r="O761">
        <f>-763.362538227897 -51.1618989120566 -723.104424292742</f>
        <v>-1537.6288614326954</v>
      </c>
      <c r="P761">
        <f>-749.749080894661 -26.5360598006864 -407.835569084503</f>
        <v>-1184.1207097798504</v>
      </c>
      <c r="Q761">
        <f>-502.273261133583 -54.9926962305501 -333.082772236862</f>
        <v>-890.34872960099506</v>
      </c>
      <c r="R761" t="s">
        <v>15930</v>
      </c>
      <c r="S761" t="s">
        <v>15931</v>
      </c>
      <c r="T761" t="s">
        <v>15932</v>
      </c>
      <c r="U761" t="s">
        <v>15933</v>
      </c>
      <c r="V761" t="s">
        <v>15934</v>
      </c>
      <c r="W761" t="s">
        <v>15935</v>
      </c>
      <c r="X761" t="s">
        <v>15936</v>
      </c>
      <c r="Y761" t="s">
        <v>15937</v>
      </c>
    </row>
    <row r="762" spans="1:25" x14ac:dyDescent="0.3">
      <c r="A762">
        <v>38050</v>
      </c>
      <c r="B762" t="s">
        <v>15938</v>
      </c>
      <c r="C762" t="s">
        <v>15939</v>
      </c>
      <c r="D762" t="s">
        <v>15940</v>
      </c>
      <c r="E762" t="s">
        <v>15941</v>
      </c>
      <c r="F762" t="s">
        <v>15942</v>
      </c>
      <c r="G762" t="s">
        <v>15943</v>
      </c>
      <c r="H762" t="s">
        <v>15944</v>
      </c>
      <c r="I762" t="s">
        <v>15945</v>
      </c>
      <c r="J762" t="s">
        <v>15946</v>
      </c>
      <c r="K762" t="s">
        <v>15947</v>
      </c>
      <c r="L762" t="s">
        <v>15948</v>
      </c>
      <c r="M762" t="s">
        <v>15949</v>
      </c>
      <c r="N762" t="s">
        <v>15950</v>
      </c>
      <c r="O762">
        <f>-763.949553338152 -50.309847019882 -723.245099147846</f>
        <v>-1537.5044995058799</v>
      </c>
      <c r="P762">
        <f>-750.655257291 -26.7959241046858 -407.877834195607</f>
        <v>-1185.3290155912928</v>
      </c>
      <c r="Q762">
        <f>-503.198782425164 -58.7888295336115 -334.503596263107</f>
        <v>-896.49120822188252</v>
      </c>
      <c r="R762" t="s">
        <v>15951</v>
      </c>
      <c r="S762" t="s">
        <v>15952</v>
      </c>
      <c r="T762" t="s">
        <v>15953</v>
      </c>
      <c r="U762" t="s">
        <v>15954</v>
      </c>
      <c r="V762" t="s">
        <v>15955</v>
      </c>
      <c r="W762" t="s">
        <v>15956</v>
      </c>
      <c r="X762" t="s">
        <v>15957</v>
      </c>
      <c r="Y762" t="s">
        <v>15958</v>
      </c>
    </row>
    <row r="763" spans="1:25" x14ac:dyDescent="0.3">
      <c r="A763">
        <v>38100</v>
      </c>
      <c r="B763" t="s">
        <v>15959</v>
      </c>
      <c r="C763" t="s">
        <v>15960</v>
      </c>
      <c r="D763" t="s">
        <v>15961</v>
      </c>
      <c r="E763" t="s">
        <v>15962</v>
      </c>
      <c r="F763" t="s">
        <v>15963</v>
      </c>
      <c r="G763" t="s">
        <v>15964</v>
      </c>
      <c r="H763" t="s">
        <v>15965</v>
      </c>
      <c r="I763" t="s">
        <v>15966</v>
      </c>
      <c r="J763" t="s">
        <v>15967</v>
      </c>
      <c r="K763" t="s">
        <v>15968</v>
      </c>
      <c r="L763" t="s">
        <v>15969</v>
      </c>
      <c r="M763" t="s">
        <v>15970</v>
      </c>
      <c r="N763" t="s">
        <v>15971</v>
      </c>
      <c r="O763">
        <f>-764.260593006862 -49.8473640920433 -723.478886893011</f>
        <v>-1537.5868439919163</v>
      </c>
      <c r="P763">
        <f>-751.798623785048 -26.8891434591619 -408.036594452682</f>
        <v>-1186.7243616968919</v>
      </c>
      <c r="Q763">
        <f>-504.279271152019 -59.6995621143008 -335.237419306996</f>
        <v>-899.21625257331584</v>
      </c>
      <c r="R763" t="s">
        <v>15972</v>
      </c>
      <c r="S763" t="s">
        <v>15973</v>
      </c>
      <c r="T763" t="s">
        <v>15974</v>
      </c>
      <c r="U763" t="s">
        <v>15975</v>
      </c>
      <c r="V763" t="s">
        <v>15976</v>
      </c>
      <c r="W763" t="s">
        <v>15977</v>
      </c>
      <c r="X763" t="s">
        <v>15978</v>
      </c>
      <c r="Y763" t="s">
        <v>15979</v>
      </c>
    </row>
    <row r="764" spans="1:25" x14ac:dyDescent="0.3">
      <c r="A764">
        <v>38150</v>
      </c>
      <c r="B764" t="s">
        <v>15980</v>
      </c>
      <c r="C764" t="s">
        <v>15981</v>
      </c>
      <c r="D764" t="s">
        <v>15982</v>
      </c>
      <c r="E764" t="s">
        <v>15983</v>
      </c>
      <c r="F764" t="s">
        <v>15984</v>
      </c>
      <c r="G764" t="s">
        <v>15985</v>
      </c>
      <c r="H764" t="s">
        <v>15986</v>
      </c>
      <c r="I764" t="s">
        <v>15987</v>
      </c>
      <c r="J764" t="s">
        <v>15988</v>
      </c>
      <c r="K764" t="s">
        <v>15989</v>
      </c>
      <c r="L764" t="s">
        <v>15990</v>
      </c>
      <c r="M764" t="s">
        <v>15991</v>
      </c>
      <c r="N764" t="s">
        <v>15992</v>
      </c>
      <c r="O764">
        <f>-764.918189675361 -48.7134536856563 -724.216921406005</f>
        <v>-1537.8485647670223</v>
      </c>
      <c r="P764">
        <f>-754.28427937601 -27.2658867702721 -408.601542419808</f>
        <v>-1190.1517085660901</v>
      </c>
      <c r="Q764">
        <f>-506.610550505133 -60.7501098665091 -336.639249752642</f>
        <v>-903.99991012428404</v>
      </c>
      <c r="R764" t="s">
        <v>15993</v>
      </c>
      <c r="S764" t="s">
        <v>15994</v>
      </c>
      <c r="T764" t="s">
        <v>15995</v>
      </c>
      <c r="U764" t="s">
        <v>15996</v>
      </c>
      <c r="V764" t="s">
        <v>15997</v>
      </c>
      <c r="W764" t="s">
        <v>15998</v>
      </c>
      <c r="X764" t="s">
        <v>15999</v>
      </c>
      <c r="Y764" t="s">
        <v>16000</v>
      </c>
    </row>
    <row r="765" spans="1:25" x14ac:dyDescent="0.3">
      <c r="A765">
        <v>38200</v>
      </c>
      <c r="B765" t="s">
        <v>16001</v>
      </c>
      <c r="C765" t="s">
        <v>16002</v>
      </c>
      <c r="D765" t="s">
        <v>16003</v>
      </c>
      <c r="E765" t="s">
        <v>16004</v>
      </c>
      <c r="F765" t="s">
        <v>16005</v>
      </c>
      <c r="G765" t="s">
        <v>16006</v>
      </c>
      <c r="H765" t="s">
        <v>16007</v>
      </c>
      <c r="I765" t="s">
        <v>16008</v>
      </c>
      <c r="J765" t="s">
        <v>16009</v>
      </c>
      <c r="K765" t="s">
        <v>16010</v>
      </c>
      <c r="L765" t="s">
        <v>16011</v>
      </c>
      <c r="M765" t="s">
        <v>16012</v>
      </c>
      <c r="N765" t="s">
        <v>16013</v>
      </c>
      <c r="O765">
        <f>-765.441568173962 -48.0619674351394 -724.656711094844</f>
        <v>-1538.1602467039454</v>
      </c>
      <c r="P765">
        <f>-754.929686306836 -26.6302839790758 -409.036069476684</f>
        <v>-1190.5960397625959</v>
      </c>
      <c r="Q765">
        <f>-507.252996643902 -60.4644874149776 -337.247875126192</f>
        <v>-904.96535918507152</v>
      </c>
      <c r="R765" t="s">
        <v>16014</v>
      </c>
      <c r="S765" t="s">
        <v>16015</v>
      </c>
      <c r="T765" t="s">
        <v>16016</v>
      </c>
      <c r="U765" t="s">
        <v>16017</v>
      </c>
      <c r="V765" t="s">
        <v>16018</v>
      </c>
      <c r="W765" t="s">
        <v>16019</v>
      </c>
      <c r="X765" t="s">
        <v>16020</v>
      </c>
      <c r="Y765" t="s">
        <v>16021</v>
      </c>
    </row>
    <row r="766" spans="1:25" x14ac:dyDescent="0.3">
      <c r="A766">
        <v>38250</v>
      </c>
      <c r="B766" t="s">
        <v>16022</v>
      </c>
      <c r="C766" t="s">
        <v>16023</v>
      </c>
      <c r="D766" t="s">
        <v>16024</v>
      </c>
      <c r="E766" t="s">
        <v>16025</v>
      </c>
      <c r="F766" t="s">
        <v>16026</v>
      </c>
      <c r="G766" t="s">
        <v>16027</v>
      </c>
      <c r="H766" t="s">
        <v>16028</v>
      </c>
      <c r="I766" t="s">
        <v>16029</v>
      </c>
      <c r="J766" t="s">
        <v>16030</v>
      </c>
      <c r="K766" t="s">
        <v>16031</v>
      </c>
      <c r="L766" t="s">
        <v>16032</v>
      </c>
      <c r="M766" t="s">
        <v>16033</v>
      </c>
      <c r="N766" t="s">
        <v>16034</v>
      </c>
      <c r="O766">
        <f>-766.098771950928 -47.0636445328821 -725.366646571078</f>
        <v>-1538.5290630548882</v>
      </c>
      <c r="P766">
        <f>-756.360664226786 -26.063070961671 -409.69219292895</f>
        <v>-1192.1159281174068</v>
      </c>
      <c r="Q766">
        <f>-508.554124733255 -59.8126332226013 -338.313433412221</f>
        <v>-906.68019136807732</v>
      </c>
      <c r="R766" t="s">
        <v>16035</v>
      </c>
      <c r="S766" t="s">
        <v>16036</v>
      </c>
      <c r="T766" t="s">
        <v>16037</v>
      </c>
      <c r="U766" t="s">
        <v>16038</v>
      </c>
      <c r="V766" t="s">
        <v>16039</v>
      </c>
      <c r="W766" t="s">
        <v>16040</v>
      </c>
      <c r="X766" t="s">
        <v>16041</v>
      </c>
      <c r="Y766" t="s">
        <v>16042</v>
      </c>
    </row>
    <row r="767" spans="1:25" x14ac:dyDescent="0.3">
      <c r="A767">
        <v>38300</v>
      </c>
      <c r="B767" t="s">
        <v>16043</v>
      </c>
      <c r="C767" t="s">
        <v>16044</v>
      </c>
      <c r="D767" t="s">
        <v>16045</v>
      </c>
      <c r="E767" t="s">
        <v>16046</v>
      </c>
      <c r="F767" t="s">
        <v>16047</v>
      </c>
      <c r="G767" t="s">
        <v>16048</v>
      </c>
      <c r="H767" t="s">
        <v>16049</v>
      </c>
      <c r="I767" t="s">
        <v>16050</v>
      </c>
      <c r="J767" t="s">
        <v>16051</v>
      </c>
      <c r="K767" t="s">
        <v>16052</v>
      </c>
      <c r="L767" t="s">
        <v>16053</v>
      </c>
      <c r="M767" t="s">
        <v>16054</v>
      </c>
      <c r="N767" t="s">
        <v>16055</v>
      </c>
      <c r="O767">
        <f>-766.452122004076 -46.6437119159418 -725.782532870735</f>
        <v>-1538.8783667907528</v>
      </c>
      <c r="P767">
        <f>-757.279296767694 -25.7493431595187 -410.084145808462</f>
        <v>-1193.1127857356746</v>
      </c>
      <c r="Q767">
        <f>-509.223715534347 -59.1298623016162 -339.400347748093</f>
        <v>-907.75392558405611</v>
      </c>
      <c r="R767" t="s">
        <v>16056</v>
      </c>
      <c r="S767" t="s">
        <v>16057</v>
      </c>
      <c r="T767" t="s">
        <v>16058</v>
      </c>
      <c r="U767" t="s">
        <v>16059</v>
      </c>
      <c r="V767" t="s">
        <v>16060</v>
      </c>
      <c r="W767" t="s">
        <v>16061</v>
      </c>
      <c r="X767" t="s">
        <v>16062</v>
      </c>
      <c r="Y767" t="s">
        <v>16063</v>
      </c>
    </row>
    <row r="768" spans="1:25" x14ac:dyDescent="0.3">
      <c r="A768">
        <v>38350</v>
      </c>
      <c r="B768" t="s">
        <v>16064</v>
      </c>
      <c r="C768" t="s">
        <v>16065</v>
      </c>
      <c r="D768" t="s">
        <v>16066</v>
      </c>
      <c r="E768" t="s">
        <v>16067</v>
      </c>
      <c r="F768" t="s">
        <v>16068</v>
      </c>
      <c r="G768" t="s">
        <v>16069</v>
      </c>
      <c r="H768" t="s">
        <v>16070</v>
      </c>
      <c r="I768" t="s">
        <v>16071</v>
      </c>
      <c r="J768" t="s">
        <v>16072</v>
      </c>
      <c r="K768" t="s">
        <v>16073</v>
      </c>
      <c r="L768" t="s">
        <v>16074</v>
      </c>
      <c r="M768" t="s">
        <v>16075</v>
      </c>
      <c r="N768" t="s">
        <v>16076</v>
      </c>
      <c r="O768">
        <f>-766.812479652846 -45.5229845715548 -726.516825353237</f>
        <v>-1538.8522895776377</v>
      </c>
      <c r="P768">
        <f>-758.875619337043 -26.2789568965306 -410.680224987268</f>
        <v>-1195.8348012208417</v>
      </c>
      <c r="Q768">
        <f>-510.33843292096 -58.7349424039639 -341.268877567384</f>
        <v>-910.3422528923079</v>
      </c>
      <c r="R768" t="s">
        <v>16077</v>
      </c>
      <c r="S768" t="s">
        <v>16078</v>
      </c>
      <c r="T768" t="s">
        <v>16079</v>
      </c>
      <c r="U768" t="s">
        <v>16080</v>
      </c>
      <c r="V768" t="s">
        <v>16081</v>
      </c>
      <c r="W768" t="s">
        <v>16082</v>
      </c>
      <c r="X768" t="s">
        <v>16083</v>
      </c>
      <c r="Y768" t="s">
        <v>16084</v>
      </c>
    </row>
    <row r="769" spans="1:25" x14ac:dyDescent="0.3">
      <c r="A769">
        <v>38400</v>
      </c>
      <c r="B769" t="s">
        <v>16085</v>
      </c>
      <c r="C769" t="s">
        <v>16086</v>
      </c>
      <c r="D769" t="s">
        <v>16087</v>
      </c>
      <c r="E769" t="s">
        <v>16088</v>
      </c>
      <c r="F769" t="s">
        <v>16089</v>
      </c>
      <c r="G769" t="s">
        <v>16090</v>
      </c>
      <c r="H769" t="s">
        <v>16091</v>
      </c>
      <c r="I769" t="s">
        <v>16092</v>
      </c>
      <c r="J769" t="s">
        <v>16093</v>
      </c>
      <c r="K769" t="s">
        <v>16094</v>
      </c>
      <c r="L769" t="s">
        <v>16095</v>
      </c>
      <c r="M769" t="s">
        <v>16096</v>
      </c>
      <c r="N769" t="s">
        <v>16097</v>
      </c>
      <c r="O769">
        <f>-766.814185267806 -45.1444430741508 -726.880332148811</f>
        <v>-1538.8389604907679</v>
      </c>
      <c r="P769">
        <f>-759.318613907014 -25.7441365686245 -411.042390381337</f>
        <v>-1196.1051408569756</v>
      </c>
      <c r="Q769">
        <f>-510.906476047994 -58.1578911875697 -341.165004355173</f>
        <v>-910.2293715907366</v>
      </c>
      <c r="R769" t="s">
        <v>16098</v>
      </c>
      <c r="S769" t="s">
        <v>16099</v>
      </c>
      <c r="T769" t="s">
        <v>16100</v>
      </c>
      <c r="U769" t="s">
        <v>16101</v>
      </c>
      <c r="V769" t="s">
        <v>16102</v>
      </c>
      <c r="W769" t="s">
        <v>16103</v>
      </c>
      <c r="X769" t="s">
        <v>16104</v>
      </c>
      <c r="Y769" t="s">
        <v>16105</v>
      </c>
    </row>
    <row r="770" spans="1:25" x14ac:dyDescent="0.3">
      <c r="A770">
        <v>38450</v>
      </c>
      <c r="B770" t="s">
        <v>16106</v>
      </c>
      <c r="C770" t="s">
        <v>16107</v>
      </c>
      <c r="D770" t="s">
        <v>16108</v>
      </c>
      <c r="E770" t="s">
        <v>16109</v>
      </c>
      <c r="F770" t="s">
        <v>16110</v>
      </c>
      <c r="G770" t="s">
        <v>16111</v>
      </c>
      <c r="H770" t="s">
        <v>16112</v>
      </c>
      <c r="I770" t="s">
        <v>16113</v>
      </c>
      <c r="J770" t="s">
        <v>16114</v>
      </c>
      <c r="K770" t="s">
        <v>16115</v>
      </c>
      <c r="L770" t="s">
        <v>16116</v>
      </c>
      <c r="M770" t="s">
        <v>16117</v>
      </c>
      <c r="N770" t="s">
        <v>16118</v>
      </c>
      <c r="O770">
        <f>-767.432942672609 -44.1293808889004 -727.430129643815</f>
        <v>-1538.9924532053244</v>
      </c>
      <c r="P770">
        <f>-760.858618748917 -24.8517282919825 -411.564089462178</f>
        <v>-1197.2744365030776</v>
      </c>
      <c r="Q770">
        <f>-512.942154316862 -56.7902695270502 -339.735005066546</f>
        <v>-909.46742891045824</v>
      </c>
      <c r="R770" t="s">
        <v>16119</v>
      </c>
      <c r="S770" t="s">
        <v>16120</v>
      </c>
      <c r="T770" t="s">
        <v>16121</v>
      </c>
      <c r="U770" t="s">
        <v>16122</v>
      </c>
      <c r="V770" t="s">
        <v>16123</v>
      </c>
      <c r="W770" t="s">
        <v>16124</v>
      </c>
      <c r="X770" t="s">
        <v>16125</v>
      </c>
      <c r="Y770" t="s">
        <v>16126</v>
      </c>
    </row>
    <row r="771" spans="1:25" x14ac:dyDescent="0.3">
      <c r="A771">
        <v>38500</v>
      </c>
      <c r="B771" t="s">
        <v>16127</v>
      </c>
      <c r="C771" t="s">
        <v>16128</v>
      </c>
      <c r="D771" t="s">
        <v>16129</v>
      </c>
      <c r="E771" t="s">
        <v>16130</v>
      </c>
      <c r="F771" t="s">
        <v>16131</v>
      </c>
      <c r="G771" t="s">
        <v>16132</v>
      </c>
      <c r="H771" t="s">
        <v>16133</v>
      </c>
      <c r="I771" t="s">
        <v>16134</v>
      </c>
      <c r="J771" t="s">
        <v>16135</v>
      </c>
      <c r="K771" t="s">
        <v>16136</v>
      </c>
      <c r="L771" t="s">
        <v>16137</v>
      </c>
      <c r="M771" t="s">
        <v>16138</v>
      </c>
      <c r="N771" t="s">
        <v>16139</v>
      </c>
      <c r="O771">
        <f>-767.657485372238 -43.8391351768373 -727.488138240934</f>
        <v>-1538.9847587900094</v>
      </c>
      <c r="P771">
        <f>-761.186151610842 -24.5252592519678 -411.622193785756</f>
        <v>-1197.3336046485658</v>
      </c>
      <c r="Q771">
        <f>-513.526728397306 -55.9084475962748 -338.670563930871</f>
        <v>-908.10573992445177</v>
      </c>
      <c r="R771" t="s">
        <v>16140</v>
      </c>
      <c r="S771" t="s">
        <v>16141</v>
      </c>
      <c r="T771" t="s">
        <v>16142</v>
      </c>
      <c r="U771" t="s">
        <v>16143</v>
      </c>
      <c r="V771" t="s">
        <v>16144</v>
      </c>
      <c r="W771" t="s">
        <v>16145</v>
      </c>
      <c r="X771" t="s">
        <v>16146</v>
      </c>
      <c r="Y771" t="s">
        <v>16147</v>
      </c>
    </row>
    <row r="772" spans="1:25" x14ac:dyDescent="0.3">
      <c r="A772">
        <v>38550</v>
      </c>
      <c r="B772" t="s">
        <v>16148</v>
      </c>
      <c r="C772" t="s">
        <v>16149</v>
      </c>
      <c r="D772" t="s">
        <v>16150</v>
      </c>
      <c r="E772" t="s">
        <v>16151</v>
      </c>
      <c r="F772" t="s">
        <v>16152</v>
      </c>
      <c r="G772" t="s">
        <v>16153</v>
      </c>
      <c r="H772" t="s">
        <v>16154</v>
      </c>
      <c r="I772" t="s">
        <v>16155</v>
      </c>
      <c r="J772" t="s">
        <v>16156</v>
      </c>
      <c r="K772" t="s">
        <v>16157</v>
      </c>
      <c r="L772" t="s">
        <v>16158</v>
      </c>
      <c r="M772" t="s">
        <v>16159</v>
      </c>
      <c r="N772" t="s">
        <v>16160</v>
      </c>
      <c r="O772">
        <f>-768.43379240932 -43.2641364286924 -727.324766311353</f>
        <v>-1539.0226951493653</v>
      </c>
      <c r="P772">
        <f>-760.638929529829 -22.7252038319439 -411.566009594467</f>
        <v>-1194.9301429562399</v>
      </c>
      <c r="Q772">
        <f>-513.559333470283 -54.716466344727 -336.931783962565</f>
        <v>-905.20758377757511</v>
      </c>
      <c r="R772" t="s">
        <v>16161</v>
      </c>
      <c r="S772" t="s">
        <v>16162</v>
      </c>
      <c r="T772" t="s">
        <v>16163</v>
      </c>
      <c r="U772" t="s">
        <v>16164</v>
      </c>
      <c r="V772" t="s">
        <v>16165</v>
      </c>
      <c r="W772" t="s">
        <v>16166</v>
      </c>
      <c r="X772" t="s">
        <v>16167</v>
      </c>
      <c r="Y772" t="s">
        <v>16168</v>
      </c>
    </row>
    <row r="773" spans="1:25" x14ac:dyDescent="0.3">
      <c r="A773">
        <v>38600</v>
      </c>
      <c r="B773" t="s">
        <v>16169</v>
      </c>
      <c r="C773" t="s">
        <v>16170</v>
      </c>
      <c r="D773" t="s">
        <v>16171</v>
      </c>
      <c r="E773" t="s">
        <v>16172</v>
      </c>
      <c r="F773" t="s">
        <v>16173</v>
      </c>
      <c r="G773" t="s">
        <v>16174</v>
      </c>
      <c r="H773" t="s">
        <v>16175</v>
      </c>
      <c r="I773" t="s">
        <v>16176</v>
      </c>
      <c r="J773" t="s">
        <v>16177</v>
      </c>
      <c r="K773" t="s">
        <v>16178</v>
      </c>
      <c r="L773" t="s">
        <v>16179</v>
      </c>
      <c r="M773" t="s">
        <v>16180</v>
      </c>
      <c r="N773" t="s">
        <v>16181</v>
      </c>
      <c r="O773">
        <f>-768.777109393248 -42.9626705585511 -727.162760079229</f>
        <v>-1538.9025400310279</v>
      </c>
      <c r="P773">
        <f>-760.361668754839 -22.494414279362 -411.415287660304</f>
        <v>-1194.2713706945051</v>
      </c>
      <c r="Q773">
        <f>-513.478155494586 -54.8614806764817 -336.295494013686</f>
        <v>-904.63513018475373</v>
      </c>
      <c r="R773" t="s">
        <v>16182</v>
      </c>
      <c r="S773" t="s">
        <v>16183</v>
      </c>
      <c r="T773" t="s">
        <v>16184</v>
      </c>
      <c r="U773" t="s">
        <v>16185</v>
      </c>
      <c r="V773" t="s">
        <v>16186</v>
      </c>
      <c r="W773" t="s">
        <v>16187</v>
      </c>
      <c r="X773" t="s">
        <v>16188</v>
      </c>
      <c r="Y773" t="s">
        <v>16189</v>
      </c>
    </row>
    <row r="774" spans="1:25" x14ac:dyDescent="0.3">
      <c r="A774">
        <v>38650</v>
      </c>
      <c r="B774" t="s">
        <v>16190</v>
      </c>
      <c r="C774" t="s">
        <v>16191</v>
      </c>
      <c r="D774" t="s">
        <v>16192</v>
      </c>
      <c r="E774" t="s">
        <v>16193</v>
      </c>
      <c r="F774" t="s">
        <v>16194</v>
      </c>
      <c r="G774" t="s">
        <v>16195</v>
      </c>
      <c r="H774" t="s">
        <v>16196</v>
      </c>
      <c r="I774" t="s">
        <v>16197</v>
      </c>
      <c r="J774" t="s">
        <v>16198</v>
      </c>
      <c r="K774" t="s">
        <v>16199</v>
      </c>
      <c r="L774" t="s">
        <v>16200</v>
      </c>
      <c r="M774" t="s">
        <v>16201</v>
      </c>
      <c r="N774" t="s">
        <v>16202</v>
      </c>
      <c r="O774">
        <f>-768.700313544845 -42.4379140961439 -727.171778378027</f>
        <v>-1538.3100060190159</v>
      </c>
      <c r="P774">
        <f>-759.573974774664 -20.9311140748384 -411.513231073172</f>
        <v>-1192.0183199226744</v>
      </c>
      <c r="Q774">
        <f>-513.106230244933 -53.6306127570363 -335.182093535786</f>
        <v>-901.91893653775537</v>
      </c>
      <c r="R774" t="s">
        <v>16203</v>
      </c>
      <c r="S774" t="s">
        <v>16204</v>
      </c>
      <c r="T774" t="s">
        <v>16205</v>
      </c>
      <c r="U774" t="s">
        <v>16206</v>
      </c>
      <c r="V774" t="s">
        <v>16207</v>
      </c>
      <c r="W774" t="s">
        <v>16208</v>
      </c>
      <c r="X774" t="s">
        <v>16209</v>
      </c>
      <c r="Y774" t="s">
        <v>16210</v>
      </c>
    </row>
    <row r="775" spans="1:25" x14ac:dyDescent="0.3">
      <c r="A775">
        <v>38700</v>
      </c>
      <c r="B775" t="s">
        <v>16211</v>
      </c>
      <c r="C775" t="s">
        <v>16212</v>
      </c>
      <c r="D775" t="s">
        <v>16213</v>
      </c>
      <c r="E775" t="s">
        <v>16214</v>
      </c>
      <c r="F775" t="s">
        <v>16215</v>
      </c>
      <c r="G775" t="s">
        <v>16216</v>
      </c>
      <c r="H775" t="s">
        <v>16217</v>
      </c>
      <c r="I775" t="s">
        <v>16218</v>
      </c>
      <c r="J775" t="s">
        <v>16219</v>
      </c>
      <c r="K775" t="s">
        <v>16220</v>
      </c>
      <c r="L775" t="s">
        <v>16221</v>
      </c>
      <c r="M775" t="s">
        <v>16222</v>
      </c>
      <c r="N775" t="s">
        <v>16223</v>
      </c>
      <c r="O775">
        <f>-768.619119983284 -42.2272812203303 -727.186355278082</f>
        <v>-1538.0327564816962</v>
      </c>
      <c r="P775">
        <f>-759.492304280438 -20.6923177625656 -411.529611800484</f>
        <v>-1191.7142338434876</v>
      </c>
      <c r="Q775">
        <f>-513.264502934862 -53.9750825225437 -334.677963019115</f>
        <v>-901.91754847652078</v>
      </c>
      <c r="R775" t="s">
        <v>16224</v>
      </c>
      <c r="S775" t="s">
        <v>16225</v>
      </c>
      <c r="T775" t="s">
        <v>16226</v>
      </c>
      <c r="U775" t="s">
        <v>16227</v>
      </c>
      <c r="V775" t="s">
        <v>16228</v>
      </c>
      <c r="W775" t="s">
        <v>16229</v>
      </c>
      <c r="X775" t="s">
        <v>16230</v>
      </c>
      <c r="Y775" t="s">
        <v>16231</v>
      </c>
    </row>
    <row r="776" spans="1:25" x14ac:dyDescent="0.3">
      <c r="A776">
        <v>38750</v>
      </c>
      <c r="B776" t="s">
        <v>16232</v>
      </c>
      <c r="C776" t="s">
        <v>16233</v>
      </c>
      <c r="D776" t="s">
        <v>16234</v>
      </c>
      <c r="E776" t="s">
        <v>16235</v>
      </c>
      <c r="F776" t="s">
        <v>16236</v>
      </c>
      <c r="G776" t="s">
        <v>16237</v>
      </c>
      <c r="H776" t="s">
        <v>16238</v>
      </c>
      <c r="I776" t="s">
        <v>16239</v>
      </c>
      <c r="J776" t="s">
        <v>16240</v>
      </c>
      <c r="K776" t="s">
        <v>16241</v>
      </c>
      <c r="L776" t="s">
        <v>16242</v>
      </c>
      <c r="M776" t="s">
        <v>16243</v>
      </c>
      <c r="N776" t="s">
        <v>16244</v>
      </c>
      <c r="O776">
        <f>-768.674447823448 -41.6255783826828 -727.501753610605</f>
        <v>-1537.8017798167357</v>
      </c>
      <c r="P776">
        <f>-759.940079183767 -20.2574224253892 -411.822582036764</f>
        <v>-1192.0200836459203</v>
      </c>
      <c r="Q776">
        <f>-513.853365368082 -53.7365535182341 -334.605173674853</f>
        <v>-902.19509256116908</v>
      </c>
      <c r="R776" t="s">
        <v>16245</v>
      </c>
      <c r="S776" t="s">
        <v>16246</v>
      </c>
      <c r="T776" t="s">
        <v>16247</v>
      </c>
      <c r="U776" t="s">
        <v>16248</v>
      </c>
      <c r="V776" t="s">
        <v>16249</v>
      </c>
      <c r="W776" t="s">
        <v>16250</v>
      </c>
      <c r="X776" t="s">
        <v>16251</v>
      </c>
      <c r="Y776" t="s">
        <v>16252</v>
      </c>
    </row>
    <row r="777" spans="1:25" x14ac:dyDescent="0.3">
      <c r="A777">
        <v>38800</v>
      </c>
      <c r="B777" t="s">
        <v>16253</v>
      </c>
      <c r="C777" t="s">
        <v>16254</v>
      </c>
      <c r="D777" t="s">
        <v>16255</v>
      </c>
      <c r="E777" t="s">
        <v>16256</v>
      </c>
      <c r="F777" t="s">
        <v>16257</v>
      </c>
      <c r="G777" t="s">
        <v>16258</v>
      </c>
      <c r="H777" t="s">
        <v>16259</v>
      </c>
      <c r="I777" t="s">
        <v>16260</v>
      </c>
      <c r="J777" t="s">
        <v>16261</v>
      </c>
      <c r="K777" t="s">
        <v>16262</v>
      </c>
      <c r="L777" t="s">
        <v>16263</v>
      </c>
      <c r="M777" t="s">
        <v>16264</v>
      </c>
      <c r="N777" t="s">
        <v>16265</v>
      </c>
      <c r="O777">
        <f>-768.989401327745 -41.600947703653 -727.606688657765</f>
        <v>-1538.1970376891629</v>
      </c>
      <c r="P777">
        <f>-760.339507105904 -20.4031483002457 -411.913686595332</f>
        <v>-1192.6563420014818</v>
      </c>
      <c r="Q777">
        <f>-514.293773296318 -53.9248316115688 -334.584455359654</f>
        <v>-902.80306026754079</v>
      </c>
      <c r="R777" t="s">
        <v>16266</v>
      </c>
      <c r="S777" t="s">
        <v>16267</v>
      </c>
      <c r="T777" t="s">
        <v>16268</v>
      </c>
      <c r="U777" t="s">
        <v>16269</v>
      </c>
      <c r="V777" t="s">
        <v>16270</v>
      </c>
      <c r="W777" t="s">
        <v>16271</v>
      </c>
      <c r="X777" t="s">
        <v>16272</v>
      </c>
      <c r="Y777" t="s">
        <v>16273</v>
      </c>
    </row>
    <row r="778" spans="1:25" x14ac:dyDescent="0.3">
      <c r="A778">
        <v>38850</v>
      </c>
      <c r="B778" t="s">
        <v>16274</v>
      </c>
      <c r="C778" t="s">
        <v>16275</v>
      </c>
      <c r="D778" t="s">
        <v>16276</v>
      </c>
      <c r="E778" t="s">
        <v>16277</v>
      </c>
      <c r="F778" t="s">
        <v>16278</v>
      </c>
      <c r="G778" t="s">
        <v>16279</v>
      </c>
      <c r="H778" t="s">
        <v>16280</v>
      </c>
      <c r="I778" t="s">
        <v>16281</v>
      </c>
      <c r="J778" t="s">
        <v>16282</v>
      </c>
      <c r="K778" t="s">
        <v>16283</v>
      </c>
      <c r="L778" t="s">
        <v>16284</v>
      </c>
      <c r="M778" t="s">
        <v>16285</v>
      </c>
      <c r="N778" t="s">
        <v>16286</v>
      </c>
      <c r="O778">
        <f>-769.06885380304 -42.1739115362927 -727.454303993733</f>
        <v>-1538.6970693330659</v>
      </c>
      <c r="P778">
        <f>-760.047440478299 -20.5848195289598 -411.798253422074</f>
        <v>-1192.4305134293327</v>
      </c>
      <c r="Q778">
        <f>-513.969912612294 -54.4817836138893 -334.733924427</f>
        <v>-903.18562065318338</v>
      </c>
      <c r="R778" t="s">
        <v>16287</v>
      </c>
      <c r="S778" t="s">
        <v>16288</v>
      </c>
      <c r="T778" t="s">
        <v>16289</v>
      </c>
      <c r="U778" t="s">
        <v>16290</v>
      </c>
      <c r="V778" t="s">
        <v>16291</v>
      </c>
      <c r="W778" t="s">
        <v>16292</v>
      </c>
      <c r="X778" t="s">
        <v>16293</v>
      </c>
      <c r="Y778" t="s">
        <v>16294</v>
      </c>
    </row>
    <row r="779" spans="1:25" x14ac:dyDescent="0.3">
      <c r="A779">
        <v>38900</v>
      </c>
      <c r="B779" t="s">
        <v>16295</v>
      </c>
      <c r="C779" t="s">
        <v>16296</v>
      </c>
      <c r="D779" t="s">
        <v>16297</v>
      </c>
      <c r="E779" t="s">
        <v>16298</v>
      </c>
      <c r="F779" t="s">
        <v>16299</v>
      </c>
      <c r="G779" t="s">
        <v>16300</v>
      </c>
      <c r="H779" t="s">
        <v>16301</v>
      </c>
      <c r="I779" t="s">
        <v>16302</v>
      </c>
      <c r="J779" t="s">
        <v>16303</v>
      </c>
      <c r="K779" t="s">
        <v>16304</v>
      </c>
      <c r="L779" t="s">
        <v>16305</v>
      </c>
      <c r="M779" t="s">
        <v>16306</v>
      </c>
      <c r="N779" t="s">
        <v>16307</v>
      </c>
      <c r="O779">
        <f>-769.02236301562 -42.445022389325 -727.320042416892</f>
        <v>-1538.7874278218369</v>
      </c>
      <c r="P779">
        <f>-759.519881932148 -20.7043816780551 -411.688533161556</f>
        <v>-1191.9127967717591</v>
      </c>
      <c r="Q779">
        <f>-513.496068351896 -54.9583893650452 -334.610678686373</f>
        <v>-903.06513640331423</v>
      </c>
      <c r="R779" t="s">
        <v>16308</v>
      </c>
      <c r="S779" t="s">
        <v>16309</v>
      </c>
      <c r="T779" t="s">
        <v>16310</v>
      </c>
      <c r="U779" t="s">
        <v>16311</v>
      </c>
      <c r="V779" t="s">
        <v>16312</v>
      </c>
      <c r="W779" t="s">
        <v>16313</v>
      </c>
      <c r="X779" t="s">
        <v>16314</v>
      </c>
      <c r="Y779" t="s">
        <v>16315</v>
      </c>
    </row>
    <row r="780" spans="1:25" x14ac:dyDescent="0.3">
      <c r="A780">
        <v>38950</v>
      </c>
      <c r="B780" t="s">
        <v>16316</v>
      </c>
      <c r="C780" t="s">
        <v>16317</v>
      </c>
      <c r="D780" t="s">
        <v>16318</v>
      </c>
      <c r="E780" t="s">
        <v>16319</v>
      </c>
      <c r="F780" t="s">
        <v>16320</v>
      </c>
      <c r="G780" t="s">
        <v>16321</v>
      </c>
      <c r="H780" t="s">
        <v>16322</v>
      </c>
      <c r="I780" t="s">
        <v>16323</v>
      </c>
      <c r="J780" t="s">
        <v>16324</v>
      </c>
      <c r="K780" t="s">
        <v>16325</v>
      </c>
      <c r="L780" t="s">
        <v>16326</v>
      </c>
      <c r="M780" t="s">
        <v>16327</v>
      </c>
      <c r="N780" t="s">
        <v>16328</v>
      </c>
      <c r="O780">
        <f>-767.676403176167 -43.1580960936703 -727.045068258323</f>
        <v>-1537.8795675281604</v>
      </c>
      <c r="P780">
        <f>-757.718609897175 -20.3741572582335 -411.501244607751</f>
        <v>-1189.5940117631594</v>
      </c>
      <c r="Q780">
        <f>-511.621226327075 -55.1387091866757 -334.888171141583</f>
        <v>-901.64810665533378</v>
      </c>
      <c r="R780" t="s">
        <v>16329</v>
      </c>
      <c r="S780" t="s">
        <v>16330</v>
      </c>
      <c r="T780" t="s">
        <v>16331</v>
      </c>
      <c r="U780" t="s">
        <v>16332</v>
      </c>
      <c r="V780" t="s">
        <v>16333</v>
      </c>
      <c r="W780" t="s">
        <v>16334</v>
      </c>
      <c r="X780" t="s">
        <v>16335</v>
      </c>
      <c r="Y780" t="s">
        <v>16336</v>
      </c>
    </row>
    <row r="781" spans="1:25" x14ac:dyDescent="0.3">
      <c r="A781">
        <v>39000</v>
      </c>
      <c r="B781" t="s">
        <v>16337</v>
      </c>
      <c r="C781" t="s">
        <v>16338</v>
      </c>
      <c r="D781" t="s">
        <v>16339</v>
      </c>
      <c r="E781" t="s">
        <v>16340</v>
      </c>
      <c r="F781" t="s">
        <v>16341</v>
      </c>
      <c r="G781" t="s">
        <v>16342</v>
      </c>
      <c r="H781" t="s">
        <v>16343</v>
      </c>
      <c r="I781" t="s">
        <v>16344</v>
      </c>
      <c r="J781" t="s">
        <v>16345</v>
      </c>
      <c r="K781" t="s">
        <v>16346</v>
      </c>
      <c r="L781" t="s">
        <v>16347</v>
      </c>
      <c r="M781" t="s">
        <v>16348</v>
      </c>
      <c r="N781" t="s">
        <v>16349</v>
      </c>
      <c r="O781">
        <f>-766.656235469669 -43.4688354279685 -726.933232186937</f>
        <v>-1537.0583030845746</v>
      </c>
      <c r="P781">
        <f>-756.910463171824 -20.6534917744716 -411.385088100675</f>
        <v>-1188.9490430469705</v>
      </c>
      <c r="Q781">
        <f>-510.816010056147 -55.6847894810808 -334.884160470732</f>
        <v>-901.38496000795976</v>
      </c>
      <c r="R781" t="s">
        <v>16350</v>
      </c>
      <c r="S781" t="s">
        <v>16351</v>
      </c>
      <c r="T781" t="s">
        <v>16352</v>
      </c>
      <c r="U781" t="s">
        <v>16353</v>
      </c>
      <c r="V781" t="s">
        <v>16354</v>
      </c>
      <c r="W781" t="s">
        <v>16355</v>
      </c>
      <c r="X781" t="s">
        <v>16356</v>
      </c>
      <c r="Y781" t="s">
        <v>16357</v>
      </c>
    </row>
    <row r="782" spans="1:25" x14ac:dyDescent="0.3">
      <c r="A782">
        <v>39050</v>
      </c>
      <c r="B782" t="s">
        <v>16358</v>
      </c>
      <c r="C782" t="s">
        <v>16359</v>
      </c>
      <c r="D782" t="s">
        <v>16360</v>
      </c>
      <c r="E782" t="s">
        <v>16361</v>
      </c>
      <c r="F782" t="s">
        <v>16362</v>
      </c>
      <c r="G782" t="s">
        <v>16363</v>
      </c>
      <c r="H782" t="s">
        <v>16364</v>
      </c>
      <c r="I782" t="s">
        <v>16365</v>
      </c>
      <c r="J782" t="s">
        <v>16366</v>
      </c>
      <c r="K782" t="s">
        <v>16367</v>
      </c>
      <c r="L782" t="s">
        <v>16368</v>
      </c>
      <c r="M782" t="s">
        <v>16369</v>
      </c>
      <c r="N782" t="s">
        <v>16370</v>
      </c>
      <c r="O782">
        <f>-764.465250148643 -43.6834274918269 -726.979016116777</f>
        <v>-1535.127693757247</v>
      </c>
      <c r="P782">
        <f>-755.719340004566 -21.5225591344426 -411.354910045155</f>
        <v>-1188.5968091841637</v>
      </c>
      <c r="Q782">
        <f>-509.433527539366 -55.5322430044694 -335.008645259812</f>
        <v>-899.97441580364739</v>
      </c>
      <c r="R782" t="s">
        <v>16371</v>
      </c>
      <c r="S782" t="s">
        <v>16372</v>
      </c>
      <c r="T782" t="s">
        <v>16373</v>
      </c>
      <c r="U782" t="s">
        <v>16374</v>
      </c>
      <c r="V782" t="s">
        <v>16375</v>
      </c>
      <c r="W782" t="s">
        <v>16376</v>
      </c>
      <c r="X782" t="s">
        <v>16377</v>
      </c>
      <c r="Y782" t="s">
        <v>16378</v>
      </c>
    </row>
    <row r="783" spans="1:25" x14ac:dyDescent="0.3">
      <c r="A783">
        <v>39100</v>
      </c>
      <c r="B783" t="s">
        <v>16379</v>
      </c>
      <c r="C783" t="s">
        <v>16380</v>
      </c>
      <c r="D783" t="s">
        <v>16381</v>
      </c>
      <c r="E783" t="s">
        <v>16382</v>
      </c>
      <c r="F783" t="s">
        <v>16383</v>
      </c>
      <c r="G783" t="s">
        <v>16384</v>
      </c>
      <c r="H783" t="s">
        <v>16385</v>
      </c>
      <c r="I783" t="s">
        <v>16386</v>
      </c>
      <c r="J783" t="s">
        <v>16387</v>
      </c>
      <c r="K783" t="s">
        <v>16388</v>
      </c>
      <c r="L783" t="s">
        <v>16389</v>
      </c>
      <c r="M783" t="s">
        <v>16390</v>
      </c>
      <c r="N783" t="s">
        <v>16391</v>
      </c>
      <c r="O783">
        <f>-763.695407230874 -43.9675752669218 -727.024026800003</f>
        <v>-1534.6870092977988</v>
      </c>
      <c r="P783">
        <f>-755.387612835853 -21.8166322774655 -411.387424107028</f>
        <v>-1188.5916692203464</v>
      </c>
      <c r="Q783">
        <f>-509.126670862398 -55.4602954044074 -334.799487370017</f>
        <v>-899.38645363682235</v>
      </c>
      <c r="R783" t="s">
        <v>16392</v>
      </c>
      <c r="S783" t="s">
        <v>16393</v>
      </c>
      <c r="T783" t="s">
        <v>16394</v>
      </c>
      <c r="U783" t="s">
        <v>16395</v>
      </c>
      <c r="V783" t="s">
        <v>16396</v>
      </c>
      <c r="W783" t="s">
        <v>16397</v>
      </c>
      <c r="X783" t="s">
        <v>16398</v>
      </c>
      <c r="Y783" t="s">
        <v>16399</v>
      </c>
    </row>
    <row r="784" spans="1:25" x14ac:dyDescent="0.3">
      <c r="A784">
        <v>39150</v>
      </c>
      <c r="B784" t="s">
        <v>16400</v>
      </c>
      <c r="C784" t="s">
        <v>16401</v>
      </c>
      <c r="D784" t="s">
        <v>16402</v>
      </c>
      <c r="E784" t="s">
        <v>16403</v>
      </c>
      <c r="F784" t="s">
        <v>16404</v>
      </c>
      <c r="G784" t="s">
        <v>16405</v>
      </c>
      <c r="H784" t="s">
        <v>16406</v>
      </c>
      <c r="I784" t="s">
        <v>16407</v>
      </c>
      <c r="J784" t="s">
        <v>16408</v>
      </c>
      <c r="K784" t="s">
        <v>16409</v>
      </c>
      <c r="L784" t="s">
        <v>16410</v>
      </c>
      <c r="M784" t="s">
        <v>16411</v>
      </c>
      <c r="N784" t="s">
        <v>16412</v>
      </c>
      <c r="O784">
        <f>-762.361418762844 -44.2453054305386 -727.196059671506</f>
        <v>-1533.8027838648886</v>
      </c>
      <c r="P784">
        <f>-753.974060470437 -21.9445185250797 -411.572126397987</f>
        <v>-1187.4907053935037</v>
      </c>
      <c r="Q784">
        <f>-507.856013897922 -55.6669028332249 -334.560759212956</f>
        <v>-898.08367594410288</v>
      </c>
      <c r="R784" t="s">
        <v>16413</v>
      </c>
      <c r="S784" t="s">
        <v>16414</v>
      </c>
      <c r="T784" t="s">
        <v>16415</v>
      </c>
      <c r="U784" t="s">
        <v>16416</v>
      </c>
      <c r="V784" t="s">
        <v>16417</v>
      </c>
      <c r="W784" t="s">
        <v>16418</v>
      </c>
      <c r="X784" t="s">
        <v>16419</v>
      </c>
      <c r="Y784" t="s">
        <v>16420</v>
      </c>
    </row>
    <row r="785" spans="1:25" x14ac:dyDescent="0.3">
      <c r="A785">
        <v>39200</v>
      </c>
      <c r="B785" t="s">
        <v>16421</v>
      </c>
      <c r="C785" t="s">
        <v>16422</v>
      </c>
      <c r="D785" t="s">
        <v>16423</v>
      </c>
      <c r="E785" t="s">
        <v>16424</v>
      </c>
      <c r="F785" t="s">
        <v>16425</v>
      </c>
      <c r="G785" t="s">
        <v>16426</v>
      </c>
      <c r="H785" t="s">
        <v>16427</v>
      </c>
      <c r="I785" t="s">
        <v>16428</v>
      </c>
      <c r="J785" t="s">
        <v>16429</v>
      </c>
      <c r="K785" t="s">
        <v>16430</v>
      </c>
      <c r="L785" t="s">
        <v>16431</v>
      </c>
      <c r="M785" t="s">
        <v>16432</v>
      </c>
      <c r="N785" t="s">
        <v>16433</v>
      </c>
      <c r="O785">
        <f>-761.683419105954 -44.1470567382798 -727.381473358612</f>
        <v>-1533.211949202846</v>
      </c>
      <c r="P785">
        <f>-753.46914952372 -21.9525362219804 -411.74535448593</f>
        <v>-1187.1670402316304</v>
      </c>
      <c r="Q785">
        <f>-507.319081236781 -55.4536142072716 -334.739775707589</f>
        <v>-897.51247115164165</v>
      </c>
      <c r="R785" t="s">
        <v>16434</v>
      </c>
      <c r="S785" t="s">
        <v>16435</v>
      </c>
      <c r="T785" t="s">
        <v>16436</v>
      </c>
      <c r="U785" t="s">
        <v>16437</v>
      </c>
      <c r="V785" t="s">
        <v>16438</v>
      </c>
      <c r="W785" t="s">
        <v>16439</v>
      </c>
      <c r="X785" t="s">
        <v>16440</v>
      </c>
      <c r="Y785" t="s">
        <v>16441</v>
      </c>
    </row>
    <row r="786" spans="1:25" x14ac:dyDescent="0.3">
      <c r="A786">
        <v>39250</v>
      </c>
      <c r="B786" t="s">
        <v>16442</v>
      </c>
      <c r="C786" t="s">
        <v>16443</v>
      </c>
      <c r="D786" t="s">
        <v>16444</v>
      </c>
      <c r="E786" t="s">
        <v>16445</v>
      </c>
      <c r="F786" t="s">
        <v>16446</v>
      </c>
      <c r="G786" t="s">
        <v>16447</v>
      </c>
      <c r="H786" t="s">
        <v>16448</v>
      </c>
      <c r="I786" t="s">
        <v>16449</v>
      </c>
      <c r="J786" t="s">
        <v>16450</v>
      </c>
      <c r="K786" t="s">
        <v>16451</v>
      </c>
      <c r="L786" t="s">
        <v>16452</v>
      </c>
      <c r="M786" t="s">
        <v>16453</v>
      </c>
      <c r="N786" t="s">
        <v>16454</v>
      </c>
      <c r="O786">
        <f>-760.108660616701 -44.1205930348704 -727.864535054819</f>
        <v>-1532.0937887063903</v>
      </c>
      <c r="P786">
        <f>-752.384282385189 -22.7892768107924 -412.15662562426</f>
        <v>-1187.3301848202414</v>
      </c>
      <c r="Q786">
        <f>-506.177404382363 -55.3978512475569 -334.949640022879</f>
        <v>-896.52489565279893</v>
      </c>
      <c r="R786" t="s">
        <v>16455</v>
      </c>
      <c r="S786" t="s">
        <v>16456</v>
      </c>
      <c r="T786" t="s">
        <v>16457</v>
      </c>
      <c r="U786" t="s">
        <v>16458</v>
      </c>
      <c r="V786" t="s">
        <v>16459</v>
      </c>
      <c r="W786" t="s">
        <v>16460</v>
      </c>
      <c r="X786" t="s">
        <v>16461</v>
      </c>
      <c r="Y786" t="s">
        <v>16462</v>
      </c>
    </row>
    <row r="787" spans="1:25" x14ac:dyDescent="0.3">
      <c r="A787">
        <v>39300</v>
      </c>
      <c r="B787" t="s">
        <v>16463</v>
      </c>
      <c r="C787" t="s">
        <v>16464</v>
      </c>
      <c r="D787" t="s">
        <v>16465</v>
      </c>
      <c r="E787" t="s">
        <v>16466</v>
      </c>
      <c r="F787" t="s">
        <v>16467</v>
      </c>
      <c r="G787" t="s">
        <v>16468</v>
      </c>
      <c r="H787" t="s">
        <v>16469</v>
      </c>
      <c r="I787" t="s">
        <v>16470</v>
      </c>
      <c r="J787" t="s">
        <v>16471</v>
      </c>
      <c r="K787" t="s">
        <v>16472</v>
      </c>
      <c r="L787" t="s">
        <v>16473</v>
      </c>
      <c r="M787" t="s">
        <v>16474</v>
      </c>
      <c r="N787" t="s">
        <v>16475</v>
      </c>
      <c r="O787">
        <f>-759.270172410501 -44.2881316171449 -728.097574075994</f>
        <v>-1531.6558781036399</v>
      </c>
      <c r="P787">
        <f>-751.640438005199 -23.2860846276999 -412.365368164283</f>
        <v>-1187.2918907971818</v>
      </c>
      <c r="Q787">
        <f>-505.358070435572 -55.3448523074464 -335.168944199211</f>
        <v>-895.87186694222942</v>
      </c>
      <c r="R787" t="s">
        <v>16476</v>
      </c>
      <c r="S787" t="s">
        <v>16477</v>
      </c>
      <c r="T787" t="s">
        <v>16478</v>
      </c>
      <c r="U787" t="s">
        <v>16479</v>
      </c>
      <c r="V787" t="s">
        <v>16480</v>
      </c>
      <c r="W787" t="s">
        <v>16481</v>
      </c>
      <c r="X787" t="s">
        <v>16482</v>
      </c>
      <c r="Y787" t="s">
        <v>16483</v>
      </c>
    </row>
    <row r="788" spans="1:25" x14ac:dyDescent="0.3">
      <c r="A788">
        <v>39350</v>
      </c>
      <c r="B788" t="s">
        <v>16484</v>
      </c>
      <c r="C788" t="s">
        <v>16485</v>
      </c>
      <c r="D788" t="s">
        <v>16486</v>
      </c>
      <c r="E788" t="s">
        <v>16487</v>
      </c>
      <c r="F788" t="s">
        <v>16488</v>
      </c>
      <c r="G788" t="s">
        <v>16489</v>
      </c>
      <c r="H788" t="s">
        <v>16490</v>
      </c>
      <c r="I788" t="s">
        <v>16491</v>
      </c>
      <c r="J788" t="s">
        <v>16492</v>
      </c>
      <c r="K788" t="s">
        <v>16493</v>
      </c>
      <c r="L788" t="s">
        <v>16494</v>
      </c>
      <c r="M788" t="s">
        <v>16495</v>
      </c>
      <c r="N788" t="s">
        <v>16496</v>
      </c>
      <c r="O788">
        <f>-757.997747744112 -44.6203551982226 -728.428137667888</f>
        <v>-1531.0462406102224</v>
      </c>
      <c r="P788">
        <f>-750.249760609877 -24.2752443477639 -412.655680510315</f>
        <v>-1187.1806854679558</v>
      </c>
      <c r="Q788">
        <f>-503.93016611168 -55.5541470095638 -335.258569855452</f>
        <v>-894.74288297669591</v>
      </c>
      <c r="R788" t="s">
        <v>16497</v>
      </c>
      <c r="S788" t="s">
        <v>16498</v>
      </c>
      <c r="T788" t="s">
        <v>16499</v>
      </c>
      <c r="U788" t="s">
        <v>16500</v>
      </c>
      <c r="V788" t="s">
        <v>16501</v>
      </c>
      <c r="W788" t="s">
        <v>16502</v>
      </c>
      <c r="X788" t="s">
        <v>16503</v>
      </c>
      <c r="Y788" t="s">
        <v>16504</v>
      </c>
    </row>
    <row r="789" spans="1:25" x14ac:dyDescent="0.3">
      <c r="A789">
        <v>39400</v>
      </c>
      <c r="B789" t="s">
        <v>16505</v>
      </c>
      <c r="C789" t="s">
        <v>16506</v>
      </c>
      <c r="D789" t="s">
        <v>16507</v>
      </c>
      <c r="E789" t="s">
        <v>16508</v>
      </c>
      <c r="F789" t="s">
        <v>16509</v>
      </c>
      <c r="G789" t="s">
        <v>16510</v>
      </c>
      <c r="H789" t="s">
        <v>16511</v>
      </c>
      <c r="I789" t="s">
        <v>16512</v>
      </c>
      <c r="J789" t="s">
        <v>16513</v>
      </c>
      <c r="K789" t="s">
        <v>16514</v>
      </c>
      <c r="L789" t="s">
        <v>16515</v>
      </c>
      <c r="M789" t="s">
        <v>16516</v>
      </c>
      <c r="N789" t="s">
        <v>16517</v>
      </c>
      <c r="O789">
        <f>-757.656384227325 -44.8470108842525 -728.62098103849</f>
        <v>-1531.1243761500675</v>
      </c>
      <c r="P789">
        <f>-749.648879166895 -24.8581610754188 -412.832278324907</f>
        <v>-1187.3393185672207</v>
      </c>
      <c r="Q789">
        <f>-503.290995888232 -55.8659593125731 -335.447888897233</f>
        <v>-894.60484409803803</v>
      </c>
      <c r="R789" t="s">
        <v>16518</v>
      </c>
      <c r="S789" t="s">
        <v>16519</v>
      </c>
      <c r="T789" t="s">
        <v>16520</v>
      </c>
      <c r="U789" t="s">
        <v>16521</v>
      </c>
      <c r="V789" t="s">
        <v>16522</v>
      </c>
      <c r="W789" t="s">
        <v>16523</v>
      </c>
      <c r="X789" t="s">
        <v>16524</v>
      </c>
      <c r="Y789" t="s">
        <v>16525</v>
      </c>
    </row>
    <row r="790" spans="1:25" x14ac:dyDescent="0.3">
      <c r="A790">
        <v>39450</v>
      </c>
      <c r="B790" t="s">
        <v>16526</v>
      </c>
      <c r="C790" t="s">
        <v>16527</v>
      </c>
      <c r="D790" t="s">
        <v>16528</v>
      </c>
      <c r="E790" t="s">
        <v>16529</v>
      </c>
      <c r="F790" t="s">
        <v>16530</v>
      </c>
      <c r="G790" t="s">
        <v>16531</v>
      </c>
      <c r="H790" t="s">
        <v>16532</v>
      </c>
      <c r="I790" t="s">
        <v>16533</v>
      </c>
      <c r="J790" t="s">
        <v>16534</v>
      </c>
      <c r="K790" t="s">
        <v>16535</v>
      </c>
      <c r="L790" t="s">
        <v>16536</v>
      </c>
      <c r="M790" t="s">
        <v>16537</v>
      </c>
      <c r="N790" t="s">
        <v>16538</v>
      </c>
      <c r="O790">
        <f>-757.729772700515 -45.0597453260432 -728.705103577812</f>
        <v>-1531.4946216043702</v>
      </c>
      <c r="P790">
        <f>-748.459881102196 -25.9108697996498 -412.898831102958</f>
        <v>-1187.2695820048039</v>
      </c>
      <c r="Q790">
        <f>-501.896567389548 -57.0748186709841 -336.234766983018</f>
        <v>-895.2061530435501</v>
      </c>
      <c r="R790" t="s">
        <v>16539</v>
      </c>
      <c r="S790" t="s">
        <v>16540</v>
      </c>
      <c r="T790" t="s">
        <v>16541</v>
      </c>
      <c r="U790" t="s">
        <v>16542</v>
      </c>
      <c r="V790" t="s">
        <v>16543</v>
      </c>
      <c r="W790" t="s">
        <v>16544</v>
      </c>
      <c r="X790" t="s">
        <v>16545</v>
      </c>
      <c r="Y790" t="s">
        <v>16546</v>
      </c>
    </row>
    <row r="791" spans="1:25" x14ac:dyDescent="0.3">
      <c r="A791">
        <v>39500</v>
      </c>
      <c r="B791" t="s">
        <v>16547</v>
      </c>
      <c r="C791" t="s">
        <v>16548</v>
      </c>
      <c r="D791" t="s">
        <v>16549</v>
      </c>
      <c r="E791" t="s">
        <v>16550</v>
      </c>
      <c r="F791" t="s">
        <v>16551</v>
      </c>
      <c r="G791" t="s">
        <v>16552</v>
      </c>
      <c r="H791" t="s">
        <v>16553</v>
      </c>
      <c r="I791" t="s">
        <v>16554</v>
      </c>
      <c r="J791" t="s">
        <v>16555</v>
      </c>
      <c r="K791" t="s">
        <v>16556</v>
      </c>
      <c r="L791" t="s">
        <v>16557</v>
      </c>
      <c r="M791" t="s">
        <v>16558</v>
      </c>
      <c r="N791" t="s">
        <v>16559</v>
      </c>
      <c r="O791">
        <f>-757.742015632643 -45.1977728989154 -728.690798642188</f>
        <v>-1531.6305871737463</v>
      </c>
      <c r="P791">
        <f>-747.9712984766 -26.430845840965 -412.876696317116</f>
        <v>-1187.278840634681</v>
      </c>
      <c r="Q791">
        <f>-501.29025385516 -57.7384966764187 -336.651135198609</f>
        <v>-895.67988573018761</v>
      </c>
      <c r="R791" t="s">
        <v>16560</v>
      </c>
      <c r="S791" t="s">
        <v>16561</v>
      </c>
      <c r="T791" t="s">
        <v>16562</v>
      </c>
      <c r="U791" t="s">
        <v>16563</v>
      </c>
      <c r="V791" t="s">
        <v>16564</v>
      </c>
      <c r="W791" t="s">
        <v>16565</v>
      </c>
      <c r="X791" t="s">
        <v>16566</v>
      </c>
      <c r="Y791" t="s">
        <v>16567</v>
      </c>
    </row>
    <row r="792" spans="1:25" x14ac:dyDescent="0.3">
      <c r="A792">
        <v>39550</v>
      </c>
      <c r="B792" t="s">
        <v>16568</v>
      </c>
      <c r="C792" t="s">
        <v>16569</v>
      </c>
      <c r="D792" t="s">
        <v>16570</v>
      </c>
      <c r="E792" t="s">
        <v>16571</v>
      </c>
      <c r="F792" t="s">
        <v>16572</v>
      </c>
      <c r="G792" t="s">
        <v>16573</v>
      </c>
      <c r="H792" t="s">
        <v>16574</v>
      </c>
      <c r="I792" t="s">
        <v>16575</v>
      </c>
      <c r="J792" t="s">
        <v>16576</v>
      </c>
      <c r="K792" t="s">
        <v>16577</v>
      </c>
      <c r="L792" t="s">
        <v>16578</v>
      </c>
      <c r="M792" t="s">
        <v>16579</v>
      </c>
      <c r="N792" t="s">
        <v>16580</v>
      </c>
      <c r="O792">
        <f>-758.135301710603 -45.4447164537112 -728.65270064101</f>
        <v>-1532.2327188053241</v>
      </c>
      <c r="P792">
        <f>-748.084432402167 -26.5951590317256 -412.852359614559</f>
        <v>-1187.5319510484517</v>
      </c>
      <c r="Q792">
        <f>-501.226362646569 -57.8075210862185 -337.162522103204</f>
        <v>-896.19640583599153</v>
      </c>
      <c r="R792" t="s">
        <v>16581</v>
      </c>
      <c r="S792" t="s">
        <v>16582</v>
      </c>
      <c r="T792" t="s">
        <v>16583</v>
      </c>
      <c r="U792" t="s">
        <v>16584</v>
      </c>
      <c r="V792" t="s">
        <v>16585</v>
      </c>
      <c r="W792" t="s">
        <v>16586</v>
      </c>
      <c r="X792" t="s">
        <v>16587</v>
      </c>
      <c r="Y792" t="s">
        <v>16588</v>
      </c>
    </row>
    <row r="793" spans="1:25" x14ac:dyDescent="0.3">
      <c r="A793">
        <v>39600</v>
      </c>
      <c r="B793" t="s">
        <v>16589</v>
      </c>
      <c r="C793" t="s">
        <v>16590</v>
      </c>
      <c r="D793" t="s">
        <v>16591</v>
      </c>
      <c r="E793" t="s">
        <v>16592</v>
      </c>
      <c r="F793" t="s">
        <v>16593</v>
      </c>
      <c r="G793" t="s">
        <v>16594</v>
      </c>
      <c r="H793" t="s">
        <v>16595</v>
      </c>
      <c r="I793" t="s">
        <v>16596</v>
      </c>
      <c r="J793" t="s">
        <v>16597</v>
      </c>
      <c r="K793" t="s">
        <v>16598</v>
      </c>
      <c r="L793" t="s">
        <v>16599</v>
      </c>
      <c r="M793" t="s">
        <v>16600</v>
      </c>
      <c r="N793" t="s">
        <v>16601</v>
      </c>
      <c r="O793">
        <f>-758.333663621828 -45.8648072898391 -728.618897402465</f>
        <v>-1532.8173683141322</v>
      </c>
      <c r="P793">
        <f>-748.346361258841 -26.979484972923 -412.818552282116</f>
        <v>-1188.1443985138799</v>
      </c>
      <c r="Q793">
        <f>-501.430441425124 -58.0022221416752 -337.239708067412</f>
        <v>-896.67237163421123</v>
      </c>
      <c r="R793" t="s">
        <v>16602</v>
      </c>
      <c r="S793" t="s">
        <v>16603</v>
      </c>
      <c r="T793" t="s">
        <v>16604</v>
      </c>
      <c r="U793" t="s">
        <v>16605</v>
      </c>
      <c r="V793" t="s">
        <v>16606</v>
      </c>
      <c r="W793" t="s">
        <v>16607</v>
      </c>
      <c r="X793" t="s">
        <v>16608</v>
      </c>
      <c r="Y793" t="s">
        <v>16609</v>
      </c>
    </row>
    <row r="794" spans="1:25" x14ac:dyDescent="0.3">
      <c r="A794">
        <v>39650</v>
      </c>
      <c r="B794" t="s">
        <v>16610</v>
      </c>
      <c r="C794" t="s">
        <v>16611</v>
      </c>
      <c r="D794" t="s">
        <v>16612</v>
      </c>
      <c r="E794" t="s">
        <v>16613</v>
      </c>
      <c r="F794" t="s">
        <v>16614</v>
      </c>
      <c r="G794" t="s">
        <v>16615</v>
      </c>
      <c r="H794" t="s">
        <v>16616</v>
      </c>
      <c r="I794" t="s">
        <v>16617</v>
      </c>
      <c r="J794" t="s">
        <v>16618</v>
      </c>
      <c r="K794" t="s">
        <v>16619</v>
      </c>
      <c r="L794" t="s">
        <v>16620</v>
      </c>
      <c r="M794" t="s">
        <v>16621</v>
      </c>
      <c r="N794" t="s">
        <v>16622</v>
      </c>
      <c r="O794">
        <f>-759.275056659683 -46.7043797191218 -728.574670568072</f>
        <v>-1534.5541069468768</v>
      </c>
      <c r="P794">
        <f>-749.373873773684 -27.633867449611 -412.782801441095</f>
        <v>-1189.7905426643899</v>
      </c>
      <c r="Q794">
        <f>-502.425253427214 -58.2068104471864 -337.127621172312</f>
        <v>-897.75968504671232</v>
      </c>
      <c r="R794" t="s">
        <v>16623</v>
      </c>
      <c r="S794" t="s">
        <v>16624</v>
      </c>
      <c r="T794" t="s">
        <v>16625</v>
      </c>
      <c r="U794" t="s">
        <v>16626</v>
      </c>
      <c r="V794" t="s">
        <v>16627</v>
      </c>
      <c r="W794" t="s">
        <v>16628</v>
      </c>
      <c r="X794" t="s">
        <v>16629</v>
      </c>
      <c r="Y794" t="s">
        <v>16630</v>
      </c>
    </row>
    <row r="795" spans="1:25" x14ac:dyDescent="0.3">
      <c r="A795">
        <v>39700</v>
      </c>
      <c r="B795" t="s">
        <v>16631</v>
      </c>
      <c r="C795" t="s">
        <v>16632</v>
      </c>
      <c r="D795" t="s">
        <v>16633</v>
      </c>
      <c r="E795" t="s">
        <v>16634</v>
      </c>
      <c r="F795" t="s">
        <v>16635</v>
      </c>
      <c r="G795" t="s">
        <v>16636</v>
      </c>
      <c r="H795" t="s">
        <v>16637</v>
      </c>
      <c r="I795" t="s">
        <v>16638</v>
      </c>
      <c r="J795" t="s">
        <v>16639</v>
      </c>
      <c r="K795" t="s">
        <v>16640</v>
      </c>
      <c r="L795" t="s">
        <v>16641</v>
      </c>
      <c r="M795" t="s">
        <v>16642</v>
      </c>
      <c r="N795" t="s">
        <v>16643</v>
      </c>
      <c r="O795">
        <f>-759.693531168181 -47.1352429427104 -728.451540420204</f>
        <v>-1535.2803145310954</v>
      </c>
      <c r="P795">
        <f>-749.682850805464 -27.5522898305637 -412.694578754107</f>
        <v>-1189.9297193901348</v>
      </c>
      <c r="Q795">
        <f>-502.773649692999 -58.2348731170061 -336.954827134509</f>
        <v>-897.96334994451422</v>
      </c>
      <c r="R795" t="s">
        <v>16644</v>
      </c>
      <c r="S795" t="s">
        <v>16645</v>
      </c>
      <c r="T795" t="s">
        <v>16646</v>
      </c>
      <c r="U795" t="s">
        <v>16647</v>
      </c>
      <c r="V795" t="s">
        <v>16648</v>
      </c>
      <c r="W795" t="s">
        <v>16649</v>
      </c>
      <c r="X795" t="s">
        <v>16650</v>
      </c>
      <c r="Y795" t="s">
        <v>16651</v>
      </c>
    </row>
    <row r="796" spans="1:25" x14ac:dyDescent="0.3">
      <c r="A796">
        <v>39750</v>
      </c>
      <c r="B796" t="s">
        <v>16652</v>
      </c>
      <c r="C796" t="s">
        <v>16653</v>
      </c>
      <c r="D796" t="s">
        <v>16654</v>
      </c>
      <c r="E796" t="s">
        <v>16655</v>
      </c>
      <c r="F796" t="s">
        <v>16656</v>
      </c>
      <c r="G796" t="s">
        <v>16657</v>
      </c>
      <c r="H796" t="s">
        <v>16658</v>
      </c>
      <c r="I796" t="s">
        <v>16659</v>
      </c>
      <c r="J796" t="s">
        <v>16660</v>
      </c>
      <c r="K796" t="s">
        <v>16661</v>
      </c>
      <c r="L796" t="s">
        <v>16662</v>
      </c>
      <c r="M796" t="s">
        <v>16663</v>
      </c>
      <c r="N796" t="s">
        <v>16664</v>
      </c>
      <c r="O796">
        <f>-760.272721763998 -47.6079600623543 -727.845510550406</f>
        <v>-1535.7261923767583</v>
      </c>
      <c r="P796">
        <f>-750.301467026361 -27.259339841075 -412.135797262485</f>
        <v>-1189.6966041299211</v>
      </c>
      <c r="Q796">
        <f>-503.403591264228 -57.9024014745039 -336.343221551359</f>
        <v>-897.64921429009087</v>
      </c>
      <c r="R796" t="s">
        <v>16665</v>
      </c>
      <c r="S796" t="s">
        <v>16666</v>
      </c>
      <c r="T796" t="s">
        <v>16667</v>
      </c>
      <c r="U796" t="s">
        <v>16668</v>
      </c>
      <c r="V796" t="s">
        <v>16669</v>
      </c>
      <c r="W796" t="s">
        <v>16670</v>
      </c>
      <c r="X796" t="s">
        <v>16671</v>
      </c>
      <c r="Y796" t="s">
        <v>16672</v>
      </c>
    </row>
    <row r="797" spans="1:25" x14ac:dyDescent="0.3">
      <c r="A797">
        <v>39800</v>
      </c>
      <c r="B797" t="s">
        <v>16673</v>
      </c>
      <c r="C797" t="s">
        <v>16674</v>
      </c>
      <c r="D797" t="s">
        <v>16675</v>
      </c>
      <c r="E797" t="s">
        <v>16676</v>
      </c>
      <c r="F797" t="s">
        <v>16677</v>
      </c>
      <c r="G797" t="s">
        <v>16678</v>
      </c>
      <c r="H797" t="s">
        <v>16679</v>
      </c>
      <c r="I797" t="s">
        <v>16680</v>
      </c>
      <c r="J797" t="s">
        <v>16681</v>
      </c>
      <c r="K797" t="s">
        <v>16682</v>
      </c>
      <c r="L797" t="s">
        <v>16683</v>
      </c>
      <c r="M797" t="s">
        <v>16684</v>
      </c>
      <c r="N797" t="s">
        <v>16685</v>
      </c>
      <c r="O797">
        <f>-760.368419117386 -47.718480044595 -727.451787793778</f>
        <v>-1535.538686955759</v>
      </c>
      <c r="P797">
        <f>-750.452796413056 -27.2453715342788 -411.748301227171</f>
        <v>-1189.4464691745059</v>
      </c>
      <c r="Q797">
        <f>-503.611643372002 -57.6447186453445 -335.673544818497</f>
        <v>-896.92990683584355</v>
      </c>
      <c r="R797" t="s">
        <v>16686</v>
      </c>
      <c r="S797" t="s">
        <v>16687</v>
      </c>
      <c r="T797" t="s">
        <v>16688</v>
      </c>
      <c r="U797" t="s">
        <v>16689</v>
      </c>
      <c r="V797" t="s">
        <v>16690</v>
      </c>
      <c r="W797" t="s">
        <v>16691</v>
      </c>
      <c r="X797" t="s">
        <v>16692</v>
      </c>
      <c r="Y797" t="s">
        <v>16693</v>
      </c>
    </row>
    <row r="798" spans="1:25" x14ac:dyDescent="0.3">
      <c r="A798">
        <v>39850</v>
      </c>
      <c r="B798" t="s">
        <v>16694</v>
      </c>
      <c r="C798" t="s">
        <v>16695</v>
      </c>
      <c r="D798" t="s">
        <v>16696</v>
      </c>
      <c r="E798" t="s">
        <v>16697</v>
      </c>
      <c r="F798" t="s">
        <v>16698</v>
      </c>
      <c r="G798" t="s">
        <v>16699</v>
      </c>
      <c r="H798" t="s">
        <v>16700</v>
      </c>
      <c r="I798" t="s">
        <v>16701</v>
      </c>
      <c r="J798" t="s">
        <v>16702</v>
      </c>
      <c r="K798" t="s">
        <v>16703</v>
      </c>
      <c r="L798" t="s">
        <v>16704</v>
      </c>
      <c r="M798" t="s">
        <v>16705</v>
      </c>
      <c r="N798" t="s">
        <v>16706</v>
      </c>
      <c r="O798">
        <f>-760.794666620462 -47.8689625888803 -726.787492613628</f>
        <v>-1535.4511218229704</v>
      </c>
      <c r="P798">
        <f>-751.103983917353 -26.6343224346108 -411.127236941582</f>
        <v>-1188.8655432935459</v>
      </c>
      <c r="Q798">
        <f>-504.316207856981 -56.9807289689672 -334.858372849414</f>
        <v>-896.15530967536233</v>
      </c>
      <c r="R798" t="s">
        <v>16707</v>
      </c>
      <c r="S798" t="s">
        <v>16708</v>
      </c>
      <c r="T798" t="s">
        <v>16709</v>
      </c>
      <c r="U798" t="s">
        <v>16710</v>
      </c>
      <c r="V798" t="s">
        <v>16711</v>
      </c>
      <c r="W798" t="s">
        <v>16712</v>
      </c>
      <c r="X798" t="s">
        <v>16713</v>
      </c>
      <c r="Y798" t="s">
        <v>16714</v>
      </c>
    </row>
    <row r="799" spans="1:25" x14ac:dyDescent="0.3">
      <c r="A799">
        <v>39900</v>
      </c>
      <c r="B799" t="s">
        <v>16715</v>
      </c>
      <c r="C799" t="s">
        <v>16716</v>
      </c>
      <c r="D799" t="s">
        <v>16717</v>
      </c>
      <c r="E799" t="s">
        <v>16718</v>
      </c>
      <c r="F799" t="s">
        <v>16719</v>
      </c>
      <c r="G799" t="s">
        <v>16720</v>
      </c>
      <c r="H799" t="s">
        <v>16721</v>
      </c>
      <c r="I799" t="s">
        <v>16722</v>
      </c>
      <c r="J799" t="s">
        <v>16723</v>
      </c>
      <c r="K799" t="s">
        <v>16724</v>
      </c>
      <c r="L799" t="s">
        <v>16725</v>
      </c>
      <c r="M799" t="s">
        <v>16726</v>
      </c>
      <c r="N799" t="s">
        <v>16727</v>
      </c>
      <c r="O799">
        <f>-760.974772870172 -47.9047561690934 -726.544271455518</f>
        <v>-1535.4238004947833</v>
      </c>
      <c r="P799">
        <f>-751.224896621258 -26.7675767235178 -410.879428581208</f>
        <v>-1188.8719019259838</v>
      </c>
      <c r="Q799">
        <f>-504.452330538046 -57.0857731067413 -334.550119831928</f>
        <v>-896.08822347671526</v>
      </c>
      <c r="R799" t="s">
        <v>16728</v>
      </c>
      <c r="S799" t="s">
        <v>16729</v>
      </c>
      <c r="T799" t="s">
        <v>16730</v>
      </c>
      <c r="U799" t="s">
        <v>16731</v>
      </c>
      <c r="V799" t="s">
        <v>16732</v>
      </c>
      <c r="W799" t="s">
        <v>16733</v>
      </c>
      <c r="X799" t="s">
        <v>16734</v>
      </c>
      <c r="Y799" t="s">
        <v>16735</v>
      </c>
    </row>
    <row r="800" spans="1:25" x14ac:dyDescent="0.3">
      <c r="A800">
        <v>39950</v>
      </c>
      <c r="B800" t="s">
        <v>16736</v>
      </c>
      <c r="C800" t="s">
        <v>16737</v>
      </c>
      <c r="D800" t="s">
        <v>16738</v>
      </c>
      <c r="E800" t="s">
        <v>16739</v>
      </c>
      <c r="F800" t="s">
        <v>16740</v>
      </c>
      <c r="G800" t="s">
        <v>16741</v>
      </c>
      <c r="H800" t="s">
        <v>16742</v>
      </c>
      <c r="I800" t="s">
        <v>16743</v>
      </c>
      <c r="J800" t="s">
        <v>16744</v>
      </c>
      <c r="K800" t="s">
        <v>16745</v>
      </c>
      <c r="L800" t="s">
        <v>16746</v>
      </c>
      <c r="M800" t="s">
        <v>16747</v>
      </c>
      <c r="N800" t="s">
        <v>16748</v>
      </c>
      <c r="O800">
        <f>-761.944091791901 -48.0658922797952 -726.094472493918</f>
        <v>-1536.1044565656143</v>
      </c>
      <c r="P800">
        <f>-752.001158714817 -26.5246966060251 -410.46285506876</f>
        <v>-1188.9887103896021</v>
      </c>
      <c r="Q800">
        <f>-505.175655200574 -56.5750612583593 -334.198748686863</f>
        <v>-895.94946514579624</v>
      </c>
      <c r="R800" t="s">
        <v>16749</v>
      </c>
      <c r="S800" t="s">
        <v>16750</v>
      </c>
      <c r="T800" t="s">
        <v>16751</v>
      </c>
      <c r="U800" t="s">
        <v>16752</v>
      </c>
      <c r="V800" t="s">
        <v>16753</v>
      </c>
      <c r="W800" t="s">
        <v>16754</v>
      </c>
      <c r="X800" t="s">
        <v>16755</v>
      </c>
      <c r="Y800" t="s">
        <v>16756</v>
      </c>
    </row>
    <row r="801" spans="1:25" x14ac:dyDescent="0.3">
      <c r="A801">
        <v>40000</v>
      </c>
      <c r="B801" t="s">
        <v>16757</v>
      </c>
      <c r="C801" t="s">
        <v>16758</v>
      </c>
      <c r="D801" t="s">
        <v>16759</v>
      </c>
      <c r="E801" t="s">
        <v>16760</v>
      </c>
      <c r="F801" t="s">
        <v>16761</v>
      </c>
      <c r="G801" t="s">
        <v>16762</v>
      </c>
      <c r="H801" t="s">
        <v>16763</v>
      </c>
      <c r="I801" t="s">
        <v>16764</v>
      </c>
      <c r="J801" t="s">
        <v>16765</v>
      </c>
      <c r="K801" t="s">
        <v>16766</v>
      </c>
      <c r="L801" t="s">
        <v>16767</v>
      </c>
      <c r="M801" t="s">
        <v>16768</v>
      </c>
      <c r="N801" t="s">
        <v>16769</v>
      </c>
      <c r="O801">
        <f>-762.1971437033 -48.159015056335 -725.845103640564</f>
        <v>-1536.2012624001991</v>
      </c>
      <c r="P801">
        <f>-752.023098444949 -26.7659066450269 -410.210860203865</f>
        <v>-1188.9998652938409</v>
      </c>
      <c r="Q801">
        <f>-505.186197307965 -56.7361291750274 -333.952163058141</f>
        <v>-895.87448954113347</v>
      </c>
      <c r="R801" t="s">
        <v>16770</v>
      </c>
      <c r="S801" t="s">
        <v>16771</v>
      </c>
      <c r="T801" t="s">
        <v>16772</v>
      </c>
      <c r="U801" t="s">
        <v>16773</v>
      </c>
      <c r="V801" t="s">
        <v>16774</v>
      </c>
      <c r="W801" t="s">
        <v>16775</v>
      </c>
      <c r="X801" t="s">
        <v>16776</v>
      </c>
      <c r="Y801" t="s">
        <v>16777</v>
      </c>
    </row>
    <row r="802" spans="1:25" x14ac:dyDescent="0.3">
      <c r="A802">
        <v>40050</v>
      </c>
      <c r="B802" t="s">
        <v>16778</v>
      </c>
      <c r="C802" t="s">
        <v>16779</v>
      </c>
      <c r="D802" t="s">
        <v>16780</v>
      </c>
      <c r="E802" t="s">
        <v>16781</v>
      </c>
      <c r="F802" t="s">
        <v>16782</v>
      </c>
      <c r="G802" t="s">
        <v>16783</v>
      </c>
      <c r="H802" t="s">
        <v>16784</v>
      </c>
      <c r="I802" t="s">
        <v>16785</v>
      </c>
      <c r="J802" t="s">
        <v>16786</v>
      </c>
      <c r="K802" t="s">
        <v>16787</v>
      </c>
      <c r="L802" t="s">
        <v>16788</v>
      </c>
      <c r="M802" t="s">
        <v>16789</v>
      </c>
      <c r="N802" t="s">
        <v>16790</v>
      </c>
      <c r="O802">
        <f>-762.149324189108 -48.3487654784824 -725.315908094947</f>
        <v>-1535.8139977625374</v>
      </c>
      <c r="P802">
        <f>-751.906585328676 -26.889861781435 -409.688236995386</f>
        <v>-1188.4846841054969</v>
      </c>
      <c r="Q802">
        <f>-504.929826002511 -56.2052230921188 -333.62818703478</f>
        <v>-894.76323612940985</v>
      </c>
      <c r="R802" t="s">
        <v>16791</v>
      </c>
      <c r="S802" t="s">
        <v>16792</v>
      </c>
      <c r="T802" t="s">
        <v>16793</v>
      </c>
      <c r="U802" t="s">
        <v>16794</v>
      </c>
      <c r="V802" t="s">
        <v>16795</v>
      </c>
      <c r="W802" t="s">
        <v>16796</v>
      </c>
      <c r="X802" t="s">
        <v>16797</v>
      </c>
      <c r="Y802" t="s">
        <v>16798</v>
      </c>
    </row>
    <row r="803" spans="1:25" x14ac:dyDescent="0.3">
      <c r="A803">
        <v>40100</v>
      </c>
      <c r="B803" t="s">
        <v>16799</v>
      </c>
      <c r="C803" t="s">
        <v>16800</v>
      </c>
      <c r="D803" t="s">
        <v>16801</v>
      </c>
      <c r="E803" t="s">
        <v>16802</v>
      </c>
      <c r="F803" t="s">
        <v>16803</v>
      </c>
      <c r="G803" t="s">
        <v>16804</v>
      </c>
      <c r="H803" t="s">
        <v>16805</v>
      </c>
      <c r="I803" t="s">
        <v>16806</v>
      </c>
      <c r="J803" t="s">
        <v>16807</v>
      </c>
      <c r="K803" t="s">
        <v>16808</v>
      </c>
      <c r="L803" t="s">
        <v>16809</v>
      </c>
      <c r="M803" t="s">
        <v>16810</v>
      </c>
      <c r="N803" t="s">
        <v>16811</v>
      </c>
      <c r="O803">
        <f>-762.222182371002 -48.3132579433097 -725.094302980661</f>
        <v>-1535.6297432949727</v>
      </c>
      <c r="P803">
        <f>-751.960201202059 -27.0068414889615 -409.45698392247</f>
        <v>-1188.4240266134905</v>
      </c>
      <c r="Q803">
        <f>-504.917447431492 -56.1005541572504 -333.526098975659</f>
        <v>-894.54410056440145</v>
      </c>
      <c r="R803" t="s">
        <v>16812</v>
      </c>
      <c r="S803" t="s">
        <v>16813</v>
      </c>
      <c r="T803" t="s">
        <v>16814</v>
      </c>
      <c r="U803" t="s">
        <v>16815</v>
      </c>
      <c r="V803" t="s">
        <v>16816</v>
      </c>
      <c r="W803" t="s">
        <v>16817</v>
      </c>
      <c r="X803" t="s">
        <v>16818</v>
      </c>
      <c r="Y803" t="s">
        <v>16819</v>
      </c>
    </row>
    <row r="804" spans="1:25" x14ac:dyDescent="0.3">
      <c r="A804">
        <v>40150</v>
      </c>
      <c r="B804" t="s">
        <v>16820</v>
      </c>
      <c r="C804" t="s">
        <v>16821</v>
      </c>
      <c r="D804" t="s">
        <v>16822</v>
      </c>
      <c r="E804" t="s">
        <v>16823</v>
      </c>
      <c r="F804" t="s">
        <v>16824</v>
      </c>
      <c r="G804" t="s">
        <v>16825</v>
      </c>
      <c r="H804" t="s">
        <v>16826</v>
      </c>
      <c r="I804" t="s">
        <v>16827</v>
      </c>
      <c r="J804" t="s">
        <v>16828</v>
      </c>
      <c r="K804" t="s">
        <v>16829</v>
      </c>
      <c r="L804" t="s">
        <v>16830</v>
      </c>
      <c r="M804" t="s">
        <v>16831</v>
      </c>
      <c r="N804" t="s">
        <v>16832</v>
      </c>
      <c r="O804">
        <f>-762.485037444223 -48.2277472811697 -724.953295126596</f>
        <v>-1535.6660798519888</v>
      </c>
      <c r="P804">
        <f>-752.020860666384 -27.3130988100629 -409.296372001133</f>
        <v>-1188.6303314775801</v>
      </c>
      <c r="Q804">
        <f>-504.840873768555 -56.1959840998559 -333.732442427781</f>
        <v>-894.76930029619189</v>
      </c>
      <c r="R804" t="s">
        <v>16833</v>
      </c>
      <c r="S804" t="s">
        <v>16834</v>
      </c>
      <c r="T804" t="s">
        <v>16835</v>
      </c>
      <c r="U804" t="s">
        <v>16836</v>
      </c>
      <c r="V804" t="s">
        <v>16837</v>
      </c>
      <c r="W804" t="s">
        <v>16838</v>
      </c>
      <c r="X804" t="s">
        <v>16839</v>
      </c>
      <c r="Y804" t="s">
        <v>16840</v>
      </c>
    </row>
    <row r="805" spans="1:25" x14ac:dyDescent="0.3">
      <c r="A805">
        <v>40200</v>
      </c>
      <c r="B805" t="s">
        <v>16841</v>
      </c>
      <c r="C805" t="s">
        <v>16842</v>
      </c>
      <c r="D805" t="s">
        <v>16843</v>
      </c>
      <c r="E805" t="s">
        <v>16844</v>
      </c>
      <c r="F805" t="s">
        <v>16845</v>
      </c>
      <c r="G805" t="s">
        <v>16846</v>
      </c>
      <c r="H805" t="s">
        <v>16847</v>
      </c>
      <c r="I805" t="s">
        <v>16848</v>
      </c>
      <c r="J805" t="s">
        <v>16849</v>
      </c>
      <c r="K805" t="s">
        <v>16850</v>
      </c>
      <c r="L805" t="s">
        <v>16851</v>
      </c>
      <c r="M805" t="s">
        <v>16852</v>
      </c>
      <c r="N805" t="s">
        <v>16853</v>
      </c>
      <c r="O805">
        <f>-762.959078507594 -48.3473704573421 -724.957269473751</f>
        <v>-1536.2637184386872</v>
      </c>
      <c r="P805">
        <f>-752.241214211961 -27.5373328424446 -409.302014153132</f>
        <v>-1189.0805612075376</v>
      </c>
      <c r="Q805">
        <f>-505.007177414189 -56.4800974403147 -333.938277626107</f>
        <v>-895.4255524806108</v>
      </c>
      <c r="R805" t="s">
        <v>16854</v>
      </c>
      <c r="S805" t="s">
        <v>16855</v>
      </c>
      <c r="T805" t="s">
        <v>16856</v>
      </c>
      <c r="U805" t="s">
        <v>16857</v>
      </c>
      <c r="V805" t="s">
        <v>16858</v>
      </c>
      <c r="W805" t="s">
        <v>16859</v>
      </c>
      <c r="X805" t="s">
        <v>16860</v>
      </c>
      <c r="Y805" t="s">
        <v>16861</v>
      </c>
    </row>
    <row r="806" spans="1:25" x14ac:dyDescent="0.3">
      <c r="A806">
        <v>40250</v>
      </c>
      <c r="B806" t="s">
        <v>16862</v>
      </c>
      <c r="C806" t="s">
        <v>16863</v>
      </c>
      <c r="D806" t="s">
        <v>16864</v>
      </c>
      <c r="E806" t="s">
        <v>16865</v>
      </c>
      <c r="F806" t="s">
        <v>16866</v>
      </c>
      <c r="G806" t="s">
        <v>16867</v>
      </c>
      <c r="H806" t="s">
        <v>16868</v>
      </c>
      <c r="I806" t="s">
        <v>16869</v>
      </c>
      <c r="J806" t="s">
        <v>16870</v>
      </c>
      <c r="K806" t="s">
        <v>16871</v>
      </c>
      <c r="L806" t="s">
        <v>16872</v>
      </c>
      <c r="M806" t="s">
        <v>16873</v>
      </c>
      <c r="N806" t="s">
        <v>16874</v>
      </c>
      <c r="O806">
        <f>-764.115719469035 -48.4725395482371 -724.986373526436</f>
        <v>-1537.574632543708</v>
      </c>
      <c r="P806">
        <f>-752.65716435281 -27.9930308117409 -409.335490912391</f>
        <v>-1189.9856860769419</v>
      </c>
      <c r="Q806">
        <f>-505.341817600368 -57.2198063601365 -334.349111801059</f>
        <v>-896.9107357615635</v>
      </c>
      <c r="R806" t="s">
        <v>16875</v>
      </c>
      <c r="S806" t="s">
        <v>16876</v>
      </c>
      <c r="T806" t="s">
        <v>16877</v>
      </c>
      <c r="U806" t="s">
        <v>16878</v>
      </c>
      <c r="V806" t="s">
        <v>16879</v>
      </c>
      <c r="W806" t="s">
        <v>16880</v>
      </c>
      <c r="X806" t="s">
        <v>16881</v>
      </c>
      <c r="Y806" t="s">
        <v>16882</v>
      </c>
    </row>
    <row r="807" spans="1:25" x14ac:dyDescent="0.3">
      <c r="A807">
        <v>40300</v>
      </c>
      <c r="B807" t="s">
        <v>16883</v>
      </c>
      <c r="C807" t="s">
        <v>16884</v>
      </c>
      <c r="D807" t="s">
        <v>16885</v>
      </c>
      <c r="E807" t="s">
        <v>16886</v>
      </c>
      <c r="F807" t="s">
        <v>16887</v>
      </c>
      <c r="G807" t="s">
        <v>16888</v>
      </c>
      <c r="H807" t="s">
        <v>16889</v>
      </c>
      <c r="I807" t="s">
        <v>16890</v>
      </c>
      <c r="J807" t="s">
        <v>16891</v>
      </c>
      <c r="K807" t="s">
        <v>16892</v>
      </c>
      <c r="L807" t="s">
        <v>16893</v>
      </c>
      <c r="M807" t="s">
        <v>16894</v>
      </c>
      <c r="N807" t="s">
        <v>16895</v>
      </c>
      <c r="O807">
        <f>-764.738060376696 -48.4454730009174 -724.984470588657</f>
        <v>-1538.1680039662706</v>
      </c>
      <c r="P807">
        <f>-752.935651255506 -27.9938859643185 -409.344432730901</f>
        <v>-1190.2739699507254</v>
      </c>
      <c r="Q807">
        <f>-505.556985804372 -57.3946410261883 -334.635447218594</f>
        <v>-897.58707404915424</v>
      </c>
      <c r="R807" t="s">
        <v>16896</v>
      </c>
      <c r="S807" t="s">
        <v>16897</v>
      </c>
      <c r="T807" t="s">
        <v>16898</v>
      </c>
      <c r="U807" t="s">
        <v>16899</v>
      </c>
      <c r="V807" t="s">
        <v>16900</v>
      </c>
      <c r="W807" t="s">
        <v>16901</v>
      </c>
      <c r="X807" t="s">
        <v>16902</v>
      </c>
      <c r="Y807" t="s">
        <v>16903</v>
      </c>
    </row>
    <row r="808" spans="1:25" x14ac:dyDescent="0.3">
      <c r="A808">
        <v>40350</v>
      </c>
      <c r="B808" t="s">
        <v>16904</v>
      </c>
      <c r="C808" t="s">
        <v>16905</v>
      </c>
      <c r="D808" t="s">
        <v>16906</v>
      </c>
      <c r="E808" t="s">
        <v>16907</v>
      </c>
      <c r="F808" t="s">
        <v>16908</v>
      </c>
      <c r="G808" t="s">
        <v>16909</v>
      </c>
      <c r="H808" t="s">
        <v>16910</v>
      </c>
      <c r="I808" t="s">
        <v>16911</v>
      </c>
      <c r="J808" t="s">
        <v>16912</v>
      </c>
      <c r="K808" t="s">
        <v>16913</v>
      </c>
      <c r="L808" t="s">
        <v>16914</v>
      </c>
      <c r="M808" t="s">
        <v>16915</v>
      </c>
      <c r="N808" t="s">
        <v>16916</v>
      </c>
      <c r="O808">
        <f>-766.327924190213 -48.0733734842599 -724.994326090704</f>
        <v>-1539.3956237651769</v>
      </c>
      <c r="P808">
        <f>-753.702695406133 -27.9839196016526 -409.362958455609</f>
        <v>-1191.0495734633946</v>
      </c>
      <c r="Q808">
        <f>-506.267809476984 -58.3985945671823 -335.248444619423</f>
        <v>-899.91484866358928</v>
      </c>
      <c r="R808" t="s">
        <v>16917</v>
      </c>
      <c r="S808" t="s">
        <v>16918</v>
      </c>
      <c r="T808" t="s">
        <v>16919</v>
      </c>
      <c r="U808" t="s">
        <v>16920</v>
      </c>
      <c r="V808" t="s">
        <v>16921</v>
      </c>
      <c r="W808" t="s">
        <v>16922</v>
      </c>
      <c r="X808" t="s">
        <v>16923</v>
      </c>
      <c r="Y808" t="s">
        <v>16924</v>
      </c>
    </row>
    <row r="809" spans="1:25" x14ac:dyDescent="0.3">
      <c r="A809">
        <v>40400</v>
      </c>
      <c r="B809" t="s">
        <v>16925</v>
      </c>
      <c r="C809" t="s">
        <v>16926</v>
      </c>
      <c r="D809" t="s">
        <v>16927</v>
      </c>
      <c r="E809" t="s">
        <v>16928</v>
      </c>
      <c r="F809" t="s">
        <v>16929</v>
      </c>
      <c r="G809" t="s">
        <v>16930</v>
      </c>
      <c r="H809" t="s">
        <v>16931</v>
      </c>
      <c r="I809" t="s">
        <v>16932</v>
      </c>
      <c r="J809" t="s">
        <v>16933</v>
      </c>
      <c r="K809" t="s">
        <v>16934</v>
      </c>
      <c r="L809" t="s">
        <v>16935</v>
      </c>
      <c r="M809" t="s">
        <v>16936</v>
      </c>
      <c r="N809" t="s">
        <v>16937</v>
      </c>
      <c r="O809">
        <f>-767.054972537514 -47.8396572875047 -725.02398793555</f>
        <v>-1539.9186177605688</v>
      </c>
      <c r="P809">
        <f>-754.150751003798 -27.8714473398666 -409.396232456582</f>
        <v>-1191.4184308002466</v>
      </c>
      <c r="Q809">
        <f>-506.719438581355 -58.7684579531438 -335.469462889662</f>
        <v>-900.95735942416081</v>
      </c>
      <c r="R809" t="s">
        <v>16938</v>
      </c>
      <c r="S809" t="s">
        <v>16939</v>
      </c>
      <c r="T809" t="s">
        <v>16940</v>
      </c>
      <c r="U809" t="s">
        <v>16941</v>
      </c>
      <c r="V809" t="s">
        <v>16942</v>
      </c>
      <c r="W809" t="s">
        <v>16943</v>
      </c>
      <c r="X809" t="s">
        <v>16944</v>
      </c>
      <c r="Y809" t="s">
        <v>16945</v>
      </c>
    </row>
    <row r="810" spans="1:25" x14ac:dyDescent="0.3">
      <c r="A810">
        <v>40450</v>
      </c>
      <c r="B810" t="s">
        <v>16946</v>
      </c>
      <c r="C810" t="s">
        <v>16947</v>
      </c>
      <c r="D810" t="s">
        <v>16948</v>
      </c>
      <c r="E810" t="s">
        <v>16949</v>
      </c>
      <c r="F810" t="s">
        <v>16950</v>
      </c>
      <c r="G810" t="s">
        <v>16951</v>
      </c>
      <c r="H810" t="s">
        <v>16952</v>
      </c>
      <c r="I810" t="s">
        <v>16953</v>
      </c>
      <c r="J810" t="s">
        <v>16954</v>
      </c>
      <c r="K810" t="s">
        <v>16955</v>
      </c>
      <c r="L810" t="s">
        <v>16956</v>
      </c>
      <c r="M810" t="s">
        <v>16957</v>
      </c>
      <c r="N810" t="s">
        <v>16958</v>
      </c>
      <c r="O810">
        <f>-768.829505481998 -47.0403746727352 -725.04624962225</f>
        <v>-1540.9161297769833</v>
      </c>
      <c r="P810">
        <f>-755.593608009281 -27.3248445913964 -409.416217836697</f>
        <v>-1192.3346704373744</v>
      </c>
      <c r="Q810">
        <f>-508.031501966282 -58.6880288254636 -336.126410722994</f>
        <v>-902.84594151473959</v>
      </c>
      <c r="R810" t="s">
        <v>16959</v>
      </c>
      <c r="S810" t="s">
        <v>16960</v>
      </c>
      <c r="T810" t="s">
        <v>16961</v>
      </c>
      <c r="U810" t="s">
        <v>16962</v>
      </c>
      <c r="V810" t="s">
        <v>16963</v>
      </c>
      <c r="W810" t="s">
        <v>16964</v>
      </c>
      <c r="X810" t="s">
        <v>16965</v>
      </c>
      <c r="Y810" t="s">
        <v>16966</v>
      </c>
    </row>
    <row r="811" spans="1:25" x14ac:dyDescent="0.3">
      <c r="A811">
        <v>40500</v>
      </c>
      <c r="B811" t="s">
        <v>16967</v>
      </c>
      <c r="C811" t="s">
        <v>16968</v>
      </c>
      <c r="D811" t="s">
        <v>16969</v>
      </c>
      <c r="E811" t="s">
        <v>16970</v>
      </c>
      <c r="F811" t="s">
        <v>16971</v>
      </c>
      <c r="G811" t="s">
        <v>16972</v>
      </c>
      <c r="H811" t="s">
        <v>16973</v>
      </c>
      <c r="I811" t="s">
        <v>16974</v>
      </c>
      <c r="J811" t="s">
        <v>16975</v>
      </c>
      <c r="K811" t="s">
        <v>16976</v>
      </c>
      <c r="L811" t="s">
        <v>16977</v>
      </c>
      <c r="M811" t="s">
        <v>16978</v>
      </c>
      <c r="N811" t="s">
        <v>16979</v>
      </c>
      <c r="O811">
        <f>-769.725912238266 -46.5490932990676 -725.01995588443</f>
        <v>-1541.2949614217637</v>
      </c>
      <c r="P811">
        <f>-756.103234765671 -26.9161714634195 -409.401300320076</f>
        <v>-1192.4207065491664</v>
      </c>
      <c r="Q811">
        <f>-508.555625896241 -58.5153930011031 -336.163749223016</f>
        <v>-903.23476812036006</v>
      </c>
      <c r="R811" t="s">
        <v>16980</v>
      </c>
      <c r="S811" t="s">
        <v>16981</v>
      </c>
      <c r="T811" t="s">
        <v>16982</v>
      </c>
      <c r="U811" t="s">
        <v>16983</v>
      </c>
      <c r="V811" t="s">
        <v>16984</v>
      </c>
      <c r="W811" t="s">
        <v>16985</v>
      </c>
      <c r="X811" t="s">
        <v>16986</v>
      </c>
      <c r="Y811" t="s">
        <v>16987</v>
      </c>
    </row>
    <row r="812" spans="1:25" x14ac:dyDescent="0.3">
      <c r="A812">
        <v>40550</v>
      </c>
      <c r="B812" t="s">
        <v>16988</v>
      </c>
      <c r="C812" t="s">
        <v>16989</v>
      </c>
      <c r="D812" t="s">
        <v>16990</v>
      </c>
      <c r="E812" t="s">
        <v>16991</v>
      </c>
      <c r="F812" t="s">
        <v>16992</v>
      </c>
      <c r="G812" t="s">
        <v>16993</v>
      </c>
      <c r="H812" t="s">
        <v>16994</v>
      </c>
      <c r="I812" t="s">
        <v>16995</v>
      </c>
      <c r="J812" t="s">
        <v>16996</v>
      </c>
      <c r="K812" t="s">
        <v>16997</v>
      </c>
      <c r="L812" t="s">
        <v>16998</v>
      </c>
      <c r="M812" t="s">
        <v>16999</v>
      </c>
      <c r="N812" t="s">
        <v>17000</v>
      </c>
      <c r="O812">
        <f>-771.517148402954 -45.4130661762122 -724.928284342416</f>
        <v>-1541.8584989215822</v>
      </c>
      <c r="P812">
        <f>-757.277099946261 -25.7570502281956 -409.338362811294</f>
        <v>-1192.3725129857507</v>
      </c>
      <c r="Q812">
        <f>-509.736457739955 -57.2999604180357 -336.052948321254</f>
        <v>-903.08936647924463</v>
      </c>
      <c r="R812" t="s">
        <v>17001</v>
      </c>
      <c r="S812" t="s">
        <v>17002</v>
      </c>
      <c r="T812" t="s">
        <v>17003</v>
      </c>
      <c r="U812" t="s">
        <v>17004</v>
      </c>
      <c r="V812" t="s">
        <v>17005</v>
      </c>
      <c r="W812" t="s">
        <v>17006</v>
      </c>
      <c r="X812" t="s">
        <v>17007</v>
      </c>
      <c r="Y812" t="s">
        <v>17008</v>
      </c>
    </row>
    <row r="813" spans="1:25" x14ac:dyDescent="0.3">
      <c r="A813">
        <v>40600</v>
      </c>
      <c r="B813" t="s">
        <v>17009</v>
      </c>
      <c r="C813" t="s">
        <v>17010</v>
      </c>
      <c r="D813" t="s">
        <v>17011</v>
      </c>
      <c r="E813" t="s">
        <v>17012</v>
      </c>
      <c r="F813" t="s">
        <v>17013</v>
      </c>
      <c r="G813" t="s">
        <v>17014</v>
      </c>
      <c r="H813" t="s">
        <v>17015</v>
      </c>
      <c r="I813" t="s">
        <v>17016</v>
      </c>
      <c r="J813" t="s">
        <v>17017</v>
      </c>
      <c r="K813" t="s">
        <v>17018</v>
      </c>
      <c r="L813" t="s">
        <v>17019</v>
      </c>
      <c r="M813" t="s">
        <v>17020</v>
      </c>
      <c r="N813" t="s">
        <v>17021</v>
      </c>
      <c r="O813">
        <f>-772.418215550872 -44.7726008483833 -724.915244161117</f>
        <v>-1542.1060605603723</v>
      </c>
      <c r="P813">
        <f>-758.026108156607 -25.2069346334908 -409.326475411318</f>
        <v>-1192.5595182014158</v>
      </c>
      <c r="Q813">
        <f>-510.499572767813 -56.6501115664223 -335.950878109095</f>
        <v>-903.10056244333032</v>
      </c>
      <c r="R813" t="s">
        <v>17022</v>
      </c>
      <c r="S813" t="s">
        <v>17023</v>
      </c>
      <c r="T813" t="s">
        <v>17024</v>
      </c>
      <c r="U813" t="s">
        <v>17025</v>
      </c>
      <c r="V813" t="s">
        <v>17026</v>
      </c>
      <c r="W813" t="s">
        <v>17027</v>
      </c>
      <c r="X813" t="s">
        <v>17028</v>
      </c>
      <c r="Y813" t="s">
        <v>17029</v>
      </c>
    </row>
    <row r="814" spans="1:25" x14ac:dyDescent="0.3">
      <c r="A814">
        <v>40650</v>
      </c>
      <c r="B814" t="s">
        <v>17030</v>
      </c>
      <c r="C814" t="s">
        <v>17031</v>
      </c>
      <c r="D814" t="s">
        <v>17032</v>
      </c>
      <c r="E814" t="s">
        <v>17033</v>
      </c>
      <c r="F814" t="s">
        <v>17034</v>
      </c>
      <c r="G814" t="s">
        <v>17035</v>
      </c>
      <c r="H814" t="s">
        <v>17036</v>
      </c>
      <c r="I814" t="s">
        <v>17037</v>
      </c>
      <c r="J814" t="s">
        <v>17038</v>
      </c>
      <c r="K814" t="s">
        <v>17039</v>
      </c>
      <c r="L814" t="s">
        <v>17040</v>
      </c>
      <c r="M814" t="s">
        <v>17041</v>
      </c>
      <c r="N814" t="s">
        <v>17042</v>
      </c>
      <c r="O814">
        <f>-774.264521781027 -43.349168952197 -724.844059345114</f>
        <v>-1542.457750078338</v>
      </c>
      <c r="P814">
        <f>-759.790212616211 -24.0325972302423 -409.243651482851</f>
        <v>-1193.0664613293043</v>
      </c>
      <c r="Q814">
        <f>-512.264876679174 -55.5923560963231 -335.914160891361</f>
        <v>-903.7713936668581</v>
      </c>
      <c r="R814" t="s">
        <v>17043</v>
      </c>
      <c r="S814" t="s">
        <v>17044</v>
      </c>
      <c r="T814" t="s">
        <v>17045</v>
      </c>
      <c r="U814" t="s">
        <v>17046</v>
      </c>
      <c r="V814" t="s">
        <v>17047</v>
      </c>
      <c r="W814" t="s">
        <v>17048</v>
      </c>
      <c r="X814" t="s">
        <v>17049</v>
      </c>
      <c r="Y814" t="s">
        <v>17050</v>
      </c>
    </row>
    <row r="815" spans="1:25" x14ac:dyDescent="0.3">
      <c r="A815">
        <v>40700</v>
      </c>
      <c r="B815" t="s">
        <v>17051</v>
      </c>
      <c r="C815" t="s">
        <v>17052</v>
      </c>
      <c r="D815" t="s">
        <v>17053</v>
      </c>
      <c r="E815" t="s">
        <v>17054</v>
      </c>
      <c r="F815" t="s">
        <v>17055</v>
      </c>
      <c r="G815" t="s">
        <v>17056</v>
      </c>
      <c r="H815" t="s">
        <v>17057</v>
      </c>
      <c r="I815" t="s">
        <v>17058</v>
      </c>
      <c r="J815" t="s">
        <v>17059</v>
      </c>
      <c r="K815" t="s">
        <v>17060</v>
      </c>
      <c r="L815" t="s">
        <v>17061</v>
      </c>
      <c r="M815" t="s">
        <v>17062</v>
      </c>
      <c r="N815" t="s">
        <v>17063</v>
      </c>
      <c r="O815">
        <f>-775.304030321725 -42.4673556955618 -724.856998470217</f>
        <v>-1542.6283844875038</v>
      </c>
      <c r="P815">
        <f>-760.751850827027 -23.4218360404222 -409.243897567921</f>
        <v>-1193.4175844353704</v>
      </c>
      <c r="Q815">
        <f>-513.20620421806 -54.9308423297528 -335.96082960587</f>
        <v>-904.09787615368271</v>
      </c>
      <c r="R815" t="s">
        <v>17064</v>
      </c>
      <c r="S815" t="s">
        <v>17065</v>
      </c>
      <c r="T815" t="s">
        <v>17066</v>
      </c>
      <c r="U815" t="s">
        <v>17067</v>
      </c>
      <c r="V815" t="s">
        <v>17068</v>
      </c>
      <c r="W815" t="s">
        <v>17069</v>
      </c>
      <c r="X815" t="s">
        <v>17070</v>
      </c>
      <c r="Y815" t="s">
        <v>17071</v>
      </c>
    </row>
    <row r="816" spans="1:25" x14ac:dyDescent="0.3">
      <c r="A816">
        <v>40750</v>
      </c>
      <c r="B816" t="s">
        <v>17072</v>
      </c>
      <c r="C816" t="s">
        <v>17073</v>
      </c>
      <c r="D816" t="s">
        <v>17074</v>
      </c>
      <c r="E816" t="s">
        <v>17075</v>
      </c>
      <c r="F816" t="s">
        <v>17076</v>
      </c>
      <c r="G816" t="s">
        <v>17077</v>
      </c>
      <c r="H816" t="s">
        <v>17078</v>
      </c>
      <c r="I816" t="s">
        <v>17079</v>
      </c>
      <c r="J816" t="s">
        <v>17080</v>
      </c>
      <c r="K816" t="s">
        <v>17081</v>
      </c>
      <c r="L816" t="s">
        <v>17082</v>
      </c>
      <c r="M816" t="s">
        <v>17083</v>
      </c>
      <c r="N816" t="s">
        <v>17084</v>
      </c>
      <c r="O816">
        <f>-777.204677727665 -40.7506404298081 -724.925840351223</f>
        <v>-1542.881158508696</v>
      </c>
      <c r="P816">
        <f>-762.400116001387 -22.0486505847164 -409.303886221045</f>
        <v>-1193.7526528071485</v>
      </c>
      <c r="Q816">
        <f>-514.822111050168 -53.5778306948177 -336.139239089423</f>
        <v>-904.53918083440874</v>
      </c>
      <c r="R816" t="s">
        <v>17085</v>
      </c>
      <c r="S816" t="s">
        <v>17086</v>
      </c>
      <c r="T816" t="s">
        <v>17087</v>
      </c>
      <c r="U816" t="s">
        <v>17088</v>
      </c>
      <c r="V816" t="s">
        <v>17089</v>
      </c>
      <c r="W816" t="s">
        <v>17090</v>
      </c>
      <c r="X816" t="s">
        <v>17091</v>
      </c>
      <c r="Y816" t="s">
        <v>17092</v>
      </c>
    </row>
    <row r="817" spans="1:25" x14ac:dyDescent="0.3">
      <c r="A817">
        <v>40800</v>
      </c>
      <c r="B817" t="s">
        <v>17093</v>
      </c>
      <c r="C817" t="s">
        <v>17094</v>
      </c>
      <c r="D817" t="s">
        <v>17095</v>
      </c>
      <c r="E817" t="s">
        <v>17096</v>
      </c>
      <c r="F817" t="s">
        <v>17097</v>
      </c>
      <c r="G817" t="s">
        <v>17098</v>
      </c>
      <c r="H817" t="s">
        <v>17099</v>
      </c>
      <c r="I817" t="s">
        <v>17100</v>
      </c>
      <c r="J817" t="s">
        <v>17101</v>
      </c>
      <c r="K817" t="s">
        <v>17102</v>
      </c>
      <c r="L817" t="s">
        <v>17103</v>
      </c>
      <c r="M817" t="s">
        <v>17104</v>
      </c>
      <c r="N817" t="s">
        <v>17105</v>
      </c>
      <c r="O817">
        <f>-778.033214638348 -40.1763723482145 -724.933878426593</f>
        <v>-1543.1434654131554</v>
      </c>
      <c r="P817">
        <f>-763.034997063664 -21.3138422851237 -409.330552027984</f>
        <v>-1193.6793913767717</v>
      </c>
      <c r="Q817">
        <f>-515.474146216312 -53.0316667918783 -336.18929065475</f>
        <v>-904.69510366294026</v>
      </c>
      <c r="R817" t="s">
        <v>17106</v>
      </c>
      <c r="S817" t="s">
        <v>17107</v>
      </c>
      <c r="T817" t="s">
        <v>17108</v>
      </c>
      <c r="U817" t="s">
        <v>17109</v>
      </c>
      <c r="V817" t="s">
        <v>17110</v>
      </c>
      <c r="W817" t="s">
        <v>17111</v>
      </c>
      <c r="X817" t="s">
        <v>17112</v>
      </c>
      <c r="Y817" t="s">
        <v>17113</v>
      </c>
    </row>
    <row r="818" spans="1:25" x14ac:dyDescent="0.3">
      <c r="A818">
        <v>40850</v>
      </c>
      <c r="B818" t="s">
        <v>17114</v>
      </c>
      <c r="C818" t="s">
        <v>17115</v>
      </c>
      <c r="D818" t="s">
        <v>17116</v>
      </c>
      <c r="E818" t="s">
        <v>17117</v>
      </c>
      <c r="F818" t="s">
        <v>17118</v>
      </c>
      <c r="G818" t="s">
        <v>17119</v>
      </c>
      <c r="H818" t="s">
        <v>17120</v>
      </c>
      <c r="I818" t="s">
        <v>17121</v>
      </c>
      <c r="J818" t="s">
        <v>17122</v>
      </c>
      <c r="K818" t="s">
        <v>17123</v>
      </c>
      <c r="L818" t="s">
        <v>17124</v>
      </c>
      <c r="M818" t="s">
        <v>17125</v>
      </c>
      <c r="N818" t="s">
        <v>17126</v>
      </c>
      <c r="O818">
        <f>-780.022555712417 -38.9547867055646 -724.92351099729</f>
        <v>-1543.9008534152717</v>
      </c>
      <c r="P818">
        <f>-764.917763304086 -20.384137563778 -409.307986086868</f>
        <v>-1194.609886954732</v>
      </c>
      <c r="Q818">
        <f>-517.446998804913 -52.4836970267675 -336.02841128719</f>
        <v>-905.95910711887052</v>
      </c>
      <c r="R818" t="s">
        <v>17127</v>
      </c>
      <c r="S818" t="s">
        <v>17128</v>
      </c>
      <c r="T818" t="s">
        <v>17129</v>
      </c>
      <c r="U818" t="s">
        <v>17130</v>
      </c>
      <c r="V818" t="s">
        <v>17131</v>
      </c>
      <c r="W818" t="s">
        <v>17132</v>
      </c>
      <c r="X818" t="s">
        <v>17133</v>
      </c>
      <c r="Y818" t="s">
        <v>17134</v>
      </c>
    </row>
    <row r="819" spans="1:25" x14ac:dyDescent="0.3">
      <c r="A819">
        <v>40900</v>
      </c>
      <c r="B819" t="s">
        <v>17135</v>
      </c>
      <c r="C819" t="s">
        <v>17136</v>
      </c>
      <c r="D819" t="s">
        <v>17137</v>
      </c>
      <c r="E819" t="s">
        <v>17138</v>
      </c>
      <c r="F819" t="s">
        <v>17139</v>
      </c>
      <c r="G819" t="s">
        <v>17140</v>
      </c>
      <c r="H819" t="s">
        <v>17141</v>
      </c>
      <c r="I819" t="s">
        <v>17142</v>
      </c>
      <c r="J819" t="s">
        <v>17143</v>
      </c>
      <c r="K819" t="s">
        <v>17144</v>
      </c>
      <c r="L819" t="s">
        <v>17145</v>
      </c>
      <c r="M819" t="s">
        <v>17146</v>
      </c>
      <c r="N819" t="s">
        <v>17147</v>
      </c>
      <c r="O819">
        <f>-780.855336605029 -38.370550891713 -724.986992176746</f>
        <v>-1544.212879673488</v>
      </c>
      <c r="P819">
        <f>-765.744810837471 -19.781514953137 -409.372727372174</f>
        <v>-1194.8990531627821</v>
      </c>
      <c r="Q819">
        <f>-518.258540754409 -51.8245068493538 -336.120855539666</f>
        <v>-906.20390314342876</v>
      </c>
      <c r="R819" t="s">
        <v>17148</v>
      </c>
      <c r="S819" t="s">
        <v>17149</v>
      </c>
      <c r="T819" t="s">
        <v>17150</v>
      </c>
      <c r="U819" t="s">
        <v>17151</v>
      </c>
      <c r="V819" t="s">
        <v>17152</v>
      </c>
      <c r="W819" t="s">
        <v>17153</v>
      </c>
      <c r="X819" t="s">
        <v>17154</v>
      </c>
      <c r="Y819" t="s">
        <v>17155</v>
      </c>
    </row>
    <row r="820" spans="1:25" x14ac:dyDescent="0.3">
      <c r="A820">
        <v>40950</v>
      </c>
      <c r="B820" t="s">
        <v>17156</v>
      </c>
      <c r="C820" t="s">
        <v>17157</v>
      </c>
      <c r="D820" t="s">
        <v>17158</v>
      </c>
      <c r="E820" t="s">
        <v>17159</v>
      </c>
      <c r="F820" t="s">
        <v>17160</v>
      </c>
      <c r="G820" t="s">
        <v>17161</v>
      </c>
      <c r="H820" t="s">
        <v>17162</v>
      </c>
      <c r="I820" t="s">
        <v>17163</v>
      </c>
      <c r="J820" t="s">
        <v>17164</v>
      </c>
      <c r="K820" t="s">
        <v>17165</v>
      </c>
      <c r="L820" t="s">
        <v>17166</v>
      </c>
      <c r="M820" t="s">
        <v>17167</v>
      </c>
      <c r="N820" t="s">
        <v>17168</v>
      </c>
      <c r="O820">
        <f>-782.50485591531 -37.2274654153214 -724.984016795584</f>
        <v>-1544.7163381262153</v>
      </c>
      <c r="P820">
        <f>-767.096273726915 -18.6197335949514 -409.385266112887</f>
        <v>-1195.1012734347535</v>
      </c>
      <c r="Q820">
        <f>-519.771000490989 -51.314572651153 -335.87836742952</f>
        <v>-906.96394057166185</v>
      </c>
      <c r="R820" t="s">
        <v>17169</v>
      </c>
      <c r="S820" t="s">
        <v>17170</v>
      </c>
      <c r="T820" t="s">
        <v>17171</v>
      </c>
      <c r="U820" t="s">
        <v>17172</v>
      </c>
      <c r="V820" t="s">
        <v>17173</v>
      </c>
      <c r="W820" t="s">
        <v>17174</v>
      </c>
      <c r="X820" t="s">
        <v>17175</v>
      </c>
      <c r="Y820" t="s">
        <v>17176</v>
      </c>
    </row>
    <row r="821" spans="1:25" x14ac:dyDescent="0.3">
      <c r="A821">
        <v>41000</v>
      </c>
      <c r="B821" t="s">
        <v>17177</v>
      </c>
      <c r="C821" t="s">
        <v>17178</v>
      </c>
      <c r="D821" t="s">
        <v>17179</v>
      </c>
      <c r="E821" t="s">
        <v>17180</v>
      </c>
      <c r="F821" t="s">
        <v>17181</v>
      </c>
      <c r="G821" t="s">
        <v>17182</v>
      </c>
      <c r="H821" t="s">
        <v>17183</v>
      </c>
      <c r="I821" t="s">
        <v>17184</v>
      </c>
      <c r="J821" t="s">
        <v>17185</v>
      </c>
      <c r="K821" t="s">
        <v>17186</v>
      </c>
      <c r="L821" t="s">
        <v>17187</v>
      </c>
      <c r="M821" t="s">
        <v>17188</v>
      </c>
      <c r="N821" t="s">
        <v>17189</v>
      </c>
      <c r="O821">
        <f>-783.283883844937 -36.6067118382337 -724.924298941098</f>
        <v>-1544.8148946242686</v>
      </c>
      <c r="P821">
        <f>-767.566917071701 -17.8843401075451 -409.347553093254</f>
        <v>-1194.7988102725001</v>
      </c>
      <c r="Q821">
        <f>-520.350088487482 -50.9656363708721 -335.64892413875</f>
        <v>-906.96464899710406</v>
      </c>
      <c r="R821" t="s">
        <v>17190</v>
      </c>
      <c r="S821" t="s">
        <v>17191</v>
      </c>
      <c r="T821" t="s">
        <v>17192</v>
      </c>
      <c r="U821" t="s">
        <v>17193</v>
      </c>
      <c r="V821" t="s">
        <v>17194</v>
      </c>
      <c r="W821" t="s">
        <v>17195</v>
      </c>
      <c r="X821" t="s">
        <v>17196</v>
      </c>
      <c r="Y821" t="s">
        <v>17197</v>
      </c>
    </row>
    <row r="822" spans="1:25" x14ac:dyDescent="0.3">
      <c r="A822">
        <v>41050</v>
      </c>
      <c r="B822" t="s">
        <v>17198</v>
      </c>
      <c r="C822" t="s">
        <v>17199</v>
      </c>
      <c r="D822" t="s">
        <v>17200</v>
      </c>
      <c r="E822" t="s">
        <v>17201</v>
      </c>
      <c r="F822" t="s">
        <v>17202</v>
      </c>
      <c r="G822" t="s">
        <v>17203</v>
      </c>
      <c r="H822" t="s">
        <v>17204</v>
      </c>
      <c r="I822" t="s">
        <v>17205</v>
      </c>
      <c r="J822" t="s">
        <v>17206</v>
      </c>
      <c r="K822" t="s">
        <v>17207</v>
      </c>
      <c r="L822" t="s">
        <v>17208</v>
      </c>
      <c r="M822" t="s">
        <v>17209</v>
      </c>
      <c r="N822" t="s">
        <v>17210</v>
      </c>
      <c r="O822">
        <f>-784.35165945099 -35.5709747531378 -724.835054349574</f>
        <v>-1544.7576885537019</v>
      </c>
      <c r="P822">
        <f>-768.273373027922 -16.756474694409 -409.281980005052</f>
        <v>-1194.3118277273829</v>
      </c>
      <c r="Q822">
        <f>-521.223394632896 -50.2922220881815 -335.230062006145</f>
        <v>-906.74567872722241</v>
      </c>
      <c r="R822" t="s">
        <v>17211</v>
      </c>
      <c r="S822" t="s">
        <v>17212</v>
      </c>
      <c r="T822" t="s">
        <v>17213</v>
      </c>
      <c r="U822" t="s">
        <v>17214</v>
      </c>
      <c r="V822" t="s">
        <v>17215</v>
      </c>
      <c r="W822" t="s">
        <v>17216</v>
      </c>
      <c r="X822" t="s">
        <v>17217</v>
      </c>
      <c r="Y822" t="s">
        <v>17218</v>
      </c>
    </row>
    <row r="823" spans="1:25" x14ac:dyDescent="0.3">
      <c r="A823">
        <v>41100</v>
      </c>
      <c r="B823" t="s">
        <v>17219</v>
      </c>
      <c r="C823" t="s">
        <v>17220</v>
      </c>
      <c r="D823" t="s">
        <v>17221</v>
      </c>
      <c r="E823" t="s">
        <v>17222</v>
      </c>
      <c r="F823" t="s">
        <v>17223</v>
      </c>
      <c r="G823" t="s">
        <v>17224</v>
      </c>
      <c r="H823" t="s">
        <v>17225</v>
      </c>
      <c r="I823" t="s">
        <v>17226</v>
      </c>
      <c r="J823" t="s">
        <v>17227</v>
      </c>
      <c r="K823" t="s">
        <v>17228</v>
      </c>
      <c r="L823" t="s">
        <v>17229</v>
      </c>
      <c r="M823" t="s">
        <v>17230</v>
      </c>
      <c r="N823" t="s">
        <v>17231</v>
      </c>
      <c r="O823">
        <f>-784.72920276801 -35.1553452707353 -724.873794439245</f>
        <v>-1544.7583424779905</v>
      </c>
      <c r="P823">
        <f>-768.749689426951 -16.434783449203 -409.310088232447</f>
        <v>-1194.4945611086009</v>
      </c>
      <c r="Q823">
        <f>-521.695982574362 -50.0068748587807 -335.286981117946</f>
        <v>-906.98983855108872</v>
      </c>
      <c r="R823" t="s">
        <v>17232</v>
      </c>
      <c r="S823" t="s">
        <v>17233</v>
      </c>
      <c r="T823" t="s">
        <v>17234</v>
      </c>
      <c r="U823" t="s">
        <v>17235</v>
      </c>
      <c r="V823" t="s">
        <v>17236</v>
      </c>
      <c r="W823" t="s">
        <v>17237</v>
      </c>
      <c r="X823" t="s">
        <v>17238</v>
      </c>
      <c r="Y823" t="s">
        <v>17239</v>
      </c>
    </row>
    <row r="824" spans="1:25" x14ac:dyDescent="0.3">
      <c r="A824">
        <v>41150</v>
      </c>
      <c r="B824" t="s">
        <v>17240</v>
      </c>
      <c r="C824" t="s">
        <v>17241</v>
      </c>
      <c r="D824" t="s">
        <v>17242</v>
      </c>
      <c r="E824" t="s">
        <v>17243</v>
      </c>
      <c r="F824" t="s">
        <v>17244</v>
      </c>
      <c r="G824" t="s">
        <v>17245</v>
      </c>
      <c r="H824" t="s">
        <v>17246</v>
      </c>
      <c r="I824" t="s">
        <v>17247</v>
      </c>
      <c r="J824" t="s">
        <v>17248</v>
      </c>
      <c r="K824" t="s">
        <v>17249</v>
      </c>
      <c r="L824" t="s">
        <v>17250</v>
      </c>
      <c r="M824" t="s">
        <v>17251</v>
      </c>
      <c r="N824" t="s">
        <v>17252</v>
      </c>
      <c r="O824">
        <f>-785.340891130613 -34.1866941632129 -725.047609789365</f>
        <v>-1544.5751950831909</v>
      </c>
      <c r="P824">
        <f>-769.327628497782 -15.653212712441 -409.474651126271</f>
        <v>-1194.455492336494</v>
      </c>
      <c r="Q824">
        <f>-522.242039235157 -49.2444196743327 -335.566552974165</f>
        <v>-907.05301188365468</v>
      </c>
      <c r="R824" t="s">
        <v>17253</v>
      </c>
      <c r="S824" t="s">
        <v>17254</v>
      </c>
      <c r="T824" t="s">
        <v>17255</v>
      </c>
      <c r="U824" t="s">
        <v>17256</v>
      </c>
      <c r="V824" t="s">
        <v>17257</v>
      </c>
      <c r="W824" t="s">
        <v>17258</v>
      </c>
      <c r="X824" t="s">
        <v>17259</v>
      </c>
      <c r="Y824" t="s">
        <v>17260</v>
      </c>
    </row>
    <row r="825" spans="1:25" x14ac:dyDescent="0.3">
      <c r="A825">
        <v>41200</v>
      </c>
      <c r="B825" t="s">
        <v>17261</v>
      </c>
      <c r="C825" t="s">
        <v>17262</v>
      </c>
      <c r="D825" t="s">
        <v>17263</v>
      </c>
      <c r="E825" t="s">
        <v>17264</v>
      </c>
      <c r="F825" t="s">
        <v>17265</v>
      </c>
      <c r="G825" t="s">
        <v>17266</v>
      </c>
      <c r="H825" t="s">
        <v>17267</v>
      </c>
      <c r="I825" t="s">
        <v>17268</v>
      </c>
      <c r="J825" t="s">
        <v>17269</v>
      </c>
      <c r="K825" t="s">
        <v>17270</v>
      </c>
      <c r="L825" t="s">
        <v>17271</v>
      </c>
      <c r="M825" t="s">
        <v>17272</v>
      </c>
      <c r="N825" t="s">
        <v>17273</v>
      </c>
      <c r="O825">
        <f>-785.576551169986 -33.7800788103814 -725.136661149928</f>
        <v>-1544.4932911302953</v>
      </c>
      <c r="P825">
        <f>-769.571194439222 -15.3179196855556 -409.559119295359</f>
        <v>-1194.4482334201366</v>
      </c>
      <c r="Q825">
        <f>-522.426371906966 -48.7328307831644 -335.769312613078</f>
        <v>-906.92851530320843</v>
      </c>
      <c r="R825" t="s">
        <v>17274</v>
      </c>
      <c r="S825" t="s">
        <v>17275</v>
      </c>
      <c r="T825" t="s">
        <v>17276</v>
      </c>
      <c r="U825" t="s">
        <v>17277</v>
      </c>
      <c r="V825" t="s">
        <v>17278</v>
      </c>
      <c r="W825" t="s">
        <v>17279</v>
      </c>
      <c r="X825" t="s">
        <v>17280</v>
      </c>
      <c r="Y825" t="s">
        <v>17281</v>
      </c>
    </row>
    <row r="826" spans="1:25" x14ac:dyDescent="0.3">
      <c r="A826">
        <v>41250</v>
      </c>
      <c r="B826" t="s">
        <v>17282</v>
      </c>
      <c r="C826" t="s">
        <v>17283</v>
      </c>
      <c r="D826" t="s">
        <v>17284</v>
      </c>
      <c r="E826" t="s">
        <v>17285</v>
      </c>
      <c r="F826" t="s">
        <v>17286</v>
      </c>
      <c r="G826" t="s">
        <v>17287</v>
      </c>
      <c r="H826" t="s">
        <v>17288</v>
      </c>
      <c r="I826" t="s">
        <v>17289</v>
      </c>
      <c r="J826" t="s">
        <v>17290</v>
      </c>
      <c r="K826" t="s">
        <v>17291</v>
      </c>
      <c r="L826" t="s">
        <v>17292</v>
      </c>
      <c r="M826" t="s">
        <v>17293</v>
      </c>
      <c r="N826" t="s">
        <v>17294</v>
      </c>
      <c r="O826">
        <f>-786.121606768328 -33.1826799443618 -725.298732300226</f>
        <v>-1544.6030190129159</v>
      </c>
      <c r="P826">
        <f>-769.771373160589 -14.6992592451857 -409.740113760761</f>
        <v>-1194.2107461665355</v>
      </c>
      <c r="Q826">
        <f>-522.534399486532 -47.7675699956108 -336.102985404321</f>
        <v>-906.40495488646377</v>
      </c>
      <c r="R826" t="s">
        <v>17295</v>
      </c>
      <c r="S826" t="s">
        <v>17296</v>
      </c>
      <c r="T826" t="s">
        <v>17297</v>
      </c>
      <c r="U826" t="s">
        <v>17298</v>
      </c>
      <c r="V826" t="s">
        <v>17299</v>
      </c>
      <c r="W826" t="s">
        <v>17300</v>
      </c>
      <c r="X826" t="s">
        <v>17301</v>
      </c>
      <c r="Y826" t="s">
        <v>17302</v>
      </c>
    </row>
    <row r="827" spans="1:25" x14ac:dyDescent="0.3">
      <c r="A827">
        <v>41300</v>
      </c>
      <c r="B827" t="s">
        <v>17303</v>
      </c>
      <c r="C827" t="s">
        <v>17304</v>
      </c>
      <c r="D827" t="s">
        <v>17305</v>
      </c>
      <c r="E827" t="s">
        <v>17306</v>
      </c>
      <c r="F827" t="s">
        <v>17307</v>
      </c>
      <c r="G827" t="s">
        <v>17308</v>
      </c>
      <c r="H827" t="s">
        <v>17309</v>
      </c>
      <c r="I827" t="s">
        <v>17310</v>
      </c>
      <c r="J827" t="s">
        <v>17311</v>
      </c>
      <c r="K827" t="s">
        <v>17312</v>
      </c>
      <c r="L827" t="s">
        <v>17313</v>
      </c>
      <c r="M827" t="s">
        <v>17314</v>
      </c>
      <c r="N827" t="s">
        <v>17315</v>
      </c>
      <c r="O827">
        <f>-786.202498741985 -33.0628602208919 -725.346237087622</f>
        <v>-1544.611596050499</v>
      </c>
      <c r="P827">
        <f>-769.780522839108 -14.4164078916756 -409.80094750843</f>
        <v>-1193.9978782392136</v>
      </c>
      <c r="Q827">
        <f>-522.48749644321 -47.2593676495994 -336.251185565853</f>
        <v>-905.99804965866247</v>
      </c>
      <c r="R827" t="s">
        <v>17316</v>
      </c>
      <c r="S827" t="s">
        <v>17317</v>
      </c>
      <c r="T827" t="s">
        <v>17318</v>
      </c>
      <c r="U827" t="s">
        <v>17319</v>
      </c>
      <c r="V827" t="s">
        <v>17320</v>
      </c>
      <c r="W827" t="s">
        <v>17321</v>
      </c>
      <c r="X827" t="s">
        <v>17322</v>
      </c>
      <c r="Y827" t="s">
        <v>17323</v>
      </c>
    </row>
    <row r="828" spans="1:25" x14ac:dyDescent="0.3">
      <c r="A828">
        <v>41350</v>
      </c>
      <c r="B828" t="s">
        <v>17324</v>
      </c>
      <c r="C828" t="s">
        <v>17325</v>
      </c>
      <c r="D828" t="s">
        <v>17326</v>
      </c>
      <c r="E828" t="s">
        <v>17327</v>
      </c>
      <c r="F828" t="s">
        <v>17328</v>
      </c>
      <c r="G828" t="s">
        <v>17329</v>
      </c>
      <c r="H828" t="s">
        <v>17330</v>
      </c>
      <c r="I828" t="s">
        <v>17331</v>
      </c>
      <c r="J828" t="s">
        <v>17332</v>
      </c>
      <c r="K828" t="s">
        <v>17333</v>
      </c>
      <c r="L828" t="s">
        <v>17334</v>
      </c>
      <c r="M828" t="s">
        <v>17335</v>
      </c>
      <c r="N828" t="s">
        <v>17336</v>
      </c>
      <c r="O828">
        <f>-785.792141848963 -32.9385684504964 -725.279671754715</f>
        <v>-1544.0103820541744</v>
      </c>
      <c r="P828">
        <f>-769.424467065827 -13.9996277305843 -409.749032995931</f>
        <v>-1193.1731277923423</v>
      </c>
      <c r="Q828">
        <f>-522.04671192922 -46.6584143456641 -336.402828518389</f>
        <v>-905.10795479327317</v>
      </c>
      <c r="R828" t="s">
        <v>17337</v>
      </c>
      <c r="S828" t="s">
        <v>17338</v>
      </c>
      <c r="T828" t="s">
        <v>17339</v>
      </c>
      <c r="U828" t="s">
        <v>17340</v>
      </c>
      <c r="V828" t="s">
        <v>17341</v>
      </c>
      <c r="W828" t="s">
        <v>17342</v>
      </c>
      <c r="X828" t="s">
        <v>17343</v>
      </c>
      <c r="Y828" t="s">
        <v>17344</v>
      </c>
    </row>
    <row r="829" spans="1:25" x14ac:dyDescent="0.3">
      <c r="A829">
        <v>41400</v>
      </c>
      <c r="B829" t="s">
        <v>17345</v>
      </c>
      <c r="C829" t="s">
        <v>17346</v>
      </c>
      <c r="D829" t="s">
        <v>17347</v>
      </c>
      <c r="E829" t="s">
        <v>17348</v>
      </c>
      <c r="F829" t="s">
        <v>17349</v>
      </c>
      <c r="G829" t="s">
        <v>17350</v>
      </c>
      <c r="H829" t="s">
        <v>17351</v>
      </c>
      <c r="I829" t="s">
        <v>17352</v>
      </c>
      <c r="J829" t="s">
        <v>17353</v>
      </c>
      <c r="K829" t="s">
        <v>17354</v>
      </c>
      <c r="L829" t="s">
        <v>17355</v>
      </c>
      <c r="M829" t="s">
        <v>17356</v>
      </c>
      <c r="N829" t="s">
        <v>17357</v>
      </c>
      <c r="O829">
        <f>-785.441014390145 -32.7794008764488 -725.19771517944</f>
        <v>-1543.418130446034</v>
      </c>
      <c r="P829">
        <f>-769.115992647577 -14.1011201977558 -409.649326057166</f>
        <v>-1192.8664389024987</v>
      </c>
      <c r="Q829">
        <f>-521.736446569025 -46.662582946178 -336.265484629738</f>
        <v>-904.66451414494099</v>
      </c>
      <c r="R829" t="s">
        <v>17358</v>
      </c>
      <c r="S829" t="s">
        <v>17359</v>
      </c>
      <c r="T829" t="s">
        <v>17360</v>
      </c>
      <c r="U829" t="s">
        <v>17361</v>
      </c>
      <c r="V829" t="s">
        <v>17362</v>
      </c>
      <c r="W829" t="s">
        <v>17363</v>
      </c>
      <c r="X829" t="s">
        <v>17364</v>
      </c>
      <c r="Y829" t="s">
        <v>17365</v>
      </c>
    </row>
    <row r="830" spans="1:25" x14ac:dyDescent="0.3">
      <c r="A830">
        <v>41450</v>
      </c>
      <c r="B830" t="s">
        <v>17366</v>
      </c>
      <c r="C830" t="s">
        <v>17367</v>
      </c>
      <c r="D830" t="s">
        <v>17368</v>
      </c>
      <c r="E830" t="s">
        <v>17369</v>
      </c>
      <c r="F830" t="s">
        <v>17370</v>
      </c>
      <c r="G830" t="s">
        <v>17371</v>
      </c>
      <c r="H830" t="s">
        <v>17372</v>
      </c>
      <c r="I830" t="s">
        <v>17373</v>
      </c>
      <c r="J830" t="s">
        <v>17374</v>
      </c>
      <c r="K830" t="s">
        <v>17375</v>
      </c>
      <c r="L830" t="s">
        <v>17376</v>
      </c>
      <c r="M830" t="s">
        <v>17377</v>
      </c>
      <c r="N830" t="s">
        <v>17378</v>
      </c>
      <c r="O830">
        <f>-784.428359389017 -32.6432189903805 -724.965304363763</f>
        <v>-1542.0368827431607</v>
      </c>
      <c r="P830">
        <f>-768.349554411943 -13.5298349283582 -409.430174317529</f>
        <v>-1191.3095636578303</v>
      </c>
      <c r="Q830">
        <f>-520.954609647312 -45.9949684430844 -336.055698168893</f>
        <v>-903.00527625928953</v>
      </c>
      <c r="R830" t="s">
        <v>17379</v>
      </c>
      <c r="S830" t="s">
        <v>17380</v>
      </c>
      <c r="T830" t="s">
        <v>17381</v>
      </c>
      <c r="U830" t="s">
        <v>17382</v>
      </c>
      <c r="V830" t="s">
        <v>17383</v>
      </c>
      <c r="W830" t="s">
        <v>17384</v>
      </c>
      <c r="X830" t="s">
        <v>17385</v>
      </c>
      <c r="Y830" t="s">
        <v>17386</v>
      </c>
    </row>
    <row r="831" spans="1:25" x14ac:dyDescent="0.3">
      <c r="A831">
        <v>41500</v>
      </c>
      <c r="B831" t="s">
        <v>17387</v>
      </c>
      <c r="C831" t="s">
        <v>17388</v>
      </c>
      <c r="D831" t="s">
        <v>17389</v>
      </c>
      <c r="E831" t="s">
        <v>17390</v>
      </c>
      <c r="F831" t="s">
        <v>17391</v>
      </c>
      <c r="G831" t="s">
        <v>17392</v>
      </c>
      <c r="H831" t="s">
        <v>17393</v>
      </c>
      <c r="I831" t="s">
        <v>17394</v>
      </c>
      <c r="J831" t="s">
        <v>17395</v>
      </c>
      <c r="K831" t="s">
        <v>17396</v>
      </c>
      <c r="L831" t="s">
        <v>17397</v>
      </c>
      <c r="M831" t="s">
        <v>17398</v>
      </c>
      <c r="N831" t="s">
        <v>17399</v>
      </c>
      <c r="O831">
        <f>-783.895775010799 -32.6129993435416 -724.87004598318</f>
        <v>-1541.3788203375207</v>
      </c>
      <c r="P831">
        <f>-767.909480032409 -13.6424339132523 -409.321721288992</f>
        <v>-1190.8736352346532</v>
      </c>
      <c r="Q831">
        <f>-520.586438166643 -46.4633056000037 -335.863228350536</f>
        <v>-902.91297211718268</v>
      </c>
      <c r="R831" t="s">
        <v>17400</v>
      </c>
      <c r="S831" t="s">
        <v>17401</v>
      </c>
      <c r="T831" t="s">
        <v>17402</v>
      </c>
      <c r="U831" t="s">
        <v>17403</v>
      </c>
      <c r="V831" t="s">
        <v>17404</v>
      </c>
      <c r="W831" t="s">
        <v>17405</v>
      </c>
      <c r="X831" t="s">
        <v>17406</v>
      </c>
      <c r="Y831" t="s">
        <v>17407</v>
      </c>
    </row>
    <row r="832" spans="1:25" x14ac:dyDescent="0.3">
      <c r="A832">
        <v>41550</v>
      </c>
      <c r="B832" t="s">
        <v>17408</v>
      </c>
      <c r="C832" t="s">
        <v>17409</v>
      </c>
      <c r="D832" t="s">
        <v>17410</v>
      </c>
      <c r="E832" t="s">
        <v>17411</v>
      </c>
      <c r="F832" t="s">
        <v>17412</v>
      </c>
      <c r="G832" t="s">
        <v>17413</v>
      </c>
      <c r="H832" t="s">
        <v>17414</v>
      </c>
      <c r="I832" t="s">
        <v>17415</v>
      </c>
      <c r="J832" t="s">
        <v>17416</v>
      </c>
      <c r="K832" t="s">
        <v>17417</v>
      </c>
      <c r="L832" t="s">
        <v>17418</v>
      </c>
      <c r="M832" t="s">
        <v>17419</v>
      </c>
      <c r="N832" t="s">
        <v>17420</v>
      </c>
      <c r="O832">
        <f>-782.612225910561 -32.4125035170241 -724.840373162319</f>
        <v>-1539.8651025899042</v>
      </c>
      <c r="P832">
        <f>-766.747284480567 -13.2407082260393 -409.298096510192</f>
        <v>-1189.2860892167982</v>
      </c>
      <c r="Q832">
        <f>-519.60620175443 -46.5691619949446 -335.456632235173</f>
        <v>-901.63199598454753</v>
      </c>
      <c r="R832" t="s">
        <v>17421</v>
      </c>
      <c r="S832" t="s">
        <v>17422</v>
      </c>
      <c r="T832" t="s">
        <v>17423</v>
      </c>
      <c r="U832" t="s">
        <v>17424</v>
      </c>
      <c r="V832" t="s">
        <v>17425</v>
      </c>
      <c r="W832" t="s">
        <v>17426</v>
      </c>
      <c r="X832" t="s">
        <v>17427</v>
      </c>
      <c r="Y832" t="s">
        <v>17428</v>
      </c>
    </row>
    <row r="833" spans="1:25" x14ac:dyDescent="0.3">
      <c r="A833">
        <v>41600</v>
      </c>
      <c r="B833" t="s">
        <v>17429</v>
      </c>
      <c r="C833" t="s">
        <v>17430</v>
      </c>
      <c r="D833" t="s">
        <v>17431</v>
      </c>
      <c r="E833" t="s">
        <v>17432</v>
      </c>
      <c r="F833" t="s">
        <v>17433</v>
      </c>
      <c r="G833" t="s">
        <v>17434</v>
      </c>
      <c r="H833" t="s">
        <v>17435</v>
      </c>
      <c r="I833" t="s">
        <v>17436</v>
      </c>
      <c r="J833" t="s">
        <v>17437</v>
      </c>
      <c r="K833" t="s">
        <v>17438</v>
      </c>
      <c r="L833" t="s">
        <v>17439</v>
      </c>
      <c r="M833" t="s">
        <v>17440</v>
      </c>
      <c r="N833" t="s">
        <v>17441</v>
      </c>
      <c r="O833">
        <f>-782.095191239623 -32.4997740844683 -724.918988102712</f>
        <v>-1539.5139534268033</v>
      </c>
      <c r="P833">
        <f>-766.405931699986 -13.3090899608628 -409.369078909419</f>
        <v>-1189.0841005702678</v>
      </c>
      <c r="Q833">
        <f>-519.367907929507 -46.8221191036637 -335.266836970283</f>
        <v>-901.4568640034538</v>
      </c>
      <c r="R833" t="s">
        <v>17442</v>
      </c>
      <c r="S833" t="s">
        <v>17443</v>
      </c>
      <c r="T833" t="s">
        <v>17444</v>
      </c>
      <c r="U833" t="s">
        <v>17445</v>
      </c>
      <c r="V833" t="s">
        <v>17446</v>
      </c>
      <c r="W833" t="s">
        <v>17447</v>
      </c>
      <c r="X833" t="s">
        <v>17448</v>
      </c>
      <c r="Y833" t="s">
        <v>17449</v>
      </c>
    </row>
    <row r="834" spans="1:25" x14ac:dyDescent="0.3">
      <c r="A834">
        <v>41650</v>
      </c>
      <c r="B834" t="s">
        <v>17450</v>
      </c>
      <c r="C834" t="s">
        <v>17451</v>
      </c>
      <c r="D834" t="s">
        <v>17452</v>
      </c>
      <c r="E834" t="s">
        <v>17453</v>
      </c>
      <c r="F834" t="s">
        <v>17454</v>
      </c>
      <c r="G834" t="s">
        <v>17455</v>
      </c>
      <c r="H834" t="s">
        <v>17456</v>
      </c>
      <c r="I834" t="s">
        <v>17457</v>
      </c>
      <c r="J834" t="s">
        <v>17458</v>
      </c>
      <c r="K834" t="s">
        <v>17459</v>
      </c>
      <c r="L834" t="s">
        <v>17460</v>
      </c>
      <c r="M834" t="s">
        <v>17461</v>
      </c>
      <c r="N834" t="s">
        <v>17462</v>
      </c>
      <c r="O834">
        <f>-780.879956741937 -32.5975677368597 -725.079534672089</f>
        <v>-1538.5570591508858</v>
      </c>
      <c r="P834">
        <f>-765.69653543178 -13.3030655502769 -409.511307955095</f>
        <v>-1188.510908937152</v>
      </c>
      <c r="Q834">
        <f>-518.800007239024 -47.2940502219992 -335.155422412522</f>
        <v>-901.24947987354517</v>
      </c>
      <c r="R834" t="s">
        <v>17463</v>
      </c>
      <c r="S834" t="s">
        <v>17464</v>
      </c>
      <c r="T834" t="s">
        <v>17465</v>
      </c>
      <c r="U834" t="s">
        <v>17466</v>
      </c>
      <c r="V834" t="s">
        <v>17467</v>
      </c>
      <c r="W834" t="s">
        <v>17468</v>
      </c>
      <c r="X834" t="s">
        <v>17469</v>
      </c>
      <c r="Y834" t="s">
        <v>17470</v>
      </c>
    </row>
    <row r="835" spans="1:25" x14ac:dyDescent="0.3">
      <c r="A835">
        <v>41700</v>
      </c>
      <c r="B835" t="s">
        <v>17471</v>
      </c>
      <c r="C835" t="s">
        <v>17472</v>
      </c>
      <c r="D835" t="s">
        <v>17473</v>
      </c>
      <c r="E835" t="s">
        <v>17474</v>
      </c>
      <c r="F835" t="s">
        <v>17475</v>
      </c>
      <c r="G835" t="s">
        <v>17476</v>
      </c>
      <c r="H835" t="s">
        <v>17477</v>
      </c>
      <c r="I835" t="s">
        <v>17478</v>
      </c>
      <c r="J835" t="s">
        <v>17479</v>
      </c>
      <c r="K835" t="s">
        <v>17480</v>
      </c>
      <c r="L835" t="s">
        <v>17481</v>
      </c>
      <c r="M835" t="s">
        <v>17482</v>
      </c>
      <c r="N835" t="s">
        <v>17483</v>
      </c>
      <c r="O835">
        <f>-780.382423928523 -32.5047686525593 -725.153311385574</f>
        <v>-1538.0405039666564</v>
      </c>
      <c r="P835">
        <f>-765.254305058857 -13.2886345585921 -409.577573691435</f>
        <v>-1188.120513308884</v>
      </c>
      <c r="Q835">
        <f>-518.474713126752 -47.6226875234081 -334.991500226955</f>
        <v>-901.08890087711507</v>
      </c>
      <c r="R835" t="s">
        <v>17484</v>
      </c>
      <c r="S835" t="s">
        <v>17485</v>
      </c>
      <c r="T835" t="s">
        <v>17486</v>
      </c>
      <c r="U835" t="s">
        <v>17487</v>
      </c>
      <c r="V835" t="s">
        <v>17488</v>
      </c>
      <c r="W835" t="s">
        <v>17489</v>
      </c>
      <c r="X835" t="s">
        <v>17490</v>
      </c>
      <c r="Y835" t="s">
        <v>17491</v>
      </c>
    </row>
    <row r="836" spans="1:25" x14ac:dyDescent="0.3">
      <c r="A836">
        <v>41750</v>
      </c>
      <c r="B836" t="s">
        <v>17492</v>
      </c>
      <c r="C836" t="s">
        <v>17493</v>
      </c>
      <c r="D836" t="s">
        <v>17494</v>
      </c>
      <c r="E836" t="s">
        <v>17495</v>
      </c>
      <c r="F836" t="s">
        <v>17496</v>
      </c>
      <c r="G836" t="s">
        <v>17497</v>
      </c>
      <c r="H836" t="s">
        <v>17498</v>
      </c>
      <c r="I836" t="s">
        <v>17499</v>
      </c>
      <c r="J836" t="s">
        <v>17500</v>
      </c>
      <c r="K836" t="s">
        <v>17501</v>
      </c>
      <c r="L836" t="s">
        <v>17502</v>
      </c>
      <c r="M836" t="s">
        <v>17503</v>
      </c>
      <c r="N836" t="s">
        <v>17504</v>
      </c>
      <c r="O836">
        <f>-779.410937728053 -32.5306271287718 -725.154981338755</f>
        <v>-1537.0965461955798</v>
      </c>
      <c r="P836">
        <f>-764.596528171722 -13.0800229357044 -409.578770861229</f>
        <v>-1187.2553219686554</v>
      </c>
      <c r="Q836">
        <f>-517.908488171384 -47.9098646469699 -334.919847722393</f>
        <v>-900.7382005407469</v>
      </c>
      <c r="R836" t="s">
        <v>17505</v>
      </c>
      <c r="S836" t="s">
        <v>17506</v>
      </c>
      <c r="T836" t="s">
        <v>17507</v>
      </c>
      <c r="U836" t="s">
        <v>17508</v>
      </c>
      <c r="V836" t="s">
        <v>17509</v>
      </c>
      <c r="W836" t="s">
        <v>17510</v>
      </c>
      <c r="X836" t="s">
        <v>17511</v>
      </c>
      <c r="Y836" t="s">
        <v>17512</v>
      </c>
    </row>
    <row r="837" spans="1:25" x14ac:dyDescent="0.3">
      <c r="A837">
        <v>41800</v>
      </c>
      <c r="B837" t="s">
        <v>17513</v>
      </c>
      <c r="C837" t="s">
        <v>17514</v>
      </c>
      <c r="D837" t="s">
        <v>17515</v>
      </c>
      <c r="E837" t="s">
        <v>17516</v>
      </c>
      <c r="F837" t="s">
        <v>17517</v>
      </c>
      <c r="G837" t="s">
        <v>17518</v>
      </c>
      <c r="H837" t="s">
        <v>17519</v>
      </c>
      <c r="I837" t="s">
        <v>17520</v>
      </c>
      <c r="J837" t="s">
        <v>17521</v>
      </c>
      <c r="K837" t="s">
        <v>17522</v>
      </c>
      <c r="L837" t="s">
        <v>17523</v>
      </c>
      <c r="M837" t="s">
        <v>17524</v>
      </c>
      <c r="N837" t="s">
        <v>17525</v>
      </c>
      <c r="O837">
        <f>-778.985871884203 -32.5100271413301 -725.183654830384</f>
        <v>-1536.679553855917</v>
      </c>
      <c r="P837">
        <f>-764.160938938743 -12.9431564968368 -409.614926727299</f>
        <v>-1186.7190221628789</v>
      </c>
      <c r="Q837">
        <f>-517.536026380382 -48.0680395677728 -334.885993293846</f>
        <v>-900.49005924200083</v>
      </c>
      <c r="R837" t="s">
        <v>17526</v>
      </c>
      <c r="S837" t="s">
        <v>17527</v>
      </c>
      <c r="T837" t="s">
        <v>17528</v>
      </c>
      <c r="U837" t="s">
        <v>17529</v>
      </c>
      <c r="V837" t="s">
        <v>17530</v>
      </c>
      <c r="W837" t="s">
        <v>17531</v>
      </c>
      <c r="X837" t="s">
        <v>17532</v>
      </c>
      <c r="Y837" t="s">
        <v>17533</v>
      </c>
    </row>
    <row r="838" spans="1:25" x14ac:dyDescent="0.3">
      <c r="A838">
        <v>41850</v>
      </c>
      <c r="B838" t="s">
        <v>17534</v>
      </c>
      <c r="C838" t="s">
        <v>17535</v>
      </c>
      <c r="D838" t="s">
        <v>17536</v>
      </c>
      <c r="E838" t="s">
        <v>17537</v>
      </c>
      <c r="F838" t="s">
        <v>17538</v>
      </c>
      <c r="G838" t="s">
        <v>17539</v>
      </c>
      <c r="H838" t="s">
        <v>17540</v>
      </c>
      <c r="I838" t="s">
        <v>17541</v>
      </c>
      <c r="J838" t="s">
        <v>17542</v>
      </c>
      <c r="K838" t="s">
        <v>17543</v>
      </c>
      <c r="L838" t="s">
        <v>17544</v>
      </c>
      <c r="M838" t="s">
        <v>17545</v>
      </c>
      <c r="N838" t="s">
        <v>17546</v>
      </c>
      <c r="O838">
        <f>-778.412190967619 -32.3525359586238 -725.299059058813</f>
        <v>-1536.0637859850558</v>
      </c>
      <c r="P838">
        <f>-763.890702391153 -12.7689529520012 -409.717447857482</f>
        <v>-1186.3771032006362</v>
      </c>
      <c r="Q838">
        <f>-517.268259929965 -47.8561508749408 -334.962590416505</f>
        <v>-900.08700122141079</v>
      </c>
      <c r="R838" t="s">
        <v>17547</v>
      </c>
      <c r="S838" t="s">
        <v>17548</v>
      </c>
      <c r="T838" t="s">
        <v>17549</v>
      </c>
      <c r="U838" t="s">
        <v>17550</v>
      </c>
      <c r="V838" t="s">
        <v>17551</v>
      </c>
      <c r="W838" t="s">
        <v>17552</v>
      </c>
      <c r="X838" t="s">
        <v>17553</v>
      </c>
      <c r="Y838" t="s">
        <v>17554</v>
      </c>
    </row>
    <row r="839" spans="1:25" x14ac:dyDescent="0.3">
      <c r="A839">
        <v>41900</v>
      </c>
      <c r="B839" t="s">
        <v>17555</v>
      </c>
      <c r="C839" t="s">
        <v>17556</v>
      </c>
      <c r="D839" t="s">
        <v>17557</v>
      </c>
      <c r="E839" t="s">
        <v>17558</v>
      </c>
      <c r="F839" t="s">
        <v>17559</v>
      </c>
      <c r="G839" t="s">
        <v>17560</v>
      </c>
      <c r="H839" t="s">
        <v>17561</v>
      </c>
      <c r="I839" t="s">
        <v>17562</v>
      </c>
      <c r="J839" t="s">
        <v>17563</v>
      </c>
      <c r="K839" t="s">
        <v>17564</v>
      </c>
      <c r="L839" t="s">
        <v>17565</v>
      </c>
      <c r="M839" t="s">
        <v>17566</v>
      </c>
      <c r="N839" t="s">
        <v>17567</v>
      </c>
      <c r="O839">
        <f>-778.049697976375 -32.1263204997474 -725.40191942397</f>
        <v>-1535.5779379000924</v>
      </c>
      <c r="P839">
        <f>-763.725316924486 -12.4948824194087 -409.814222501621</f>
        <v>-1186.0344218455157</v>
      </c>
      <c r="Q839">
        <f>-517.130471731942 -47.3987754505333 -334.882780592203</f>
        <v>-899.41202777467834</v>
      </c>
      <c r="R839" t="s">
        <v>17568</v>
      </c>
      <c r="S839" t="s">
        <v>17569</v>
      </c>
      <c r="T839" t="s">
        <v>17570</v>
      </c>
      <c r="U839" t="s">
        <v>17571</v>
      </c>
      <c r="V839" t="s">
        <v>17572</v>
      </c>
      <c r="W839" t="s">
        <v>17573</v>
      </c>
      <c r="X839" t="s">
        <v>17574</v>
      </c>
      <c r="Y839" t="s">
        <v>17575</v>
      </c>
    </row>
    <row r="840" spans="1:25" x14ac:dyDescent="0.3">
      <c r="A840">
        <v>41950</v>
      </c>
      <c r="B840" t="s">
        <v>17576</v>
      </c>
      <c r="C840" t="s">
        <v>17577</v>
      </c>
      <c r="D840" t="s">
        <v>17578</v>
      </c>
      <c r="E840" t="s">
        <v>17579</v>
      </c>
      <c r="F840" t="s">
        <v>17580</v>
      </c>
      <c r="G840" t="s">
        <v>17581</v>
      </c>
      <c r="H840" t="s">
        <v>17582</v>
      </c>
      <c r="I840" t="s">
        <v>17583</v>
      </c>
      <c r="J840" t="s">
        <v>17584</v>
      </c>
      <c r="K840" t="s">
        <v>17585</v>
      </c>
      <c r="L840" t="s">
        <v>17586</v>
      </c>
      <c r="M840" t="s">
        <v>17587</v>
      </c>
      <c r="N840" t="s">
        <v>17588</v>
      </c>
      <c r="O840">
        <f>-777.634964251313 -31.4195171319059 -725.582971254029</f>
        <v>-1534.6374526372479</v>
      </c>
      <c r="P840">
        <f>-763.647049599148 -11.6473254184912 -409.989030548106</f>
        <v>-1185.2834055657452</v>
      </c>
      <c r="Q840">
        <f>-517.119764040055 -46.1693017050345 -334.659154282573</f>
        <v>-897.9482200276625</v>
      </c>
      <c r="R840" t="s">
        <v>17589</v>
      </c>
      <c r="S840" t="s">
        <v>17590</v>
      </c>
      <c r="T840" t="s">
        <v>17591</v>
      </c>
      <c r="U840" t="s">
        <v>17592</v>
      </c>
      <c r="V840" t="s">
        <v>17593</v>
      </c>
      <c r="W840" t="s">
        <v>17594</v>
      </c>
      <c r="X840" t="s">
        <v>17595</v>
      </c>
      <c r="Y840" t="s">
        <v>17596</v>
      </c>
    </row>
    <row r="841" spans="1:25" x14ac:dyDescent="0.3">
      <c r="A841">
        <v>42000</v>
      </c>
      <c r="B841" t="s">
        <v>17597</v>
      </c>
      <c r="C841" t="s">
        <v>17598</v>
      </c>
      <c r="D841" t="s">
        <v>17599</v>
      </c>
      <c r="E841" t="s">
        <v>17600</v>
      </c>
      <c r="F841" t="s">
        <v>17601</v>
      </c>
      <c r="G841" t="s">
        <v>17602</v>
      </c>
      <c r="H841" t="s">
        <v>17603</v>
      </c>
      <c r="I841" t="s">
        <v>17604</v>
      </c>
      <c r="J841" t="s">
        <v>17605</v>
      </c>
      <c r="K841" t="s">
        <v>17606</v>
      </c>
      <c r="L841" t="s">
        <v>17607</v>
      </c>
      <c r="M841" t="s">
        <v>17608</v>
      </c>
      <c r="N841" t="s">
        <v>17609</v>
      </c>
      <c r="O841">
        <f>-777.518107033349 -31.0701353455834 -725.6966275335</f>
        <v>-1534.2848699124324</v>
      </c>
      <c r="P841">
        <f>-763.685291369882 -11.3659635131446 -410.091574790878</f>
        <v>-1185.1428296739045</v>
      </c>
      <c r="Q841">
        <f>-517.189598899426 -45.7748968497983 -334.606717966556</f>
        <v>-897.57121371578023</v>
      </c>
      <c r="R841" t="s">
        <v>17610</v>
      </c>
      <c r="S841" t="s">
        <v>17611</v>
      </c>
      <c r="T841" t="s">
        <v>17612</v>
      </c>
      <c r="U841" t="s">
        <v>17613</v>
      </c>
      <c r="V841" t="s">
        <v>17614</v>
      </c>
      <c r="W841" t="s">
        <v>17615</v>
      </c>
      <c r="X841" t="s">
        <v>17616</v>
      </c>
      <c r="Y841" t="s">
        <v>17617</v>
      </c>
    </row>
    <row r="842" spans="1:25" x14ac:dyDescent="0.3">
      <c r="A842">
        <v>42050</v>
      </c>
      <c r="B842" t="s">
        <v>17618</v>
      </c>
      <c r="C842" t="s">
        <v>17619</v>
      </c>
      <c r="D842" t="s">
        <v>17620</v>
      </c>
      <c r="E842" t="s">
        <v>17621</v>
      </c>
      <c r="F842" t="s">
        <v>17622</v>
      </c>
      <c r="G842" t="s">
        <v>17623</v>
      </c>
      <c r="H842" t="s">
        <v>17624</v>
      </c>
      <c r="I842" t="s">
        <v>17625</v>
      </c>
      <c r="J842" t="s">
        <v>17626</v>
      </c>
      <c r="K842" t="s">
        <v>17627</v>
      </c>
      <c r="L842" t="s">
        <v>17628</v>
      </c>
      <c r="M842" t="s">
        <v>17629</v>
      </c>
      <c r="N842" t="s">
        <v>17630</v>
      </c>
      <c r="O842">
        <f>-777.335388824513 -30.2863675164524 -725.964797444065</f>
        <v>-1533.5865537850304</v>
      </c>
      <c r="P842">
        <f>-763.724937864301 -10.7157544762435 -410.341749936726</f>
        <v>-1184.7824422772705</v>
      </c>
      <c r="Q842">
        <f>-517.276317998823 -45.1044868397896 -334.694095755953</f>
        <v>-897.07490059456563</v>
      </c>
      <c r="R842" t="s">
        <v>17631</v>
      </c>
      <c r="S842" t="s">
        <v>17632</v>
      </c>
      <c r="T842" t="s">
        <v>17633</v>
      </c>
      <c r="U842" t="s">
        <v>17634</v>
      </c>
      <c r="V842" t="s">
        <v>17635</v>
      </c>
      <c r="W842" t="s">
        <v>17636</v>
      </c>
      <c r="X842" t="s">
        <v>17637</v>
      </c>
      <c r="Y842" t="s">
        <v>17638</v>
      </c>
    </row>
    <row r="843" spans="1:25" x14ac:dyDescent="0.3">
      <c r="A843">
        <v>42100</v>
      </c>
      <c r="B843" t="s">
        <v>17639</v>
      </c>
      <c r="C843" t="s">
        <v>17640</v>
      </c>
      <c r="D843" t="s">
        <v>17641</v>
      </c>
      <c r="E843" t="s">
        <v>17642</v>
      </c>
      <c r="F843" t="s">
        <v>17643</v>
      </c>
      <c r="G843" t="s">
        <v>17644</v>
      </c>
      <c r="H843" t="s">
        <v>17645</v>
      </c>
      <c r="I843" t="s">
        <v>17646</v>
      </c>
      <c r="J843" t="s">
        <v>17647</v>
      </c>
      <c r="K843" t="s">
        <v>17648</v>
      </c>
      <c r="L843" t="s">
        <v>17649</v>
      </c>
      <c r="M843" t="s">
        <v>17650</v>
      </c>
      <c r="N843" t="s">
        <v>17651</v>
      </c>
      <c r="O843">
        <f>-777.502415299714 -29.9951474289087 -726.11488710142</f>
        <v>-1533.6124498300428</v>
      </c>
      <c r="P843">
        <f>-764.07782917068 -10.6658689765188 -410.468945926816</f>
        <v>-1185.2126440740149</v>
      </c>
      <c r="Q843">
        <f>-517.611032101404 -45.0931858569872 -334.898325643027</f>
        <v>-897.60254360141835</v>
      </c>
      <c r="R843" t="s">
        <v>17652</v>
      </c>
      <c r="S843" t="s">
        <v>17653</v>
      </c>
      <c r="T843" t="s">
        <v>17654</v>
      </c>
      <c r="U843" t="s">
        <v>17655</v>
      </c>
      <c r="V843" t="s">
        <v>17656</v>
      </c>
      <c r="W843" t="s">
        <v>17657</v>
      </c>
      <c r="X843" t="s">
        <v>17658</v>
      </c>
      <c r="Y843" t="s">
        <v>17659</v>
      </c>
    </row>
    <row r="844" spans="1:25" x14ac:dyDescent="0.3">
      <c r="A844">
        <v>42150</v>
      </c>
      <c r="B844" t="s">
        <v>17660</v>
      </c>
      <c r="C844" t="s">
        <v>17661</v>
      </c>
      <c r="D844" t="s">
        <v>17662</v>
      </c>
      <c r="E844" t="s">
        <v>17663</v>
      </c>
      <c r="F844" t="s">
        <v>17664</v>
      </c>
      <c r="G844" t="s">
        <v>17665</v>
      </c>
      <c r="H844" t="s">
        <v>17666</v>
      </c>
      <c r="I844" t="s">
        <v>17667</v>
      </c>
      <c r="J844" t="s">
        <v>17668</v>
      </c>
      <c r="K844" t="s">
        <v>17669</v>
      </c>
      <c r="L844" t="s">
        <v>17670</v>
      </c>
      <c r="M844" t="s">
        <v>17671</v>
      </c>
      <c r="N844" t="s">
        <v>17672</v>
      </c>
      <c r="O844">
        <f>-777.878671906271 -29.4053948432397 -726.526665618711</f>
        <v>-1533.8107323682218</v>
      </c>
      <c r="P844">
        <f>-764.487469350561 -10.7139909598404 -410.840893774805</f>
        <v>-1186.0423540852064</v>
      </c>
      <c r="Q844">
        <f>-518.077073578279 -45.4489860427229 -335.227191767492</f>
        <v>-898.75325138849394</v>
      </c>
      <c r="R844" t="s">
        <v>17673</v>
      </c>
      <c r="S844" t="s">
        <v>17674</v>
      </c>
      <c r="T844" t="s">
        <v>17675</v>
      </c>
      <c r="U844" t="s">
        <v>17676</v>
      </c>
      <c r="V844" t="s">
        <v>17677</v>
      </c>
      <c r="W844" t="s">
        <v>17678</v>
      </c>
      <c r="X844" t="s">
        <v>17679</v>
      </c>
      <c r="Y844" t="s">
        <v>17680</v>
      </c>
    </row>
    <row r="845" spans="1:25" x14ac:dyDescent="0.3">
      <c r="A845">
        <v>42200</v>
      </c>
      <c r="B845" t="s">
        <v>17681</v>
      </c>
      <c r="C845" t="s">
        <v>17682</v>
      </c>
      <c r="D845" t="s">
        <v>17683</v>
      </c>
      <c r="E845" t="s">
        <v>17684</v>
      </c>
      <c r="F845" t="s">
        <v>17685</v>
      </c>
      <c r="G845" t="s">
        <v>17686</v>
      </c>
      <c r="H845" t="s">
        <v>17687</v>
      </c>
      <c r="I845" t="s">
        <v>17688</v>
      </c>
      <c r="J845" t="s">
        <v>17689</v>
      </c>
      <c r="K845" t="s">
        <v>17690</v>
      </c>
      <c r="L845" t="s">
        <v>17691</v>
      </c>
      <c r="M845" t="s">
        <v>17692</v>
      </c>
      <c r="N845" t="s">
        <v>17693</v>
      </c>
      <c r="O845">
        <f>-777.899366657935 -29.2118338523505 -726.713450757375</f>
        <v>-1533.8246512676606</v>
      </c>
      <c r="P845">
        <f>-764.413205943727 -10.3228000000886 -411.043518983444</f>
        <v>-1185.7795249272597</v>
      </c>
      <c r="Q845">
        <f>-518.070558521176 -45.5604904932873 -335.441446726062</f>
        <v>-899.07249574052526</v>
      </c>
      <c r="R845" t="s">
        <v>17694</v>
      </c>
      <c r="S845" t="s">
        <v>17695</v>
      </c>
      <c r="T845" t="s">
        <v>17696</v>
      </c>
      <c r="U845" t="s">
        <v>17697</v>
      </c>
      <c r="V845" t="s">
        <v>17698</v>
      </c>
      <c r="W845" t="s">
        <v>17699</v>
      </c>
      <c r="X845" t="s">
        <v>17700</v>
      </c>
      <c r="Y845" t="s">
        <v>17701</v>
      </c>
    </row>
    <row r="846" spans="1:25" x14ac:dyDescent="0.3">
      <c r="A846">
        <v>42250</v>
      </c>
      <c r="B846" t="s">
        <v>17702</v>
      </c>
      <c r="C846" t="s">
        <v>17703</v>
      </c>
      <c r="D846" t="s">
        <v>17704</v>
      </c>
      <c r="E846" t="s">
        <v>17705</v>
      </c>
      <c r="F846" t="s">
        <v>17706</v>
      </c>
      <c r="G846" t="s">
        <v>17707</v>
      </c>
      <c r="H846" t="s">
        <v>17708</v>
      </c>
      <c r="I846" t="s">
        <v>17709</v>
      </c>
      <c r="J846" t="s">
        <v>17710</v>
      </c>
      <c r="K846" t="s">
        <v>17711</v>
      </c>
      <c r="L846" t="s">
        <v>17712</v>
      </c>
      <c r="M846" t="s">
        <v>17713</v>
      </c>
      <c r="N846" t="s">
        <v>17714</v>
      </c>
      <c r="O846">
        <f>-777.447778997299 -29.1993156330241 -726.999189764685</f>
        <v>-1533.646284395008</v>
      </c>
      <c r="P846">
        <f>-763.961179314668 -10.0573581458511 -411.344489159071</f>
        <v>-1185.3630266195901</v>
      </c>
      <c r="Q846">
        <f>-517.78762989492 -46.1122535376139 -335.576783178078</f>
        <v>-899.47666661061191</v>
      </c>
      <c r="R846" t="s">
        <v>17715</v>
      </c>
      <c r="S846" t="s">
        <v>17716</v>
      </c>
      <c r="T846" t="s">
        <v>17717</v>
      </c>
      <c r="U846" t="s">
        <v>17718</v>
      </c>
      <c r="V846" t="s">
        <v>17719</v>
      </c>
      <c r="W846" t="s">
        <v>17720</v>
      </c>
      <c r="X846" t="s">
        <v>17721</v>
      </c>
      <c r="Y846" t="s">
        <v>17722</v>
      </c>
    </row>
    <row r="847" spans="1:25" x14ac:dyDescent="0.3">
      <c r="A847">
        <v>42300</v>
      </c>
      <c r="B847" t="s">
        <v>17723</v>
      </c>
      <c r="C847" t="s">
        <v>17724</v>
      </c>
      <c r="D847" t="s">
        <v>17725</v>
      </c>
      <c r="E847" t="s">
        <v>17726</v>
      </c>
      <c r="F847" t="s">
        <v>17727</v>
      </c>
      <c r="G847" t="s">
        <v>17728</v>
      </c>
      <c r="H847" t="s">
        <v>17729</v>
      </c>
      <c r="I847" t="s">
        <v>17730</v>
      </c>
      <c r="J847" t="s">
        <v>17731</v>
      </c>
      <c r="K847" t="s">
        <v>17732</v>
      </c>
      <c r="L847" t="s">
        <v>17733</v>
      </c>
      <c r="M847" t="s">
        <v>17734</v>
      </c>
      <c r="N847" t="s">
        <v>17735</v>
      </c>
      <c r="O847">
        <f>-777.160830107454 -29.6563144680442 -727.13661355461</f>
        <v>-1533.9537581301083</v>
      </c>
      <c r="P847">
        <f>-763.802742464927 -10.2729315256288 -411.491257923092</f>
        <v>-1185.5669319136477</v>
      </c>
      <c r="Q847">
        <f>-517.63679028958 -46.3800981583158 -335.724087498941</f>
        <v>-899.74097594683678</v>
      </c>
      <c r="R847" t="s">
        <v>17736</v>
      </c>
      <c r="S847" t="s">
        <v>17737</v>
      </c>
      <c r="T847" t="s">
        <v>17738</v>
      </c>
      <c r="U847" t="s">
        <v>17739</v>
      </c>
      <c r="V847" t="s">
        <v>17740</v>
      </c>
      <c r="W847" t="s">
        <v>17741</v>
      </c>
      <c r="X847" t="s">
        <v>17742</v>
      </c>
      <c r="Y847" t="s">
        <v>17743</v>
      </c>
    </row>
    <row r="848" spans="1:25" x14ac:dyDescent="0.3">
      <c r="A848">
        <v>42350</v>
      </c>
      <c r="B848" t="s">
        <v>17744</v>
      </c>
      <c r="C848" t="s">
        <v>17745</v>
      </c>
      <c r="D848" t="s">
        <v>17746</v>
      </c>
      <c r="E848" t="s">
        <v>17747</v>
      </c>
      <c r="F848" t="s">
        <v>17748</v>
      </c>
      <c r="G848" t="s">
        <v>17749</v>
      </c>
      <c r="H848" t="s">
        <v>17750</v>
      </c>
      <c r="I848" t="s">
        <v>17751</v>
      </c>
      <c r="J848" t="s">
        <v>17752</v>
      </c>
      <c r="K848" t="s">
        <v>17753</v>
      </c>
      <c r="L848" t="s">
        <v>17754</v>
      </c>
      <c r="M848" t="s">
        <v>17755</v>
      </c>
      <c r="N848" t="s">
        <v>17756</v>
      </c>
      <c r="O848">
        <f>-775.917951499928 -30.6192336618608 -727.447449171377</f>
        <v>-1533.9846343331658</v>
      </c>
      <c r="P848">
        <f>-762.892152070514 -11.3550758171905 -411.780852054669</f>
        <v>-1186.0280799423736</v>
      </c>
      <c r="Q848">
        <f>-516.731012578274 -46.42561520766 -335.512952113288</f>
        <v>-898.66957989922207</v>
      </c>
      <c r="R848" t="s">
        <v>17757</v>
      </c>
      <c r="S848" t="s">
        <v>17758</v>
      </c>
      <c r="T848" t="s">
        <v>17759</v>
      </c>
      <c r="U848" t="s">
        <v>17760</v>
      </c>
      <c r="V848" t="s">
        <v>17761</v>
      </c>
      <c r="W848" t="s">
        <v>17762</v>
      </c>
      <c r="X848" t="s">
        <v>17763</v>
      </c>
      <c r="Y848" t="s">
        <v>17764</v>
      </c>
    </row>
    <row r="849" spans="1:25" x14ac:dyDescent="0.3">
      <c r="A849">
        <v>42400</v>
      </c>
      <c r="B849" t="s">
        <v>17765</v>
      </c>
      <c r="C849" t="s">
        <v>17766</v>
      </c>
      <c r="D849" t="s">
        <v>17767</v>
      </c>
      <c r="E849" t="s">
        <v>17768</v>
      </c>
      <c r="F849" t="s">
        <v>17769</v>
      </c>
      <c r="G849" t="s">
        <v>17770</v>
      </c>
      <c r="H849" t="s">
        <v>17771</v>
      </c>
      <c r="I849" t="s">
        <v>17772</v>
      </c>
      <c r="J849" t="s">
        <v>17773</v>
      </c>
      <c r="K849" t="s">
        <v>17774</v>
      </c>
      <c r="L849" t="s">
        <v>17775</v>
      </c>
      <c r="M849" t="s">
        <v>17776</v>
      </c>
      <c r="N849" t="s">
        <v>17777</v>
      </c>
      <c r="O849">
        <f>-775.396976536734 -31.4449845132526 -727.474329681405</f>
        <v>-1534.3162907313917</v>
      </c>
      <c r="P849">
        <f>-762.611471221245 -11.5590004477615 -411.83626448893</f>
        <v>-1186.0067361579365</v>
      </c>
      <c r="Q849">
        <f>-516.372621407789 -45.6510005022967 -335.375653062469</f>
        <v>-897.39927497255462</v>
      </c>
      <c r="R849" t="s">
        <v>17778</v>
      </c>
      <c r="S849" t="s">
        <v>17779</v>
      </c>
      <c r="T849" t="s">
        <v>17780</v>
      </c>
      <c r="U849" t="s">
        <v>17781</v>
      </c>
      <c r="V849" t="s">
        <v>17782</v>
      </c>
      <c r="W849" t="s">
        <v>17783</v>
      </c>
      <c r="X849" t="s">
        <v>17784</v>
      </c>
      <c r="Y849" t="s">
        <v>17785</v>
      </c>
    </row>
    <row r="850" spans="1:25" x14ac:dyDescent="0.3">
      <c r="A850">
        <v>42450</v>
      </c>
      <c r="B850" t="s">
        <v>17786</v>
      </c>
      <c r="C850" t="s">
        <v>17787</v>
      </c>
      <c r="D850" t="s">
        <v>17788</v>
      </c>
      <c r="E850" t="s">
        <v>17789</v>
      </c>
      <c r="F850" t="s">
        <v>17790</v>
      </c>
      <c r="G850" t="s">
        <v>17791</v>
      </c>
      <c r="H850" t="s">
        <v>17792</v>
      </c>
      <c r="I850" t="s">
        <v>17793</v>
      </c>
      <c r="J850" t="s">
        <v>17794</v>
      </c>
      <c r="K850" t="s">
        <v>17795</v>
      </c>
      <c r="L850" t="s">
        <v>17796</v>
      </c>
      <c r="M850" t="s">
        <v>17797</v>
      </c>
      <c r="N850" t="s">
        <v>17798</v>
      </c>
      <c r="O850">
        <f>-774.095487760385 -32.5509976104067 -727.455907995444</f>
        <v>-1534.1023933662359</v>
      </c>
      <c r="P850">
        <f>-761.436681684181 -12.2065032082712 -411.842080772089</f>
        <v>-1185.4852656645412</v>
      </c>
      <c r="Q850">
        <f>-515.100887801752 -44.4165432123568 -334.87939603808</f>
        <v>-894.39682705218888</v>
      </c>
      <c r="R850" t="s">
        <v>17799</v>
      </c>
      <c r="S850" t="s">
        <v>17800</v>
      </c>
      <c r="T850" t="s">
        <v>17801</v>
      </c>
      <c r="U850" t="s">
        <v>17802</v>
      </c>
      <c r="V850" t="s">
        <v>17803</v>
      </c>
      <c r="W850" t="s">
        <v>17804</v>
      </c>
      <c r="X850" t="s">
        <v>17805</v>
      </c>
      <c r="Y850" t="s">
        <v>17806</v>
      </c>
    </row>
    <row r="851" spans="1:25" x14ac:dyDescent="0.3">
      <c r="A851">
        <v>42500</v>
      </c>
      <c r="B851" t="s">
        <v>17807</v>
      </c>
      <c r="C851" t="s">
        <v>17808</v>
      </c>
      <c r="D851" t="s">
        <v>17809</v>
      </c>
      <c r="E851" t="s">
        <v>17810</v>
      </c>
      <c r="F851" t="s">
        <v>17811</v>
      </c>
      <c r="G851" t="s">
        <v>17812</v>
      </c>
      <c r="H851" t="s">
        <v>17813</v>
      </c>
      <c r="I851" t="s">
        <v>17814</v>
      </c>
      <c r="J851" t="s">
        <v>17815</v>
      </c>
      <c r="K851" t="s">
        <v>17816</v>
      </c>
      <c r="L851" t="s">
        <v>17817</v>
      </c>
      <c r="M851" t="s">
        <v>17818</v>
      </c>
      <c r="N851" t="s">
        <v>17819</v>
      </c>
      <c r="O851">
        <f>-773.587866128676 -33.0485951066521 -727.399674434389</f>
        <v>-1534.0361356697172</v>
      </c>
      <c r="P851">
        <f>-760.877534319394 -12.7656903922659 -411.784067028005</f>
        <v>-1185.427291739665</v>
      </c>
      <c r="Q851">
        <f>-514.458762212739 -44.0782830525791 -334.716800581056</f>
        <v>-893.25384584637413</v>
      </c>
      <c r="R851" t="s">
        <v>17820</v>
      </c>
      <c r="S851" t="s">
        <v>17821</v>
      </c>
      <c r="T851" t="s">
        <v>17822</v>
      </c>
      <c r="U851" t="s">
        <v>17823</v>
      </c>
      <c r="V851" t="s">
        <v>17824</v>
      </c>
      <c r="W851" t="s">
        <v>17825</v>
      </c>
      <c r="X851" t="s">
        <v>17826</v>
      </c>
      <c r="Y851" t="s">
        <v>17827</v>
      </c>
    </row>
    <row r="852" spans="1:25" x14ac:dyDescent="0.3">
      <c r="A852">
        <v>42550</v>
      </c>
      <c r="B852" t="s">
        <v>17828</v>
      </c>
      <c r="C852" t="s">
        <v>17829</v>
      </c>
      <c r="D852" t="s">
        <v>17830</v>
      </c>
      <c r="E852" t="s">
        <v>17831</v>
      </c>
      <c r="F852" t="s">
        <v>17832</v>
      </c>
      <c r="G852" t="s">
        <v>17833</v>
      </c>
      <c r="H852" t="s">
        <v>17834</v>
      </c>
      <c r="I852" t="s">
        <v>17835</v>
      </c>
      <c r="J852" t="s">
        <v>17836</v>
      </c>
      <c r="K852" t="s">
        <v>17837</v>
      </c>
      <c r="L852" t="s">
        <v>17838</v>
      </c>
      <c r="M852" t="s">
        <v>17839</v>
      </c>
      <c r="N852" t="s">
        <v>17840</v>
      </c>
      <c r="O852">
        <f>-772.973704635799 -34.1023254133852 -727.045850582047</f>
        <v>-1534.1218806312313</v>
      </c>
      <c r="P852">
        <f>-759.815412937029 -14.0731831635774 -411.432370233398</f>
        <v>-1185.3209663340044</v>
      </c>
      <c r="Q852">
        <f>-513.069651671628 -44.1238202356255 -334.910600911762</f>
        <v>-892.10407281901553</v>
      </c>
      <c r="R852" t="s">
        <v>17841</v>
      </c>
      <c r="S852" t="s">
        <v>17842</v>
      </c>
      <c r="T852" t="s">
        <v>17843</v>
      </c>
      <c r="U852" t="s">
        <v>17844</v>
      </c>
      <c r="V852" t="s">
        <v>17845</v>
      </c>
      <c r="W852" t="s">
        <v>17846</v>
      </c>
      <c r="X852" t="s">
        <v>17847</v>
      </c>
      <c r="Y852" t="s">
        <v>17848</v>
      </c>
    </row>
    <row r="853" spans="1:25" x14ac:dyDescent="0.3">
      <c r="A853">
        <v>42600</v>
      </c>
      <c r="B853" t="s">
        <v>17849</v>
      </c>
      <c r="C853" t="s">
        <v>17850</v>
      </c>
      <c r="D853" t="s">
        <v>17851</v>
      </c>
      <c r="E853" t="s">
        <v>17852</v>
      </c>
      <c r="F853" t="s">
        <v>17853</v>
      </c>
      <c r="G853" t="s">
        <v>17854</v>
      </c>
      <c r="H853" t="s">
        <v>17855</v>
      </c>
      <c r="I853" t="s">
        <v>17856</v>
      </c>
      <c r="J853" t="s">
        <v>17857</v>
      </c>
      <c r="K853" t="s">
        <v>17858</v>
      </c>
      <c r="L853" t="s">
        <v>17859</v>
      </c>
      <c r="M853" t="s">
        <v>17860</v>
      </c>
      <c r="N853" t="s">
        <v>17861</v>
      </c>
      <c r="O853">
        <f>-772.475649558029 -34.5904064202382 -726.898856640453</f>
        <v>-1533.9649126187201</v>
      </c>
      <c r="P853">
        <f>-758.668378938618 -14.6189375385338 -411.309333275215</f>
        <v>-1184.5966497523668</v>
      </c>
      <c r="Q853">
        <f>-511.715639410676 -44.3306478422223 -335.324905967056</f>
        <v>-891.37119321995431</v>
      </c>
      <c r="R853" t="s">
        <v>17862</v>
      </c>
      <c r="S853" t="s">
        <v>17863</v>
      </c>
      <c r="T853" t="s">
        <v>17864</v>
      </c>
      <c r="U853" t="s">
        <v>17865</v>
      </c>
      <c r="V853" t="s">
        <v>17866</v>
      </c>
      <c r="W853" t="s">
        <v>17867</v>
      </c>
      <c r="X853" t="s">
        <v>17868</v>
      </c>
      <c r="Y853" t="s">
        <v>17869</v>
      </c>
    </row>
    <row r="854" spans="1:25" x14ac:dyDescent="0.3">
      <c r="A854">
        <v>42650</v>
      </c>
      <c r="B854" t="s">
        <v>17870</v>
      </c>
      <c r="C854" t="s">
        <v>17871</v>
      </c>
      <c r="D854" t="s">
        <v>17872</v>
      </c>
      <c r="E854" t="s">
        <v>17873</v>
      </c>
      <c r="F854" t="s">
        <v>17874</v>
      </c>
      <c r="G854" t="s">
        <v>17875</v>
      </c>
      <c r="H854" t="s">
        <v>17876</v>
      </c>
      <c r="I854" t="s">
        <v>17877</v>
      </c>
      <c r="J854" t="s">
        <v>17878</v>
      </c>
      <c r="K854" t="s">
        <v>17879</v>
      </c>
      <c r="L854" t="s">
        <v>17880</v>
      </c>
      <c r="M854" t="s">
        <v>17881</v>
      </c>
      <c r="N854" t="s">
        <v>17882</v>
      </c>
      <c r="O854">
        <f>-771.863104900283 -35.9486836364563 -726.474618333099</f>
        <v>-1534.2864068698382</v>
      </c>
      <c r="P854">
        <f>-756.953939162144 -16.4645647599098 -410.904858480812</f>
        <v>-1184.3233624028658</v>
      </c>
      <c r="Q854">
        <f>-509.447634720001 -44.9670241782844 -336.2702795651</f>
        <v>-890.68493846338538</v>
      </c>
      <c r="R854" t="s">
        <v>17883</v>
      </c>
      <c r="S854" t="s">
        <v>17884</v>
      </c>
      <c r="T854" t="s">
        <v>17885</v>
      </c>
      <c r="U854" t="s">
        <v>17886</v>
      </c>
      <c r="V854" t="s">
        <v>17887</v>
      </c>
      <c r="W854" t="s">
        <v>17888</v>
      </c>
      <c r="X854" t="s">
        <v>17889</v>
      </c>
      <c r="Y854" t="s">
        <v>17890</v>
      </c>
    </row>
    <row r="855" spans="1:25" x14ac:dyDescent="0.3">
      <c r="A855">
        <v>42700</v>
      </c>
      <c r="B855" t="s">
        <v>17891</v>
      </c>
      <c r="C855" t="s">
        <v>17892</v>
      </c>
      <c r="D855" t="s">
        <v>17893</v>
      </c>
      <c r="E855" t="s">
        <v>17894</v>
      </c>
      <c r="F855" t="s">
        <v>17895</v>
      </c>
      <c r="G855" t="s">
        <v>17896</v>
      </c>
      <c r="H855" t="s">
        <v>17897</v>
      </c>
      <c r="I855" t="s">
        <v>17898</v>
      </c>
      <c r="J855" t="s">
        <v>17899</v>
      </c>
      <c r="K855" t="s">
        <v>17900</v>
      </c>
      <c r="L855" t="s">
        <v>17901</v>
      </c>
      <c r="M855" t="s">
        <v>17902</v>
      </c>
      <c r="N855" t="s">
        <v>17903</v>
      </c>
      <c r="O855">
        <f>-771.781431332149 -36.4801000457473 -726.373840743149</f>
        <v>-1534.6353721210453</v>
      </c>
      <c r="P855">
        <f>-756.297225743778 -17.0641238878898 -410.827520121961</f>
        <v>-1184.1888697536288</v>
      </c>
      <c r="Q855">
        <f>-508.537878742073 -44.8658256177516 -336.770782476548</f>
        <v>-890.17448683637258</v>
      </c>
      <c r="R855" t="s">
        <v>17904</v>
      </c>
      <c r="S855" t="s">
        <v>17905</v>
      </c>
      <c r="T855" t="s">
        <v>17906</v>
      </c>
      <c r="U855" t="s">
        <v>17907</v>
      </c>
      <c r="V855" t="s">
        <v>17908</v>
      </c>
      <c r="W855" t="s">
        <v>17909</v>
      </c>
      <c r="X855" t="s">
        <v>17910</v>
      </c>
      <c r="Y855" t="s">
        <v>17911</v>
      </c>
    </row>
    <row r="856" spans="1:25" x14ac:dyDescent="0.3">
      <c r="A856">
        <v>42750</v>
      </c>
      <c r="B856" t="s">
        <v>17912</v>
      </c>
      <c r="C856" t="s">
        <v>17913</v>
      </c>
      <c r="D856" t="s">
        <v>17914</v>
      </c>
      <c r="E856" t="s">
        <v>17915</v>
      </c>
      <c r="F856" t="s">
        <v>17916</v>
      </c>
      <c r="G856" t="s">
        <v>17917</v>
      </c>
      <c r="H856" t="s">
        <v>17918</v>
      </c>
      <c r="I856" t="s">
        <v>17919</v>
      </c>
      <c r="J856" t="s">
        <v>17920</v>
      </c>
      <c r="K856" t="s">
        <v>17921</v>
      </c>
      <c r="L856" t="s">
        <v>17922</v>
      </c>
      <c r="M856" t="s">
        <v>17923</v>
      </c>
      <c r="N856" t="s">
        <v>17924</v>
      </c>
      <c r="O856">
        <f>-771.593156070135 -37.4821085816629 -726.181605794736</f>
        <v>-1535.2568704465339</v>
      </c>
      <c r="P856">
        <f>-755.012813346157 -18.3644479197505 -410.672657802868</f>
        <v>-1184.0499190687756</v>
      </c>
      <c r="Q856">
        <f>-506.836525067528 -45.071059657545 -337.615611692452</f>
        <v>-889.52319641752501</v>
      </c>
      <c r="R856" t="s">
        <v>17925</v>
      </c>
      <c r="S856" t="s">
        <v>17926</v>
      </c>
      <c r="T856" t="s">
        <v>17927</v>
      </c>
      <c r="U856" t="s">
        <v>17928</v>
      </c>
      <c r="V856" t="s">
        <v>17929</v>
      </c>
      <c r="W856" t="s">
        <v>17930</v>
      </c>
      <c r="X856" t="s">
        <v>17931</v>
      </c>
      <c r="Y856" t="s">
        <v>17932</v>
      </c>
    </row>
    <row r="857" spans="1:25" x14ac:dyDescent="0.3">
      <c r="A857">
        <v>42800</v>
      </c>
      <c r="B857" t="s">
        <v>17933</v>
      </c>
      <c r="C857" t="s">
        <v>17934</v>
      </c>
      <c r="D857" t="s">
        <v>17935</v>
      </c>
      <c r="E857" t="s">
        <v>17936</v>
      </c>
      <c r="F857" t="s">
        <v>17937</v>
      </c>
      <c r="G857" t="s">
        <v>17938</v>
      </c>
      <c r="H857" t="s">
        <v>17939</v>
      </c>
      <c r="I857" t="s">
        <v>17940</v>
      </c>
      <c r="J857" t="s">
        <v>17941</v>
      </c>
      <c r="K857" t="s">
        <v>17942</v>
      </c>
      <c r="L857" t="s">
        <v>17943</v>
      </c>
      <c r="M857" t="s">
        <v>17944</v>
      </c>
      <c r="N857" t="s">
        <v>17945</v>
      </c>
      <c r="O857">
        <f>-771.687231641158 -38.0920265084819 -726.097084749649</f>
        <v>-1535.8763428992888</v>
      </c>
      <c r="P857">
        <f>-754.732969863998 -18.6473353119134 -410.628124032764</f>
        <v>-1184.0084292086754</v>
      </c>
      <c r="Q857">
        <f>-506.434299537784 -44.9656410538742 -337.846667884051</f>
        <v>-889.24660847570908</v>
      </c>
      <c r="R857" t="s">
        <v>17946</v>
      </c>
      <c r="S857" t="s">
        <v>17947</v>
      </c>
      <c r="T857" t="s">
        <v>17948</v>
      </c>
      <c r="U857" t="s">
        <v>17949</v>
      </c>
      <c r="V857" t="s">
        <v>17950</v>
      </c>
      <c r="W857" t="s">
        <v>17951</v>
      </c>
      <c r="X857" t="s">
        <v>17952</v>
      </c>
      <c r="Y857" t="s">
        <v>17953</v>
      </c>
    </row>
    <row r="858" spans="1:25" x14ac:dyDescent="0.3">
      <c r="A858">
        <v>42850</v>
      </c>
      <c r="B858" t="s">
        <v>17954</v>
      </c>
      <c r="C858" t="s">
        <v>17955</v>
      </c>
      <c r="D858" t="s">
        <v>17956</v>
      </c>
      <c r="E858" t="s">
        <v>17957</v>
      </c>
      <c r="F858" t="s">
        <v>17958</v>
      </c>
      <c r="G858" t="s">
        <v>17959</v>
      </c>
      <c r="H858" t="s">
        <v>17960</v>
      </c>
      <c r="I858" t="s">
        <v>17961</v>
      </c>
      <c r="J858" t="s">
        <v>17962</v>
      </c>
      <c r="K858" t="s">
        <v>17963</v>
      </c>
      <c r="L858" t="s">
        <v>17964</v>
      </c>
      <c r="M858" t="s">
        <v>17965</v>
      </c>
      <c r="N858" t="s">
        <v>17966</v>
      </c>
      <c r="O858">
        <f>-771.637248280026 -39.0435529166975 -725.927885412201</f>
        <v>-1536.6086866089245</v>
      </c>
      <c r="P858">
        <f>-754.294897528391 -19.1183709487791 -410.510117731464</f>
        <v>-1183.9233862086339</v>
      </c>
      <c r="Q858">
        <f>-506.017540443318 -44.7475926093609 -337.410451257057</f>
        <v>-888.175584309736</v>
      </c>
      <c r="R858" t="s">
        <v>17967</v>
      </c>
      <c r="S858" t="s">
        <v>17968</v>
      </c>
      <c r="T858" t="s">
        <v>17969</v>
      </c>
      <c r="U858" t="s">
        <v>17970</v>
      </c>
      <c r="V858" t="s">
        <v>17971</v>
      </c>
      <c r="W858" t="s">
        <v>17972</v>
      </c>
      <c r="X858" t="s">
        <v>17973</v>
      </c>
      <c r="Y858" t="s">
        <v>17974</v>
      </c>
    </row>
    <row r="859" spans="1:25" x14ac:dyDescent="0.3">
      <c r="A859">
        <v>42900</v>
      </c>
      <c r="B859" t="s">
        <v>17975</v>
      </c>
      <c r="C859" t="s">
        <v>17976</v>
      </c>
      <c r="D859" t="s">
        <v>17977</v>
      </c>
      <c r="E859" t="s">
        <v>17978</v>
      </c>
      <c r="F859" t="s">
        <v>17979</v>
      </c>
      <c r="G859" t="s">
        <v>17980</v>
      </c>
      <c r="H859" t="s">
        <v>17981</v>
      </c>
      <c r="I859" t="s">
        <v>17982</v>
      </c>
      <c r="J859" t="s">
        <v>17983</v>
      </c>
      <c r="K859" t="s">
        <v>17984</v>
      </c>
      <c r="L859" t="s">
        <v>17985</v>
      </c>
      <c r="M859" t="s">
        <v>17986</v>
      </c>
      <c r="N859" t="s">
        <v>17987</v>
      </c>
      <c r="O859">
        <f>-771.805566054474 -39.5454450752993 -725.710229844584</f>
        <v>-1537.0612409743571</v>
      </c>
      <c r="P859">
        <f>-754.476926555774 -19.2056153934395 -410.318111255971</f>
        <v>-1184.0006532051846</v>
      </c>
      <c r="Q859">
        <f>-506.223820330294 -44.6076928900318 -337.056976110417</f>
        <v>-887.88848933074291</v>
      </c>
      <c r="R859" t="s">
        <v>17988</v>
      </c>
      <c r="S859" t="s">
        <v>17989</v>
      </c>
      <c r="T859" t="s">
        <v>17990</v>
      </c>
      <c r="U859" t="s">
        <v>17991</v>
      </c>
      <c r="V859" t="s">
        <v>17992</v>
      </c>
      <c r="W859" t="s">
        <v>17993</v>
      </c>
      <c r="X859" t="s">
        <v>17994</v>
      </c>
      <c r="Y859" t="s">
        <v>17995</v>
      </c>
    </row>
    <row r="860" spans="1:25" x14ac:dyDescent="0.3">
      <c r="A860">
        <v>42950</v>
      </c>
      <c r="B860" t="s">
        <v>17996</v>
      </c>
      <c r="C860" t="s">
        <v>17997</v>
      </c>
      <c r="D860" t="s">
        <v>17998</v>
      </c>
      <c r="E860" t="s">
        <v>17999</v>
      </c>
      <c r="F860" t="s">
        <v>18000</v>
      </c>
      <c r="G860" t="s">
        <v>18001</v>
      </c>
      <c r="H860" t="s">
        <v>18002</v>
      </c>
      <c r="I860" t="s">
        <v>18003</v>
      </c>
      <c r="J860" t="s">
        <v>18004</v>
      </c>
      <c r="K860" t="s">
        <v>18005</v>
      </c>
      <c r="L860" t="s">
        <v>18006</v>
      </c>
      <c r="M860" t="s">
        <v>18007</v>
      </c>
      <c r="N860" t="s">
        <v>18008</v>
      </c>
      <c r="O860">
        <f>-772.338925288813 -40.0782882685335 -725.238121995092</f>
        <v>-1537.6553355524384</v>
      </c>
      <c r="P860">
        <f>-754.924417307928 -19.6450488907387 -409.856782352986</f>
        <v>-1184.4262485516529</v>
      </c>
      <c r="Q860">
        <f>-506.681916609843 -44.5691578408855 -336.395571485734</f>
        <v>-887.64664593646239</v>
      </c>
      <c r="R860" t="s">
        <v>18009</v>
      </c>
      <c r="S860" t="s">
        <v>18010</v>
      </c>
      <c r="T860" t="s">
        <v>18011</v>
      </c>
      <c r="U860" t="s">
        <v>18012</v>
      </c>
      <c r="V860" t="s">
        <v>18013</v>
      </c>
      <c r="W860" t="s">
        <v>18014</v>
      </c>
      <c r="X860" t="s">
        <v>18015</v>
      </c>
      <c r="Y860" t="s">
        <v>18016</v>
      </c>
    </row>
    <row r="861" spans="1:25" x14ac:dyDescent="0.3">
      <c r="A861">
        <v>43000</v>
      </c>
      <c r="B861" t="s">
        <v>18017</v>
      </c>
      <c r="C861" t="s">
        <v>18018</v>
      </c>
      <c r="D861" t="s">
        <v>18019</v>
      </c>
      <c r="E861" t="s">
        <v>18020</v>
      </c>
      <c r="F861" t="s">
        <v>18021</v>
      </c>
      <c r="G861" t="s">
        <v>18022</v>
      </c>
      <c r="H861" t="s">
        <v>18023</v>
      </c>
      <c r="I861" t="s">
        <v>18024</v>
      </c>
      <c r="J861" t="s">
        <v>18025</v>
      </c>
      <c r="K861" t="s">
        <v>18026</v>
      </c>
      <c r="L861" t="s">
        <v>18027</v>
      </c>
      <c r="M861" t="s">
        <v>18028</v>
      </c>
      <c r="N861" t="s">
        <v>18029</v>
      </c>
      <c r="O861">
        <f>-772.603162981624 -40.2542990477245 -724.957015325658</f>
        <v>-1537.8144773550066</v>
      </c>
      <c r="P861">
        <f>-755.102619949624 -19.5231218774736 -409.599883932411</f>
        <v>-1184.2256257595086</v>
      </c>
      <c r="Q861">
        <f>-506.871030759152 -44.432063873898 -336.097120454798</f>
        <v>-887.40021508784798</v>
      </c>
      <c r="R861" t="s">
        <v>18030</v>
      </c>
      <c r="S861" t="s">
        <v>18031</v>
      </c>
      <c r="T861" t="s">
        <v>18032</v>
      </c>
      <c r="U861" t="s">
        <v>18033</v>
      </c>
      <c r="V861" t="s">
        <v>18034</v>
      </c>
      <c r="W861" t="s">
        <v>18035</v>
      </c>
      <c r="X861" t="s">
        <v>18036</v>
      </c>
      <c r="Y861" t="s">
        <v>18037</v>
      </c>
    </row>
    <row r="862" spans="1:25" x14ac:dyDescent="0.3">
      <c r="A862">
        <v>43050</v>
      </c>
      <c r="B862" t="s">
        <v>18038</v>
      </c>
      <c r="C862" t="s">
        <v>18039</v>
      </c>
      <c r="D862" t="s">
        <v>18040</v>
      </c>
      <c r="E862" t="s">
        <v>18041</v>
      </c>
      <c r="F862" t="s">
        <v>18042</v>
      </c>
      <c r="G862" t="s">
        <v>18043</v>
      </c>
      <c r="H862" t="s">
        <v>18044</v>
      </c>
      <c r="I862" t="s">
        <v>18045</v>
      </c>
      <c r="J862" t="s">
        <v>18046</v>
      </c>
      <c r="K862" t="s">
        <v>18047</v>
      </c>
      <c r="L862" t="s">
        <v>18048</v>
      </c>
      <c r="M862" t="s">
        <v>18049</v>
      </c>
      <c r="N862" t="s">
        <v>18050</v>
      </c>
      <c r="O862">
        <f>-773.453649578168 -40.3431571081564 -724.460717409519</f>
        <v>-1538.2575240958436</v>
      </c>
      <c r="P862">
        <f>-755.746994007945 -19.0261987179163 -409.154167426952</f>
        <v>-1183.9273601528132</v>
      </c>
      <c r="Q862">
        <f>-507.634099653156 -44.2038951424313 -335.342451360113</f>
        <v>-887.18044615570034</v>
      </c>
      <c r="R862" t="s">
        <v>18051</v>
      </c>
      <c r="S862" t="s">
        <v>18052</v>
      </c>
      <c r="T862" t="s">
        <v>18053</v>
      </c>
      <c r="U862" t="s">
        <v>18054</v>
      </c>
      <c r="V862" t="s">
        <v>18055</v>
      </c>
      <c r="W862" t="s">
        <v>18056</v>
      </c>
      <c r="X862" t="s">
        <v>18057</v>
      </c>
      <c r="Y862" t="s">
        <v>18058</v>
      </c>
    </row>
    <row r="863" spans="1:25" x14ac:dyDescent="0.3">
      <c r="A863">
        <v>43100</v>
      </c>
      <c r="B863" t="s">
        <v>18059</v>
      </c>
      <c r="C863" t="s">
        <v>18060</v>
      </c>
      <c r="D863" t="s">
        <v>18061</v>
      </c>
      <c r="E863" t="s">
        <v>18062</v>
      </c>
      <c r="F863" t="s">
        <v>18063</v>
      </c>
      <c r="G863" t="s">
        <v>18064</v>
      </c>
      <c r="H863" t="s">
        <v>18065</v>
      </c>
      <c r="I863" t="s">
        <v>18066</v>
      </c>
      <c r="J863" t="s">
        <v>18067</v>
      </c>
      <c r="K863" t="s">
        <v>18068</v>
      </c>
      <c r="L863" t="s">
        <v>18069</v>
      </c>
      <c r="M863" t="s">
        <v>18070</v>
      </c>
      <c r="N863" t="s">
        <v>18071</v>
      </c>
      <c r="O863">
        <f>-773.755644794545 -40.4400640002034 -724.228117513328</f>
        <v>-1538.4238263080765</v>
      </c>
      <c r="P863">
        <f>-756.01059038959 -18.8442631799824 -408.94266764295</f>
        <v>-1183.7975212125225</v>
      </c>
      <c r="Q863">
        <f>-507.92742368701 -44.2242792829741 -335.100537516775</f>
        <v>-887.25224048675909</v>
      </c>
      <c r="R863" t="s">
        <v>18072</v>
      </c>
      <c r="S863" t="s">
        <v>18073</v>
      </c>
      <c r="T863" t="s">
        <v>18074</v>
      </c>
      <c r="U863" t="s">
        <v>18075</v>
      </c>
      <c r="V863" t="s">
        <v>18076</v>
      </c>
      <c r="W863" t="s">
        <v>18077</v>
      </c>
      <c r="X863" t="s">
        <v>18078</v>
      </c>
      <c r="Y863" t="s">
        <v>18079</v>
      </c>
    </row>
    <row r="864" spans="1:25" x14ac:dyDescent="0.3">
      <c r="A864">
        <v>43150</v>
      </c>
      <c r="B864" t="s">
        <v>18080</v>
      </c>
      <c r="C864" t="s">
        <v>18081</v>
      </c>
      <c r="D864" t="s">
        <v>18082</v>
      </c>
      <c r="E864" t="s">
        <v>18083</v>
      </c>
      <c r="F864" t="s">
        <v>18084</v>
      </c>
      <c r="G864" t="s">
        <v>18085</v>
      </c>
      <c r="H864" t="s">
        <v>18086</v>
      </c>
      <c r="I864" t="s">
        <v>18087</v>
      </c>
      <c r="J864" t="s">
        <v>18088</v>
      </c>
      <c r="K864" t="s">
        <v>18089</v>
      </c>
      <c r="L864" t="s">
        <v>18090</v>
      </c>
      <c r="M864" t="s">
        <v>18091</v>
      </c>
      <c r="N864" t="s">
        <v>18092</v>
      </c>
      <c r="O864">
        <f>-774.806145913635 -40.2884095498987 -723.741209614668</f>
        <v>-1538.8357650782018</v>
      </c>
      <c r="P864">
        <f>-757.044579730616 -18.1897575861665 -408.491460289233</f>
        <v>-1183.7257976060155</v>
      </c>
      <c r="Q864">
        <f>-509.030310268696 -43.9608154412329 -334.55331589349</f>
        <v>-887.54444160341882</v>
      </c>
      <c r="R864" t="s">
        <v>18093</v>
      </c>
      <c r="S864" t="s">
        <v>18094</v>
      </c>
      <c r="T864" t="s">
        <v>18095</v>
      </c>
      <c r="U864" t="s">
        <v>18096</v>
      </c>
      <c r="V864" t="s">
        <v>18097</v>
      </c>
      <c r="W864" t="s">
        <v>18098</v>
      </c>
      <c r="X864" t="s">
        <v>18099</v>
      </c>
      <c r="Y864" t="s">
        <v>18100</v>
      </c>
    </row>
    <row r="865" spans="1:25" x14ac:dyDescent="0.3">
      <c r="A865">
        <v>43200</v>
      </c>
      <c r="B865" t="s">
        <v>18101</v>
      </c>
      <c r="C865" t="s">
        <v>18102</v>
      </c>
      <c r="D865" t="s">
        <v>18103</v>
      </c>
      <c r="E865" t="s">
        <v>18104</v>
      </c>
      <c r="F865" t="s">
        <v>18105</v>
      </c>
      <c r="G865" t="s">
        <v>18106</v>
      </c>
      <c r="H865" t="s">
        <v>18107</v>
      </c>
      <c r="I865" t="s">
        <v>18108</v>
      </c>
      <c r="J865" t="s">
        <v>18109</v>
      </c>
      <c r="K865" t="s">
        <v>18110</v>
      </c>
      <c r="L865" t="s">
        <v>18111</v>
      </c>
      <c r="M865" t="s">
        <v>18112</v>
      </c>
      <c r="N865" t="s">
        <v>18113</v>
      </c>
      <c r="O865">
        <f>-775.337505592437 -40.4087719600655 -723.511996308283</f>
        <v>-1539.2582738607853</v>
      </c>
      <c r="P865">
        <f>-757.583096220727 -18.0781183166102 -408.278290339778</f>
        <v>-1183.9395048771153</v>
      </c>
      <c r="Q865">
        <f>-509.564220434217 -44.0535267821547 -334.42719848273</f>
        <v>-888.04494569910173</v>
      </c>
      <c r="R865" t="s">
        <v>18114</v>
      </c>
      <c r="S865" t="s">
        <v>18115</v>
      </c>
      <c r="T865" t="s">
        <v>18116</v>
      </c>
      <c r="U865" t="s">
        <v>18117</v>
      </c>
      <c r="V865" t="s">
        <v>18118</v>
      </c>
      <c r="W865" t="s">
        <v>18119</v>
      </c>
      <c r="X865" t="s">
        <v>18120</v>
      </c>
      <c r="Y865" t="s">
        <v>18121</v>
      </c>
    </row>
    <row r="866" spans="1:25" x14ac:dyDescent="0.3">
      <c r="A866">
        <v>43250</v>
      </c>
      <c r="B866" t="s">
        <v>18122</v>
      </c>
      <c r="C866" t="s">
        <v>18123</v>
      </c>
      <c r="D866" t="s">
        <v>18124</v>
      </c>
      <c r="E866" t="s">
        <v>18125</v>
      </c>
      <c r="F866" t="s">
        <v>18126</v>
      </c>
      <c r="G866" t="s">
        <v>18127</v>
      </c>
      <c r="H866" t="s">
        <v>18128</v>
      </c>
      <c r="I866" t="s">
        <v>18129</v>
      </c>
      <c r="J866" t="s">
        <v>18130</v>
      </c>
      <c r="K866" t="s">
        <v>18131</v>
      </c>
      <c r="L866" t="s">
        <v>18132</v>
      </c>
      <c r="M866" t="s">
        <v>18133</v>
      </c>
      <c r="N866" t="s">
        <v>18134</v>
      </c>
      <c r="O866">
        <f>-776.610492998016 -40.1357557954229 -723.261095958768</f>
        <v>-1540.0073447522068</v>
      </c>
      <c r="P866">
        <f>-758.877648195591 -18.1709392567498 -408.000478036539</f>
        <v>-1185.0490654888797</v>
      </c>
      <c r="Q866">
        <f>-510.910026948836 -44.4000229561636 -334.067116302095</f>
        <v>-889.37716620709455</v>
      </c>
      <c r="R866" t="s">
        <v>18135</v>
      </c>
      <c r="S866" t="s">
        <v>18136</v>
      </c>
      <c r="T866" t="s">
        <v>18137</v>
      </c>
      <c r="U866" t="s">
        <v>18138</v>
      </c>
      <c r="V866" t="s">
        <v>18139</v>
      </c>
      <c r="W866" t="s">
        <v>18140</v>
      </c>
      <c r="X866" t="s">
        <v>18141</v>
      </c>
      <c r="Y866" t="s">
        <v>18142</v>
      </c>
    </row>
    <row r="867" spans="1:25" x14ac:dyDescent="0.3">
      <c r="A867">
        <v>43300</v>
      </c>
      <c r="B867" t="s">
        <v>18143</v>
      </c>
      <c r="C867" t="s">
        <v>18144</v>
      </c>
      <c r="D867" t="s">
        <v>18145</v>
      </c>
      <c r="E867" t="s">
        <v>18146</v>
      </c>
      <c r="F867" t="s">
        <v>18147</v>
      </c>
      <c r="G867" t="s">
        <v>18148</v>
      </c>
      <c r="H867" t="s">
        <v>18149</v>
      </c>
      <c r="I867" t="s">
        <v>18150</v>
      </c>
      <c r="J867" t="s">
        <v>18151</v>
      </c>
      <c r="K867" t="s">
        <v>18152</v>
      </c>
      <c r="L867" t="s">
        <v>18153</v>
      </c>
      <c r="M867" t="s">
        <v>18154</v>
      </c>
      <c r="N867" t="s">
        <v>18155</v>
      </c>
      <c r="O867">
        <f>-777.430448261254 -40.0580375971861 -723.205873752149</f>
        <v>-1540.6943596105891</v>
      </c>
      <c r="P867">
        <f>-759.764852868194 -17.890468747941 -407.955675194242</f>
        <v>-1185.6109968103769</v>
      </c>
      <c r="Q867">
        <f>-511.814443904604 -43.9947836096578 -333.920415192813</f>
        <v>-889.72964270707485</v>
      </c>
      <c r="R867" t="s">
        <v>18156</v>
      </c>
      <c r="S867" t="s">
        <v>18157</v>
      </c>
      <c r="T867" t="s">
        <v>18158</v>
      </c>
      <c r="U867" t="s">
        <v>18159</v>
      </c>
      <c r="V867" t="s">
        <v>18160</v>
      </c>
      <c r="W867" t="s">
        <v>18161</v>
      </c>
      <c r="X867" t="s">
        <v>18162</v>
      </c>
      <c r="Y867" t="s">
        <v>18163</v>
      </c>
    </row>
    <row r="868" spans="1:25" x14ac:dyDescent="0.3">
      <c r="A868">
        <v>43350</v>
      </c>
      <c r="B868" t="s">
        <v>18164</v>
      </c>
      <c r="C868" t="s">
        <v>18165</v>
      </c>
      <c r="D868" t="s">
        <v>18166</v>
      </c>
      <c r="E868" t="s">
        <v>18167</v>
      </c>
      <c r="F868" t="s">
        <v>18168</v>
      </c>
      <c r="G868" t="s">
        <v>18169</v>
      </c>
      <c r="H868" t="s">
        <v>18170</v>
      </c>
      <c r="I868" t="s">
        <v>18171</v>
      </c>
      <c r="J868" t="s">
        <v>18172</v>
      </c>
      <c r="K868" t="s">
        <v>18173</v>
      </c>
      <c r="L868" t="s">
        <v>18174</v>
      </c>
      <c r="M868" t="s">
        <v>18175</v>
      </c>
      <c r="N868" t="s">
        <v>18176</v>
      </c>
      <c r="O868">
        <f>-778.79524070802 -39.8947907495653 -723.139932766013</f>
        <v>-1541.8299642235984</v>
      </c>
      <c r="P868">
        <f>-760.850004985584 -17.7359476196129 -407.904912853592</f>
        <v>-1186.4908654587889</v>
      </c>
      <c r="Q868">
        <f>-513.002697123055 -43.620080961736 -333.448556369697</f>
        <v>-890.0713344544879</v>
      </c>
      <c r="R868" t="s">
        <v>18177</v>
      </c>
      <c r="S868" t="s">
        <v>18178</v>
      </c>
      <c r="T868" t="s">
        <v>18179</v>
      </c>
      <c r="U868" t="s">
        <v>18180</v>
      </c>
      <c r="V868" t="s">
        <v>18181</v>
      </c>
      <c r="W868" t="s">
        <v>18182</v>
      </c>
      <c r="X868" t="s">
        <v>18183</v>
      </c>
      <c r="Y868" t="s">
        <v>18184</v>
      </c>
    </row>
    <row r="869" spans="1:25" x14ac:dyDescent="0.3">
      <c r="A869">
        <v>43400</v>
      </c>
      <c r="B869" t="s">
        <v>18185</v>
      </c>
      <c r="C869" t="s">
        <v>18186</v>
      </c>
      <c r="D869" t="s">
        <v>18187</v>
      </c>
      <c r="E869" t="s">
        <v>18188</v>
      </c>
      <c r="F869" t="s">
        <v>18189</v>
      </c>
      <c r="G869" t="s">
        <v>18190</v>
      </c>
      <c r="H869" t="s">
        <v>18191</v>
      </c>
      <c r="I869" t="s">
        <v>18192</v>
      </c>
      <c r="J869" t="s">
        <v>18193</v>
      </c>
      <c r="K869" t="s">
        <v>18194</v>
      </c>
      <c r="L869" t="s">
        <v>18195</v>
      </c>
      <c r="M869" t="s">
        <v>18196</v>
      </c>
      <c r="N869" t="s">
        <v>18197</v>
      </c>
      <c r="O869">
        <f>-779.394298708185 -39.7636042675488 -723.101920673702</f>
        <v>-1542.2598236494359</v>
      </c>
      <c r="P869">
        <f>-761.445513236904 -17.4440407644211 -407.878523569038</f>
        <v>-1186.7680775703632</v>
      </c>
      <c r="Q869">
        <f>-513.60283969764 -43.0422365405559 -333.307537445218</f>
        <v>-889.9526136834138</v>
      </c>
      <c r="R869" t="s">
        <v>18198</v>
      </c>
      <c r="S869" t="s">
        <v>18199</v>
      </c>
      <c r="T869" t="s">
        <v>18200</v>
      </c>
      <c r="U869" t="s">
        <v>18201</v>
      </c>
      <c r="V869" t="s">
        <v>18202</v>
      </c>
      <c r="W869" t="s">
        <v>18203</v>
      </c>
      <c r="X869" t="s">
        <v>18204</v>
      </c>
      <c r="Y869" t="s">
        <v>18205</v>
      </c>
    </row>
    <row r="870" spans="1:25" x14ac:dyDescent="0.3">
      <c r="A870">
        <v>43450</v>
      </c>
      <c r="B870" t="s">
        <v>18206</v>
      </c>
      <c r="C870" t="s">
        <v>18207</v>
      </c>
      <c r="D870" t="s">
        <v>18208</v>
      </c>
      <c r="E870" t="s">
        <v>18209</v>
      </c>
      <c r="F870" t="s">
        <v>18210</v>
      </c>
      <c r="G870" t="s">
        <v>18211</v>
      </c>
      <c r="H870" t="s">
        <v>18212</v>
      </c>
      <c r="I870" t="s">
        <v>18213</v>
      </c>
      <c r="J870" t="s">
        <v>18214</v>
      </c>
      <c r="K870" t="s">
        <v>18215</v>
      </c>
      <c r="L870" t="s">
        <v>18216</v>
      </c>
      <c r="M870" t="s">
        <v>18217</v>
      </c>
      <c r="N870" t="s">
        <v>18218</v>
      </c>
      <c r="O870">
        <f>-780.485882789363 -39.3458532420373 -723.097068483461</f>
        <v>-1542.9288045148614</v>
      </c>
      <c r="P870">
        <f>-762.722029236084 -16.6551123704273 -407.889466222801</f>
        <v>-1187.2666078293123</v>
      </c>
      <c r="Q870">
        <f>-514.912030725841 -41.6959879138628 -333.021703255606</f>
        <v>-889.62972189530979</v>
      </c>
      <c r="R870" t="s">
        <v>18219</v>
      </c>
      <c r="S870" t="s">
        <v>18220</v>
      </c>
      <c r="T870" t="s">
        <v>18221</v>
      </c>
      <c r="U870" t="s">
        <v>18222</v>
      </c>
      <c r="V870" t="s">
        <v>18223</v>
      </c>
      <c r="W870" t="s">
        <v>18224</v>
      </c>
      <c r="X870" t="s">
        <v>18225</v>
      </c>
      <c r="Y870" t="s">
        <v>18226</v>
      </c>
    </row>
    <row r="871" spans="1:25" x14ac:dyDescent="0.3">
      <c r="A871">
        <v>43500</v>
      </c>
      <c r="B871" t="s">
        <v>18227</v>
      </c>
      <c r="C871" t="s">
        <v>18228</v>
      </c>
      <c r="D871" t="s">
        <v>18229</v>
      </c>
      <c r="E871" t="s">
        <v>18230</v>
      </c>
      <c r="F871" t="s">
        <v>18231</v>
      </c>
      <c r="G871" t="s">
        <v>18232</v>
      </c>
      <c r="H871" t="s">
        <v>18233</v>
      </c>
      <c r="I871" t="s">
        <v>18234</v>
      </c>
      <c r="J871" t="s">
        <v>18235</v>
      </c>
      <c r="K871" t="s">
        <v>18236</v>
      </c>
      <c r="L871" t="s">
        <v>18237</v>
      </c>
      <c r="M871" t="s">
        <v>18238</v>
      </c>
      <c r="N871" t="s">
        <v>18239</v>
      </c>
      <c r="O871">
        <f>-780.855758703691 -39.1271637029579 -723.087405716635</f>
        <v>-1543.0703281232838</v>
      </c>
      <c r="P871">
        <f>-763.269688206436 -16.4888497269321 -407.866080180051</f>
        <v>-1187.624618113419</v>
      </c>
      <c r="Q871">
        <f>-515.470341866103 -41.1232225632432 -332.828262323876</f>
        <v>-889.42182675322215</v>
      </c>
      <c r="R871" t="s">
        <v>18240</v>
      </c>
      <c r="S871" t="s">
        <v>18241</v>
      </c>
      <c r="T871" t="s">
        <v>18242</v>
      </c>
      <c r="U871" t="s">
        <v>18243</v>
      </c>
      <c r="V871" t="s">
        <v>18244</v>
      </c>
      <c r="W871" t="s">
        <v>18245</v>
      </c>
      <c r="X871" t="s">
        <v>18246</v>
      </c>
      <c r="Y871" t="s">
        <v>18247</v>
      </c>
    </row>
    <row r="872" spans="1:25" x14ac:dyDescent="0.3">
      <c r="A872">
        <v>43550</v>
      </c>
      <c r="B872" t="s">
        <v>18248</v>
      </c>
      <c r="C872" t="s">
        <v>18249</v>
      </c>
      <c r="D872" t="s">
        <v>18250</v>
      </c>
      <c r="E872" t="s">
        <v>18251</v>
      </c>
      <c r="F872" t="s">
        <v>18252</v>
      </c>
      <c r="G872" t="s">
        <v>18253</v>
      </c>
      <c r="H872" t="s">
        <v>18254</v>
      </c>
      <c r="I872" t="s">
        <v>18255</v>
      </c>
      <c r="J872" t="s">
        <v>18256</v>
      </c>
      <c r="K872" t="s">
        <v>18257</v>
      </c>
      <c r="L872" t="s">
        <v>18258</v>
      </c>
      <c r="M872" t="s">
        <v>18259</v>
      </c>
      <c r="N872" t="s">
        <v>18260</v>
      </c>
      <c r="O872">
        <f>-781.769880796132 -38.6449529408244 -722.98671846974</f>
        <v>-1543.4015522066966</v>
      </c>
      <c r="P872">
        <f>-764.429577818471 -15.9594536942614 -407.75514693675</f>
        <v>-1188.1441784494823</v>
      </c>
      <c r="Q872">
        <f>-516.650749894233 -39.7033638174885 -332.363498479939</f>
        <v>-888.71761219166046</v>
      </c>
      <c r="R872" t="s">
        <v>18261</v>
      </c>
      <c r="S872" t="s">
        <v>18262</v>
      </c>
      <c r="T872" t="s">
        <v>18263</v>
      </c>
      <c r="U872" t="s">
        <v>18264</v>
      </c>
      <c r="V872" t="s">
        <v>18265</v>
      </c>
      <c r="W872" t="s">
        <v>18266</v>
      </c>
      <c r="X872" t="s">
        <v>18267</v>
      </c>
      <c r="Y872" t="s">
        <v>18268</v>
      </c>
    </row>
    <row r="873" spans="1:25" x14ac:dyDescent="0.3">
      <c r="A873">
        <v>43600</v>
      </c>
      <c r="B873" t="s">
        <v>18269</v>
      </c>
      <c r="C873" t="s">
        <v>18270</v>
      </c>
      <c r="D873" t="s">
        <v>18271</v>
      </c>
      <c r="E873" t="s">
        <v>18272</v>
      </c>
      <c r="F873" t="s">
        <v>18273</v>
      </c>
      <c r="G873" t="s">
        <v>18274</v>
      </c>
      <c r="H873" t="s">
        <v>18275</v>
      </c>
      <c r="I873" t="s">
        <v>18276</v>
      </c>
      <c r="J873" t="s">
        <v>18277</v>
      </c>
      <c r="K873" t="s">
        <v>18278</v>
      </c>
      <c r="L873" t="s">
        <v>18279</v>
      </c>
      <c r="M873" t="s">
        <v>18280</v>
      </c>
      <c r="N873" t="s">
        <v>18281</v>
      </c>
      <c r="O873">
        <f>-782.195301954058 -38.5062277064005 -722.93479782543</f>
        <v>-1543.6363274858886</v>
      </c>
      <c r="P873">
        <f>-764.817094009966 -15.7118799364773 -407.713317076457</f>
        <v>-1188.2422910229002</v>
      </c>
      <c r="Q873">
        <f>-517.054028008379 -39.1824170893008 -332.184228634552</f>
        <v>-888.42067373223176</v>
      </c>
      <c r="R873" t="s">
        <v>18282</v>
      </c>
      <c r="S873" t="s">
        <v>18283</v>
      </c>
      <c r="T873" t="s">
        <v>18284</v>
      </c>
      <c r="U873" t="s">
        <v>18285</v>
      </c>
      <c r="V873" t="s">
        <v>18286</v>
      </c>
      <c r="W873" t="s">
        <v>18287</v>
      </c>
      <c r="X873" t="s">
        <v>18288</v>
      </c>
      <c r="Y873" t="s">
        <v>18289</v>
      </c>
    </row>
    <row r="874" spans="1:25" x14ac:dyDescent="0.3">
      <c r="A874">
        <v>43650</v>
      </c>
      <c r="B874" t="s">
        <v>18290</v>
      </c>
      <c r="C874" t="s">
        <v>18291</v>
      </c>
      <c r="D874" t="s">
        <v>18292</v>
      </c>
      <c r="E874" t="s">
        <v>18293</v>
      </c>
      <c r="F874" t="s">
        <v>18294</v>
      </c>
      <c r="G874" t="s">
        <v>18295</v>
      </c>
      <c r="H874" t="s">
        <v>18296</v>
      </c>
      <c r="I874" t="s">
        <v>18297</v>
      </c>
      <c r="J874" t="s">
        <v>18298</v>
      </c>
      <c r="K874" t="s">
        <v>18299</v>
      </c>
      <c r="L874" t="s">
        <v>18300</v>
      </c>
      <c r="M874" t="s">
        <v>18301</v>
      </c>
      <c r="N874" t="s">
        <v>18302</v>
      </c>
      <c r="O874">
        <f>-783.19968971515 -38.5582173457958 -722.902342642846</f>
        <v>-1544.6602497037918</v>
      </c>
      <c r="P874">
        <f>-765.678549446945 -15.5211933187579 -407.706442305438</f>
        <v>-1188.906185071141</v>
      </c>
      <c r="Q874">
        <f>-517.885504270427 -38.7442513653698 -332.198982479081</f>
        <v>-888.82873811487775</v>
      </c>
      <c r="R874" t="s">
        <v>18303</v>
      </c>
      <c r="S874" t="s">
        <v>18304</v>
      </c>
      <c r="T874" t="s">
        <v>18305</v>
      </c>
      <c r="U874" t="s">
        <v>18306</v>
      </c>
      <c r="V874" t="s">
        <v>18307</v>
      </c>
      <c r="W874" t="s">
        <v>18308</v>
      </c>
      <c r="X874" t="s">
        <v>18309</v>
      </c>
      <c r="Y874" t="s">
        <v>18310</v>
      </c>
    </row>
    <row r="875" spans="1:25" x14ac:dyDescent="0.3">
      <c r="A875">
        <v>43700</v>
      </c>
      <c r="B875" t="s">
        <v>18311</v>
      </c>
      <c r="C875" t="s">
        <v>18312</v>
      </c>
      <c r="D875" t="s">
        <v>18313</v>
      </c>
      <c r="E875" t="s">
        <v>18314</v>
      </c>
      <c r="F875" t="s">
        <v>18315</v>
      </c>
      <c r="G875" t="s">
        <v>18316</v>
      </c>
      <c r="H875" t="s">
        <v>18317</v>
      </c>
      <c r="I875" t="s">
        <v>18318</v>
      </c>
      <c r="J875" t="s">
        <v>18319</v>
      </c>
      <c r="K875" t="s">
        <v>18320</v>
      </c>
      <c r="L875" t="s">
        <v>18321</v>
      </c>
      <c r="M875" t="s">
        <v>18322</v>
      </c>
      <c r="N875" t="s">
        <v>18323</v>
      </c>
      <c r="O875">
        <f>-783.920010130513 -38.6200292934095 -722.976096808768</f>
        <v>-1545.5161362326905</v>
      </c>
      <c r="P875">
        <f>-766.254763061445 -15.5319469309748 -407.79197651893</f>
        <v>-1189.5786865113498</v>
      </c>
      <c r="Q875">
        <f>-518.437205564646 -38.5691373741313 -332.308115644731</f>
        <v>-889.31445858350821</v>
      </c>
      <c r="R875" t="s">
        <v>18324</v>
      </c>
      <c r="S875" t="s">
        <v>18325</v>
      </c>
      <c r="T875" t="s">
        <v>18326</v>
      </c>
      <c r="U875" t="s">
        <v>18327</v>
      </c>
      <c r="V875" t="s">
        <v>18328</v>
      </c>
      <c r="W875" t="s">
        <v>18329</v>
      </c>
      <c r="X875" t="s">
        <v>18330</v>
      </c>
      <c r="Y875" t="s">
        <v>18331</v>
      </c>
    </row>
    <row r="876" spans="1:25" x14ac:dyDescent="0.3">
      <c r="A876">
        <v>43750</v>
      </c>
      <c r="B876" t="s">
        <v>18332</v>
      </c>
      <c r="C876" t="s">
        <v>18333</v>
      </c>
      <c r="D876" t="s">
        <v>18334</v>
      </c>
      <c r="E876" t="s">
        <v>18335</v>
      </c>
      <c r="F876" t="s">
        <v>18336</v>
      </c>
      <c r="G876" t="s">
        <v>18337</v>
      </c>
      <c r="H876" t="s">
        <v>18338</v>
      </c>
      <c r="I876" t="s">
        <v>18339</v>
      </c>
      <c r="J876" t="s">
        <v>18340</v>
      </c>
      <c r="K876" t="s">
        <v>18341</v>
      </c>
      <c r="L876" t="s">
        <v>18342</v>
      </c>
      <c r="M876" t="s">
        <v>18343</v>
      </c>
      <c r="N876" t="s">
        <v>18344</v>
      </c>
      <c r="O876">
        <f>-784.93691202554 -38.5878647142586 -722.917279256059</f>
        <v>-1546.4420559958576</v>
      </c>
      <c r="P876">
        <f>-766.998530908058 -15.2628053109922 -407.765959984969</f>
        <v>-1190.0272962040192</v>
      </c>
      <c r="Q876">
        <f>-519.092002206794 -38.1338669835161 -332.524462285931</f>
        <v>-889.75033147624106</v>
      </c>
      <c r="R876" t="s">
        <v>18345</v>
      </c>
      <c r="S876" t="s">
        <v>18346</v>
      </c>
      <c r="T876" t="s">
        <v>18347</v>
      </c>
      <c r="U876" t="s">
        <v>18348</v>
      </c>
      <c r="V876" t="s">
        <v>18349</v>
      </c>
      <c r="W876" t="s">
        <v>18350</v>
      </c>
      <c r="X876" t="s">
        <v>18351</v>
      </c>
      <c r="Y876" t="s">
        <v>18352</v>
      </c>
    </row>
    <row r="877" spans="1:25" x14ac:dyDescent="0.3">
      <c r="A877">
        <v>43800</v>
      </c>
      <c r="B877" t="s">
        <v>18353</v>
      </c>
      <c r="C877" t="s">
        <v>18354</v>
      </c>
      <c r="D877" t="s">
        <v>18355</v>
      </c>
      <c r="E877" t="s">
        <v>18356</v>
      </c>
      <c r="F877" t="s">
        <v>18357</v>
      </c>
      <c r="G877" t="s">
        <v>18358</v>
      </c>
      <c r="H877" t="s">
        <v>18359</v>
      </c>
      <c r="I877" t="s">
        <v>18360</v>
      </c>
      <c r="J877" t="s">
        <v>18361</v>
      </c>
      <c r="K877" t="s">
        <v>18362</v>
      </c>
      <c r="L877" t="s">
        <v>18363</v>
      </c>
      <c r="M877" t="s">
        <v>18364</v>
      </c>
      <c r="N877" t="s">
        <v>18365</v>
      </c>
      <c r="O877">
        <f>-785.428214472512 -38.4796543343182 -722.890413287853</f>
        <v>-1546.7982820946831</v>
      </c>
      <c r="P877">
        <f>-767.426245082417 -15.1978902355811 -407.739648108927</f>
        <v>-1190.3637834269252</v>
      </c>
      <c r="Q877">
        <f>-519.466882027172 -37.7920199536813 -332.588251926142</f>
        <v>-889.84715390699535</v>
      </c>
      <c r="R877" t="s">
        <v>18366</v>
      </c>
      <c r="S877" t="s">
        <v>18367</v>
      </c>
      <c r="T877" t="s">
        <v>18368</v>
      </c>
      <c r="U877" t="s">
        <v>18369</v>
      </c>
      <c r="V877" t="s">
        <v>18370</v>
      </c>
      <c r="W877" t="s">
        <v>18371</v>
      </c>
      <c r="X877" t="s">
        <v>18372</v>
      </c>
      <c r="Y877" t="s">
        <v>18373</v>
      </c>
    </row>
    <row r="878" spans="1:25" x14ac:dyDescent="0.3">
      <c r="A878">
        <v>43850</v>
      </c>
      <c r="B878" t="s">
        <v>18374</v>
      </c>
      <c r="C878" t="s">
        <v>18375</v>
      </c>
      <c r="D878" t="s">
        <v>18376</v>
      </c>
      <c r="E878" t="s">
        <v>18377</v>
      </c>
      <c r="F878" t="s">
        <v>18378</v>
      </c>
      <c r="G878" t="s">
        <v>18379</v>
      </c>
      <c r="H878" t="s">
        <v>18380</v>
      </c>
      <c r="I878" t="s">
        <v>18381</v>
      </c>
      <c r="J878" t="s">
        <v>18382</v>
      </c>
      <c r="K878" t="s">
        <v>18383</v>
      </c>
      <c r="L878" t="s">
        <v>18384</v>
      </c>
      <c r="M878" t="s">
        <v>18385</v>
      </c>
      <c r="N878" t="s">
        <v>18386</v>
      </c>
      <c r="O878">
        <f>-786.104847171795 -38.4673023544774 -722.720332031412</f>
        <v>-1547.2924815576844</v>
      </c>
      <c r="P878">
        <f>-767.98334793832 -15.1039647334617 -407.582332693706</f>
        <v>-1190.6696453654877</v>
      </c>
      <c r="Q878">
        <f>-519.944816700152 -37.7433547753744 -332.70640591629</f>
        <v>-890.39457739181648</v>
      </c>
      <c r="R878" t="s">
        <v>18387</v>
      </c>
      <c r="S878" t="s">
        <v>18388</v>
      </c>
      <c r="T878" t="s">
        <v>18389</v>
      </c>
      <c r="U878" t="s">
        <v>18390</v>
      </c>
      <c r="V878" t="s">
        <v>18391</v>
      </c>
      <c r="W878" t="s">
        <v>18392</v>
      </c>
      <c r="X878" t="s">
        <v>18393</v>
      </c>
      <c r="Y878" t="s">
        <v>18394</v>
      </c>
    </row>
    <row r="879" spans="1:25" x14ac:dyDescent="0.3">
      <c r="A879">
        <v>43900</v>
      </c>
      <c r="B879" t="s">
        <v>18395</v>
      </c>
      <c r="C879" t="s">
        <v>18396</v>
      </c>
      <c r="D879" t="s">
        <v>18397</v>
      </c>
      <c r="E879" t="s">
        <v>18398</v>
      </c>
      <c r="F879" t="s">
        <v>18399</v>
      </c>
      <c r="G879" t="s">
        <v>18400</v>
      </c>
      <c r="H879" t="s">
        <v>18401</v>
      </c>
      <c r="I879" t="s">
        <v>18402</v>
      </c>
      <c r="J879" t="s">
        <v>18403</v>
      </c>
      <c r="K879" t="s">
        <v>18404</v>
      </c>
      <c r="L879" t="s">
        <v>18405</v>
      </c>
      <c r="M879" t="s">
        <v>18406</v>
      </c>
      <c r="N879" t="s">
        <v>18407</v>
      </c>
      <c r="O879">
        <f>-786.308088227476 -38.3483420097512 -722.600184449791</f>
        <v>-1547.2566146870181</v>
      </c>
      <c r="P879">
        <f>-767.990365273318 -15.1868378783311 -407.458616302347</f>
        <v>-1190.6358194539962</v>
      </c>
      <c r="Q879">
        <f>-519.941723666661 -37.775310518118 -332.600902449998</f>
        <v>-890.31793663477697</v>
      </c>
      <c r="R879" t="s">
        <v>18408</v>
      </c>
      <c r="S879" t="s">
        <v>18409</v>
      </c>
      <c r="T879" t="s">
        <v>18410</v>
      </c>
      <c r="U879" t="s">
        <v>18411</v>
      </c>
      <c r="V879" t="s">
        <v>18412</v>
      </c>
      <c r="W879" t="s">
        <v>18413</v>
      </c>
      <c r="X879" t="s">
        <v>18414</v>
      </c>
      <c r="Y879" t="s">
        <v>18415</v>
      </c>
    </row>
    <row r="880" spans="1:25" x14ac:dyDescent="0.3">
      <c r="A880">
        <v>43950</v>
      </c>
      <c r="B880" t="s">
        <v>18416</v>
      </c>
      <c r="C880" t="s">
        <v>18417</v>
      </c>
      <c r="D880" t="s">
        <v>18418</v>
      </c>
      <c r="E880" t="s">
        <v>18419</v>
      </c>
      <c r="F880" t="s">
        <v>18420</v>
      </c>
      <c r="G880" t="s">
        <v>18421</v>
      </c>
      <c r="H880" t="s">
        <v>18422</v>
      </c>
      <c r="I880" t="s">
        <v>18423</v>
      </c>
      <c r="J880" t="s">
        <v>18424</v>
      </c>
      <c r="K880" t="s">
        <v>18425</v>
      </c>
      <c r="L880" t="s">
        <v>18426</v>
      </c>
      <c r="M880" t="s">
        <v>18427</v>
      </c>
      <c r="N880" t="s">
        <v>18428</v>
      </c>
      <c r="O880">
        <f>-786.743804298583 -38.2029170396306 -722.194719719375</f>
        <v>-1547.1414410575885</v>
      </c>
      <c r="P880">
        <f>-768.464681333554 -14.9852217839677 -407.055129440487</f>
        <v>-1190.5050325580087</v>
      </c>
      <c r="Q880">
        <f>-520.414417706028 -37.6245667031214 -332.218222969605</f>
        <v>-890.2572073787544</v>
      </c>
      <c r="R880" t="s">
        <v>18429</v>
      </c>
      <c r="S880" t="s">
        <v>18430</v>
      </c>
      <c r="T880" t="s">
        <v>18431</v>
      </c>
      <c r="U880" t="s">
        <v>18432</v>
      </c>
      <c r="V880" t="s">
        <v>18433</v>
      </c>
      <c r="W880" t="s">
        <v>18434</v>
      </c>
      <c r="X880" t="s">
        <v>18435</v>
      </c>
      <c r="Y880" t="s">
        <v>18436</v>
      </c>
    </row>
    <row r="881" spans="1:25" x14ac:dyDescent="0.3">
      <c r="A881">
        <v>44000</v>
      </c>
      <c r="B881" t="s">
        <v>18437</v>
      </c>
      <c r="C881" t="s">
        <v>18438</v>
      </c>
      <c r="D881" t="s">
        <v>18439</v>
      </c>
      <c r="E881" t="s">
        <v>18440</v>
      </c>
      <c r="F881" t="s">
        <v>18441</v>
      </c>
      <c r="G881" t="s">
        <v>18442</v>
      </c>
      <c r="H881" t="s">
        <v>18443</v>
      </c>
      <c r="I881" t="s">
        <v>18444</v>
      </c>
      <c r="J881" t="s">
        <v>18445</v>
      </c>
      <c r="K881" t="s">
        <v>18446</v>
      </c>
      <c r="L881" t="s">
        <v>18447</v>
      </c>
      <c r="M881" t="s">
        <v>18448</v>
      </c>
      <c r="N881" t="s">
        <v>18449</v>
      </c>
      <c r="O881">
        <f>-786.833885532551 -37.9199566886896 -721.982585636351</f>
        <v>-1546.7364278575915</v>
      </c>
      <c r="P881">
        <f>-768.452684312716 -14.7509045023223 -406.845252558907</f>
        <v>-1190.0488413739454</v>
      </c>
      <c r="Q881">
        <f>-520.42974833373 -37.2991471057796 -331.890244208477</f>
        <v>-889.61913964798669</v>
      </c>
      <c r="R881" t="s">
        <v>18450</v>
      </c>
      <c r="S881" t="s">
        <v>18451</v>
      </c>
      <c r="T881" t="s">
        <v>18452</v>
      </c>
      <c r="U881" t="s">
        <v>18453</v>
      </c>
      <c r="V881" t="s">
        <v>18454</v>
      </c>
      <c r="W881" t="s">
        <v>18455</v>
      </c>
      <c r="X881" t="s">
        <v>18456</v>
      </c>
      <c r="Y881" t="s">
        <v>18457</v>
      </c>
    </row>
    <row r="882" spans="1:25" x14ac:dyDescent="0.3">
      <c r="A882">
        <v>44050</v>
      </c>
      <c r="B882" t="s">
        <v>18458</v>
      </c>
      <c r="C882" t="s">
        <v>18459</v>
      </c>
      <c r="D882" t="s">
        <v>18460</v>
      </c>
      <c r="E882" t="s">
        <v>18461</v>
      </c>
      <c r="F882" t="s">
        <v>18462</v>
      </c>
      <c r="G882" t="s">
        <v>18463</v>
      </c>
      <c r="H882" t="s">
        <v>18464</v>
      </c>
      <c r="I882" t="s">
        <v>18465</v>
      </c>
      <c r="J882" t="s">
        <v>18466</v>
      </c>
      <c r="K882" t="s">
        <v>18467</v>
      </c>
      <c r="L882" t="s">
        <v>18468</v>
      </c>
      <c r="M882" t="s">
        <v>18469</v>
      </c>
      <c r="N882" t="s">
        <v>18470</v>
      </c>
      <c r="O882">
        <f>-787.112629179666 -37.4947348127075 -721.549727494592</f>
        <v>-1546.1570914869656</v>
      </c>
      <c r="P882">
        <f>-768.676612928259 -14.2956761574562 -406.417852480975</f>
        <v>-1189.3901415666903</v>
      </c>
      <c r="Q882">
        <f>-520.688987344761 -37.1538936884645 -331.439747930383</f>
        <v>-889.28262896360843</v>
      </c>
      <c r="R882" t="s">
        <v>18471</v>
      </c>
      <c r="S882" t="s">
        <v>18472</v>
      </c>
      <c r="T882" t="s">
        <v>18473</v>
      </c>
      <c r="U882" t="s">
        <v>18474</v>
      </c>
      <c r="V882" t="s">
        <v>18475</v>
      </c>
      <c r="W882" t="s">
        <v>18476</v>
      </c>
      <c r="X882" t="s">
        <v>18477</v>
      </c>
      <c r="Y882" t="s">
        <v>18478</v>
      </c>
    </row>
    <row r="883" spans="1:25" x14ac:dyDescent="0.3">
      <c r="A883">
        <v>44100</v>
      </c>
      <c r="B883" t="s">
        <v>18479</v>
      </c>
      <c r="C883" t="s">
        <v>18480</v>
      </c>
      <c r="D883" t="s">
        <v>18481</v>
      </c>
      <c r="E883" t="s">
        <v>18482</v>
      </c>
      <c r="F883" t="s">
        <v>18483</v>
      </c>
      <c r="G883" t="s">
        <v>18484</v>
      </c>
      <c r="H883" t="s">
        <v>18485</v>
      </c>
      <c r="I883" t="s">
        <v>18486</v>
      </c>
      <c r="J883" t="s">
        <v>18487</v>
      </c>
      <c r="K883" t="s">
        <v>18488</v>
      </c>
      <c r="L883" t="s">
        <v>18489</v>
      </c>
      <c r="M883" t="s">
        <v>18490</v>
      </c>
      <c r="N883" t="s">
        <v>18491</v>
      </c>
      <c r="O883">
        <f>-787.294692233604 -37.4114238473185 -721.47636720988</f>
        <v>-1546.1824832908023</v>
      </c>
      <c r="P883">
        <f>-768.868140447205 -14.1305610918089 -406.350068300042</f>
        <v>-1189.3487698390559</v>
      </c>
      <c r="Q883">
        <f>-520.855020802672 -37.1447085302596 -331.504302525035</f>
        <v>-889.50403185796654</v>
      </c>
      <c r="R883" t="s">
        <v>18492</v>
      </c>
      <c r="S883" t="s">
        <v>18493</v>
      </c>
      <c r="T883" t="s">
        <v>18494</v>
      </c>
      <c r="U883" t="s">
        <v>18495</v>
      </c>
      <c r="V883" t="s">
        <v>18496</v>
      </c>
      <c r="W883" t="s">
        <v>18497</v>
      </c>
      <c r="X883" t="s">
        <v>18498</v>
      </c>
      <c r="Y883" t="s">
        <v>18499</v>
      </c>
    </row>
    <row r="884" spans="1:25" x14ac:dyDescent="0.3">
      <c r="A884">
        <v>44150</v>
      </c>
      <c r="B884" t="s">
        <v>18500</v>
      </c>
      <c r="C884" t="s">
        <v>18501</v>
      </c>
      <c r="D884" t="s">
        <v>18502</v>
      </c>
      <c r="E884" t="s">
        <v>18503</v>
      </c>
      <c r="F884" t="s">
        <v>18504</v>
      </c>
      <c r="G884" t="s">
        <v>18505</v>
      </c>
      <c r="H884" t="s">
        <v>18506</v>
      </c>
      <c r="I884" t="s">
        <v>18507</v>
      </c>
      <c r="J884" t="s">
        <v>18508</v>
      </c>
      <c r="K884" t="s">
        <v>18509</v>
      </c>
      <c r="L884" t="s">
        <v>18510</v>
      </c>
      <c r="M884" t="s">
        <v>18511</v>
      </c>
      <c r="N884" t="s">
        <v>18512</v>
      </c>
      <c r="O884">
        <f>-787.356982430907 -37.3554738527321 -721.504635614621</f>
        <v>-1546.2170918982602</v>
      </c>
      <c r="P884">
        <f>-768.687874170118 -14.1671980708891 -406.385651607349</f>
        <v>-1189.2407238483561</v>
      </c>
      <c r="Q884">
        <f>-520.708602507916 -37.3719927146808 -331.486642691399</f>
        <v>-889.56723791399577</v>
      </c>
      <c r="R884" t="s">
        <v>18513</v>
      </c>
      <c r="S884" t="s">
        <v>18514</v>
      </c>
      <c r="T884" t="s">
        <v>18515</v>
      </c>
      <c r="U884" t="s">
        <v>18516</v>
      </c>
      <c r="V884" t="s">
        <v>18517</v>
      </c>
      <c r="W884" t="s">
        <v>18518</v>
      </c>
      <c r="X884" t="s">
        <v>18519</v>
      </c>
      <c r="Y884" t="s">
        <v>18520</v>
      </c>
    </row>
    <row r="885" spans="1:25" x14ac:dyDescent="0.3">
      <c r="A885">
        <v>44200</v>
      </c>
      <c r="B885" t="s">
        <v>18521</v>
      </c>
      <c r="C885" t="s">
        <v>18522</v>
      </c>
      <c r="D885" t="s">
        <v>18523</v>
      </c>
      <c r="E885" t="s">
        <v>18524</v>
      </c>
      <c r="F885" t="s">
        <v>18525</v>
      </c>
      <c r="G885" t="s">
        <v>18526</v>
      </c>
      <c r="H885" t="s">
        <v>18527</v>
      </c>
      <c r="I885" t="s">
        <v>18528</v>
      </c>
      <c r="J885" t="s">
        <v>18529</v>
      </c>
      <c r="K885" t="s">
        <v>18530</v>
      </c>
      <c r="L885" t="s">
        <v>18531</v>
      </c>
      <c r="M885" t="s">
        <v>18532</v>
      </c>
      <c r="N885" t="s">
        <v>18533</v>
      </c>
      <c r="O885">
        <f>-787.364920303701 -37.573181062666 -721.516637619272</f>
        <v>-1546.4547389856389</v>
      </c>
      <c r="P885">
        <f>-768.765134718351 -13.9925387341475 -406.422770469276</f>
        <v>-1189.1804439217744</v>
      </c>
      <c r="Q885">
        <f>-520.789824200165 -37.2646524674151 -331.531509864044</f>
        <v>-889.58598653162403</v>
      </c>
      <c r="R885" t="s">
        <v>18534</v>
      </c>
      <c r="S885" t="s">
        <v>18535</v>
      </c>
      <c r="T885" t="s">
        <v>18536</v>
      </c>
      <c r="U885" t="s">
        <v>18537</v>
      </c>
      <c r="V885" t="s">
        <v>18538</v>
      </c>
      <c r="W885" t="s">
        <v>18539</v>
      </c>
      <c r="X885" t="s">
        <v>18540</v>
      </c>
      <c r="Y885" t="s">
        <v>18541</v>
      </c>
    </row>
    <row r="886" spans="1:25" x14ac:dyDescent="0.3">
      <c r="A886">
        <v>44250</v>
      </c>
      <c r="B886" t="s">
        <v>18542</v>
      </c>
      <c r="C886" t="s">
        <v>18543</v>
      </c>
      <c r="D886" t="s">
        <v>18544</v>
      </c>
      <c r="E886" t="s">
        <v>18545</v>
      </c>
      <c r="F886" t="s">
        <v>18546</v>
      </c>
      <c r="G886" t="s">
        <v>18547</v>
      </c>
      <c r="H886" t="s">
        <v>18548</v>
      </c>
      <c r="I886" t="s">
        <v>18549</v>
      </c>
      <c r="J886" t="s">
        <v>18550</v>
      </c>
      <c r="K886" t="s">
        <v>18551</v>
      </c>
      <c r="L886" t="s">
        <v>18552</v>
      </c>
      <c r="M886" t="s">
        <v>18553</v>
      </c>
      <c r="N886" t="s">
        <v>18554</v>
      </c>
      <c r="O886">
        <f>-787.187364264675 -37.9988481590308 -721.667009560528</f>
        <v>-1546.8532219842336</v>
      </c>
      <c r="P886">
        <f>-768.584859636634 -14.1937087186777 -406.590080738176</f>
        <v>-1189.3686490934876</v>
      </c>
      <c r="Q886">
        <f>-520.765984800894 -37.9746279772285 -331.341757919873</f>
        <v>-890.08237069799543</v>
      </c>
      <c r="R886" t="s">
        <v>18555</v>
      </c>
      <c r="S886" t="s">
        <v>18556</v>
      </c>
      <c r="T886" t="s">
        <v>18557</v>
      </c>
      <c r="U886" t="s">
        <v>18558</v>
      </c>
      <c r="V886" t="s">
        <v>18559</v>
      </c>
      <c r="W886" t="s">
        <v>18560</v>
      </c>
      <c r="X886" t="s">
        <v>18561</v>
      </c>
      <c r="Y886" t="s">
        <v>18562</v>
      </c>
    </row>
    <row r="887" spans="1:25" x14ac:dyDescent="0.3">
      <c r="A887">
        <v>44300</v>
      </c>
      <c r="B887" t="s">
        <v>18563</v>
      </c>
      <c r="C887" t="s">
        <v>18564</v>
      </c>
      <c r="D887" t="s">
        <v>18565</v>
      </c>
      <c r="E887" t="s">
        <v>18566</v>
      </c>
      <c r="F887" t="s">
        <v>18567</v>
      </c>
      <c r="G887" t="s">
        <v>18568</v>
      </c>
      <c r="H887" t="s">
        <v>18569</v>
      </c>
      <c r="I887" t="s">
        <v>18570</v>
      </c>
      <c r="J887" t="s">
        <v>18571</v>
      </c>
      <c r="K887" t="s">
        <v>18572</v>
      </c>
      <c r="L887" t="s">
        <v>18573</v>
      </c>
      <c r="M887" t="s">
        <v>18574</v>
      </c>
      <c r="N887" t="s">
        <v>18575</v>
      </c>
      <c r="O887">
        <f>-787.204751188853 -38.3193812106756 -721.704028490498</f>
        <v>-1547.2281608900266</v>
      </c>
      <c r="P887">
        <f>-768.488470521369 -14.2781980578377 -406.651743734128</f>
        <v>-1189.4184123133346</v>
      </c>
      <c r="Q887">
        <f>-520.793206927335 -38.398192910309 -331.104797956284</f>
        <v>-890.29619779392806</v>
      </c>
      <c r="R887" t="s">
        <v>18576</v>
      </c>
      <c r="S887" t="s">
        <v>18577</v>
      </c>
      <c r="T887" t="s">
        <v>18578</v>
      </c>
      <c r="U887" t="s">
        <v>18579</v>
      </c>
      <c r="V887" t="s">
        <v>18580</v>
      </c>
      <c r="W887" t="s">
        <v>18581</v>
      </c>
      <c r="X887" t="s">
        <v>18582</v>
      </c>
      <c r="Y887" t="s">
        <v>18583</v>
      </c>
    </row>
    <row r="888" spans="1:25" x14ac:dyDescent="0.3">
      <c r="A888">
        <v>44350</v>
      </c>
      <c r="B888" t="s">
        <v>18584</v>
      </c>
      <c r="C888" t="s">
        <v>18585</v>
      </c>
      <c r="D888" t="s">
        <v>18586</v>
      </c>
      <c r="E888" t="s">
        <v>18587</v>
      </c>
      <c r="F888" t="s">
        <v>18588</v>
      </c>
      <c r="G888" t="s">
        <v>18589</v>
      </c>
      <c r="H888" t="s">
        <v>18590</v>
      </c>
      <c r="I888" t="s">
        <v>18591</v>
      </c>
      <c r="J888" t="s">
        <v>18592</v>
      </c>
      <c r="K888" t="s">
        <v>18593</v>
      </c>
      <c r="L888" t="s">
        <v>18594</v>
      </c>
      <c r="M888" t="s">
        <v>18595</v>
      </c>
      <c r="N888" t="s">
        <v>18596</v>
      </c>
      <c r="O888">
        <f>-787.135954452917 -39.1445663950528 -721.370693894614</f>
        <v>-1547.6512147425838</v>
      </c>
      <c r="P888">
        <f>-767.875241448044 -14.4364198356168 -406.402954008776</f>
        <v>-1188.7146152924367</v>
      </c>
      <c r="Q888">
        <f>-520.333916288978 -39.1938820840721 -330.558326929987</f>
        <v>-890.08612530303708</v>
      </c>
      <c r="R888" t="s">
        <v>18597</v>
      </c>
      <c r="S888" t="s">
        <v>18598</v>
      </c>
      <c r="T888" t="s">
        <v>18599</v>
      </c>
      <c r="U888" t="s">
        <v>18600</v>
      </c>
      <c r="V888" t="s">
        <v>18601</v>
      </c>
      <c r="W888" t="s">
        <v>18602</v>
      </c>
      <c r="X888" t="s">
        <v>18603</v>
      </c>
      <c r="Y888" t="s">
        <v>18604</v>
      </c>
    </row>
    <row r="889" spans="1:25" x14ac:dyDescent="0.3">
      <c r="A889">
        <v>44400</v>
      </c>
      <c r="B889" t="s">
        <v>18605</v>
      </c>
      <c r="C889" t="s">
        <v>18606</v>
      </c>
      <c r="D889" t="s">
        <v>18607</v>
      </c>
      <c r="E889" t="s">
        <v>18608</v>
      </c>
      <c r="F889" t="s">
        <v>18609</v>
      </c>
      <c r="G889" t="s">
        <v>18610</v>
      </c>
      <c r="H889" t="s">
        <v>18611</v>
      </c>
      <c r="I889" t="s">
        <v>18612</v>
      </c>
      <c r="J889" t="s">
        <v>18613</v>
      </c>
      <c r="K889" t="s">
        <v>18614</v>
      </c>
      <c r="L889" t="s">
        <v>18615</v>
      </c>
      <c r="M889" t="s">
        <v>18616</v>
      </c>
      <c r="N889" t="s">
        <v>18617</v>
      </c>
      <c r="O889">
        <f>-787.05340552625 -39.4462105732589 -721.145921929296</f>
        <v>-1547.6455380288048</v>
      </c>
      <c r="P889">
        <f>-767.372914401779 -14.5232203658893 -406.220942815571</f>
        <v>-1188.1170775832393</v>
      </c>
      <c r="Q889">
        <f>-519.905247622879 -39.4305262456464 -330.185468185636</f>
        <v>-889.52124205416135</v>
      </c>
      <c r="R889" t="s">
        <v>18618</v>
      </c>
      <c r="S889" t="s">
        <v>18619</v>
      </c>
      <c r="T889" t="s">
        <v>18620</v>
      </c>
      <c r="U889" t="s">
        <v>18621</v>
      </c>
      <c r="V889" t="s">
        <v>18622</v>
      </c>
      <c r="W889" t="s">
        <v>18623</v>
      </c>
      <c r="X889" t="s">
        <v>18624</v>
      </c>
      <c r="Y889" t="s">
        <v>18625</v>
      </c>
    </row>
    <row r="890" spans="1:25" x14ac:dyDescent="0.3">
      <c r="A890">
        <v>44450</v>
      </c>
      <c r="B890" t="s">
        <v>18626</v>
      </c>
      <c r="C890" t="s">
        <v>18627</v>
      </c>
      <c r="D890" t="s">
        <v>18628</v>
      </c>
      <c r="E890" t="s">
        <v>18629</v>
      </c>
      <c r="F890" t="s">
        <v>18630</v>
      </c>
      <c r="G890" t="s">
        <v>18631</v>
      </c>
      <c r="H890" t="s">
        <v>18632</v>
      </c>
      <c r="I890" t="s">
        <v>18633</v>
      </c>
      <c r="J890" t="s">
        <v>18634</v>
      </c>
      <c r="K890" t="s">
        <v>18635</v>
      </c>
      <c r="L890" t="s">
        <v>18636</v>
      </c>
      <c r="M890" t="s">
        <v>18637</v>
      </c>
      <c r="N890" t="s">
        <v>18638</v>
      </c>
      <c r="O890">
        <f>-787.005544243386 -40.0844223903046 -720.624107085005</f>
        <v>-1547.7140737186955</v>
      </c>
      <c r="P890">
        <f>-766.213042511393 -14.1805348133394 -405.849900681387</f>
        <v>-1186.2434780061194</v>
      </c>
      <c r="Q890">
        <f>-518.852124901353 -39.0753529936997 -329.463517607169</f>
        <v>-887.3909955022217</v>
      </c>
      <c r="R890" t="s">
        <v>18639</v>
      </c>
      <c r="S890" t="s">
        <v>18640</v>
      </c>
      <c r="T890" t="s">
        <v>18641</v>
      </c>
      <c r="U890" t="s">
        <v>18642</v>
      </c>
      <c r="V890" t="s">
        <v>18643</v>
      </c>
      <c r="W890" t="s">
        <v>18644</v>
      </c>
      <c r="X890" t="s">
        <v>18645</v>
      </c>
      <c r="Y890" t="s">
        <v>18646</v>
      </c>
    </row>
    <row r="891" spans="1:25" x14ac:dyDescent="0.3">
      <c r="A891">
        <v>44500</v>
      </c>
      <c r="B891" t="s">
        <v>18647</v>
      </c>
      <c r="C891" t="s">
        <v>18648</v>
      </c>
      <c r="D891" t="s">
        <v>18649</v>
      </c>
      <c r="E891" t="s">
        <v>18650</v>
      </c>
      <c r="F891" t="s">
        <v>18651</v>
      </c>
      <c r="G891" t="s">
        <v>18652</v>
      </c>
      <c r="H891" t="s">
        <v>18653</v>
      </c>
      <c r="I891" t="s">
        <v>18654</v>
      </c>
      <c r="J891" t="s">
        <v>18655</v>
      </c>
      <c r="K891" t="s">
        <v>18656</v>
      </c>
      <c r="L891" t="s">
        <v>18657</v>
      </c>
      <c r="M891" t="s">
        <v>18658</v>
      </c>
      <c r="N891" t="s">
        <v>18659</v>
      </c>
      <c r="O891">
        <f>-787.076930941407 -40.3264479945442 -720.335420699289</f>
        <v>-1547.7387996352402</v>
      </c>
      <c r="P891">
        <f>-765.132792303393 -13.8450656433911 -405.687395786571</f>
        <v>-1184.665253733355</v>
      </c>
      <c r="Q891">
        <f>-517.865651077982 -38.5917642786349 -328.950203207114</f>
        <v>-885.40761856373081</v>
      </c>
      <c r="R891" t="s">
        <v>18660</v>
      </c>
      <c r="S891" t="s">
        <v>18661</v>
      </c>
      <c r="T891" t="s">
        <v>18662</v>
      </c>
      <c r="U891" t="s">
        <v>18663</v>
      </c>
      <c r="V891" t="s">
        <v>18664</v>
      </c>
      <c r="W891" t="s">
        <v>18665</v>
      </c>
      <c r="X891" t="s">
        <v>18666</v>
      </c>
      <c r="Y891" t="s">
        <v>18667</v>
      </c>
    </row>
    <row r="892" spans="1:25" x14ac:dyDescent="0.3">
      <c r="A892">
        <v>44550</v>
      </c>
      <c r="B892" t="s">
        <v>18668</v>
      </c>
      <c r="C892" t="s">
        <v>18669</v>
      </c>
      <c r="D892" t="s">
        <v>18670</v>
      </c>
      <c r="E892" t="s">
        <v>18671</v>
      </c>
      <c r="F892" t="s">
        <v>18672</v>
      </c>
      <c r="G892" t="s">
        <v>18673</v>
      </c>
      <c r="H892" t="s">
        <v>18674</v>
      </c>
      <c r="I892" t="s">
        <v>18675</v>
      </c>
      <c r="J892" t="s">
        <v>18676</v>
      </c>
      <c r="K892" t="s">
        <v>18677</v>
      </c>
      <c r="L892" t="s">
        <v>18678</v>
      </c>
      <c r="M892" t="s">
        <v>18679</v>
      </c>
      <c r="N892" t="s">
        <v>18680</v>
      </c>
      <c r="O892">
        <f>-787.317262330405 -41.270178470033 -719.482438269257</f>
        <v>-1548.0698790696952</v>
      </c>
      <c r="P892">
        <f>-763.263102000082 -12.7000621071411 -405.171728566234</f>
        <v>-1181.134892673457</v>
      </c>
      <c r="Q892">
        <f>-515.665430443901 -36.6395132578059 -329.248362550794</f>
        <v>-881.55330625250087</v>
      </c>
      <c r="R892" t="s">
        <v>18681</v>
      </c>
      <c r="S892" t="s">
        <v>18682</v>
      </c>
      <c r="T892" t="s">
        <v>18683</v>
      </c>
      <c r="U892" t="s">
        <v>18684</v>
      </c>
      <c r="V892" t="s">
        <v>18685</v>
      </c>
      <c r="W892" t="s">
        <v>18686</v>
      </c>
      <c r="X892" t="s">
        <v>18687</v>
      </c>
      <c r="Y892" t="s">
        <v>18688</v>
      </c>
    </row>
    <row r="893" spans="1:25" x14ac:dyDescent="0.3">
      <c r="A893">
        <v>44600</v>
      </c>
      <c r="B893" t="s">
        <v>18689</v>
      </c>
      <c r="C893" t="s">
        <v>18690</v>
      </c>
      <c r="D893" t="s">
        <v>18691</v>
      </c>
      <c r="E893" t="s">
        <v>18692</v>
      </c>
      <c r="F893" t="s">
        <v>18693</v>
      </c>
      <c r="G893" t="s">
        <v>18694</v>
      </c>
      <c r="H893" t="s">
        <v>18695</v>
      </c>
      <c r="I893" t="s">
        <v>18696</v>
      </c>
      <c r="J893" t="s">
        <v>18697</v>
      </c>
      <c r="K893" t="s">
        <v>18698</v>
      </c>
      <c r="L893" t="s">
        <v>18699</v>
      </c>
      <c r="M893" t="s">
        <v>18700</v>
      </c>
      <c r="N893" t="s">
        <v>18701</v>
      </c>
      <c r="O893">
        <f>-787.488898557267 -41.7644767870638 -719.005583709844</f>
        <v>-1548.2589590541747</v>
      </c>
      <c r="P893">
        <f>-761.94180791651 -12.408581667843 -404.884983371751</f>
        <v>-1179.2353729561041</v>
      </c>
      <c r="Q893">
        <f>-514.074017558941 -36.5005047235611 -329.89688805839</f>
        <v>-880.47141034089213</v>
      </c>
      <c r="R893" t="s">
        <v>18702</v>
      </c>
      <c r="S893" t="s">
        <v>18703</v>
      </c>
      <c r="T893" t="s">
        <v>18704</v>
      </c>
      <c r="U893" t="s">
        <v>18705</v>
      </c>
      <c r="V893" t="s">
        <v>18706</v>
      </c>
      <c r="W893" t="s">
        <v>18707</v>
      </c>
      <c r="X893" t="s">
        <v>18708</v>
      </c>
      <c r="Y893" t="s">
        <v>18709</v>
      </c>
    </row>
    <row r="894" spans="1:25" x14ac:dyDescent="0.3">
      <c r="A894">
        <v>44650</v>
      </c>
      <c r="B894" t="s">
        <v>18710</v>
      </c>
      <c r="C894" t="s">
        <v>18711</v>
      </c>
      <c r="D894" t="s">
        <v>18712</v>
      </c>
      <c r="E894" t="s">
        <v>18713</v>
      </c>
      <c r="F894" t="s">
        <v>18714</v>
      </c>
      <c r="G894" t="s">
        <v>18715</v>
      </c>
      <c r="H894" t="s">
        <v>18716</v>
      </c>
      <c r="I894" t="s">
        <v>18717</v>
      </c>
      <c r="J894" t="s">
        <v>18718</v>
      </c>
      <c r="K894" t="s">
        <v>18719</v>
      </c>
      <c r="L894" t="s">
        <v>18720</v>
      </c>
      <c r="M894" t="s">
        <v>18721</v>
      </c>
      <c r="N894" t="s">
        <v>18722</v>
      </c>
      <c r="O894">
        <f>-787.284503387893 -42.5374669520095 -718.145062877287</f>
        <v>-1547.9670332171895</v>
      </c>
      <c r="P894">
        <f>-759.089216859456 -12.4607103706214 -404.319454979485</f>
        <v>-1175.8693822095624</v>
      </c>
      <c r="Q894">
        <f>-510.493504185347 -36.9157123115547 -331.902983915259</f>
        <v>-879.31220041216068</v>
      </c>
      <c r="R894" t="s">
        <v>18723</v>
      </c>
      <c r="S894" t="s">
        <v>18724</v>
      </c>
      <c r="T894" t="s">
        <v>18725</v>
      </c>
      <c r="U894" t="s">
        <v>18726</v>
      </c>
      <c r="V894" t="s">
        <v>18727</v>
      </c>
      <c r="W894" t="s">
        <v>18728</v>
      </c>
      <c r="X894" t="s">
        <v>18729</v>
      </c>
      <c r="Y894" t="s">
        <v>18730</v>
      </c>
    </row>
    <row r="895" spans="1:25" x14ac:dyDescent="0.3">
      <c r="A895">
        <v>44700</v>
      </c>
      <c r="B895" t="s">
        <v>18731</v>
      </c>
      <c r="C895" t="s">
        <v>18732</v>
      </c>
      <c r="D895" t="s">
        <v>18733</v>
      </c>
      <c r="E895" t="s">
        <v>18734</v>
      </c>
      <c r="F895" t="s">
        <v>18735</v>
      </c>
      <c r="G895" t="s">
        <v>18736</v>
      </c>
      <c r="H895" t="s">
        <v>18737</v>
      </c>
      <c r="I895" t="s">
        <v>18738</v>
      </c>
      <c r="J895" t="s">
        <v>18739</v>
      </c>
      <c r="K895" t="s">
        <v>18740</v>
      </c>
      <c r="L895" t="s">
        <v>18741</v>
      </c>
      <c r="M895" t="s">
        <v>18742</v>
      </c>
      <c r="N895" t="s">
        <v>18743</v>
      </c>
      <c r="O895">
        <f>-787.278494819653 -42.904224273319 -717.839174897685</f>
        <v>-1548.021893990657</v>
      </c>
      <c r="P895">
        <f>-758.430977027315 -12.7175566370802 -404.083148146588</f>
        <v>-1175.231681810983</v>
      </c>
      <c r="Q895">
        <f>-509.456342648698 -36.8138252993126 -332.857826526559</f>
        <v>-879.1279944745695</v>
      </c>
      <c r="R895" t="s">
        <v>18744</v>
      </c>
      <c r="S895" t="s">
        <v>18745</v>
      </c>
      <c r="T895" t="s">
        <v>18746</v>
      </c>
      <c r="U895" t="s">
        <v>18747</v>
      </c>
      <c r="V895" t="s">
        <v>18748</v>
      </c>
      <c r="W895" t="s">
        <v>18749</v>
      </c>
      <c r="X895" t="s">
        <v>18750</v>
      </c>
      <c r="Y895" t="s">
        <v>18751</v>
      </c>
    </row>
    <row r="896" spans="1:25" x14ac:dyDescent="0.3">
      <c r="A896">
        <v>44750</v>
      </c>
      <c r="B896" t="s">
        <v>18752</v>
      </c>
      <c r="C896" t="s">
        <v>18753</v>
      </c>
      <c r="D896" t="s">
        <v>18754</v>
      </c>
      <c r="E896" t="s">
        <v>18755</v>
      </c>
      <c r="F896" t="s">
        <v>18756</v>
      </c>
      <c r="G896" t="s">
        <v>18757</v>
      </c>
      <c r="H896" t="s">
        <v>18758</v>
      </c>
      <c r="I896" t="s">
        <v>18759</v>
      </c>
      <c r="J896" t="s">
        <v>18760</v>
      </c>
      <c r="K896" t="s">
        <v>18761</v>
      </c>
      <c r="L896" t="s">
        <v>18762</v>
      </c>
      <c r="M896" t="s">
        <v>18763</v>
      </c>
      <c r="N896" t="s">
        <v>18764</v>
      </c>
      <c r="O896">
        <f>-786.494374049822 -43.6988551272921 -717.540622800942</f>
        <v>-1547.733851978056</v>
      </c>
      <c r="P896">
        <f>-756.982698107779 -13.7896589551203 -403.819967770856</f>
        <v>-1174.5923248337554</v>
      </c>
      <c r="Q896">
        <f>-507.43486792825 -36.6320923205667 -334.205659499384</f>
        <v>-878.27261974820067</v>
      </c>
      <c r="R896" t="s">
        <v>18765</v>
      </c>
      <c r="S896" t="s">
        <v>18766</v>
      </c>
      <c r="T896" t="s">
        <v>18767</v>
      </c>
      <c r="U896" t="s">
        <v>18768</v>
      </c>
      <c r="V896" t="s">
        <v>18769</v>
      </c>
      <c r="W896" t="s">
        <v>18770</v>
      </c>
      <c r="X896" t="s">
        <v>18771</v>
      </c>
      <c r="Y896" t="s">
        <v>18772</v>
      </c>
    </row>
    <row r="897" spans="1:25" x14ac:dyDescent="0.3">
      <c r="A897">
        <v>44800</v>
      </c>
      <c r="B897" t="s">
        <v>18773</v>
      </c>
      <c r="C897" t="s">
        <v>18774</v>
      </c>
      <c r="D897" t="s">
        <v>18775</v>
      </c>
      <c r="E897" t="s">
        <v>18776</v>
      </c>
      <c r="F897" t="s">
        <v>18777</v>
      </c>
      <c r="G897" t="s">
        <v>18778</v>
      </c>
      <c r="H897" t="s">
        <v>18779</v>
      </c>
      <c r="I897" t="s">
        <v>18780</v>
      </c>
      <c r="J897" t="s">
        <v>18781</v>
      </c>
      <c r="K897" t="s">
        <v>18782</v>
      </c>
      <c r="L897" t="s">
        <v>18783</v>
      </c>
      <c r="M897" t="s">
        <v>18784</v>
      </c>
      <c r="N897" t="s">
        <v>18785</v>
      </c>
      <c r="O897">
        <f>-785.917360143024 -44.0749976221521 -717.505051607373</f>
        <v>-1547.4974093725491</v>
      </c>
      <c r="P897">
        <f>-756.175225744491 -14.3346493666797 -403.790160134214</f>
        <v>-1174.3000352453846</v>
      </c>
      <c r="Q897">
        <f>-506.419329270416 -36.7222671188788 -334.776785033117</f>
        <v>-877.91838142241181</v>
      </c>
      <c r="R897" t="s">
        <v>18786</v>
      </c>
      <c r="S897" t="s">
        <v>18787</v>
      </c>
      <c r="T897" t="s">
        <v>18788</v>
      </c>
      <c r="U897" t="s">
        <v>18789</v>
      </c>
      <c r="V897" t="s">
        <v>18790</v>
      </c>
      <c r="W897" t="s">
        <v>18791</v>
      </c>
      <c r="X897" t="s">
        <v>18792</v>
      </c>
      <c r="Y897" t="s">
        <v>18793</v>
      </c>
    </row>
    <row r="898" spans="1:25" x14ac:dyDescent="0.3">
      <c r="A898">
        <v>44850</v>
      </c>
      <c r="B898" t="s">
        <v>18794</v>
      </c>
      <c r="C898" t="s">
        <v>18795</v>
      </c>
      <c r="D898" t="s">
        <v>18796</v>
      </c>
      <c r="E898" t="s">
        <v>18797</v>
      </c>
      <c r="F898" t="s">
        <v>18798</v>
      </c>
      <c r="G898" t="s">
        <v>18799</v>
      </c>
      <c r="H898" t="s">
        <v>18800</v>
      </c>
      <c r="I898" t="s">
        <v>18801</v>
      </c>
      <c r="J898" t="s">
        <v>18802</v>
      </c>
      <c r="K898" t="s">
        <v>18803</v>
      </c>
      <c r="L898" t="s">
        <v>18804</v>
      </c>
      <c r="M898" t="s">
        <v>18805</v>
      </c>
      <c r="N898" t="s">
        <v>18806</v>
      </c>
      <c r="O898">
        <f>-784.791870815518 -45.060013622794 -717.557231290494</f>
        <v>-1547.409115728806</v>
      </c>
      <c r="P898">
        <f>-754.664388318405 -15.4785304142301 -403.864022523496</f>
        <v>-1174.0069412561311</v>
      </c>
      <c r="Q898">
        <f>-504.76822811561 -37.5648870868715 -335.262435422047</f>
        <v>-877.59555062452853</v>
      </c>
      <c r="R898" t="s">
        <v>18807</v>
      </c>
      <c r="S898" t="s">
        <v>18808</v>
      </c>
      <c r="T898" t="s">
        <v>18809</v>
      </c>
      <c r="U898" t="s">
        <v>18810</v>
      </c>
      <c r="V898" t="s">
        <v>18811</v>
      </c>
      <c r="W898" t="s">
        <v>18812</v>
      </c>
      <c r="X898" t="s">
        <v>18813</v>
      </c>
      <c r="Y898" t="s">
        <v>18814</v>
      </c>
    </row>
    <row r="899" spans="1:25" x14ac:dyDescent="0.3">
      <c r="A899">
        <v>44900</v>
      </c>
      <c r="B899" t="s">
        <v>18815</v>
      </c>
      <c r="C899" t="s">
        <v>18816</v>
      </c>
      <c r="D899" t="s">
        <v>18817</v>
      </c>
      <c r="E899" t="s">
        <v>18818</v>
      </c>
      <c r="F899" t="s">
        <v>18819</v>
      </c>
      <c r="G899" t="s">
        <v>18820</v>
      </c>
      <c r="H899" t="s">
        <v>18821</v>
      </c>
      <c r="I899" t="s">
        <v>18822</v>
      </c>
      <c r="J899" t="s">
        <v>18823</v>
      </c>
      <c r="K899" t="s">
        <v>18824</v>
      </c>
      <c r="L899" t="s">
        <v>18825</v>
      </c>
      <c r="M899" t="s">
        <v>18826</v>
      </c>
      <c r="N899" t="s">
        <v>18827</v>
      </c>
      <c r="O899">
        <f>-784.189938907717 -45.5419420485434 -717.585926151518</f>
        <v>-1547.3178071077784</v>
      </c>
      <c r="P899">
        <f>-754.200771282415 -15.7920035578748 -403.89541775759</f>
        <v>-1173.8881925978797</v>
      </c>
      <c r="Q899">
        <f>-504.272003047997 -37.6959924197483 -335.354525764859</f>
        <v>-877.32252123260423</v>
      </c>
      <c r="R899" t="s">
        <v>18828</v>
      </c>
      <c r="S899" t="s">
        <v>18829</v>
      </c>
      <c r="T899" t="s">
        <v>18830</v>
      </c>
      <c r="U899" t="s">
        <v>18831</v>
      </c>
      <c r="V899" t="s">
        <v>18832</v>
      </c>
      <c r="W899" t="s">
        <v>18833</v>
      </c>
      <c r="X899" t="s">
        <v>18834</v>
      </c>
      <c r="Y899" t="s">
        <v>18835</v>
      </c>
    </row>
    <row r="900" spans="1:25" x14ac:dyDescent="0.3">
      <c r="A900">
        <v>44950</v>
      </c>
      <c r="B900" t="s">
        <v>18836</v>
      </c>
      <c r="C900" t="s">
        <v>18837</v>
      </c>
      <c r="D900" t="s">
        <v>18838</v>
      </c>
      <c r="E900" t="s">
        <v>18839</v>
      </c>
      <c r="F900" t="s">
        <v>18840</v>
      </c>
      <c r="G900" t="s">
        <v>18841</v>
      </c>
      <c r="H900" t="s">
        <v>18842</v>
      </c>
      <c r="I900" t="s">
        <v>18843</v>
      </c>
      <c r="J900" t="s">
        <v>18844</v>
      </c>
      <c r="K900" t="s">
        <v>18845</v>
      </c>
      <c r="L900" t="s">
        <v>18846</v>
      </c>
      <c r="M900" t="s">
        <v>18847</v>
      </c>
      <c r="N900" t="s">
        <v>18848</v>
      </c>
      <c r="O900">
        <f>-782.789454416538 -46.1482395124635 -717.742120470034</f>
        <v>-1546.6798143990354</v>
      </c>
      <c r="P900">
        <f>-753.274654961991 -16.3717033318146 -404.009050292078</f>
        <v>-1173.6554085858836</v>
      </c>
      <c r="Q900">
        <f>-503.386485741367 -37.6323115753805 -335.118101793496</f>
        <v>-876.13689911024358</v>
      </c>
      <c r="R900" t="s">
        <v>18849</v>
      </c>
      <c r="S900" t="s">
        <v>18850</v>
      </c>
      <c r="T900" t="s">
        <v>18851</v>
      </c>
      <c r="U900" t="s">
        <v>18852</v>
      </c>
      <c r="V900" t="s">
        <v>18853</v>
      </c>
      <c r="W900" t="s">
        <v>18854</v>
      </c>
      <c r="X900" t="s">
        <v>18855</v>
      </c>
      <c r="Y900" t="s">
        <v>18856</v>
      </c>
    </row>
    <row r="901" spans="1:25" x14ac:dyDescent="0.3">
      <c r="A901">
        <v>45000</v>
      </c>
      <c r="B901" t="s">
        <v>18857</v>
      </c>
      <c r="C901" t="s">
        <v>18858</v>
      </c>
      <c r="D901" t="s">
        <v>18859</v>
      </c>
      <c r="E901" t="s">
        <v>18860</v>
      </c>
      <c r="F901" t="s">
        <v>18861</v>
      </c>
      <c r="G901" t="s">
        <v>18862</v>
      </c>
      <c r="H901" t="s">
        <v>18863</v>
      </c>
      <c r="I901" t="s">
        <v>18864</v>
      </c>
      <c r="J901" t="s">
        <v>18865</v>
      </c>
      <c r="K901" t="s">
        <v>18866</v>
      </c>
      <c r="L901" t="s">
        <v>18867</v>
      </c>
      <c r="M901" t="s">
        <v>18868</v>
      </c>
      <c r="N901" t="s">
        <v>18869</v>
      </c>
      <c r="O901">
        <f>-782.245369486088 -46.4901160366671 -717.714299120842</f>
        <v>-1546.449784643597</v>
      </c>
      <c r="P901">
        <f>-753.067178298912 -16.1820962806353 -404.000646694978</f>
        <v>-1173.2499212745254</v>
      </c>
      <c r="Q901">
        <f>-503.176153922824 -37.1913940255097 -335.043113035574</f>
        <v>-875.41066098390775</v>
      </c>
      <c r="R901" t="s">
        <v>18870</v>
      </c>
      <c r="S901" t="s">
        <v>18871</v>
      </c>
      <c r="T901" t="s">
        <v>18872</v>
      </c>
      <c r="U901" t="s">
        <v>18873</v>
      </c>
      <c r="V901" t="s">
        <v>18874</v>
      </c>
      <c r="W901" t="s">
        <v>18875</v>
      </c>
      <c r="X901" t="s">
        <v>18876</v>
      </c>
      <c r="Y901" t="s">
        <v>18877</v>
      </c>
    </row>
    <row r="902" spans="1:25" x14ac:dyDescent="0.3">
      <c r="A902">
        <v>45050</v>
      </c>
      <c r="B902" t="s">
        <v>18878</v>
      </c>
      <c r="C902" t="s">
        <v>18879</v>
      </c>
      <c r="D902" t="s">
        <v>18880</v>
      </c>
      <c r="E902" t="s">
        <v>18881</v>
      </c>
      <c r="F902" t="s">
        <v>18882</v>
      </c>
      <c r="G902" t="s">
        <v>18883</v>
      </c>
      <c r="H902" t="s">
        <v>18884</v>
      </c>
      <c r="I902" t="s">
        <v>18885</v>
      </c>
      <c r="J902" t="s">
        <v>18886</v>
      </c>
      <c r="K902" t="s">
        <v>18887</v>
      </c>
      <c r="L902" t="s">
        <v>18888</v>
      </c>
      <c r="M902" t="s">
        <v>18889</v>
      </c>
      <c r="N902" t="s">
        <v>18890</v>
      </c>
      <c r="O902">
        <f>-781.307715960885 -46.8757815891015 -717.672769916746</f>
        <v>-1545.8562674667326</v>
      </c>
      <c r="P902">
        <f>-752.386180833404 -16.5685475649004 -403.935346190322</f>
        <v>-1172.8900745886262</v>
      </c>
      <c r="Q902">
        <f>-502.548855953138 -37.2426702948944 -334.682819761043</f>
        <v>-874.47434600907536</v>
      </c>
      <c r="R902" t="s">
        <v>18891</v>
      </c>
      <c r="S902" t="s">
        <v>18892</v>
      </c>
      <c r="T902" t="s">
        <v>18893</v>
      </c>
      <c r="U902" t="s">
        <v>18894</v>
      </c>
      <c r="V902" t="s">
        <v>18895</v>
      </c>
      <c r="W902" t="s">
        <v>18896</v>
      </c>
      <c r="X902" t="s">
        <v>18897</v>
      </c>
      <c r="Y902" t="s">
        <v>18898</v>
      </c>
    </row>
    <row r="903" spans="1:25" x14ac:dyDescent="0.3">
      <c r="A903">
        <v>45100</v>
      </c>
      <c r="B903" t="s">
        <v>18899</v>
      </c>
      <c r="C903" t="s">
        <v>18900</v>
      </c>
      <c r="D903" t="s">
        <v>18901</v>
      </c>
      <c r="E903" t="s">
        <v>18902</v>
      </c>
      <c r="F903" t="s">
        <v>18903</v>
      </c>
      <c r="G903" t="s">
        <v>18904</v>
      </c>
      <c r="H903" t="s">
        <v>18905</v>
      </c>
      <c r="I903" t="s">
        <v>18906</v>
      </c>
      <c r="J903" t="s">
        <v>18907</v>
      </c>
      <c r="K903" t="s">
        <v>18908</v>
      </c>
      <c r="L903" t="s">
        <v>18909</v>
      </c>
      <c r="M903" t="s">
        <v>18910</v>
      </c>
      <c r="N903" t="s">
        <v>18911</v>
      </c>
      <c r="O903">
        <f>-781.165479745826 -46.9827273301019 -717.604997235945</f>
        <v>-1545.7532043118729</v>
      </c>
      <c r="P903">
        <f>-752.225389581041 -16.3512583529434 -403.90069557197</f>
        <v>-1172.4773435059544</v>
      </c>
      <c r="Q903">
        <f>-502.430306943172 -37.1143762668798 -334.522461547483</f>
        <v>-874.06714475753483</v>
      </c>
      <c r="R903" t="s">
        <v>18912</v>
      </c>
      <c r="S903" t="s">
        <v>18913</v>
      </c>
      <c r="T903" t="s">
        <v>18914</v>
      </c>
      <c r="U903" t="s">
        <v>18915</v>
      </c>
      <c r="V903" t="s">
        <v>18916</v>
      </c>
      <c r="W903" t="s">
        <v>18917</v>
      </c>
      <c r="X903" t="s">
        <v>18918</v>
      </c>
      <c r="Y903" t="s">
        <v>18919</v>
      </c>
    </row>
    <row r="904" spans="1:25" x14ac:dyDescent="0.3">
      <c r="A904">
        <v>45150</v>
      </c>
      <c r="B904" t="s">
        <v>18920</v>
      </c>
      <c r="C904" t="s">
        <v>18921</v>
      </c>
      <c r="D904" t="s">
        <v>18922</v>
      </c>
      <c r="E904" t="s">
        <v>18923</v>
      </c>
      <c r="F904" t="s">
        <v>18924</v>
      </c>
      <c r="G904" t="s">
        <v>18925</v>
      </c>
      <c r="H904" t="s">
        <v>18926</v>
      </c>
      <c r="I904" t="s">
        <v>18927</v>
      </c>
      <c r="J904" t="s">
        <v>18928</v>
      </c>
      <c r="K904" t="s">
        <v>18929</v>
      </c>
      <c r="L904" t="s">
        <v>18930</v>
      </c>
      <c r="M904" t="s">
        <v>18931</v>
      </c>
      <c r="N904" t="s">
        <v>18932</v>
      </c>
      <c r="O904">
        <f>-780.766945962515 -47.1672892176066 -717.520337938927</f>
        <v>-1545.4545731190487</v>
      </c>
      <c r="P904">
        <f>-751.858762621836 -16.7799812090652 -403.789289696947</f>
        <v>-1172.4280335278481</v>
      </c>
      <c r="Q904">
        <f>-502.232249388322 -37.9605482299519 -333.931907993622</f>
        <v>-874.12470561189593</v>
      </c>
      <c r="R904" t="s">
        <v>18933</v>
      </c>
      <c r="S904" t="s">
        <v>18934</v>
      </c>
      <c r="T904" t="s">
        <v>18935</v>
      </c>
      <c r="U904" t="s">
        <v>18936</v>
      </c>
      <c r="V904" t="s">
        <v>18937</v>
      </c>
      <c r="W904" t="s">
        <v>18938</v>
      </c>
      <c r="X904" t="s">
        <v>18939</v>
      </c>
      <c r="Y904" t="s">
        <v>18940</v>
      </c>
    </row>
    <row r="905" spans="1:25" x14ac:dyDescent="0.3">
      <c r="A905">
        <v>45200</v>
      </c>
      <c r="B905" t="s">
        <v>18941</v>
      </c>
      <c r="C905" t="s">
        <v>18942</v>
      </c>
      <c r="D905" t="s">
        <v>18943</v>
      </c>
      <c r="E905" t="s">
        <v>18944</v>
      </c>
      <c r="F905" t="s">
        <v>18945</v>
      </c>
      <c r="G905" t="s">
        <v>18946</v>
      </c>
      <c r="H905" t="s">
        <v>18947</v>
      </c>
      <c r="I905" t="s">
        <v>18948</v>
      </c>
      <c r="J905" t="s">
        <v>18949</v>
      </c>
      <c r="K905" t="s">
        <v>18950</v>
      </c>
      <c r="L905" t="s">
        <v>18951</v>
      </c>
      <c r="M905" t="s">
        <v>18952</v>
      </c>
      <c r="N905" t="s">
        <v>18953</v>
      </c>
      <c r="O905">
        <f>-780.662646074658 -47.4266000091684 -717.458760768424</f>
        <v>-1545.5480068522504</v>
      </c>
      <c r="P905">
        <f>-751.842925156921 -16.6316075003735 -403.759498864602</f>
        <v>-1172.2340315218964</v>
      </c>
      <c r="Q905">
        <f>-502.26882919946 -38.0026460421814 -333.772721495806</f>
        <v>-874.04419673744746</v>
      </c>
      <c r="R905" t="s">
        <v>18954</v>
      </c>
      <c r="S905" t="s">
        <v>18955</v>
      </c>
      <c r="T905" t="s">
        <v>18956</v>
      </c>
      <c r="U905" t="s">
        <v>18957</v>
      </c>
      <c r="V905" t="s">
        <v>18958</v>
      </c>
      <c r="W905" t="s">
        <v>18959</v>
      </c>
      <c r="X905" t="s">
        <v>18960</v>
      </c>
      <c r="Y905" t="s">
        <v>18961</v>
      </c>
    </row>
    <row r="906" spans="1:25" x14ac:dyDescent="0.3">
      <c r="A906">
        <v>45250</v>
      </c>
      <c r="B906" t="s">
        <v>18962</v>
      </c>
      <c r="C906" t="s">
        <v>18963</v>
      </c>
      <c r="D906" t="s">
        <v>18964</v>
      </c>
      <c r="E906" t="s">
        <v>18965</v>
      </c>
      <c r="F906" t="s">
        <v>18966</v>
      </c>
      <c r="G906" t="s">
        <v>18967</v>
      </c>
      <c r="H906" t="s">
        <v>18968</v>
      </c>
      <c r="I906" t="s">
        <v>18969</v>
      </c>
      <c r="J906" t="s">
        <v>18970</v>
      </c>
      <c r="K906" t="s">
        <v>18971</v>
      </c>
      <c r="L906" t="s">
        <v>18972</v>
      </c>
      <c r="M906" t="s">
        <v>18973</v>
      </c>
      <c r="N906" t="s">
        <v>18974</v>
      </c>
      <c r="O906">
        <f>-780.340097002158 -47.6588954753563 -717.355130631601</f>
        <v>-1545.3541231091153</v>
      </c>
      <c r="P906">
        <f>-752.013786886529 -16.6612019746342 -403.630747088081</f>
        <v>-1172.3057359492443</v>
      </c>
      <c r="Q906">
        <f>-502.650644669968 -38.6775043687712 -333.094489725818</f>
        <v>-874.42263876455718</v>
      </c>
      <c r="R906" t="s">
        <v>18975</v>
      </c>
      <c r="S906" t="s">
        <v>18976</v>
      </c>
      <c r="T906" t="s">
        <v>18977</v>
      </c>
      <c r="U906" t="s">
        <v>18978</v>
      </c>
      <c r="V906" t="s">
        <v>18979</v>
      </c>
      <c r="W906" t="s">
        <v>18980</v>
      </c>
      <c r="X906" t="s">
        <v>18981</v>
      </c>
      <c r="Y906" t="s">
        <v>18982</v>
      </c>
    </row>
    <row r="907" spans="1:25" x14ac:dyDescent="0.3">
      <c r="A907">
        <v>45300</v>
      </c>
      <c r="B907" t="s">
        <v>18983</v>
      </c>
      <c r="C907" t="s">
        <v>18984</v>
      </c>
      <c r="D907" t="s">
        <v>18985</v>
      </c>
      <c r="E907" t="s">
        <v>18986</v>
      </c>
      <c r="F907" t="s">
        <v>18987</v>
      </c>
      <c r="G907" t="s">
        <v>18988</v>
      </c>
      <c r="H907" t="s">
        <v>18989</v>
      </c>
      <c r="I907" t="s">
        <v>18990</v>
      </c>
      <c r="J907" t="s">
        <v>18991</v>
      </c>
      <c r="K907" t="s">
        <v>18992</v>
      </c>
      <c r="L907" t="s">
        <v>18993</v>
      </c>
      <c r="M907" t="s">
        <v>18994</v>
      </c>
      <c r="N907" t="s">
        <v>18995</v>
      </c>
      <c r="O907">
        <f>-780.270732235579 -47.759983647908 -717.336881630486</f>
        <v>-1545.3675975139731</v>
      </c>
      <c r="P907">
        <f>-752.106695457708 -16.8679918267642 -403.587508624365</f>
        <v>-1172.5621959088371</v>
      </c>
      <c r="Q907">
        <f>-502.855029933059 -39.315961519492 -332.793799713974</f>
        <v>-874.96479116652495</v>
      </c>
      <c r="R907" t="s">
        <v>18996</v>
      </c>
      <c r="S907" t="s">
        <v>18997</v>
      </c>
      <c r="T907" t="s">
        <v>18998</v>
      </c>
      <c r="U907" t="s">
        <v>18999</v>
      </c>
      <c r="V907" t="s">
        <v>19000</v>
      </c>
      <c r="W907" t="s">
        <v>19001</v>
      </c>
      <c r="X907" t="s">
        <v>19002</v>
      </c>
      <c r="Y907" t="s">
        <v>19003</v>
      </c>
    </row>
    <row r="908" spans="1:25" x14ac:dyDescent="0.3">
      <c r="A908">
        <v>45350</v>
      </c>
      <c r="B908" t="s">
        <v>19004</v>
      </c>
      <c r="C908" t="s">
        <v>19005</v>
      </c>
      <c r="D908" t="s">
        <v>19006</v>
      </c>
      <c r="E908" t="s">
        <v>19007</v>
      </c>
      <c r="F908" t="s">
        <v>19008</v>
      </c>
      <c r="G908" t="s">
        <v>19009</v>
      </c>
      <c r="H908" t="s">
        <v>19010</v>
      </c>
      <c r="I908" t="s">
        <v>19011</v>
      </c>
      <c r="J908" t="s">
        <v>19012</v>
      </c>
      <c r="K908" t="s">
        <v>19013</v>
      </c>
      <c r="L908" t="s">
        <v>19014</v>
      </c>
      <c r="M908" t="s">
        <v>19015</v>
      </c>
      <c r="N908" t="s">
        <v>19016</v>
      </c>
      <c r="O908">
        <f>-780.248535633788 -47.8382681267806 -717.221628935486</f>
        <v>-1545.3084326960548</v>
      </c>
      <c r="P908">
        <f>-752.298327627094 -16.6062830606065 -403.486646315921</f>
        <v>-1172.3912570036214</v>
      </c>
      <c r="Q908">
        <f>-503.235357500995 -39.7166281457826 -332.243395087806</f>
        <v>-875.19538073458364</v>
      </c>
      <c r="R908" t="s">
        <v>19017</v>
      </c>
      <c r="S908" t="s">
        <v>19018</v>
      </c>
      <c r="T908" t="s">
        <v>19019</v>
      </c>
      <c r="U908" t="s">
        <v>19020</v>
      </c>
      <c r="V908" t="s">
        <v>19021</v>
      </c>
      <c r="W908" t="s">
        <v>19022</v>
      </c>
      <c r="X908" t="s">
        <v>19023</v>
      </c>
      <c r="Y908" t="s">
        <v>19024</v>
      </c>
    </row>
    <row r="909" spans="1:25" x14ac:dyDescent="0.3">
      <c r="A909">
        <v>45400</v>
      </c>
      <c r="B909" t="s">
        <v>19025</v>
      </c>
      <c r="C909" t="s">
        <v>19026</v>
      </c>
      <c r="D909" t="s">
        <v>19027</v>
      </c>
      <c r="E909" t="s">
        <v>19028</v>
      </c>
      <c r="F909" t="s">
        <v>19029</v>
      </c>
      <c r="G909" t="s">
        <v>19030</v>
      </c>
      <c r="H909" t="s">
        <v>19031</v>
      </c>
      <c r="I909" t="s">
        <v>19032</v>
      </c>
      <c r="J909" t="s">
        <v>19033</v>
      </c>
      <c r="K909" t="s">
        <v>19034</v>
      </c>
      <c r="L909" t="s">
        <v>19035</v>
      </c>
      <c r="M909" t="s">
        <v>19036</v>
      </c>
      <c r="N909" t="s">
        <v>19037</v>
      </c>
      <c r="O909">
        <f>-779.979886598976 -48.0566061384231 -717.106803818449</f>
        <v>-1545.1432965558481</v>
      </c>
      <c r="P909">
        <f>-752.257859256109 -16.7487062147593 -403.359347829799</f>
        <v>-1172.3659133006672</v>
      </c>
      <c r="Q909">
        <f>-503.26295468695 -40.1058120263353 -331.958999778269</f>
        <v>-875.32776649155437</v>
      </c>
      <c r="R909" t="s">
        <v>19038</v>
      </c>
      <c r="S909" t="s">
        <v>19039</v>
      </c>
      <c r="T909" t="s">
        <v>19040</v>
      </c>
      <c r="U909" t="s">
        <v>19041</v>
      </c>
      <c r="V909" t="s">
        <v>19042</v>
      </c>
      <c r="W909" t="s">
        <v>19043</v>
      </c>
      <c r="X909" t="s">
        <v>19044</v>
      </c>
      <c r="Y909" t="s">
        <v>19045</v>
      </c>
    </row>
    <row r="910" spans="1:25" x14ac:dyDescent="0.3">
      <c r="A910">
        <v>45450</v>
      </c>
      <c r="B910" t="s">
        <v>19046</v>
      </c>
      <c r="C910" t="s">
        <v>19047</v>
      </c>
      <c r="D910" t="s">
        <v>19048</v>
      </c>
      <c r="E910" t="s">
        <v>19049</v>
      </c>
      <c r="F910" t="s">
        <v>19050</v>
      </c>
      <c r="G910" t="s">
        <v>19051</v>
      </c>
      <c r="H910" t="s">
        <v>19052</v>
      </c>
      <c r="I910" t="s">
        <v>19053</v>
      </c>
      <c r="J910" t="s">
        <v>19054</v>
      </c>
      <c r="K910" t="s">
        <v>19055</v>
      </c>
      <c r="L910" t="s">
        <v>19056</v>
      </c>
      <c r="M910" t="s">
        <v>19057</v>
      </c>
      <c r="N910" t="s">
        <v>19058</v>
      </c>
      <c r="O910">
        <f>-779.232498792933 -48.6938623908295 -716.987483997943</f>
        <v>-1544.9138451817055</v>
      </c>
      <c r="P910">
        <f>-751.696937148829 -17.0167915571367 -403.260729704635</f>
        <v>-1171.9744584106006</v>
      </c>
      <c r="Q910">
        <f>-502.797327122414 -40.8797630988074 -331.69527496972</f>
        <v>-875.37236519094142</v>
      </c>
      <c r="R910" t="s">
        <v>19059</v>
      </c>
      <c r="S910" t="s">
        <v>19060</v>
      </c>
      <c r="T910" t="s">
        <v>19061</v>
      </c>
      <c r="U910" t="s">
        <v>19062</v>
      </c>
      <c r="V910" t="s">
        <v>19063</v>
      </c>
      <c r="W910" t="s">
        <v>19064</v>
      </c>
      <c r="X910" t="s">
        <v>19065</v>
      </c>
      <c r="Y910" t="s">
        <v>19066</v>
      </c>
    </row>
    <row r="911" spans="1:25" x14ac:dyDescent="0.3">
      <c r="A911">
        <v>45500</v>
      </c>
      <c r="B911" t="s">
        <v>19067</v>
      </c>
      <c r="C911" t="s">
        <v>19068</v>
      </c>
      <c r="D911" t="s">
        <v>19069</v>
      </c>
      <c r="E911" t="s">
        <v>19070</v>
      </c>
      <c r="F911" t="s">
        <v>19071</v>
      </c>
      <c r="G911" t="s">
        <v>19072</v>
      </c>
      <c r="H911" t="s">
        <v>19073</v>
      </c>
      <c r="I911" t="s">
        <v>19074</v>
      </c>
      <c r="J911" t="s">
        <v>19075</v>
      </c>
      <c r="K911" t="s">
        <v>19076</v>
      </c>
      <c r="L911" t="s">
        <v>19077</v>
      </c>
      <c r="M911" t="s">
        <v>19078</v>
      </c>
      <c r="N911" t="s">
        <v>19079</v>
      </c>
      <c r="O911">
        <f>-778.574875905119 -49.2079151630621 -716.978975729771</f>
        <v>-1544.7617667979521</v>
      </c>
      <c r="P911">
        <f>-751.308011812698 -17.6643066759978 -403.215138135902</f>
        <v>-1172.1874566245979</v>
      </c>
      <c r="Q911">
        <f>-502.443974136838 -41.7428566311983 -331.598337184888</f>
        <v>-875.78516795292433</v>
      </c>
      <c r="R911" t="s">
        <v>19080</v>
      </c>
      <c r="S911" t="s">
        <v>19081</v>
      </c>
      <c r="T911" t="s">
        <v>19082</v>
      </c>
      <c r="U911" t="s">
        <v>19083</v>
      </c>
      <c r="V911" t="s">
        <v>19084</v>
      </c>
      <c r="W911" t="s">
        <v>19085</v>
      </c>
      <c r="X911" t="s">
        <v>19086</v>
      </c>
      <c r="Y911" t="s">
        <v>19087</v>
      </c>
    </row>
    <row r="912" spans="1:25" x14ac:dyDescent="0.3">
      <c r="A912">
        <v>45550</v>
      </c>
      <c r="B912" t="s">
        <v>19088</v>
      </c>
      <c r="C912" t="s">
        <v>19089</v>
      </c>
      <c r="D912" t="s">
        <v>19090</v>
      </c>
      <c r="E912" t="s">
        <v>19091</v>
      </c>
      <c r="F912" t="s">
        <v>19092</v>
      </c>
      <c r="G912" t="s">
        <v>19093</v>
      </c>
      <c r="H912" t="s">
        <v>19094</v>
      </c>
      <c r="I912" t="s">
        <v>19095</v>
      </c>
      <c r="J912" t="s">
        <v>19096</v>
      </c>
      <c r="K912" t="s">
        <v>19097</v>
      </c>
      <c r="L912" t="s">
        <v>19098</v>
      </c>
      <c r="M912" t="s">
        <v>19099</v>
      </c>
      <c r="N912" t="s">
        <v>19100</v>
      </c>
      <c r="O912">
        <f>-777.996819733304 -50.3263834167119 -717.160029152406</f>
        <v>-1545.483232302422</v>
      </c>
      <c r="P912">
        <f>-751.334283473293 -18.6243687206986 -403.360248173876</f>
        <v>-1173.3189003678676</v>
      </c>
      <c r="Q912">
        <f>-502.454854179811 -42.4892172913162 -331.725621002708</f>
        <v>-876.66969247383508</v>
      </c>
      <c r="R912" t="s">
        <v>19101</v>
      </c>
      <c r="S912" t="s">
        <v>19102</v>
      </c>
      <c r="T912" t="s">
        <v>19103</v>
      </c>
      <c r="U912" t="s">
        <v>19104</v>
      </c>
      <c r="V912" t="s">
        <v>19105</v>
      </c>
      <c r="W912" t="s">
        <v>19106</v>
      </c>
      <c r="X912" t="s">
        <v>19107</v>
      </c>
      <c r="Y912" t="s">
        <v>19108</v>
      </c>
    </row>
    <row r="913" spans="1:25" x14ac:dyDescent="0.3">
      <c r="A913">
        <v>45600</v>
      </c>
      <c r="B913" t="s">
        <v>19109</v>
      </c>
      <c r="C913" t="s">
        <v>19110</v>
      </c>
      <c r="D913" t="s">
        <v>19111</v>
      </c>
      <c r="E913" t="s">
        <v>19112</v>
      </c>
      <c r="F913" t="s">
        <v>19113</v>
      </c>
      <c r="G913" t="s">
        <v>19114</v>
      </c>
      <c r="H913" t="s">
        <v>19115</v>
      </c>
      <c r="I913" t="s">
        <v>19116</v>
      </c>
      <c r="J913" t="s">
        <v>19117</v>
      </c>
      <c r="K913" t="s">
        <v>19118</v>
      </c>
      <c r="L913" t="s">
        <v>19119</v>
      </c>
      <c r="M913" t="s">
        <v>19120</v>
      </c>
      <c r="N913" t="s">
        <v>19121</v>
      </c>
      <c r="O913">
        <f>-777.809917940506 -50.6846653779348 -717.33925253224</f>
        <v>-1545.8338358506808</v>
      </c>
      <c r="P913">
        <f>-751.424570206037 -19.5151148590703 -403.462661020919</f>
        <v>-1174.4023460860262</v>
      </c>
      <c r="Q913">
        <f>-502.4969796177 -43.03504952551 -331.881144602041</f>
        <v>-877.41317374525102</v>
      </c>
      <c r="R913" t="s">
        <v>19122</v>
      </c>
      <c r="S913" t="s">
        <v>19123</v>
      </c>
      <c r="T913" t="s">
        <v>19124</v>
      </c>
      <c r="U913" t="s">
        <v>19125</v>
      </c>
      <c r="V913" t="s">
        <v>19126</v>
      </c>
      <c r="W913" t="s">
        <v>19127</v>
      </c>
      <c r="X913" t="s">
        <v>19128</v>
      </c>
      <c r="Y913" t="s">
        <v>19129</v>
      </c>
    </row>
    <row r="914" spans="1:25" x14ac:dyDescent="0.3">
      <c r="A914">
        <v>45650</v>
      </c>
      <c r="B914" t="s">
        <v>19130</v>
      </c>
      <c r="C914" t="s">
        <v>19131</v>
      </c>
      <c r="D914" t="s">
        <v>19132</v>
      </c>
      <c r="E914" t="s">
        <v>19133</v>
      </c>
      <c r="F914" t="s">
        <v>19134</v>
      </c>
      <c r="G914" t="s">
        <v>19135</v>
      </c>
      <c r="H914" t="s">
        <v>19136</v>
      </c>
      <c r="I914" t="s">
        <v>19137</v>
      </c>
      <c r="J914" t="s">
        <v>19138</v>
      </c>
      <c r="K914" t="s">
        <v>19139</v>
      </c>
      <c r="L914" t="s">
        <v>19140</v>
      </c>
      <c r="M914" t="s">
        <v>19141</v>
      </c>
      <c r="N914" t="s">
        <v>19142</v>
      </c>
      <c r="O914">
        <f>-777.601393404943 -50.9436908361793 -717.640536802159</f>
        <v>-1546.1856210432811</v>
      </c>
      <c r="P914">
        <f>-751.193211713082 -20.0889142069161 -403.734821869902</f>
        <v>-1175.0169477899001</v>
      </c>
      <c r="Q914">
        <f>-502.192833764243 -42.9097384041306 -332.180002157915</f>
        <v>-877.28257432628857</v>
      </c>
      <c r="R914" t="s">
        <v>19143</v>
      </c>
      <c r="S914" t="s">
        <v>19144</v>
      </c>
      <c r="T914" t="s">
        <v>19145</v>
      </c>
      <c r="U914" t="s">
        <v>19146</v>
      </c>
      <c r="V914" t="s">
        <v>19147</v>
      </c>
      <c r="W914" t="s">
        <v>19148</v>
      </c>
      <c r="X914" t="s">
        <v>19149</v>
      </c>
      <c r="Y914" t="s">
        <v>19150</v>
      </c>
    </row>
    <row r="915" spans="1:25" x14ac:dyDescent="0.3">
      <c r="A915">
        <v>45700</v>
      </c>
      <c r="B915" t="s">
        <v>19151</v>
      </c>
      <c r="C915" t="s">
        <v>19152</v>
      </c>
      <c r="D915" t="s">
        <v>19153</v>
      </c>
      <c r="E915" t="s">
        <v>19154</v>
      </c>
      <c r="F915" t="s">
        <v>19155</v>
      </c>
      <c r="G915" t="s">
        <v>19156</v>
      </c>
      <c r="H915" t="s">
        <v>19157</v>
      </c>
      <c r="I915" t="s">
        <v>19158</v>
      </c>
      <c r="J915" t="s">
        <v>19159</v>
      </c>
      <c r="K915" t="s">
        <v>19160</v>
      </c>
      <c r="L915" t="s">
        <v>19161</v>
      </c>
      <c r="M915" t="s">
        <v>19162</v>
      </c>
      <c r="N915" t="s">
        <v>19163</v>
      </c>
      <c r="O915">
        <f>-777.471193691839 -51.10202848421 -717.682518163271</f>
        <v>-1546.2557403393198</v>
      </c>
      <c r="P915">
        <f>-751.158294090752 -20.3825498955528 -403.755631357023</f>
        <v>-1175.2964753433278</v>
      </c>
      <c r="Q915">
        <f>-502.114697867848 -42.776373052023 -332.216411270848</f>
        <v>-877.10748219071911</v>
      </c>
      <c r="R915" t="s">
        <v>19164</v>
      </c>
      <c r="S915" t="s">
        <v>19165</v>
      </c>
      <c r="T915" t="s">
        <v>19166</v>
      </c>
      <c r="U915" t="s">
        <v>19167</v>
      </c>
      <c r="V915" t="s">
        <v>19168</v>
      </c>
      <c r="W915" t="s">
        <v>19169</v>
      </c>
      <c r="X915" t="s">
        <v>19170</v>
      </c>
      <c r="Y915" t="s">
        <v>19171</v>
      </c>
    </row>
    <row r="916" spans="1:25" x14ac:dyDescent="0.3">
      <c r="A916">
        <v>45750</v>
      </c>
      <c r="B916" t="s">
        <v>19172</v>
      </c>
      <c r="C916" t="s">
        <v>19173</v>
      </c>
      <c r="D916" t="s">
        <v>19174</v>
      </c>
      <c r="E916" t="s">
        <v>19175</v>
      </c>
      <c r="F916" t="s">
        <v>19176</v>
      </c>
      <c r="G916" t="s">
        <v>19177</v>
      </c>
      <c r="H916" t="s">
        <v>19178</v>
      </c>
      <c r="I916" t="s">
        <v>19179</v>
      </c>
      <c r="J916" t="s">
        <v>19180</v>
      </c>
      <c r="K916" t="s">
        <v>19181</v>
      </c>
      <c r="L916" t="s">
        <v>19182</v>
      </c>
      <c r="M916" t="s">
        <v>19183</v>
      </c>
      <c r="N916" t="s">
        <v>19184</v>
      </c>
      <c r="O916">
        <f>-777.023820364306 -51.4471694545634 -717.649038517768</f>
        <v>-1546.1200283366375</v>
      </c>
      <c r="P916">
        <f>-751.099619963642 -20.9270956246644 -403.670224050391</f>
        <v>-1175.6969396386974</v>
      </c>
      <c r="Q916">
        <f>-502.005904275183 -42.3729659452481 -332.015266368665</f>
        <v>-876.39413658909598</v>
      </c>
      <c r="R916" t="s">
        <v>19185</v>
      </c>
      <c r="S916" t="s">
        <v>19186</v>
      </c>
      <c r="T916" t="s">
        <v>19187</v>
      </c>
      <c r="U916" t="s">
        <v>19188</v>
      </c>
      <c r="V916" t="s">
        <v>19189</v>
      </c>
      <c r="W916" t="s">
        <v>19190</v>
      </c>
      <c r="X916" t="s">
        <v>19191</v>
      </c>
      <c r="Y916" t="s">
        <v>19192</v>
      </c>
    </row>
    <row r="917" spans="1:25" x14ac:dyDescent="0.3">
      <c r="A917">
        <v>45800</v>
      </c>
      <c r="B917" t="s">
        <v>19193</v>
      </c>
      <c r="C917" t="s">
        <v>19194</v>
      </c>
      <c r="D917" t="s">
        <v>19195</v>
      </c>
      <c r="E917" t="s">
        <v>19196</v>
      </c>
      <c r="F917" t="s">
        <v>19197</v>
      </c>
      <c r="G917" t="s">
        <v>19198</v>
      </c>
      <c r="H917" t="s">
        <v>19199</v>
      </c>
      <c r="I917" t="s">
        <v>19200</v>
      </c>
      <c r="J917" t="s">
        <v>19201</v>
      </c>
      <c r="K917" t="s">
        <v>19202</v>
      </c>
      <c r="L917" t="s">
        <v>19203</v>
      </c>
      <c r="M917" t="s">
        <v>19204</v>
      </c>
      <c r="N917" t="s">
        <v>19205</v>
      </c>
      <c r="O917">
        <f>-776.873020844782 -51.4491493044982 -717.616261153821</f>
        <v>-1545.9384313031012</v>
      </c>
      <c r="P917">
        <f>-751.102647768976 -20.9156757142564 -403.626167457039</f>
        <v>-1175.6444909402715</v>
      </c>
      <c r="Q917">
        <f>-502.007913867633 -41.9639584521985 -331.856815286736</f>
        <v>-875.82868760656743</v>
      </c>
      <c r="R917" t="s">
        <v>19206</v>
      </c>
      <c r="S917" t="s">
        <v>19207</v>
      </c>
      <c r="T917" t="s">
        <v>19208</v>
      </c>
      <c r="U917" t="s">
        <v>19209</v>
      </c>
      <c r="V917" t="s">
        <v>19210</v>
      </c>
      <c r="W917" t="s">
        <v>19211</v>
      </c>
      <c r="X917" t="s">
        <v>19212</v>
      </c>
      <c r="Y917" t="s">
        <v>19213</v>
      </c>
    </row>
    <row r="918" spans="1:25" x14ac:dyDescent="0.3">
      <c r="A918">
        <v>45850</v>
      </c>
      <c r="B918" t="s">
        <v>19214</v>
      </c>
      <c r="C918" t="s">
        <v>19215</v>
      </c>
      <c r="D918" t="s">
        <v>19216</v>
      </c>
      <c r="E918" t="s">
        <v>19217</v>
      </c>
      <c r="F918" t="s">
        <v>19218</v>
      </c>
      <c r="G918" t="s">
        <v>19219</v>
      </c>
      <c r="H918" t="s">
        <v>19220</v>
      </c>
      <c r="I918" t="s">
        <v>19221</v>
      </c>
      <c r="J918" t="s">
        <v>19222</v>
      </c>
      <c r="K918" t="s">
        <v>19223</v>
      </c>
      <c r="L918" t="s">
        <v>19224</v>
      </c>
      <c r="M918" t="s">
        <v>19225</v>
      </c>
      <c r="N918" t="s">
        <v>19226</v>
      </c>
      <c r="O918">
        <f>-776.771679039833 -51.1779191899282 -717.739685547477</f>
        <v>-1545.6892837772382</v>
      </c>
      <c r="P918">
        <f>-751.233369420895 -20.9340837525035 -403.70252298954</f>
        <v>-1175.8699761629384</v>
      </c>
      <c r="Q918">
        <f>-502.162666765997 -41.3238521059041 -331.66030372404</f>
        <v>-875.1468225959411</v>
      </c>
      <c r="R918" t="s">
        <v>19227</v>
      </c>
      <c r="S918" t="s">
        <v>19228</v>
      </c>
      <c r="T918" t="s">
        <v>19229</v>
      </c>
      <c r="U918" t="s">
        <v>19230</v>
      </c>
      <c r="V918" t="s">
        <v>19231</v>
      </c>
      <c r="W918" t="s">
        <v>19232</v>
      </c>
      <c r="X918" t="s">
        <v>19233</v>
      </c>
      <c r="Y918" t="s">
        <v>19234</v>
      </c>
    </row>
    <row r="919" spans="1:25" x14ac:dyDescent="0.3">
      <c r="A919">
        <v>45900</v>
      </c>
      <c r="B919" t="s">
        <v>19235</v>
      </c>
      <c r="C919" t="s">
        <v>19236</v>
      </c>
      <c r="D919" t="s">
        <v>19237</v>
      </c>
      <c r="E919" t="s">
        <v>19238</v>
      </c>
      <c r="F919" t="s">
        <v>19239</v>
      </c>
      <c r="G919" t="s">
        <v>19240</v>
      </c>
      <c r="H919" t="s">
        <v>19241</v>
      </c>
      <c r="I919" t="s">
        <v>19242</v>
      </c>
      <c r="J919" t="s">
        <v>19243</v>
      </c>
      <c r="K919" t="s">
        <v>19244</v>
      </c>
      <c r="L919" t="s">
        <v>19245</v>
      </c>
      <c r="M919" t="s">
        <v>19246</v>
      </c>
      <c r="N919" t="s">
        <v>19247</v>
      </c>
      <c r="O919">
        <f>-776.918217103943 -51.112709767046 -717.955105686996</f>
        <v>-1545.986032557985</v>
      </c>
      <c r="P919">
        <f>-751.525237063264 -20.9954787113056 -403.89401289161</f>
        <v>-1176.4147286661796</v>
      </c>
      <c r="Q919">
        <f>-502.518872893963 -41.2901092877307 -331.602740619898</f>
        <v>-875.41172280159174</v>
      </c>
      <c r="R919" t="s">
        <v>19248</v>
      </c>
      <c r="S919" t="s">
        <v>19249</v>
      </c>
      <c r="T919" t="s">
        <v>19250</v>
      </c>
      <c r="U919" t="s">
        <v>19251</v>
      </c>
      <c r="V919" t="s">
        <v>19252</v>
      </c>
      <c r="W919" t="s">
        <v>19253</v>
      </c>
      <c r="X919" t="s">
        <v>19254</v>
      </c>
      <c r="Y919" t="s">
        <v>19255</v>
      </c>
    </row>
    <row r="920" spans="1:25" x14ac:dyDescent="0.3">
      <c r="A920">
        <v>45950</v>
      </c>
      <c r="B920" t="s">
        <v>19235</v>
      </c>
      <c r="C920" t="s">
        <v>19236</v>
      </c>
      <c r="D920" t="s">
        <v>19237</v>
      </c>
      <c r="E920" t="s">
        <v>19238</v>
      </c>
      <c r="F920" t="s">
        <v>19239</v>
      </c>
      <c r="G920" t="s">
        <v>19240</v>
      </c>
      <c r="H920" t="s">
        <v>19241</v>
      </c>
      <c r="I920" t="s">
        <v>19242</v>
      </c>
      <c r="J920" t="s">
        <v>19243</v>
      </c>
      <c r="K920" t="s">
        <v>19244</v>
      </c>
      <c r="L920" t="s">
        <v>19245</v>
      </c>
      <c r="M920" t="s">
        <v>19246</v>
      </c>
      <c r="N920" t="s">
        <v>19247</v>
      </c>
      <c r="O920">
        <f>-776.918217103943 -51.112709767046 -717.955105686996</f>
        <v>-1545.986032557985</v>
      </c>
      <c r="P920">
        <f>-751.525237063264 -20.9954787113056 -403.89401289161</f>
        <v>-1176.4147286661796</v>
      </c>
      <c r="Q920">
        <f>-502.518872893963 -41.2901092877307 -331.602740619898</f>
        <v>-875.41172280159174</v>
      </c>
      <c r="R920" t="s">
        <v>19248</v>
      </c>
      <c r="S920" t="s">
        <v>19249</v>
      </c>
      <c r="T920" t="s">
        <v>19250</v>
      </c>
      <c r="U920" t="s">
        <v>19251</v>
      </c>
      <c r="V920" t="s">
        <v>19252</v>
      </c>
      <c r="W920" t="s">
        <v>19253</v>
      </c>
      <c r="X920" t="s">
        <v>19254</v>
      </c>
      <c r="Y920" t="s">
        <v>19255</v>
      </c>
    </row>
    <row r="921" spans="1:25" x14ac:dyDescent="0.3">
      <c r="A921">
        <v>46000</v>
      </c>
      <c r="B921" t="s">
        <v>19256</v>
      </c>
      <c r="C921" t="s">
        <v>19257</v>
      </c>
      <c r="D921" t="s">
        <v>19258</v>
      </c>
      <c r="E921" t="s">
        <v>19259</v>
      </c>
      <c r="F921" t="s">
        <v>19260</v>
      </c>
      <c r="G921" t="s">
        <v>19261</v>
      </c>
      <c r="H921" t="s">
        <v>19262</v>
      </c>
      <c r="I921" t="s">
        <v>19263</v>
      </c>
      <c r="J921" t="s">
        <v>19264</v>
      </c>
      <c r="K921" t="s">
        <v>19265</v>
      </c>
      <c r="L921" t="s">
        <v>19266</v>
      </c>
      <c r="M921" t="s">
        <v>19267</v>
      </c>
      <c r="N921" t="s">
        <v>19268</v>
      </c>
      <c r="O921">
        <f>-776.86858279094 -51.2362887344018 -718.230319160372</f>
        <v>-1546.3351906857138</v>
      </c>
      <c r="P921">
        <f>-751.765770535673 -21.1360436313696 -404.14437732317</f>
        <v>-1177.0461914902125</v>
      </c>
      <c r="Q921">
        <f>-502.837577892454 -41.4567298395666 -331.591568680287</f>
        <v>-875.88587641230765</v>
      </c>
      <c r="R921" t="s">
        <v>19269</v>
      </c>
      <c r="S921" t="s">
        <v>19270</v>
      </c>
      <c r="T921" t="s">
        <v>19271</v>
      </c>
      <c r="U921" t="s">
        <v>19272</v>
      </c>
      <c r="V921" t="s">
        <v>19273</v>
      </c>
      <c r="W921" t="s">
        <v>19274</v>
      </c>
      <c r="X921" t="s">
        <v>19275</v>
      </c>
      <c r="Y921" t="s">
        <v>19276</v>
      </c>
    </row>
    <row r="922" spans="1:25" x14ac:dyDescent="0.3">
      <c r="A922">
        <v>46050</v>
      </c>
      <c r="B922" t="s">
        <v>19256</v>
      </c>
      <c r="C922" t="s">
        <v>19257</v>
      </c>
      <c r="D922" t="s">
        <v>19258</v>
      </c>
      <c r="E922" t="s">
        <v>19259</v>
      </c>
      <c r="F922" t="s">
        <v>19260</v>
      </c>
      <c r="G922" t="s">
        <v>19261</v>
      </c>
      <c r="H922" t="s">
        <v>19262</v>
      </c>
      <c r="I922" t="s">
        <v>19263</v>
      </c>
      <c r="J922" t="s">
        <v>19264</v>
      </c>
      <c r="K922" t="s">
        <v>19265</v>
      </c>
      <c r="L922" t="s">
        <v>19266</v>
      </c>
      <c r="M922" t="s">
        <v>19267</v>
      </c>
      <c r="N922" t="s">
        <v>19268</v>
      </c>
      <c r="O922">
        <f>-776.86858279094 -51.2362887344018 -718.230319160372</f>
        <v>-1546.3351906857138</v>
      </c>
      <c r="P922">
        <f>-751.765770535673 -21.1360436313696 -404.14437732317</f>
        <v>-1177.0461914902125</v>
      </c>
      <c r="Q922">
        <f>-502.837577892454 -41.4567298395666 -331.591568680287</f>
        <v>-875.88587641230765</v>
      </c>
      <c r="R922" t="s">
        <v>19269</v>
      </c>
      <c r="S922" t="s">
        <v>19270</v>
      </c>
      <c r="T922" t="s">
        <v>19271</v>
      </c>
      <c r="U922" t="s">
        <v>19272</v>
      </c>
      <c r="V922" t="s">
        <v>19273</v>
      </c>
      <c r="W922" t="s">
        <v>19274</v>
      </c>
      <c r="X922" t="s">
        <v>19275</v>
      </c>
      <c r="Y922" t="s">
        <v>19276</v>
      </c>
    </row>
    <row r="923" spans="1:25" x14ac:dyDescent="0.3">
      <c r="A923">
        <v>46100</v>
      </c>
      <c r="B923" t="s">
        <v>19277</v>
      </c>
      <c r="C923" t="s">
        <v>19278</v>
      </c>
      <c r="D923" t="s">
        <v>19279</v>
      </c>
      <c r="E923" t="s">
        <v>19280</v>
      </c>
      <c r="F923" t="s">
        <v>19281</v>
      </c>
      <c r="G923" t="s">
        <v>19282</v>
      </c>
      <c r="H923" t="s">
        <v>19283</v>
      </c>
      <c r="I923" t="s">
        <v>19284</v>
      </c>
      <c r="J923" t="s">
        <v>19285</v>
      </c>
      <c r="K923" t="s">
        <v>19286</v>
      </c>
      <c r="L923" t="s">
        <v>19287</v>
      </c>
      <c r="M923" t="s">
        <v>19288</v>
      </c>
      <c r="N923" t="s">
        <v>19289</v>
      </c>
      <c r="O923">
        <f>-777.803558767813 -51.6042342802812 -719.487207776975</f>
        <v>-1548.895000825069</v>
      </c>
      <c r="P923">
        <f>-753.539367268948 -21.9394957614695 -405.293886775675</f>
        <v>-1180.7727498060926</v>
      </c>
      <c r="Q923">
        <f>-504.882848391484 -41.8440242514293 -331.701860662308</f>
        <v>-878.42873330522139</v>
      </c>
      <c r="R923" t="s">
        <v>19290</v>
      </c>
      <c r="S923" t="s">
        <v>19291</v>
      </c>
      <c r="T923" t="s">
        <v>19292</v>
      </c>
      <c r="U923" t="s">
        <v>19293</v>
      </c>
      <c r="V923" t="s">
        <v>19294</v>
      </c>
      <c r="W923" t="s">
        <v>19295</v>
      </c>
      <c r="X923" t="s">
        <v>19296</v>
      </c>
      <c r="Y923" t="s">
        <v>19297</v>
      </c>
    </row>
    <row r="924" spans="1:25" x14ac:dyDescent="0.3">
      <c r="A924">
        <v>46150</v>
      </c>
      <c r="B924" t="s">
        <v>19298</v>
      </c>
      <c r="C924" t="s">
        <v>19299</v>
      </c>
      <c r="D924" t="s">
        <v>19300</v>
      </c>
      <c r="E924" t="s">
        <v>19301</v>
      </c>
      <c r="F924" t="s">
        <v>19302</v>
      </c>
      <c r="G924" t="s">
        <v>19303</v>
      </c>
      <c r="H924" t="s">
        <v>19304</v>
      </c>
      <c r="I924" t="s">
        <v>19305</v>
      </c>
      <c r="J924" t="s">
        <v>19306</v>
      </c>
      <c r="K924" t="s">
        <v>19307</v>
      </c>
      <c r="L924" t="s">
        <v>19308</v>
      </c>
      <c r="M924" t="s">
        <v>19309</v>
      </c>
      <c r="N924" t="s">
        <v>19310</v>
      </c>
      <c r="O924">
        <f>-778.22341773226 -51.6475524240016 -719.548697865079</f>
        <v>-1549.4196680213406</v>
      </c>
      <c r="P924">
        <f>-753.931438537452 -22.0624269856671 -405.350005782097</f>
        <v>-1181.343871305216</v>
      </c>
      <c r="Q924">
        <f>-505.249797701075 -41.9250251061246 -331.831601445364</f>
        <v>-879.00642425256365</v>
      </c>
      <c r="R924" t="s">
        <v>19311</v>
      </c>
      <c r="S924" t="s">
        <v>19312</v>
      </c>
      <c r="T924" t="s">
        <v>19313</v>
      </c>
      <c r="U924" t="s">
        <v>19314</v>
      </c>
      <c r="V924" t="s">
        <v>19315</v>
      </c>
      <c r="W924" t="s">
        <v>19316</v>
      </c>
      <c r="X924" t="s">
        <v>19317</v>
      </c>
      <c r="Y924" t="s">
        <v>19318</v>
      </c>
    </row>
    <row r="925" spans="1:25" x14ac:dyDescent="0.3">
      <c r="A925">
        <v>46200</v>
      </c>
      <c r="B925" t="s">
        <v>19319</v>
      </c>
      <c r="C925" t="s">
        <v>19320</v>
      </c>
      <c r="D925" t="s">
        <v>19321</v>
      </c>
      <c r="E925" t="s">
        <v>19322</v>
      </c>
      <c r="F925" t="s">
        <v>19323</v>
      </c>
      <c r="G925" t="s">
        <v>19324</v>
      </c>
      <c r="H925" t="s">
        <v>19325</v>
      </c>
      <c r="I925" t="s">
        <v>19326</v>
      </c>
      <c r="J925" t="s">
        <v>19327</v>
      </c>
      <c r="K925" t="s">
        <v>19328</v>
      </c>
      <c r="L925" t="s">
        <v>19329</v>
      </c>
      <c r="M925" t="s">
        <v>19330</v>
      </c>
      <c r="N925" t="s">
        <v>19331</v>
      </c>
      <c r="O925">
        <f>-778.638925963343 -51.7864555306573 -719.510750336256</f>
        <v>-1549.9361318302563</v>
      </c>
      <c r="P925">
        <f>-754.306755040775 -22.0299316072808 -405.331453337971</f>
        <v>-1181.6681399860267</v>
      </c>
      <c r="Q925">
        <f>-505.557308246773 -41.8226126657564 -332.023855660117</f>
        <v>-879.40377657264639</v>
      </c>
      <c r="R925" t="s">
        <v>19332</v>
      </c>
      <c r="S925" t="s">
        <v>19333</v>
      </c>
      <c r="T925" t="s">
        <v>19334</v>
      </c>
      <c r="U925" t="s">
        <v>19335</v>
      </c>
      <c r="V925" t="s">
        <v>19336</v>
      </c>
      <c r="W925" t="s">
        <v>19337</v>
      </c>
      <c r="X925" t="s">
        <v>19338</v>
      </c>
      <c r="Y925" t="s">
        <v>19339</v>
      </c>
    </row>
    <row r="926" spans="1:25" x14ac:dyDescent="0.3">
      <c r="A926">
        <v>46250</v>
      </c>
      <c r="B926" t="s">
        <v>19340</v>
      </c>
      <c r="C926" t="s">
        <v>19341</v>
      </c>
      <c r="D926" t="s">
        <v>19342</v>
      </c>
      <c r="E926" t="s">
        <v>19343</v>
      </c>
      <c r="F926" t="s">
        <v>19344</v>
      </c>
      <c r="G926" t="s">
        <v>19345</v>
      </c>
      <c r="H926" t="s">
        <v>19346</v>
      </c>
      <c r="I926" t="s">
        <v>19347</v>
      </c>
      <c r="J926" t="s">
        <v>19348</v>
      </c>
      <c r="K926" t="s">
        <v>19349</v>
      </c>
      <c r="L926" t="s">
        <v>19350</v>
      </c>
      <c r="M926" t="s">
        <v>19351</v>
      </c>
      <c r="N926" t="s">
        <v>19352</v>
      </c>
      <c r="O926">
        <f>-779.790556500715 -52.3814606112539 -719.072579647387</f>
        <v>-1551.2445967593558</v>
      </c>
      <c r="P926">
        <f>-754.914560084318 -22.7112062558319 -404.92765113505</f>
        <v>-1182.5534174751999</v>
      </c>
      <c r="Q926">
        <f>-506.117486817889 -42.3026528354542 -331.727307496736</f>
        <v>-880.14744715007919</v>
      </c>
      <c r="R926" t="s">
        <v>19353</v>
      </c>
      <c r="S926" t="s">
        <v>19354</v>
      </c>
      <c r="T926" t="s">
        <v>19355</v>
      </c>
      <c r="U926" t="s">
        <v>19356</v>
      </c>
      <c r="V926" t="s">
        <v>19357</v>
      </c>
      <c r="W926" t="s">
        <v>19358</v>
      </c>
      <c r="X926" t="s">
        <v>19359</v>
      </c>
      <c r="Y926" t="s">
        <v>19360</v>
      </c>
    </row>
    <row r="927" spans="1:25" x14ac:dyDescent="0.3">
      <c r="A927">
        <v>46300</v>
      </c>
      <c r="B927" t="s">
        <v>19361</v>
      </c>
      <c r="C927" t="s">
        <v>19362</v>
      </c>
      <c r="D927" t="s">
        <v>19363</v>
      </c>
      <c r="E927" t="s">
        <v>19364</v>
      </c>
      <c r="F927" t="s">
        <v>19365</v>
      </c>
      <c r="G927" t="s">
        <v>19366</v>
      </c>
      <c r="H927" t="s">
        <v>19367</v>
      </c>
      <c r="I927" t="s">
        <v>19368</v>
      </c>
      <c r="J927" t="s">
        <v>19369</v>
      </c>
      <c r="K927" t="s">
        <v>19370</v>
      </c>
      <c r="L927" t="s">
        <v>19371</v>
      </c>
      <c r="M927" t="s">
        <v>19372</v>
      </c>
      <c r="N927" t="s">
        <v>19373</v>
      </c>
      <c r="O927">
        <f>-780.368136431277 -52.9178989804882 -718.866782132538</f>
        <v>-1552.1528175443032</v>
      </c>
      <c r="P927">
        <f>-755.424903486589 -22.9021065870911 -404.760006956566</f>
        <v>-1183.087017030246</v>
      </c>
      <c r="Q927">
        <f>-506.641715276243 -42.2150008532046 -331.438909811175</f>
        <v>-880.29562594062259</v>
      </c>
      <c r="R927" t="s">
        <v>19374</v>
      </c>
      <c r="S927" t="s">
        <v>19375</v>
      </c>
      <c r="T927" t="s">
        <v>19376</v>
      </c>
      <c r="U927" t="s">
        <v>19377</v>
      </c>
      <c r="V927" t="s">
        <v>19378</v>
      </c>
      <c r="W927" t="s">
        <v>19379</v>
      </c>
      <c r="X927" t="s">
        <v>19380</v>
      </c>
      <c r="Y927" t="s">
        <v>19381</v>
      </c>
    </row>
    <row r="928" spans="1:25" x14ac:dyDescent="0.3">
      <c r="A928">
        <v>46350</v>
      </c>
      <c r="B928" t="s">
        <v>19382</v>
      </c>
      <c r="C928" t="s">
        <v>19383</v>
      </c>
      <c r="D928" t="s">
        <v>19384</v>
      </c>
      <c r="E928" t="s">
        <v>19385</v>
      </c>
      <c r="F928" t="s">
        <v>19386</v>
      </c>
      <c r="G928" t="s">
        <v>19387</v>
      </c>
      <c r="H928" t="s">
        <v>19388</v>
      </c>
      <c r="I928" t="s">
        <v>19389</v>
      </c>
      <c r="J928" t="s">
        <v>19390</v>
      </c>
      <c r="K928" t="s">
        <v>19391</v>
      </c>
      <c r="L928" t="s">
        <v>19392</v>
      </c>
      <c r="M928" t="s">
        <v>19393</v>
      </c>
      <c r="N928" t="s">
        <v>19394</v>
      </c>
      <c r="O928">
        <f>-782.154616475946 -53.4818194510935 -718.448728666274</f>
        <v>-1554.0851645933135</v>
      </c>
      <c r="P928">
        <f>-756.633181136215 -23.1692416550381 -404.416930972388</f>
        <v>-1184.219353763641</v>
      </c>
      <c r="Q928">
        <f>-507.877694525174 -42.3272695065559 -330.961314872644</f>
        <v>-881.16627890437394</v>
      </c>
      <c r="R928" t="s">
        <v>19395</v>
      </c>
      <c r="S928" t="s">
        <v>19396</v>
      </c>
      <c r="T928" t="s">
        <v>19397</v>
      </c>
      <c r="U928" t="s">
        <v>19398</v>
      </c>
      <c r="V928" t="s">
        <v>19399</v>
      </c>
      <c r="W928" t="s">
        <v>19400</v>
      </c>
      <c r="X928" t="s">
        <v>19401</v>
      </c>
      <c r="Y928" t="s">
        <v>19402</v>
      </c>
    </row>
    <row r="929" spans="1:25" x14ac:dyDescent="0.3">
      <c r="A929">
        <v>46400</v>
      </c>
      <c r="B929" t="s">
        <v>19403</v>
      </c>
      <c r="C929" t="s">
        <v>19404</v>
      </c>
      <c r="D929" t="s">
        <v>19405</v>
      </c>
      <c r="E929" t="s">
        <v>19406</v>
      </c>
      <c r="F929" t="s">
        <v>19407</v>
      </c>
      <c r="G929" t="s">
        <v>19408</v>
      </c>
      <c r="H929" t="s">
        <v>19409</v>
      </c>
      <c r="I929" t="s">
        <v>19410</v>
      </c>
      <c r="J929" t="s">
        <v>19411</v>
      </c>
      <c r="K929" t="s">
        <v>19412</v>
      </c>
      <c r="L929" t="s">
        <v>19413</v>
      </c>
      <c r="M929" t="s">
        <v>19414</v>
      </c>
      <c r="N929" t="s">
        <v>19415</v>
      </c>
      <c r="O929">
        <f>-783.250989672164 -53.6065889858219 -718.139796031619</f>
        <v>-1554.9973746896048</v>
      </c>
      <c r="P929">
        <f>-757.167401057506 -23.0781166783349 -404.174942146519</f>
        <v>-1184.4204598823599</v>
      </c>
      <c r="Q929">
        <f>-508.314753637949 -42.1742933076339 -331.032860618517</f>
        <v>-881.52190756409993</v>
      </c>
      <c r="R929" t="s">
        <v>19416</v>
      </c>
      <c r="S929" t="s">
        <v>19417</v>
      </c>
      <c r="T929" t="s">
        <v>19418</v>
      </c>
      <c r="U929" t="s">
        <v>19419</v>
      </c>
      <c r="V929" t="s">
        <v>19420</v>
      </c>
      <c r="W929" t="s">
        <v>19421</v>
      </c>
      <c r="X929" t="s">
        <v>19422</v>
      </c>
      <c r="Y929" t="s">
        <v>19423</v>
      </c>
    </row>
    <row r="930" spans="1:25" x14ac:dyDescent="0.3">
      <c r="A930">
        <v>46450</v>
      </c>
      <c r="B930" t="s">
        <v>19424</v>
      </c>
      <c r="C930" t="s">
        <v>19425</v>
      </c>
      <c r="D930" t="s">
        <v>19426</v>
      </c>
      <c r="E930" t="s">
        <v>19427</v>
      </c>
      <c r="F930" t="s">
        <v>19428</v>
      </c>
      <c r="G930" t="s">
        <v>19429</v>
      </c>
      <c r="H930" t="s">
        <v>19430</v>
      </c>
      <c r="I930" t="s">
        <v>19431</v>
      </c>
      <c r="J930" t="s">
        <v>19432</v>
      </c>
      <c r="K930" t="s">
        <v>19433</v>
      </c>
      <c r="L930" t="s">
        <v>19434</v>
      </c>
      <c r="M930" t="s">
        <v>19435</v>
      </c>
      <c r="N930" t="s">
        <v>19436</v>
      </c>
      <c r="O930">
        <f>-785.577316525723 -53.6348275014605 -717.33230731901</f>
        <v>-1556.5444513461935</v>
      </c>
      <c r="P930">
        <f>-758.35198806547 -22.1958608611365 -403.554322792677</f>
        <v>-1184.1021717192834</v>
      </c>
      <c r="Q930">
        <f>-509.338926021165 -41.4969091393225 -331.014587388124</f>
        <v>-881.8504225486115</v>
      </c>
      <c r="R930" t="s">
        <v>19437</v>
      </c>
      <c r="S930" t="s">
        <v>19438</v>
      </c>
      <c r="T930" t="s">
        <v>19439</v>
      </c>
      <c r="U930" t="s">
        <v>19440</v>
      </c>
      <c r="V930" t="s">
        <v>19441</v>
      </c>
      <c r="W930" t="s">
        <v>19442</v>
      </c>
      <c r="X930" t="s">
        <v>19443</v>
      </c>
      <c r="Y930" t="s">
        <v>19444</v>
      </c>
    </row>
    <row r="931" spans="1:25" x14ac:dyDescent="0.3">
      <c r="A931">
        <v>46500</v>
      </c>
      <c r="B931" t="s">
        <v>19445</v>
      </c>
      <c r="C931" t="s">
        <v>19446</v>
      </c>
      <c r="D931" t="s">
        <v>19447</v>
      </c>
      <c r="E931" t="s">
        <v>19448</v>
      </c>
      <c r="F931" t="s">
        <v>19449</v>
      </c>
      <c r="G931" t="s">
        <v>19450</v>
      </c>
      <c r="H931" t="s">
        <v>19451</v>
      </c>
      <c r="I931" t="s">
        <v>19452</v>
      </c>
      <c r="J931" t="s">
        <v>19453</v>
      </c>
      <c r="K931" t="s">
        <v>19454</v>
      </c>
      <c r="L931" t="s">
        <v>19455</v>
      </c>
      <c r="M931" t="s">
        <v>19456</v>
      </c>
      <c r="N931" t="s">
        <v>19457</v>
      </c>
      <c r="O931">
        <f>-786.713772313709 -53.7306708862902 -716.865066555351</f>
        <v>-1557.3095097553501</v>
      </c>
      <c r="P931">
        <f>-759.117378362289 -22.0118025283366 -403.147811683685</f>
        <v>-1184.2769925743105</v>
      </c>
      <c r="Q931">
        <f>-510.097840530919 -41.5133995660819 -330.684168467584</f>
        <v>-882.29540856458493</v>
      </c>
      <c r="R931" t="s">
        <v>19458</v>
      </c>
      <c r="S931" t="s">
        <v>19459</v>
      </c>
      <c r="T931" t="s">
        <v>19460</v>
      </c>
      <c r="U931" t="s">
        <v>19461</v>
      </c>
      <c r="V931" t="s">
        <v>19462</v>
      </c>
      <c r="W931" t="s">
        <v>19463</v>
      </c>
      <c r="X931" t="s">
        <v>19464</v>
      </c>
      <c r="Y931" t="s">
        <v>19465</v>
      </c>
    </row>
    <row r="932" spans="1:25" x14ac:dyDescent="0.3">
      <c r="A932">
        <v>46550</v>
      </c>
      <c r="B932" t="s">
        <v>19466</v>
      </c>
      <c r="C932" t="s">
        <v>19467</v>
      </c>
      <c r="D932" t="s">
        <v>19468</v>
      </c>
      <c r="E932" t="s">
        <v>19469</v>
      </c>
      <c r="F932" t="s">
        <v>19470</v>
      </c>
      <c r="G932" t="s">
        <v>19471</v>
      </c>
      <c r="H932" t="s">
        <v>19472</v>
      </c>
      <c r="I932" t="s">
        <v>19473</v>
      </c>
      <c r="J932" t="s">
        <v>19474</v>
      </c>
      <c r="K932" t="s">
        <v>19475</v>
      </c>
      <c r="L932" t="s">
        <v>19476</v>
      </c>
      <c r="M932" t="s">
        <v>19477</v>
      </c>
      <c r="N932" t="s">
        <v>19478</v>
      </c>
      <c r="O932">
        <f>-788.569907100965 -53.3940020280063 -716.20986193714</f>
        <v>-1558.1737710661114</v>
      </c>
      <c r="P932">
        <f>-760.564156009808 -21.2209308954234 -402.574935530407</f>
        <v>-1184.3600224356385</v>
      </c>
      <c r="Q932">
        <f>-511.615178295566 -40.8999356276663 -329.917069957901</f>
        <v>-882.43218388113337</v>
      </c>
      <c r="R932" t="s">
        <v>19479</v>
      </c>
      <c r="S932" t="s">
        <v>19480</v>
      </c>
      <c r="T932" t="s">
        <v>19481</v>
      </c>
      <c r="U932" t="s">
        <v>19482</v>
      </c>
      <c r="V932" t="s">
        <v>19483</v>
      </c>
      <c r="W932" t="s">
        <v>19484</v>
      </c>
      <c r="X932" t="s">
        <v>19485</v>
      </c>
      <c r="Y932" t="s">
        <v>19486</v>
      </c>
    </row>
    <row r="933" spans="1:25" x14ac:dyDescent="0.3">
      <c r="A933">
        <v>46600</v>
      </c>
      <c r="B933" t="s">
        <v>19487</v>
      </c>
      <c r="C933" t="s">
        <v>19488</v>
      </c>
      <c r="D933" t="s">
        <v>19489</v>
      </c>
      <c r="E933" t="s">
        <v>19490</v>
      </c>
      <c r="F933" t="s">
        <v>19491</v>
      </c>
      <c r="G933" t="s">
        <v>19492</v>
      </c>
      <c r="H933" t="s">
        <v>19493</v>
      </c>
      <c r="I933" t="s">
        <v>19494</v>
      </c>
      <c r="J933" t="s">
        <v>19495</v>
      </c>
      <c r="K933" t="s">
        <v>19496</v>
      </c>
      <c r="L933" t="s">
        <v>19497</v>
      </c>
      <c r="M933" t="s">
        <v>19498</v>
      </c>
      <c r="N933" t="s">
        <v>19499</v>
      </c>
      <c r="O933">
        <f>-789.132083947364 -53.2031989895108 -716.053023682277</f>
        <v>-1558.3883066191518</v>
      </c>
      <c r="P933">
        <f>-761.167524565171 -20.7795785751575 -402.440490663893</f>
        <v>-1184.3875938042215</v>
      </c>
      <c r="Q933">
        <f>-512.263133615332 -40.4486519200329 -329.627116943819</f>
        <v>-882.33890247918384</v>
      </c>
      <c r="R933" t="s">
        <v>19500</v>
      </c>
      <c r="S933" t="s">
        <v>19501</v>
      </c>
      <c r="T933" t="s">
        <v>19502</v>
      </c>
      <c r="U933" t="s">
        <v>19503</v>
      </c>
      <c r="V933" t="s">
        <v>19504</v>
      </c>
      <c r="W933" t="s">
        <v>19505</v>
      </c>
      <c r="X933" t="s">
        <v>19506</v>
      </c>
      <c r="Y933" t="s">
        <v>19507</v>
      </c>
    </row>
    <row r="934" spans="1:25" x14ac:dyDescent="0.3">
      <c r="A934">
        <v>46650</v>
      </c>
      <c r="B934" t="s">
        <v>19508</v>
      </c>
      <c r="C934" t="s">
        <v>19509</v>
      </c>
      <c r="D934" t="s">
        <v>19510</v>
      </c>
      <c r="E934" t="s">
        <v>19511</v>
      </c>
      <c r="F934" t="s">
        <v>19512</v>
      </c>
      <c r="G934" t="s">
        <v>19513</v>
      </c>
      <c r="H934" t="s">
        <v>19514</v>
      </c>
      <c r="I934" t="s">
        <v>19515</v>
      </c>
      <c r="J934" t="s">
        <v>19516</v>
      </c>
      <c r="K934" t="s">
        <v>19517</v>
      </c>
      <c r="L934" t="s">
        <v>19518</v>
      </c>
      <c r="M934" t="s">
        <v>19519</v>
      </c>
      <c r="N934" t="s">
        <v>19520</v>
      </c>
      <c r="O934">
        <f>-790.314691751282 -52.5686196556239 -716.059692104148</f>
        <v>-1558.943003511054</v>
      </c>
      <c r="P934">
        <f>-762.737852691084 -20.1412678583758 -402.413053652126</f>
        <v>-1185.2921742015858</v>
      </c>
      <c r="Q934">
        <f>-513.931260523603 -39.3647884243628 -329.147860550019</f>
        <v>-882.44390949798481</v>
      </c>
      <c r="R934" t="s">
        <v>19521</v>
      </c>
      <c r="S934" t="s">
        <v>19522</v>
      </c>
      <c r="T934" t="s">
        <v>19523</v>
      </c>
      <c r="U934" t="s">
        <v>19524</v>
      </c>
      <c r="V934" t="s">
        <v>19525</v>
      </c>
      <c r="W934" t="s">
        <v>19526</v>
      </c>
      <c r="X934" t="s">
        <v>19527</v>
      </c>
      <c r="Y934" t="s">
        <v>19528</v>
      </c>
    </row>
    <row r="935" spans="1:25" x14ac:dyDescent="0.3">
      <c r="A935">
        <v>46700</v>
      </c>
      <c r="B935" t="s">
        <v>19529</v>
      </c>
      <c r="C935" t="s">
        <v>19530</v>
      </c>
      <c r="D935" t="s">
        <v>19531</v>
      </c>
      <c r="E935" t="s">
        <v>19532</v>
      </c>
      <c r="F935" t="s">
        <v>19533</v>
      </c>
      <c r="G935" t="s">
        <v>19534</v>
      </c>
      <c r="H935" t="s">
        <v>19535</v>
      </c>
      <c r="I935" t="s">
        <v>19536</v>
      </c>
      <c r="J935" t="s">
        <v>19537</v>
      </c>
      <c r="K935" t="s">
        <v>19538</v>
      </c>
      <c r="L935" t="s">
        <v>19539</v>
      </c>
      <c r="M935" t="s">
        <v>19540</v>
      </c>
      <c r="N935" t="s">
        <v>19541</v>
      </c>
      <c r="O935">
        <f>-790.856441646173 -52.1608524149347 -716.197089546366</f>
        <v>-1559.2143836074738</v>
      </c>
      <c r="P935">
        <f>-763.394962713608 -19.9548818931014 -402.517556937705</f>
        <v>-1185.8674015444144</v>
      </c>
      <c r="Q935">
        <f>-514.649250009993 -39.105566835939 -329.026834758554</f>
        <v>-882.78165160448611</v>
      </c>
      <c r="R935" t="s">
        <v>19542</v>
      </c>
      <c r="S935" t="s">
        <v>19543</v>
      </c>
      <c r="T935" t="s">
        <v>19544</v>
      </c>
      <c r="U935" t="s">
        <v>19545</v>
      </c>
      <c r="V935" t="s">
        <v>19546</v>
      </c>
      <c r="W935" t="s">
        <v>19547</v>
      </c>
      <c r="X935" t="s">
        <v>19548</v>
      </c>
      <c r="Y935" t="s">
        <v>19549</v>
      </c>
    </row>
    <row r="936" spans="1:25" x14ac:dyDescent="0.3">
      <c r="A936">
        <v>46750</v>
      </c>
      <c r="B936" t="s">
        <v>19550</v>
      </c>
      <c r="C936" t="s">
        <v>19551</v>
      </c>
      <c r="D936" t="s">
        <v>19552</v>
      </c>
      <c r="E936" t="s">
        <v>19553</v>
      </c>
      <c r="F936" t="s">
        <v>19554</v>
      </c>
      <c r="G936" t="s">
        <v>19555</v>
      </c>
      <c r="H936" t="s">
        <v>19556</v>
      </c>
      <c r="I936" t="s">
        <v>19557</v>
      </c>
      <c r="J936" t="s">
        <v>19558</v>
      </c>
      <c r="K936" t="s">
        <v>19559</v>
      </c>
      <c r="L936" t="s">
        <v>19560</v>
      </c>
      <c r="M936" t="s">
        <v>19561</v>
      </c>
      <c r="N936" t="s">
        <v>19562</v>
      </c>
      <c r="O936">
        <f>-791.519769518193 -51.0554878314942 -716.719432452975</f>
        <v>-1559.2946898026621</v>
      </c>
      <c r="P936">
        <f>-764.348655785381 -19.6168315532962 -402.936980148725</f>
        <v>-1186.9024674874022</v>
      </c>
      <c r="Q936">
        <f>-515.615500739022 -38.4642695468071 -329.325298427531</f>
        <v>-883.40506871336015</v>
      </c>
      <c r="R936" t="s">
        <v>19563</v>
      </c>
      <c r="S936" t="s">
        <v>19564</v>
      </c>
      <c r="T936" t="s">
        <v>19565</v>
      </c>
      <c r="U936" t="s">
        <v>19566</v>
      </c>
      <c r="V936" t="s">
        <v>19567</v>
      </c>
      <c r="W936" t="s">
        <v>19568</v>
      </c>
      <c r="X936" t="s">
        <v>19569</v>
      </c>
      <c r="Y936" t="s">
        <v>19570</v>
      </c>
    </row>
    <row r="937" spans="1:25" x14ac:dyDescent="0.3">
      <c r="A937">
        <v>46800</v>
      </c>
      <c r="B937" t="s">
        <v>19571</v>
      </c>
      <c r="C937" t="s">
        <v>19572</v>
      </c>
      <c r="D937" t="s">
        <v>19573</v>
      </c>
      <c r="E937" t="s">
        <v>19574</v>
      </c>
      <c r="F937" t="s">
        <v>19575</v>
      </c>
      <c r="G937" t="s">
        <v>19576</v>
      </c>
      <c r="H937" t="s">
        <v>19577</v>
      </c>
      <c r="I937" t="s">
        <v>19578</v>
      </c>
      <c r="J937" t="s">
        <v>19579</v>
      </c>
      <c r="K937" t="s">
        <v>19580</v>
      </c>
      <c r="L937" t="s">
        <v>19581</v>
      </c>
      <c r="M937" t="s">
        <v>19582</v>
      </c>
      <c r="N937" t="s">
        <v>19583</v>
      </c>
      <c r="O937">
        <f>-791.625264228723 -50.7268027387202 -716.969720807489</f>
        <v>-1559.3217877749321</v>
      </c>
      <c r="P937">
        <f>-764.566468514985 -19.6118867137609 -403.145261873205</f>
        <v>-1187.323617101951</v>
      </c>
      <c r="Q937">
        <f>-515.813912085502 -38.3724748238592 -329.577186788767</f>
        <v>-883.7635736981282</v>
      </c>
      <c r="R937" t="s">
        <v>19584</v>
      </c>
      <c r="S937" t="s">
        <v>19585</v>
      </c>
      <c r="T937" t="s">
        <v>19586</v>
      </c>
      <c r="U937" t="s">
        <v>19587</v>
      </c>
      <c r="V937" t="s">
        <v>19588</v>
      </c>
      <c r="W937" t="s">
        <v>19589</v>
      </c>
      <c r="X937" t="s">
        <v>19590</v>
      </c>
      <c r="Y937" t="s">
        <v>19591</v>
      </c>
    </row>
    <row r="938" spans="1:25" x14ac:dyDescent="0.3">
      <c r="A938">
        <v>46850</v>
      </c>
      <c r="B938" t="s">
        <v>19592</v>
      </c>
      <c r="C938" t="s">
        <v>19593</v>
      </c>
      <c r="D938" t="s">
        <v>19594</v>
      </c>
      <c r="E938" t="s">
        <v>19595</v>
      </c>
      <c r="F938" t="s">
        <v>19596</v>
      </c>
      <c r="G938" t="s">
        <v>19597</v>
      </c>
      <c r="H938" t="s">
        <v>19598</v>
      </c>
      <c r="I938" t="s">
        <v>19599</v>
      </c>
      <c r="J938" t="s">
        <v>19600</v>
      </c>
      <c r="K938" t="s">
        <v>19601</v>
      </c>
      <c r="L938" t="s">
        <v>19602</v>
      </c>
      <c r="M938" t="s">
        <v>19603</v>
      </c>
      <c r="N938" t="s">
        <v>19604</v>
      </c>
      <c r="O938">
        <f>-791.142071968884 -50.6932154249284 -717.441938594384</f>
        <v>-1559.2772259881965</v>
      </c>
      <c r="P938">
        <f>-764.162224254623 -20.4347300977267 -403.526736202324</f>
        <v>-1188.1236905546737</v>
      </c>
      <c r="Q938">
        <f>-515.225488893951 -38.8768952478529 -330.503258604145</f>
        <v>-884.6056427459489</v>
      </c>
      <c r="R938" t="s">
        <v>19605</v>
      </c>
      <c r="S938" t="s">
        <v>19606</v>
      </c>
      <c r="T938" t="s">
        <v>19607</v>
      </c>
      <c r="U938" t="s">
        <v>19608</v>
      </c>
      <c r="V938" t="s">
        <v>19609</v>
      </c>
      <c r="W938" t="s">
        <v>19610</v>
      </c>
      <c r="X938" t="s">
        <v>19611</v>
      </c>
      <c r="Y938" t="s">
        <v>19612</v>
      </c>
    </row>
    <row r="939" spans="1:25" x14ac:dyDescent="0.3">
      <c r="A939">
        <v>46900</v>
      </c>
      <c r="B939" t="s">
        <v>19613</v>
      </c>
      <c r="C939" t="s">
        <v>19614</v>
      </c>
      <c r="D939" t="s">
        <v>19615</v>
      </c>
      <c r="E939" t="s">
        <v>19616</v>
      </c>
      <c r="F939" t="s">
        <v>19617</v>
      </c>
      <c r="G939" t="s">
        <v>19618</v>
      </c>
      <c r="H939" t="s">
        <v>19619</v>
      </c>
      <c r="I939" t="s">
        <v>19620</v>
      </c>
      <c r="J939" t="s">
        <v>19621</v>
      </c>
      <c r="K939" t="s">
        <v>19622</v>
      </c>
      <c r="L939" t="s">
        <v>19623</v>
      </c>
      <c r="M939" t="s">
        <v>19624</v>
      </c>
      <c r="N939" t="s">
        <v>19625</v>
      </c>
      <c r="O939">
        <f>-790.830434034327 -50.8636798250725 -717.679588974572</f>
        <v>-1559.3737028339715</v>
      </c>
      <c r="P939">
        <f>-763.873672871738 -20.9871310584122 -403.725909938255</f>
        <v>-1188.5867138684052</v>
      </c>
      <c r="Q939">
        <f>-514.835029445366 -39.3079372471464 -331.019906949965</f>
        <v>-885.16287364247728</v>
      </c>
      <c r="R939" t="s">
        <v>19626</v>
      </c>
      <c r="S939" t="s">
        <v>19627</v>
      </c>
      <c r="T939" t="s">
        <v>19628</v>
      </c>
      <c r="U939" t="s">
        <v>19629</v>
      </c>
      <c r="V939" t="s">
        <v>19630</v>
      </c>
      <c r="W939" t="s">
        <v>19631</v>
      </c>
      <c r="X939" t="s">
        <v>19632</v>
      </c>
      <c r="Y939" t="s">
        <v>19633</v>
      </c>
    </row>
    <row r="940" spans="1:25" x14ac:dyDescent="0.3">
      <c r="A940">
        <v>46950</v>
      </c>
      <c r="B940" t="s">
        <v>19634</v>
      </c>
      <c r="C940" t="s">
        <v>19635</v>
      </c>
      <c r="D940" t="s">
        <v>19636</v>
      </c>
      <c r="E940" t="s">
        <v>19637</v>
      </c>
      <c r="F940" t="s">
        <v>19638</v>
      </c>
      <c r="G940" t="s">
        <v>19639</v>
      </c>
      <c r="H940" t="s">
        <v>19640</v>
      </c>
      <c r="I940" t="s">
        <v>19641</v>
      </c>
      <c r="J940" t="s">
        <v>19642</v>
      </c>
      <c r="K940" t="s">
        <v>19643</v>
      </c>
      <c r="L940" t="s">
        <v>19644</v>
      </c>
      <c r="M940" t="s">
        <v>19645</v>
      </c>
      <c r="N940" t="s">
        <v>19646</v>
      </c>
      <c r="O940">
        <f>-790.139860735192 -50.9949975536695 -718.250695320562</f>
        <v>-1559.3855536094234</v>
      </c>
      <c r="P940">
        <f>-763.176311896724 -22.2280101416056 -404.19404775994</f>
        <v>-1189.5983697982697</v>
      </c>
      <c r="Q940">
        <f>-514.070079849441 -40.0588762687503 -331.598034850817</f>
        <v>-885.72699096900828</v>
      </c>
      <c r="R940" t="s">
        <v>19647</v>
      </c>
      <c r="S940" t="s">
        <v>19648</v>
      </c>
      <c r="T940" t="s">
        <v>19649</v>
      </c>
      <c r="U940" t="s">
        <v>19650</v>
      </c>
      <c r="V940" t="s">
        <v>19651</v>
      </c>
      <c r="W940" t="s">
        <v>19652</v>
      </c>
      <c r="X940" t="s">
        <v>19653</v>
      </c>
      <c r="Y940" t="s">
        <v>19654</v>
      </c>
    </row>
    <row r="941" spans="1:25" x14ac:dyDescent="0.3">
      <c r="A941">
        <v>47000</v>
      </c>
      <c r="B941" t="s">
        <v>19655</v>
      </c>
      <c r="C941" t="s">
        <v>19656</v>
      </c>
      <c r="D941" t="s">
        <v>19657</v>
      </c>
      <c r="E941" t="s">
        <v>19658</v>
      </c>
      <c r="F941" t="s">
        <v>19659</v>
      </c>
      <c r="G941" t="s">
        <v>19660</v>
      </c>
      <c r="H941" t="s">
        <v>19661</v>
      </c>
      <c r="I941" t="s">
        <v>19662</v>
      </c>
      <c r="J941" t="s">
        <v>19663</v>
      </c>
      <c r="K941" t="s">
        <v>19664</v>
      </c>
      <c r="L941" t="s">
        <v>19665</v>
      </c>
      <c r="M941" t="s">
        <v>19666</v>
      </c>
      <c r="N941" t="s">
        <v>19667</v>
      </c>
      <c r="O941">
        <f>-789.722387457886 -51.3704235329139 -718.526504799972</f>
        <v>-1559.6193157907719</v>
      </c>
      <c r="P941">
        <f>-763.002064320819 -22.9698235360945 -404.415759657689</f>
        <v>-1190.3876475146026</v>
      </c>
      <c r="Q941">
        <f>-513.919567913332 -40.4648212629854 -331.656551757222</f>
        <v>-886.04094093353945</v>
      </c>
      <c r="R941" t="s">
        <v>19668</v>
      </c>
      <c r="S941" t="s">
        <v>19669</v>
      </c>
      <c r="T941" t="s">
        <v>19670</v>
      </c>
      <c r="U941" t="s">
        <v>19671</v>
      </c>
      <c r="V941" t="s">
        <v>19672</v>
      </c>
      <c r="W941" t="s">
        <v>19673</v>
      </c>
      <c r="X941" t="s">
        <v>19674</v>
      </c>
      <c r="Y941" t="s">
        <v>19675</v>
      </c>
    </row>
    <row r="942" spans="1:25" x14ac:dyDescent="0.3">
      <c r="A942">
        <v>47050</v>
      </c>
      <c r="B942" t="s">
        <v>19676</v>
      </c>
      <c r="C942" t="s">
        <v>19677</v>
      </c>
      <c r="D942" t="s">
        <v>19678</v>
      </c>
      <c r="E942" t="s">
        <v>19679</v>
      </c>
      <c r="F942" t="s">
        <v>19680</v>
      </c>
      <c r="G942" t="s">
        <v>19681</v>
      </c>
      <c r="H942" t="s">
        <v>19682</v>
      </c>
      <c r="I942" t="s">
        <v>19683</v>
      </c>
      <c r="J942" t="s">
        <v>19684</v>
      </c>
      <c r="K942" t="s">
        <v>19685</v>
      </c>
      <c r="L942" t="s">
        <v>19686</v>
      </c>
      <c r="M942" t="s">
        <v>19687</v>
      </c>
      <c r="N942" t="s">
        <v>19688</v>
      </c>
      <c r="O942">
        <f>-788.750807910059 -51.9982188740858 -719.184991057644</f>
        <v>-1559.9340178417888</v>
      </c>
      <c r="P942">
        <f>-762.705290795803 -24.0054997177233 -404.980840481295</f>
        <v>-1191.6916309948213</v>
      </c>
      <c r="Q942">
        <f>-513.663044423001 -40.6521314408703 -331.885511639257</f>
        <v>-886.20068750312839</v>
      </c>
      <c r="R942" t="s">
        <v>19689</v>
      </c>
      <c r="S942" t="s">
        <v>19690</v>
      </c>
      <c r="T942" t="s">
        <v>19691</v>
      </c>
      <c r="U942" t="s">
        <v>19692</v>
      </c>
      <c r="V942" t="s">
        <v>19693</v>
      </c>
      <c r="W942" t="s">
        <v>19694</v>
      </c>
      <c r="X942" t="s">
        <v>19695</v>
      </c>
      <c r="Y942" t="s">
        <v>19696</v>
      </c>
    </row>
    <row r="943" spans="1:25" x14ac:dyDescent="0.3">
      <c r="A943">
        <v>47100</v>
      </c>
      <c r="B943" t="s">
        <v>19697</v>
      </c>
      <c r="C943" t="s">
        <v>19698</v>
      </c>
      <c r="D943" t="s">
        <v>19699</v>
      </c>
      <c r="E943" t="s">
        <v>19700</v>
      </c>
      <c r="F943" t="s">
        <v>19701</v>
      </c>
      <c r="G943" t="s">
        <v>19702</v>
      </c>
      <c r="H943" t="s">
        <v>19703</v>
      </c>
      <c r="I943" t="s">
        <v>19704</v>
      </c>
      <c r="J943" t="s">
        <v>19705</v>
      </c>
      <c r="K943" t="s">
        <v>19706</v>
      </c>
      <c r="L943" t="s">
        <v>19707</v>
      </c>
      <c r="M943" t="s">
        <v>19708</v>
      </c>
      <c r="N943" t="s">
        <v>19709</v>
      </c>
      <c r="O943">
        <f>-788.286977305487 -51.9757843721138 -719.51367462309</f>
        <v>-1559.7764363006909</v>
      </c>
      <c r="P943">
        <f>-762.451910838593 -24.5236879511106 -405.244498643984</f>
        <v>-1192.2200974336874</v>
      </c>
      <c r="Q943">
        <f>-513.434313818745 -40.8686866763421 -331.997325237393</f>
        <v>-886.30032573248013</v>
      </c>
      <c r="R943" t="s">
        <v>19710</v>
      </c>
      <c r="S943" t="s">
        <v>19711</v>
      </c>
      <c r="T943" t="s">
        <v>19712</v>
      </c>
      <c r="U943" t="s">
        <v>19713</v>
      </c>
      <c r="V943" t="s">
        <v>19714</v>
      </c>
      <c r="W943" t="s">
        <v>19715</v>
      </c>
      <c r="X943" t="s">
        <v>19716</v>
      </c>
      <c r="Y943" t="s">
        <v>19717</v>
      </c>
    </row>
    <row r="944" spans="1:25" x14ac:dyDescent="0.3">
      <c r="A944">
        <v>47150</v>
      </c>
      <c r="B944" t="s">
        <v>19718</v>
      </c>
      <c r="C944" t="s">
        <v>19719</v>
      </c>
      <c r="D944" t="s">
        <v>19720</v>
      </c>
      <c r="E944" t="s">
        <v>19721</v>
      </c>
      <c r="F944" t="s">
        <v>19722</v>
      </c>
      <c r="G944" t="s">
        <v>19723</v>
      </c>
      <c r="H944" t="s">
        <v>19724</v>
      </c>
      <c r="I944" t="s">
        <v>19725</v>
      </c>
      <c r="J944" t="s">
        <v>19726</v>
      </c>
      <c r="K944" t="s">
        <v>19727</v>
      </c>
      <c r="L944" t="s">
        <v>19728</v>
      </c>
      <c r="M944" t="s">
        <v>19729</v>
      </c>
      <c r="N944" t="s">
        <v>19730</v>
      </c>
      <c r="O944">
        <f>-787.662972593507 -51.7380715990698 -720.035993500162</f>
        <v>-1559.4370376927388</v>
      </c>
      <c r="P944">
        <f>-761.765899294709 -25.1990297265215 -405.69342353231</f>
        <v>-1192.6583525535407</v>
      </c>
      <c r="Q944">
        <f>-512.711592100297 -41.2012789558817 -332.495486837052</f>
        <v>-886.40835789323069</v>
      </c>
      <c r="R944" t="s">
        <v>19731</v>
      </c>
      <c r="S944" t="s">
        <v>19732</v>
      </c>
      <c r="T944" t="s">
        <v>19733</v>
      </c>
      <c r="U944" t="s">
        <v>19734</v>
      </c>
      <c r="V944" t="s">
        <v>19735</v>
      </c>
      <c r="W944" t="s">
        <v>19736</v>
      </c>
      <c r="X944" t="s">
        <v>19737</v>
      </c>
      <c r="Y944" t="s">
        <v>19738</v>
      </c>
    </row>
    <row r="945" spans="1:25" x14ac:dyDescent="0.3">
      <c r="A945">
        <v>47200</v>
      </c>
      <c r="B945" t="s">
        <v>19739</v>
      </c>
      <c r="C945" t="s">
        <v>19740</v>
      </c>
      <c r="D945" t="s">
        <v>19741</v>
      </c>
      <c r="E945" t="s">
        <v>19742</v>
      </c>
      <c r="F945" t="s">
        <v>19743</v>
      </c>
      <c r="G945" t="s">
        <v>19744</v>
      </c>
      <c r="H945" t="s">
        <v>19745</v>
      </c>
      <c r="I945" t="s">
        <v>19746</v>
      </c>
      <c r="J945" t="s">
        <v>19747</v>
      </c>
      <c r="K945" t="s">
        <v>19748</v>
      </c>
      <c r="L945" t="s">
        <v>19749</v>
      </c>
      <c r="M945" t="s">
        <v>19750</v>
      </c>
      <c r="N945" t="s">
        <v>19751</v>
      </c>
      <c r="O945">
        <f>-787.638536892719 -51.6381908876951 -720.277783274879</f>
        <v>-1559.554511055293</v>
      </c>
      <c r="P945">
        <f>-761.464998069855 -25.4974337003644 -405.924887472507</f>
        <v>-1192.8873192427263</v>
      </c>
      <c r="Q945">
        <f>-512.355624939147 -41.4584524001225 -332.905211408816</f>
        <v>-886.71928874808555</v>
      </c>
      <c r="R945" t="s">
        <v>19752</v>
      </c>
      <c r="S945" t="s">
        <v>19753</v>
      </c>
      <c r="T945" t="s">
        <v>19754</v>
      </c>
      <c r="U945" t="s">
        <v>19755</v>
      </c>
      <c r="V945" t="s">
        <v>19756</v>
      </c>
      <c r="W945" t="s">
        <v>19757</v>
      </c>
      <c r="X945" t="s">
        <v>19758</v>
      </c>
      <c r="Y945" t="s">
        <v>19759</v>
      </c>
    </row>
    <row r="946" spans="1:25" x14ac:dyDescent="0.3">
      <c r="A946">
        <v>47250</v>
      </c>
      <c r="B946" t="s">
        <v>19760</v>
      </c>
      <c r="C946" t="s">
        <v>19761</v>
      </c>
      <c r="D946" t="s">
        <v>19762</v>
      </c>
      <c r="E946" t="s">
        <v>19763</v>
      </c>
      <c r="F946" t="s">
        <v>19764</v>
      </c>
      <c r="G946" t="s">
        <v>19765</v>
      </c>
      <c r="H946" t="s">
        <v>19766</v>
      </c>
      <c r="I946" t="s">
        <v>19767</v>
      </c>
      <c r="J946" t="s">
        <v>19768</v>
      </c>
      <c r="K946" t="s">
        <v>19769</v>
      </c>
      <c r="L946" t="s">
        <v>19770</v>
      </c>
      <c r="M946" t="s">
        <v>19771</v>
      </c>
      <c r="N946" t="s">
        <v>19772</v>
      </c>
      <c r="O946">
        <f>-788.186877692369 -51.2294283008705 -720.707232045326</f>
        <v>-1560.1235380385656</v>
      </c>
      <c r="P946">
        <f>-761.562014790755 -26.1280253676268 -406.307468441159</f>
        <v>-1193.9975085995409</v>
      </c>
      <c r="Q946">
        <f>-512.259286933569 -41.9378046632969 -333.91818795883</f>
        <v>-888.11527955569591</v>
      </c>
      <c r="R946" t="s">
        <v>19773</v>
      </c>
      <c r="S946" t="s">
        <v>19774</v>
      </c>
      <c r="T946" t="s">
        <v>19775</v>
      </c>
      <c r="U946" t="s">
        <v>19776</v>
      </c>
      <c r="V946" t="s">
        <v>19777</v>
      </c>
      <c r="W946" t="s">
        <v>19778</v>
      </c>
      <c r="X946" t="s">
        <v>19779</v>
      </c>
      <c r="Y946" t="s">
        <v>19780</v>
      </c>
    </row>
    <row r="947" spans="1:25" x14ac:dyDescent="0.3">
      <c r="A947">
        <v>47300</v>
      </c>
      <c r="B947" t="s">
        <v>19781</v>
      </c>
      <c r="C947" t="s">
        <v>19782</v>
      </c>
      <c r="D947" t="s">
        <v>19783</v>
      </c>
      <c r="E947" t="s">
        <v>19784</v>
      </c>
      <c r="F947" t="s">
        <v>19785</v>
      </c>
      <c r="G947" t="s">
        <v>19786</v>
      </c>
      <c r="H947" t="s">
        <v>19787</v>
      </c>
      <c r="I947" t="s">
        <v>19788</v>
      </c>
      <c r="J947" t="s">
        <v>19789</v>
      </c>
      <c r="K947" t="s">
        <v>19790</v>
      </c>
      <c r="L947" t="s">
        <v>19791</v>
      </c>
      <c r="M947" t="s">
        <v>19792</v>
      </c>
      <c r="N947" t="s">
        <v>19793</v>
      </c>
      <c r="O947">
        <f>-788.475956097253 -51.1129795503928 -720.789899033222</f>
        <v>-1560.3788346808678</v>
      </c>
      <c r="P947">
        <f>-761.666270379447 -26.621703793747 -406.357629357645</f>
        <v>-1194.645603530839</v>
      </c>
      <c r="Q947">
        <f>-512.244866274574 -42.4361306765823 -334.379123337818</f>
        <v>-889.06012028897419</v>
      </c>
      <c r="R947" t="s">
        <v>19794</v>
      </c>
      <c r="S947" t="s">
        <v>19795</v>
      </c>
      <c r="T947" t="s">
        <v>19796</v>
      </c>
      <c r="U947" t="s">
        <v>19797</v>
      </c>
      <c r="V947" t="s">
        <v>19798</v>
      </c>
      <c r="W947" t="s">
        <v>19799</v>
      </c>
      <c r="X947" t="s">
        <v>19800</v>
      </c>
      <c r="Y947" t="s">
        <v>19801</v>
      </c>
    </row>
    <row r="948" spans="1:25" x14ac:dyDescent="0.3">
      <c r="A948">
        <v>47350</v>
      </c>
      <c r="B948" t="s">
        <v>19802</v>
      </c>
      <c r="C948" t="s">
        <v>19803</v>
      </c>
      <c r="D948" t="s">
        <v>19804</v>
      </c>
      <c r="E948" t="s">
        <v>19805</v>
      </c>
      <c r="F948" t="s">
        <v>19806</v>
      </c>
      <c r="G948" t="s">
        <v>19807</v>
      </c>
      <c r="H948" t="s">
        <v>19808</v>
      </c>
      <c r="I948" t="s">
        <v>19809</v>
      </c>
      <c r="J948" t="s">
        <v>19810</v>
      </c>
      <c r="K948" t="s">
        <v>19811</v>
      </c>
      <c r="L948" t="s">
        <v>19812</v>
      </c>
      <c r="M948" t="s">
        <v>19813</v>
      </c>
      <c r="N948" t="s">
        <v>19814</v>
      </c>
      <c r="O948">
        <f>-788.838532429134 -50.5859030360057 -720.919120121851</f>
        <v>-1560.3435555869908</v>
      </c>
      <c r="P948">
        <f>-761.669320532239 -26.6323680970822 -406.476389068541</f>
        <v>-1194.7780776978623</v>
      </c>
      <c r="Q948">
        <f>-512.056664544267 -42.705765564906 -335.221800643486</f>
        <v>-889.98423075265896</v>
      </c>
      <c r="R948" t="s">
        <v>19815</v>
      </c>
      <c r="S948" t="s">
        <v>19816</v>
      </c>
      <c r="T948" t="s">
        <v>19817</v>
      </c>
      <c r="U948" t="s">
        <v>19818</v>
      </c>
      <c r="V948" t="s">
        <v>19819</v>
      </c>
      <c r="W948" t="s">
        <v>19820</v>
      </c>
      <c r="X948" t="s">
        <v>19821</v>
      </c>
      <c r="Y948" t="s">
        <v>19822</v>
      </c>
    </row>
    <row r="949" spans="1:25" x14ac:dyDescent="0.3">
      <c r="A949">
        <v>47400</v>
      </c>
      <c r="B949" t="s">
        <v>19823</v>
      </c>
      <c r="C949" t="s">
        <v>19824</v>
      </c>
      <c r="D949" t="s">
        <v>19825</v>
      </c>
      <c r="E949" t="s">
        <v>19826</v>
      </c>
      <c r="F949" t="s">
        <v>19827</v>
      </c>
      <c r="G949" t="s">
        <v>19828</v>
      </c>
      <c r="H949" t="s">
        <v>19829</v>
      </c>
      <c r="I949" t="s">
        <v>19830</v>
      </c>
      <c r="J949" t="s">
        <v>19831</v>
      </c>
      <c r="K949" t="s">
        <v>19832</v>
      </c>
      <c r="L949" t="s">
        <v>19833</v>
      </c>
      <c r="M949" t="s">
        <v>19834</v>
      </c>
      <c r="N949" t="s">
        <v>19835</v>
      </c>
      <c r="O949">
        <f>-789.159706721088 -50.3508843200036 -720.98022355298</f>
        <v>-1560.4908145940717</v>
      </c>
      <c r="P949">
        <f>-761.853534629374 -26.5382875322871 -406.538593254833</f>
        <v>-1194.9304154164943</v>
      </c>
      <c r="Q949">
        <f>-512.168456736584 -42.6314649510023 -335.542755173332</f>
        <v>-890.34267686091823</v>
      </c>
      <c r="R949" t="s">
        <v>19836</v>
      </c>
      <c r="S949" t="s">
        <v>19837</v>
      </c>
      <c r="T949" t="s">
        <v>19838</v>
      </c>
      <c r="U949" t="s">
        <v>19839</v>
      </c>
      <c r="V949" t="s">
        <v>19840</v>
      </c>
      <c r="W949" t="s">
        <v>19841</v>
      </c>
      <c r="X949" t="s">
        <v>19842</v>
      </c>
      <c r="Y949" t="s">
        <v>19843</v>
      </c>
    </row>
    <row r="950" spans="1:25" x14ac:dyDescent="0.3">
      <c r="A950">
        <v>47450</v>
      </c>
      <c r="B950" t="s">
        <v>19844</v>
      </c>
      <c r="C950" t="s">
        <v>19845</v>
      </c>
      <c r="D950" t="s">
        <v>19846</v>
      </c>
      <c r="E950" t="s">
        <v>19847</v>
      </c>
      <c r="F950" t="s">
        <v>19848</v>
      </c>
      <c r="G950" t="s">
        <v>19849</v>
      </c>
      <c r="H950" t="s">
        <v>19850</v>
      </c>
      <c r="I950" t="s">
        <v>19851</v>
      </c>
      <c r="J950" t="s">
        <v>19852</v>
      </c>
      <c r="K950" t="s">
        <v>19853</v>
      </c>
      <c r="L950" t="s">
        <v>19854</v>
      </c>
      <c r="M950" t="s">
        <v>19855</v>
      </c>
      <c r="N950" t="s">
        <v>19856</v>
      </c>
      <c r="O950">
        <f>-790.229619230548 -49.803437695356 -720.938730632103</f>
        <v>-1560.971787558007</v>
      </c>
      <c r="P950">
        <f>-762.599749621084 -26.2384491463376 -406.506764985911</f>
        <v>-1195.3449637533326</v>
      </c>
      <c r="Q950">
        <f>-512.837190116145 -42.2997969805813 -335.776489920288</f>
        <v>-890.91347701701432</v>
      </c>
      <c r="R950" t="s">
        <v>19857</v>
      </c>
      <c r="S950" t="s">
        <v>19858</v>
      </c>
      <c r="T950" t="s">
        <v>19859</v>
      </c>
      <c r="U950" t="s">
        <v>19860</v>
      </c>
      <c r="V950" t="s">
        <v>19861</v>
      </c>
      <c r="W950" t="s">
        <v>19862</v>
      </c>
      <c r="X950" t="s">
        <v>19863</v>
      </c>
      <c r="Y950" t="s">
        <v>19864</v>
      </c>
    </row>
    <row r="951" spans="1:25" x14ac:dyDescent="0.3">
      <c r="A951">
        <v>47500</v>
      </c>
      <c r="B951" t="s">
        <v>19865</v>
      </c>
      <c r="C951" t="s">
        <v>19866</v>
      </c>
      <c r="D951" t="s">
        <v>19867</v>
      </c>
      <c r="E951" t="s">
        <v>19868</v>
      </c>
      <c r="F951" t="s">
        <v>19869</v>
      </c>
      <c r="G951" t="s">
        <v>19870</v>
      </c>
      <c r="H951" t="s">
        <v>19871</v>
      </c>
      <c r="I951" t="s">
        <v>19872</v>
      </c>
      <c r="J951" t="s">
        <v>19873</v>
      </c>
      <c r="K951" t="s">
        <v>19874</v>
      </c>
      <c r="L951" t="s">
        <v>19875</v>
      </c>
      <c r="M951" t="s">
        <v>19876</v>
      </c>
      <c r="N951" t="s">
        <v>19877</v>
      </c>
      <c r="O951">
        <f>-790.763701208798 -49.5934748593052 -720.868624263438</f>
        <v>-1561.2258003315412</v>
      </c>
      <c r="P951">
        <f>-763.001103975291 -26.1138870239654 -406.441899615082</f>
        <v>-1195.5568906143385</v>
      </c>
      <c r="Q951">
        <f>-513.218505827435 -42.1465494709778 -335.775948319751</f>
        <v>-891.14100361816384</v>
      </c>
      <c r="R951" t="s">
        <v>19878</v>
      </c>
      <c r="S951" t="s">
        <v>19879</v>
      </c>
      <c r="T951" t="s">
        <v>19880</v>
      </c>
      <c r="U951" t="s">
        <v>19881</v>
      </c>
      <c r="V951" t="s">
        <v>19882</v>
      </c>
      <c r="W951" t="s">
        <v>19883</v>
      </c>
      <c r="X951" t="s">
        <v>19884</v>
      </c>
      <c r="Y951" t="s">
        <v>19885</v>
      </c>
    </row>
    <row r="952" spans="1:25" x14ac:dyDescent="0.3">
      <c r="A952">
        <v>47550</v>
      </c>
      <c r="B952" t="s">
        <v>19886</v>
      </c>
      <c r="C952" t="s">
        <v>19887</v>
      </c>
      <c r="D952" t="s">
        <v>19888</v>
      </c>
      <c r="E952" t="s">
        <v>19889</v>
      </c>
      <c r="F952" t="s">
        <v>19890</v>
      </c>
      <c r="G952" t="s">
        <v>19891</v>
      </c>
      <c r="H952" t="s">
        <v>19892</v>
      </c>
      <c r="I952" t="s">
        <v>19893</v>
      </c>
      <c r="J952" t="s">
        <v>19894</v>
      </c>
      <c r="K952" t="s">
        <v>19895</v>
      </c>
      <c r="L952" t="s">
        <v>19896</v>
      </c>
      <c r="M952" t="s">
        <v>19897</v>
      </c>
      <c r="N952" t="s">
        <v>19898</v>
      </c>
      <c r="O952">
        <f>-791.298588526274 -49.3846956466425 -720.785631837676</f>
        <v>-1561.4689160105925</v>
      </c>
      <c r="P952">
        <f>-763.358582667505 -25.8255700738866 -406.380610086701</f>
        <v>-1195.5647628280926</v>
      </c>
      <c r="Q952">
        <f>-513.570059678606 -41.8898551032437 -335.742928596513</f>
        <v>-891.20284337836267</v>
      </c>
      <c r="R952" t="s">
        <v>19899</v>
      </c>
      <c r="S952" t="s">
        <v>19900</v>
      </c>
      <c r="T952" t="s">
        <v>19901</v>
      </c>
      <c r="U952" t="s">
        <v>19902</v>
      </c>
      <c r="V952" t="s">
        <v>19903</v>
      </c>
      <c r="W952" t="s">
        <v>19904</v>
      </c>
      <c r="X952" t="s">
        <v>19905</v>
      </c>
      <c r="Y952" t="s">
        <v>19906</v>
      </c>
    </row>
    <row r="953" spans="1:25" x14ac:dyDescent="0.3">
      <c r="A953">
        <v>47600</v>
      </c>
      <c r="B953" t="s">
        <v>19907</v>
      </c>
      <c r="C953" t="s">
        <v>19908</v>
      </c>
      <c r="D953" t="s">
        <v>19909</v>
      </c>
      <c r="E953" t="s">
        <v>19910</v>
      </c>
      <c r="F953" t="s">
        <v>19911</v>
      </c>
      <c r="G953" t="s">
        <v>19912</v>
      </c>
      <c r="H953" t="s">
        <v>19913</v>
      </c>
      <c r="I953" t="s">
        <v>19914</v>
      </c>
      <c r="J953" t="s">
        <v>19915</v>
      </c>
      <c r="K953" t="s">
        <v>19916</v>
      </c>
      <c r="L953" t="s">
        <v>19917</v>
      </c>
      <c r="M953" t="s">
        <v>19918</v>
      </c>
      <c r="N953" t="s">
        <v>19919</v>
      </c>
      <c r="O953">
        <f>-791.892296011357 -48.6391247162201 -720.712222185623</f>
        <v>-1561.2436429131999</v>
      </c>
      <c r="P953">
        <f>-763.75172579251 -25.306249859945 -406.308318827908</f>
        <v>-1195.366294480363</v>
      </c>
      <c r="Q953">
        <f>-513.93956609817 -41.2861004298554 -335.73485943601</f>
        <v>-890.96052596403547</v>
      </c>
      <c r="R953" t="s">
        <v>19920</v>
      </c>
      <c r="S953" t="s">
        <v>19921</v>
      </c>
      <c r="T953" t="s">
        <v>19922</v>
      </c>
      <c r="U953" t="s">
        <v>19923</v>
      </c>
      <c r="V953" t="s">
        <v>19924</v>
      </c>
      <c r="W953" t="s">
        <v>19925</v>
      </c>
      <c r="X953" t="s">
        <v>19926</v>
      </c>
      <c r="Y953" t="s">
        <v>19927</v>
      </c>
    </row>
    <row r="954" spans="1:25" x14ac:dyDescent="0.3">
      <c r="A954">
        <v>47650</v>
      </c>
      <c r="B954" t="s">
        <v>19928</v>
      </c>
      <c r="C954" t="s">
        <v>19929</v>
      </c>
      <c r="D954" t="s">
        <v>19930</v>
      </c>
      <c r="E954" t="s">
        <v>19931</v>
      </c>
      <c r="F954" t="s">
        <v>19932</v>
      </c>
      <c r="G954" t="s">
        <v>19933</v>
      </c>
      <c r="H954" t="s">
        <v>19934</v>
      </c>
      <c r="I954" t="s">
        <v>19935</v>
      </c>
      <c r="J954" t="s">
        <v>19936</v>
      </c>
      <c r="K954" t="s">
        <v>19937</v>
      </c>
      <c r="L954" t="s">
        <v>19938</v>
      </c>
      <c r="M954" t="s">
        <v>19939</v>
      </c>
      <c r="N954" t="s">
        <v>19940</v>
      </c>
      <c r="O954">
        <f>-792.215920104752 -47.9465805849898 -720.854174661119</f>
        <v>-1561.0166753508606</v>
      </c>
      <c r="P954">
        <f>-764.24814695863 -24.6956761364329 -406.428792339411</f>
        <v>-1195.3726154344738</v>
      </c>
      <c r="Q954">
        <f>-514.410083377872 -40.4419979181164 -335.894805778181</f>
        <v>-890.74688707416931</v>
      </c>
      <c r="R954" t="s">
        <v>19941</v>
      </c>
      <c r="S954" t="s">
        <v>19942</v>
      </c>
      <c r="T954" t="s">
        <v>19943</v>
      </c>
      <c r="U954" t="s">
        <v>19944</v>
      </c>
      <c r="V954" t="s">
        <v>19945</v>
      </c>
      <c r="W954" t="s">
        <v>19946</v>
      </c>
      <c r="X954" t="s">
        <v>19947</v>
      </c>
      <c r="Y954" t="s">
        <v>19948</v>
      </c>
    </row>
    <row r="955" spans="1:25" x14ac:dyDescent="0.3">
      <c r="A955">
        <v>47700</v>
      </c>
      <c r="B955" t="s">
        <v>19949</v>
      </c>
      <c r="C955" t="s">
        <v>19950</v>
      </c>
      <c r="D955" t="s">
        <v>19951</v>
      </c>
      <c r="E955" t="s">
        <v>19952</v>
      </c>
      <c r="F955" t="s">
        <v>19953</v>
      </c>
      <c r="G955" t="s">
        <v>19954</v>
      </c>
      <c r="H955" t="s">
        <v>19955</v>
      </c>
      <c r="I955" t="s">
        <v>19956</v>
      </c>
      <c r="J955" t="s">
        <v>19957</v>
      </c>
      <c r="K955" t="s">
        <v>19958</v>
      </c>
      <c r="L955" t="s">
        <v>19959</v>
      </c>
      <c r="M955" t="s">
        <v>19960</v>
      </c>
      <c r="N955" t="s">
        <v>19961</v>
      </c>
      <c r="O955">
        <f>-791.728053135361 -47.7889250433714 -721.006293226551</f>
        <v>-1560.5232714052834</v>
      </c>
      <c r="P955">
        <f>-763.872031638594 -24.6633180930785 -406.561606939815</f>
        <v>-1195.0969566714875</v>
      </c>
      <c r="Q955">
        <f>-514.026644943502 -40.3848448350846 -336.047908372243</f>
        <v>-890.45939815082954</v>
      </c>
      <c r="R955" t="s">
        <v>19962</v>
      </c>
      <c r="S955" t="s">
        <v>19963</v>
      </c>
      <c r="T955" t="s">
        <v>19964</v>
      </c>
      <c r="U955" t="s">
        <v>19965</v>
      </c>
      <c r="V955" t="s">
        <v>19966</v>
      </c>
      <c r="W955" t="s">
        <v>19967</v>
      </c>
      <c r="X955" t="s">
        <v>19968</v>
      </c>
      <c r="Y955" t="s">
        <v>19969</v>
      </c>
    </row>
    <row r="956" spans="1:25" x14ac:dyDescent="0.3">
      <c r="A956">
        <v>47750</v>
      </c>
      <c r="B956" t="s">
        <v>19970</v>
      </c>
      <c r="C956" t="s">
        <v>19971</v>
      </c>
      <c r="D956" t="s">
        <v>19972</v>
      </c>
      <c r="E956" t="s">
        <v>19973</v>
      </c>
      <c r="F956" t="s">
        <v>19974</v>
      </c>
      <c r="G956" t="s">
        <v>19975</v>
      </c>
      <c r="H956" t="s">
        <v>19976</v>
      </c>
      <c r="I956" t="s">
        <v>19977</v>
      </c>
      <c r="J956" t="s">
        <v>19978</v>
      </c>
      <c r="K956" t="s">
        <v>19979</v>
      </c>
      <c r="L956" t="s">
        <v>19980</v>
      </c>
      <c r="M956" t="s">
        <v>19981</v>
      </c>
      <c r="N956" t="s">
        <v>19982</v>
      </c>
      <c r="O956">
        <f>-791.111899103864 -47.2675811070344 -721.227976229082</f>
        <v>-1559.6074564399803</v>
      </c>
      <c r="P956">
        <f>-763.612112289218 -24.3699946194231 -406.735341353101</f>
        <v>-1194.717448261742</v>
      </c>
      <c r="Q956">
        <f>-513.782281576955 -40.2975907379996 -336.212525359223</f>
        <v>-890.29239767417766</v>
      </c>
      <c r="R956" t="s">
        <v>19983</v>
      </c>
      <c r="S956" t="s">
        <v>19984</v>
      </c>
      <c r="T956" t="s">
        <v>19985</v>
      </c>
      <c r="U956" t="s">
        <v>19986</v>
      </c>
      <c r="V956" t="s">
        <v>19987</v>
      </c>
      <c r="W956" t="s">
        <v>19988</v>
      </c>
      <c r="X956" t="s">
        <v>19989</v>
      </c>
      <c r="Y956" t="s">
        <v>19990</v>
      </c>
    </row>
    <row r="957" spans="1:25" x14ac:dyDescent="0.3">
      <c r="A957">
        <v>47800</v>
      </c>
      <c r="B957" t="s">
        <v>19991</v>
      </c>
      <c r="C957" t="s">
        <v>19992</v>
      </c>
      <c r="D957" t="s">
        <v>19993</v>
      </c>
      <c r="E957" t="s">
        <v>19994</v>
      </c>
      <c r="F957" t="s">
        <v>19995</v>
      </c>
      <c r="G957" t="s">
        <v>19996</v>
      </c>
      <c r="H957" t="s">
        <v>19997</v>
      </c>
      <c r="I957" t="s">
        <v>19998</v>
      </c>
      <c r="J957" t="s">
        <v>19999</v>
      </c>
      <c r="K957" t="s">
        <v>20000</v>
      </c>
      <c r="L957" t="s">
        <v>20001</v>
      </c>
      <c r="M957" t="s">
        <v>20002</v>
      </c>
      <c r="N957" t="s">
        <v>20003</v>
      </c>
      <c r="O957">
        <f>-790.931171171999 -47.2597326465198 -721.281889198883</f>
        <v>-1559.4727930174017</v>
      </c>
      <c r="P957">
        <f>-763.601730513756 -24.3635595089881 -406.774226097217</f>
        <v>-1194.7395161199611</v>
      </c>
      <c r="Q957">
        <f>-513.787811945182 -40.4148739915588 -336.223397623607</f>
        <v>-890.42608356034793</v>
      </c>
      <c r="R957" t="s">
        <v>20004</v>
      </c>
      <c r="S957" t="s">
        <v>20005</v>
      </c>
      <c r="T957" t="s">
        <v>20006</v>
      </c>
      <c r="U957" t="s">
        <v>20007</v>
      </c>
      <c r="V957" t="s">
        <v>20008</v>
      </c>
      <c r="W957" t="s">
        <v>20009</v>
      </c>
      <c r="X957" t="s">
        <v>20010</v>
      </c>
      <c r="Y957" t="s">
        <v>20011</v>
      </c>
    </row>
    <row r="958" spans="1:25" x14ac:dyDescent="0.3">
      <c r="A958">
        <v>47850</v>
      </c>
      <c r="B958" t="s">
        <v>20012</v>
      </c>
      <c r="C958" t="s">
        <v>20013</v>
      </c>
      <c r="D958" t="s">
        <v>20014</v>
      </c>
      <c r="E958" t="s">
        <v>20015</v>
      </c>
      <c r="F958" t="s">
        <v>20016</v>
      </c>
      <c r="G958" t="s">
        <v>20017</v>
      </c>
      <c r="H958" t="s">
        <v>20018</v>
      </c>
      <c r="I958" t="s">
        <v>20019</v>
      </c>
      <c r="J958" t="s">
        <v>20020</v>
      </c>
      <c r="K958" t="s">
        <v>20021</v>
      </c>
      <c r="L958" t="s">
        <v>20022</v>
      </c>
      <c r="M958" t="s">
        <v>20023</v>
      </c>
      <c r="N958" t="s">
        <v>20024</v>
      </c>
      <c r="O958">
        <f>-790.422069019703 -47.1139927152453 -721.476733568897</f>
        <v>-1559.0127953038455</v>
      </c>
      <c r="P958">
        <f>-763.241516557777 -24.5586895041401 -406.931599050553</f>
        <v>-1194.7318051124703</v>
      </c>
      <c r="Q958">
        <f>-513.552286882635 -41.2591050259075 -336.090669469482</f>
        <v>-890.90206137802454</v>
      </c>
      <c r="R958" t="s">
        <v>20025</v>
      </c>
      <c r="S958" t="s">
        <v>20026</v>
      </c>
      <c r="T958" t="s">
        <v>20027</v>
      </c>
      <c r="U958" t="s">
        <v>20028</v>
      </c>
      <c r="V958" t="s">
        <v>20029</v>
      </c>
      <c r="W958" t="s">
        <v>20030</v>
      </c>
      <c r="X958" t="s">
        <v>20031</v>
      </c>
      <c r="Y958" t="s">
        <v>20032</v>
      </c>
    </row>
    <row r="959" spans="1:25" x14ac:dyDescent="0.3">
      <c r="A959">
        <v>47900</v>
      </c>
      <c r="B959" t="s">
        <v>20033</v>
      </c>
      <c r="C959" t="s">
        <v>20034</v>
      </c>
      <c r="D959" t="s">
        <v>20035</v>
      </c>
      <c r="E959" t="s">
        <v>20036</v>
      </c>
      <c r="F959" t="s">
        <v>20037</v>
      </c>
      <c r="G959" t="s">
        <v>20038</v>
      </c>
      <c r="H959" t="s">
        <v>20039</v>
      </c>
      <c r="I959" t="s">
        <v>20040</v>
      </c>
      <c r="J959" t="s">
        <v>20041</v>
      </c>
      <c r="K959" t="s">
        <v>20042</v>
      </c>
      <c r="L959" t="s">
        <v>20043</v>
      </c>
      <c r="M959" t="s">
        <v>20044</v>
      </c>
      <c r="N959" t="s">
        <v>20045</v>
      </c>
      <c r="O959">
        <f>-790.100316723349 -47.0815342147835 -721.617547716762</f>
        <v>-1558.7993986548945</v>
      </c>
      <c r="P959">
        <f>-763.02176570564 -24.6582984892159 -407.054139927513</f>
        <v>-1194.7342041223687</v>
      </c>
      <c r="Q959">
        <f>-513.379507719812 -41.6191329618837 -336.10978815295</f>
        <v>-891.10842883464557</v>
      </c>
      <c r="R959" t="s">
        <v>20046</v>
      </c>
      <c r="S959" t="s">
        <v>20047</v>
      </c>
      <c r="T959" t="s">
        <v>20048</v>
      </c>
      <c r="U959" t="s">
        <v>20049</v>
      </c>
      <c r="V959" t="s">
        <v>20050</v>
      </c>
      <c r="W959" t="s">
        <v>20051</v>
      </c>
      <c r="X959" t="s">
        <v>20052</v>
      </c>
      <c r="Y959" t="s">
        <v>20053</v>
      </c>
    </row>
    <row r="960" spans="1:25" x14ac:dyDescent="0.3">
      <c r="A960">
        <v>47950</v>
      </c>
      <c r="B960" t="s">
        <v>20054</v>
      </c>
      <c r="C960" t="s">
        <v>20055</v>
      </c>
      <c r="D960" t="s">
        <v>20056</v>
      </c>
      <c r="E960" t="s">
        <v>20057</v>
      </c>
      <c r="F960" t="s">
        <v>20058</v>
      </c>
      <c r="G960" t="s">
        <v>20059</v>
      </c>
      <c r="H960" t="s">
        <v>20060</v>
      </c>
      <c r="I960" t="s">
        <v>20061</v>
      </c>
      <c r="J960" t="s">
        <v>20062</v>
      </c>
      <c r="K960" t="s">
        <v>20063</v>
      </c>
      <c r="L960" t="s">
        <v>20064</v>
      </c>
      <c r="M960" t="s">
        <v>20065</v>
      </c>
      <c r="N960" t="s">
        <v>20066</v>
      </c>
      <c r="O960">
        <f>-789.106738083911 -47.121504408397 -721.921188236627</f>
        <v>-1558.1494307289349</v>
      </c>
      <c r="P960">
        <f>-762.366854442659 -24.9242523432647 -407.312816868192</f>
        <v>-1194.6039236541158</v>
      </c>
      <c r="Q960">
        <f>-512.773645256653 -42.1214435362792 -336.252484348874</f>
        <v>-891.14757314180633</v>
      </c>
      <c r="R960" t="s">
        <v>20067</v>
      </c>
      <c r="S960" t="s">
        <v>20068</v>
      </c>
      <c r="T960" t="s">
        <v>20069</v>
      </c>
      <c r="U960" t="s">
        <v>20070</v>
      </c>
      <c r="V960" t="s">
        <v>20071</v>
      </c>
      <c r="W960" t="s">
        <v>20072</v>
      </c>
      <c r="X960" t="s">
        <v>20073</v>
      </c>
      <c r="Y960" t="s">
        <v>20074</v>
      </c>
    </row>
    <row r="961" spans="1:25" x14ac:dyDescent="0.3">
      <c r="A961">
        <v>48000</v>
      </c>
      <c r="B961" t="s">
        <v>20075</v>
      </c>
      <c r="C961" t="s">
        <v>20076</v>
      </c>
      <c r="D961" t="s">
        <v>20077</v>
      </c>
      <c r="E961" t="s">
        <v>20078</v>
      </c>
      <c r="F961" t="s">
        <v>20079</v>
      </c>
      <c r="G961" t="s">
        <v>20080</v>
      </c>
      <c r="H961" t="s">
        <v>20081</v>
      </c>
      <c r="I961" t="s">
        <v>20082</v>
      </c>
      <c r="J961" t="s">
        <v>20083</v>
      </c>
      <c r="K961" t="s">
        <v>20084</v>
      </c>
      <c r="L961" t="s">
        <v>20085</v>
      </c>
      <c r="M961" t="s">
        <v>20086</v>
      </c>
      <c r="N961" t="s">
        <v>20087</v>
      </c>
      <c r="O961">
        <f>-788.535288884229 -47.3072698784936 -722.029601005078</f>
        <v>-1557.8721597678004</v>
      </c>
      <c r="P961">
        <f>-761.927209303818 -25.2544263021675 -407.399780999944</f>
        <v>-1194.5814166059295</v>
      </c>
      <c r="Q961">
        <f>-512.306687431952 -42.3864120295625 -336.419946242239</f>
        <v>-891.11304570375353</v>
      </c>
      <c r="R961" t="s">
        <v>20088</v>
      </c>
      <c r="S961" t="s">
        <v>20089</v>
      </c>
      <c r="T961" t="s">
        <v>20090</v>
      </c>
      <c r="U961" t="s">
        <v>20091</v>
      </c>
      <c r="V961" t="s">
        <v>20092</v>
      </c>
      <c r="W961" t="s">
        <v>20093</v>
      </c>
      <c r="X961" t="s">
        <v>20094</v>
      </c>
      <c r="Y961" t="s">
        <v>20095</v>
      </c>
    </row>
    <row r="962" spans="1:25" x14ac:dyDescent="0.3">
      <c r="A962">
        <v>48050</v>
      </c>
      <c r="B962" t="s">
        <v>20096</v>
      </c>
      <c r="C962" t="s">
        <v>20097</v>
      </c>
      <c r="D962" t="s">
        <v>20098</v>
      </c>
      <c r="E962" t="s">
        <v>20099</v>
      </c>
      <c r="F962" t="s">
        <v>20100</v>
      </c>
      <c r="G962" t="s">
        <v>20101</v>
      </c>
      <c r="H962" t="s">
        <v>20102</v>
      </c>
      <c r="I962" t="s">
        <v>20103</v>
      </c>
      <c r="J962" t="s">
        <v>20104</v>
      </c>
      <c r="K962" t="s">
        <v>20105</v>
      </c>
      <c r="L962" t="s">
        <v>20106</v>
      </c>
      <c r="M962" t="s">
        <v>20107</v>
      </c>
      <c r="N962" t="s">
        <v>20108</v>
      </c>
      <c r="O962">
        <f>-787.395114829938 -47.361065039755 -722.206803869433</f>
        <v>-1556.962983739126</v>
      </c>
      <c r="P962">
        <f>-760.608913100958 -25.6852607081578 -407.565817396257</f>
        <v>-1193.8599912053728</v>
      </c>
      <c r="Q962">
        <f>-510.928343276719 -42.7787685692917 -336.788419843836</f>
        <v>-890.49553168984664</v>
      </c>
      <c r="R962" t="s">
        <v>20109</v>
      </c>
      <c r="S962" t="s">
        <v>20110</v>
      </c>
      <c r="T962" t="s">
        <v>20111</v>
      </c>
      <c r="U962" t="s">
        <v>20112</v>
      </c>
      <c r="V962" t="s">
        <v>20113</v>
      </c>
      <c r="W962" t="s">
        <v>20114</v>
      </c>
      <c r="X962" t="s">
        <v>20115</v>
      </c>
      <c r="Y962" t="s">
        <v>20116</v>
      </c>
    </row>
    <row r="963" spans="1:25" x14ac:dyDescent="0.3">
      <c r="A963">
        <v>48100</v>
      </c>
      <c r="B963" t="s">
        <v>20117</v>
      </c>
      <c r="C963" t="s">
        <v>20118</v>
      </c>
      <c r="D963" t="s">
        <v>20119</v>
      </c>
      <c r="E963" t="s">
        <v>20120</v>
      </c>
      <c r="F963" t="s">
        <v>20121</v>
      </c>
      <c r="G963" t="s">
        <v>20122</v>
      </c>
      <c r="H963" t="s">
        <v>20123</v>
      </c>
      <c r="I963" t="s">
        <v>20124</v>
      </c>
      <c r="J963" t="s">
        <v>20125</v>
      </c>
      <c r="K963" t="s">
        <v>20126</v>
      </c>
      <c r="L963" t="s">
        <v>20127</v>
      </c>
      <c r="M963" t="s">
        <v>20128</v>
      </c>
      <c r="N963" t="s">
        <v>20129</v>
      </c>
      <c r="O963">
        <f>-786.887142933981 -47.5720405187396 -722.245427876524</f>
        <v>-1556.7046113292445</v>
      </c>
      <c r="P963">
        <f>-759.817737799027 -25.9364723023923 -407.626184001658</f>
        <v>-1193.3803941030774</v>
      </c>
      <c r="Q963">
        <f>-510.037337038761 -42.9520232194304 -337.182600845802</f>
        <v>-890.17196110399345</v>
      </c>
      <c r="R963" t="s">
        <v>20130</v>
      </c>
      <c r="S963" t="s">
        <v>20131</v>
      </c>
      <c r="T963" t="s">
        <v>20132</v>
      </c>
      <c r="U963" t="s">
        <v>20133</v>
      </c>
      <c r="V963" t="s">
        <v>20134</v>
      </c>
      <c r="W963" t="s">
        <v>20135</v>
      </c>
      <c r="X963" t="s">
        <v>20136</v>
      </c>
      <c r="Y963" t="s">
        <v>20137</v>
      </c>
    </row>
    <row r="964" spans="1:25" x14ac:dyDescent="0.3">
      <c r="A964">
        <v>48150</v>
      </c>
      <c r="B964" t="s">
        <v>20138</v>
      </c>
      <c r="C964" t="s">
        <v>20139</v>
      </c>
      <c r="D964" t="s">
        <v>20140</v>
      </c>
      <c r="E964" t="s">
        <v>20141</v>
      </c>
      <c r="F964" t="s">
        <v>20142</v>
      </c>
      <c r="G964" t="s">
        <v>20143</v>
      </c>
      <c r="H964" t="s">
        <v>20144</v>
      </c>
      <c r="I964" t="s">
        <v>20145</v>
      </c>
      <c r="J964" t="s">
        <v>20146</v>
      </c>
      <c r="K964" t="s">
        <v>20147</v>
      </c>
      <c r="L964" t="s">
        <v>20148</v>
      </c>
      <c r="M964" t="s">
        <v>20149</v>
      </c>
      <c r="N964" t="s">
        <v>20150</v>
      </c>
      <c r="O964">
        <f>-786.036930064868 -48.1106546986243 -722.22936529171</f>
        <v>-1556.3769500552023</v>
      </c>
      <c r="P964">
        <f>-757.822084748302 -26.7524925829393 -407.691757579938</f>
        <v>-1192.2663349111795</v>
      </c>
      <c r="Q964">
        <f>-507.779759217585 -43.5721597393235 -338.136070509411</f>
        <v>-889.4879894663195</v>
      </c>
      <c r="R964" t="s">
        <v>20151</v>
      </c>
      <c r="S964" t="s">
        <v>20152</v>
      </c>
      <c r="T964" t="s">
        <v>20153</v>
      </c>
      <c r="U964" t="s">
        <v>20154</v>
      </c>
      <c r="V964" t="s">
        <v>20155</v>
      </c>
      <c r="W964" t="s">
        <v>20156</v>
      </c>
      <c r="X964" t="s">
        <v>20157</v>
      </c>
      <c r="Y964" t="s">
        <v>20158</v>
      </c>
    </row>
    <row r="965" spans="1:25" x14ac:dyDescent="0.3">
      <c r="A965">
        <v>48200</v>
      </c>
      <c r="B965" t="s">
        <v>20159</v>
      </c>
      <c r="C965" t="s">
        <v>20160</v>
      </c>
      <c r="D965" t="s">
        <v>20161</v>
      </c>
      <c r="E965" t="s">
        <v>20162</v>
      </c>
      <c r="F965" t="s">
        <v>20163</v>
      </c>
      <c r="G965" t="s">
        <v>20164</v>
      </c>
      <c r="H965" t="s">
        <v>20165</v>
      </c>
      <c r="I965" t="s">
        <v>20166</v>
      </c>
      <c r="J965" t="s">
        <v>20167</v>
      </c>
      <c r="K965" t="s">
        <v>20168</v>
      </c>
      <c r="L965" t="s">
        <v>20169</v>
      </c>
      <c r="M965" t="s">
        <v>20170</v>
      </c>
      <c r="N965" t="s">
        <v>20171</v>
      </c>
      <c r="O965">
        <f>-785.68208039746 -48.4668033119499 -722.180287984606</f>
        <v>-1556.3291716940159</v>
      </c>
      <c r="P965">
        <f>-756.737100769076 -27.2023101763207 -407.702682837812</f>
        <v>-1191.6420937832088</v>
      </c>
      <c r="Q965">
        <f>-506.52312371222 -43.9207816867984 -338.74242239358</f>
        <v>-889.18632779259838</v>
      </c>
      <c r="R965" t="s">
        <v>20172</v>
      </c>
      <c r="S965" t="s">
        <v>20173</v>
      </c>
      <c r="T965" t="s">
        <v>20174</v>
      </c>
      <c r="U965" t="s">
        <v>20175</v>
      </c>
      <c r="V965" t="s">
        <v>20176</v>
      </c>
      <c r="W965" t="s">
        <v>20177</v>
      </c>
      <c r="X965" t="s">
        <v>20178</v>
      </c>
      <c r="Y965" t="s">
        <v>20179</v>
      </c>
    </row>
    <row r="966" spans="1:25" x14ac:dyDescent="0.3">
      <c r="A966">
        <v>48250</v>
      </c>
      <c r="B966" t="s">
        <v>20180</v>
      </c>
      <c r="C966" t="s">
        <v>20181</v>
      </c>
      <c r="D966" t="s">
        <v>20182</v>
      </c>
      <c r="E966" t="s">
        <v>20183</v>
      </c>
      <c r="F966" t="s">
        <v>20184</v>
      </c>
      <c r="G966" t="s">
        <v>20185</v>
      </c>
      <c r="H966" t="s">
        <v>20186</v>
      </c>
      <c r="I966" t="s">
        <v>20187</v>
      </c>
      <c r="J966" t="s">
        <v>20188</v>
      </c>
      <c r="K966" t="s">
        <v>20189</v>
      </c>
      <c r="L966" t="s">
        <v>20190</v>
      </c>
      <c r="M966" t="s">
        <v>20191</v>
      </c>
      <c r="N966" t="s">
        <v>20192</v>
      </c>
      <c r="O966">
        <f>-785.184828416364 -49.0081046122607 -721.951571553467</f>
        <v>-1556.1445045820917</v>
      </c>
      <c r="P966">
        <f>-754.769684129198 -28.1667020161979 -407.584407928656</f>
        <v>-1190.520794074052</v>
      </c>
      <c r="Q966">
        <f>-504.212759260329 -44.4804265786283 -339.782052112759</f>
        <v>-888.47523795171628</v>
      </c>
      <c r="R966" t="s">
        <v>20193</v>
      </c>
      <c r="S966" t="s">
        <v>20194</v>
      </c>
      <c r="T966" t="s">
        <v>20195</v>
      </c>
      <c r="U966" t="s">
        <v>20196</v>
      </c>
      <c r="V966" t="s">
        <v>20197</v>
      </c>
      <c r="W966" t="s">
        <v>20198</v>
      </c>
      <c r="X966" t="s">
        <v>20199</v>
      </c>
      <c r="Y966" t="s">
        <v>20200</v>
      </c>
    </row>
    <row r="967" spans="1:25" x14ac:dyDescent="0.3">
      <c r="A967">
        <v>48300</v>
      </c>
      <c r="B967" t="s">
        <v>20201</v>
      </c>
      <c r="C967" t="s">
        <v>20202</v>
      </c>
      <c r="D967" t="s">
        <v>20203</v>
      </c>
      <c r="E967" t="s">
        <v>20204</v>
      </c>
      <c r="F967" t="s">
        <v>20205</v>
      </c>
      <c r="G967" t="s">
        <v>20206</v>
      </c>
      <c r="H967" t="s">
        <v>20207</v>
      </c>
      <c r="I967" t="s">
        <v>20208</v>
      </c>
      <c r="J967" t="s">
        <v>20209</v>
      </c>
      <c r="K967" t="s">
        <v>20210</v>
      </c>
      <c r="L967" t="s">
        <v>20211</v>
      </c>
      <c r="M967" t="s">
        <v>20212</v>
      </c>
      <c r="N967" t="s">
        <v>20213</v>
      </c>
      <c r="O967">
        <f>-784.90236884181 -49.3210922315154 -721.848602694989</f>
        <v>-1556.0720637683144</v>
      </c>
      <c r="P967">
        <f>-754.022708666364 -28.4597371246878 -407.527969694263</f>
        <v>-1190.0104154853148</v>
      </c>
      <c r="Q967">
        <f>-503.278102326307 -44.3631183775944 -340.324504723124</f>
        <v>-887.96572542702552</v>
      </c>
      <c r="R967" t="s">
        <v>20214</v>
      </c>
      <c r="S967" t="s">
        <v>20215</v>
      </c>
      <c r="T967" t="s">
        <v>20216</v>
      </c>
      <c r="U967" t="s">
        <v>20217</v>
      </c>
      <c r="V967" t="s">
        <v>20218</v>
      </c>
      <c r="W967" t="s">
        <v>20219</v>
      </c>
      <c r="X967" t="s">
        <v>20220</v>
      </c>
      <c r="Y967" t="s">
        <v>20221</v>
      </c>
    </row>
    <row r="968" spans="1:25" x14ac:dyDescent="0.3">
      <c r="A968">
        <v>48350</v>
      </c>
      <c r="B968" t="s">
        <v>20222</v>
      </c>
      <c r="C968" t="s">
        <v>20223</v>
      </c>
      <c r="D968" t="s">
        <v>20224</v>
      </c>
      <c r="E968" t="s">
        <v>20225</v>
      </c>
      <c r="F968" t="s">
        <v>20226</v>
      </c>
      <c r="G968" t="s">
        <v>20227</v>
      </c>
      <c r="H968" t="s">
        <v>20228</v>
      </c>
      <c r="I968" t="s">
        <v>20229</v>
      </c>
      <c r="J968" t="s">
        <v>20230</v>
      </c>
      <c r="K968" t="s">
        <v>20231</v>
      </c>
      <c r="L968" t="s">
        <v>20232</v>
      </c>
      <c r="M968" t="s">
        <v>20233</v>
      </c>
      <c r="N968" t="s">
        <v>20234</v>
      </c>
      <c r="O968">
        <f>-784.096909107781 -49.7142728460688 -721.712101157628</f>
        <v>-1555.5232831114777</v>
      </c>
      <c r="P968">
        <f>-752.794785829967 -29.1291978867819 -407.41512464526</f>
        <v>-1189.339108362009</v>
      </c>
      <c r="Q968">
        <f>-501.719216151062 -44.26409267185 -341.278447574859</f>
        <v>-887.26175639777102</v>
      </c>
      <c r="R968" t="s">
        <v>20235</v>
      </c>
      <c r="S968" t="s">
        <v>20236</v>
      </c>
      <c r="T968" t="s">
        <v>20237</v>
      </c>
      <c r="U968" t="s">
        <v>20238</v>
      </c>
      <c r="V968" t="s">
        <v>20239</v>
      </c>
      <c r="W968" t="s">
        <v>20240</v>
      </c>
      <c r="X968" t="s">
        <v>20241</v>
      </c>
      <c r="Y968" t="s">
        <v>20242</v>
      </c>
    </row>
    <row r="969" spans="1:25" x14ac:dyDescent="0.3">
      <c r="A969">
        <v>48400</v>
      </c>
      <c r="B969" t="s">
        <v>20243</v>
      </c>
      <c r="C969" t="s">
        <v>20244</v>
      </c>
      <c r="D969" t="s">
        <v>20245</v>
      </c>
      <c r="E969" t="s">
        <v>20246</v>
      </c>
      <c r="F969" t="s">
        <v>20247</v>
      </c>
      <c r="G969" t="s">
        <v>20248</v>
      </c>
      <c r="H969" t="s">
        <v>20249</v>
      </c>
      <c r="I969" t="s">
        <v>20250</v>
      </c>
      <c r="J969" t="s">
        <v>20251</v>
      </c>
      <c r="K969" t="s">
        <v>20252</v>
      </c>
      <c r="L969" t="s">
        <v>20253</v>
      </c>
      <c r="M969" t="s">
        <v>20254</v>
      </c>
      <c r="N969" t="s">
        <v>20255</v>
      </c>
      <c r="O969">
        <f>-783.845819063978 -49.8557987307358 -721.56970288589</f>
        <v>-1555.2713206806038</v>
      </c>
      <c r="P969">
        <f>-752.355877712773 -29.2834256135077 -407.29058633265</f>
        <v>-1188.9298896589307</v>
      </c>
      <c r="Q969">
        <f>-501.193361740284 -44.4515060046579 -341.492746340276</f>
        <v>-887.13761408521782</v>
      </c>
      <c r="R969" t="s">
        <v>20256</v>
      </c>
      <c r="S969" t="s">
        <v>20257</v>
      </c>
      <c r="T969" t="s">
        <v>20258</v>
      </c>
      <c r="U969" t="s">
        <v>20259</v>
      </c>
      <c r="V969" t="s">
        <v>20260</v>
      </c>
      <c r="W969" t="s">
        <v>20261</v>
      </c>
      <c r="X969" t="s">
        <v>20262</v>
      </c>
      <c r="Y969" t="s">
        <v>20263</v>
      </c>
    </row>
    <row r="970" spans="1:25" x14ac:dyDescent="0.3">
      <c r="A970">
        <v>48450</v>
      </c>
      <c r="B970" t="s">
        <v>20264</v>
      </c>
      <c r="C970" t="s">
        <v>20265</v>
      </c>
      <c r="D970" t="s">
        <v>20266</v>
      </c>
      <c r="E970" t="s">
        <v>20267</v>
      </c>
      <c r="F970" t="s">
        <v>20268</v>
      </c>
      <c r="G970" t="s">
        <v>20269</v>
      </c>
      <c r="H970" t="s">
        <v>20270</v>
      </c>
      <c r="I970" t="s">
        <v>20271</v>
      </c>
      <c r="J970" t="s">
        <v>20272</v>
      </c>
      <c r="K970" t="s">
        <v>20273</v>
      </c>
      <c r="L970" t="s">
        <v>20274</v>
      </c>
      <c r="M970" t="s">
        <v>20275</v>
      </c>
      <c r="N970" t="s">
        <v>20276</v>
      </c>
      <c r="O970">
        <f>-782.805107427775 -50.1827325266599 -721.237774517067</f>
        <v>-1554.225614471502</v>
      </c>
      <c r="P970">
        <f>-750.951037676349 -29.3364455167025 -407.013500891175</f>
        <v>-1187.3009840842265</v>
      </c>
      <c r="Q970">
        <f>-499.674421644263 -44.2412832441182 -341.592128924046</f>
        <v>-885.50783381242718</v>
      </c>
      <c r="R970" t="s">
        <v>20277</v>
      </c>
      <c r="S970" t="s">
        <v>20278</v>
      </c>
      <c r="T970" t="s">
        <v>20279</v>
      </c>
      <c r="U970" t="s">
        <v>20280</v>
      </c>
      <c r="V970" t="s">
        <v>20281</v>
      </c>
      <c r="W970" t="s">
        <v>20282</v>
      </c>
      <c r="X970" t="s">
        <v>20283</v>
      </c>
      <c r="Y970" t="s">
        <v>20284</v>
      </c>
    </row>
    <row r="971" spans="1:25" x14ac:dyDescent="0.3">
      <c r="A971">
        <v>48500</v>
      </c>
      <c r="B971" t="s">
        <v>20285</v>
      </c>
      <c r="C971" t="s">
        <v>20286</v>
      </c>
      <c r="D971" t="s">
        <v>20287</v>
      </c>
      <c r="E971" t="s">
        <v>20288</v>
      </c>
      <c r="F971" t="s">
        <v>20289</v>
      </c>
      <c r="G971" t="s">
        <v>20290</v>
      </c>
      <c r="H971" t="s">
        <v>20291</v>
      </c>
      <c r="I971" t="s">
        <v>20292</v>
      </c>
      <c r="J971" t="s">
        <v>20293</v>
      </c>
      <c r="K971" t="s">
        <v>20294</v>
      </c>
      <c r="L971" t="s">
        <v>20295</v>
      </c>
      <c r="M971" t="s">
        <v>20296</v>
      </c>
      <c r="N971" t="s">
        <v>20297</v>
      </c>
      <c r="O971">
        <f>-782.446162156558 -50.2948567107439 -721.110981220147</f>
        <v>-1553.8520000874489</v>
      </c>
      <c r="P971">
        <f>-750.468778547587 -29.2020960548159 -406.915604987697</f>
        <v>-1186.5864795901</v>
      </c>
      <c r="Q971">
        <f>-499.268919163155 -44.2250940426502 -341.226954357966</f>
        <v>-884.72096756377118</v>
      </c>
      <c r="R971" t="s">
        <v>20298</v>
      </c>
      <c r="S971" t="s">
        <v>20299</v>
      </c>
      <c r="T971" t="s">
        <v>20300</v>
      </c>
      <c r="U971" t="s">
        <v>20301</v>
      </c>
      <c r="V971" t="s">
        <v>20302</v>
      </c>
      <c r="W971" t="s">
        <v>20303</v>
      </c>
      <c r="X971" t="s">
        <v>20304</v>
      </c>
      <c r="Y971" t="s">
        <v>20305</v>
      </c>
    </row>
    <row r="972" spans="1:25" x14ac:dyDescent="0.3">
      <c r="A972">
        <v>48550</v>
      </c>
      <c r="B972" t="s">
        <v>20306</v>
      </c>
      <c r="C972" t="s">
        <v>20307</v>
      </c>
      <c r="D972" t="s">
        <v>20308</v>
      </c>
      <c r="E972" t="s">
        <v>20309</v>
      </c>
      <c r="F972" t="s">
        <v>20310</v>
      </c>
      <c r="G972" t="s">
        <v>20311</v>
      </c>
      <c r="H972" t="s">
        <v>20312</v>
      </c>
      <c r="I972" t="s">
        <v>20313</v>
      </c>
      <c r="J972" t="s">
        <v>20314</v>
      </c>
      <c r="K972" t="s">
        <v>20315</v>
      </c>
      <c r="L972" t="s">
        <v>20316</v>
      </c>
      <c r="M972" t="s">
        <v>20317</v>
      </c>
      <c r="N972" t="s">
        <v>20318</v>
      </c>
      <c r="O972">
        <f>-782.019245186436 -50.4463966648748 -720.93611742759</f>
        <v>-1553.401759278901</v>
      </c>
      <c r="P972">
        <f>-749.968653452529 -28.4019696892613 -406.813571289038</f>
        <v>-1185.1841944308283</v>
      </c>
      <c r="Q972">
        <f>-498.974409788977 -43.554188935442 -340.372941725619</f>
        <v>-882.90154045003806</v>
      </c>
      <c r="R972" t="s">
        <v>20319</v>
      </c>
      <c r="S972" t="s">
        <v>20320</v>
      </c>
      <c r="T972" t="s">
        <v>20321</v>
      </c>
      <c r="U972" t="s">
        <v>20322</v>
      </c>
      <c r="V972" t="s">
        <v>20323</v>
      </c>
      <c r="W972" t="s">
        <v>20324</v>
      </c>
      <c r="X972" t="s">
        <v>20325</v>
      </c>
      <c r="Y972" t="s">
        <v>20326</v>
      </c>
    </row>
    <row r="973" spans="1:25" x14ac:dyDescent="0.3">
      <c r="A973">
        <v>48600</v>
      </c>
      <c r="B973" t="s">
        <v>20327</v>
      </c>
      <c r="C973" t="s">
        <v>20328</v>
      </c>
      <c r="D973" t="s">
        <v>20329</v>
      </c>
      <c r="E973" t="s">
        <v>20330</v>
      </c>
      <c r="F973" t="s">
        <v>20331</v>
      </c>
      <c r="G973" t="s">
        <v>20332</v>
      </c>
      <c r="H973" t="s">
        <v>20333</v>
      </c>
      <c r="I973" t="s">
        <v>20334</v>
      </c>
      <c r="J973" t="s">
        <v>20335</v>
      </c>
      <c r="K973" t="s">
        <v>20336</v>
      </c>
      <c r="L973" t="s">
        <v>20337</v>
      </c>
      <c r="M973" t="s">
        <v>20338</v>
      </c>
      <c r="N973" t="s">
        <v>20339</v>
      </c>
      <c r="O973">
        <f>-781.717998450257 -50.5235218947271 -720.889535054381</f>
        <v>-1553.1310553993651</v>
      </c>
      <c r="P973">
        <f>-749.907712778394 -28.2360244523047 -406.759760847534</f>
        <v>-1184.9034980782326</v>
      </c>
      <c r="Q973">
        <f>-498.955647473828 -43.6680829878328 -340.224077350445</f>
        <v>-882.84780781210577</v>
      </c>
      <c r="R973" t="s">
        <v>20340</v>
      </c>
      <c r="S973" t="s">
        <v>20341</v>
      </c>
      <c r="T973" t="s">
        <v>20342</v>
      </c>
      <c r="U973" t="s">
        <v>20343</v>
      </c>
      <c r="V973" t="s">
        <v>20344</v>
      </c>
      <c r="W973" t="s">
        <v>20345</v>
      </c>
      <c r="X973" t="s">
        <v>20346</v>
      </c>
      <c r="Y973" t="s">
        <v>20347</v>
      </c>
    </row>
    <row r="974" spans="1:25" x14ac:dyDescent="0.3">
      <c r="A974">
        <v>48650</v>
      </c>
      <c r="B974" t="s">
        <v>20348</v>
      </c>
      <c r="C974" t="s">
        <v>20349</v>
      </c>
      <c r="D974" t="s">
        <v>20350</v>
      </c>
      <c r="E974" t="s">
        <v>20351</v>
      </c>
      <c r="F974" t="s">
        <v>20352</v>
      </c>
      <c r="G974" t="s">
        <v>20353</v>
      </c>
      <c r="H974" t="s">
        <v>20354</v>
      </c>
      <c r="I974" t="s">
        <v>20355</v>
      </c>
      <c r="J974" t="s">
        <v>20356</v>
      </c>
      <c r="K974" t="s">
        <v>20357</v>
      </c>
      <c r="L974" t="s">
        <v>20358</v>
      </c>
      <c r="M974" t="s">
        <v>20359</v>
      </c>
      <c r="N974" t="s">
        <v>20360</v>
      </c>
      <c r="O974">
        <f>-781.667266319272 -50.0375920995368 -720.704503814675</f>
        <v>-1552.409362233484</v>
      </c>
      <c r="P974">
        <f>-749.998359411012 -27.7915132721648 -406.557415515853</f>
        <v>-1184.3472881990297</v>
      </c>
      <c r="Q974">
        <f>-499.051557877892 -43.925225750648 -340.168997189944</f>
        <v>-883.14578081848401</v>
      </c>
      <c r="R974" t="s">
        <v>20361</v>
      </c>
      <c r="S974" t="s">
        <v>20362</v>
      </c>
      <c r="T974" t="s">
        <v>20363</v>
      </c>
      <c r="U974" t="s">
        <v>20364</v>
      </c>
      <c r="V974" t="s">
        <v>20365</v>
      </c>
      <c r="W974" t="s">
        <v>20366</v>
      </c>
      <c r="X974" t="s">
        <v>20367</v>
      </c>
      <c r="Y974" t="s">
        <v>20368</v>
      </c>
    </row>
    <row r="975" spans="1:25" x14ac:dyDescent="0.3">
      <c r="A975">
        <v>48700</v>
      </c>
      <c r="B975" t="s">
        <v>20369</v>
      </c>
      <c r="C975" t="s">
        <v>20370</v>
      </c>
      <c r="D975" t="s">
        <v>20371</v>
      </c>
      <c r="E975" t="s">
        <v>20372</v>
      </c>
      <c r="F975" t="s">
        <v>20373</v>
      </c>
      <c r="G975" t="s">
        <v>20374</v>
      </c>
      <c r="H975" t="s">
        <v>20375</v>
      </c>
      <c r="I975" t="s">
        <v>20376</v>
      </c>
      <c r="J975" t="s">
        <v>20377</v>
      </c>
      <c r="K975" t="s">
        <v>20378</v>
      </c>
      <c r="L975" t="s">
        <v>20379</v>
      </c>
      <c r="M975" t="s">
        <v>20380</v>
      </c>
      <c r="N975" t="s">
        <v>20381</v>
      </c>
      <c r="O975">
        <f>-781.599464221233 -49.8917176033503 -720.638958128328</f>
        <v>-1552.1301399529113</v>
      </c>
      <c r="P975">
        <f>-750.078123009951 -27.8209913333985 -406.464716507469</f>
        <v>-1184.3638308508184</v>
      </c>
      <c r="Q975">
        <f>-499.175366333827 -44.3272046010893 -340.001398289432</f>
        <v>-883.50396922434834</v>
      </c>
      <c r="R975" t="s">
        <v>20382</v>
      </c>
      <c r="S975" t="s">
        <v>20383</v>
      </c>
      <c r="T975" t="s">
        <v>20384</v>
      </c>
      <c r="U975" t="s">
        <v>20385</v>
      </c>
      <c r="V975" t="s">
        <v>20386</v>
      </c>
      <c r="W975" t="s">
        <v>20387</v>
      </c>
      <c r="X975" t="s">
        <v>20388</v>
      </c>
      <c r="Y975" t="s">
        <v>20389</v>
      </c>
    </row>
    <row r="976" spans="1:25" x14ac:dyDescent="0.3">
      <c r="A976">
        <v>48750</v>
      </c>
      <c r="B976" t="s">
        <v>20390</v>
      </c>
      <c r="C976" t="s">
        <v>20391</v>
      </c>
      <c r="D976" t="s">
        <v>20392</v>
      </c>
      <c r="E976" t="s">
        <v>20393</v>
      </c>
      <c r="F976" t="s">
        <v>20394</v>
      </c>
      <c r="G976" t="s">
        <v>20395</v>
      </c>
      <c r="H976" t="s">
        <v>20396</v>
      </c>
      <c r="I976" t="s">
        <v>20397</v>
      </c>
      <c r="J976" t="s">
        <v>20398</v>
      </c>
      <c r="K976" t="s">
        <v>20399</v>
      </c>
      <c r="L976" t="s">
        <v>20400</v>
      </c>
      <c r="M976" t="s">
        <v>20401</v>
      </c>
      <c r="N976" t="s">
        <v>20402</v>
      </c>
      <c r="O976">
        <f>-781.700567997941 -49.0338491329187 -720.530643361158</f>
        <v>-1551.2650604920177</v>
      </c>
      <c r="P976">
        <f>-750.332823951229 -27.538241272104 -406.301073504775</f>
        <v>-1184.1721387281079</v>
      </c>
      <c r="Q976">
        <f>-499.492764965299 -44.542573853555 -339.726881167111</f>
        <v>-883.76221998596498</v>
      </c>
      <c r="R976" t="s">
        <v>20403</v>
      </c>
      <c r="S976" t="s">
        <v>20404</v>
      </c>
      <c r="T976" t="s">
        <v>20405</v>
      </c>
      <c r="U976" t="s">
        <v>20406</v>
      </c>
      <c r="V976" t="s">
        <v>20407</v>
      </c>
      <c r="W976" t="s">
        <v>20408</v>
      </c>
      <c r="X976" t="s">
        <v>20409</v>
      </c>
      <c r="Y976" t="s">
        <v>20410</v>
      </c>
    </row>
    <row r="977" spans="1:25" x14ac:dyDescent="0.3">
      <c r="A977">
        <v>48800</v>
      </c>
      <c r="B977" t="s">
        <v>20411</v>
      </c>
      <c r="C977" t="s">
        <v>20412</v>
      </c>
      <c r="D977" t="s">
        <v>20413</v>
      </c>
      <c r="E977" t="s">
        <v>20414</v>
      </c>
      <c r="F977" t="s">
        <v>20415</v>
      </c>
      <c r="G977" t="s">
        <v>20416</v>
      </c>
      <c r="H977" t="s">
        <v>20417</v>
      </c>
      <c r="I977" t="s">
        <v>20418</v>
      </c>
      <c r="J977" t="s">
        <v>20419</v>
      </c>
      <c r="K977" t="s">
        <v>20420</v>
      </c>
      <c r="L977" t="s">
        <v>20421</v>
      </c>
      <c r="M977" t="s">
        <v>20422</v>
      </c>
      <c r="N977" t="s">
        <v>20423</v>
      </c>
      <c r="O977">
        <f>-781.812801186619 -48.6277393661626 -720.448543075105</f>
        <v>-1550.8890836278865</v>
      </c>
      <c r="P977">
        <f>-750.313934684175 -27.2013999868709 -406.227484299191</f>
        <v>-1183.7428189702368</v>
      </c>
      <c r="Q977">
        <f>-499.52465300829 -44.7077001843736 -339.591735068713</f>
        <v>-883.82408826137657</v>
      </c>
      <c r="R977" t="s">
        <v>20424</v>
      </c>
      <c r="S977" t="s">
        <v>20425</v>
      </c>
      <c r="T977" t="s">
        <v>20426</v>
      </c>
      <c r="U977" t="s">
        <v>20427</v>
      </c>
      <c r="V977" t="s">
        <v>20428</v>
      </c>
      <c r="W977" t="s">
        <v>20429</v>
      </c>
      <c r="X977" t="s">
        <v>20430</v>
      </c>
      <c r="Y977" t="s">
        <v>20431</v>
      </c>
    </row>
    <row r="978" spans="1:25" x14ac:dyDescent="0.3">
      <c r="A978">
        <v>48850</v>
      </c>
      <c r="B978" t="s">
        <v>20432</v>
      </c>
      <c r="C978" t="s">
        <v>20433</v>
      </c>
      <c r="D978" t="s">
        <v>20434</v>
      </c>
      <c r="E978" t="s">
        <v>20435</v>
      </c>
      <c r="F978" t="s">
        <v>20436</v>
      </c>
      <c r="G978" t="s">
        <v>20437</v>
      </c>
      <c r="H978" t="s">
        <v>20438</v>
      </c>
      <c r="I978" t="s">
        <v>20439</v>
      </c>
      <c r="J978" t="s">
        <v>20440</v>
      </c>
      <c r="K978" t="s">
        <v>20441</v>
      </c>
      <c r="L978" t="s">
        <v>20442</v>
      </c>
      <c r="M978" t="s">
        <v>20443</v>
      </c>
      <c r="N978" t="s">
        <v>20444</v>
      </c>
      <c r="O978">
        <f>-782.329175107833 -47.966701057594 -720.259455558354</f>
        <v>-1550.5553317237809</v>
      </c>
      <c r="P978">
        <f>-750.538227376441 -26.5006833637606 -406.070464437913</f>
        <v>-1183.1093751781145</v>
      </c>
      <c r="Q978">
        <f>-499.768339673596 -45.0166591131206 -339.63481336449</f>
        <v>-884.41981215120666</v>
      </c>
      <c r="R978" t="s">
        <v>20445</v>
      </c>
      <c r="S978" t="s">
        <v>20446</v>
      </c>
      <c r="T978" t="s">
        <v>20447</v>
      </c>
      <c r="U978" t="s">
        <v>20448</v>
      </c>
      <c r="V978" t="s">
        <v>20449</v>
      </c>
      <c r="W978" t="s">
        <v>20450</v>
      </c>
      <c r="X978" t="s">
        <v>20451</v>
      </c>
      <c r="Y978" t="s">
        <v>20452</v>
      </c>
    </row>
    <row r="979" spans="1:25" x14ac:dyDescent="0.3">
      <c r="A979">
        <v>48900</v>
      </c>
      <c r="B979" t="s">
        <v>20453</v>
      </c>
      <c r="C979" t="s">
        <v>20454</v>
      </c>
      <c r="D979" t="s">
        <v>20455</v>
      </c>
      <c r="E979" t="s">
        <v>20456</v>
      </c>
      <c r="F979" t="s">
        <v>20457</v>
      </c>
      <c r="G979" t="s">
        <v>20458</v>
      </c>
      <c r="H979" t="s">
        <v>20459</v>
      </c>
      <c r="I979" t="s">
        <v>20460</v>
      </c>
      <c r="J979" t="s">
        <v>20461</v>
      </c>
      <c r="K979" t="s">
        <v>20462</v>
      </c>
      <c r="L979" t="s">
        <v>20463</v>
      </c>
      <c r="M979" t="s">
        <v>20464</v>
      </c>
      <c r="N979" t="s">
        <v>20465</v>
      </c>
      <c r="O979">
        <f>-782.4428108797 -47.7228155415501 -720.273168017573</f>
        <v>-1550.4387944388232</v>
      </c>
      <c r="P979">
        <f>-750.558540560522 -26.1210020610556 -406.102848829132</f>
        <v>-1182.7823914507096</v>
      </c>
      <c r="Q979">
        <f>-499.857887558577 -45.0777916368677 -339.530736496286</f>
        <v>-884.46641569173062</v>
      </c>
      <c r="R979" t="s">
        <v>20466</v>
      </c>
      <c r="S979" t="s">
        <v>20467</v>
      </c>
      <c r="T979" t="s">
        <v>20468</v>
      </c>
      <c r="U979" t="s">
        <v>20469</v>
      </c>
      <c r="V979" t="s">
        <v>20470</v>
      </c>
      <c r="W979" t="s">
        <v>20471</v>
      </c>
      <c r="X979" t="s">
        <v>20472</v>
      </c>
      <c r="Y979" t="s">
        <v>20473</v>
      </c>
    </row>
    <row r="980" spans="1:25" x14ac:dyDescent="0.3">
      <c r="A980">
        <v>48950</v>
      </c>
      <c r="B980" t="s">
        <v>20474</v>
      </c>
      <c r="C980" t="s">
        <v>20475</v>
      </c>
      <c r="D980" t="s">
        <v>20476</v>
      </c>
      <c r="E980" t="s">
        <v>20477</v>
      </c>
      <c r="F980" t="s">
        <v>20478</v>
      </c>
      <c r="G980" t="s">
        <v>20479</v>
      </c>
      <c r="H980" t="s">
        <v>20480</v>
      </c>
      <c r="I980" t="s">
        <v>20481</v>
      </c>
      <c r="J980" t="s">
        <v>20482</v>
      </c>
      <c r="K980" t="s">
        <v>20483</v>
      </c>
      <c r="L980" t="s">
        <v>20484</v>
      </c>
      <c r="M980" t="s">
        <v>20485</v>
      </c>
      <c r="N980" t="s">
        <v>20486</v>
      </c>
      <c r="O980">
        <f>-782.346788322746 -47.4177154095223 -720.539696616691</f>
        <v>-1550.3042003489593</v>
      </c>
      <c r="P980">
        <f>-750.982830074163 -25.4598808522405 -406.341927064393</f>
        <v>-1182.7846379907965</v>
      </c>
      <c r="Q980">
        <f>-500.457455402366 -45.1524226851591 -339.324570281615</f>
        <v>-884.93444836914011</v>
      </c>
      <c r="R980" t="s">
        <v>20487</v>
      </c>
      <c r="S980" t="s">
        <v>20488</v>
      </c>
      <c r="T980" t="s">
        <v>20489</v>
      </c>
      <c r="U980" t="s">
        <v>20490</v>
      </c>
      <c r="V980" t="s">
        <v>20491</v>
      </c>
      <c r="W980" t="s">
        <v>20492</v>
      </c>
      <c r="X980" t="s">
        <v>20493</v>
      </c>
      <c r="Y980" t="s">
        <v>20494</v>
      </c>
    </row>
    <row r="981" spans="1:25" x14ac:dyDescent="0.3">
      <c r="A981">
        <v>49000</v>
      </c>
      <c r="B981" t="s">
        <v>20495</v>
      </c>
      <c r="C981" t="s">
        <v>20496</v>
      </c>
      <c r="D981" t="s">
        <v>20497</v>
      </c>
      <c r="E981" t="s">
        <v>20498</v>
      </c>
      <c r="F981" t="s">
        <v>20499</v>
      </c>
      <c r="G981" t="s">
        <v>20500</v>
      </c>
      <c r="H981" t="s">
        <v>20501</v>
      </c>
      <c r="I981" t="s">
        <v>20502</v>
      </c>
      <c r="J981" t="s">
        <v>20503</v>
      </c>
      <c r="K981" t="s">
        <v>20504</v>
      </c>
      <c r="L981" t="s">
        <v>20505</v>
      </c>
      <c r="M981" t="s">
        <v>20506</v>
      </c>
      <c r="N981" t="s">
        <v>20507</v>
      </c>
      <c r="O981">
        <f>-782.052436130322 -47.2727460446563 -720.826473742972</f>
        <v>-1550.1516559179504</v>
      </c>
      <c r="P981">
        <f>-751.129967594389 -25.4272294195782 -406.577057879763</f>
        <v>-1183.1342548937303</v>
      </c>
      <c r="Q981">
        <f>-500.746296114425 -45.4866282954313 -339.140641123437</f>
        <v>-885.37356553329323</v>
      </c>
      <c r="R981" t="s">
        <v>20508</v>
      </c>
      <c r="S981" t="s">
        <v>20509</v>
      </c>
      <c r="T981" t="s">
        <v>20510</v>
      </c>
      <c r="U981" t="s">
        <v>20511</v>
      </c>
      <c r="V981" t="s">
        <v>20512</v>
      </c>
      <c r="W981" t="s">
        <v>20513</v>
      </c>
      <c r="X981" t="s">
        <v>20514</v>
      </c>
      <c r="Y981" t="s">
        <v>20515</v>
      </c>
    </row>
    <row r="982" spans="1:25" x14ac:dyDescent="0.3">
      <c r="A982">
        <v>49050</v>
      </c>
      <c r="B982" t="s">
        <v>20516</v>
      </c>
      <c r="C982" t="s">
        <v>20517</v>
      </c>
      <c r="D982" t="s">
        <v>20518</v>
      </c>
      <c r="E982" t="s">
        <v>20519</v>
      </c>
      <c r="F982" t="s">
        <v>20520</v>
      </c>
      <c r="G982" t="s">
        <v>20521</v>
      </c>
      <c r="H982" t="s">
        <v>20522</v>
      </c>
      <c r="I982" t="s">
        <v>20523</v>
      </c>
      <c r="J982" t="s">
        <v>20524</v>
      </c>
      <c r="K982" t="s">
        <v>20525</v>
      </c>
      <c r="L982" t="s">
        <v>20526</v>
      </c>
      <c r="M982" t="s">
        <v>20527</v>
      </c>
      <c r="N982" t="s">
        <v>20528</v>
      </c>
      <c r="O982">
        <f>-781.203631746665 -46.6911263625302 -721.747103688126</f>
        <v>-1549.6418617973213</v>
      </c>
      <c r="P982">
        <f>-751.601180205181 -25.4358863173986 -407.330000329364</f>
        <v>-1184.3670668519435</v>
      </c>
      <c r="Q982">
        <f>-501.573253774649 -45.8739306874297 -338.697748449991</f>
        <v>-886.14493291206963</v>
      </c>
      <c r="R982" t="s">
        <v>20529</v>
      </c>
      <c r="S982" t="s">
        <v>20530</v>
      </c>
      <c r="T982" t="s">
        <v>20531</v>
      </c>
      <c r="U982" t="s">
        <v>20532</v>
      </c>
      <c r="V982" t="s">
        <v>20533</v>
      </c>
      <c r="W982" t="s">
        <v>20534</v>
      </c>
      <c r="X982" t="s">
        <v>20535</v>
      </c>
      <c r="Y982" t="s">
        <v>20536</v>
      </c>
    </row>
    <row r="983" spans="1:25" x14ac:dyDescent="0.3">
      <c r="A983">
        <v>49100</v>
      </c>
      <c r="B983" t="s">
        <v>20537</v>
      </c>
      <c r="C983" t="s">
        <v>20538</v>
      </c>
      <c r="D983" t="s">
        <v>20539</v>
      </c>
      <c r="E983" t="s">
        <v>20540</v>
      </c>
      <c r="F983" t="s">
        <v>20541</v>
      </c>
      <c r="G983" t="s">
        <v>20542</v>
      </c>
      <c r="H983" t="s">
        <v>20543</v>
      </c>
      <c r="I983" t="s">
        <v>20544</v>
      </c>
      <c r="J983" t="s">
        <v>20545</v>
      </c>
      <c r="K983" t="s">
        <v>20546</v>
      </c>
      <c r="L983" t="s">
        <v>20547</v>
      </c>
      <c r="M983" t="s">
        <v>20548</v>
      </c>
      <c r="N983" t="s">
        <v>20549</v>
      </c>
      <c r="O983">
        <f>-780.52574057295 -46.3438035851368 -722.372581509021</f>
        <v>-1549.2421256671078</v>
      </c>
      <c r="P983">
        <f>-751.601011795473 -25.8110180440142 -407.844516868193</f>
        <v>-1185.2565467076802</v>
      </c>
      <c r="Q983">
        <f>-501.763852279005 -46.3314228658385 -338.545642978788</f>
        <v>-886.64091812363154</v>
      </c>
      <c r="R983" t="s">
        <v>20550</v>
      </c>
      <c r="S983" t="s">
        <v>20551</v>
      </c>
      <c r="T983" t="s">
        <v>20552</v>
      </c>
      <c r="U983" t="s">
        <v>20553</v>
      </c>
      <c r="V983" t="s">
        <v>20554</v>
      </c>
      <c r="W983" t="s">
        <v>20555</v>
      </c>
      <c r="X983" t="s">
        <v>20556</v>
      </c>
      <c r="Y983" t="s">
        <v>20557</v>
      </c>
    </row>
    <row r="984" spans="1:25" x14ac:dyDescent="0.3">
      <c r="A984">
        <v>49150</v>
      </c>
      <c r="B984" t="s">
        <v>20558</v>
      </c>
      <c r="C984" t="s">
        <v>20559</v>
      </c>
      <c r="D984" t="s">
        <v>20560</v>
      </c>
      <c r="E984" t="s">
        <v>20561</v>
      </c>
      <c r="F984" t="s">
        <v>20562</v>
      </c>
      <c r="G984" t="s">
        <v>20563</v>
      </c>
      <c r="H984" t="s">
        <v>20564</v>
      </c>
      <c r="I984" t="s">
        <v>20565</v>
      </c>
      <c r="J984" t="s">
        <v>20566</v>
      </c>
      <c r="K984" t="s">
        <v>20567</v>
      </c>
      <c r="L984" t="s">
        <v>20568</v>
      </c>
      <c r="M984" t="s">
        <v>20569</v>
      </c>
      <c r="N984" t="s">
        <v>20570</v>
      </c>
      <c r="O984">
        <f>-778.964707815144 -46.0352417568001 -723.358227918178</f>
        <v>-1548.3581774901222</v>
      </c>
      <c r="P984">
        <f>-751.039090404061 -26.9608350355136 -408.647976026142</f>
        <v>-1186.6479014657166</v>
      </c>
      <c r="Q984">
        <f>-501.440868874319 -47.9999012997403 -338.647297963589</f>
        <v>-888.08806813764818</v>
      </c>
      <c r="R984" t="s">
        <v>20571</v>
      </c>
      <c r="S984" t="s">
        <v>20572</v>
      </c>
      <c r="T984" t="s">
        <v>20573</v>
      </c>
      <c r="U984" t="s">
        <v>20574</v>
      </c>
      <c r="V984" t="s">
        <v>20575</v>
      </c>
      <c r="W984" t="s">
        <v>20576</v>
      </c>
      <c r="X984" t="s">
        <v>20577</v>
      </c>
      <c r="Y984" t="s">
        <v>20578</v>
      </c>
    </row>
    <row r="985" spans="1:25" x14ac:dyDescent="0.3">
      <c r="A985">
        <v>49200</v>
      </c>
      <c r="B985" t="s">
        <v>20579</v>
      </c>
      <c r="C985" t="s">
        <v>20580</v>
      </c>
      <c r="D985" t="s">
        <v>20581</v>
      </c>
      <c r="E985" t="s">
        <v>20582</v>
      </c>
      <c r="F985" t="s">
        <v>20583</v>
      </c>
      <c r="G985" t="s">
        <v>20584</v>
      </c>
      <c r="H985" t="s">
        <v>20585</v>
      </c>
      <c r="I985" t="s">
        <v>20586</v>
      </c>
      <c r="J985" t="s">
        <v>20587</v>
      </c>
      <c r="K985" t="s">
        <v>20588</v>
      </c>
      <c r="L985" t="s">
        <v>20589</v>
      </c>
      <c r="M985" t="s">
        <v>20590</v>
      </c>
      <c r="N985" t="s">
        <v>20591</v>
      </c>
      <c r="O985">
        <f>-778.483188819472 -47.2674900831189 -723.66789628832</f>
        <v>-1549.4185751909108</v>
      </c>
      <c r="P985">
        <f>-750.787213700541 -28.2278188226608 -408.935210047527</f>
        <v>-1187.9502425707287</v>
      </c>
      <c r="Q985">
        <f>-501.201282060005 -49.593113512542 -338.989428430539</f>
        <v>-889.78382400308601</v>
      </c>
      <c r="R985" t="s">
        <v>20592</v>
      </c>
      <c r="S985" t="s">
        <v>20593</v>
      </c>
      <c r="T985" t="s">
        <v>20594</v>
      </c>
      <c r="U985" t="s">
        <v>20595</v>
      </c>
      <c r="V985" t="s">
        <v>20596</v>
      </c>
      <c r="W985" t="s">
        <v>20597</v>
      </c>
      <c r="X985" t="s">
        <v>20598</v>
      </c>
      <c r="Y985" t="s">
        <v>20599</v>
      </c>
    </row>
    <row r="986" spans="1:25" x14ac:dyDescent="0.3">
      <c r="A986">
        <v>49250</v>
      </c>
      <c r="B986" t="s">
        <v>20600</v>
      </c>
      <c r="C986" t="s">
        <v>20601</v>
      </c>
      <c r="D986" t="s">
        <v>20602</v>
      </c>
      <c r="E986" t="s">
        <v>20603</v>
      </c>
      <c r="F986" t="s">
        <v>20604</v>
      </c>
      <c r="G986" t="s">
        <v>20605</v>
      </c>
      <c r="H986" t="s">
        <v>20606</v>
      </c>
      <c r="I986" t="s">
        <v>20607</v>
      </c>
      <c r="J986" t="s">
        <v>20608</v>
      </c>
      <c r="K986" t="s">
        <v>20609</v>
      </c>
      <c r="L986" t="s">
        <v>20610</v>
      </c>
      <c r="M986" t="s">
        <v>20611</v>
      </c>
      <c r="N986" t="s">
        <v>20612</v>
      </c>
      <c r="O986">
        <f>-779.728100817371 -48.9847058820285 -723.669223574228</f>
        <v>-1552.3820302736276</v>
      </c>
      <c r="P986">
        <f>-751.740988513061 -28.4116809818488 -409.05903998387</f>
        <v>-1189.2117094787798</v>
      </c>
      <c r="Q986">
        <f>-502.042263386813 -50.7016483476825 -339.807309050968</f>
        <v>-892.55122078546344</v>
      </c>
      <c r="R986" t="s">
        <v>20613</v>
      </c>
      <c r="S986" t="s">
        <v>20614</v>
      </c>
      <c r="T986" t="s">
        <v>20615</v>
      </c>
      <c r="U986" t="s">
        <v>20616</v>
      </c>
      <c r="V986" t="s">
        <v>20617</v>
      </c>
      <c r="W986" t="s">
        <v>20618</v>
      </c>
      <c r="X986" t="s">
        <v>20619</v>
      </c>
      <c r="Y986" t="s">
        <v>20620</v>
      </c>
    </row>
    <row r="987" spans="1:25" x14ac:dyDescent="0.3">
      <c r="A987">
        <v>49300</v>
      </c>
      <c r="B987" t="s">
        <v>20621</v>
      </c>
      <c r="C987" t="s">
        <v>20622</v>
      </c>
      <c r="D987" t="s">
        <v>20623</v>
      </c>
      <c r="E987" t="s">
        <v>20624</v>
      </c>
      <c r="F987" t="s">
        <v>20625</v>
      </c>
      <c r="G987" t="s">
        <v>20626</v>
      </c>
      <c r="H987" t="s">
        <v>20627</v>
      </c>
      <c r="I987" t="s">
        <v>20628</v>
      </c>
      <c r="J987" t="s">
        <v>20629</v>
      </c>
      <c r="K987" t="s">
        <v>20630</v>
      </c>
      <c r="L987" t="s">
        <v>20631</v>
      </c>
      <c r="M987" t="s">
        <v>20632</v>
      </c>
      <c r="N987" t="s">
        <v>20633</v>
      </c>
      <c r="O987">
        <f>-781.134905427068 -49.3401695466412 -723.167993256176</f>
        <v>-1553.6430682298851</v>
      </c>
      <c r="P987">
        <f>-752.81297654129 -28.2679188820903 -408.620671979029</f>
        <v>-1189.7015674024092</v>
      </c>
      <c r="Q987">
        <f>-502.975483902545 -50.8658719108987 -339.972045503496</f>
        <v>-893.81340131693969</v>
      </c>
      <c r="R987" t="s">
        <v>20634</v>
      </c>
      <c r="S987" t="s">
        <v>20635</v>
      </c>
      <c r="T987" t="s">
        <v>20636</v>
      </c>
      <c r="U987" t="s">
        <v>20637</v>
      </c>
      <c r="V987" t="s">
        <v>20638</v>
      </c>
      <c r="W987" t="s">
        <v>20639</v>
      </c>
      <c r="X987" t="s">
        <v>20640</v>
      </c>
      <c r="Y987" t="s">
        <v>20641</v>
      </c>
    </row>
    <row r="988" spans="1:25" x14ac:dyDescent="0.3">
      <c r="A988">
        <v>49350</v>
      </c>
      <c r="B988" t="s">
        <v>20642</v>
      </c>
      <c r="C988" t="s">
        <v>20643</v>
      </c>
      <c r="D988" t="s">
        <v>20644</v>
      </c>
      <c r="E988" t="s">
        <v>20645</v>
      </c>
      <c r="F988" t="s">
        <v>20646</v>
      </c>
      <c r="G988" t="s">
        <v>20647</v>
      </c>
      <c r="H988" t="s">
        <v>20648</v>
      </c>
      <c r="I988" t="s">
        <v>20649</v>
      </c>
      <c r="J988" t="s">
        <v>20650</v>
      </c>
      <c r="K988" t="s">
        <v>20651</v>
      </c>
      <c r="L988" t="s">
        <v>20652</v>
      </c>
      <c r="M988" t="s">
        <v>20653</v>
      </c>
      <c r="N988" t="s">
        <v>20654</v>
      </c>
      <c r="O988">
        <f>-784.440514867309 -48.3350387565879 -721.087548717988</f>
        <v>-1553.863102341885</v>
      </c>
      <c r="P988">
        <f>-754.16658928329 -26.4687174552378 -406.776392349091</f>
        <v>-1187.4116990876187</v>
      </c>
      <c r="Q988">
        <f>-504.008413641506 -50.0010495407403 -339.626198021729</f>
        <v>-893.63566120397536</v>
      </c>
      <c r="R988" t="s">
        <v>20655</v>
      </c>
      <c r="S988" t="s">
        <v>20656</v>
      </c>
      <c r="T988" t="s">
        <v>20657</v>
      </c>
      <c r="U988" t="s">
        <v>20658</v>
      </c>
      <c r="V988" t="s">
        <v>20659</v>
      </c>
      <c r="W988" t="s">
        <v>20660</v>
      </c>
      <c r="X988" t="s">
        <v>20661</v>
      </c>
      <c r="Y988" t="s">
        <v>20662</v>
      </c>
    </row>
    <row r="989" spans="1:25" x14ac:dyDescent="0.3">
      <c r="A989">
        <v>49400</v>
      </c>
      <c r="B989" t="s">
        <v>20663</v>
      </c>
      <c r="C989" t="s">
        <v>20664</v>
      </c>
      <c r="D989" t="s">
        <v>20665</v>
      </c>
      <c r="E989" t="s">
        <v>20666</v>
      </c>
      <c r="F989" t="s">
        <v>20667</v>
      </c>
      <c r="G989" t="s">
        <v>20668</v>
      </c>
      <c r="H989" t="s">
        <v>20669</v>
      </c>
      <c r="I989" t="s">
        <v>20670</v>
      </c>
      <c r="J989" t="s">
        <v>20671</v>
      </c>
      <c r="K989" t="s">
        <v>20672</v>
      </c>
      <c r="L989" t="s">
        <v>20673</v>
      </c>
      <c r="M989" t="s">
        <v>20674</v>
      </c>
      <c r="N989" t="s">
        <v>20675</v>
      </c>
      <c r="O989">
        <f>-785.186461407038 -48.0931630985274 -719.641045365933</f>
        <v>-1552.9206698714984</v>
      </c>
      <c r="P989">
        <f>-753.498979995793 -25.9990521992149 -405.48503153827</f>
        <v>-1184.983063733278</v>
      </c>
      <c r="Q989">
        <f>-503.195293029563 -50.0664259694952 -339.070699084975</f>
        <v>-892.33241808403318</v>
      </c>
      <c r="R989" t="s">
        <v>20676</v>
      </c>
      <c r="S989" t="s">
        <v>20677</v>
      </c>
      <c r="T989" t="s">
        <v>20678</v>
      </c>
      <c r="U989" t="s">
        <v>20679</v>
      </c>
      <c r="V989" t="s">
        <v>20680</v>
      </c>
      <c r="W989" t="s">
        <v>20681</v>
      </c>
      <c r="X989" t="s">
        <v>20682</v>
      </c>
      <c r="Y989" t="s">
        <v>20683</v>
      </c>
    </row>
    <row r="990" spans="1:25" x14ac:dyDescent="0.3">
      <c r="A990">
        <v>49450</v>
      </c>
      <c r="B990" t="s">
        <v>20684</v>
      </c>
      <c r="C990" t="s">
        <v>20685</v>
      </c>
      <c r="D990" t="s">
        <v>20686</v>
      </c>
      <c r="E990" t="s">
        <v>20687</v>
      </c>
      <c r="F990" t="s">
        <v>20688</v>
      </c>
      <c r="G990" t="s">
        <v>20689</v>
      </c>
      <c r="H990" t="s">
        <v>20690</v>
      </c>
      <c r="I990" t="s">
        <v>20691</v>
      </c>
      <c r="J990" t="s">
        <v>20692</v>
      </c>
      <c r="K990" t="s">
        <v>20693</v>
      </c>
      <c r="L990" t="s">
        <v>20694</v>
      </c>
      <c r="M990" t="s">
        <v>20695</v>
      </c>
      <c r="N990" t="s">
        <v>20696</v>
      </c>
      <c r="O990">
        <f>-787.854055122384 -46.8099879516938 -717.332002290526</f>
        <v>-1551.9960453646038</v>
      </c>
      <c r="P990">
        <f>-754.184411374519 -23.6624219663559 -403.458271007313</f>
        <v>-1181.3051043481878</v>
      </c>
      <c r="Q990">
        <f>-503.799512474797 -48.4654103335267 -337.623107482176</f>
        <v>-889.88803029049973</v>
      </c>
      <c r="R990" t="s">
        <v>20697</v>
      </c>
      <c r="S990" t="s">
        <v>20698</v>
      </c>
      <c r="T990" t="s">
        <v>20699</v>
      </c>
      <c r="U990" t="s">
        <v>20700</v>
      </c>
      <c r="V990" t="s">
        <v>20701</v>
      </c>
      <c r="W990" t="s">
        <v>20702</v>
      </c>
      <c r="X990" t="s">
        <v>20703</v>
      </c>
      <c r="Y990" t="s">
        <v>20704</v>
      </c>
    </row>
    <row r="991" spans="1:25" x14ac:dyDescent="0.3">
      <c r="A991">
        <v>49500</v>
      </c>
      <c r="B991" t="s">
        <v>20705</v>
      </c>
      <c r="C991" t="s">
        <v>20706</v>
      </c>
      <c r="D991" t="s">
        <v>20707</v>
      </c>
      <c r="E991" t="s">
        <v>20708</v>
      </c>
      <c r="F991" t="s">
        <v>20709</v>
      </c>
      <c r="G991" t="s">
        <v>20710</v>
      </c>
      <c r="H991" t="s">
        <v>20711</v>
      </c>
      <c r="I991" t="s">
        <v>20712</v>
      </c>
      <c r="J991" t="s">
        <v>20713</v>
      </c>
      <c r="K991" t="s">
        <v>20714</v>
      </c>
      <c r="L991" t="s">
        <v>20715</v>
      </c>
      <c r="M991" t="s">
        <v>20716</v>
      </c>
      <c r="N991" t="s">
        <v>20717</v>
      </c>
      <c r="O991">
        <f>-789.172905940777 -46.2256075293626 -716.692333123598</f>
        <v>-1552.0908465937378</v>
      </c>
      <c r="P991">
        <f>-755.173576080144 -22.0199350404735 -402.934026364972</f>
        <v>-1180.1275374855895</v>
      </c>
      <c r="Q991">
        <f>-504.773559540808 -46.7354386342533 -337.123152849087</f>
        <v>-888.63215102414824</v>
      </c>
      <c r="R991" t="s">
        <v>20718</v>
      </c>
      <c r="S991" t="s">
        <v>20719</v>
      </c>
      <c r="T991" t="s">
        <v>20720</v>
      </c>
      <c r="U991" t="s">
        <v>20721</v>
      </c>
      <c r="V991" t="s">
        <v>20722</v>
      </c>
      <c r="W991" t="s">
        <v>20723</v>
      </c>
      <c r="X991" t="s">
        <v>20724</v>
      </c>
      <c r="Y991" t="s">
        <v>20725</v>
      </c>
    </row>
    <row r="992" spans="1:25" x14ac:dyDescent="0.3">
      <c r="A992">
        <v>49550</v>
      </c>
      <c r="B992" t="s">
        <v>20726</v>
      </c>
      <c r="C992" t="s">
        <v>20727</v>
      </c>
      <c r="D992" t="s">
        <v>20728</v>
      </c>
      <c r="E992" t="s">
        <v>20729</v>
      </c>
      <c r="F992" t="s">
        <v>20730</v>
      </c>
      <c r="G992" t="s">
        <v>20731</v>
      </c>
      <c r="H992" t="s">
        <v>20732</v>
      </c>
      <c r="I992" t="s">
        <v>20733</v>
      </c>
      <c r="J992" t="s">
        <v>20734</v>
      </c>
      <c r="K992" t="s">
        <v>20735</v>
      </c>
      <c r="L992" t="s">
        <v>20736</v>
      </c>
      <c r="M992" t="s">
        <v>20737</v>
      </c>
      <c r="N992" t="s">
        <v>20738</v>
      </c>
      <c r="O992">
        <f>-791.339144650864 -45.0997437621659 -716.104816556571</f>
        <v>-1552.5437049696009</v>
      </c>
      <c r="P992">
        <f>-757.317220092342 -19.2973461270312 -402.476204229081</f>
        <v>-1179.0907704484544</v>
      </c>
      <c r="Q992">
        <f>-507.021451344047 -43.3038855393395 -336.009809209215</f>
        <v>-886.33514609260146</v>
      </c>
      <c r="R992" t="s">
        <v>20739</v>
      </c>
      <c r="S992" t="s">
        <v>20740</v>
      </c>
      <c r="T992" t="s">
        <v>20741</v>
      </c>
      <c r="U992" t="s">
        <v>20742</v>
      </c>
      <c r="V992" t="s">
        <v>20743</v>
      </c>
      <c r="W992" t="s">
        <v>20744</v>
      </c>
      <c r="X992" t="s">
        <v>20745</v>
      </c>
      <c r="Y992" t="s">
        <v>20746</v>
      </c>
    </row>
    <row r="993" spans="1:25" x14ac:dyDescent="0.3">
      <c r="A993">
        <v>49600</v>
      </c>
      <c r="B993" t="s">
        <v>20747</v>
      </c>
      <c r="C993" t="s">
        <v>20748</v>
      </c>
      <c r="D993" t="s">
        <v>20749</v>
      </c>
      <c r="E993" t="s">
        <v>20750</v>
      </c>
      <c r="F993" t="s">
        <v>20751</v>
      </c>
      <c r="G993" t="s">
        <v>20752</v>
      </c>
      <c r="H993" t="s">
        <v>20753</v>
      </c>
      <c r="I993" t="s">
        <v>20754</v>
      </c>
      <c r="J993" t="s">
        <v>20755</v>
      </c>
      <c r="K993" t="s">
        <v>20756</v>
      </c>
      <c r="L993" t="s">
        <v>20757</v>
      </c>
      <c r="M993" t="s">
        <v>20758</v>
      </c>
      <c r="N993" t="s">
        <v>20759</v>
      </c>
      <c r="O993">
        <f>-792.328713701342 -44.7448639883273 -715.970649452545</f>
        <v>-1553.0442271422144</v>
      </c>
      <c r="P993">
        <f>-758.497346577869 -18.2290218165724 -402.38101917876</f>
        <v>-1179.1073875732015</v>
      </c>
      <c r="Q993">
        <f>-508.284844872688 -41.9368439615862 -335.495404871482</f>
        <v>-885.71709370575627</v>
      </c>
      <c r="R993" t="s">
        <v>20760</v>
      </c>
      <c r="S993" t="s">
        <v>20761</v>
      </c>
      <c r="T993" t="s">
        <v>20762</v>
      </c>
      <c r="U993" t="s">
        <v>20763</v>
      </c>
      <c r="V993" t="s">
        <v>20764</v>
      </c>
      <c r="W993" t="s">
        <v>20765</v>
      </c>
      <c r="X993" t="s">
        <v>20766</v>
      </c>
      <c r="Y993" t="s">
        <v>20767</v>
      </c>
    </row>
    <row r="994" spans="1:25" x14ac:dyDescent="0.3">
      <c r="A994">
        <v>49650</v>
      </c>
      <c r="B994" t="s">
        <v>20768</v>
      </c>
      <c r="C994" t="s">
        <v>20769</v>
      </c>
      <c r="D994" t="s">
        <v>20770</v>
      </c>
      <c r="E994" t="s">
        <v>20771</v>
      </c>
      <c r="F994" t="s">
        <v>20772</v>
      </c>
      <c r="G994" t="s">
        <v>20773</v>
      </c>
      <c r="H994" t="s">
        <v>20774</v>
      </c>
      <c r="I994" t="s">
        <v>20775</v>
      </c>
      <c r="J994" t="s">
        <v>20776</v>
      </c>
      <c r="K994" t="s">
        <v>20777</v>
      </c>
      <c r="L994" t="s">
        <v>20778</v>
      </c>
      <c r="M994" t="s">
        <v>20779</v>
      </c>
      <c r="N994" t="s">
        <v>20780</v>
      </c>
      <c r="O994">
        <f>-792.679317116029 -44.895926156501 -716.3684161436</f>
        <v>-1553.94365941613</v>
      </c>
      <c r="P994">
        <f>-759.991266771053 -17.3718763840111 -402.744143496378</f>
        <v>-1180.1072866514421</v>
      </c>
      <c r="Q994">
        <f>-509.8882325442 -39.6856218825246 -334.975310266309</f>
        <v>-884.54916469303362</v>
      </c>
      <c r="R994" t="s">
        <v>20781</v>
      </c>
      <c r="S994" t="s">
        <v>20782</v>
      </c>
      <c r="T994" t="s">
        <v>20783</v>
      </c>
      <c r="U994" t="s">
        <v>20784</v>
      </c>
      <c r="V994" t="s">
        <v>20785</v>
      </c>
      <c r="W994" t="s">
        <v>20786</v>
      </c>
      <c r="X994" t="s">
        <v>20787</v>
      </c>
      <c r="Y994" t="s">
        <v>20788</v>
      </c>
    </row>
    <row r="995" spans="1:25" x14ac:dyDescent="0.3">
      <c r="A995">
        <v>49700</v>
      </c>
      <c r="B995" t="s">
        <v>20789</v>
      </c>
      <c r="C995" t="s">
        <v>20790</v>
      </c>
      <c r="D995" t="s">
        <v>20791</v>
      </c>
      <c r="E995" t="s">
        <v>20792</v>
      </c>
      <c r="F995" t="s">
        <v>20793</v>
      </c>
      <c r="G995" t="s">
        <v>20794</v>
      </c>
      <c r="H995" t="s">
        <v>20795</v>
      </c>
      <c r="I995" t="s">
        <v>20796</v>
      </c>
      <c r="J995" t="s">
        <v>20797</v>
      </c>
      <c r="K995" t="s">
        <v>20798</v>
      </c>
      <c r="L995" t="s">
        <v>20799</v>
      </c>
      <c r="M995" t="s">
        <v>20800</v>
      </c>
      <c r="N995" t="s">
        <v>20801</v>
      </c>
      <c r="O995">
        <f>-792.206162374672 -45.2728893131866 -716.75829604939</f>
        <v>-1554.2373477372485</v>
      </c>
      <c r="P995">
        <f>-760.244141634526 -17.383779675886 -403.091541458036</f>
        <v>-1180.719462768448</v>
      </c>
      <c r="Q995">
        <f>-510.203529612109 -38.8706263659512 -334.826819511086</f>
        <v>-883.90097548914616</v>
      </c>
      <c r="R995" t="s">
        <v>20802</v>
      </c>
      <c r="S995" t="s">
        <v>20803</v>
      </c>
      <c r="T995" t="s">
        <v>20804</v>
      </c>
      <c r="U995" t="s">
        <v>20805</v>
      </c>
      <c r="V995" t="s">
        <v>20806</v>
      </c>
      <c r="W995" t="s">
        <v>20807</v>
      </c>
      <c r="X995" t="s">
        <v>20808</v>
      </c>
      <c r="Y995" t="s">
        <v>20809</v>
      </c>
    </row>
    <row r="996" spans="1:25" x14ac:dyDescent="0.3">
      <c r="A996">
        <v>49750</v>
      </c>
      <c r="B996" t="s">
        <v>20810</v>
      </c>
      <c r="C996" t="s">
        <v>20811</v>
      </c>
      <c r="D996" t="s">
        <v>20812</v>
      </c>
      <c r="E996" t="s">
        <v>20813</v>
      </c>
      <c r="F996" t="s">
        <v>20814</v>
      </c>
      <c r="G996" t="s">
        <v>20815</v>
      </c>
      <c r="H996" t="s">
        <v>20816</v>
      </c>
      <c r="I996" t="s">
        <v>20817</v>
      </c>
      <c r="J996" t="s">
        <v>20818</v>
      </c>
      <c r="K996" t="s">
        <v>20819</v>
      </c>
      <c r="L996" t="s">
        <v>20820</v>
      </c>
      <c r="M996" t="s">
        <v>20821</v>
      </c>
      <c r="N996" t="s">
        <v>20822</v>
      </c>
      <c r="O996">
        <f>-790.000087619853 -46.2191450650193 -717.571026575907</f>
        <v>-1553.7902592607793</v>
      </c>
      <c r="P996">
        <f>-759.496620911035 -18.6615220532312 -403.729752976454</f>
        <v>-1181.8878959407202</v>
      </c>
      <c r="Q996">
        <f>-509.457565978917 -37.7921651759484 -334.762041214851</f>
        <v>-882.01177236971637</v>
      </c>
      <c r="R996" t="s">
        <v>20823</v>
      </c>
      <c r="S996" t="s">
        <v>20824</v>
      </c>
      <c r="T996" t="s">
        <v>20825</v>
      </c>
      <c r="U996" t="s">
        <v>20826</v>
      </c>
      <c r="V996" t="s">
        <v>20827</v>
      </c>
      <c r="W996" t="s">
        <v>20828</v>
      </c>
      <c r="X996" t="s">
        <v>20829</v>
      </c>
      <c r="Y996" t="s">
        <v>20830</v>
      </c>
    </row>
    <row r="997" spans="1:25" x14ac:dyDescent="0.3">
      <c r="A997">
        <v>49800</v>
      </c>
      <c r="B997" t="s">
        <v>20831</v>
      </c>
      <c r="C997" t="s">
        <v>20832</v>
      </c>
      <c r="D997" t="s">
        <v>20833</v>
      </c>
      <c r="E997" t="s">
        <v>20834</v>
      </c>
      <c r="F997" t="s">
        <v>20835</v>
      </c>
      <c r="G997" t="s">
        <v>20836</v>
      </c>
      <c r="H997" t="s">
        <v>20837</v>
      </c>
      <c r="I997" t="s">
        <v>20838</v>
      </c>
      <c r="J997" t="s">
        <v>20839</v>
      </c>
      <c r="K997" t="s">
        <v>20840</v>
      </c>
      <c r="L997" t="s">
        <v>20841</v>
      </c>
      <c r="M997" t="s">
        <v>20842</v>
      </c>
      <c r="N997" t="s">
        <v>20843</v>
      </c>
      <c r="O997">
        <f>-788.081487765898 -47.1009052071122 -717.910753730677</f>
        <v>-1553.0931467036871</v>
      </c>
      <c r="P997">
        <f>-758.216799204441 -19.9869668124611 -403.969495225191</f>
        <v>-1182.1732612420931</v>
      </c>
      <c r="Q997">
        <f>-508.155600217669 -37.9345339635065 -334.764472893953</f>
        <v>-880.85460707512846</v>
      </c>
      <c r="R997" t="s">
        <v>20844</v>
      </c>
      <c r="S997" t="s">
        <v>20845</v>
      </c>
      <c r="T997" t="s">
        <v>20846</v>
      </c>
      <c r="U997" t="s">
        <v>20847</v>
      </c>
      <c r="V997" t="s">
        <v>20848</v>
      </c>
      <c r="W997" t="s">
        <v>20849</v>
      </c>
      <c r="X997" t="s">
        <v>20850</v>
      </c>
      <c r="Y997" t="s">
        <v>20851</v>
      </c>
    </row>
    <row r="998" spans="1:25" x14ac:dyDescent="0.3">
      <c r="A998">
        <v>49850</v>
      </c>
      <c r="B998" t="s">
        <v>20852</v>
      </c>
      <c r="C998" t="s">
        <v>20853</v>
      </c>
      <c r="D998" t="s">
        <v>20854</v>
      </c>
      <c r="E998" t="s">
        <v>20855</v>
      </c>
      <c r="F998" t="s">
        <v>20856</v>
      </c>
      <c r="G998" t="s">
        <v>20857</v>
      </c>
      <c r="H998" t="s">
        <v>20858</v>
      </c>
      <c r="I998" t="s">
        <v>20859</v>
      </c>
      <c r="J998" t="s">
        <v>20860</v>
      </c>
      <c r="K998" t="s">
        <v>20861</v>
      </c>
      <c r="L998" t="s">
        <v>20862</v>
      </c>
      <c r="M998" t="s">
        <v>20863</v>
      </c>
      <c r="N998" t="s">
        <v>20864</v>
      </c>
      <c r="O998">
        <f>-783.588022295452 -49.5577240897521 -718.682474542514</f>
        <v>-1551.8282209277181</v>
      </c>
      <c r="P998">
        <f>-754.58986010065 -23.0765819551602 -404.605930715736</f>
        <v>-1182.2723727715461</v>
      </c>
      <c r="Q998">
        <f>-504.402051013692 -38.734546589543 -335.302635559515</f>
        <v>-878.43923316275004</v>
      </c>
      <c r="R998" t="s">
        <v>20865</v>
      </c>
      <c r="S998" t="s">
        <v>20866</v>
      </c>
      <c r="T998" t="s">
        <v>20867</v>
      </c>
      <c r="U998" t="s">
        <v>20868</v>
      </c>
      <c r="V998" t="s">
        <v>20869</v>
      </c>
      <c r="W998" t="s">
        <v>20870</v>
      </c>
      <c r="X998" t="s">
        <v>20871</v>
      </c>
      <c r="Y998" t="s">
        <v>20872</v>
      </c>
    </row>
    <row r="999" spans="1:25" x14ac:dyDescent="0.3">
      <c r="A999">
        <v>49900</v>
      </c>
      <c r="B999" t="s">
        <v>20873</v>
      </c>
      <c r="C999" t="s">
        <v>20874</v>
      </c>
      <c r="D999" t="s">
        <v>20875</v>
      </c>
      <c r="E999" t="s">
        <v>20876</v>
      </c>
      <c r="F999" t="s">
        <v>20877</v>
      </c>
      <c r="G999" t="s">
        <v>20878</v>
      </c>
      <c r="H999" t="s">
        <v>20879</v>
      </c>
      <c r="I999" t="s">
        <v>20880</v>
      </c>
      <c r="J999" t="s">
        <v>20881</v>
      </c>
      <c r="K999" t="s">
        <v>20882</v>
      </c>
      <c r="L999" t="s">
        <v>20883</v>
      </c>
      <c r="M999" t="s">
        <v>20884</v>
      </c>
      <c r="N999" t="s">
        <v>20885</v>
      </c>
      <c r="O999">
        <f>-781.624778825636 -50.6879090322054 -719.004379312118</f>
        <v>-1551.3170671699595</v>
      </c>
      <c r="P999">
        <f>-752.999406991147 -24.6550034039042 -404.856216172168</f>
        <v>-1182.5106265672191</v>
      </c>
      <c r="Q999">
        <f>-502.717938750023 -39.1974455569407 -335.648059896779</f>
        <v>-877.56344420374262</v>
      </c>
      <c r="R999" t="s">
        <v>20886</v>
      </c>
      <c r="S999" t="s">
        <v>20887</v>
      </c>
      <c r="T999" t="s">
        <v>20888</v>
      </c>
      <c r="U999" t="s">
        <v>20889</v>
      </c>
      <c r="V999" t="s">
        <v>20890</v>
      </c>
      <c r="W999" t="s">
        <v>20891</v>
      </c>
      <c r="X999" t="s">
        <v>20892</v>
      </c>
      <c r="Y999" t="s">
        <v>20893</v>
      </c>
    </row>
    <row r="1000" spans="1:25" x14ac:dyDescent="0.3">
      <c r="A1000">
        <v>49950</v>
      </c>
      <c r="B1000" t="s">
        <v>20894</v>
      </c>
      <c r="C1000" t="s">
        <v>20895</v>
      </c>
      <c r="D1000" t="s">
        <v>20896</v>
      </c>
      <c r="E1000" t="s">
        <v>20897</v>
      </c>
      <c r="F1000" t="s">
        <v>20898</v>
      </c>
      <c r="G1000" t="s">
        <v>20899</v>
      </c>
      <c r="H1000" t="s">
        <v>20900</v>
      </c>
      <c r="I1000" t="s">
        <v>20901</v>
      </c>
      <c r="J1000" t="s">
        <v>20902</v>
      </c>
      <c r="K1000" t="s">
        <v>20903</v>
      </c>
      <c r="L1000" t="s">
        <v>20904</v>
      </c>
      <c r="M1000" t="s">
        <v>20905</v>
      </c>
      <c r="N1000" t="s">
        <v>20906</v>
      </c>
      <c r="O1000">
        <f>-777.53874023701 -52.8531777854134 -719.666837551829</f>
        <v>-1550.0587555742522</v>
      </c>
      <c r="P1000">
        <f>-749.856512452211 -28.0846019525343 -405.3319392956</f>
        <v>-1183.2730537003454</v>
      </c>
      <c r="Q1000">
        <f>-499.424327459605 -40.5652387533069 -336.266742182986</f>
        <v>-876.2563083958978</v>
      </c>
      <c r="R1000" t="s">
        <v>20907</v>
      </c>
      <c r="S1000" t="s">
        <v>20908</v>
      </c>
      <c r="T1000" t="s">
        <v>20909</v>
      </c>
      <c r="U1000" t="s">
        <v>20910</v>
      </c>
      <c r="V1000" t="s">
        <v>20911</v>
      </c>
      <c r="W1000" t="s">
        <v>20912</v>
      </c>
      <c r="X1000" t="s">
        <v>20913</v>
      </c>
      <c r="Y1000" t="s">
        <v>20914</v>
      </c>
    </row>
    <row r="1001" spans="1:25" x14ac:dyDescent="0.3">
      <c r="A1001">
        <v>50000</v>
      </c>
      <c r="B1001" t="s">
        <v>20915</v>
      </c>
      <c r="C1001" t="s">
        <v>20916</v>
      </c>
      <c r="D1001" t="s">
        <v>20917</v>
      </c>
      <c r="E1001" t="s">
        <v>20918</v>
      </c>
      <c r="F1001" t="s">
        <v>20919</v>
      </c>
      <c r="G1001" t="s">
        <v>20920</v>
      </c>
      <c r="H1001" t="s">
        <v>20921</v>
      </c>
      <c r="I1001" t="s">
        <v>20922</v>
      </c>
      <c r="J1001" t="s">
        <v>20923</v>
      </c>
      <c r="K1001" t="s">
        <v>20924</v>
      </c>
      <c r="L1001" t="s">
        <v>20925</v>
      </c>
      <c r="M1001" t="s">
        <v>20926</v>
      </c>
      <c r="N1001" t="s">
        <v>20927</v>
      </c>
      <c r="O1001">
        <f>-775.916177614747 -53.8400603569075 -720.027376161409</f>
        <v>-1549.7836141330636</v>
      </c>
      <c r="P1001">
        <f>-748.717552783739 -29.5599211919748 -405.612217534769</f>
        <v>-1183.8896915104829</v>
      </c>
      <c r="Q1001">
        <f>-498.268929779475 -41.152023530537 -336.451991980891</f>
        <v>-875.87294529090309</v>
      </c>
      <c r="R1001" t="s">
        <v>20928</v>
      </c>
      <c r="S1001" t="s">
        <v>20929</v>
      </c>
      <c r="T1001" t="s">
        <v>20930</v>
      </c>
      <c r="U1001" t="s">
        <v>20931</v>
      </c>
      <c r="V1001" t="s">
        <v>20932</v>
      </c>
      <c r="W1001" t="s">
        <v>20933</v>
      </c>
      <c r="X1001" t="s">
        <v>20934</v>
      </c>
      <c r="Y1001" t="s">
        <v>20935</v>
      </c>
    </row>
    <row r="1002" spans="1:25" x14ac:dyDescent="0.3">
      <c r="A1002">
        <v>50050</v>
      </c>
      <c r="B1002" t="s">
        <v>20936</v>
      </c>
      <c r="C1002" t="s">
        <v>20937</v>
      </c>
      <c r="D1002" t="s">
        <v>20938</v>
      </c>
      <c r="E1002" t="s">
        <v>20939</v>
      </c>
      <c r="F1002" t="s">
        <v>20940</v>
      </c>
      <c r="G1002" t="s">
        <v>20941</v>
      </c>
      <c r="H1002" t="s">
        <v>20942</v>
      </c>
      <c r="I1002" t="s">
        <v>20943</v>
      </c>
      <c r="J1002" t="s">
        <v>20944</v>
      </c>
      <c r="K1002" t="s">
        <v>20945</v>
      </c>
      <c r="L1002" t="s">
        <v>20946</v>
      </c>
      <c r="M1002" t="s">
        <v>20947</v>
      </c>
      <c r="N1002" t="s">
        <v>20948</v>
      </c>
      <c r="O1002">
        <f>-773.391886619988 -55.7848575980158 -720.651519388343</f>
        <v>-1549.8282636063468</v>
      </c>
      <c r="P1002">
        <f>-747.099772242289 -32.1120659021226 -406.11300639898</f>
        <v>-1185.3248445433915</v>
      </c>
      <c r="Q1002">
        <f>-496.717019419193 -42.4884443786525 -336.522100514363</f>
        <v>-875.72756431220841</v>
      </c>
      <c r="R1002" t="s">
        <v>20949</v>
      </c>
      <c r="S1002" t="s">
        <v>20950</v>
      </c>
      <c r="T1002" t="s">
        <v>20951</v>
      </c>
      <c r="U1002" t="s">
        <v>20952</v>
      </c>
      <c r="V1002" t="s">
        <v>20953</v>
      </c>
      <c r="W1002" t="s">
        <v>20954</v>
      </c>
      <c r="X1002" t="s">
        <v>20955</v>
      </c>
      <c r="Y1002" t="s">
        <v>20956</v>
      </c>
    </row>
    <row r="1003" spans="1:25" x14ac:dyDescent="0.3">
      <c r="A1003">
        <v>50100</v>
      </c>
      <c r="B1003" t="s">
        <v>20957</v>
      </c>
      <c r="C1003" t="s">
        <v>20958</v>
      </c>
      <c r="D1003" t="s">
        <v>20959</v>
      </c>
      <c r="E1003" t="s">
        <v>20960</v>
      </c>
      <c r="F1003" t="s">
        <v>20961</v>
      </c>
      <c r="G1003" t="s">
        <v>20962</v>
      </c>
      <c r="H1003" t="s">
        <v>20963</v>
      </c>
      <c r="I1003" t="s">
        <v>20964</v>
      </c>
      <c r="J1003" t="s">
        <v>20965</v>
      </c>
      <c r="K1003" t="s">
        <v>20966</v>
      </c>
      <c r="L1003" t="s">
        <v>20967</v>
      </c>
      <c r="M1003" t="s">
        <v>20968</v>
      </c>
      <c r="N1003" t="s">
        <v>20969</v>
      </c>
      <c r="O1003">
        <f>-772.388550958363 -56.6289460852277 -720.893718041375</f>
        <v>-1549.9112150849655</v>
      </c>
      <c r="P1003">
        <f>-746.447633441265 -33.2222374090427 -406.306136762273</f>
        <v>-1185.9760076125808</v>
      </c>
      <c r="Q1003">
        <f>-496.141079937014 -43.1356751174251 -336.374553756638</f>
        <v>-875.65130881107712</v>
      </c>
      <c r="R1003" t="s">
        <v>20970</v>
      </c>
      <c r="S1003" t="s">
        <v>20971</v>
      </c>
      <c r="T1003" t="s">
        <v>20972</v>
      </c>
      <c r="U1003" t="s">
        <v>20973</v>
      </c>
      <c r="V1003" t="s">
        <v>20974</v>
      </c>
      <c r="W1003" t="s">
        <v>20975</v>
      </c>
      <c r="X1003" t="s">
        <v>20976</v>
      </c>
      <c r="Y1003" t="s">
        <v>20977</v>
      </c>
    </row>
    <row r="1004" spans="1:25" x14ac:dyDescent="0.3">
      <c r="A1004">
        <v>50150</v>
      </c>
      <c r="B1004" t="s">
        <v>20978</v>
      </c>
      <c r="C1004" t="s">
        <v>20979</v>
      </c>
      <c r="D1004" t="s">
        <v>20980</v>
      </c>
      <c r="E1004" t="s">
        <v>20981</v>
      </c>
      <c r="F1004" t="s">
        <v>20982</v>
      </c>
      <c r="G1004" t="s">
        <v>20983</v>
      </c>
      <c r="H1004" t="s">
        <v>20984</v>
      </c>
      <c r="I1004" t="s">
        <v>20985</v>
      </c>
      <c r="J1004" t="s">
        <v>20986</v>
      </c>
      <c r="K1004" t="s">
        <v>20987</v>
      </c>
      <c r="L1004" t="s">
        <v>20988</v>
      </c>
      <c r="M1004" t="s">
        <v>20989</v>
      </c>
      <c r="N1004" t="s">
        <v>20990</v>
      </c>
      <c r="O1004">
        <f>-771.766588578581 -57.9409772982717 -721.209278523003</f>
        <v>-1550.9168443998558</v>
      </c>
      <c r="P1004">
        <f>-746.340635398101 -34.6770022156861 -406.569062476136</f>
        <v>-1187.5867000899232</v>
      </c>
      <c r="Q1004">
        <f>-496.104342118582 -44.0022492145656 -336.306176561486</f>
        <v>-876.41276789463359</v>
      </c>
      <c r="R1004" t="s">
        <v>20991</v>
      </c>
      <c r="S1004" t="s">
        <v>20992</v>
      </c>
      <c r="T1004" t="s">
        <v>20993</v>
      </c>
      <c r="U1004" t="s">
        <v>20994</v>
      </c>
      <c r="V1004" t="s">
        <v>20995</v>
      </c>
      <c r="W1004" t="s">
        <v>20996</v>
      </c>
      <c r="X1004" t="s">
        <v>20997</v>
      </c>
      <c r="Y1004" t="s">
        <v>20998</v>
      </c>
    </row>
    <row r="1005" spans="1:25" x14ac:dyDescent="0.3">
      <c r="A1005">
        <v>50200</v>
      </c>
      <c r="B1005" t="s">
        <v>20999</v>
      </c>
      <c r="C1005" t="s">
        <v>21000</v>
      </c>
      <c r="D1005" t="s">
        <v>21001</v>
      </c>
      <c r="E1005" t="s">
        <v>21002</v>
      </c>
      <c r="F1005" t="s">
        <v>21003</v>
      </c>
      <c r="G1005" t="s">
        <v>21004</v>
      </c>
      <c r="H1005" t="s">
        <v>21005</v>
      </c>
      <c r="I1005" t="s">
        <v>21006</v>
      </c>
      <c r="J1005" t="s">
        <v>21007</v>
      </c>
      <c r="K1005" t="s">
        <v>21008</v>
      </c>
      <c r="L1005" t="s">
        <v>21009</v>
      </c>
      <c r="M1005" t="s">
        <v>21010</v>
      </c>
      <c r="N1005" t="s">
        <v>21011</v>
      </c>
      <c r="O1005">
        <f>-772.126695657277 -58.1448563444317 -721.481165517327</f>
        <v>-1551.7527175190357</v>
      </c>
      <c r="P1005">
        <f>-746.830889374833 -35.1342077038951 -406.811768202936</f>
        <v>-1188.776865281664</v>
      </c>
      <c r="Q1005">
        <f>-496.663794124208 -44.1785401165032 -336.266196358918</f>
        <v>-877.10853059962915</v>
      </c>
      <c r="R1005" t="s">
        <v>21012</v>
      </c>
      <c r="S1005" t="s">
        <v>21013</v>
      </c>
      <c r="T1005" t="s">
        <v>21014</v>
      </c>
      <c r="U1005" t="s">
        <v>21015</v>
      </c>
      <c r="V1005" t="s">
        <v>21016</v>
      </c>
      <c r="W1005" t="s">
        <v>21017</v>
      </c>
      <c r="X1005" t="s">
        <v>21018</v>
      </c>
      <c r="Y1005" t="s">
        <v>21019</v>
      </c>
    </row>
    <row r="1006" spans="1:25" x14ac:dyDescent="0.3">
      <c r="A1006">
        <v>50250</v>
      </c>
      <c r="B1006" t="s">
        <v>21020</v>
      </c>
      <c r="C1006" t="s">
        <v>21021</v>
      </c>
      <c r="D1006" t="s">
        <v>21022</v>
      </c>
      <c r="E1006" t="s">
        <v>21023</v>
      </c>
      <c r="F1006" t="s">
        <v>21024</v>
      </c>
      <c r="G1006" t="s">
        <v>21025</v>
      </c>
      <c r="H1006" t="s">
        <v>21026</v>
      </c>
      <c r="I1006" t="s">
        <v>21027</v>
      </c>
      <c r="J1006" t="s">
        <v>21028</v>
      </c>
      <c r="K1006" t="s">
        <v>21029</v>
      </c>
      <c r="L1006" t="s">
        <v>21030</v>
      </c>
      <c r="M1006" t="s">
        <v>21031</v>
      </c>
      <c r="N1006" t="s">
        <v>21032</v>
      </c>
      <c r="O1006">
        <f>-773.686637033081 -57.9918261615514 -722.203433296118</f>
        <v>-1553.8818964907505</v>
      </c>
      <c r="P1006">
        <f>-748.828504195316 -35.5618382193388 -407.45728326957</f>
        <v>-1191.8476256842248</v>
      </c>
      <c r="Q1006">
        <f>-498.766419247384 -43.6004309774717 -336.419555742671</f>
        <v>-878.78640596752666</v>
      </c>
      <c r="R1006" t="s">
        <v>21033</v>
      </c>
      <c r="S1006" t="s">
        <v>21034</v>
      </c>
      <c r="T1006" t="s">
        <v>21035</v>
      </c>
      <c r="U1006" t="s">
        <v>21036</v>
      </c>
      <c r="V1006" t="s">
        <v>21037</v>
      </c>
      <c r="W1006" t="s">
        <v>21038</v>
      </c>
      <c r="X1006" t="s">
        <v>21039</v>
      </c>
      <c r="Y1006" t="s">
        <v>21040</v>
      </c>
    </row>
    <row r="1007" spans="1:25" x14ac:dyDescent="0.3">
      <c r="A1007">
        <v>50300</v>
      </c>
      <c r="B1007" t="s">
        <v>21041</v>
      </c>
      <c r="C1007" t="s">
        <v>21042</v>
      </c>
      <c r="D1007" t="s">
        <v>21043</v>
      </c>
      <c r="E1007" t="s">
        <v>21044</v>
      </c>
      <c r="F1007" t="s">
        <v>21045</v>
      </c>
      <c r="G1007" t="s">
        <v>21046</v>
      </c>
      <c r="H1007" t="s">
        <v>21047</v>
      </c>
      <c r="I1007" t="s">
        <v>21048</v>
      </c>
      <c r="J1007" t="s">
        <v>21049</v>
      </c>
      <c r="K1007" t="s">
        <v>21050</v>
      </c>
      <c r="L1007" t="s">
        <v>21051</v>
      </c>
      <c r="M1007" t="s">
        <v>21052</v>
      </c>
      <c r="N1007" t="s">
        <v>21053</v>
      </c>
      <c r="O1007">
        <f>-774.677947497301 -57.737649579703 -722.56414645374</f>
        <v>-1554.9797435307441</v>
      </c>
      <c r="P1007">
        <f>-749.877433374748 -35.7030982319382 -407.78555880979</f>
        <v>-1193.3660904164763</v>
      </c>
      <c r="Q1007">
        <f>-499.861879777769 -43.3867164670969 -336.544963842324</f>
        <v>-879.79356008718992</v>
      </c>
      <c r="R1007" t="s">
        <v>21054</v>
      </c>
      <c r="S1007" t="s">
        <v>21055</v>
      </c>
      <c r="T1007" t="s">
        <v>21056</v>
      </c>
      <c r="U1007" t="s">
        <v>21057</v>
      </c>
      <c r="V1007" t="s">
        <v>21058</v>
      </c>
      <c r="W1007" t="s">
        <v>21059</v>
      </c>
      <c r="X1007" t="s">
        <v>21060</v>
      </c>
      <c r="Y1007" t="s">
        <v>21061</v>
      </c>
    </row>
    <row r="1008" spans="1:25" x14ac:dyDescent="0.3">
      <c r="A1008">
        <v>50350</v>
      </c>
      <c r="B1008" t="s">
        <v>21062</v>
      </c>
      <c r="C1008" t="s">
        <v>21063</v>
      </c>
      <c r="D1008" t="s">
        <v>21064</v>
      </c>
      <c r="E1008" t="s">
        <v>21065</v>
      </c>
      <c r="F1008" t="s">
        <v>21066</v>
      </c>
      <c r="G1008" t="s">
        <v>21067</v>
      </c>
      <c r="H1008" t="s">
        <v>21068</v>
      </c>
      <c r="I1008" t="s">
        <v>21069</v>
      </c>
      <c r="J1008" t="s">
        <v>21070</v>
      </c>
      <c r="K1008" t="s">
        <v>21071</v>
      </c>
      <c r="L1008" t="s">
        <v>21072</v>
      </c>
      <c r="M1008" t="s">
        <v>21073</v>
      </c>
      <c r="N1008" t="s">
        <v>21074</v>
      </c>
      <c r="O1008">
        <f>-776.255221114221 -57.3562054438657 -723.135970255399</f>
        <v>-1556.7473968134857</v>
      </c>
      <c r="P1008">
        <f>-751.34707806354 -35.8301622433421 -408.330524634578</f>
        <v>-1195.5077649414602</v>
      </c>
      <c r="Q1008">
        <f>-501.270444229669 -43.4991812964875 -337.302938497077</f>
        <v>-882.07256402323344</v>
      </c>
      <c r="R1008" t="s">
        <v>21075</v>
      </c>
      <c r="S1008" t="s">
        <v>21076</v>
      </c>
      <c r="T1008" t="s">
        <v>21077</v>
      </c>
      <c r="U1008" t="s">
        <v>21078</v>
      </c>
      <c r="V1008" t="s">
        <v>21079</v>
      </c>
      <c r="W1008" t="s">
        <v>21080</v>
      </c>
      <c r="X1008" t="s">
        <v>21081</v>
      </c>
      <c r="Y1008" t="s">
        <v>21082</v>
      </c>
    </row>
    <row r="1009" spans="1:25" x14ac:dyDescent="0.3">
      <c r="A1009">
        <v>50400</v>
      </c>
      <c r="B1009" t="s">
        <v>21083</v>
      </c>
      <c r="C1009" t="s">
        <v>21084</v>
      </c>
      <c r="D1009" t="s">
        <v>21085</v>
      </c>
      <c r="E1009" t="s">
        <v>21086</v>
      </c>
      <c r="F1009" t="s">
        <v>21087</v>
      </c>
      <c r="G1009" t="s">
        <v>21088</v>
      </c>
      <c r="H1009" t="s">
        <v>21089</v>
      </c>
      <c r="I1009" t="s">
        <v>21090</v>
      </c>
      <c r="J1009" t="s">
        <v>21091</v>
      </c>
      <c r="K1009" t="s">
        <v>21092</v>
      </c>
      <c r="L1009" t="s">
        <v>21093</v>
      </c>
      <c r="M1009" t="s">
        <v>21094</v>
      </c>
      <c r="N1009" t="s">
        <v>21095</v>
      </c>
      <c r="O1009">
        <f>-776.896490549049 -57.1087602282098 -723.387057952406</f>
        <v>-1557.3923087296648</v>
      </c>
      <c r="P1009">
        <f>-751.862281057759 -36.1579600706937 -408.552914192955</f>
        <v>-1196.5731553214077</v>
      </c>
      <c r="Q1009">
        <f>-501.785522650827 -43.9014185337105 -337.533900576637</f>
        <v>-883.22084176117437</v>
      </c>
      <c r="R1009" t="s">
        <v>21096</v>
      </c>
      <c r="S1009" t="s">
        <v>21097</v>
      </c>
      <c r="T1009" t="s">
        <v>21098</v>
      </c>
      <c r="U1009" t="s">
        <v>21099</v>
      </c>
      <c r="V1009" t="s">
        <v>21100</v>
      </c>
      <c r="W1009" t="s">
        <v>21101</v>
      </c>
      <c r="X1009" t="s">
        <v>21102</v>
      </c>
      <c r="Y1009" t="s">
        <v>21103</v>
      </c>
    </row>
    <row r="1010" spans="1:25" x14ac:dyDescent="0.3">
      <c r="A1010">
        <v>50450</v>
      </c>
      <c r="B1010" t="s">
        <v>21104</v>
      </c>
      <c r="C1010" t="s">
        <v>21105</v>
      </c>
      <c r="D1010" t="s">
        <v>21106</v>
      </c>
      <c r="E1010" t="s">
        <v>21107</v>
      </c>
      <c r="F1010" t="s">
        <v>21108</v>
      </c>
      <c r="G1010" t="s">
        <v>21109</v>
      </c>
      <c r="H1010" t="s">
        <v>21110</v>
      </c>
      <c r="I1010" t="s">
        <v>21111</v>
      </c>
      <c r="J1010" t="s">
        <v>21112</v>
      </c>
      <c r="K1010" t="s">
        <v>21113</v>
      </c>
      <c r="L1010" t="s">
        <v>21114</v>
      </c>
      <c r="M1010" t="s">
        <v>21115</v>
      </c>
      <c r="N1010" t="s">
        <v>21116</v>
      </c>
      <c r="O1010">
        <f>-778.259582343375 -56.810037632227 -723.731469093603</f>
        <v>-1558.8010890692049</v>
      </c>
      <c r="P1010">
        <f>-753.306651949496 -36.50644103269 -408.848506828102</f>
        <v>-1198.661599810288</v>
      </c>
      <c r="Q1010">
        <f>-503.122380617903 -44.1506374199485 -338.198551228161</f>
        <v>-885.47156926601247</v>
      </c>
      <c r="R1010" t="s">
        <v>21117</v>
      </c>
      <c r="S1010" t="s">
        <v>21118</v>
      </c>
      <c r="T1010" t="s">
        <v>21119</v>
      </c>
      <c r="U1010" t="s">
        <v>21120</v>
      </c>
      <c r="V1010" t="s">
        <v>21121</v>
      </c>
      <c r="W1010" t="s">
        <v>21122</v>
      </c>
      <c r="X1010" t="s">
        <v>21123</v>
      </c>
      <c r="Y1010" t="s">
        <v>21124</v>
      </c>
    </row>
    <row r="1011" spans="1:25" x14ac:dyDescent="0.3">
      <c r="A1011">
        <v>50500</v>
      </c>
      <c r="B1011" t="s">
        <v>21125</v>
      </c>
      <c r="C1011" t="s">
        <v>21126</v>
      </c>
      <c r="D1011" t="s">
        <v>21127</v>
      </c>
      <c r="E1011" t="s">
        <v>21128</v>
      </c>
      <c r="F1011" t="s">
        <v>21129</v>
      </c>
      <c r="G1011" t="s">
        <v>21130</v>
      </c>
      <c r="H1011" t="s">
        <v>21131</v>
      </c>
      <c r="I1011" t="s">
        <v>21132</v>
      </c>
      <c r="J1011" t="s">
        <v>21133</v>
      </c>
      <c r="K1011" t="s">
        <v>21134</v>
      </c>
      <c r="L1011" t="s">
        <v>21135</v>
      </c>
      <c r="M1011" t="s">
        <v>21136</v>
      </c>
      <c r="N1011" t="s">
        <v>21137</v>
      </c>
      <c r="O1011">
        <f>-778.783697975863 -56.7536225898762 -723.940811916314</f>
        <v>-1559.4781324820533</v>
      </c>
      <c r="P1011">
        <f>-753.956574324024 -37.0628806141094 -409.00892467755</f>
        <v>-1200.0283796156834</v>
      </c>
      <c r="Q1011">
        <f>-503.791011641246 -44.40179701176 -338.260325568917</f>
        <v>-886.45313422192294</v>
      </c>
      <c r="R1011" t="s">
        <v>21138</v>
      </c>
      <c r="S1011" t="s">
        <v>21139</v>
      </c>
      <c r="T1011" t="s">
        <v>21140</v>
      </c>
      <c r="U1011" t="s">
        <v>21141</v>
      </c>
      <c r="V1011" t="s">
        <v>21142</v>
      </c>
      <c r="W1011" t="s">
        <v>21143</v>
      </c>
      <c r="X1011" t="s">
        <v>21144</v>
      </c>
      <c r="Y1011" t="s">
        <v>21145</v>
      </c>
    </row>
    <row r="1012" spans="1:25" x14ac:dyDescent="0.3">
      <c r="A1012">
        <v>50550</v>
      </c>
      <c r="B1012" t="s">
        <v>21146</v>
      </c>
      <c r="C1012" t="s">
        <v>21147</v>
      </c>
      <c r="D1012" t="s">
        <v>21148</v>
      </c>
      <c r="E1012" t="s">
        <v>21149</v>
      </c>
      <c r="F1012" t="s">
        <v>21150</v>
      </c>
      <c r="G1012" t="s">
        <v>21151</v>
      </c>
      <c r="H1012" t="s">
        <v>21152</v>
      </c>
      <c r="I1012" t="s">
        <v>21153</v>
      </c>
      <c r="J1012" t="s">
        <v>21154</v>
      </c>
      <c r="K1012" t="s">
        <v>21155</v>
      </c>
      <c r="L1012" t="s">
        <v>21156</v>
      </c>
      <c r="M1012" t="s">
        <v>21157</v>
      </c>
      <c r="N1012" t="s">
        <v>21158</v>
      </c>
      <c r="O1012">
        <f>-779.380302579777 -56.3301702624965 -724.340708991073</f>
        <v>-1560.0511818333466</v>
      </c>
      <c r="P1012">
        <f>-754.776532531704 -36.8545858296516 -409.378048485447</f>
        <v>-1201.0091668468026</v>
      </c>
      <c r="Q1012">
        <f>-504.669208231816 -43.3146955735544 -338.338527848841</f>
        <v>-886.32243165421141</v>
      </c>
      <c r="R1012" t="s">
        <v>21159</v>
      </c>
      <c r="S1012" t="s">
        <v>21160</v>
      </c>
      <c r="T1012" t="s">
        <v>21161</v>
      </c>
      <c r="U1012" t="s">
        <v>21162</v>
      </c>
      <c r="V1012" t="s">
        <v>21163</v>
      </c>
      <c r="W1012" t="s">
        <v>21164</v>
      </c>
      <c r="X1012" t="s">
        <v>21165</v>
      </c>
      <c r="Y1012" t="s">
        <v>21166</v>
      </c>
    </row>
    <row r="1013" spans="1:25" x14ac:dyDescent="0.3">
      <c r="A1013">
        <v>50600</v>
      </c>
      <c r="B1013" t="s">
        <v>21167</v>
      </c>
      <c r="C1013" t="s">
        <v>21168</v>
      </c>
      <c r="D1013" t="s">
        <v>21169</v>
      </c>
      <c r="E1013" t="s">
        <v>21170</v>
      </c>
      <c r="F1013" t="s">
        <v>21171</v>
      </c>
      <c r="G1013" t="s">
        <v>21172</v>
      </c>
      <c r="H1013" t="s">
        <v>21173</v>
      </c>
      <c r="I1013" t="s">
        <v>21174</v>
      </c>
      <c r="J1013" t="s">
        <v>21175</v>
      </c>
      <c r="K1013" t="s">
        <v>21176</v>
      </c>
      <c r="L1013" t="s">
        <v>21177</v>
      </c>
      <c r="M1013" t="s">
        <v>21178</v>
      </c>
      <c r="N1013" t="s">
        <v>21179</v>
      </c>
      <c r="O1013">
        <f>-779.484657113451 -56.1854539951237 -724.521179181272</f>
        <v>-1560.1912902898466</v>
      </c>
      <c r="P1013">
        <f>-755.243213221835 -36.8174350773052 -409.523683204712</f>
        <v>-1201.5843315038521</v>
      </c>
      <c r="Q1013">
        <f>-505.165796722407 -42.6099722459196 -338.321029942693</f>
        <v>-886.0967989110195</v>
      </c>
      <c r="R1013" t="s">
        <v>21180</v>
      </c>
      <c r="S1013" t="s">
        <v>21181</v>
      </c>
      <c r="T1013" t="s">
        <v>21182</v>
      </c>
      <c r="U1013" t="s">
        <v>21183</v>
      </c>
      <c r="V1013" t="s">
        <v>21184</v>
      </c>
      <c r="W1013" t="s">
        <v>21185</v>
      </c>
      <c r="X1013" t="s">
        <v>21186</v>
      </c>
      <c r="Y1013" t="s">
        <v>21187</v>
      </c>
    </row>
    <row r="1014" spans="1:25" x14ac:dyDescent="0.3">
      <c r="A1014">
        <v>50650</v>
      </c>
      <c r="B1014" t="s">
        <v>21188</v>
      </c>
      <c r="C1014" t="s">
        <v>21189</v>
      </c>
      <c r="D1014" t="s">
        <v>21190</v>
      </c>
      <c r="E1014" t="s">
        <v>21191</v>
      </c>
      <c r="F1014" t="s">
        <v>21192</v>
      </c>
      <c r="G1014" t="s">
        <v>21193</v>
      </c>
      <c r="H1014" t="s">
        <v>21194</v>
      </c>
      <c r="I1014" t="s">
        <v>21195</v>
      </c>
      <c r="J1014" t="s">
        <v>21196</v>
      </c>
      <c r="K1014" t="s">
        <v>21197</v>
      </c>
      <c r="L1014" t="s">
        <v>21198</v>
      </c>
      <c r="M1014" t="s">
        <v>21199</v>
      </c>
      <c r="N1014" t="s">
        <v>21200</v>
      </c>
      <c r="O1014">
        <f>-779.208971683133 -56.0516936406125 -724.773430589237</f>
        <v>-1560.0340959129826</v>
      </c>
      <c r="P1014">
        <f>-755.457811899152 -36.8282714300151 -409.729737083883</f>
        <v>-1202.0158204130501</v>
      </c>
      <c r="Q1014">
        <f>-505.396915000319 -41.3287007338299 -338.376244225114</f>
        <v>-885.10185995926281</v>
      </c>
      <c r="R1014" t="s">
        <v>21201</v>
      </c>
      <c r="S1014" t="s">
        <v>21202</v>
      </c>
      <c r="T1014" t="s">
        <v>21203</v>
      </c>
      <c r="U1014" t="s">
        <v>21204</v>
      </c>
      <c r="V1014" t="s">
        <v>21205</v>
      </c>
      <c r="W1014" t="s">
        <v>21206</v>
      </c>
      <c r="X1014" t="s">
        <v>21207</v>
      </c>
      <c r="Y1014" t="s">
        <v>21208</v>
      </c>
    </row>
    <row r="1015" spans="1:25" x14ac:dyDescent="0.3">
      <c r="A1015">
        <v>50700</v>
      </c>
      <c r="B1015" t="s">
        <v>21188</v>
      </c>
      <c r="C1015" t="s">
        <v>21189</v>
      </c>
      <c r="D1015" t="s">
        <v>21190</v>
      </c>
      <c r="E1015" t="s">
        <v>21191</v>
      </c>
      <c r="F1015" t="s">
        <v>21192</v>
      </c>
      <c r="G1015" t="s">
        <v>21193</v>
      </c>
      <c r="H1015" t="s">
        <v>21194</v>
      </c>
      <c r="I1015" t="s">
        <v>21195</v>
      </c>
      <c r="J1015" t="s">
        <v>21196</v>
      </c>
      <c r="K1015" t="s">
        <v>21197</v>
      </c>
      <c r="L1015" t="s">
        <v>21198</v>
      </c>
      <c r="M1015" t="s">
        <v>21199</v>
      </c>
      <c r="N1015" t="s">
        <v>21200</v>
      </c>
      <c r="O1015">
        <f>-779.208971683133 -56.0516936406125 -724.773430589237</f>
        <v>-1560.0340959129826</v>
      </c>
      <c r="P1015">
        <f>-755.457811899152 -36.8282714300151 -409.729737083883</f>
        <v>-1202.0158204130501</v>
      </c>
      <c r="Q1015">
        <f>-505.396915000319 -41.3287007338299 -338.376244225114</f>
        <v>-885.10185995926281</v>
      </c>
      <c r="R1015" t="s">
        <v>21201</v>
      </c>
      <c r="S1015" t="s">
        <v>21202</v>
      </c>
      <c r="T1015" t="s">
        <v>21203</v>
      </c>
      <c r="U1015" t="s">
        <v>21204</v>
      </c>
      <c r="V1015" t="s">
        <v>21205</v>
      </c>
      <c r="W1015" t="s">
        <v>21206</v>
      </c>
      <c r="X1015" t="s">
        <v>21207</v>
      </c>
      <c r="Y1015" t="s">
        <v>21208</v>
      </c>
    </row>
    <row r="1016" spans="1:25" x14ac:dyDescent="0.3">
      <c r="A1016">
        <v>50750</v>
      </c>
      <c r="B1016" t="s">
        <v>21209</v>
      </c>
      <c r="C1016" t="s">
        <v>21210</v>
      </c>
      <c r="D1016" t="s">
        <v>21211</v>
      </c>
      <c r="E1016" t="s">
        <v>21212</v>
      </c>
      <c r="F1016" t="s">
        <v>21213</v>
      </c>
      <c r="G1016" t="s">
        <v>21214</v>
      </c>
      <c r="H1016" t="s">
        <v>21215</v>
      </c>
      <c r="I1016" t="s">
        <v>21216</v>
      </c>
      <c r="J1016" t="s">
        <v>21217</v>
      </c>
      <c r="K1016" t="s">
        <v>21218</v>
      </c>
      <c r="L1016" t="s">
        <v>21219</v>
      </c>
      <c r="M1016" t="s">
        <v>21220</v>
      </c>
      <c r="N1016" t="s">
        <v>21221</v>
      </c>
      <c r="O1016">
        <f>-778.295701855783 -57.0231039001678 -724.592125255651</f>
        <v>-1559.9109310116019</v>
      </c>
      <c r="P1016">
        <f>-755.14913092701 -36.8654607123408 -409.561841703473</f>
        <v>-1201.5764333428237</v>
      </c>
      <c r="Q1016">
        <f>-505.042258881861 -40.5837115662885 -338.324106973477</f>
        <v>-883.95007742162647</v>
      </c>
      <c r="R1016" t="s">
        <v>21222</v>
      </c>
      <c r="S1016" t="s">
        <v>21223</v>
      </c>
      <c r="T1016" t="s">
        <v>21224</v>
      </c>
      <c r="U1016" t="s">
        <v>21225</v>
      </c>
      <c r="V1016" t="s">
        <v>21226</v>
      </c>
      <c r="W1016" t="s">
        <v>21227</v>
      </c>
      <c r="X1016" t="s">
        <v>21228</v>
      </c>
      <c r="Y1016" t="s">
        <v>21229</v>
      </c>
    </row>
    <row r="1017" spans="1:25" x14ac:dyDescent="0.3">
      <c r="A1017">
        <v>50800</v>
      </c>
      <c r="B1017" t="s">
        <v>21230</v>
      </c>
      <c r="C1017" t="s">
        <v>21231</v>
      </c>
      <c r="D1017" t="s">
        <v>21232</v>
      </c>
      <c r="E1017" t="s">
        <v>21233</v>
      </c>
      <c r="F1017" t="s">
        <v>21234</v>
      </c>
      <c r="G1017" t="s">
        <v>21235</v>
      </c>
      <c r="H1017" t="s">
        <v>21236</v>
      </c>
      <c r="I1017" t="s">
        <v>21237</v>
      </c>
      <c r="J1017" t="s">
        <v>21238</v>
      </c>
      <c r="K1017" t="s">
        <v>21239</v>
      </c>
      <c r="L1017" t="s">
        <v>21240</v>
      </c>
      <c r="M1017" t="s">
        <v>21241</v>
      </c>
      <c r="N1017" t="s">
        <v>21242</v>
      </c>
      <c r="O1017">
        <f>-777.087284900762 -57.8563179882754 -724.377955746134</f>
        <v>-1559.3215586351714</v>
      </c>
      <c r="P1017">
        <f>-754.418745173712 -36.8505358538348 -409.368290179316</f>
        <v>-1200.6375712068627</v>
      </c>
      <c r="Q1017">
        <f>-504.259490208981 -39.9646126381074 -338.286055038011</f>
        <v>-882.51015788509937</v>
      </c>
      <c r="R1017" t="s">
        <v>21243</v>
      </c>
      <c r="S1017" t="s">
        <v>21244</v>
      </c>
      <c r="T1017" t="s">
        <v>21245</v>
      </c>
      <c r="U1017" t="s">
        <v>21246</v>
      </c>
      <c r="V1017" t="s">
        <v>21247</v>
      </c>
      <c r="W1017" t="s">
        <v>21248</v>
      </c>
      <c r="X1017" t="s">
        <v>21249</v>
      </c>
      <c r="Y1017" t="s">
        <v>21250</v>
      </c>
    </row>
    <row r="1018" spans="1:25" x14ac:dyDescent="0.3">
      <c r="A1018">
        <v>50850</v>
      </c>
      <c r="B1018" t="s">
        <v>21251</v>
      </c>
      <c r="C1018" t="s">
        <v>21252</v>
      </c>
      <c r="D1018" t="s">
        <v>21253</v>
      </c>
      <c r="E1018" t="s">
        <v>21254</v>
      </c>
      <c r="F1018" t="s">
        <v>21255</v>
      </c>
      <c r="G1018" t="s">
        <v>21256</v>
      </c>
      <c r="H1018" t="s">
        <v>21257</v>
      </c>
      <c r="I1018" t="s">
        <v>21258</v>
      </c>
      <c r="J1018" t="s">
        <v>21259</v>
      </c>
      <c r="K1018" t="s">
        <v>21260</v>
      </c>
      <c r="L1018" t="s">
        <v>21261</v>
      </c>
      <c r="M1018" t="s">
        <v>21262</v>
      </c>
      <c r="N1018" t="s">
        <v>21263</v>
      </c>
      <c r="O1018">
        <f>-775.973673483258 -58.6687284350551 -724.026948627573</f>
        <v>-1558.6693505458861</v>
      </c>
      <c r="P1018">
        <f>-753.520530374282 -36.1657039791253 -409.105198875822</f>
        <v>-1198.7914332292294</v>
      </c>
      <c r="Q1018">
        <f>-503.275489864731 -38.9156597554133 -338.310368804596</f>
        <v>-880.50151842474031</v>
      </c>
      <c r="R1018" t="s">
        <v>21264</v>
      </c>
      <c r="S1018" t="s">
        <v>21265</v>
      </c>
      <c r="T1018" t="s">
        <v>21266</v>
      </c>
      <c r="U1018" t="s">
        <v>21267</v>
      </c>
      <c r="V1018" t="s">
        <v>21268</v>
      </c>
      <c r="W1018" t="s">
        <v>21269</v>
      </c>
      <c r="X1018" t="s">
        <v>21270</v>
      </c>
      <c r="Y1018" t="s">
        <v>21271</v>
      </c>
    </row>
    <row r="1019" spans="1:25" x14ac:dyDescent="0.3">
      <c r="A1019">
        <v>50900</v>
      </c>
      <c r="B1019" t="s">
        <v>21272</v>
      </c>
      <c r="C1019" t="s">
        <v>21273</v>
      </c>
      <c r="D1019" t="s">
        <v>21274</v>
      </c>
      <c r="E1019" t="s">
        <v>21275</v>
      </c>
      <c r="F1019" t="s">
        <v>21276</v>
      </c>
      <c r="G1019" t="s">
        <v>21277</v>
      </c>
      <c r="H1019" t="s">
        <v>21278</v>
      </c>
      <c r="I1019" t="s">
        <v>21279</v>
      </c>
      <c r="J1019" t="s">
        <v>21280</v>
      </c>
      <c r="K1019" t="s">
        <v>21281</v>
      </c>
      <c r="L1019" t="s">
        <v>21282</v>
      </c>
      <c r="M1019" t="s">
        <v>21283</v>
      </c>
      <c r="N1019" t="s">
        <v>21284</v>
      </c>
      <c r="O1019">
        <f>-775.412318695142 -59.1143423007593 -723.856323396391</f>
        <v>-1558.3829843922922</v>
      </c>
      <c r="P1019">
        <f>-752.932339045539 -36.142894342217 -408.970405413508</f>
        <v>-1198.045638801264</v>
      </c>
      <c r="Q1019">
        <f>-502.714801990462 -38.7401486818642 -338.072411017559</f>
        <v>-879.52736168988508</v>
      </c>
      <c r="R1019" t="s">
        <v>21285</v>
      </c>
      <c r="S1019" t="s">
        <v>21286</v>
      </c>
      <c r="T1019" t="s">
        <v>21287</v>
      </c>
      <c r="U1019" t="s">
        <v>21288</v>
      </c>
      <c r="V1019" t="s">
        <v>21289</v>
      </c>
      <c r="W1019" t="s">
        <v>21290</v>
      </c>
      <c r="X1019" t="s">
        <v>21291</v>
      </c>
      <c r="Y1019" t="s">
        <v>21292</v>
      </c>
    </row>
    <row r="1020" spans="1:25" x14ac:dyDescent="0.3">
      <c r="A1020">
        <v>50950</v>
      </c>
      <c r="B1020" t="s">
        <v>21293</v>
      </c>
      <c r="C1020" t="s">
        <v>21294</v>
      </c>
      <c r="D1020" t="s">
        <v>21295</v>
      </c>
      <c r="E1020" t="s">
        <v>21296</v>
      </c>
      <c r="F1020" t="s">
        <v>21297</v>
      </c>
      <c r="G1020" t="s">
        <v>21298</v>
      </c>
      <c r="H1020" t="s">
        <v>21299</v>
      </c>
      <c r="I1020" t="s">
        <v>21300</v>
      </c>
      <c r="J1020" t="s">
        <v>21301</v>
      </c>
      <c r="K1020" t="s">
        <v>21302</v>
      </c>
      <c r="L1020" t="s">
        <v>21303</v>
      </c>
      <c r="M1020" t="s">
        <v>21304</v>
      </c>
      <c r="N1020" t="s">
        <v>21305</v>
      </c>
      <c r="O1020">
        <f>-773.775465964469 -59.9793398327693 -723.639121047414</f>
        <v>-1557.3939268446525</v>
      </c>
      <c r="P1020">
        <f>-751.694046373611 -35.8288067549825 -408.813267485983</f>
        <v>-1196.3361206145764</v>
      </c>
      <c r="Q1020">
        <f>-501.628477959665 -37.8894738108929 -337.364083406271</f>
        <v>-876.88203517682894</v>
      </c>
      <c r="R1020" t="s">
        <v>21306</v>
      </c>
      <c r="S1020" t="s">
        <v>21307</v>
      </c>
      <c r="T1020" t="s">
        <v>21308</v>
      </c>
      <c r="U1020" t="s">
        <v>21309</v>
      </c>
      <c r="V1020" t="s">
        <v>21310</v>
      </c>
      <c r="W1020" t="s">
        <v>21311</v>
      </c>
      <c r="X1020" t="s">
        <v>21312</v>
      </c>
      <c r="Y1020" t="s">
        <v>21313</v>
      </c>
    </row>
    <row r="1021" spans="1:25" x14ac:dyDescent="0.3">
      <c r="A1021">
        <v>51000</v>
      </c>
      <c r="B1021" t="s">
        <v>21314</v>
      </c>
      <c r="C1021" t="s">
        <v>21315</v>
      </c>
      <c r="D1021" t="s">
        <v>21316</v>
      </c>
      <c r="E1021" t="s">
        <v>21317</v>
      </c>
      <c r="F1021" t="s">
        <v>21318</v>
      </c>
      <c r="G1021" t="s">
        <v>21319</v>
      </c>
      <c r="H1021" t="s">
        <v>21320</v>
      </c>
      <c r="I1021" t="s">
        <v>21321</v>
      </c>
      <c r="J1021" t="s">
        <v>21322</v>
      </c>
      <c r="K1021" t="s">
        <v>21323</v>
      </c>
      <c r="L1021" t="s">
        <v>21324</v>
      </c>
      <c r="M1021" t="s">
        <v>21325</v>
      </c>
      <c r="N1021" t="s">
        <v>21326</v>
      </c>
      <c r="O1021">
        <f>-772.7354252454 -60.4585603360019 -723.503217775459</f>
        <v>-1556.6972033568609</v>
      </c>
      <c r="P1021">
        <f>-751.140160165827 -35.8420370617218 -408.679694394471</f>
        <v>-1195.6618916220198</v>
      </c>
      <c r="Q1021">
        <f>-501.171917465181 -37.5129767843569 -336.880098995313</f>
        <v>-875.56499324485094</v>
      </c>
      <c r="R1021" t="s">
        <v>21327</v>
      </c>
      <c r="S1021" t="s">
        <v>21328</v>
      </c>
      <c r="T1021" t="s">
        <v>21329</v>
      </c>
      <c r="U1021" t="s">
        <v>21330</v>
      </c>
      <c r="V1021" t="s">
        <v>21331</v>
      </c>
      <c r="W1021" t="s">
        <v>21332</v>
      </c>
      <c r="X1021" t="s">
        <v>21333</v>
      </c>
      <c r="Y1021" t="s">
        <v>21334</v>
      </c>
    </row>
    <row r="1022" spans="1:25" x14ac:dyDescent="0.3">
      <c r="A1022">
        <v>51050</v>
      </c>
      <c r="B1022" t="s">
        <v>21335</v>
      </c>
      <c r="C1022" t="s">
        <v>21336</v>
      </c>
      <c r="D1022" t="s">
        <v>21337</v>
      </c>
      <c r="E1022" t="s">
        <v>21338</v>
      </c>
      <c r="F1022" t="s">
        <v>21339</v>
      </c>
      <c r="G1022" t="s">
        <v>21340</v>
      </c>
      <c r="H1022" t="s">
        <v>21341</v>
      </c>
      <c r="I1022" t="s">
        <v>21342</v>
      </c>
      <c r="J1022" t="s">
        <v>21343</v>
      </c>
      <c r="K1022" t="s">
        <v>21344</v>
      </c>
      <c r="L1022" t="s">
        <v>21345</v>
      </c>
      <c r="M1022" t="s">
        <v>21346</v>
      </c>
      <c r="N1022" t="s">
        <v>21347</v>
      </c>
      <c r="O1022">
        <f>-770.746580761531 -61.2314067097909 -723.288346387971</f>
        <v>-1555.2663338592929</v>
      </c>
      <c r="P1022">
        <f>-749.960767640133 -35.35537696505 -408.511393479193</f>
        <v>-1193.8275380843761</v>
      </c>
      <c r="Q1022">
        <f>-500.218338732103 -36.5626309743025 -335.921416188002</f>
        <v>-872.70238589440748</v>
      </c>
      <c r="R1022" t="s">
        <v>21348</v>
      </c>
      <c r="S1022" t="s">
        <v>21349</v>
      </c>
      <c r="T1022" t="s">
        <v>21350</v>
      </c>
      <c r="U1022" t="s">
        <v>21351</v>
      </c>
      <c r="V1022" t="s">
        <v>21352</v>
      </c>
      <c r="W1022" t="s">
        <v>21353</v>
      </c>
      <c r="X1022" t="s">
        <v>21354</v>
      </c>
      <c r="Y1022" t="s">
        <v>21355</v>
      </c>
    </row>
    <row r="1023" spans="1:25" x14ac:dyDescent="0.3">
      <c r="A1023">
        <v>51100</v>
      </c>
      <c r="B1023" t="s">
        <v>21356</v>
      </c>
      <c r="C1023" t="s">
        <v>21357</v>
      </c>
      <c r="D1023" t="s">
        <v>21358</v>
      </c>
      <c r="E1023" t="s">
        <v>21359</v>
      </c>
      <c r="F1023" t="s">
        <v>21360</v>
      </c>
      <c r="G1023" t="s">
        <v>21361</v>
      </c>
      <c r="H1023" t="s">
        <v>21362</v>
      </c>
      <c r="I1023" t="s">
        <v>21363</v>
      </c>
      <c r="J1023" t="s">
        <v>21364</v>
      </c>
      <c r="K1023" t="s">
        <v>21365</v>
      </c>
      <c r="L1023" t="s">
        <v>21366</v>
      </c>
      <c r="M1023" t="s">
        <v>21367</v>
      </c>
      <c r="N1023" t="s">
        <v>21368</v>
      </c>
      <c r="O1023">
        <f>-769.856384777682 -61.6161647740016 -723.173705075561</f>
        <v>-1554.6462546272446</v>
      </c>
      <c r="P1023">
        <f>-749.455466216534 -35.2717924121757 -408.410253280532</f>
        <v>-1193.1375119092418</v>
      </c>
      <c r="Q1023">
        <f>-499.805180117856 -36.171347201745 -335.499566025194</f>
        <v>-871.476093344795</v>
      </c>
      <c r="R1023" t="s">
        <v>21369</v>
      </c>
      <c r="S1023" t="s">
        <v>21370</v>
      </c>
      <c r="T1023" t="s">
        <v>21371</v>
      </c>
      <c r="U1023" t="s">
        <v>21372</v>
      </c>
      <c r="V1023" t="s">
        <v>21373</v>
      </c>
      <c r="W1023" t="s">
        <v>21374</v>
      </c>
      <c r="X1023" t="s">
        <v>21375</v>
      </c>
      <c r="Y1023" t="s">
        <v>21376</v>
      </c>
    </row>
    <row r="1024" spans="1:25" x14ac:dyDescent="0.3">
      <c r="A1024">
        <v>51150</v>
      </c>
      <c r="B1024" t="s">
        <v>21377</v>
      </c>
      <c r="C1024" t="s">
        <v>21378</v>
      </c>
      <c r="D1024" t="s">
        <v>21379</v>
      </c>
      <c r="E1024" t="s">
        <v>21380</v>
      </c>
      <c r="F1024" t="s">
        <v>21381</v>
      </c>
      <c r="G1024" t="s">
        <v>21382</v>
      </c>
      <c r="H1024" t="s">
        <v>21383</v>
      </c>
      <c r="I1024" t="s">
        <v>21384</v>
      </c>
      <c r="J1024" t="s">
        <v>21385</v>
      </c>
      <c r="K1024" t="s">
        <v>21386</v>
      </c>
      <c r="L1024" t="s">
        <v>21387</v>
      </c>
      <c r="M1024" t="s">
        <v>21388</v>
      </c>
      <c r="N1024" t="s">
        <v>21389</v>
      </c>
      <c r="O1024">
        <f>-768.551270574543 -62.2369358447545 -722.921427407586</f>
        <v>-1553.7096338268834</v>
      </c>
      <c r="P1024">
        <f>-748.474415012107 -35.0934691291031 -408.205135493937</f>
        <v>-1191.7730196351472</v>
      </c>
      <c r="Q1024">
        <f>-498.90100891417 -35.2684590150081 -335.026111981021</f>
        <v>-869.19557991019917</v>
      </c>
      <c r="R1024" t="s">
        <v>21390</v>
      </c>
      <c r="S1024" t="s">
        <v>21391</v>
      </c>
      <c r="T1024" t="s">
        <v>21392</v>
      </c>
      <c r="U1024" t="s">
        <v>21393</v>
      </c>
      <c r="V1024" t="s">
        <v>21394</v>
      </c>
      <c r="W1024" t="s">
        <v>21395</v>
      </c>
      <c r="X1024" t="s">
        <v>21396</v>
      </c>
      <c r="Y1024" t="s">
        <v>21397</v>
      </c>
    </row>
    <row r="1025" spans="1:25" x14ac:dyDescent="0.3">
      <c r="A1025">
        <v>51200</v>
      </c>
      <c r="B1025" t="s">
        <v>21377</v>
      </c>
      <c r="C1025" t="s">
        <v>21378</v>
      </c>
      <c r="D1025" t="s">
        <v>21379</v>
      </c>
      <c r="E1025" t="s">
        <v>21380</v>
      </c>
      <c r="F1025" t="s">
        <v>21381</v>
      </c>
      <c r="G1025" t="s">
        <v>21382</v>
      </c>
      <c r="H1025" t="s">
        <v>21383</v>
      </c>
      <c r="I1025" t="s">
        <v>21384</v>
      </c>
      <c r="J1025" t="s">
        <v>21385</v>
      </c>
      <c r="K1025" t="s">
        <v>21386</v>
      </c>
      <c r="L1025" t="s">
        <v>21387</v>
      </c>
      <c r="M1025" t="s">
        <v>21388</v>
      </c>
      <c r="N1025" t="s">
        <v>21389</v>
      </c>
      <c r="O1025">
        <f>-768.551270574543 -62.2369358447545 -722.921427407586</f>
        <v>-1553.7096338268834</v>
      </c>
      <c r="P1025">
        <f>-748.474415012107 -35.0934691291031 -408.205135493937</f>
        <v>-1191.7730196351472</v>
      </c>
      <c r="Q1025">
        <f>-498.90100891417 -35.2684590150081 -335.026111981021</f>
        <v>-869.19557991019917</v>
      </c>
      <c r="R1025" t="s">
        <v>21390</v>
      </c>
      <c r="S1025" t="s">
        <v>21391</v>
      </c>
      <c r="T1025" t="s">
        <v>21392</v>
      </c>
      <c r="U1025" t="s">
        <v>21393</v>
      </c>
      <c r="V1025" t="s">
        <v>21394</v>
      </c>
      <c r="W1025" t="s">
        <v>21395</v>
      </c>
      <c r="X1025" t="s">
        <v>21396</v>
      </c>
      <c r="Y1025" t="s">
        <v>21397</v>
      </c>
    </row>
    <row r="1026" spans="1:25" x14ac:dyDescent="0.3">
      <c r="A1026">
        <v>51250</v>
      </c>
      <c r="B1026" t="s">
        <v>21398</v>
      </c>
      <c r="C1026" t="s">
        <v>21399</v>
      </c>
      <c r="D1026" t="s">
        <v>21400</v>
      </c>
      <c r="E1026" t="s">
        <v>21401</v>
      </c>
      <c r="F1026" t="s">
        <v>21402</v>
      </c>
      <c r="G1026" t="s">
        <v>21403</v>
      </c>
      <c r="H1026" t="s">
        <v>21404</v>
      </c>
      <c r="I1026" t="s">
        <v>21405</v>
      </c>
      <c r="J1026" t="s">
        <v>21406</v>
      </c>
      <c r="K1026" t="s">
        <v>21407</v>
      </c>
      <c r="L1026" t="s">
        <v>21408</v>
      </c>
      <c r="M1026" t="s">
        <v>21409</v>
      </c>
      <c r="N1026" t="s">
        <v>21410</v>
      </c>
      <c r="O1026">
        <f>-767.9383894741 -62.6002433540514 -722.794198608707</f>
        <v>-1553.3328314368582</v>
      </c>
      <c r="P1026">
        <f>-747.777872952243 -35.2713445636825 -408.099407655654</f>
        <v>-1191.1486251715796</v>
      </c>
      <c r="Q1026">
        <f>-498.173797852473 -35.0836997390095 -335.025487629799</f>
        <v>-868.28298522128148</v>
      </c>
      <c r="R1026" t="s">
        <v>21411</v>
      </c>
      <c r="S1026" t="s">
        <v>21412</v>
      </c>
      <c r="T1026" t="s">
        <v>21413</v>
      </c>
      <c r="U1026" t="s">
        <v>21414</v>
      </c>
      <c r="V1026" t="s">
        <v>21415</v>
      </c>
      <c r="W1026" t="s">
        <v>21416</v>
      </c>
      <c r="X1026" t="s">
        <v>21417</v>
      </c>
      <c r="Y1026" t="s">
        <v>21418</v>
      </c>
    </row>
    <row r="1027" spans="1:25" x14ac:dyDescent="0.3">
      <c r="A1027">
        <v>51300</v>
      </c>
      <c r="B1027" t="s">
        <v>21419</v>
      </c>
      <c r="C1027" t="s">
        <v>21420</v>
      </c>
      <c r="D1027" t="s">
        <v>21421</v>
      </c>
      <c r="E1027" t="s">
        <v>21422</v>
      </c>
      <c r="F1027" t="s">
        <v>21423</v>
      </c>
      <c r="G1027" t="s">
        <v>21424</v>
      </c>
      <c r="H1027" t="s">
        <v>21425</v>
      </c>
      <c r="I1027" t="s">
        <v>21426</v>
      </c>
      <c r="J1027" t="s">
        <v>21427</v>
      </c>
      <c r="K1027" t="s">
        <v>21428</v>
      </c>
      <c r="L1027" t="s">
        <v>21429</v>
      </c>
      <c r="M1027" t="s">
        <v>21430</v>
      </c>
      <c r="N1027" t="s">
        <v>21431</v>
      </c>
      <c r="O1027">
        <f>-766.240346467977 -63.6677907971123 -722.300870456895</f>
        <v>-1552.2090077219843</v>
      </c>
      <c r="P1027">
        <f>-745.208019001544 -35.4066231282875 -407.745317015066</f>
        <v>-1188.3599591448974</v>
      </c>
      <c r="Q1027">
        <f>-495.400862029655 -34.2720507583451 -335.377149391389</f>
        <v>-865.0500621793891</v>
      </c>
      <c r="R1027" t="s">
        <v>21432</v>
      </c>
      <c r="S1027" t="s">
        <v>21433</v>
      </c>
      <c r="T1027" t="s">
        <v>21434</v>
      </c>
      <c r="U1027" t="s">
        <v>21435</v>
      </c>
      <c r="V1027" t="s">
        <v>21436</v>
      </c>
      <c r="W1027" t="s">
        <v>21437</v>
      </c>
      <c r="X1027" t="s">
        <v>21438</v>
      </c>
      <c r="Y1027" t="s">
        <v>21439</v>
      </c>
    </row>
    <row r="1028" spans="1:25" x14ac:dyDescent="0.3">
      <c r="A1028">
        <v>51350</v>
      </c>
      <c r="B1028" t="s">
        <v>21440</v>
      </c>
      <c r="C1028" t="s">
        <v>21441</v>
      </c>
      <c r="D1028" t="s">
        <v>21442</v>
      </c>
      <c r="E1028" t="s">
        <v>21443</v>
      </c>
      <c r="F1028" t="s">
        <v>21444</v>
      </c>
      <c r="G1028" t="s">
        <v>21445</v>
      </c>
      <c r="H1028" t="s">
        <v>21446</v>
      </c>
      <c r="I1028" t="s">
        <v>21447</v>
      </c>
      <c r="J1028" t="s">
        <v>21448</v>
      </c>
      <c r="K1028" t="s">
        <v>21449</v>
      </c>
      <c r="L1028" t="s">
        <v>21450</v>
      </c>
      <c r="M1028" t="s">
        <v>21451</v>
      </c>
      <c r="N1028" t="s">
        <v>21452</v>
      </c>
      <c r="O1028">
        <f>-764.812572778377 -64.4219254089935 -722.04815694324</f>
        <v>-1551.2826551306105</v>
      </c>
      <c r="P1028">
        <f>-743.380622753614 -36.0914382812534 -407.525853631923</f>
        <v>-1186.9979146667904</v>
      </c>
      <c r="Q1028">
        <f>-493.41094129233 -34.210778575329 -335.736647659643</f>
        <v>-863.35836752730188</v>
      </c>
      <c r="R1028" t="s">
        <v>21453</v>
      </c>
      <c r="S1028" t="s">
        <v>21454</v>
      </c>
      <c r="T1028" t="s">
        <v>21455</v>
      </c>
      <c r="U1028" t="s">
        <v>21456</v>
      </c>
      <c r="V1028" t="s">
        <v>21457</v>
      </c>
      <c r="W1028" t="s">
        <v>21458</v>
      </c>
      <c r="X1028" t="s">
        <v>21459</v>
      </c>
      <c r="Y1028" t="s">
        <v>21460</v>
      </c>
    </row>
    <row r="1029" spans="1:25" x14ac:dyDescent="0.3">
      <c r="A1029">
        <v>51400</v>
      </c>
      <c r="B1029" t="s">
        <v>21461</v>
      </c>
      <c r="C1029" t="s">
        <v>21462</v>
      </c>
      <c r="D1029" t="s">
        <v>21463</v>
      </c>
      <c r="E1029" t="s">
        <v>21464</v>
      </c>
      <c r="F1029" t="s">
        <v>21465</v>
      </c>
      <c r="G1029" t="s">
        <v>21466</v>
      </c>
      <c r="H1029" t="s">
        <v>21467</v>
      </c>
      <c r="I1029" t="s">
        <v>21468</v>
      </c>
      <c r="J1029" t="s">
        <v>21469</v>
      </c>
      <c r="K1029" t="s">
        <v>21470</v>
      </c>
      <c r="L1029" t="s">
        <v>21471</v>
      </c>
      <c r="M1029" t="s">
        <v>21472</v>
      </c>
      <c r="N1029" t="s">
        <v>21473</v>
      </c>
      <c r="O1029">
        <f>-763.958923312743 -64.7958357071786 -721.956328748792</f>
        <v>-1550.7110877687137</v>
      </c>
      <c r="P1029">
        <f>-742.389535197997 -36.1948034970358 -407.467913800561</f>
        <v>-1186.0522524955938</v>
      </c>
      <c r="Q1029">
        <f>-492.354209995001 -34.1287208432343 -335.912907303334</f>
        <v>-862.39583814156924</v>
      </c>
      <c r="R1029" t="s">
        <v>21474</v>
      </c>
      <c r="S1029" t="s">
        <v>21475</v>
      </c>
      <c r="T1029" t="s">
        <v>21476</v>
      </c>
      <c r="U1029" t="s">
        <v>21477</v>
      </c>
      <c r="V1029" t="s">
        <v>21478</v>
      </c>
      <c r="W1029" t="s">
        <v>21479</v>
      </c>
      <c r="X1029" t="s">
        <v>21480</v>
      </c>
      <c r="Y1029" t="s">
        <v>21481</v>
      </c>
    </row>
    <row r="1030" spans="1:25" x14ac:dyDescent="0.3">
      <c r="A1030">
        <v>51450</v>
      </c>
      <c r="B1030" t="s">
        <v>21482</v>
      </c>
      <c r="C1030" t="s">
        <v>21483</v>
      </c>
      <c r="D1030" t="s">
        <v>21484</v>
      </c>
      <c r="E1030" t="s">
        <v>21485</v>
      </c>
      <c r="F1030" t="s">
        <v>21486</v>
      </c>
      <c r="G1030" t="s">
        <v>21487</v>
      </c>
      <c r="H1030" t="s">
        <v>21488</v>
      </c>
      <c r="I1030" t="s">
        <v>21489</v>
      </c>
      <c r="J1030" t="s">
        <v>21490</v>
      </c>
      <c r="K1030" t="s">
        <v>21491</v>
      </c>
      <c r="L1030" t="s">
        <v>21492</v>
      </c>
      <c r="M1030" t="s">
        <v>21493</v>
      </c>
      <c r="N1030" t="s">
        <v>21494</v>
      </c>
      <c r="O1030">
        <f>-763.052357697438 -65.4847390828656 -721.765557856722</f>
        <v>-1550.3026546370256</v>
      </c>
      <c r="P1030">
        <f>-741.056016890141 -36.4549567912393 -407.346147102936</f>
        <v>-1184.8571207843163</v>
      </c>
      <c r="Q1030">
        <f>-491.005563216356 -33.7728880287798 -335.864498500015</f>
        <v>-860.64294974515076</v>
      </c>
      <c r="R1030" t="s">
        <v>21495</v>
      </c>
      <c r="S1030" t="s">
        <v>21496</v>
      </c>
      <c r="T1030" t="s">
        <v>21497</v>
      </c>
      <c r="U1030" t="s">
        <v>21498</v>
      </c>
      <c r="V1030" t="s">
        <v>21499</v>
      </c>
      <c r="W1030" t="s">
        <v>21500</v>
      </c>
      <c r="X1030" t="s">
        <v>21501</v>
      </c>
      <c r="Y1030" t="s">
        <v>21502</v>
      </c>
    </row>
    <row r="1031" spans="1:25" x14ac:dyDescent="0.3">
      <c r="A1031">
        <v>51500</v>
      </c>
      <c r="B1031" t="s">
        <v>21503</v>
      </c>
      <c r="C1031" t="s">
        <v>21504</v>
      </c>
      <c r="D1031" t="s">
        <v>21505</v>
      </c>
      <c r="E1031" t="s">
        <v>21506</v>
      </c>
      <c r="F1031" t="s">
        <v>21507</v>
      </c>
      <c r="G1031" t="s">
        <v>21508</v>
      </c>
      <c r="H1031" t="s">
        <v>21509</v>
      </c>
      <c r="I1031" t="s">
        <v>21510</v>
      </c>
      <c r="J1031" t="s">
        <v>21511</v>
      </c>
      <c r="K1031" t="s">
        <v>21512</v>
      </c>
      <c r="L1031" t="s">
        <v>21513</v>
      </c>
      <c r="M1031" t="s">
        <v>21514</v>
      </c>
      <c r="N1031" t="s">
        <v>21515</v>
      </c>
      <c r="O1031">
        <f>-762.88461566291 -65.7967644128792 -721.538011170784</f>
        <v>-1550.2193912465732</v>
      </c>
      <c r="P1031">
        <f>-740.776780673567 -36.5144102667853 -407.149677295584</f>
        <v>-1184.4408682359363</v>
      </c>
      <c r="Q1031">
        <f>-490.678746932261 -33.3843069324566 -335.852904204582</f>
        <v>-859.91595806929968</v>
      </c>
      <c r="R1031" t="s">
        <v>21516</v>
      </c>
      <c r="S1031" t="s">
        <v>21517</v>
      </c>
      <c r="T1031" t="s">
        <v>21518</v>
      </c>
      <c r="U1031" t="s">
        <v>21519</v>
      </c>
      <c r="V1031" t="s">
        <v>21520</v>
      </c>
      <c r="W1031" t="s">
        <v>21521</v>
      </c>
      <c r="X1031" t="s">
        <v>21522</v>
      </c>
      <c r="Y1031" t="s">
        <v>21523</v>
      </c>
    </row>
    <row r="1032" spans="1:25" x14ac:dyDescent="0.3">
      <c r="A1032">
        <v>51550</v>
      </c>
      <c r="B1032" t="s">
        <v>21524</v>
      </c>
      <c r="C1032" t="s">
        <v>21525</v>
      </c>
      <c r="D1032" t="s">
        <v>21526</v>
      </c>
      <c r="E1032" t="s">
        <v>21527</v>
      </c>
      <c r="F1032" t="s">
        <v>21528</v>
      </c>
      <c r="G1032" t="s">
        <v>21529</v>
      </c>
      <c r="H1032" t="s">
        <v>21530</v>
      </c>
      <c r="I1032" t="s">
        <v>21531</v>
      </c>
      <c r="J1032" t="s">
        <v>21532</v>
      </c>
      <c r="K1032" t="s">
        <v>21533</v>
      </c>
      <c r="L1032" t="s">
        <v>21534</v>
      </c>
      <c r="M1032" t="s">
        <v>21535</v>
      </c>
      <c r="N1032" t="s">
        <v>21536</v>
      </c>
      <c r="O1032">
        <f>-762.965409891211 -66.503943450922 -721.029321765142</f>
        <v>-1550.4986751072749</v>
      </c>
      <c r="P1032">
        <f>-740.026546312408 -36.4681345134009 -406.771747132745</f>
        <v>-1183.2664279585538</v>
      </c>
      <c r="Q1032">
        <f>-489.660281004454 -32.5358307165866 -336.46305229825</f>
        <v>-858.65916401929064</v>
      </c>
      <c r="R1032" t="s">
        <v>21537</v>
      </c>
      <c r="S1032" t="s">
        <v>21538</v>
      </c>
      <c r="T1032" t="s">
        <v>21539</v>
      </c>
      <c r="U1032" t="s">
        <v>21540</v>
      </c>
      <c r="V1032" t="s">
        <v>21541</v>
      </c>
      <c r="W1032" t="s">
        <v>21542</v>
      </c>
      <c r="X1032" t="s">
        <v>21543</v>
      </c>
      <c r="Y1032" t="s">
        <v>21544</v>
      </c>
    </row>
    <row r="1033" spans="1:25" x14ac:dyDescent="0.3">
      <c r="A1033">
        <v>51600</v>
      </c>
      <c r="B1033" t="s">
        <v>21545</v>
      </c>
      <c r="C1033" t="s">
        <v>21546</v>
      </c>
      <c r="D1033" t="s">
        <v>21547</v>
      </c>
      <c r="E1033" t="s">
        <v>21548</v>
      </c>
      <c r="F1033" t="s">
        <v>21549</v>
      </c>
      <c r="G1033" t="s">
        <v>21550</v>
      </c>
      <c r="H1033" t="s">
        <v>21551</v>
      </c>
      <c r="I1033" t="s">
        <v>21552</v>
      </c>
      <c r="J1033" t="s">
        <v>21553</v>
      </c>
      <c r="K1033" t="s">
        <v>21554</v>
      </c>
      <c r="L1033" t="s">
        <v>21555</v>
      </c>
      <c r="M1033" t="s">
        <v>21556</v>
      </c>
      <c r="N1033" t="s">
        <v>21557</v>
      </c>
      <c r="O1033">
        <f>-762.966689805642 -66.9205288338642 -720.605279688192</f>
        <v>-1550.4924983276983</v>
      </c>
      <c r="P1033">
        <f>-739.487032751077 -36.9520103067489 -406.381209107033</f>
        <v>-1182.8202521648589</v>
      </c>
      <c r="Q1033">
        <f>-488.897340367183 -32.9364055880742 -336.877754272334</f>
        <v>-858.71150022759116</v>
      </c>
      <c r="R1033" t="s">
        <v>21558</v>
      </c>
      <c r="S1033" t="s">
        <v>21559</v>
      </c>
      <c r="T1033" t="s">
        <v>21560</v>
      </c>
      <c r="U1033" t="s">
        <v>21561</v>
      </c>
      <c r="V1033" t="s">
        <v>21562</v>
      </c>
      <c r="W1033" t="s">
        <v>21563</v>
      </c>
      <c r="X1033" t="s">
        <v>21564</v>
      </c>
      <c r="Y1033" t="s">
        <v>21565</v>
      </c>
    </row>
    <row r="1034" spans="1:25" x14ac:dyDescent="0.3">
      <c r="A1034">
        <v>51650</v>
      </c>
      <c r="B1034" t="s">
        <v>21566</v>
      </c>
      <c r="C1034" t="s">
        <v>21567</v>
      </c>
      <c r="D1034" t="s">
        <v>21568</v>
      </c>
      <c r="E1034" t="s">
        <v>21569</v>
      </c>
      <c r="F1034" t="s">
        <v>21570</v>
      </c>
      <c r="G1034" t="s">
        <v>21571</v>
      </c>
      <c r="H1034" t="s">
        <v>21572</v>
      </c>
      <c r="I1034" t="s">
        <v>21573</v>
      </c>
      <c r="J1034" t="s">
        <v>21574</v>
      </c>
      <c r="K1034" t="s">
        <v>21575</v>
      </c>
      <c r="L1034" t="s">
        <v>21576</v>
      </c>
      <c r="M1034" t="s">
        <v>21577</v>
      </c>
      <c r="N1034" t="s">
        <v>21578</v>
      </c>
      <c r="O1034">
        <f>-763.303288966738 -67.994138059596 -719.63946518849</f>
        <v>-1550.9368922148242</v>
      </c>
      <c r="P1034">
        <f>-738.571174876159 -37.2315791184672 -405.588383700697</f>
        <v>-1181.3911376953233</v>
      </c>
      <c r="Q1034">
        <f>-487.481215265966 -32.6694468846129 -337.949079675101</f>
        <v>-858.09974182567998</v>
      </c>
      <c r="R1034" t="s">
        <v>21579</v>
      </c>
      <c r="S1034" t="s">
        <v>21580</v>
      </c>
      <c r="T1034" t="s">
        <v>21581</v>
      </c>
      <c r="U1034" t="s">
        <v>21582</v>
      </c>
      <c r="V1034" t="s">
        <v>21583</v>
      </c>
      <c r="W1034" t="s">
        <v>21584</v>
      </c>
      <c r="X1034" t="s">
        <v>21585</v>
      </c>
      <c r="Y1034" t="s">
        <v>21586</v>
      </c>
    </row>
    <row r="1035" spans="1:25" x14ac:dyDescent="0.3">
      <c r="A1035">
        <v>51700</v>
      </c>
      <c r="B1035" t="s">
        <v>21587</v>
      </c>
      <c r="C1035" t="s">
        <v>21588</v>
      </c>
      <c r="D1035" t="s">
        <v>21589</v>
      </c>
      <c r="E1035" t="s">
        <v>21590</v>
      </c>
      <c r="F1035" t="s">
        <v>21591</v>
      </c>
      <c r="G1035" t="s">
        <v>21592</v>
      </c>
      <c r="H1035" t="s">
        <v>21593</v>
      </c>
      <c r="I1035" t="s">
        <v>21594</v>
      </c>
      <c r="J1035" t="s">
        <v>21595</v>
      </c>
      <c r="K1035" t="s">
        <v>21596</v>
      </c>
      <c r="L1035" t="s">
        <v>21597</v>
      </c>
      <c r="M1035" t="s">
        <v>21598</v>
      </c>
      <c r="N1035" t="s">
        <v>21599</v>
      </c>
      <c r="O1035">
        <f>-763.292837974939 -68.5516097613649 -718.999554093752</f>
        <v>-1550.8440018300557</v>
      </c>
      <c r="P1035">
        <f>-738.006329887403 -37.2066371918854 -405.050117413428</f>
        <v>-1180.2630844927164</v>
      </c>
      <c r="Q1035">
        <f>-486.647006949483 -32.4709976038739 -338.430867513632</f>
        <v>-857.54887206698891</v>
      </c>
      <c r="R1035" t="s">
        <v>21600</v>
      </c>
      <c r="S1035" t="s">
        <v>21601</v>
      </c>
      <c r="T1035" t="s">
        <v>21602</v>
      </c>
      <c r="U1035" t="s">
        <v>21603</v>
      </c>
      <c r="V1035" t="s">
        <v>21604</v>
      </c>
      <c r="W1035" t="s">
        <v>21605</v>
      </c>
      <c r="X1035" t="s">
        <v>21606</v>
      </c>
      <c r="Y1035" t="s">
        <v>21607</v>
      </c>
    </row>
    <row r="1036" spans="1:25" x14ac:dyDescent="0.3">
      <c r="A1036">
        <v>51750</v>
      </c>
      <c r="B1036" t="s">
        <v>21608</v>
      </c>
      <c r="C1036" t="s">
        <v>21609</v>
      </c>
      <c r="D1036" t="s">
        <v>21610</v>
      </c>
      <c r="E1036" t="s">
        <v>21611</v>
      </c>
      <c r="F1036" t="s">
        <v>21612</v>
      </c>
      <c r="G1036" t="s">
        <v>21613</v>
      </c>
      <c r="H1036" t="s">
        <v>21614</v>
      </c>
      <c r="I1036" t="s">
        <v>21615</v>
      </c>
      <c r="J1036" t="s">
        <v>21616</v>
      </c>
      <c r="K1036" t="s">
        <v>21617</v>
      </c>
      <c r="L1036" t="s">
        <v>21618</v>
      </c>
      <c r="M1036" t="s">
        <v>21619</v>
      </c>
      <c r="N1036" t="s">
        <v>21620</v>
      </c>
      <c r="O1036">
        <f>-763.639199223952 -69.8392311294031 -717.313292013016</f>
        <v>-1550.7917223663712</v>
      </c>
      <c r="P1036">
        <f>-737.20378917478 -37.1001466945272 -403.600901646029</f>
        <v>-1177.9048375153361</v>
      </c>
      <c r="Q1036">
        <f>-485.313739855001 -32.2431953543894 -339.02647812102</f>
        <v>-856.58341333041039</v>
      </c>
      <c r="R1036" t="s">
        <v>21621</v>
      </c>
      <c r="S1036" t="s">
        <v>21622</v>
      </c>
      <c r="T1036" t="s">
        <v>21623</v>
      </c>
      <c r="U1036" t="s">
        <v>21624</v>
      </c>
      <c r="V1036" t="s">
        <v>21625</v>
      </c>
      <c r="W1036" t="s">
        <v>21626</v>
      </c>
      <c r="X1036" t="s">
        <v>21627</v>
      </c>
      <c r="Y1036" t="s">
        <v>21628</v>
      </c>
    </row>
    <row r="1037" spans="1:25" x14ac:dyDescent="0.3">
      <c r="A1037">
        <v>51800</v>
      </c>
      <c r="B1037" t="s">
        <v>21629</v>
      </c>
      <c r="C1037" t="s">
        <v>21630</v>
      </c>
      <c r="D1037" t="s">
        <v>21631</v>
      </c>
      <c r="E1037" t="s">
        <v>21632</v>
      </c>
      <c r="F1037" t="s">
        <v>21633</v>
      </c>
      <c r="G1037" t="s">
        <v>21634</v>
      </c>
      <c r="H1037" t="s">
        <v>21635</v>
      </c>
      <c r="I1037" t="s">
        <v>21636</v>
      </c>
      <c r="J1037" t="s">
        <v>21637</v>
      </c>
      <c r="K1037" t="s">
        <v>21638</v>
      </c>
      <c r="L1037" t="s">
        <v>21639</v>
      </c>
      <c r="M1037" t="s">
        <v>21640</v>
      </c>
      <c r="N1037" t="s">
        <v>21641</v>
      </c>
      <c r="O1037">
        <f>-763.793465242079 -70.4814394903904 -716.366701574122</f>
        <v>-1550.6416063065913</v>
      </c>
      <c r="P1037">
        <f>-736.458576419342 -36.8527507785366 -402.825485427479</f>
        <v>-1176.1368126253576</v>
      </c>
      <c r="Q1037">
        <f>-484.298420489069 -32.1750812875475 -339.300527978089</f>
        <v>-855.77402975470545</v>
      </c>
      <c r="R1037" t="s">
        <v>21642</v>
      </c>
      <c r="S1037" t="s">
        <v>21643</v>
      </c>
      <c r="T1037" t="s">
        <v>21644</v>
      </c>
      <c r="U1037" t="s">
        <v>21645</v>
      </c>
      <c r="V1037" t="s">
        <v>21646</v>
      </c>
      <c r="W1037" t="s">
        <v>21647</v>
      </c>
      <c r="X1037" t="s">
        <v>21648</v>
      </c>
      <c r="Y1037" t="s">
        <v>21649</v>
      </c>
    </row>
    <row r="1038" spans="1:25" x14ac:dyDescent="0.3">
      <c r="A1038">
        <v>51850</v>
      </c>
      <c r="B1038" t="s">
        <v>21650</v>
      </c>
      <c r="C1038" t="s">
        <v>21651</v>
      </c>
      <c r="D1038" t="s">
        <v>21652</v>
      </c>
      <c r="E1038" t="s">
        <v>21653</v>
      </c>
      <c r="F1038" t="s">
        <v>21654</v>
      </c>
      <c r="G1038" t="s">
        <v>21655</v>
      </c>
      <c r="H1038" t="s">
        <v>21656</v>
      </c>
      <c r="I1038" t="s">
        <v>21657</v>
      </c>
      <c r="J1038" t="s">
        <v>21658</v>
      </c>
      <c r="K1038" t="s">
        <v>21659</v>
      </c>
      <c r="L1038" t="s">
        <v>21660</v>
      </c>
      <c r="M1038" t="s">
        <v>21661</v>
      </c>
      <c r="N1038" t="s">
        <v>21662</v>
      </c>
      <c r="O1038">
        <f>-764.166858908623 -71.198438210808 -714.424748702904</f>
        <v>-1549.7900458223351</v>
      </c>
      <c r="P1038">
        <f>-734.89757244574 -35.4949915318739 -401.287800716706</f>
        <v>-1171.6803646943199</v>
      </c>
      <c r="Q1038">
        <f>-482.361258003752 -31.0146696631421 -339.260313452389</f>
        <v>-852.63624111928311</v>
      </c>
      <c r="R1038" t="s">
        <v>21663</v>
      </c>
      <c r="S1038" t="s">
        <v>21664</v>
      </c>
      <c r="T1038" t="s">
        <v>21665</v>
      </c>
      <c r="U1038" t="s">
        <v>21666</v>
      </c>
      <c r="V1038" t="s">
        <v>21667</v>
      </c>
      <c r="W1038" t="s">
        <v>21668</v>
      </c>
      <c r="X1038" t="s">
        <v>21669</v>
      </c>
      <c r="Y1038" t="s">
        <v>21670</v>
      </c>
    </row>
    <row r="1039" spans="1:25" x14ac:dyDescent="0.3">
      <c r="A1039">
        <v>51900</v>
      </c>
      <c r="B1039" t="s">
        <v>21671</v>
      </c>
      <c r="C1039" t="s">
        <v>21672</v>
      </c>
      <c r="D1039" t="s">
        <v>21673</v>
      </c>
      <c r="E1039" t="s">
        <v>21674</v>
      </c>
      <c r="F1039" t="s">
        <v>21675</v>
      </c>
      <c r="G1039" t="s">
        <v>21676</v>
      </c>
      <c r="H1039" t="s">
        <v>21677</v>
      </c>
      <c r="I1039" t="s">
        <v>21678</v>
      </c>
      <c r="J1039" t="s">
        <v>21679</v>
      </c>
      <c r="K1039" t="s">
        <v>21680</v>
      </c>
      <c r="L1039" t="s">
        <v>21681</v>
      </c>
      <c r="M1039" t="s">
        <v>21682</v>
      </c>
      <c r="N1039" t="s">
        <v>21683</v>
      </c>
      <c r="O1039">
        <f>-763.984742774515 -71.5014243679177 -713.626361488269</f>
        <v>-1549.1125286307017</v>
      </c>
      <c r="P1039">
        <f>-734.160775789839 -35.0449082079883 -400.628589863671</f>
        <v>-1169.8342738614983</v>
      </c>
      <c r="Q1039">
        <f>-481.454204942339 -30.4818730057577 -339.304648332952</f>
        <v>-851.24072628104864</v>
      </c>
      <c r="R1039" t="s">
        <v>21684</v>
      </c>
      <c r="S1039" t="s">
        <v>21685</v>
      </c>
      <c r="T1039" t="s">
        <v>21686</v>
      </c>
      <c r="U1039" t="s">
        <v>21687</v>
      </c>
      <c r="V1039" t="s">
        <v>21688</v>
      </c>
      <c r="W1039" t="s">
        <v>21689</v>
      </c>
      <c r="X1039" t="s">
        <v>21690</v>
      </c>
      <c r="Y1039" t="s">
        <v>21691</v>
      </c>
    </row>
    <row r="1040" spans="1:25" x14ac:dyDescent="0.3">
      <c r="A1040">
        <v>51950</v>
      </c>
      <c r="B1040" t="s">
        <v>21692</v>
      </c>
      <c r="C1040" t="s">
        <v>21693</v>
      </c>
      <c r="D1040" t="s">
        <v>21694</v>
      </c>
      <c r="E1040" t="s">
        <v>21695</v>
      </c>
      <c r="F1040" t="s">
        <v>21696</v>
      </c>
      <c r="G1040" t="s">
        <v>21697</v>
      </c>
      <c r="H1040" t="s">
        <v>21698</v>
      </c>
      <c r="I1040" t="s">
        <v>21699</v>
      </c>
      <c r="J1040" t="s">
        <v>21700</v>
      </c>
      <c r="K1040" t="s">
        <v>21701</v>
      </c>
      <c r="L1040" t="s">
        <v>21702</v>
      </c>
      <c r="M1040" t="s">
        <v>21703</v>
      </c>
      <c r="N1040" t="s">
        <v>21704</v>
      </c>
      <c r="O1040">
        <f>-763.179631883041 -72.0438500457074 -712.394637886274</f>
        <v>-1547.6181198150225</v>
      </c>
      <c r="P1040">
        <f>-732.629762244454 -34.2812344544516 -399.621748418259</f>
        <v>-1166.5327451171647</v>
      </c>
      <c r="Q1040">
        <f>-479.791133707924 -29.5455507312547 -338.857673068614</f>
        <v>-848.1943575077928</v>
      </c>
      <c r="R1040" t="s">
        <v>21705</v>
      </c>
      <c r="S1040" t="s">
        <v>21706</v>
      </c>
      <c r="T1040" t="s">
        <v>21707</v>
      </c>
      <c r="U1040" t="s">
        <v>21708</v>
      </c>
      <c r="V1040" t="s">
        <v>21709</v>
      </c>
      <c r="W1040" t="s">
        <v>21710</v>
      </c>
      <c r="X1040" t="s">
        <v>21711</v>
      </c>
      <c r="Y1040" t="s">
        <v>21712</v>
      </c>
    </row>
    <row r="1041" spans="1:25" x14ac:dyDescent="0.3">
      <c r="A1041">
        <v>52000</v>
      </c>
      <c r="B1041" t="s">
        <v>21713</v>
      </c>
      <c r="C1041" t="s">
        <v>21714</v>
      </c>
      <c r="D1041" t="s">
        <v>21715</v>
      </c>
      <c r="E1041" t="s">
        <v>21716</v>
      </c>
      <c r="F1041" t="s">
        <v>21717</v>
      </c>
      <c r="G1041" t="s">
        <v>21718</v>
      </c>
      <c r="H1041" t="s">
        <v>21719</v>
      </c>
      <c r="I1041" t="s">
        <v>21720</v>
      </c>
      <c r="J1041" t="s">
        <v>21721</v>
      </c>
      <c r="K1041" t="s">
        <v>21722</v>
      </c>
      <c r="L1041" t="s">
        <v>21723</v>
      </c>
      <c r="M1041" t="s">
        <v>21724</v>
      </c>
      <c r="N1041" t="s">
        <v>21725</v>
      </c>
      <c r="O1041">
        <f>-762.649572084678 -72.244865455126 -711.97744149342</f>
        <v>-1546.8718790332241</v>
      </c>
      <c r="P1041">
        <f>-731.494813318851 -33.4387384485049 -399.392037642837</f>
        <v>-1164.3255894101928</v>
      </c>
      <c r="Q1041">
        <f>-478.684746561395 -29.1613961812834 -338.475511177273</f>
        <v>-846.32165391995136</v>
      </c>
      <c r="R1041" t="s">
        <v>21726</v>
      </c>
      <c r="S1041" t="s">
        <v>21727</v>
      </c>
      <c r="T1041" t="s">
        <v>21728</v>
      </c>
      <c r="U1041" t="s">
        <v>21729</v>
      </c>
      <c r="V1041" t="s">
        <v>21730</v>
      </c>
      <c r="W1041" t="s">
        <v>21731</v>
      </c>
      <c r="X1041" t="s">
        <v>21732</v>
      </c>
      <c r="Y1041" t="s">
        <v>21733</v>
      </c>
    </row>
    <row r="1042" spans="1:25" x14ac:dyDescent="0.3">
      <c r="A1042">
        <v>52050</v>
      </c>
      <c r="B1042" t="s">
        <v>21734</v>
      </c>
      <c r="C1042" t="s">
        <v>21735</v>
      </c>
      <c r="D1042" t="s">
        <v>21736</v>
      </c>
      <c r="E1042" t="s">
        <v>21737</v>
      </c>
      <c r="F1042" t="s">
        <v>21738</v>
      </c>
      <c r="G1042" t="s">
        <v>21739</v>
      </c>
      <c r="H1042" t="s">
        <v>21740</v>
      </c>
      <c r="I1042" t="s">
        <v>21741</v>
      </c>
      <c r="J1042" t="s">
        <v>21742</v>
      </c>
      <c r="K1042" t="s">
        <v>21743</v>
      </c>
      <c r="L1042" t="s">
        <v>21744</v>
      </c>
      <c r="M1042" t="s">
        <v>21745</v>
      </c>
      <c r="N1042" t="s">
        <v>21746</v>
      </c>
      <c r="O1042">
        <f>-761.194137475574 -72.7495541593828 -711.350823192198</f>
        <v>-1545.2945148271549</v>
      </c>
      <c r="P1042">
        <f>-729.763977677044 -33.2452964540914 -398.880422424751</f>
        <v>-1161.8896965558863</v>
      </c>
      <c r="Q1042">
        <f>-476.720248859172 -28.8137322280732 -338.952786135865</f>
        <v>-844.48676722311018</v>
      </c>
      <c r="R1042" t="s">
        <v>21747</v>
      </c>
      <c r="S1042" t="s">
        <v>21748</v>
      </c>
      <c r="T1042" t="s">
        <v>21749</v>
      </c>
      <c r="U1042" t="s">
        <v>21750</v>
      </c>
      <c r="V1042" t="s">
        <v>21751</v>
      </c>
      <c r="W1042" t="s">
        <v>21752</v>
      </c>
      <c r="X1042" t="s">
        <v>21753</v>
      </c>
      <c r="Y1042" t="s">
        <v>21754</v>
      </c>
    </row>
    <row r="1043" spans="1:25" x14ac:dyDescent="0.3">
      <c r="A1043">
        <v>52100</v>
      </c>
      <c r="B1043" t="s">
        <v>21755</v>
      </c>
      <c r="C1043" t="s">
        <v>21756</v>
      </c>
      <c r="D1043" t="s">
        <v>21757</v>
      </c>
      <c r="E1043" t="s">
        <v>21758</v>
      </c>
      <c r="F1043" t="s">
        <v>21759</v>
      </c>
      <c r="G1043" t="s">
        <v>21760</v>
      </c>
      <c r="H1043" t="s">
        <v>21761</v>
      </c>
      <c r="I1043" t="s">
        <v>21762</v>
      </c>
      <c r="J1043" t="s">
        <v>21763</v>
      </c>
      <c r="K1043" t="s">
        <v>21764</v>
      </c>
      <c r="L1043" t="s">
        <v>21765</v>
      </c>
      <c r="M1043" t="s">
        <v>21766</v>
      </c>
      <c r="N1043" t="s">
        <v>21767</v>
      </c>
      <c r="O1043">
        <f>-760.331554352192 -72.7755434181317 -711.45168332623</f>
        <v>-1544.5587810965537</v>
      </c>
      <c r="P1043">
        <f>-728.998032700771 -33.4374224488206 -398.95063559795</f>
        <v>-1161.3860907475416</v>
      </c>
      <c r="Q1043">
        <f>-476.007356707663 -28.9834050300683 -338.80152319543</f>
        <v>-843.79228493316123</v>
      </c>
      <c r="R1043" t="s">
        <v>21768</v>
      </c>
      <c r="S1043" t="s">
        <v>21769</v>
      </c>
      <c r="T1043" t="s">
        <v>21770</v>
      </c>
      <c r="U1043" t="s">
        <v>21771</v>
      </c>
      <c r="V1043" t="s">
        <v>21772</v>
      </c>
      <c r="W1043" t="s">
        <v>21773</v>
      </c>
      <c r="X1043" t="s">
        <v>21774</v>
      </c>
      <c r="Y1043" t="s">
        <v>21775</v>
      </c>
    </row>
    <row r="1044" spans="1:25" x14ac:dyDescent="0.3">
      <c r="A1044">
        <v>52150</v>
      </c>
      <c r="B1044" t="s">
        <v>21776</v>
      </c>
      <c r="C1044" t="s">
        <v>21777</v>
      </c>
      <c r="D1044" t="s">
        <v>21778</v>
      </c>
      <c r="E1044" t="s">
        <v>21779</v>
      </c>
      <c r="F1044" t="s">
        <v>21780</v>
      </c>
      <c r="G1044" t="s">
        <v>21781</v>
      </c>
      <c r="H1044" t="s">
        <v>21782</v>
      </c>
      <c r="I1044" t="s">
        <v>21783</v>
      </c>
      <c r="J1044" t="s">
        <v>21784</v>
      </c>
      <c r="K1044" t="s">
        <v>21785</v>
      </c>
      <c r="L1044" t="s">
        <v>21786</v>
      </c>
      <c r="M1044" t="s">
        <v>21787</v>
      </c>
      <c r="N1044" t="s">
        <v>21788</v>
      </c>
      <c r="O1044">
        <f>-758.339351272379 -72.7508732751537 -712.125717379864</f>
        <v>-1543.2159419273967</v>
      </c>
      <c r="P1044">
        <f>-727.426470280342 -35.4643190241393 -399.331409387493</f>
        <v>-1162.2221986919742</v>
      </c>
      <c r="Q1044">
        <f>-474.537281353542 -31.3119814031331 -338.735199368506</f>
        <v>-844.58446212518106</v>
      </c>
      <c r="R1044" t="s">
        <v>21789</v>
      </c>
      <c r="S1044" t="s">
        <v>21790</v>
      </c>
      <c r="T1044" t="s">
        <v>21791</v>
      </c>
      <c r="U1044" t="s">
        <v>21792</v>
      </c>
      <c r="V1044" t="s">
        <v>21793</v>
      </c>
      <c r="W1044" t="s">
        <v>21794</v>
      </c>
      <c r="X1044" t="s">
        <v>21795</v>
      </c>
      <c r="Y1044" t="s">
        <v>21796</v>
      </c>
    </row>
    <row r="1045" spans="1:25" x14ac:dyDescent="0.3">
      <c r="A1045">
        <v>52200</v>
      </c>
      <c r="B1045" t="s">
        <v>21797</v>
      </c>
      <c r="C1045" t="s">
        <v>21798</v>
      </c>
      <c r="D1045" t="s">
        <v>21799</v>
      </c>
      <c r="E1045" t="s">
        <v>21800</v>
      </c>
      <c r="F1045" t="s">
        <v>21801</v>
      </c>
      <c r="G1045" t="s">
        <v>21802</v>
      </c>
      <c r="H1045" t="s">
        <v>21803</v>
      </c>
      <c r="I1045" t="s">
        <v>21804</v>
      </c>
      <c r="J1045" t="s">
        <v>21805</v>
      </c>
      <c r="K1045" t="s">
        <v>21806</v>
      </c>
      <c r="L1045" t="s">
        <v>21807</v>
      </c>
      <c r="M1045" t="s">
        <v>21808</v>
      </c>
      <c r="N1045" t="s">
        <v>21809</v>
      </c>
      <c r="O1045">
        <f>-757.219078240408 -72.7486084822085 -712.740513224695</f>
        <v>-1542.7081999473114</v>
      </c>
      <c r="P1045">
        <f>-726.39657779862 -36.4230093393751 -399.824286773722</f>
        <v>-1162.643873911717</v>
      </c>
      <c r="Q1045">
        <f>-473.620663225498 -32.6854236682971 -338.730644993193</f>
        <v>-845.03673188698804</v>
      </c>
      <c r="R1045" t="s">
        <v>21810</v>
      </c>
      <c r="S1045" t="s">
        <v>21811</v>
      </c>
      <c r="T1045" t="s">
        <v>21812</v>
      </c>
      <c r="U1045" t="s">
        <v>21813</v>
      </c>
      <c r="V1045" t="s">
        <v>21814</v>
      </c>
      <c r="W1045" t="s">
        <v>21815</v>
      </c>
      <c r="X1045" t="s">
        <v>21816</v>
      </c>
      <c r="Y1045" t="s">
        <v>21817</v>
      </c>
    </row>
    <row r="1046" spans="1:25" x14ac:dyDescent="0.3">
      <c r="A1046">
        <v>52250</v>
      </c>
      <c r="B1046" t="s">
        <v>21818</v>
      </c>
      <c r="C1046" t="s">
        <v>21819</v>
      </c>
      <c r="D1046" t="s">
        <v>21820</v>
      </c>
      <c r="E1046" t="s">
        <v>21821</v>
      </c>
      <c r="F1046" t="s">
        <v>21822</v>
      </c>
      <c r="G1046" t="s">
        <v>21823</v>
      </c>
      <c r="H1046" t="s">
        <v>21824</v>
      </c>
      <c r="I1046" t="s">
        <v>21825</v>
      </c>
      <c r="J1046" t="s">
        <v>21826</v>
      </c>
      <c r="K1046" t="s">
        <v>21827</v>
      </c>
      <c r="L1046" t="s">
        <v>21828</v>
      </c>
      <c r="M1046" t="s">
        <v>21829</v>
      </c>
      <c r="N1046" t="s">
        <v>21830</v>
      </c>
      <c r="O1046">
        <f>-754.937205701807 -72.5854868905999 -714.088926841207</f>
        <v>-1541.6116194336139</v>
      </c>
      <c r="P1046">
        <f>-724.848732917576 -39.3544915964269 -400.757499958969</f>
        <v>-1164.9607244729718</v>
      </c>
      <c r="Q1046">
        <f>-472.254590594826 -37.9606627277897 -338.819674906818</f>
        <v>-849.03492822943372</v>
      </c>
      <c r="R1046" t="s">
        <v>21831</v>
      </c>
      <c r="S1046" t="s">
        <v>21832</v>
      </c>
      <c r="T1046" t="s">
        <v>21833</v>
      </c>
      <c r="U1046" t="s">
        <v>21834</v>
      </c>
      <c r="V1046" t="s">
        <v>21835</v>
      </c>
      <c r="W1046" t="s">
        <v>21836</v>
      </c>
      <c r="X1046" t="s">
        <v>21837</v>
      </c>
      <c r="Y1046" t="s">
        <v>21838</v>
      </c>
    </row>
    <row r="1047" spans="1:25" x14ac:dyDescent="0.3">
      <c r="A1047">
        <v>52300</v>
      </c>
      <c r="B1047" t="s">
        <v>21839</v>
      </c>
      <c r="C1047" t="s">
        <v>21840</v>
      </c>
      <c r="D1047" t="s">
        <v>21841</v>
      </c>
      <c r="E1047" t="s">
        <v>21842</v>
      </c>
      <c r="F1047" t="s">
        <v>21843</v>
      </c>
      <c r="G1047" t="s">
        <v>21844</v>
      </c>
      <c r="H1047" t="s">
        <v>21845</v>
      </c>
      <c r="I1047" t="s">
        <v>21846</v>
      </c>
      <c r="J1047" t="s">
        <v>21847</v>
      </c>
      <c r="K1047" t="s">
        <v>21848</v>
      </c>
      <c r="L1047" t="s">
        <v>21849</v>
      </c>
      <c r="M1047" t="s">
        <v>21850</v>
      </c>
      <c r="N1047" t="s">
        <v>21851</v>
      </c>
      <c r="O1047">
        <f>-753.49947101795 -72.1930514345743 -714.817198190473</f>
        <v>-1540.5097206429973</v>
      </c>
      <c r="P1047">
        <f>-723.870127059059 -41.0617769762969 -401.226522790508</f>
        <v>-1166.1584268258639</v>
      </c>
      <c r="Q1047">
        <f>-471.569833216584 -40.3257428149705 -338.091143134536</f>
        <v>-849.98671916609055</v>
      </c>
      <c r="R1047" t="s">
        <v>21852</v>
      </c>
      <c r="S1047" t="s">
        <v>21853</v>
      </c>
      <c r="T1047" t="s">
        <v>21854</v>
      </c>
      <c r="U1047" t="s">
        <v>21855</v>
      </c>
      <c r="V1047" t="s">
        <v>21856</v>
      </c>
      <c r="W1047" t="s">
        <v>21857</v>
      </c>
      <c r="X1047" t="s">
        <v>21858</v>
      </c>
      <c r="Y1047" t="s">
        <v>21859</v>
      </c>
    </row>
    <row r="1048" spans="1:25" x14ac:dyDescent="0.3">
      <c r="A1048">
        <v>52350</v>
      </c>
      <c r="B1048" t="s">
        <v>21860</v>
      </c>
      <c r="C1048" t="s">
        <v>21861</v>
      </c>
      <c r="D1048" t="s">
        <v>21862</v>
      </c>
      <c r="E1048" t="s">
        <v>21863</v>
      </c>
      <c r="F1048" t="s">
        <v>21864</v>
      </c>
      <c r="G1048" t="s">
        <v>21865</v>
      </c>
      <c r="H1048" t="s">
        <v>21866</v>
      </c>
      <c r="I1048" t="s">
        <v>21867</v>
      </c>
      <c r="J1048" t="s">
        <v>21868</v>
      </c>
      <c r="K1048" t="s">
        <v>21869</v>
      </c>
      <c r="L1048" t="s">
        <v>21870</v>
      </c>
      <c r="M1048" t="s">
        <v>21871</v>
      </c>
      <c r="N1048" t="s">
        <v>21872</v>
      </c>
      <c r="O1048">
        <f>-749.900533128468 -71.3882259675722 -716.340682857638</f>
        <v>-1537.6294419536782</v>
      </c>
      <c r="P1048">
        <f>-722.256139234909 -41.9148684429827 -402.408763857469</f>
        <v>-1166.5797715353606</v>
      </c>
      <c r="Q1048">
        <f>-470.377756575949 -41.1873888925766 -337.610697632605</f>
        <v>-849.17584310113057</v>
      </c>
      <c r="R1048" t="s">
        <v>21873</v>
      </c>
      <c r="S1048" t="s">
        <v>21874</v>
      </c>
      <c r="T1048" t="s">
        <v>21875</v>
      </c>
      <c r="U1048" t="s">
        <v>21876</v>
      </c>
      <c r="V1048" t="s">
        <v>21877</v>
      </c>
      <c r="W1048" t="s">
        <v>21878</v>
      </c>
      <c r="X1048" t="s">
        <v>21879</v>
      </c>
      <c r="Y1048" t="s">
        <v>21880</v>
      </c>
    </row>
    <row r="1049" spans="1:25" x14ac:dyDescent="0.3">
      <c r="A1049">
        <v>52400</v>
      </c>
      <c r="B1049" t="s">
        <v>21881</v>
      </c>
      <c r="C1049" t="s">
        <v>21882</v>
      </c>
      <c r="D1049" t="s">
        <v>21883</v>
      </c>
      <c r="E1049" t="s">
        <v>21884</v>
      </c>
      <c r="F1049" t="s">
        <v>21885</v>
      </c>
      <c r="G1049" t="s">
        <v>21886</v>
      </c>
      <c r="H1049" t="s">
        <v>21887</v>
      </c>
      <c r="I1049" t="s">
        <v>21888</v>
      </c>
      <c r="J1049" t="s">
        <v>21889</v>
      </c>
      <c r="K1049" t="s">
        <v>21890</v>
      </c>
      <c r="L1049" t="s">
        <v>21891</v>
      </c>
      <c r="M1049" t="s">
        <v>21892</v>
      </c>
      <c r="N1049" t="s">
        <v>21893</v>
      </c>
      <c r="O1049">
        <f>-748.369872741929 -71.0968830059364 -717.146829681763</f>
        <v>-1536.6135854296285</v>
      </c>
      <c r="P1049">
        <f>-721.63420858215 -43.21250638532 -402.990907347296</f>
        <v>-1167.8376223147661</v>
      </c>
      <c r="Q1049">
        <f>-469.906407384687 -42.3899495268552 -337.611250511039</f>
        <v>-849.90760742258112</v>
      </c>
      <c r="R1049" t="s">
        <v>21894</v>
      </c>
      <c r="S1049" t="s">
        <v>21895</v>
      </c>
      <c r="T1049" t="s">
        <v>21896</v>
      </c>
      <c r="U1049" t="s">
        <v>21897</v>
      </c>
      <c r="V1049" t="s">
        <v>21898</v>
      </c>
      <c r="W1049" t="s">
        <v>21899</v>
      </c>
      <c r="X1049" t="s">
        <v>21900</v>
      </c>
      <c r="Y1049" t="s">
        <v>21901</v>
      </c>
    </row>
    <row r="1050" spans="1:25" x14ac:dyDescent="0.3">
      <c r="A1050">
        <v>52450</v>
      </c>
      <c r="B1050" t="s">
        <v>21902</v>
      </c>
      <c r="C1050" t="s">
        <v>21903</v>
      </c>
      <c r="D1050" t="s">
        <v>21904</v>
      </c>
      <c r="E1050" t="s">
        <v>21905</v>
      </c>
      <c r="F1050" t="s">
        <v>21906</v>
      </c>
      <c r="G1050" t="s">
        <v>21907</v>
      </c>
      <c r="H1050" t="s">
        <v>21908</v>
      </c>
      <c r="I1050" t="s">
        <v>21909</v>
      </c>
      <c r="J1050" t="s">
        <v>21910</v>
      </c>
      <c r="K1050" t="s">
        <v>21911</v>
      </c>
      <c r="L1050" t="s">
        <v>21912</v>
      </c>
      <c r="M1050" t="s">
        <v>21913</v>
      </c>
      <c r="N1050" t="s">
        <v>21914</v>
      </c>
      <c r="O1050">
        <f>-745.941177236194 -70.1187573755176 -718.918458100243</f>
        <v>-1534.9783927119547</v>
      </c>
      <c r="P1050">
        <f>-719.776587275815 -44.8181210426314 -404.496112297702</f>
        <v>-1169.0908206161484</v>
      </c>
      <c r="Q1050">
        <f>-468.718134953653 -47.1771213957877 -336.627367170735</f>
        <v>-852.52262352017578</v>
      </c>
      <c r="R1050" t="s">
        <v>21915</v>
      </c>
      <c r="S1050" t="s">
        <v>21916</v>
      </c>
      <c r="T1050" t="s">
        <v>21917</v>
      </c>
      <c r="U1050" t="s">
        <v>21918</v>
      </c>
      <c r="V1050" t="s">
        <v>21919</v>
      </c>
      <c r="W1050" t="s">
        <v>21920</v>
      </c>
      <c r="X1050" t="s">
        <v>21921</v>
      </c>
      <c r="Y1050" t="s">
        <v>21922</v>
      </c>
    </row>
    <row r="1051" spans="1:25" x14ac:dyDescent="0.3">
      <c r="A1051">
        <v>52500</v>
      </c>
      <c r="B1051" t="s">
        <v>21923</v>
      </c>
      <c r="C1051" t="s">
        <v>21924</v>
      </c>
      <c r="D1051" t="s">
        <v>21925</v>
      </c>
      <c r="E1051" t="s">
        <v>21926</v>
      </c>
      <c r="F1051" t="s">
        <v>21927</v>
      </c>
      <c r="G1051" t="s">
        <v>21928</v>
      </c>
      <c r="H1051" t="s">
        <v>21929</v>
      </c>
      <c r="I1051" t="s">
        <v>21930</v>
      </c>
      <c r="J1051" t="s">
        <v>21931</v>
      </c>
      <c r="K1051" t="s">
        <v>21932</v>
      </c>
      <c r="L1051" t="s">
        <v>21933</v>
      </c>
      <c r="M1051" t="s">
        <v>21934</v>
      </c>
      <c r="N1051" t="s">
        <v>21935</v>
      </c>
      <c r="O1051">
        <f>-745.008804653227 -69.9375246940067 -719.774197744928</f>
        <v>-1534.7205270921618</v>
      </c>
      <c r="P1051">
        <f>-719.330901487664 -46.4052668074021 -405.174381967727</f>
        <v>-1170.9105502627931</v>
      </c>
      <c r="Q1051">
        <f>-468.135339635939 -48.4094275331436 -337.803660682047</f>
        <v>-854.3484278511296</v>
      </c>
      <c r="R1051" t="s">
        <v>21936</v>
      </c>
      <c r="S1051" t="s">
        <v>21937</v>
      </c>
      <c r="T1051" t="s">
        <v>21938</v>
      </c>
      <c r="U1051" t="s">
        <v>21939</v>
      </c>
      <c r="V1051" t="s">
        <v>21940</v>
      </c>
      <c r="W1051" t="s">
        <v>21941</v>
      </c>
      <c r="X1051" t="s">
        <v>21942</v>
      </c>
      <c r="Y1051" t="s">
        <v>21943</v>
      </c>
    </row>
    <row r="1052" spans="1:25" x14ac:dyDescent="0.3">
      <c r="A1052">
        <v>52550</v>
      </c>
      <c r="B1052" t="s">
        <v>21944</v>
      </c>
      <c r="C1052" t="s">
        <v>21945</v>
      </c>
      <c r="D1052" t="s">
        <v>21946</v>
      </c>
      <c r="E1052" t="s">
        <v>21947</v>
      </c>
      <c r="F1052" t="s">
        <v>21948</v>
      </c>
      <c r="G1052" t="s">
        <v>21949</v>
      </c>
      <c r="H1052" t="s">
        <v>21950</v>
      </c>
      <c r="I1052" t="s">
        <v>21951</v>
      </c>
      <c r="J1052" t="s">
        <v>21952</v>
      </c>
      <c r="K1052" t="s">
        <v>21953</v>
      </c>
      <c r="L1052" t="s">
        <v>21954</v>
      </c>
      <c r="M1052" t="s">
        <v>21955</v>
      </c>
      <c r="N1052" t="s">
        <v>21956</v>
      </c>
      <c r="O1052">
        <f>-742.974736579206 -69.6996819809256 -721.277910964563</f>
        <v>-1533.9523295246945</v>
      </c>
      <c r="P1052">
        <f>-718.682439526746 -50.1233377087451 -406.297174278856</f>
        <v>-1175.1029515143471</v>
      </c>
      <c r="Q1052">
        <f>-466.472798727084 -49.0078118197432 -342.806234980695</f>
        <v>-858.28684552752225</v>
      </c>
      <c r="R1052" t="s">
        <v>21957</v>
      </c>
      <c r="S1052" t="s">
        <v>21958</v>
      </c>
      <c r="T1052" t="s">
        <v>21959</v>
      </c>
      <c r="U1052" t="s">
        <v>21960</v>
      </c>
      <c r="V1052" t="s">
        <v>21961</v>
      </c>
      <c r="W1052" t="s">
        <v>21962</v>
      </c>
      <c r="X1052" t="s">
        <v>21963</v>
      </c>
      <c r="Y1052" t="s">
        <v>21964</v>
      </c>
    </row>
    <row r="1053" spans="1:25" x14ac:dyDescent="0.3">
      <c r="A1053">
        <v>52600</v>
      </c>
      <c r="B1053" t="s">
        <v>21965</v>
      </c>
      <c r="C1053" t="s">
        <v>21966</v>
      </c>
      <c r="D1053" t="s">
        <v>21967</v>
      </c>
      <c r="E1053" t="s">
        <v>21968</v>
      </c>
      <c r="F1053" t="s">
        <v>21969</v>
      </c>
      <c r="G1053" t="s">
        <v>21970</v>
      </c>
      <c r="H1053" t="s">
        <v>21971</v>
      </c>
      <c r="I1053" t="s">
        <v>21972</v>
      </c>
      <c r="J1053" t="s">
        <v>21973</v>
      </c>
      <c r="K1053" t="s">
        <v>21974</v>
      </c>
      <c r="L1053" t="s">
        <v>21975</v>
      </c>
      <c r="M1053" t="s">
        <v>21976</v>
      </c>
      <c r="N1053" t="s">
        <v>21977</v>
      </c>
      <c r="O1053">
        <f>-742.34784745932 -69.5926343492563 -721.971126775961</f>
        <v>-1533.9116085845371</v>
      </c>
      <c r="P1053">
        <f>-718.324656262178 -51.1512655148849 -406.901230436605</f>
        <v>-1176.3771522136678</v>
      </c>
      <c r="Q1053">
        <f>-465.715259879199 -48.1962329153096 -345.080124586984</f>
        <v>-858.99161738149269</v>
      </c>
      <c r="R1053" t="s">
        <v>21978</v>
      </c>
      <c r="S1053" t="s">
        <v>21979</v>
      </c>
      <c r="T1053" t="s">
        <v>21980</v>
      </c>
      <c r="U1053" t="s">
        <v>21981</v>
      </c>
      <c r="V1053" t="s">
        <v>21982</v>
      </c>
      <c r="W1053" t="s">
        <v>21983</v>
      </c>
      <c r="X1053" t="s">
        <v>21984</v>
      </c>
      <c r="Y1053" t="s">
        <v>21985</v>
      </c>
    </row>
    <row r="1054" spans="1:25" x14ac:dyDescent="0.3">
      <c r="A1054">
        <v>52650</v>
      </c>
      <c r="B1054" t="s">
        <v>21986</v>
      </c>
      <c r="C1054" t="s">
        <v>21987</v>
      </c>
      <c r="D1054" t="s">
        <v>21988</v>
      </c>
      <c r="E1054" t="s">
        <v>21989</v>
      </c>
      <c r="F1054" t="s">
        <v>21990</v>
      </c>
      <c r="G1054" t="s">
        <v>21991</v>
      </c>
      <c r="H1054" t="s">
        <v>21992</v>
      </c>
      <c r="I1054" t="s">
        <v>21993</v>
      </c>
      <c r="J1054" t="s">
        <v>21994</v>
      </c>
      <c r="K1054" t="s">
        <v>21995</v>
      </c>
      <c r="L1054" t="s">
        <v>21996</v>
      </c>
      <c r="M1054" t="s">
        <v>21997</v>
      </c>
      <c r="N1054" t="s">
        <v>21998</v>
      </c>
      <c r="O1054">
        <f>-741.165373415392 -69.8965100930507 -722.723574468395</f>
        <v>-1533.7854579768377</v>
      </c>
      <c r="P1054">
        <f>-717.301760146966 -52.5009291558429 -407.582252308508</f>
        <v>-1177.3849416113169</v>
      </c>
      <c r="Q1054">
        <f>-463.910763969209 -49.5055147767723 -349.049114440674</f>
        <v>-862.46539318665521</v>
      </c>
      <c r="R1054" t="s">
        <v>21999</v>
      </c>
      <c r="S1054" t="s">
        <v>22000</v>
      </c>
      <c r="T1054" t="s">
        <v>22001</v>
      </c>
      <c r="U1054" t="s">
        <v>22002</v>
      </c>
      <c r="V1054" t="s">
        <v>22003</v>
      </c>
      <c r="W1054" t="s">
        <v>22004</v>
      </c>
      <c r="X1054" t="s">
        <v>22005</v>
      </c>
      <c r="Y1054" t="s">
        <v>22006</v>
      </c>
    </row>
    <row r="1055" spans="1:25" x14ac:dyDescent="0.3">
      <c r="A1055">
        <v>52700</v>
      </c>
      <c r="B1055" t="s">
        <v>22007</v>
      </c>
      <c r="C1055" t="s">
        <v>22008</v>
      </c>
      <c r="D1055" t="s">
        <v>22009</v>
      </c>
      <c r="E1055" t="s">
        <v>22010</v>
      </c>
      <c r="F1055" t="s">
        <v>22011</v>
      </c>
      <c r="G1055" t="s">
        <v>22012</v>
      </c>
      <c r="H1055" t="s">
        <v>22013</v>
      </c>
      <c r="I1055" t="s">
        <v>22014</v>
      </c>
      <c r="J1055" t="s">
        <v>22015</v>
      </c>
      <c r="K1055" t="s">
        <v>22016</v>
      </c>
      <c r="L1055" t="s">
        <v>22017</v>
      </c>
      <c r="M1055" t="s">
        <v>22018</v>
      </c>
      <c r="N1055" t="s">
        <v>22019</v>
      </c>
      <c r="O1055">
        <f>-740.822935737754 -69.9314568523405 -722.99444410604</f>
        <v>-1533.7488366961345</v>
      </c>
      <c r="P1055">
        <f>-717.133560854643 -52.5396970963254 -407.839731653258</f>
        <v>-1177.5129896042263</v>
      </c>
      <c r="Q1055">
        <f>-463.686609329037 -49.4365620767389 -349.555296658012</f>
        <v>-862.67846806378793</v>
      </c>
      <c r="R1055" t="s">
        <v>22020</v>
      </c>
      <c r="S1055" t="s">
        <v>22021</v>
      </c>
      <c r="T1055" t="s">
        <v>22022</v>
      </c>
      <c r="U1055" t="s">
        <v>22023</v>
      </c>
      <c r="V1055" t="s">
        <v>22024</v>
      </c>
      <c r="W1055" t="s">
        <v>22025</v>
      </c>
      <c r="X1055" t="s">
        <v>22026</v>
      </c>
      <c r="Y1055" t="s">
        <v>22027</v>
      </c>
    </row>
    <row r="1056" spans="1:25" x14ac:dyDescent="0.3">
      <c r="A1056">
        <v>52750</v>
      </c>
      <c r="B1056" t="s">
        <v>22028</v>
      </c>
      <c r="C1056" t="s">
        <v>22029</v>
      </c>
      <c r="D1056" t="s">
        <v>22030</v>
      </c>
      <c r="E1056" t="s">
        <v>22031</v>
      </c>
      <c r="F1056" t="s">
        <v>22032</v>
      </c>
      <c r="G1056" t="s">
        <v>22033</v>
      </c>
      <c r="H1056" t="s">
        <v>22034</v>
      </c>
      <c r="I1056" t="s">
        <v>22035</v>
      </c>
      <c r="J1056" t="s">
        <v>22036</v>
      </c>
      <c r="K1056" t="s">
        <v>22037</v>
      </c>
      <c r="L1056" t="s">
        <v>22038</v>
      </c>
      <c r="M1056" t="s">
        <v>22039</v>
      </c>
      <c r="N1056" t="s">
        <v>22040</v>
      </c>
      <c r="O1056">
        <f>-740.609049847844 -69.8659426074312 -723.418933096822</f>
        <v>-1533.8939255520972</v>
      </c>
      <c r="P1056">
        <f>-717.269824391519 -52.168666658195 -408.254923176582</f>
        <v>-1177.693414226296</v>
      </c>
      <c r="Q1056">
        <f>-463.950902094769 -50.8996083024617 -349.348211029737</f>
        <v>-864.19872142696772</v>
      </c>
      <c r="R1056" t="s">
        <v>22041</v>
      </c>
      <c r="S1056" t="s">
        <v>22042</v>
      </c>
      <c r="T1056" t="s">
        <v>22043</v>
      </c>
      <c r="U1056" t="s">
        <v>22044</v>
      </c>
      <c r="V1056" t="s">
        <v>22045</v>
      </c>
      <c r="W1056" t="s">
        <v>22046</v>
      </c>
      <c r="X1056" t="s">
        <v>22047</v>
      </c>
      <c r="Y1056" t="s">
        <v>22048</v>
      </c>
    </row>
    <row r="1057" spans="1:25" x14ac:dyDescent="0.3">
      <c r="A1057">
        <v>52800</v>
      </c>
      <c r="B1057" t="s">
        <v>22049</v>
      </c>
      <c r="C1057" t="s">
        <v>22050</v>
      </c>
      <c r="D1057" t="s">
        <v>22051</v>
      </c>
      <c r="E1057" t="s">
        <v>22052</v>
      </c>
      <c r="F1057" t="s">
        <v>22053</v>
      </c>
      <c r="G1057" t="s">
        <v>22054</v>
      </c>
      <c r="H1057" t="s">
        <v>22055</v>
      </c>
      <c r="I1057" t="s">
        <v>22056</v>
      </c>
      <c r="J1057" t="s">
        <v>22057</v>
      </c>
      <c r="K1057" t="s">
        <v>22058</v>
      </c>
      <c r="L1057" t="s">
        <v>22059</v>
      </c>
      <c r="M1057" t="s">
        <v>22060</v>
      </c>
      <c r="N1057" t="s">
        <v>22061</v>
      </c>
      <c r="O1057">
        <f>-740.959871843067 -69.5182832233536 -723.643762587675</f>
        <v>-1534.1219176540958</v>
      </c>
      <c r="P1057">
        <f>-717.671428115959 -51.4764396664564 -408.495675651491</f>
        <v>-1177.6435434339064</v>
      </c>
      <c r="Q1057">
        <f>-464.291820775533 -50.6468177434078 -349.842923688271</f>
        <v>-864.78156220721189</v>
      </c>
      <c r="R1057" t="s">
        <v>22062</v>
      </c>
      <c r="S1057" t="s">
        <v>22063</v>
      </c>
      <c r="T1057" t="s">
        <v>22064</v>
      </c>
      <c r="U1057" t="s">
        <v>22065</v>
      </c>
      <c r="V1057" t="s">
        <v>22066</v>
      </c>
      <c r="W1057" t="s">
        <v>22067</v>
      </c>
      <c r="X1057" t="s">
        <v>22068</v>
      </c>
      <c r="Y1057" t="s">
        <v>22069</v>
      </c>
    </row>
    <row r="1058" spans="1:25" x14ac:dyDescent="0.3">
      <c r="A1058">
        <v>52850</v>
      </c>
      <c r="B1058" t="s">
        <v>22070</v>
      </c>
      <c r="C1058" t="s">
        <v>22071</v>
      </c>
      <c r="D1058" t="s">
        <v>22072</v>
      </c>
      <c r="E1058" t="s">
        <v>22073</v>
      </c>
      <c r="F1058" t="s">
        <v>22074</v>
      </c>
      <c r="G1058" t="s">
        <v>22075</v>
      </c>
      <c r="H1058" t="s">
        <v>22076</v>
      </c>
      <c r="I1058" t="s">
        <v>22077</v>
      </c>
      <c r="J1058" t="s">
        <v>22078</v>
      </c>
      <c r="K1058" t="s">
        <v>22079</v>
      </c>
      <c r="L1058" t="s">
        <v>22080</v>
      </c>
      <c r="M1058" t="s">
        <v>22081</v>
      </c>
      <c r="N1058" t="s">
        <v>22082</v>
      </c>
      <c r="O1058">
        <f>-741.222603080618 -68.8033856743837 -724.035194447784</f>
        <v>-1534.0611832027857</v>
      </c>
      <c r="P1058">
        <f>-718.333254231766 -50.6247948604166 -408.865626326429</f>
        <v>-1177.8236754186116</v>
      </c>
      <c r="Q1058">
        <f>-465.006242537788 -51.7620124261948 -349.991357121615</f>
        <v>-866.75961208559784</v>
      </c>
      <c r="R1058" t="s">
        <v>22083</v>
      </c>
      <c r="S1058" t="s">
        <v>22084</v>
      </c>
      <c r="T1058" t="s">
        <v>22085</v>
      </c>
      <c r="U1058" t="s">
        <v>22086</v>
      </c>
      <c r="V1058" t="s">
        <v>22087</v>
      </c>
      <c r="W1058" t="s">
        <v>22088</v>
      </c>
      <c r="X1058" t="s">
        <v>22089</v>
      </c>
      <c r="Y1058" t="s">
        <v>22090</v>
      </c>
    </row>
    <row r="1059" spans="1:25" x14ac:dyDescent="0.3">
      <c r="A1059">
        <v>52900</v>
      </c>
      <c r="B1059" t="s">
        <v>22091</v>
      </c>
      <c r="C1059" t="s">
        <v>22092</v>
      </c>
      <c r="D1059" t="s">
        <v>22093</v>
      </c>
      <c r="E1059" t="s">
        <v>22094</v>
      </c>
      <c r="F1059" t="s">
        <v>22095</v>
      </c>
      <c r="G1059" t="s">
        <v>22096</v>
      </c>
      <c r="H1059" t="s">
        <v>22097</v>
      </c>
      <c r="I1059" t="s">
        <v>22098</v>
      </c>
      <c r="J1059" t="s">
        <v>22099</v>
      </c>
      <c r="K1059" t="s">
        <v>22100</v>
      </c>
      <c r="L1059" t="s">
        <v>22101</v>
      </c>
      <c r="M1059" t="s">
        <v>22102</v>
      </c>
      <c r="N1059" t="s">
        <v>22103</v>
      </c>
      <c r="O1059">
        <f>-741.432846262657 -68.6018154942176 -724.051340338836</f>
        <v>-1534.0860020957107</v>
      </c>
      <c r="P1059">
        <f>-718.835146814566 -50.478496658096 -408.85764729424</f>
        <v>-1178.1712907669021</v>
      </c>
      <c r="Q1059">
        <f>-465.715460212872 -52.5675784673001 -349.124019548457</f>
        <v>-867.40705822862913</v>
      </c>
      <c r="R1059" t="s">
        <v>22104</v>
      </c>
      <c r="S1059" t="s">
        <v>22105</v>
      </c>
      <c r="T1059" t="s">
        <v>22106</v>
      </c>
      <c r="U1059" t="s">
        <v>22107</v>
      </c>
      <c r="V1059" t="s">
        <v>22108</v>
      </c>
      <c r="W1059" t="s">
        <v>22109</v>
      </c>
      <c r="X1059" t="s">
        <v>22110</v>
      </c>
      <c r="Y1059" t="s">
        <v>22111</v>
      </c>
    </row>
    <row r="1060" spans="1:25" x14ac:dyDescent="0.3">
      <c r="A1060">
        <v>52950</v>
      </c>
      <c r="B1060" t="s">
        <v>22112</v>
      </c>
      <c r="C1060" t="s">
        <v>22113</v>
      </c>
      <c r="D1060" t="s">
        <v>22114</v>
      </c>
      <c r="E1060" t="s">
        <v>22115</v>
      </c>
      <c r="F1060" t="s">
        <v>22116</v>
      </c>
      <c r="G1060" t="s">
        <v>22117</v>
      </c>
      <c r="H1060" t="s">
        <v>22118</v>
      </c>
      <c r="I1060" t="s">
        <v>22119</v>
      </c>
      <c r="J1060" t="s">
        <v>22120</v>
      </c>
      <c r="K1060" t="s">
        <v>22121</v>
      </c>
      <c r="L1060" t="s">
        <v>22122</v>
      </c>
      <c r="M1060" t="s">
        <v>22123</v>
      </c>
      <c r="N1060" t="s">
        <v>22124</v>
      </c>
      <c r="O1060">
        <f>-741.369988469932 -69.0207238752487 -723.983563681446</f>
        <v>-1534.3742760266266</v>
      </c>
      <c r="P1060">
        <f>-719.807047585477 -50.1831237891347 -408.75917703539</f>
        <v>-1178.7493484100016</v>
      </c>
      <c r="Q1060">
        <f>-467.263906744773 -53.0486542785934 -346.663784695007</f>
        <v>-866.97634571837352</v>
      </c>
      <c r="R1060" t="s">
        <v>22125</v>
      </c>
      <c r="S1060" t="s">
        <v>22126</v>
      </c>
      <c r="T1060" t="s">
        <v>22127</v>
      </c>
      <c r="U1060" t="s">
        <v>22128</v>
      </c>
      <c r="V1060" t="s">
        <v>22129</v>
      </c>
      <c r="W1060" t="s">
        <v>22130</v>
      </c>
      <c r="X1060" t="s">
        <v>22131</v>
      </c>
      <c r="Y1060" t="s">
        <v>22132</v>
      </c>
    </row>
    <row r="1061" spans="1:25" x14ac:dyDescent="0.3">
      <c r="A1061">
        <v>53000</v>
      </c>
      <c r="B1061" t="s">
        <v>22133</v>
      </c>
      <c r="C1061" t="s">
        <v>22134</v>
      </c>
      <c r="D1061" t="s">
        <v>22135</v>
      </c>
      <c r="E1061" t="s">
        <v>22136</v>
      </c>
      <c r="F1061" t="s">
        <v>22137</v>
      </c>
      <c r="G1061" t="s">
        <v>22138</v>
      </c>
      <c r="H1061" t="s">
        <v>22139</v>
      </c>
      <c r="I1061" t="s">
        <v>22140</v>
      </c>
      <c r="J1061" t="s">
        <v>22141</v>
      </c>
      <c r="K1061" t="s">
        <v>22142</v>
      </c>
      <c r="L1061" t="s">
        <v>22143</v>
      </c>
      <c r="M1061" t="s">
        <v>22144</v>
      </c>
      <c r="N1061" t="s">
        <v>22145</v>
      </c>
      <c r="O1061">
        <f>-740.986518896327 -70.2833886685141 -723.558664460554</f>
        <v>-1534.8285720253953</v>
      </c>
      <c r="P1061">
        <f>-720.331400057941 -49.8752485058324 -408.371197537561</f>
        <v>-1178.5778461013342</v>
      </c>
      <c r="Q1061">
        <f>-468.168409377186 -53.5264402736805 -344.790363741156</f>
        <v>-866.48521339202239</v>
      </c>
      <c r="R1061" t="s">
        <v>22146</v>
      </c>
      <c r="S1061" t="s">
        <v>22147</v>
      </c>
      <c r="T1061" t="s">
        <v>22148</v>
      </c>
      <c r="U1061" t="s">
        <v>22149</v>
      </c>
      <c r="V1061" t="s">
        <v>22150</v>
      </c>
      <c r="W1061" t="s">
        <v>22151</v>
      </c>
      <c r="X1061" t="s">
        <v>22152</v>
      </c>
      <c r="Y1061" t="s">
        <v>22153</v>
      </c>
    </row>
    <row r="1062" spans="1:25" x14ac:dyDescent="0.3">
      <c r="A1062">
        <v>53050</v>
      </c>
      <c r="B1062" t="s">
        <v>22154</v>
      </c>
      <c r="C1062" t="s">
        <v>22155</v>
      </c>
      <c r="D1062" t="s">
        <v>22156</v>
      </c>
      <c r="E1062" t="s">
        <v>22157</v>
      </c>
      <c r="F1062" t="s">
        <v>22158</v>
      </c>
      <c r="G1062" t="s">
        <v>22159</v>
      </c>
      <c r="H1062" t="s">
        <v>22160</v>
      </c>
      <c r="I1062" t="s">
        <v>22161</v>
      </c>
      <c r="J1062" t="s">
        <v>22162</v>
      </c>
      <c r="K1062" t="s">
        <v>22163</v>
      </c>
      <c r="L1062" t="s">
        <v>22164</v>
      </c>
      <c r="M1062" t="s">
        <v>22165</v>
      </c>
      <c r="N1062" t="s">
        <v>22166</v>
      </c>
      <c r="O1062">
        <f>-740.809284068233 -70.7552491455663 -723.292725917498</f>
        <v>-1534.8572591312973</v>
      </c>
      <c r="P1062">
        <f>-720.27490311769 -49.5011198088528 -408.153337495707</f>
        <v>-1177.9293604222498</v>
      </c>
      <c r="Q1062">
        <f>-468.370824222124 -53.7492904746864 -343.590738459466</f>
        <v>-865.71085315627636</v>
      </c>
      <c r="R1062" t="s">
        <v>22167</v>
      </c>
      <c r="S1062" t="s">
        <v>22168</v>
      </c>
      <c r="T1062" t="s">
        <v>22169</v>
      </c>
      <c r="U1062" t="s">
        <v>22170</v>
      </c>
      <c r="V1062" t="s">
        <v>22171</v>
      </c>
      <c r="W1062" t="s">
        <v>22172</v>
      </c>
      <c r="X1062" t="s">
        <v>22173</v>
      </c>
      <c r="Y1062" t="s">
        <v>22174</v>
      </c>
    </row>
    <row r="1063" spans="1:25" x14ac:dyDescent="0.3">
      <c r="A1063">
        <v>53100</v>
      </c>
      <c r="B1063" t="s">
        <v>22175</v>
      </c>
      <c r="C1063" t="s">
        <v>22176</v>
      </c>
      <c r="D1063" t="s">
        <v>22177</v>
      </c>
      <c r="E1063" t="s">
        <v>22178</v>
      </c>
      <c r="F1063" t="s">
        <v>22179</v>
      </c>
      <c r="G1063" t="s">
        <v>22180</v>
      </c>
      <c r="H1063" t="s">
        <v>22181</v>
      </c>
      <c r="I1063" t="s">
        <v>22182</v>
      </c>
      <c r="J1063" t="s">
        <v>22183</v>
      </c>
      <c r="K1063" t="s">
        <v>22184</v>
      </c>
      <c r="L1063" t="s">
        <v>22185</v>
      </c>
      <c r="M1063" t="s">
        <v>22186</v>
      </c>
      <c r="N1063" t="s">
        <v>22187</v>
      </c>
      <c r="O1063">
        <f>-740.565993314605 -71.3322798519362 -722.922429747474</f>
        <v>-1534.8207029140151</v>
      </c>
      <c r="P1063">
        <f>-720.057498637786 -49.4024640185564 -407.827588727824</f>
        <v>-1177.2875513841664</v>
      </c>
      <c r="Q1063">
        <f>-468.418868985081 -54.201975150977 -342.276290557395</f>
        <v>-864.89713469345304</v>
      </c>
      <c r="R1063" t="s">
        <v>22188</v>
      </c>
      <c r="S1063" t="s">
        <v>22189</v>
      </c>
      <c r="T1063" t="s">
        <v>22190</v>
      </c>
      <c r="U1063" t="s">
        <v>22191</v>
      </c>
      <c r="V1063" t="s">
        <v>22192</v>
      </c>
      <c r="W1063" t="s">
        <v>22193</v>
      </c>
      <c r="X1063" t="s">
        <v>22194</v>
      </c>
      <c r="Y1063" t="s">
        <v>22195</v>
      </c>
    </row>
    <row r="1064" spans="1:25" x14ac:dyDescent="0.3">
      <c r="A1064">
        <v>53150</v>
      </c>
      <c r="B1064" t="s">
        <v>22196</v>
      </c>
      <c r="C1064" t="s">
        <v>22197</v>
      </c>
      <c r="D1064" t="s">
        <v>22198</v>
      </c>
      <c r="E1064" t="s">
        <v>22199</v>
      </c>
      <c r="F1064" t="s">
        <v>22200</v>
      </c>
      <c r="G1064" t="s">
        <v>22201</v>
      </c>
      <c r="H1064" t="s">
        <v>22202</v>
      </c>
      <c r="I1064" t="s">
        <v>22203</v>
      </c>
      <c r="J1064" t="s">
        <v>22204</v>
      </c>
      <c r="K1064" t="s">
        <v>22205</v>
      </c>
      <c r="L1064" t="s">
        <v>22206</v>
      </c>
      <c r="M1064" t="s">
        <v>22207</v>
      </c>
      <c r="N1064" t="s">
        <v>22208</v>
      </c>
      <c r="O1064">
        <f>-740.252670347908 -72.4779595913394 -722.183929715046</f>
        <v>-1534.9145596542935</v>
      </c>
      <c r="P1064">
        <f>-720.770030231233 -49.0918355037352 -407.128869911779</f>
        <v>-1176.9907356467472</v>
      </c>
      <c r="Q1064">
        <f>-469.792089434802 -52.6699909215181 -339.016175842835</f>
        <v>-861.47825619915511</v>
      </c>
      <c r="R1064" t="s">
        <v>22209</v>
      </c>
      <c r="S1064" t="s">
        <v>22210</v>
      </c>
      <c r="T1064" t="s">
        <v>22211</v>
      </c>
      <c r="U1064" t="s">
        <v>22212</v>
      </c>
      <c r="V1064" t="s">
        <v>22213</v>
      </c>
      <c r="W1064" t="s">
        <v>22214</v>
      </c>
      <c r="X1064" t="s">
        <v>22215</v>
      </c>
      <c r="Y1064" t="s">
        <v>22216</v>
      </c>
    </row>
    <row r="1065" spans="1:25" x14ac:dyDescent="0.3">
      <c r="A1065">
        <v>53200</v>
      </c>
      <c r="B1065" t="s">
        <v>22217</v>
      </c>
      <c r="C1065" t="s">
        <v>22218</v>
      </c>
      <c r="D1065" t="s">
        <v>22219</v>
      </c>
      <c r="E1065" t="s">
        <v>22220</v>
      </c>
      <c r="F1065" t="s">
        <v>22221</v>
      </c>
      <c r="G1065" t="s">
        <v>22222</v>
      </c>
      <c r="H1065" t="s">
        <v>22223</v>
      </c>
      <c r="I1065" t="s">
        <v>22224</v>
      </c>
      <c r="J1065" t="s">
        <v>22225</v>
      </c>
      <c r="K1065" t="s">
        <v>22226</v>
      </c>
      <c r="L1065" t="s">
        <v>22227</v>
      </c>
      <c r="M1065" t="s">
        <v>22228</v>
      </c>
      <c r="N1065" t="s">
        <v>22229</v>
      </c>
      <c r="O1065">
        <f>-740.028763357724 -72.8561569156509 -721.964794123995</f>
        <v>-1534.84971439737</v>
      </c>
      <c r="P1065">
        <f>-720.718658367755 -48.6730199146666 -406.95920580117</f>
        <v>-1176.3508840835916</v>
      </c>
      <c r="Q1065">
        <f>-470.01131703591 -51.8261836345512 -337.836626573248</f>
        <v>-859.67412724370911</v>
      </c>
      <c r="R1065" t="s">
        <v>22230</v>
      </c>
      <c r="S1065" t="s">
        <v>22231</v>
      </c>
      <c r="T1065" t="s">
        <v>22232</v>
      </c>
      <c r="U1065" t="s">
        <v>22233</v>
      </c>
      <c r="V1065" t="s">
        <v>22234</v>
      </c>
      <c r="W1065" t="s">
        <v>22235</v>
      </c>
      <c r="X1065" t="s">
        <v>22236</v>
      </c>
      <c r="Y1065" t="s">
        <v>22237</v>
      </c>
    </row>
    <row r="1066" spans="1:25" x14ac:dyDescent="0.3">
      <c r="A1066">
        <v>53250</v>
      </c>
      <c r="B1066" t="s">
        <v>22238</v>
      </c>
      <c r="C1066" t="s">
        <v>22239</v>
      </c>
      <c r="D1066" t="s">
        <v>22240</v>
      </c>
      <c r="E1066" t="s">
        <v>22241</v>
      </c>
      <c r="F1066" t="s">
        <v>22242</v>
      </c>
      <c r="G1066" t="s">
        <v>22243</v>
      </c>
      <c r="H1066" t="s">
        <v>22244</v>
      </c>
      <c r="I1066" t="s">
        <v>22245</v>
      </c>
      <c r="J1066" t="s">
        <v>22246</v>
      </c>
      <c r="K1066" t="s">
        <v>22247</v>
      </c>
      <c r="L1066" t="s">
        <v>22248</v>
      </c>
      <c r="M1066" t="s">
        <v>22249</v>
      </c>
      <c r="N1066" t="s">
        <v>22250</v>
      </c>
      <c r="O1066">
        <f>-739.41014047672 -73.4998098419705 -721.708863129272</f>
        <v>-1534.6188134479626</v>
      </c>
      <c r="P1066">
        <f>-720.377826402433 -48.0710373596964 -406.784578668282</f>
        <v>-1175.2334424304115</v>
      </c>
      <c r="Q1066">
        <f>-470.100612069665 -49.6103021433319 -336.066979489817</f>
        <v>-855.7778937028138</v>
      </c>
      <c r="R1066" t="s">
        <v>22251</v>
      </c>
      <c r="S1066" t="s">
        <v>22252</v>
      </c>
      <c r="T1066" t="s">
        <v>22253</v>
      </c>
      <c r="U1066" t="s">
        <v>22254</v>
      </c>
      <c r="V1066" t="s">
        <v>22255</v>
      </c>
      <c r="W1066" t="s">
        <v>22256</v>
      </c>
      <c r="X1066" t="s">
        <v>22257</v>
      </c>
      <c r="Y1066" t="s">
        <v>22258</v>
      </c>
    </row>
    <row r="1067" spans="1:25" x14ac:dyDescent="0.3">
      <c r="A1067">
        <v>53300</v>
      </c>
      <c r="B1067" t="s">
        <v>22259</v>
      </c>
      <c r="C1067" t="s">
        <v>22260</v>
      </c>
      <c r="D1067" t="s">
        <v>22261</v>
      </c>
      <c r="E1067" t="s">
        <v>22262</v>
      </c>
      <c r="F1067" t="s">
        <v>22263</v>
      </c>
      <c r="G1067" t="s">
        <v>22264</v>
      </c>
      <c r="H1067" t="s">
        <v>22265</v>
      </c>
      <c r="I1067" t="s">
        <v>22266</v>
      </c>
      <c r="J1067" t="s">
        <v>22267</v>
      </c>
      <c r="K1067" t="s">
        <v>22268</v>
      </c>
      <c r="L1067" t="s">
        <v>22269</v>
      </c>
      <c r="M1067" t="s">
        <v>22270</v>
      </c>
      <c r="N1067" t="s">
        <v>22271</v>
      </c>
      <c r="O1067">
        <f>-739.119338663315 -73.7772424882266 -721.691725287772</f>
        <v>-1534.5883064393138</v>
      </c>
      <c r="P1067">
        <f>-720.122941208573 -48.0580178027317 -406.788915578472</f>
        <v>-1174.9698745897767</v>
      </c>
      <c r="Q1067">
        <f>-469.972813891497 -48.1624772021046 -335.605846924186</f>
        <v>-853.74113801778753</v>
      </c>
      <c r="R1067" t="s">
        <v>22272</v>
      </c>
      <c r="S1067" t="s">
        <v>22273</v>
      </c>
      <c r="T1067" t="s">
        <v>22274</v>
      </c>
      <c r="U1067" t="s">
        <v>22275</v>
      </c>
      <c r="V1067" t="s">
        <v>22276</v>
      </c>
      <c r="W1067" t="s">
        <v>22277</v>
      </c>
      <c r="X1067" t="s">
        <v>22278</v>
      </c>
      <c r="Y1067" t="s">
        <v>22279</v>
      </c>
    </row>
    <row r="1068" spans="1:25" x14ac:dyDescent="0.3">
      <c r="A1068">
        <v>53350</v>
      </c>
      <c r="B1068" t="s">
        <v>22280</v>
      </c>
      <c r="C1068" t="s">
        <v>22281</v>
      </c>
      <c r="D1068" t="s">
        <v>22282</v>
      </c>
      <c r="E1068" t="s">
        <v>22283</v>
      </c>
      <c r="F1068" t="s">
        <v>22284</v>
      </c>
      <c r="G1068" t="s">
        <v>22285</v>
      </c>
      <c r="H1068" t="s">
        <v>22286</v>
      </c>
      <c r="I1068" t="s">
        <v>22287</v>
      </c>
      <c r="J1068" t="s">
        <v>22288</v>
      </c>
      <c r="K1068" t="s">
        <v>22289</v>
      </c>
      <c r="L1068" t="s">
        <v>22290</v>
      </c>
      <c r="M1068" t="s">
        <v>22291</v>
      </c>
      <c r="N1068" t="s">
        <v>22292</v>
      </c>
      <c r="O1068">
        <f>-738.333146467985 -74.3755792487082 -721.839355889731</f>
        <v>-1534.5480816064241</v>
      </c>
      <c r="P1068">
        <f>-719.791559444425 -47.7550407979891 -406.984320809285</f>
        <v>-1174.5309210516991</v>
      </c>
      <c r="Q1068">
        <f>-470.087099769973 -44.8618353577531 -334.31131247578</f>
        <v>-849.26024760350617</v>
      </c>
      <c r="R1068" t="s">
        <v>22293</v>
      </c>
      <c r="S1068" t="s">
        <v>22294</v>
      </c>
      <c r="T1068" t="s">
        <v>22295</v>
      </c>
      <c r="U1068" t="s">
        <v>22296</v>
      </c>
      <c r="V1068" t="s">
        <v>22297</v>
      </c>
      <c r="W1068" t="s">
        <v>22298</v>
      </c>
      <c r="X1068" t="s">
        <v>22299</v>
      </c>
      <c r="Y1068" t="s">
        <v>22300</v>
      </c>
    </row>
    <row r="1069" spans="1:25" x14ac:dyDescent="0.3">
      <c r="A1069">
        <v>53400</v>
      </c>
      <c r="B1069" t="s">
        <v>22301</v>
      </c>
      <c r="C1069" t="s">
        <v>22302</v>
      </c>
      <c r="D1069" t="s">
        <v>22303</v>
      </c>
      <c r="E1069" t="s">
        <v>22304</v>
      </c>
      <c r="F1069" t="s">
        <v>22305</v>
      </c>
      <c r="G1069" t="s">
        <v>22306</v>
      </c>
      <c r="H1069" t="s">
        <v>22307</v>
      </c>
      <c r="I1069" t="s">
        <v>22308</v>
      </c>
      <c r="J1069" t="s">
        <v>22309</v>
      </c>
      <c r="K1069" t="s">
        <v>22310</v>
      </c>
      <c r="L1069" t="s">
        <v>22311</v>
      </c>
      <c r="M1069" t="s">
        <v>22312</v>
      </c>
      <c r="N1069" t="s">
        <v>22313</v>
      </c>
      <c r="O1069">
        <f>-737.838115476333 -74.5708197546769 -721.928739197073</f>
        <v>-1534.3376744280829</v>
      </c>
      <c r="P1069">
        <f>-719.786951995333 -47.6393765075613 -407.071488243986</f>
        <v>-1174.4978167468803</v>
      </c>
      <c r="Q1069">
        <f>-470.150760343949 -43.254159599036 -334.238860611142</f>
        <v>-847.64378055412703</v>
      </c>
      <c r="R1069" t="s">
        <v>22314</v>
      </c>
      <c r="S1069" t="s">
        <v>22315</v>
      </c>
      <c r="T1069" t="s">
        <v>22316</v>
      </c>
      <c r="U1069" t="s">
        <v>22317</v>
      </c>
      <c r="V1069" t="s">
        <v>22318</v>
      </c>
      <c r="W1069" t="s">
        <v>22319</v>
      </c>
      <c r="X1069" t="s">
        <v>22320</v>
      </c>
      <c r="Y1069" t="s">
        <v>22321</v>
      </c>
    </row>
    <row r="1070" spans="1:25" x14ac:dyDescent="0.3">
      <c r="A1070">
        <v>53450</v>
      </c>
      <c r="B1070" t="s">
        <v>22322</v>
      </c>
      <c r="C1070" t="s">
        <v>22323</v>
      </c>
      <c r="D1070" t="s">
        <v>22324</v>
      </c>
      <c r="E1070" t="s">
        <v>22325</v>
      </c>
      <c r="F1070" t="s">
        <v>22326</v>
      </c>
      <c r="G1070" t="s">
        <v>22327</v>
      </c>
      <c r="H1070" t="s">
        <v>22328</v>
      </c>
      <c r="I1070" t="s">
        <v>22329</v>
      </c>
      <c r="J1070" t="s">
        <v>22330</v>
      </c>
      <c r="K1070" t="s">
        <v>22331</v>
      </c>
      <c r="L1070" t="s">
        <v>22332</v>
      </c>
      <c r="M1070" t="s">
        <v>22333</v>
      </c>
      <c r="N1070" t="s">
        <v>22334</v>
      </c>
      <c r="O1070">
        <f>-737.511325146814 -74.6240665234361 -722.018642486871</f>
        <v>-1534.1540341571213</v>
      </c>
      <c r="P1070">
        <f>-719.384359915688 -47.2192898069748 -407.206629363411</f>
        <v>-1173.8102790860739</v>
      </c>
      <c r="Q1070">
        <f>-470.200245400455 -40.8332527929574 -332.986937857399</f>
        <v>-844.02043605081144</v>
      </c>
      <c r="R1070" t="s">
        <v>22335</v>
      </c>
      <c r="S1070" t="s">
        <v>22336</v>
      </c>
      <c r="T1070" t="s">
        <v>22337</v>
      </c>
      <c r="U1070" t="s">
        <v>22338</v>
      </c>
      <c r="V1070" t="s">
        <v>22339</v>
      </c>
      <c r="W1070" t="s">
        <v>22340</v>
      </c>
      <c r="X1070" t="s">
        <v>22341</v>
      </c>
      <c r="Y1070" t="s">
        <v>22342</v>
      </c>
    </row>
    <row r="1071" spans="1:25" x14ac:dyDescent="0.3">
      <c r="A1071">
        <v>53500</v>
      </c>
      <c r="B1071" t="s">
        <v>22343</v>
      </c>
      <c r="C1071" t="s">
        <v>22344</v>
      </c>
      <c r="D1071" t="s">
        <v>22345</v>
      </c>
      <c r="E1071" t="s">
        <v>22346</v>
      </c>
      <c r="F1071" t="s">
        <v>22347</v>
      </c>
      <c r="G1071" t="s">
        <v>22348</v>
      </c>
      <c r="H1071" t="s">
        <v>22349</v>
      </c>
      <c r="I1071" t="s">
        <v>22350</v>
      </c>
      <c r="J1071" t="s">
        <v>22351</v>
      </c>
      <c r="K1071" t="s">
        <v>22352</v>
      </c>
      <c r="L1071" t="s">
        <v>22353</v>
      </c>
      <c r="M1071" t="s">
        <v>22354</v>
      </c>
      <c r="N1071" t="s">
        <v>22355</v>
      </c>
      <c r="O1071">
        <f>-737.458799381772 -74.7457990332509 -721.961913680853</f>
        <v>-1534.166512095876</v>
      </c>
      <c r="P1071">
        <f>-719.699361499401 -47.0386564268306 -407.155435963602</f>
        <v>-1173.8934538898336</v>
      </c>
      <c r="Q1071">
        <f>-470.578303738782 -39.2895065499015 -332.854044480781</f>
        <v>-842.72185476946447</v>
      </c>
      <c r="R1071" t="s">
        <v>22356</v>
      </c>
      <c r="S1071" t="s">
        <v>22357</v>
      </c>
      <c r="T1071" t="s">
        <v>22358</v>
      </c>
      <c r="U1071" t="s">
        <v>22359</v>
      </c>
      <c r="V1071" t="s">
        <v>22360</v>
      </c>
      <c r="W1071" t="s">
        <v>22361</v>
      </c>
      <c r="X1071" t="s">
        <v>22362</v>
      </c>
      <c r="Y1071" t="s">
        <v>22363</v>
      </c>
    </row>
    <row r="1072" spans="1:25" x14ac:dyDescent="0.3">
      <c r="A1072">
        <v>53550</v>
      </c>
      <c r="B1072" t="s">
        <v>22364</v>
      </c>
      <c r="C1072" t="s">
        <v>22365</v>
      </c>
      <c r="D1072" t="s">
        <v>22366</v>
      </c>
      <c r="E1072" t="s">
        <v>22367</v>
      </c>
      <c r="F1072" t="s">
        <v>22368</v>
      </c>
      <c r="G1072" t="s">
        <v>22369</v>
      </c>
      <c r="H1072" t="s">
        <v>22370</v>
      </c>
      <c r="I1072" t="s">
        <v>22371</v>
      </c>
      <c r="J1072" t="s">
        <v>22372</v>
      </c>
      <c r="K1072" t="s">
        <v>22373</v>
      </c>
      <c r="L1072" t="s">
        <v>22374</v>
      </c>
      <c r="M1072">
        <f>-290.177640852011 -1.17444953866334 -315.256553398641</f>
        <v>-606.60864378931535</v>
      </c>
      <c r="N1072" t="s">
        <v>22375</v>
      </c>
      <c r="O1072">
        <f>-737.283583084968 -74.8110459120433 -721.959479026245</f>
        <v>-1534.0541080232563</v>
      </c>
      <c r="P1072">
        <f>-719.705926998105 -47.0526351828494 -407.147290064676</f>
        <v>-1173.9058522456303</v>
      </c>
      <c r="Q1072">
        <f>-470.48038661242 -37.8814507786749 -333.359915715506</f>
        <v>-841.72175310660089</v>
      </c>
      <c r="R1072" t="s">
        <v>22376</v>
      </c>
      <c r="S1072" t="s">
        <v>22377</v>
      </c>
      <c r="T1072" t="s">
        <v>22378</v>
      </c>
      <c r="U1072" t="s">
        <v>22379</v>
      </c>
      <c r="V1072" t="s">
        <v>22380</v>
      </c>
      <c r="W1072" t="s">
        <v>22381</v>
      </c>
      <c r="X1072" t="s">
        <v>22382</v>
      </c>
      <c r="Y1072" t="s">
        <v>22383</v>
      </c>
    </row>
    <row r="1073" spans="1:25" x14ac:dyDescent="0.3">
      <c r="A1073">
        <v>53600</v>
      </c>
      <c r="B1073" t="s">
        <v>22384</v>
      </c>
      <c r="C1073" t="s">
        <v>22385</v>
      </c>
      <c r="D1073" t="s">
        <v>22386</v>
      </c>
      <c r="E1073" t="s">
        <v>22387</v>
      </c>
      <c r="F1073" t="s">
        <v>22388</v>
      </c>
      <c r="G1073" t="s">
        <v>22389</v>
      </c>
      <c r="H1073" t="s">
        <v>22390</v>
      </c>
      <c r="I1073" t="s">
        <v>22391</v>
      </c>
      <c r="J1073" t="s">
        <v>22392</v>
      </c>
      <c r="K1073" t="s">
        <v>22393</v>
      </c>
      <c r="L1073" t="s">
        <v>22394</v>
      </c>
      <c r="M1073">
        <f>-290.865856020714 -4.37855898008957 -317.158790168216</f>
        <v>-612.40320516901954</v>
      </c>
      <c r="N1073" t="s">
        <v>22395</v>
      </c>
      <c r="O1073">
        <f>-737.437306023113 -74.7268003837476 -721.973391728377</f>
        <v>-1534.1374981352376</v>
      </c>
      <c r="P1073">
        <f>-719.931340072845 -47.1663784614746 -407.139813558898</f>
        <v>-1174.2375320932176</v>
      </c>
      <c r="Q1073">
        <f>-470.6095904063 -37.2899402571481 -333.76961784353</f>
        <v>-841.6691485069781</v>
      </c>
      <c r="R1073" t="s">
        <v>22396</v>
      </c>
      <c r="S1073" t="s">
        <v>22397</v>
      </c>
      <c r="T1073" t="s">
        <v>22398</v>
      </c>
      <c r="U1073" t="s">
        <v>22399</v>
      </c>
      <c r="V1073" t="s">
        <v>22400</v>
      </c>
      <c r="W1073" t="s">
        <v>22401</v>
      </c>
      <c r="X1073" t="s">
        <v>22402</v>
      </c>
      <c r="Y1073" t="s">
        <v>22403</v>
      </c>
    </row>
    <row r="1074" spans="1:25" x14ac:dyDescent="0.3">
      <c r="A1074">
        <v>53650</v>
      </c>
      <c r="B1074" t="s">
        <v>22404</v>
      </c>
      <c r="C1074" t="s">
        <v>22405</v>
      </c>
      <c r="D1074" t="s">
        <v>22406</v>
      </c>
      <c r="E1074" t="s">
        <v>22407</v>
      </c>
      <c r="F1074" t="s">
        <v>22408</v>
      </c>
      <c r="G1074" t="s">
        <v>22409</v>
      </c>
      <c r="H1074" t="s">
        <v>22410</v>
      </c>
      <c r="I1074" t="s">
        <v>22411</v>
      </c>
      <c r="J1074" t="s">
        <v>22412</v>
      </c>
      <c r="K1074" t="s">
        <v>22413</v>
      </c>
      <c r="L1074" t="s">
        <v>22414</v>
      </c>
      <c r="M1074">
        <f>-293.347113125242 -11.0278047879624 -321.089583582887</f>
        <v>-625.46450149609132</v>
      </c>
      <c r="N1074" t="s">
        <v>22415</v>
      </c>
      <c r="O1074">
        <f>-738.461181224557 -74.4472725714559 -721.822379903826</f>
        <v>-1534.730833699839</v>
      </c>
      <c r="P1074">
        <f>-720.322462187697 -47.225685123115 -406.995186947834</f>
        <v>-1174.5433342586462</v>
      </c>
      <c r="Q1074">
        <f>-470.875576506564 -36.3554431009345 -334.193176736514</f>
        <v>-841.42419634401244</v>
      </c>
      <c r="R1074" t="s">
        <v>22416</v>
      </c>
      <c r="S1074" t="s">
        <v>22417</v>
      </c>
      <c r="T1074" t="s">
        <v>22418</v>
      </c>
      <c r="U1074" t="s">
        <v>22419</v>
      </c>
      <c r="V1074" t="s">
        <v>22420</v>
      </c>
      <c r="W1074" t="s">
        <v>22421</v>
      </c>
      <c r="X1074" t="s">
        <v>22422</v>
      </c>
      <c r="Y1074" t="s">
        <v>22423</v>
      </c>
    </row>
    <row r="1075" spans="1:25" x14ac:dyDescent="0.3">
      <c r="A1075">
        <v>53700</v>
      </c>
      <c r="B1075" t="s">
        <v>22424</v>
      </c>
      <c r="C1075" t="s">
        <v>22425</v>
      </c>
      <c r="D1075" t="s">
        <v>22426</v>
      </c>
      <c r="E1075" t="s">
        <v>22427</v>
      </c>
      <c r="F1075" t="s">
        <v>22428</v>
      </c>
      <c r="G1075" t="s">
        <v>22429</v>
      </c>
      <c r="H1075" t="s">
        <v>22430</v>
      </c>
      <c r="I1075" t="s">
        <v>22431</v>
      </c>
      <c r="J1075" t="s">
        <v>22432</v>
      </c>
      <c r="K1075" t="s">
        <v>22433</v>
      </c>
      <c r="L1075" t="s">
        <v>22434</v>
      </c>
      <c r="M1075">
        <f>-294.484544147003 -13.8823448754663 -322.490312427174</f>
        <v>-630.8572014496433</v>
      </c>
      <c r="N1075" t="s">
        <v>22435</v>
      </c>
      <c r="O1075">
        <f>-738.973708711364 -74.1378718522926 -721.872015026245</f>
        <v>-1534.9835955899016</v>
      </c>
      <c r="P1075">
        <f>-720.430779899494 -47.5339794913841 -407.015520833002</f>
        <v>-1174.9802802238801</v>
      </c>
      <c r="Q1075">
        <f>-471.052991307006 -35.6705175105708 -334.131611084565</f>
        <v>-840.85511990214172</v>
      </c>
      <c r="R1075" t="s">
        <v>22436</v>
      </c>
      <c r="S1075" t="s">
        <v>22437</v>
      </c>
      <c r="T1075" t="s">
        <v>22438</v>
      </c>
      <c r="U1075" t="s">
        <v>22439</v>
      </c>
      <c r="V1075" t="s">
        <v>22440</v>
      </c>
      <c r="W1075" t="s">
        <v>22441</v>
      </c>
      <c r="X1075" t="s">
        <v>22442</v>
      </c>
      <c r="Y1075" t="s">
        <v>22443</v>
      </c>
    </row>
    <row r="1076" spans="1:25" x14ac:dyDescent="0.3">
      <c r="A1076">
        <v>53750</v>
      </c>
      <c r="B1076" t="s">
        <v>22444</v>
      </c>
      <c r="C1076" t="s">
        <v>22445</v>
      </c>
      <c r="D1076" t="s">
        <v>22446</v>
      </c>
      <c r="E1076" t="s">
        <v>22447</v>
      </c>
      <c r="F1076" t="s">
        <v>22448</v>
      </c>
      <c r="G1076" t="s">
        <v>22449</v>
      </c>
      <c r="H1076" t="s">
        <v>22450</v>
      </c>
      <c r="I1076" t="s">
        <v>22451</v>
      </c>
      <c r="J1076" t="s">
        <v>22452</v>
      </c>
      <c r="K1076" t="s">
        <v>22453</v>
      </c>
      <c r="L1076" t="s">
        <v>22454</v>
      </c>
      <c r="M1076">
        <f>-296.961392308383 -18.0442898795895 -324.041045207896</f>
        <v>-639.0467273958684</v>
      </c>
      <c r="N1076" t="s">
        <v>22455</v>
      </c>
      <c r="O1076">
        <f>-740.241290128469 -73.4861670267721 -721.859149149391</f>
        <v>-1535.5866063046321</v>
      </c>
      <c r="P1076">
        <f>-720.780043105664 -46.4271652841489 -407.096925219084</f>
        <v>-1174.304133608897</v>
      </c>
      <c r="Q1076">
        <f>-471.377820943509 -34.1533139303447 -334.365006988676</f>
        <v>-839.8961418625297</v>
      </c>
      <c r="R1076" t="s">
        <v>22456</v>
      </c>
      <c r="S1076" t="s">
        <v>22457</v>
      </c>
      <c r="T1076" t="s">
        <v>22458</v>
      </c>
      <c r="U1076" t="s">
        <v>22459</v>
      </c>
      <c r="V1076" t="s">
        <v>22460</v>
      </c>
      <c r="W1076" t="s">
        <v>22461</v>
      </c>
      <c r="X1076" t="s">
        <v>22462</v>
      </c>
      <c r="Y1076" t="s">
        <v>22463</v>
      </c>
    </row>
    <row r="1077" spans="1:25" x14ac:dyDescent="0.3">
      <c r="A1077">
        <v>53800</v>
      </c>
      <c r="B1077" t="s">
        <v>22464</v>
      </c>
      <c r="C1077" t="s">
        <v>22465</v>
      </c>
      <c r="D1077" t="s">
        <v>22466</v>
      </c>
      <c r="E1077" t="s">
        <v>22467</v>
      </c>
      <c r="F1077" t="s">
        <v>22468</v>
      </c>
      <c r="G1077" t="s">
        <v>22469</v>
      </c>
      <c r="H1077" t="s">
        <v>22470</v>
      </c>
      <c r="I1077" t="s">
        <v>22471</v>
      </c>
      <c r="J1077" t="s">
        <v>22472</v>
      </c>
      <c r="K1077" t="s">
        <v>22473</v>
      </c>
      <c r="L1077" t="s">
        <v>22474</v>
      </c>
      <c r="M1077">
        <f>-297.900794629734 -19.2256602622042 -323.691888038075</f>
        <v>-640.81834293001316</v>
      </c>
      <c r="N1077" t="s">
        <v>22475</v>
      </c>
      <c r="O1077">
        <f>-740.736271679571 -73.1687620125276 -721.931463200245</f>
        <v>-1535.8364968923438</v>
      </c>
      <c r="P1077">
        <f>-720.956233594738 -46.9651484357109 -407.116855483113</f>
        <v>-1175.0382375135619</v>
      </c>
      <c r="Q1077">
        <f>-471.571429993249 -34.9225425961963 -334.286436616859</f>
        <v>-840.78040920630428</v>
      </c>
      <c r="R1077" t="s">
        <v>22476</v>
      </c>
      <c r="S1077" t="s">
        <v>22477</v>
      </c>
      <c r="T1077" t="s">
        <v>22478</v>
      </c>
      <c r="U1077" t="s">
        <v>22479</v>
      </c>
      <c r="V1077" t="s">
        <v>22480</v>
      </c>
      <c r="W1077" t="s">
        <v>22481</v>
      </c>
      <c r="X1077" t="s">
        <v>22482</v>
      </c>
      <c r="Y1077" t="s">
        <v>22483</v>
      </c>
    </row>
    <row r="1078" spans="1:25" x14ac:dyDescent="0.3">
      <c r="A1078">
        <v>53850</v>
      </c>
      <c r="B1078" t="s">
        <v>22484</v>
      </c>
      <c r="C1078" t="s">
        <v>22485</v>
      </c>
      <c r="D1078" t="s">
        <v>22486</v>
      </c>
      <c r="E1078" t="s">
        <v>22487</v>
      </c>
      <c r="F1078" t="s">
        <v>22488</v>
      </c>
      <c r="G1078" t="s">
        <v>22489</v>
      </c>
      <c r="H1078" t="s">
        <v>22490</v>
      </c>
      <c r="I1078" t="s">
        <v>22491</v>
      </c>
      <c r="J1078" t="s">
        <v>22492</v>
      </c>
      <c r="K1078" t="s">
        <v>22493</v>
      </c>
      <c r="L1078" t="s">
        <v>22494</v>
      </c>
      <c r="M1078">
        <f>-298.583371617711 -17.1272559439587 -319.355441512358</f>
        <v>-635.06606907402772</v>
      </c>
      <c r="N1078" t="s">
        <v>22495</v>
      </c>
      <c r="O1078">
        <f>-741.79744616947 -72.1431801361955 -722.409855021464</f>
        <v>-1536.3504813271295</v>
      </c>
      <c r="P1078">
        <f>-722.235610556953 -46.5719108565179 -407.529544625307</f>
        <v>-1176.3370660387779</v>
      </c>
      <c r="Q1078">
        <f>-472.835105944812 -35.2629688707025 -334.635579559975</f>
        <v>-842.73365437548955</v>
      </c>
      <c r="R1078" t="s">
        <v>22496</v>
      </c>
      <c r="S1078" t="s">
        <v>22497</v>
      </c>
      <c r="T1078" t="s">
        <v>22498</v>
      </c>
      <c r="U1078" t="s">
        <v>22499</v>
      </c>
      <c r="V1078" t="s">
        <v>22500</v>
      </c>
      <c r="W1078" t="s">
        <v>22501</v>
      </c>
      <c r="X1078" t="s">
        <v>22502</v>
      </c>
      <c r="Y1078" t="s">
        <v>22503</v>
      </c>
    </row>
    <row r="1079" spans="1:25" x14ac:dyDescent="0.3">
      <c r="A1079">
        <v>53900</v>
      </c>
      <c r="B1079" t="s">
        <v>22504</v>
      </c>
      <c r="C1079" t="s">
        <v>22505</v>
      </c>
      <c r="D1079" t="s">
        <v>22506</v>
      </c>
      <c r="E1079" t="s">
        <v>22507</v>
      </c>
      <c r="F1079" t="s">
        <v>22508</v>
      </c>
      <c r="G1079" t="s">
        <v>22509</v>
      </c>
      <c r="H1079" t="s">
        <v>22510</v>
      </c>
      <c r="I1079" t="s">
        <v>22511</v>
      </c>
      <c r="J1079" t="s">
        <v>22512</v>
      </c>
      <c r="K1079" t="s">
        <v>22513</v>
      </c>
      <c r="L1079" t="s">
        <v>22514</v>
      </c>
      <c r="M1079">
        <f>-296.879464978243 -11.1685177689824 -314.141345235885</f>
        <v>-622.18932798311039</v>
      </c>
      <c r="N1079" t="s">
        <v>22515</v>
      </c>
      <c r="O1079">
        <f>-742.305204345866 -71.5631806740507 -722.751677894984</f>
        <v>-1536.6200629149007</v>
      </c>
      <c r="P1079">
        <f>-722.881703398672 -46.7354497135573 -407.803297484377</f>
        <v>-1177.4204505966063</v>
      </c>
      <c r="Q1079">
        <f>-473.487952401854 -35.6900235520513 -334.845604827139</f>
        <v>-844.0235807810443</v>
      </c>
      <c r="R1079" t="s">
        <v>22516</v>
      </c>
      <c r="S1079" t="s">
        <v>22517</v>
      </c>
      <c r="T1079" t="s">
        <v>22518</v>
      </c>
      <c r="U1079" t="s">
        <v>22519</v>
      </c>
      <c r="V1079" t="s">
        <v>22520</v>
      </c>
      <c r="W1079" t="s">
        <v>22521</v>
      </c>
      <c r="X1079" t="s">
        <v>22522</v>
      </c>
      <c r="Y1079" t="s">
        <v>22523</v>
      </c>
    </row>
    <row r="1080" spans="1:25" x14ac:dyDescent="0.3">
      <c r="A1080">
        <v>53950</v>
      </c>
      <c r="B1080" t="s">
        <v>22524</v>
      </c>
      <c r="C1080" t="s">
        <v>22525</v>
      </c>
      <c r="D1080" t="s">
        <v>22526</v>
      </c>
      <c r="E1080" t="s">
        <v>22527</v>
      </c>
      <c r="F1080" t="s">
        <v>22528</v>
      </c>
      <c r="G1080" t="s">
        <v>22529</v>
      </c>
      <c r="H1080" t="s">
        <v>22530</v>
      </c>
      <c r="I1080" t="s">
        <v>22531</v>
      </c>
      <c r="J1080" t="s">
        <v>22532</v>
      </c>
      <c r="K1080" t="s">
        <v>22533</v>
      </c>
      <c r="L1080" t="s">
        <v>22534</v>
      </c>
      <c r="M1080">
        <f>-294.217854840843 -3.96821605705304 -309.083025211093</f>
        <v>-607.26909610898906</v>
      </c>
      <c r="N1080" t="s">
        <v>22535</v>
      </c>
      <c r="O1080">
        <f>-742.761844395287 -71.0655124598109 -723.089978183878</f>
        <v>-1536.9173350389758</v>
      </c>
      <c r="P1080">
        <f>-723.455318337887 -46.3591655708885 -408.124772634993</f>
        <v>-1177.9392565437686</v>
      </c>
      <c r="Q1080">
        <f>-474.007448623956 -35.6074131366763 -335.308052643554</f>
        <v>-844.92291440418626</v>
      </c>
      <c r="R1080" t="s">
        <v>22536</v>
      </c>
      <c r="S1080" t="s">
        <v>22537</v>
      </c>
      <c r="T1080" t="s">
        <v>22538</v>
      </c>
      <c r="U1080" t="s">
        <v>22539</v>
      </c>
      <c r="V1080" t="s">
        <v>22540</v>
      </c>
      <c r="W1080" t="s">
        <v>22541</v>
      </c>
      <c r="X1080" t="s">
        <v>22542</v>
      </c>
      <c r="Y1080" t="s">
        <v>22543</v>
      </c>
    </row>
    <row r="1081" spans="1:25" x14ac:dyDescent="0.3">
      <c r="A1081">
        <v>54000</v>
      </c>
      <c r="B1081" t="s">
        <v>22544</v>
      </c>
      <c r="C1081" t="s">
        <v>22545</v>
      </c>
      <c r="D1081" t="s">
        <v>22546</v>
      </c>
      <c r="E1081" t="s">
        <v>22547</v>
      </c>
      <c r="F1081" t="s">
        <v>22548</v>
      </c>
      <c r="G1081" t="s">
        <v>22549</v>
      </c>
      <c r="H1081" t="s">
        <v>22550</v>
      </c>
      <c r="I1081" t="s">
        <v>22551</v>
      </c>
      <c r="J1081" t="s">
        <v>22552</v>
      </c>
      <c r="K1081" t="s">
        <v>22553</v>
      </c>
      <c r="L1081" t="s">
        <v>22554</v>
      </c>
      <c r="M1081">
        <f>-293.029954887092 -0.348855085612286 -306.629247179017</f>
        <v>-600.00805715172123</v>
      </c>
      <c r="N1081" t="s">
        <v>22555</v>
      </c>
      <c r="O1081">
        <f>-743.309144884162 -70.6305724902195 -723.427733396869</f>
        <v>-1537.3674507712506</v>
      </c>
      <c r="P1081">
        <f>-724.106299093843 -46.2298678222614 -408.432383340771</f>
        <v>-1178.7685502568754</v>
      </c>
      <c r="Q1081">
        <f>-474.55753250983 -35.7039136900617 -335.929392816065</f>
        <v>-846.19083901595673</v>
      </c>
      <c r="R1081" t="s">
        <v>22556</v>
      </c>
      <c r="S1081" t="s">
        <v>22557</v>
      </c>
      <c r="T1081" t="s">
        <v>22558</v>
      </c>
      <c r="U1081" t="s">
        <v>22559</v>
      </c>
      <c r="V1081" t="s">
        <v>22560</v>
      </c>
      <c r="W1081" t="s">
        <v>22561</v>
      </c>
      <c r="X1081" t="s">
        <v>22562</v>
      </c>
      <c r="Y1081" t="s">
        <v>22563</v>
      </c>
    </row>
    <row r="1082" spans="1:25" x14ac:dyDescent="0.3">
      <c r="A1082">
        <v>54050</v>
      </c>
      <c r="B1082" t="s">
        <v>22564</v>
      </c>
      <c r="C1082" t="s">
        <v>22565</v>
      </c>
      <c r="D1082" t="s">
        <v>22566</v>
      </c>
      <c r="E1082" t="s">
        <v>22567</v>
      </c>
      <c r="F1082" t="s">
        <v>22568</v>
      </c>
      <c r="G1082" t="s">
        <v>22569</v>
      </c>
      <c r="H1082" t="s">
        <v>22570</v>
      </c>
      <c r="I1082" t="s">
        <v>22571</v>
      </c>
      <c r="J1082" t="s">
        <v>22572</v>
      </c>
      <c r="K1082" t="s">
        <v>22573</v>
      </c>
      <c r="L1082" t="s">
        <v>22574</v>
      </c>
      <c r="M1082" t="s">
        <v>22575</v>
      </c>
      <c r="N1082" t="s">
        <v>22576</v>
      </c>
      <c r="O1082">
        <f>-745.617367776117 -68.3269993967897 -724.364390665211</f>
        <v>-1538.3087578381178</v>
      </c>
      <c r="P1082">
        <f>-725.723674810366 -45.40650148696 -409.300719895007</f>
        <v>-1180.430896192333</v>
      </c>
      <c r="Q1082">
        <f>-476.138576548642 -35.2175364658669 -336.87458851656</f>
        <v>-848.23070153106892</v>
      </c>
      <c r="R1082" t="s">
        <v>22577</v>
      </c>
      <c r="S1082" t="s">
        <v>22578</v>
      </c>
      <c r="T1082" t="s">
        <v>22579</v>
      </c>
      <c r="U1082" t="s">
        <v>22580</v>
      </c>
      <c r="V1082" t="s">
        <v>22581</v>
      </c>
      <c r="W1082" t="s">
        <v>22582</v>
      </c>
      <c r="X1082" t="s">
        <v>22583</v>
      </c>
      <c r="Y1082" t="s">
        <v>22584</v>
      </c>
    </row>
    <row r="1083" spans="1:25" x14ac:dyDescent="0.3">
      <c r="A1083">
        <v>54100</v>
      </c>
      <c r="B1083" t="s">
        <v>22585</v>
      </c>
      <c r="C1083" t="s">
        <v>22586</v>
      </c>
      <c r="D1083" t="s">
        <v>22587</v>
      </c>
      <c r="E1083" t="s">
        <v>22588</v>
      </c>
      <c r="F1083" t="s">
        <v>22589</v>
      </c>
      <c r="G1083" t="s">
        <v>22590</v>
      </c>
      <c r="H1083" t="s">
        <v>22591</v>
      </c>
      <c r="I1083" t="s">
        <v>22592</v>
      </c>
      <c r="J1083" t="s">
        <v>22593</v>
      </c>
      <c r="K1083" t="s">
        <v>22594</v>
      </c>
      <c r="L1083" t="s">
        <v>22595</v>
      </c>
      <c r="M1083" t="s">
        <v>22596</v>
      </c>
      <c r="N1083" t="s">
        <v>22597</v>
      </c>
      <c r="O1083">
        <f>-747.071891742059 -67.7746209497623 -724.402070000717</f>
        <v>-1539.2485826925392</v>
      </c>
      <c r="P1083">
        <f>-727.080126787093 -45.3424353122734 -409.309501075508</f>
        <v>-1181.7320631748744</v>
      </c>
      <c r="Q1083">
        <f>-477.485025584409 -34.9948502374341 -336.940495931881</f>
        <v>-849.42037175372411</v>
      </c>
      <c r="R1083" t="s">
        <v>22598</v>
      </c>
      <c r="S1083" t="s">
        <v>22599</v>
      </c>
      <c r="T1083" t="s">
        <v>22600</v>
      </c>
      <c r="U1083" t="s">
        <v>22601</v>
      </c>
      <c r="V1083" t="s">
        <v>22602</v>
      </c>
      <c r="W1083" t="s">
        <v>22603</v>
      </c>
      <c r="X1083" t="s">
        <v>22604</v>
      </c>
      <c r="Y1083" t="s">
        <v>22605</v>
      </c>
    </row>
    <row r="1084" spans="1:25" x14ac:dyDescent="0.3">
      <c r="A1084">
        <v>54150</v>
      </c>
      <c r="B1084" t="s">
        <v>22606</v>
      </c>
      <c r="C1084" t="s">
        <v>22607</v>
      </c>
      <c r="D1084" t="s">
        <v>22608</v>
      </c>
      <c r="E1084" t="s">
        <v>22609</v>
      </c>
      <c r="F1084" t="s">
        <v>22610</v>
      </c>
      <c r="G1084" t="s">
        <v>22611</v>
      </c>
      <c r="H1084" t="s">
        <v>22612</v>
      </c>
      <c r="I1084" t="s">
        <v>22613</v>
      </c>
      <c r="J1084" t="s">
        <v>22614</v>
      </c>
      <c r="K1084" t="s">
        <v>22615</v>
      </c>
      <c r="L1084" t="s">
        <v>22616</v>
      </c>
      <c r="M1084" t="s">
        <v>22617</v>
      </c>
      <c r="N1084" t="s">
        <v>22618</v>
      </c>
      <c r="O1084">
        <f>-749.077302392041 -66.3361516520122 -724.008999214101</f>
        <v>-1539.4224532581543</v>
      </c>
      <c r="P1084">
        <f>-727.954454215159 -44.3011893037728 -408.962139594044</f>
        <v>-1181.2177831129759</v>
      </c>
      <c r="Q1084">
        <f>-478.219604270925 -35.0434831248526 -336.928302434826</f>
        <v>-850.19138983060361</v>
      </c>
      <c r="R1084" t="s">
        <v>22619</v>
      </c>
      <c r="S1084" t="s">
        <v>22620</v>
      </c>
      <c r="T1084" t="s">
        <v>22621</v>
      </c>
      <c r="U1084" t="s">
        <v>22622</v>
      </c>
      <c r="V1084" t="s">
        <v>22623</v>
      </c>
      <c r="W1084" t="s">
        <v>22624</v>
      </c>
      <c r="X1084" t="s">
        <v>22625</v>
      </c>
      <c r="Y1084" t="s">
        <v>22626</v>
      </c>
    </row>
    <row r="1085" spans="1:25" x14ac:dyDescent="0.3">
      <c r="A1085">
        <v>54200</v>
      </c>
      <c r="B1085" t="s">
        <v>22627</v>
      </c>
      <c r="C1085" t="s">
        <v>22628</v>
      </c>
      <c r="D1085" t="s">
        <v>22629</v>
      </c>
      <c r="E1085" t="s">
        <v>22630</v>
      </c>
      <c r="F1085" t="s">
        <v>22631</v>
      </c>
      <c r="G1085" t="s">
        <v>22632</v>
      </c>
      <c r="H1085" t="s">
        <v>22633</v>
      </c>
      <c r="I1085" t="s">
        <v>22634</v>
      </c>
      <c r="J1085" t="s">
        <v>22635</v>
      </c>
      <c r="K1085" t="s">
        <v>22636</v>
      </c>
      <c r="L1085" t="s">
        <v>22637</v>
      </c>
      <c r="M1085" t="s">
        <v>22638</v>
      </c>
      <c r="N1085" t="s">
        <v>22639</v>
      </c>
      <c r="O1085">
        <f>-749.157877354128 -65.3580212187132 -723.74599085244</f>
        <v>-1538.2618894252812</v>
      </c>
      <c r="P1085">
        <f>-727.552036553904 -42.9614293260584 -408.757580917379</f>
        <v>-1179.2710467973413</v>
      </c>
      <c r="Q1085">
        <f>-477.643829144874 -34.697894400736 -337.205863229952</f>
        <v>-849.54758677556197</v>
      </c>
      <c r="R1085" t="s">
        <v>22640</v>
      </c>
      <c r="S1085" t="s">
        <v>22641</v>
      </c>
      <c r="T1085" t="s">
        <v>22642</v>
      </c>
      <c r="U1085" t="s">
        <v>22643</v>
      </c>
      <c r="V1085" t="s">
        <v>22644</v>
      </c>
      <c r="W1085" t="s">
        <v>22645</v>
      </c>
      <c r="X1085" t="s">
        <v>22646</v>
      </c>
      <c r="Y1085" t="s">
        <v>22647</v>
      </c>
    </row>
    <row r="1086" spans="1:25" x14ac:dyDescent="0.3">
      <c r="A1086">
        <v>54250</v>
      </c>
      <c r="B1086" t="s">
        <v>22648</v>
      </c>
      <c r="C1086" t="s">
        <v>22649</v>
      </c>
      <c r="D1086" t="s">
        <v>22650</v>
      </c>
      <c r="E1086" t="s">
        <v>22651</v>
      </c>
      <c r="F1086" t="s">
        <v>22652</v>
      </c>
      <c r="G1086" t="s">
        <v>22653</v>
      </c>
      <c r="H1086" t="s">
        <v>22654</v>
      </c>
      <c r="I1086" t="s">
        <v>22655</v>
      </c>
      <c r="J1086" t="s">
        <v>22656</v>
      </c>
      <c r="K1086" t="s">
        <v>22657</v>
      </c>
      <c r="L1086" t="s">
        <v>22658</v>
      </c>
      <c r="M1086" t="s">
        <v>22659</v>
      </c>
      <c r="N1086" t="s">
        <v>22660</v>
      </c>
      <c r="O1086">
        <f>-747.468386645994 -64.9128539464241 -723.364922702972</f>
        <v>-1535.74616329539</v>
      </c>
      <c r="P1086">
        <f>-726.020734830124 -42.6885232926393 -408.353340048351</f>
        <v>-1177.0625981711141</v>
      </c>
      <c r="Q1086">
        <f>-476.049297963033 -35.7795697342763 -336.878893761018</f>
        <v>-848.70776145832724</v>
      </c>
      <c r="R1086" t="s">
        <v>22661</v>
      </c>
      <c r="S1086" t="s">
        <v>22662</v>
      </c>
      <c r="T1086" t="s">
        <v>22663</v>
      </c>
      <c r="U1086" t="s">
        <v>22664</v>
      </c>
      <c r="V1086" t="s">
        <v>22665</v>
      </c>
      <c r="W1086" t="s">
        <v>22666</v>
      </c>
      <c r="X1086" t="s">
        <v>22667</v>
      </c>
      <c r="Y1086" t="s">
        <v>22668</v>
      </c>
    </row>
    <row r="1087" spans="1:25" x14ac:dyDescent="0.3">
      <c r="A1087">
        <v>54300</v>
      </c>
      <c r="B1087" t="s">
        <v>22669</v>
      </c>
      <c r="C1087" t="s">
        <v>22670</v>
      </c>
      <c r="D1087" t="s">
        <v>22671</v>
      </c>
      <c r="E1087" t="s">
        <v>22672</v>
      </c>
      <c r="F1087" t="s">
        <v>22673</v>
      </c>
      <c r="G1087" t="s">
        <v>22674</v>
      </c>
      <c r="H1087" t="s">
        <v>22675</v>
      </c>
      <c r="I1087" t="s">
        <v>22676</v>
      </c>
      <c r="J1087" t="s">
        <v>22677</v>
      </c>
      <c r="K1087" t="s">
        <v>22678</v>
      </c>
      <c r="L1087" t="s">
        <v>22679</v>
      </c>
      <c r="M1087" t="s">
        <v>22680</v>
      </c>
      <c r="N1087" t="s">
        <v>22681</v>
      </c>
      <c r="O1087">
        <f>-746.735308361983 -65.1543695759958 -723.49069559187</f>
        <v>-1535.3803735298488</v>
      </c>
      <c r="P1087">
        <f>-725.920488442852 -42.3941507083864 -408.47496968212</f>
        <v>-1176.7896088333584</v>
      </c>
      <c r="Q1087">
        <f>-475.979704625182 -35.4787113424002 -336.894046112811</f>
        <v>-848.35246208039325</v>
      </c>
      <c r="R1087" t="s">
        <v>22682</v>
      </c>
      <c r="S1087" t="s">
        <v>22683</v>
      </c>
      <c r="T1087" t="s">
        <v>22684</v>
      </c>
      <c r="U1087" t="s">
        <v>22685</v>
      </c>
      <c r="V1087" t="s">
        <v>22686</v>
      </c>
      <c r="W1087" t="s">
        <v>22687</v>
      </c>
      <c r="X1087" t="s">
        <v>22688</v>
      </c>
      <c r="Y1087" t="s">
        <v>22689</v>
      </c>
    </row>
    <row r="1088" spans="1:25" x14ac:dyDescent="0.3">
      <c r="A1088">
        <v>54350</v>
      </c>
      <c r="B1088" t="s">
        <v>22690</v>
      </c>
      <c r="C1088" t="s">
        <v>22691</v>
      </c>
      <c r="D1088" t="s">
        <v>22692</v>
      </c>
      <c r="E1088" t="s">
        <v>22693</v>
      </c>
      <c r="F1088" t="s">
        <v>22694</v>
      </c>
      <c r="G1088" t="s">
        <v>22695</v>
      </c>
      <c r="H1088" t="s">
        <v>22696</v>
      </c>
      <c r="I1088" t="s">
        <v>22697</v>
      </c>
      <c r="J1088" t="s">
        <v>22698</v>
      </c>
      <c r="K1088" t="s">
        <v>22699</v>
      </c>
      <c r="L1088" t="s">
        <v>22700</v>
      </c>
      <c r="M1088" t="s">
        <v>22701</v>
      </c>
      <c r="N1088" t="s">
        <v>22702</v>
      </c>
      <c r="O1088">
        <f>-744.989133992161 -64.608526927085 -724.565333623965</f>
        <v>-1534.162994543211</v>
      </c>
      <c r="P1088">
        <f>-725.169829344252 -42.932038012382 -409.409070131971</f>
        <v>-1177.5109374886051</v>
      </c>
      <c r="Q1088">
        <f>-475.420481114967 -34.9589204223648 -337.271804328931</f>
        <v>-847.65120586626279</v>
      </c>
      <c r="R1088" t="s">
        <v>22703</v>
      </c>
      <c r="S1088" t="s">
        <v>22704</v>
      </c>
      <c r="T1088" t="s">
        <v>22705</v>
      </c>
      <c r="U1088" t="s">
        <v>22706</v>
      </c>
      <c r="V1088" t="s">
        <v>22707</v>
      </c>
      <c r="W1088" t="s">
        <v>22708</v>
      </c>
      <c r="X1088" t="s">
        <v>22709</v>
      </c>
      <c r="Y1088" t="s">
        <v>22710</v>
      </c>
    </row>
    <row r="1089" spans="1:25" x14ac:dyDescent="0.3">
      <c r="A1089">
        <v>54400</v>
      </c>
      <c r="B1089" t="s">
        <v>22711</v>
      </c>
      <c r="C1089" t="s">
        <v>22712</v>
      </c>
      <c r="D1089" t="s">
        <v>22713</v>
      </c>
      <c r="E1089" t="s">
        <v>22714</v>
      </c>
      <c r="F1089" t="s">
        <v>22715</v>
      </c>
      <c r="G1089" t="s">
        <v>22716</v>
      </c>
      <c r="H1089" t="s">
        <v>22717</v>
      </c>
      <c r="I1089" t="s">
        <v>22718</v>
      </c>
      <c r="J1089" t="s">
        <v>22719</v>
      </c>
      <c r="K1089" t="s">
        <v>22720</v>
      </c>
      <c r="L1089" t="s">
        <v>22721</v>
      </c>
      <c r="M1089" t="s">
        <v>22722</v>
      </c>
      <c r="N1089" t="s">
        <v>22723</v>
      </c>
      <c r="O1089">
        <f>-744.485160736092 -64.2142520791519 -725.140062590762</f>
        <v>-1533.8394754060059</v>
      </c>
      <c r="P1089">
        <f>-725.089100524455 -42.6371790149169 -409.950577197043</f>
        <v>-1177.6768567364149</v>
      </c>
      <c r="Q1089">
        <f>-475.457587201132 -33.8935544279798 -337.495670973641</f>
        <v>-846.84681260275283</v>
      </c>
      <c r="R1089" t="s">
        <v>22724</v>
      </c>
      <c r="S1089" t="s">
        <v>22725</v>
      </c>
      <c r="T1089" t="s">
        <v>22726</v>
      </c>
      <c r="U1089" t="s">
        <v>22727</v>
      </c>
      <c r="V1089" t="s">
        <v>22728</v>
      </c>
      <c r="W1089" t="s">
        <v>22729</v>
      </c>
      <c r="X1089" t="s">
        <v>22730</v>
      </c>
      <c r="Y1089" t="s">
        <v>22731</v>
      </c>
    </row>
    <row r="1090" spans="1:25" x14ac:dyDescent="0.3">
      <c r="A1090">
        <v>54450</v>
      </c>
      <c r="B1090" t="s">
        <v>22732</v>
      </c>
      <c r="C1090" t="s">
        <v>22733</v>
      </c>
      <c r="D1090" t="s">
        <v>22734</v>
      </c>
      <c r="E1090" t="s">
        <v>22735</v>
      </c>
      <c r="F1090" t="s">
        <v>22736</v>
      </c>
      <c r="G1090" t="s">
        <v>22737</v>
      </c>
      <c r="H1090" t="s">
        <v>22738</v>
      </c>
      <c r="I1090" t="s">
        <v>22739</v>
      </c>
      <c r="J1090" t="s">
        <v>22740</v>
      </c>
      <c r="K1090" t="s">
        <v>22741</v>
      </c>
      <c r="L1090" t="s">
        <v>22742</v>
      </c>
      <c r="M1090" t="s">
        <v>22743</v>
      </c>
      <c r="N1090" t="s">
        <v>22744</v>
      </c>
      <c r="O1090">
        <f>-742.99370487976 -63.5607322832343 -726.035298061135</f>
        <v>-1532.5897352241293</v>
      </c>
      <c r="P1090">
        <f>-724.443366676957 -42.1689591023182 -410.782291805945</f>
        <v>-1177.3946175852202</v>
      </c>
      <c r="Q1090">
        <f>-475.056845697756 -31.1587211384592 -337.794774920086</f>
        <v>-844.01034175630116</v>
      </c>
      <c r="R1090" t="s">
        <v>22745</v>
      </c>
      <c r="S1090" t="s">
        <v>22746</v>
      </c>
      <c r="T1090" t="s">
        <v>22747</v>
      </c>
      <c r="U1090" t="s">
        <v>22748</v>
      </c>
      <c r="V1090" t="s">
        <v>22749</v>
      </c>
      <c r="W1090" t="s">
        <v>22750</v>
      </c>
      <c r="X1090" t="s">
        <v>22751</v>
      </c>
      <c r="Y1090" t="s">
        <v>22752</v>
      </c>
    </row>
    <row r="1091" spans="1:25" x14ac:dyDescent="0.3">
      <c r="A1091">
        <v>54500</v>
      </c>
      <c r="B1091" t="s">
        <v>22753</v>
      </c>
      <c r="C1091" t="s">
        <v>22754</v>
      </c>
      <c r="D1091" t="s">
        <v>22755</v>
      </c>
      <c r="E1091" t="s">
        <v>22756</v>
      </c>
      <c r="F1091" t="s">
        <v>22757</v>
      </c>
      <c r="G1091" t="s">
        <v>22758</v>
      </c>
      <c r="H1091" t="s">
        <v>22759</v>
      </c>
      <c r="I1091" t="s">
        <v>22760</v>
      </c>
      <c r="J1091" t="s">
        <v>22761</v>
      </c>
      <c r="K1091" t="s">
        <v>22762</v>
      </c>
      <c r="L1091" t="s">
        <v>22763</v>
      </c>
      <c r="M1091" t="s">
        <v>22764</v>
      </c>
      <c r="N1091" t="s">
        <v>22765</v>
      </c>
      <c r="O1091">
        <f>-742.669963573706 -63.3603540759318 -726.339116507047</f>
        <v>-1532.3694341566847</v>
      </c>
      <c r="P1091">
        <f>-724.154757092928 -42.0193309576659 -411.080589212447</f>
        <v>-1177.254677263041</v>
      </c>
      <c r="Q1091">
        <f>-474.815975712964 -29.8552781226983 -338.112851389393</f>
        <v>-842.78410522505533</v>
      </c>
      <c r="R1091" t="s">
        <v>22766</v>
      </c>
      <c r="S1091" t="s">
        <v>22767</v>
      </c>
      <c r="T1091" t="s">
        <v>22768</v>
      </c>
      <c r="U1091" t="s">
        <v>22769</v>
      </c>
      <c r="V1091" t="s">
        <v>22770</v>
      </c>
      <c r="W1091" t="s">
        <v>22771</v>
      </c>
      <c r="X1091" t="s">
        <v>22772</v>
      </c>
      <c r="Y1091" t="s">
        <v>22773</v>
      </c>
    </row>
    <row r="1092" spans="1:25" x14ac:dyDescent="0.3">
      <c r="A1092">
        <v>54550</v>
      </c>
      <c r="B1092" t="s">
        <v>22774</v>
      </c>
      <c r="C1092" t="s">
        <v>22775</v>
      </c>
      <c r="D1092" t="s">
        <v>22776</v>
      </c>
      <c r="E1092" t="s">
        <v>22777</v>
      </c>
      <c r="F1092" t="s">
        <v>22778</v>
      </c>
      <c r="G1092" t="s">
        <v>22779</v>
      </c>
      <c r="H1092" t="s">
        <v>22780</v>
      </c>
      <c r="I1092" t="s">
        <v>22781</v>
      </c>
      <c r="J1092" t="s">
        <v>22782</v>
      </c>
      <c r="K1092" t="s">
        <v>22783</v>
      </c>
      <c r="L1092" t="s">
        <v>22784</v>
      </c>
      <c r="M1092" t="s">
        <v>22785</v>
      </c>
      <c r="N1092" t="s">
        <v>22786</v>
      </c>
      <c r="O1092">
        <f>-741.93970325043 -62.914230771077 -726.562461640042</f>
        <v>-1531.4163956615489</v>
      </c>
      <c r="P1092">
        <f>-722.930223218755 -41.8981280402809 -411.311562928729</f>
        <v>-1176.139914187765</v>
      </c>
      <c r="Q1092">
        <f>-473.424376176952 -28.3410020932506 -339.16501929338</f>
        <v>-840.93039756358257</v>
      </c>
      <c r="R1092" t="s">
        <v>22787</v>
      </c>
      <c r="S1092" t="s">
        <v>22788</v>
      </c>
      <c r="T1092" t="s">
        <v>22789</v>
      </c>
      <c r="U1092" t="s">
        <v>22790</v>
      </c>
      <c r="V1092" t="s">
        <v>22791</v>
      </c>
      <c r="W1092" t="s">
        <v>22792</v>
      </c>
      <c r="X1092" t="s">
        <v>22793</v>
      </c>
      <c r="Y1092" t="s">
        <v>22794</v>
      </c>
    </row>
    <row r="1093" spans="1:25" x14ac:dyDescent="0.3">
      <c r="A1093">
        <v>54600</v>
      </c>
      <c r="B1093" t="s">
        <v>22795</v>
      </c>
      <c r="C1093" t="s">
        <v>22796</v>
      </c>
      <c r="D1093" t="s">
        <v>22797</v>
      </c>
      <c r="E1093" t="s">
        <v>22798</v>
      </c>
      <c r="F1093" t="s">
        <v>22799</v>
      </c>
      <c r="G1093" t="s">
        <v>22800</v>
      </c>
      <c r="H1093" t="s">
        <v>22801</v>
      </c>
      <c r="I1093" t="s">
        <v>22802</v>
      </c>
      <c r="J1093" t="s">
        <v>22803</v>
      </c>
      <c r="K1093" t="s">
        <v>22804</v>
      </c>
      <c r="L1093" t="s">
        <v>22805</v>
      </c>
      <c r="M1093" t="s">
        <v>22806</v>
      </c>
      <c r="N1093" t="s">
        <v>22807</v>
      </c>
      <c r="O1093">
        <f>-741.995188464997 -62.8047129487422 -726.441748348786</f>
        <v>-1531.2416497625252</v>
      </c>
      <c r="P1093">
        <f>-722.661451778918 -41.8015457447952 -411.209805959274</f>
        <v>-1175.6728034829873</v>
      </c>
      <c r="Q1093">
        <f>-473.03544629512 -27.9824990136451 -339.530323831684</f>
        <v>-840.54826914044907</v>
      </c>
      <c r="R1093" t="s">
        <v>22808</v>
      </c>
      <c r="S1093" t="s">
        <v>22809</v>
      </c>
      <c r="T1093" t="s">
        <v>22810</v>
      </c>
      <c r="U1093" t="s">
        <v>22811</v>
      </c>
      <c r="V1093" t="s">
        <v>22812</v>
      </c>
      <c r="W1093" t="s">
        <v>22813</v>
      </c>
      <c r="X1093" t="s">
        <v>22814</v>
      </c>
      <c r="Y1093" t="s">
        <v>22815</v>
      </c>
    </row>
    <row r="1094" spans="1:25" x14ac:dyDescent="0.3">
      <c r="A1094">
        <v>54650</v>
      </c>
      <c r="B1094" t="s">
        <v>22816</v>
      </c>
      <c r="C1094" t="s">
        <v>22817</v>
      </c>
      <c r="D1094" t="s">
        <v>22818</v>
      </c>
      <c r="E1094" t="s">
        <v>22819</v>
      </c>
      <c r="F1094" t="s">
        <v>22820</v>
      </c>
      <c r="G1094" t="s">
        <v>22821</v>
      </c>
      <c r="H1094" t="s">
        <v>22822</v>
      </c>
      <c r="I1094" t="s">
        <v>22823</v>
      </c>
      <c r="J1094" t="s">
        <v>22824</v>
      </c>
      <c r="K1094" t="s">
        <v>22825</v>
      </c>
      <c r="L1094" t="s">
        <v>22826</v>
      </c>
      <c r="M1094" t="s">
        <v>22827</v>
      </c>
      <c r="N1094" t="s">
        <v>22828</v>
      </c>
      <c r="O1094">
        <f>-742.283231988919 -62.9107463461289 -726.08173385009</f>
        <v>-1531.275712185138</v>
      </c>
      <c r="P1094">
        <f>-722.541397785822 -41.4612190515029 -410.905004598986</f>
        <v>-1174.9076214363108</v>
      </c>
      <c r="Q1094">
        <f>-472.833224048363 -27.6114087345966 -339.518103081732</f>
        <v>-839.96273586469158</v>
      </c>
      <c r="R1094" t="s">
        <v>22829</v>
      </c>
      <c r="S1094" t="s">
        <v>22830</v>
      </c>
      <c r="T1094" t="s">
        <v>22831</v>
      </c>
      <c r="U1094" t="s">
        <v>22832</v>
      </c>
      <c r="V1094" t="s">
        <v>22833</v>
      </c>
      <c r="W1094" t="s">
        <v>22834</v>
      </c>
      <c r="X1094" t="s">
        <v>22835</v>
      </c>
      <c r="Y1094" t="s">
        <v>22836</v>
      </c>
    </row>
    <row r="1095" spans="1:25" x14ac:dyDescent="0.3">
      <c r="A1095">
        <v>54700</v>
      </c>
      <c r="B1095" t="s">
        <v>22837</v>
      </c>
      <c r="C1095" t="s">
        <v>22838</v>
      </c>
      <c r="D1095" t="s">
        <v>22839</v>
      </c>
      <c r="E1095" t="s">
        <v>22840</v>
      </c>
      <c r="F1095" t="s">
        <v>22841</v>
      </c>
      <c r="G1095" t="s">
        <v>22842</v>
      </c>
      <c r="H1095" t="s">
        <v>22843</v>
      </c>
      <c r="I1095" t="s">
        <v>22844</v>
      </c>
      <c r="J1095" t="s">
        <v>22845</v>
      </c>
      <c r="K1095" t="s">
        <v>22846</v>
      </c>
      <c r="L1095" t="s">
        <v>22847</v>
      </c>
      <c r="M1095" t="s">
        <v>22848</v>
      </c>
      <c r="N1095" t="s">
        <v>22849</v>
      </c>
      <c r="O1095">
        <f>-742.382733397047 -62.8507736084523 -725.860650273119</f>
        <v>-1531.0941572786182</v>
      </c>
      <c r="P1095">
        <f>-722.623221460292 -41.0995463740483 -410.705588176768</f>
        <v>-1174.4283560111082</v>
      </c>
      <c r="Q1095">
        <f>-472.942531006173 -27.3095434809743 -339.211434859944</f>
        <v>-839.4635093470913</v>
      </c>
      <c r="R1095" t="s">
        <v>22850</v>
      </c>
      <c r="S1095" t="s">
        <v>22851</v>
      </c>
      <c r="T1095" t="s">
        <v>22852</v>
      </c>
      <c r="U1095" t="s">
        <v>22853</v>
      </c>
      <c r="V1095" t="s">
        <v>22854</v>
      </c>
      <c r="W1095" t="s">
        <v>22855</v>
      </c>
      <c r="X1095" t="s">
        <v>22856</v>
      </c>
      <c r="Y1095" t="s">
        <v>22857</v>
      </c>
    </row>
    <row r="1096" spans="1:25" x14ac:dyDescent="0.3">
      <c r="A1096">
        <v>54750</v>
      </c>
      <c r="B1096" t="s">
        <v>22858</v>
      </c>
      <c r="C1096" t="s">
        <v>22859</v>
      </c>
      <c r="D1096" t="s">
        <v>22860</v>
      </c>
      <c r="E1096" t="s">
        <v>22861</v>
      </c>
      <c r="F1096" t="s">
        <v>22862</v>
      </c>
      <c r="G1096" t="s">
        <v>22863</v>
      </c>
      <c r="H1096" t="s">
        <v>22864</v>
      </c>
      <c r="I1096" t="s">
        <v>22865</v>
      </c>
      <c r="J1096" t="s">
        <v>22866</v>
      </c>
      <c r="K1096" t="s">
        <v>22867</v>
      </c>
      <c r="L1096" t="s">
        <v>22868</v>
      </c>
      <c r="M1096" t="s">
        <v>22869</v>
      </c>
      <c r="N1096" t="s">
        <v>22870</v>
      </c>
      <c r="O1096">
        <f>-742.40436410325 -62.9107866295035 -725.422487017294</f>
        <v>-1530.7376377500475</v>
      </c>
      <c r="P1096">
        <f>-723.301554995747 -39.9884790974891 -410.310087641149</f>
        <v>-1173.6001217343851</v>
      </c>
      <c r="Q1096">
        <f>-473.709035965488 -26.9875757585719 -338.361434976088</f>
        <v>-839.05804670014788</v>
      </c>
      <c r="R1096" t="s">
        <v>22871</v>
      </c>
      <c r="S1096" t="s">
        <v>22872</v>
      </c>
      <c r="T1096" t="s">
        <v>22873</v>
      </c>
      <c r="U1096" t="s">
        <v>22874</v>
      </c>
      <c r="V1096" t="s">
        <v>22875</v>
      </c>
      <c r="W1096" t="s">
        <v>22876</v>
      </c>
      <c r="X1096" t="s">
        <v>22877</v>
      </c>
      <c r="Y1096" t="s">
        <v>22878</v>
      </c>
    </row>
    <row r="1097" spans="1:25" x14ac:dyDescent="0.3">
      <c r="A1097">
        <v>54800</v>
      </c>
      <c r="B1097" t="s">
        <v>22879</v>
      </c>
      <c r="C1097" t="s">
        <v>22880</v>
      </c>
      <c r="D1097" t="s">
        <v>22881</v>
      </c>
      <c r="E1097" t="s">
        <v>22882</v>
      </c>
      <c r="F1097" t="s">
        <v>22883</v>
      </c>
      <c r="G1097" t="s">
        <v>22884</v>
      </c>
      <c r="H1097" t="s">
        <v>22885</v>
      </c>
      <c r="I1097" t="s">
        <v>22886</v>
      </c>
      <c r="J1097" t="s">
        <v>22887</v>
      </c>
      <c r="K1097" t="s">
        <v>22888</v>
      </c>
      <c r="L1097" t="s">
        <v>22889</v>
      </c>
      <c r="M1097" t="s">
        <v>22890</v>
      </c>
      <c r="N1097" t="s">
        <v>22891</v>
      </c>
      <c r="O1097">
        <f>-742.177957336106 -62.7925780939679 -725.298518143743</f>
        <v>-1530.269053573817</v>
      </c>
      <c r="P1097">
        <f>-723.533221423191 -39.4659493732652 -410.188291245795</f>
        <v>-1173.1874620422511</v>
      </c>
      <c r="Q1097">
        <f>-473.970547870905 -27.1925949853287 -338.008728138877</f>
        <v>-839.17187099511079</v>
      </c>
      <c r="R1097" t="s">
        <v>22892</v>
      </c>
      <c r="S1097" t="s">
        <v>22893</v>
      </c>
      <c r="T1097" t="s">
        <v>22894</v>
      </c>
      <c r="U1097" t="s">
        <v>22895</v>
      </c>
      <c r="V1097" t="s">
        <v>22896</v>
      </c>
      <c r="W1097" t="s">
        <v>22897</v>
      </c>
      <c r="X1097" t="s">
        <v>22898</v>
      </c>
      <c r="Y1097" t="s">
        <v>22899</v>
      </c>
    </row>
    <row r="1098" spans="1:25" x14ac:dyDescent="0.3">
      <c r="A1098">
        <v>54850</v>
      </c>
      <c r="B1098" t="s">
        <v>22900</v>
      </c>
      <c r="C1098" t="s">
        <v>22901</v>
      </c>
      <c r="D1098" t="s">
        <v>22902</v>
      </c>
      <c r="E1098" t="s">
        <v>22903</v>
      </c>
      <c r="F1098" t="s">
        <v>22904</v>
      </c>
      <c r="G1098" t="s">
        <v>22905</v>
      </c>
      <c r="H1098" t="s">
        <v>22906</v>
      </c>
      <c r="I1098" t="s">
        <v>22907</v>
      </c>
      <c r="J1098" t="s">
        <v>22908</v>
      </c>
      <c r="K1098" t="s">
        <v>22909</v>
      </c>
      <c r="L1098" t="s">
        <v>22910</v>
      </c>
      <c r="M1098" t="s">
        <v>22911</v>
      </c>
      <c r="N1098" t="s">
        <v>22912</v>
      </c>
      <c r="O1098">
        <f>-742.241063207143 -62.6138922346427 -725.226999945384</f>
        <v>-1530.0819553871697</v>
      </c>
      <c r="P1098">
        <f>-724.269945892369 -38.2277480618084 -410.157953862127</f>
        <v>-1172.6556478163043</v>
      </c>
      <c r="Q1098">
        <f>-474.927189278866 -25.8326186013721 -337.243035779991</f>
        <v>-838.00284366022902</v>
      </c>
      <c r="R1098" t="s">
        <v>22913</v>
      </c>
      <c r="S1098" t="s">
        <v>22914</v>
      </c>
      <c r="T1098" t="s">
        <v>22915</v>
      </c>
      <c r="U1098" t="s">
        <v>22916</v>
      </c>
      <c r="V1098" t="s">
        <v>22917</v>
      </c>
      <c r="W1098" t="s">
        <v>22918</v>
      </c>
      <c r="X1098" t="s">
        <v>22919</v>
      </c>
      <c r="Y1098" t="s">
        <v>22920</v>
      </c>
    </row>
    <row r="1099" spans="1:25" x14ac:dyDescent="0.3">
      <c r="A1099">
        <v>54900</v>
      </c>
      <c r="B1099" t="s">
        <v>22921</v>
      </c>
      <c r="C1099" t="s">
        <v>22922</v>
      </c>
      <c r="D1099" t="s">
        <v>22923</v>
      </c>
      <c r="E1099" t="s">
        <v>22924</v>
      </c>
      <c r="F1099" t="s">
        <v>22925</v>
      </c>
      <c r="G1099" t="s">
        <v>22926</v>
      </c>
      <c r="H1099" t="s">
        <v>22927</v>
      </c>
      <c r="I1099" t="s">
        <v>22928</v>
      </c>
      <c r="J1099" t="s">
        <v>22929</v>
      </c>
      <c r="K1099" t="s">
        <v>22930</v>
      </c>
      <c r="L1099" t="s">
        <v>22931</v>
      </c>
      <c r="M1099" t="s">
        <v>22932</v>
      </c>
      <c r="N1099" t="s">
        <v>22933</v>
      </c>
      <c r="O1099">
        <f>-742.175524751174 -62.5171776024793 -725.14258097415</f>
        <v>-1529.8352833278032</v>
      </c>
      <c r="P1099">
        <f>-724.680275799332 -37.9883881559085 -410.057701171122</f>
        <v>-1172.7263651263625</v>
      </c>
      <c r="Q1099">
        <f>-475.417067643558 -25.3677979028769 -336.909453464976</f>
        <v>-837.69431901141093</v>
      </c>
      <c r="R1099" t="s">
        <v>22934</v>
      </c>
      <c r="S1099" t="s">
        <v>22935</v>
      </c>
      <c r="T1099" t="s">
        <v>22936</v>
      </c>
      <c r="U1099" t="s">
        <v>22937</v>
      </c>
      <c r="V1099" t="s">
        <v>22938</v>
      </c>
      <c r="W1099" t="s">
        <v>22939</v>
      </c>
      <c r="X1099" t="s">
        <v>22940</v>
      </c>
      <c r="Y1099" t="s">
        <v>22941</v>
      </c>
    </row>
    <row r="1100" spans="1:25" x14ac:dyDescent="0.3">
      <c r="A1100">
        <v>54950</v>
      </c>
      <c r="B1100" t="s">
        <v>22942</v>
      </c>
      <c r="C1100" t="s">
        <v>22943</v>
      </c>
      <c r="D1100" t="s">
        <v>22944</v>
      </c>
      <c r="E1100" t="s">
        <v>22945</v>
      </c>
      <c r="F1100" t="s">
        <v>22946</v>
      </c>
      <c r="G1100" t="s">
        <v>22947</v>
      </c>
      <c r="H1100" t="s">
        <v>22948</v>
      </c>
      <c r="I1100" t="s">
        <v>22949</v>
      </c>
      <c r="J1100" t="s">
        <v>22950</v>
      </c>
      <c r="K1100" t="s">
        <v>22951</v>
      </c>
      <c r="L1100" t="s">
        <v>22952</v>
      </c>
      <c r="M1100" t="s">
        <v>22953</v>
      </c>
      <c r="N1100" t="s">
        <v>22954</v>
      </c>
      <c r="O1100">
        <f>-742.071332791992 -62.6692665499816 -724.823005142095</f>
        <v>-1529.5636044840685</v>
      </c>
      <c r="P1100">
        <f>-724.772063155058 -37.4580718719376 -409.781291809611</f>
        <v>-1172.0114268366067</v>
      </c>
      <c r="Q1100">
        <f>-475.615334832222 -24.0311414587973 -336.414420151216</f>
        <v>-836.06089644223539</v>
      </c>
      <c r="R1100" t="s">
        <v>22955</v>
      </c>
      <c r="S1100" t="s">
        <v>22956</v>
      </c>
      <c r="T1100" t="s">
        <v>22957</v>
      </c>
      <c r="U1100" t="s">
        <v>22958</v>
      </c>
      <c r="V1100" t="s">
        <v>22959</v>
      </c>
      <c r="W1100" t="s">
        <v>22960</v>
      </c>
      <c r="X1100" t="s">
        <v>22961</v>
      </c>
      <c r="Y1100" t="s">
        <v>22962</v>
      </c>
    </row>
    <row r="1101" spans="1:25" x14ac:dyDescent="0.3">
      <c r="A1101">
        <v>55000</v>
      </c>
      <c r="B1101" t="s">
        <v>22963</v>
      </c>
      <c r="C1101" t="s">
        <v>22964</v>
      </c>
      <c r="D1101" t="s">
        <v>22965</v>
      </c>
      <c r="E1101" t="s">
        <v>22966</v>
      </c>
      <c r="F1101" t="s">
        <v>22967</v>
      </c>
      <c r="G1101" t="s">
        <v>22968</v>
      </c>
      <c r="H1101" t="s">
        <v>22969</v>
      </c>
      <c r="I1101" t="s">
        <v>22970</v>
      </c>
      <c r="J1101" t="s">
        <v>22971</v>
      </c>
      <c r="K1101" t="s">
        <v>22972</v>
      </c>
      <c r="L1101" t="s">
        <v>22973</v>
      </c>
      <c r="M1101" t="s">
        <v>22974</v>
      </c>
      <c r="N1101" t="s">
        <v>22975</v>
      </c>
      <c r="O1101">
        <f>-742.189776609972 -63.0189851899606 -724.484960591734</f>
        <v>-1529.6937223916666</v>
      </c>
      <c r="P1101">
        <f>-724.968796813894 -36.9823032323325 -409.506114974914</f>
        <v>-1171.4572150211404</v>
      </c>
      <c r="Q1101">
        <f>-475.677990338922 -23.4450912298244 -336.616284931339</f>
        <v>-835.73936650008545</v>
      </c>
      <c r="R1101" t="s">
        <v>22976</v>
      </c>
      <c r="S1101" t="s">
        <v>22977</v>
      </c>
      <c r="T1101" t="s">
        <v>22978</v>
      </c>
      <c r="U1101" t="s">
        <v>22979</v>
      </c>
      <c r="V1101" t="s">
        <v>22980</v>
      </c>
      <c r="W1101" t="s">
        <v>22981</v>
      </c>
      <c r="X1101" t="s">
        <v>22982</v>
      </c>
      <c r="Y1101" t="s">
        <v>22983</v>
      </c>
    </row>
    <row r="1102" spans="1:25" x14ac:dyDescent="0.3">
      <c r="A1102">
        <v>55050</v>
      </c>
      <c r="B1102" t="s">
        <v>22984</v>
      </c>
      <c r="C1102" t="s">
        <v>22985</v>
      </c>
      <c r="D1102" t="s">
        <v>22986</v>
      </c>
      <c r="E1102" t="s">
        <v>22987</v>
      </c>
      <c r="F1102" t="s">
        <v>22988</v>
      </c>
      <c r="G1102" t="s">
        <v>22989</v>
      </c>
      <c r="H1102" t="s">
        <v>22990</v>
      </c>
      <c r="I1102" t="s">
        <v>22991</v>
      </c>
      <c r="J1102" t="s">
        <v>22992</v>
      </c>
      <c r="K1102" t="s">
        <v>22993</v>
      </c>
      <c r="L1102" t="s">
        <v>22994</v>
      </c>
      <c r="M1102" t="s">
        <v>22995</v>
      </c>
      <c r="N1102" t="s">
        <v>22996</v>
      </c>
      <c r="O1102">
        <f>-742.512647757811 -63.7281413113619 -723.863299262644</f>
        <v>-1530.1040883318169</v>
      </c>
      <c r="P1102">
        <f>-724.538561564468 -37.2950025179482 -408.959423225715</f>
        <v>-1170.7929873081312</v>
      </c>
      <c r="Q1102">
        <f>-475.178115667067 -23.1973426170616 -336.415353092609</f>
        <v>-834.79081137673757</v>
      </c>
      <c r="R1102" t="s">
        <v>22997</v>
      </c>
      <c r="S1102" t="s">
        <v>22998</v>
      </c>
      <c r="T1102" t="s">
        <v>22999</v>
      </c>
      <c r="U1102" t="s">
        <v>23000</v>
      </c>
      <c r="V1102" t="s">
        <v>23001</v>
      </c>
      <c r="W1102" t="s">
        <v>23002</v>
      </c>
      <c r="X1102" t="s">
        <v>23003</v>
      </c>
      <c r="Y1102" t="s">
        <v>23004</v>
      </c>
    </row>
    <row r="1103" spans="1:25" x14ac:dyDescent="0.3">
      <c r="A1103">
        <v>55100</v>
      </c>
      <c r="B1103" t="s">
        <v>23005</v>
      </c>
      <c r="C1103" t="s">
        <v>23006</v>
      </c>
      <c r="D1103" t="s">
        <v>23007</v>
      </c>
      <c r="E1103" t="s">
        <v>23008</v>
      </c>
      <c r="F1103" t="s">
        <v>23009</v>
      </c>
      <c r="G1103" t="s">
        <v>23010</v>
      </c>
      <c r="H1103" t="s">
        <v>23011</v>
      </c>
      <c r="I1103" t="s">
        <v>23012</v>
      </c>
      <c r="J1103" t="s">
        <v>23013</v>
      </c>
      <c r="K1103" t="s">
        <v>23014</v>
      </c>
      <c r="L1103" t="s">
        <v>23015</v>
      </c>
      <c r="M1103" t="s">
        <v>23016</v>
      </c>
      <c r="N1103" t="s">
        <v>23017</v>
      </c>
      <c r="O1103">
        <f>-742.694270475591 -63.9864483828305 -723.586002678973</f>
        <v>-1530.2667215373945</v>
      </c>
      <c r="P1103">
        <f>-724.437067612447 -36.6144929565774 -408.778716590356</f>
        <v>-1169.8302771593803</v>
      </c>
      <c r="Q1103">
        <f>-475.044883904512 -22.4601449525212 -336.354555430417</f>
        <v>-833.85958428745016</v>
      </c>
      <c r="R1103" t="s">
        <v>23018</v>
      </c>
      <c r="S1103" t="s">
        <v>23019</v>
      </c>
      <c r="T1103" t="s">
        <v>23020</v>
      </c>
      <c r="U1103" t="s">
        <v>23021</v>
      </c>
      <c r="V1103" t="s">
        <v>23022</v>
      </c>
      <c r="W1103" t="s">
        <v>23023</v>
      </c>
      <c r="X1103" t="s">
        <v>23024</v>
      </c>
      <c r="Y1103" t="s">
        <v>23025</v>
      </c>
    </row>
    <row r="1104" spans="1:25" x14ac:dyDescent="0.3">
      <c r="A1104">
        <v>55150</v>
      </c>
      <c r="B1104" t="s">
        <v>23026</v>
      </c>
      <c r="C1104" t="s">
        <v>23027</v>
      </c>
      <c r="D1104" t="s">
        <v>23028</v>
      </c>
      <c r="E1104" t="s">
        <v>23029</v>
      </c>
      <c r="F1104" t="s">
        <v>23030</v>
      </c>
      <c r="G1104" t="s">
        <v>23031</v>
      </c>
      <c r="H1104" t="s">
        <v>23032</v>
      </c>
      <c r="I1104" t="s">
        <v>23033</v>
      </c>
      <c r="J1104" t="s">
        <v>23034</v>
      </c>
      <c r="K1104" t="s">
        <v>23035</v>
      </c>
      <c r="L1104" t="s">
        <v>23036</v>
      </c>
      <c r="M1104" t="s">
        <v>23037</v>
      </c>
      <c r="N1104" t="s">
        <v>23038</v>
      </c>
      <c r="O1104">
        <f>-742.626542297073 -64.3314716077577 -723.082791355592</f>
        <v>-1530.0408052604228</v>
      </c>
      <c r="P1104">
        <f>-724.206842865698 -36.3771564314295 -408.336208493186</f>
        <v>-1168.9202077903135</v>
      </c>
      <c r="Q1104">
        <f>-474.670222738019 -21.9548606947401 -336.464409304504</f>
        <v>-833.08949273726307</v>
      </c>
      <c r="R1104" t="s">
        <v>23039</v>
      </c>
      <c r="S1104" t="s">
        <v>23040</v>
      </c>
      <c r="T1104" t="s">
        <v>23041</v>
      </c>
      <c r="U1104" t="s">
        <v>23042</v>
      </c>
      <c r="V1104" t="s">
        <v>23043</v>
      </c>
      <c r="W1104" t="s">
        <v>23044</v>
      </c>
      <c r="X1104" t="s">
        <v>23045</v>
      </c>
      <c r="Y1104" t="s">
        <v>23046</v>
      </c>
    </row>
    <row r="1105" spans="1:25" x14ac:dyDescent="0.3">
      <c r="A1105">
        <v>55200</v>
      </c>
      <c r="B1105" t="s">
        <v>23047</v>
      </c>
      <c r="C1105" t="s">
        <v>23048</v>
      </c>
      <c r="D1105" t="s">
        <v>23049</v>
      </c>
      <c r="E1105" t="s">
        <v>23050</v>
      </c>
      <c r="F1105" t="s">
        <v>23051</v>
      </c>
      <c r="G1105" t="s">
        <v>23052</v>
      </c>
      <c r="H1105" t="s">
        <v>23053</v>
      </c>
      <c r="I1105" t="s">
        <v>23054</v>
      </c>
      <c r="J1105" t="s">
        <v>23055</v>
      </c>
      <c r="K1105" t="s">
        <v>23056</v>
      </c>
      <c r="L1105" t="s">
        <v>23057</v>
      </c>
      <c r="M1105" t="s">
        <v>23058</v>
      </c>
      <c r="N1105" t="s">
        <v>23059</v>
      </c>
      <c r="O1105">
        <f>-742.694860529319 -64.4700174788338 -722.877133560834</f>
        <v>-1530.0420115689867</v>
      </c>
      <c r="P1105">
        <f>-724.295830098225 -36.0907355369181 -408.167204884734</f>
        <v>-1168.5537705198772</v>
      </c>
      <c r="Q1105">
        <f>-474.683489850889 -22.0632509681673 -336.480482114952</f>
        <v>-833.2272229340083</v>
      </c>
      <c r="R1105" t="s">
        <v>23060</v>
      </c>
      <c r="S1105" t="s">
        <v>23061</v>
      </c>
      <c r="T1105" t="s">
        <v>23062</v>
      </c>
      <c r="U1105" t="s">
        <v>23063</v>
      </c>
      <c r="V1105" t="s">
        <v>23064</v>
      </c>
      <c r="W1105" t="s">
        <v>23065</v>
      </c>
      <c r="X1105" t="s">
        <v>23066</v>
      </c>
      <c r="Y1105" t="s">
        <v>23067</v>
      </c>
    </row>
    <row r="1106" spans="1:25" x14ac:dyDescent="0.3">
      <c r="A1106">
        <v>55250</v>
      </c>
      <c r="B1106" t="s">
        <v>23068</v>
      </c>
      <c r="C1106" t="s">
        <v>23069</v>
      </c>
      <c r="D1106" t="s">
        <v>23070</v>
      </c>
      <c r="E1106" t="s">
        <v>23071</v>
      </c>
      <c r="F1106" t="s">
        <v>23072</v>
      </c>
      <c r="G1106" t="s">
        <v>23073</v>
      </c>
      <c r="H1106" t="s">
        <v>23074</v>
      </c>
      <c r="I1106" t="s">
        <v>23075</v>
      </c>
      <c r="J1106" t="s">
        <v>23076</v>
      </c>
      <c r="K1106" t="s">
        <v>23077</v>
      </c>
      <c r="L1106" t="s">
        <v>23078</v>
      </c>
      <c r="M1106" t="s">
        <v>23079</v>
      </c>
      <c r="N1106" t="s">
        <v>23080</v>
      </c>
      <c r="O1106">
        <f>-742.750037634118 -64.9806518296807 -722.499373058312</f>
        <v>-1530.2300625221108</v>
      </c>
      <c r="P1106">
        <f>-723.811297383974 -36.528396509606 -407.828045252544</f>
        <v>-1168.1677391461239</v>
      </c>
      <c r="Q1106">
        <f>-474.10022294764 -23.5597023333594 -336.286435459643</f>
        <v>-833.94636074064238</v>
      </c>
      <c r="R1106" t="s">
        <v>23081</v>
      </c>
      <c r="S1106" t="s">
        <v>23082</v>
      </c>
      <c r="T1106" t="s">
        <v>23083</v>
      </c>
      <c r="U1106" t="s">
        <v>23084</v>
      </c>
      <c r="V1106" t="s">
        <v>23085</v>
      </c>
      <c r="W1106" t="s">
        <v>23086</v>
      </c>
      <c r="X1106" t="s">
        <v>23087</v>
      </c>
      <c r="Y1106" t="s">
        <v>23088</v>
      </c>
    </row>
    <row r="1107" spans="1:25" x14ac:dyDescent="0.3">
      <c r="A1107">
        <v>55300</v>
      </c>
      <c r="B1107" t="s">
        <v>23089</v>
      </c>
      <c r="C1107" t="s">
        <v>23090</v>
      </c>
      <c r="D1107" t="s">
        <v>23091</v>
      </c>
      <c r="E1107" t="s">
        <v>23092</v>
      </c>
      <c r="F1107" t="s">
        <v>23093</v>
      </c>
      <c r="G1107" t="s">
        <v>23094</v>
      </c>
      <c r="H1107" t="s">
        <v>23095</v>
      </c>
      <c r="I1107" t="s">
        <v>23096</v>
      </c>
      <c r="J1107" t="s">
        <v>23097</v>
      </c>
      <c r="K1107" t="s">
        <v>23098</v>
      </c>
      <c r="L1107" t="s">
        <v>23099</v>
      </c>
      <c r="M1107" t="s">
        <v>23100</v>
      </c>
      <c r="N1107" t="s">
        <v>23101</v>
      </c>
      <c r="O1107">
        <f>-742.855650331547 -65.4823951585654 -722.281590752752</f>
        <v>-1530.6196362428645</v>
      </c>
      <c r="P1107">
        <f>-724.197439128143 -37.0675340036789 -407.590139743456</f>
        <v>-1168.8551128752779</v>
      </c>
      <c r="Q1107">
        <f>-474.396863776866 -24.3010200397548 -336.325050349406</f>
        <v>-835.02293416602674</v>
      </c>
      <c r="R1107" t="s">
        <v>23102</v>
      </c>
      <c r="S1107" t="s">
        <v>23103</v>
      </c>
      <c r="T1107" t="s">
        <v>23104</v>
      </c>
      <c r="U1107" t="s">
        <v>23105</v>
      </c>
      <c r="V1107" t="s">
        <v>23106</v>
      </c>
      <c r="W1107" t="s">
        <v>23107</v>
      </c>
      <c r="X1107" t="s">
        <v>23108</v>
      </c>
      <c r="Y1107" t="s">
        <v>23109</v>
      </c>
    </row>
    <row r="1108" spans="1:25" x14ac:dyDescent="0.3">
      <c r="A1108">
        <v>55350</v>
      </c>
      <c r="B1108" t="s">
        <v>23110</v>
      </c>
      <c r="C1108" t="s">
        <v>23111</v>
      </c>
      <c r="D1108" t="s">
        <v>23112</v>
      </c>
      <c r="E1108" t="s">
        <v>23113</v>
      </c>
      <c r="F1108" t="s">
        <v>23114</v>
      </c>
      <c r="G1108" t="s">
        <v>23115</v>
      </c>
      <c r="H1108" t="s">
        <v>23116</v>
      </c>
      <c r="I1108" t="s">
        <v>23117</v>
      </c>
      <c r="J1108" t="s">
        <v>23118</v>
      </c>
      <c r="K1108" t="s">
        <v>23119</v>
      </c>
      <c r="L1108" t="s">
        <v>23120</v>
      </c>
      <c r="M1108" t="s">
        <v>23121</v>
      </c>
      <c r="N1108" t="s">
        <v>23122</v>
      </c>
      <c r="O1108">
        <f>-742.605061029401 -66.2312085559849 -722.0824416184</f>
        <v>-1530.918711203786</v>
      </c>
      <c r="P1108">
        <f>-723.738815236306 -37.792118293135 -407.405693484187</f>
        <v>-1168.9366270136279</v>
      </c>
      <c r="Q1108">
        <f>-473.879764557817 -25.7936419155824 -336.211868305569</f>
        <v>-835.88527477896832</v>
      </c>
      <c r="R1108" t="s">
        <v>23123</v>
      </c>
      <c r="S1108" t="s">
        <v>23124</v>
      </c>
      <c r="T1108" t="s">
        <v>23125</v>
      </c>
      <c r="U1108" t="s">
        <v>23126</v>
      </c>
      <c r="V1108" t="s">
        <v>23127</v>
      </c>
      <c r="W1108" t="s">
        <v>23128</v>
      </c>
      <c r="X1108" t="s">
        <v>23129</v>
      </c>
      <c r="Y1108" t="s">
        <v>23130</v>
      </c>
    </row>
    <row r="1109" spans="1:25" x14ac:dyDescent="0.3">
      <c r="A1109">
        <v>55400</v>
      </c>
      <c r="B1109" t="s">
        <v>23131</v>
      </c>
      <c r="C1109" t="s">
        <v>23132</v>
      </c>
      <c r="D1109" t="s">
        <v>23133</v>
      </c>
      <c r="E1109" t="s">
        <v>23134</v>
      </c>
      <c r="F1109" t="s">
        <v>23135</v>
      </c>
      <c r="G1109" t="s">
        <v>23136</v>
      </c>
      <c r="H1109" t="s">
        <v>23137</v>
      </c>
      <c r="I1109" t="s">
        <v>23138</v>
      </c>
      <c r="J1109" t="s">
        <v>23139</v>
      </c>
      <c r="K1109" t="s">
        <v>23140</v>
      </c>
      <c r="L1109" t="s">
        <v>23141</v>
      </c>
      <c r="M1109" t="s">
        <v>23142</v>
      </c>
      <c r="N1109" t="s">
        <v>23143</v>
      </c>
      <c r="O1109">
        <f>-742.540570754819 -66.7394743415925 -721.94240860736</f>
        <v>-1531.2224537037714</v>
      </c>
      <c r="P1109">
        <f>-723.763783156747 -38.4370728067402 -407.247957042053</f>
        <v>-1169.4488130055402</v>
      </c>
      <c r="Q1109">
        <f>-473.883294754014 -26.4931594840396 -336.120015496577</f>
        <v>-836.49646973463064</v>
      </c>
      <c r="R1109" t="s">
        <v>23144</v>
      </c>
      <c r="S1109" t="s">
        <v>23145</v>
      </c>
      <c r="T1109" t="s">
        <v>23146</v>
      </c>
      <c r="U1109" t="s">
        <v>23147</v>
      </c>
      <c r="V1109" t="s">
        <v>23148</v>
      </c>
      <c r="W1109" t="s">
        <v>23149</v>
      </c>
      <c r="X1109" t="s">
        <v>23150</v>
      </c>
      <c r="Y1109" t="s">
        <v>23151</v>
      </c>
    </row>
    <row r="1110" spans="1:25" x14ac:dyDescent="0.3">
      <c r="A1110">
        <v>55450</v>
      </c>
      <c r="B1110" t="s">
        <v>23152</v>
      </c>
      <c r="C1110" t="s">
        <v>23153</v>
      </c>
      <c r="D1110" t="s">
        <v>23154</v>
      </c>
      <c r="E1110" t="s">
        <v>23155</v>
      </c>
      <c r="F1110" t="s">
        <v>23156</v>
      </c>
      <c r="G1110" t="s">
        <v>23157</v>
      </c>
      <c r="H1110" t="s">
        <v>23158</v>
      </c>
      <c r="I1110" t="s">
        <v>23159</v>
      </c>
      <c r="J1110" t="s">
        <v>23160</v>
      </c>
      <c r="K1110" t="s">
        <v>23161</v>
      </c>
      <c r="L1110" t="s">
        <v>23162</v>
      </c>
      <c r="M1110" t="s">
        <v>23163</v>
      </c>
      <c r="N1110" t="s">
        <v>23164</v>
      </c>
      <c r="O1110">
        <f>-742.212025753195 -67.5709762072747 -721.791371120108</f>
        <v>-1531.5743730805777</v>
      </c>
      <c r="P1110">
        <f>-723.005393346466 -38.8592744342259 -407.159929660056</f>
        <v>-1169.0245974407478</v>
      </c>
      <c r="Q1110">
        <f>-473.095456133691 -26.7272056596451 -336.167611171783</f>
        <v>-835.99027296511917</v>
      </c>
      <c r="R1110" t="s">
        <v>23165</v>
      </c>
      <c r="S1110" t="s">
        <v>23166</v>
      </c>
      <c r="T1110" t="s">
        <v>23167</v>
      </c>
      <c r="U1110" t="s">
        <v>23168</v>
      </c>
      <c r="V1110" t="s">
        <v>23169</v>
      </c>
      <c r="W1110" t="s">
        <v>23170</v>
      </c>
      <c r="X1110" t="s">
        <v>23171</v>
      </c>
      <c r="Y1110" t="s">
        <v>23172</v>
      </c>
    </row>
    <row r="1111" spans="1:25" x14ac:dyDescent="0.3">
      <c r="A1111">
        <v>55500</v>
      </c>
      <c r="B1111" t="s">
        <v>23173</v>
      </c>
      <c r="C1111" t="s">
        <v>23174</v>
      </c>
      <c r="D1111" t="s">
        <v>23175</v>
      </c>
      <c r="E1111" t="s">
        <v>23176</v>
      </c>
      <c r="F1111" t="s">
        <v>23177</v>
      </c>
      <c r="G1111" t="s">
        <v>23178</v>
      </c>
      <c r="H1111" t="s">
        <v>23179</v>
      </c>
      <c r="I1111" t="s">
        <v>23180</v>
      </c>
      <c r="J1111" t="s">
        <v>23181</v>
      </c>
      <c r="K1111" t="s">
        <v>23182</v>
      </c>
      <c r="L1111" t="s">
        <v>23183</v>
      </c>
      <c r="M1111" t="s">
        <v>23184</v>
      </c>
      <c r="N1111" t="s">
        <v>23185</v>
      </c>
      <c r="O1111">
        <f>-742.014969570759 -68.034437018493 -721.722064455297</f>
        <v>-1531.7714710445489</v>
      </c>
      <c r="P1111">
        <f>-722.671593875262 -39.5072444871989 -407.082222004762</f>
        <v>-1169.2610603672229</v>
      </c>
      <c r="Q1111">
        <f>-472.739560811682 -27.1780240202329 -336.202030478633</f>
        <v>-836.11961531054794</v>
      </c>
      <c r="R1111" t="s">
        <v>23186</v>
      </c>
      <c r="S1111" t="s">
        <v>23187</v>
      </c>
      <c r="T1111" t="s">
        <v>23188</v>
      </c>
      <c r="U1111" t="s">
        <v>23189</v>
      </c>
      <c r="V1111" t="s">
        <v>23190</v>
      </c>
      <c r="W1111" t="s">
        <v>23191</v>
      </c>
      <c r="X1111" t="s">
        <v>23192</v>
      </c>
      <c r="Y1111" t="s">
        <v>23193</v>
      </c>
    </row>
    <row r="1112" spans="1:25" x14ac:dyDescent="0.3">
      <c r="A1112">
        <v>55550</v>
      </c>
      <c r="B1112" t="s">
        <v>23194</v>
      </c>
      <c r="C1112" t="s">
        <v>23195</v>
      </c>
      <c r="D1112" t="s">
        <v>23196</v>
      </c>
      <c r="E1112" t="s">
        <v>23197</v>
      </c>
      <c r="F1112" t="s">
        <v>23198</v>
      </c>
      <c r="G1112" t="s">
        <v>23199</v>
      </c>
      <c r="H1112" t="s">
        <v>23200</v>
      </c>
      <c r="I1112" t="s">
        <v>23201</v>
      </c>
      <c r="J1112" t="s">
        <v>23202</v>
      </c>
      <c r="K1112" t="s">
        <v>23203</v>
      </c>
      <c r="L1112" t="s">
        <v>23204</v>
      </c>
      <c r="M1112" t="s">
        <v>23205</v>
      </c>
      <c r="N1112" t="s">
        <v>23206</v>
      </c>
      <c r="O1112">
        <f>-741.450265025468 -68.9240525124069 -721.605228865582</f>
        <v>-1531.9795464034569</v>
      </c>
      <c r="P1112">
        <f>-721.844267899052 -40.1778730885164 -407.001657258239</f>
        <v>-1169.0237982458075</v>
      </c>
      <c r="Q1112">
        <f>-471.704236741399 -27.4283841635108 -336.93427054483</f>
        <v>-836.06689144973984</v>
      </c>
      <c r="R1112" t="s">
        <v>23207</v>
      </c>
      <c r="S1112" t="s">
        <v>23208</v>
      </c>
      <c r="T1112" t="s">
        <v>23209</v>
      </c>
      <c r="U1112" t="s">
        <v>23210</v>
      </c>
      <c r="V1112" t="s">
        <v>23211</v>
      </c>
      <c r="W1112" t="s">
        <v>23212</v>
      </c>
      <c r="X1112" t="s">
        <v>23213</v>
      </c>
      <c r="Y1112" t="s">
        <v>23214</v>
      </c>
    </row>
    <row r="1113" spans="1:25" x14ac:dyDescent="0.3">
      <c r="A1113">
        <v>55600</v>
      </c>
      <c r="B1113" t="s">
        <v>23215</v>
      </c>
      <c r="C1113" t="s">
        <v>23216</v>
      </c>
      <c r="D1113" t="s">
        <v>23217</v>
      </c>
      <c r="E1113" t="s">
        <v>23218</v>
      </c>
      <c r="F1113" t="s">
        <v>23219</v>
      </c>
      <c r="G1113" t="s">
        <v>23220</v>
      </c>
      <c r="H1113" t="s">
        <v>23221</v>
      </c>
      <c r="I1113" t="s">
        <v>23222</v>
      </c>
      <c r="J1113" t="s">
        <v>23223</v>
      </c>
      <c r="K1113" t="s">
        <v>23224</v>
      </c>
      <c r="L1113" t="s">
        <v>23225</v>
      </c>
      <c r="M1113" t="s">
        <v>23226</v>
      </c>
      <c r="N1113" t="s">
        <v>23227</v>
      </c>
      <c r="O1113">
        <f>-741.085481272035 -69.3919591551582 -721.531777811406</f>
        <v>-1532.0092182385993</v>
      </c>
      <c r="P1113">
        <f>-721.578696746889 -40.8963131852174 -406.89931877243</f>
        <v>-1169.3743287045363</v>
      </c>
      <c r="Q1113">
        <f>-471.339739731446 -27.7617526867004 -337.2572728129</f>
        <v>-836.35876523104639</v>
      </c>
      <c r="R1113" t="s">
        <v>23228</v>
      </c>
      <c r="S1113" t="s">
        <v>23229</v>
      </c>
      <c r="T1113" t="s">
        <v>23230</v>
      </c>
      <c r="U1113" t="s">
        <v>23231</v>
      </c>
      <c r="V1113" t="s">
        <v>23232</v>
      </c>
      <c r="W1113" t="s">
        <v>23233</v>
      </c>
      <c r="X1113" t="s">
        <v>23234</v>
      </c>
      <c r="Y1113" t="s">
        <v>23235</v>
      </c>
    </row>
    <row r="1114" spans="1:25" x14ac:dyDescent="0.3">
      <c r="A1114">
        <v>55650</v>
      </c>
      <c r="B1114" t="s">
        <v>23236</v>
      </c>
      <c r="C1114" t="s">
        <v>23237</v>
      </c>
      <c r="D1114" t="s">
        <v>23238</v>
      </c>
      <c r="E1114" t="s">
        <v>23239</v>
      </c>
      <c r="F1114" t="s">
        <v>23240</v>
      </c>
      <c r="G1114" t="s">
        <v>23241</v>
      </c>
      <c r="H1114" t="s">
        <v>23242</v>
      </c>
      <c r="I1114" t="s">
        <v>23243</v>
      </c>
      <c r="J1114" t="s">
        <v>23244</v>
      </c>
      <c r="K1114" t="s">
        <v>23245</v>
      </c>
      <c r="L1114" t="s">
        <v>23246</v>
      </c>
      <c r="M1114" t="s">
        <v>23247</v>
      </c>
      <c r="N1114" t="s">
        <v>23248</v>
      </c>
      <c r="O1114">
        <f>-740.483224319316 -70.2369364167212 -721.508613439343</f>
        <v>-1532.2287741753803</v>
      </c>
      <c r="P1114">
        <f>-720.87277682374 -41.8489085235844 -406.8727509251</f>
        <v>-1169.5944362724244</v>
      </c>
      <c r="Q1114">
        <f>-470.629668869848 -28.2875547749609 -337.327528872656</f>
        <v>-836.2447525174648</v>
      </c>
      <c r="R1114" t="s">
        <v>23249</v>
      </c>
      <c r="S1114" t="s">
        <v>23250</v>
      </c>
      <c r="T1114" t="s">
        <v>23251</v>
      </c>
      <c r="U1114" t="s">
        <v>23252</v>
      </c>
      <c r="V1114" t="s">
        <v>23253</v>
      </c>
      <c r="W1114" t="s">
        <v>23254</v>
      </c>
      <c r="X1114" t="s">
        <v>23255</v>
      </c>
      <c r="Y1114" t="s">
        <v>23256</v>
      </c>
    </row>
    <row r="1115" spans="1:25" x14ac:dyDescent="0.3">
      <c r="A1115">
        <v>55700</v>
      </c>
      <c r="B1115" t="s">
        <v>23257</v>
      </c>
      <c r="C1115" t="s">
        <v>23258</v>
      </c>
      <c r="D1115" t="s">
        <v>23259</v>
      </c>
      <c r="E1115" t="s">
        <v>23260</v>
      </c>
      <c r="F1115" t="s">
        <v>23261</v>
      </c>
      <c r="G1115" t="s">
        <v>23262</v>
      </c>
      <c r="H1115" t="s">
        <v>23263</v>
      </c>
      <c r="I1115" t="s">
        <v>23264</v>
      </c>
      <c r="J1115" t="s">
        <v>23265</v>
      </c>
      <c r="K1115" t="s">
        <v>23266</v>
      </c>
      <c r="L1115" t="s">
        <v>23267</v>
      </c>
      <c r="M1115" t="s">
        <v>23268</v>
      </c>
      <c r="N1115" t="s">
        <v>23269</v>
      </c>
      <c r="O1115">
        <f>-740.272041411451 -70.8629621062316 -721.430089315544</f>
        <v>-1532.5650928332266</v>
      </c>
      <c r="P1115">
        <f>-720.810804708748 -42.2665402106761 -406.803874856419</f>
        <v>-1169.8812197758432</v>
      </c>
      <c r="Q1115">
        <f>-470.575058982298 -28.5726005119625 -337.258333373752</f>
        <v>-836.4059928680125</v>
      </c>
      <c r="R1115" t="s">
        <v>23270</v>
      </c>
      <c r="S1115" t="s">
        <v>23271</v>
      </c>
      <c r="T1115" t="s">
        <v>23272</v>
      </c>
      <c r="U1115" t="s">
        <v>23273</v>
      </c>
      <c r="V1115" t="s">
        <v>23274</v>
      </c>
      <c r="W1115" t="s">
        <v>23275</v>
      </c>
      <c r="X1115" t="s">
        <v>23276</v>
      </c>
      <c r="Y1115" t="s">
        <v>23277</v>
      </c>
    </row>
    <row r="1116" spans="1:25" x14ac:dyDescent="0.3">
      <c r="A1116">
        <v>55750</v>
      </c>
      <c r="B1116" t="s">
        <v>23278</v>
      </c>
      <c r="C1116" t="s">
        <v>23279</v>
      </c>
      <c r="D1116" t="s">
        <v>23280</v>
      </c>
      <c r="E1116" t="s">
        <v>23281</v>
      </c>
      <c r="F1116" t="s">
        <v>23282</v>
      </c>
      <c r="G1116" t="s">
        <v>23283</v>
      </c>
      <c r="H1116" t="s">
        <v>23284</v>
      </c>
      <c r="I1116" t="s">
        <v>23285</v>
      </c>
      <c r="J1116" t="s">
        <v>23286</v>
      </c>
      <c r="K1116" t="s">
        <v>23287</v>
      </c>
      <c r="L1116" t="s">
        <v>23288</v>
      </c>
      <c r="M1116" t="s">
        <v>23289</v>
      </c>
      <c r="N1116" t="s">
        <v>23290</v>
      </c>
      <c r="O1116">
        <f>-740.013917335628 -71.7221625329603 -721.497551585931</f>
        <v>-1533.2336314545191</v>
      </c>
      <c r="P1116">
        <f>-720.488765613907 -43.0531432026996 -406.881940522115</f>
        <v>-1170.4238493387215</v>
      </c>
      <c r="Q1116">
        <f>-470.382804076098 -29.2843803927353 -336.885652345596</f>
        <v>-836.55283681442927</v>
      </c>
      <c r="R1116" t="s">
        <v>23291</v>
      </c>
      <c r="S1116" t="s">
        <v>23292</v>
      </c>
      <c r="T1116" t="s">
        <v>23293</v>
      </c>
      <c r="U1116" t="s">
        <v>23294</v>
      </c>
      <c r="V1116" t="s">
        <v>23295</v>
      </c>
      <c r="W1116" t="s">
        <v>23296</v>
      </c>
      <c r="X1116" t="s">
        <v>23297</v>
      </c>
      <c r="Y1116" t="s">
        <v>23298</v>
      </c>
    </row>
    <row r="1117" spans="1:25" x14ac:dyDescent="0.3">
      <c r="A1117">
        <v>55800</v>
      </c>
      <c r="B1117" t="s">
        <v>23299</v>
      </c>
      <c r="C1117" t="s">
        <v>23300</v>
      </c>
      <c r="D1117" t="s">
        <v>23301</v>
      </c>
      <c r="E1117" t="s">
        <v>23302</v>
      </c>
      <c r="F1117" t="s">
        <v>23303</v>
      </c>
      <c r="G1117" t="s">
        <v>23304</v>
      </c>
      <c r="H1117" t="s">
        <v>23305</v>
      </c>
      <c r="I1117" t="s">
        <v>23306</v>
      </c>
      <c r="J1117" t="s">
        <v>23307</v>
      </c>
      <c r="K1117" t="s">
        <v>23308</v>
      </c>
      <c r="L1117" t="s">
        <v>23309</v>
      </c>
      <c r="M1117" t="s">
        <v>23310</v>
      </c>
      <c r="N1117" t="s">
        <v>23311</v>
      </c>
      <c r="O1117">
        <f>-739.878704043557 -72.3224801393633 -721.517799942605</f>
        <v>-1533.7189841255254</v>
      </c>
      <c r="P1117">
        <f>-720.526967050335 -43.4313610811982 -406.911692318876</f>
        <v>-1170.8700204504094</v>
      </c>
      <c r="Q1117">
        <f>-470.44001343787 -29.7181262390591 -336.83677681148</f>
        <v>-836.99491648840899</v>
      </c>
      <c r="R1117" t="s">
        <v>23312</v>
      </c>
      <c r="S1117" t="s">
        <v>23313</v>
      </c>
      <c r="T1117" t="s">
        <v>23314</v>
      </c>
      <c r="U1117" t="s">
        <v>23315</v>
      </c>
      <c r="V1117" t="s">
        <v>23316</v>
      </c>
      <c r="W1117" t="s">
        <v>23317</v>
      </c>
      <c r="X1117" t="s">
        <v>23318</v>
      </c>
      <c r="Y1117" t="s">
        <v>23319</v>
      </c>
    </row>
    <row r="1118" spans="1:25" x14ac:dyDescent="0.3">
      <c r="A1118">
        <v>55850</v>
      </c>
      <c r="B1118" t="s">
        <v>23320</v>
      </c>
      <c r="C1118" t="s">
        <v>23321</v>
      </c>
      <c r="D1118" t="s">
        <v>23322</v>
      </c>
      <c r="E1118" t="s">
        <v>23323</v>
      </c>
      <c r="F1118" t="s">
        <v>23324</v>
      </c>
      <c r="G1118" t="s">
        <v>23325</v>
      </c>
      <c r="H1118" t="s">
        <v>23326</v>
      </c>
      <c r="I1118" t="s">
        <v>23327</v>
      </c>
      <c r="J1118" t="s">
        <v>23328</v>
      </c>
      <c r="K1118" t="s">
        <v>23329</v>
      </c>
      <c r="L1118" t="s">
        <v>23330</v>
      </c>
      <c r="M1118" t="s">
        <v>23331</v>
      </c>
      <c r="N1118" t="s">
        <v>23332</v>
      </c>
      <c r="O1118">
        <f>-739.837913044477 -73.501775125226 -721.466855125257</f>
        <v>-1534.80654329496</v>
      </c>
      <c r="P1118">
        <f>-720.615065441682 -44.8140716238147 -406.834294783162</f>
        <v>-1172.2634318486587</v>
      </c>
      <c r="Q1118">
        <f>-470.581979746297 -31.1719873894681 -336.55330587356</f>
        <v>-838.30727300932517</v>
      </c>
      <c r="R1118" t="s">
        <v>23333</v>
      </c>
      <c r="S1118" t="s">
        <v>23334</v>
      </c>
      <c r="T1118" t="s">
        <v>23335</v>
      </c>
      <c r="U1118" t="s">
        <v>23336</v>
      </c>
      <c r="V1118" t="s">
        <v>23337</v>
      </c>
      <c r="W1118" t="s">
        <v>23338</v>
      </c>
      <c r="X1118" t="s">
        <v>23339</v>
      </c>
      <c r="Y1118" t="s">
        <v>23340</v>
      </c>
    </row>
    <row r="1119" spans="1:25" x14ac:dyDescent="0.3">
      <c r="A1119">
        <v>55900</v>
      </c>
      <c r="B1119" t="s">
        <v>23341</v>
      </c>
      <c r="C1119" t="s">
        <v>23342</v>
      </c>
      <c r="D1119" t="s">
        <v>23343</v>
      </c>
      <c r="E1119" t="s">
        <v>23344</v>
      </c>
      <c r="F1119" t="s">
        <v>23345</v>
      </c>
      <c r="G1119" t="s">
        <v>23346</v>
      </c>
      <c r="H1119" t="s">
        <v>23347</v>
      </c>
      <c r="I1119" t="s">
        <v>23348</v>
      </c>
      <c r="J1119" t="s">
        <v>23349</v>
      </c>
      <c r="K1119" t="s">
        <v>23350</v>
      </c>
      <c r="L1119" t="s">
        <v>23351</v>
      </c>
      <c r="M1119" t="s">
        <v>23352</v>
      </c>
      <c r="N1119" t="s">
        <v>23353</v>
      </c>
      <c r="O1119">
        <f>-739.917642084907 -73.7666051262934 -721.543497465123</f>
        <v>-1535.2277446763233</v>
      </c>
      <c r="P1119">
        <f>-720.723151266544 -45.041600471021 -406.912567406377</f>
        <v>-1172.677319143942</v>
      </c>
      <c r="Q1119">
        <f>-470.682542536119 -31.308501115705 -336.675727025358</f>
        <v>-838.66677067718206</v>
      </c>
      <c r="R1119" t="s">
        <v>23354</v>
      </c>
      <c r="S1119" t="s">
        <v>23355</v>
      </c>
      <c r="T1119" t="s">
        <v>23356</v>
      </c>
      <c r="U1119" t="s">
        <v>23357</v>
      </c>
      <c r="V1119" t="s">
        <v>23358</v>
      </c>
      <c r="W1119" t="s">
        <v>23359</v>
      </c>
      <c r="X1119" t="s">
        <v>23360</v>
      </c>
      <c r="Y1119" t="s">
        <v>23361</v>
      </c>
    </row>
    <row r="1120" spans="1:25" x14ac:dyDescent="0.3">
      <c r="A1120">
        <v>55950</v>
      </c>
      <c r="B1120" t="s">
        <v>23362</v>
      </c>
      <c r="C1120" t="s">
        <v>23363</v>
      </c>
      <c r="D1120" t="s">
        <v>23364</v>
      </c>
      <c r="E1120" t="s">
        <v>23365</v>
      </c>
      <c r="F1120" t="s">
        <v>23366</v>
      </c>
      <c r="G1120" t="s">
        <v>23367</v>
      </c>
      <c r="H1120" t="s">
        <v>23368</v>
      </c>
      <c r="I1120" t="s">
        <v>23369</v>
      </c>
      <c r="J1120" t="s">
        <v>23370</v>
      </c>
      <c r="K1120" t="s">
        <v>23371</v>
      </c>
      <c r="L1120" t="s">
        <v>23372</v>
      </c>
      <c r="M1120" t="s">
        <v>23373</v>
      </c>
      <c r="N1120" t="s">
        <v>23374</v>
      </c>
      <c r="O1120">
        <f>-739.350635442344 -73.7910785858141 -721.869509521571</f>
        <v>-1535.011223549729</v>
      </c>
      <c r="P1120">
        <f>-720.610636990047 -45.735894572058 -407.150754146147</f>
        <v>-1173.4972857082521</v>
      </c>
      <c r="Q1120">
        <f>-470.58741555105 -32.0265972763154 -336.847846953887</f>
        <v>-839.46185978125231</v>
      </c>
      <c r="R1120" t="s">
        <v>23375</v>
      </c>
      <c r="S1120" t="s">
        <v>23376</v>
      </c>
      <c r="T1120" t="s">
        <v>23377</v>
      </c>
      <c r="U1120" t="s">
        <v>23378</v>
      </c>
      <c r="V1120" t="s">
        <v>23379</v>
      </c>
      <c r="W1120" t="s">
        <v>23380</v>
      </c>
      <c r="X1120" t="s">
        <v>23381</v>
      </c>
      <c r="Y1120" t="s">
        <v>23382</v>
      </c>
    </row>
    <row r="1121" spans="1:25" x14ac:dyDescent="0.3">
      <c r="A1121">
        <v>56000</v>
      </c>
      <c r="B1121" t="s">
        <v>23383</v>
      </c>
      <c r="C1121" t="s">
        <v>23384</v>
      </c>
      <c r="D1121" t="s">
        <v>23385</v>
      </c>
      <c r="E1121" t="s">
        <v>23386</v>
      </c>
      <c r="F1121" t="s">
        <v>23387</v>
      </c>
      <c r="G1121" t="s">
        <v>23388</v>
      </c>
      <c r="H1121" t="s">
        <v>23389</v>
      </c>
      <c r="I1121" t="s">
        <v>23390</v>
      </c>
      <c r="J1121" t="s">
        <v>23391</v>
      </c>
      <c r="K1121" t="s">
        <v>23392</v>
      </c>
      <c r="L1121" t="s">
        <v>23393</v>
      </c>
      <c r="M1121" t="s">
        <v>23394</v>
      </c>
      <c r="N1121" t="s">
        <v>23395</v>
      </c>
      <c r="O1121">
        <f>-739.148573632644 -73.4713617909376 -722.230025552977</f>
        <v>-1534.8499609765586</v>
      </c>
      <c r="P1121">
        <f>-720.593105115404 -45.7346507226566 -407.472000479466</f>
        <v>-1173.7997563175265</v>
      </c>
      <c r="Q1121">
        <f>-470.677332432723 -31.5911199422187 -336.873907533776</f>
        <v>-839.14235990871771</v>
      </c>
      <c r="R1121" t="s">
        <v>23396</v>
      </c>
      <c r="S1121" t="s">
        <v>23397</v>
      </c>
      <c r="T1121" t="s">
        <v>23398</v>
      </c>
      <c r="U1121" t="s">
        <v>23399</v>
      </c>
      <c r="V1121" t="s">
        <v>23400</v>
      </c>
      <c r="W1121" t="s">
        <v>23401</v>
      </c>
      <c r="X1121" t="s">
        <v>23402</v>
      </c>
      <c r="Y1121" t="s">
        <v>23403</v>
      </c>
    </row>
    <row r="1122" spans="1:25" x14ac:dyDescent="0.3">
      <c r="A1122">
        <v>56050</v>
      </c>
      <c r="B1122" t="s">
        <v>23404</v>
      </c>
      <c r="C1122" t="s">
        <v>23405</v>
      </c>
      <c r="D1122" t="s">
        <v>23406</v>
      </c>
      <c r="E1122" t="s">
        <v>23407</v>
      </c>
      <c r="F1122" t="s">
        <v>23408</v>
      </c>
      <c r="G1122" t="s">
        <v>23409</v>
      </c>
      <c r="H1122" t="s">
        <v>23410</v>
      </c>
      <c r="I1122" t="s">
        <v>23411</v>
      </c>
      <c r="J1122" t="s">
        <v>23412</v>
      </c>
      <c r="K1122" t="s">
        <v>23413</v>
      </c>
      <c r="L1122" t="s">
        <v>23414</v>
      </c>
      <c r="M1122" t="s">
        <v>23415</v>
      </c>
      <c r="N1122" t="s">
        <v>23416</v>
      </c>
      <c r="O1122">
        <f>-738.972378688544 -72.7131302113812 -723.108860828806</f>
        <v>-1534.7943697287312</v>
      </c>
      <c r="P1122">
        <f>-721.02752194497 -46.0273585408995 -408.224792507397</f>
        <v>-1175.2796729932666</v>
      </c>
      <c r="Q1122">
        <f>-471.307251593486 -30.9671253880674 -337.126153737596</f>
        <v>-839.4005307191494</v>
      </c>
      <c r="R1122" t="s">
        <v>23417</v>
      </c>
      <c r="S1122" t="s">
        <v>23418</v>
      </c>
      <c r="T1122" t="s">
        <v>23419</v>
      </c>
      <c r="U1122" t="s">
        <v>23420</v>
      </c>
      <c r="V1122" t="s">
        <v>23421</v>
      </c>
      <c r="W1122" t="s">
        <v>23422</v>
      </c>
      <c r="X1122" t="s">
        <v>23423</v>
      </c>
      <c r="Y1122" t="s">
        <v>23424</v>
      </c>
    </row>
    <row r="1123" spans="1:25" x14ac:dyDescent="0.3">
      <c r="A1123">
        <v>56100</v>
      </c>
      <c r="B1123" t="s">
        <v>23425</v>
      </c>
      <c r="C1123" t="s">
        <v>23426</v>
      </c>
      <c r="D1123" t="s">
        <v>23427</v>
      </c>
      <c r="E1123" t="s">
        <v>23428</v>
      </c>
      <c r="F1123" t="s">
        <v>23429</v>
      </c>
      <c r="G1123" t="s">
        <v>23430</v>
      </c>
      <c r="H1123" t="s">
        <v>23431</v>
      </c>
      <c r="I1123" t="s">
        <v>23432</v>
      </c>
      <c r="J1123" t="s">
        <v>23433</v>
      </c>
      <c r="K1123" t="s">
        <v>23434</v>
      </c>
      <c r="L1123" t="s">
        <v>23435</v>
      </c>
      <c r="M1123" t="s">
        <v>23436</v>
      </c>
      <c r="N1123" t="s">
        <v>23437</v>
      </c>
      <c r="O1123">
        <f>-738.770572018794 -72.220271610714 -723.679836514733</f>
        <v>-1534.670680144241</v>
      </c>
      <c r="P1123">
        <f>-721.153328821023 -46.3530648012704 -408.708867343722</f>
        <v>-1176.2152609660154</v>
      </c>
      <c r="Q1123">
        <f>-471.545997299899 -30.9035805206222 -337.298235857942</f>
        <v>-839.74781367846322</v>
      </c>
      <c r="R1123" t="s">
        <v>23438</v>
      </c>
      <c r="S1123" t="s">
        <v>23439</v>
      </c>
      <c r="T1123" t="s">
        <v>23440</v>
      </c>
      <c r="U1123" t="s">
        <v>23441</v>
      </c>
      <c r="V1123" t="s">
        <v>23442</v>
      </c>
      <c r="W1123" t="s">
        <v>23443</v>
      </c>
      <c r="X1123" t="s">
        <v>23444</v>
      </c>
      <c r="Y1123" t="s">
        <v>23445</v>
      </c>
    </row>
    <row r="1124" spans="1:25" x14ac:dyDescent="0.3">
      <c r="A1124">
        <v>56150</v>
      </c>
      <c r="B1124" t="s">
        <v>23446</v>
      </c>
      <c r="C1124" t="s">
        <v>23447</v>
      </c>
      <c r="D1124" t="s">
        <v>23448</v>
      </c>
      <c r="E1124" t="s">
        <v>23449</v>
      </c>
      <c r="F1124" t="s">
        <v>23450</v>
      </c>
      <c r="G1124" t="s">
        <v>23451</v>
      </c>
      <c r="H1124" t="s">
        <v>23452</v>
      </c>
      <c r="I1124" t="s">
        <v>23453</v>
      </c>
      <c r="J1124" t="s">
        <v>23454</v>
      </c>
      <c r="K1124" t="s">
        <v>23455</v>
      </c>
      <c r="L1124" t="s">
        <v>23456</v>
      </c>
      <c r="M1124" t="s">
        <v>23457</v>
      </c>
      <c r="N1124" t="s">
        <v>23458</v>
      </c>
      <c r="O1124">
        <f>-738.696402851162 -71.3038150040852 -724.845850740214</f>
        <v>-1534.8460685954612</v>
      </c>
      <c r="P1124">
        <f>-721.926527351098 -46.6254515346361 -409.733289145939</f>
        <v>-1178.2852680316732</v>
      </c>
      <c r="Q1124">
        <f>-472.462369941399 -29.9507769675915 -338.097703929624</f>
        <v>-840.51085083861449</v>
      </c>
      <c r="R1124" t="s">
        <v>23459</v>
      </c>
      <c r="S1124" t="s">
        <v>23460</v>
      </c>
      <c r="T1124" t="s">
        <v>23461</v>
      </c>
      <c r="U1124" t="s">
        <v>23462</v>
      </c>
      <c r="V1124" t="s">
        <v>23463</v>
      </c>
      <c r="W1124" t="s">
        <v>23464</v>
      </c>
      <c r="X1124" t="s">
        <v>23465</v>
      </c>
      <c r="Y1124" t="s">
        <v>23466</v>
      </c>
    </row>
    <row r="1125" spans="1:25" x14ac:dyDescent="0.3">
      <c r="A1125">
        <v>56200</v>
      </c>
      <c r="B1125" t="s">
        <v>23467</v>
      </c>
      <c r="C1125" t="s">
        <v>23468</v>
      </c>
      <c r="D1125" t="s">
        <v>23469</v>
      </c>
      <c r="E1125" t="s">
        <v>23470</v>
      </c>
      <c r="F1125" t="s">
        <v>23471</v>
      </c>
      <c r="G1125" t="s">
        <v>23472</v>
      </c>
      <c r="H1125" t="s">
        <v>23473</v>
      </c>
      <c r="I1125" t="s">
        <v>23474</v>
      </c>
      <c r="J1125" t="s">
        <v>23475</v>
      </c>
      <c r="K1125" t="s">
        <v>23476</v>
      </c>
      <c r="L1125" t="s">
        <v>23477</v>
      </c>
      <c r="M1125" t="s">
        <v>23478</v>
      </c>
      <c r="N1125" t="s">
        <v>23479</v>
      </c>
      <c r="O1125">
        <f>-738.59264722648 -70.8599787200451 -725.364919428185</f>
        <v>-1534.8175453747101</v>
      </c>
      <c r="P1125">
        <f>-722.110639857699 -46.8483495919868 -410.185580588099</f>
        <v>-1179.1445700377849</v>
      </c>
      <c r="Q1125">
        <f>-472.765840650595 -29.659212322239 -338.256596407307</f>
        <v>-840.68164938014093</v>
      </c>
      <c r="R1125" t="s">
        <v>23480</v>
      </c>
      <c r="S1125" t="s">
        <v>23481</v>
      </c>
      <c r="T1125" t="s">
        <v>23482</v>
      </c>
      <c r="U1125" t="s">
        <v>23483</v>
      </c>
      <c r="V1125" t="s">
        <v>23484</v>
      </c>
      <c r="W1125" t="s">
        <v>23485</v>
      </c>
      <c r="X1125" t="s">
        <v>23486</v>
      </c>
      <c r="Y1125" t="s">
        <v>23487</v>
      </c>
    </row>
    <row r="1126" spans="1:25" x14ac:dyDescent="0.3">
      <c r="A1126">
        <v>56250</v>
      </c>
      <c r="B1126" t="s">
        <v>23488</v>
      </c>
      <c r="C1126" t="s">
        <v>23489</v>
      </c>
      <c r="D1126" t="s">
        <v>23490</v>
      </c>
      <c r="E1126" t="s">
        <v>23491</v>
      </c>
      <c r="F1126" t="s">
        <v>23492</v>
      </c>
      <c r="G1126" t="s">
        <v>23493</v>
      </c>
      <c r="H1126" t="s">
        <v>23494</v>
      </c>
      <c r="I1126" t="s">
        <v>23495</v>
      </c>
      <c r="J1126" t="s">
        <v>23496</v>
      </c>
      <c r="K1126" t="s">
        <v>23497</v>
      </c>
      <c r="L1126" t="s">
        <v>23498</v>
      </c>
      <c r="M1126" t="s">
        <v>23499</v>
      </c>
      <c r="N1126" t="s">
        <v>23500</v>
      </c>
      <c r="O1126">
        <f>-738.715666407749 -69.7611286085785 -726.214246091045</f>
        <v>-1534.6910411073725</v>
      </c>
      <c r="P1126">
        <f>-722.845921527433 -46.5769599527284 -410.941630516195</f>
        <v>-1180.3645119963564</v>
      </c>
      <c r="Q1126">
        <f>-473.61744980471 -28.4334401495466 -338.844087706611</f>
        <v>-840.89497766086765</v>
      </c>
      <c r="R1126" t="s">
        <v>23501</v>
      </c>
      <c r="S1126" t="s">
        <v>23502</v>
      </c>
      <c r="T1126" t="s">
        <v>23503</v>
      </c>
      <c r="U1126" t="s">
        <v>23504</v>
      </c>
      <c r="V1126" t="s">
        <v>23505</v>
      </c>
      <c r="W1126" t="s">
        <v>23506</v>
      </c>
      <c r="X1126" t="s">
        <v>23507</v>
      </c>
      <c r="Y1126" t="s">
        <v>23508</v>
      </c>
    </row>
    <row r="1127" spans="1:25" x14ac:dyDescent="0.3">
      <c r="A1127">
        <v>56300</v>
      </c>
      <c r="B1127" t="s">
        <v>23509</v>
      </c>
      <c r="C1127" t="s">
        <v>23510</v>
      </c>
      <c r="D1127" t="s">
        <v>23511</v>
      </c>
      <c r="E1127" t="s">
        <v>23512</v>
      </c>
      <c r="F1127" t="s">
        <v>23513</v>
      </c>
      <c r="G1127" t="s">
        <v>23514</v>
      </c>
      <c r="H1127" t="s">
        <v>23515</v>
      </c>
      <c r="I1127" t="s">
        <v>23516</v>
      </c>
      <c r="J1127" t="s">
        <v>23517</v>
      </c>
      <c r="K1127" t="s">
        <v>23518</v>
      </c>
      <c r="L1127" t="s">
        <v>23519</v>
      </c>
      <c r="M1127" t="s">
        <v>23520</v>
      </c>
      <c r="N1127" t="s">
        <v>23521</v>
      </c>
      <c r="O1127">
        <f>-738.685142782943 -69.2888216760718 -726.518122599257</f>
        <v>-1534.4920870582719</v>
      </c>
      <c r="P1127">
        <f>-723.022310857428 -46.6825113232692 -411.193258343685</f>
        <v>-1180.8980805243823</v>
      </c>
      <c r="Q1127">
        <f>-473.887760590425 -28.1068810492598 -338.88171237669</f>
        <v>-840.87635401637476</v>
      </c>
      <c r="R1127" t="s">
        <v>23522</v>
      </c>
      <c r="S1127" t="s">
        <v>23523</v>
      </c>
      <c r="T1127" t="s">
        <v>23524</v>
      </c>
      <c r="U1127" t="s">
        <v>23525</v>
      </c>
      <c r="V1127" t="s">
        <v>23526</v>
      </c>
      <c r="W1127" t="s">
        <v>23527</v>
      </c>
      <c r="X1127" t="s">
        <v>23528</v>
      </c>
      <c r="Y1127" t="s">
        <v>23529</v>
      </c>
    </row>
    <row r="1128" spans="1:25" x14ac:dyDescent="0.3">
      <c r="A1128">
        <v>56350</v>
      </c>
      <c r="B1128" t="s">
        <v>23530</v>
      </c>
      <c r="C1128" t="s">
        <v>23531</v>
      </c>
      <c r="D1128" t="s">
        <v>23532</v>
      </c>
      <c r="E1128" t="s">
        <v>23533</v>
      </c>
      <c r="F1128" t="s">
        <v>23534</v>
      </c>
      <c r="G1128" t="s">
        <v>23535</v>
      </c>
      <c r="H1128" t="s">
        <v>23536</v>
      </c>
      <c r="I1128" t="s">
        <v>23537</v>
      </c>
      <c r="J1128" t="s">
        <v>23538</v>
      </c>
      <c r="K1128" t="s">
        <v>23539</v>
      </c>
      <c r="L1128" t="s">
        <v>23540</v>
      </c>
      <c r="M1128" t="s">
        <v>23541</v>
      </c>
      <c r="N1128" t="s">
        <v>23542</v>
      </c>
      <c r="O1128">
        <f>-739.126789088189 -68.2227131386348 -727.002046253781</f>
        <v>-1534.3515484806048</v>
      </c>
      <c r="P1128">
        <f>-724.122959295978 -46.3004135897336 -411.596770291581</f>
        <v>-1182.0201431772925</v>
      </c>
      <c r="Q1128">
        <f>-475.116744341153 -26.8637417102027 -339.069982237339</f>
        <v>-841.05046828869467</v>
      </c>
      <c r="R1128" t="s">
        <v>23543</v>
      </c>
      <c r="S1128" t="s">
        <v>23544</v>
      </c>
      <c r="T1128" t="s">
        <v>23545</v>
      </c>
      <c r="U1128" t="s">
        <v>23546</v>
      </c>
      <c r="V1128" t="s">
        <v>23547</v>
      </c>
      <c r="W1128" t="s">
        <v>23548</v>
      </c>
      <c r="X1128" t="s">
        <v>23549</v>
      </c>
      <c r="Y1128" t="s">
        <v>23550</v>
      </c>
    </row>
    <row r="1129" spans="1:25" x14ac:dyDescent="0.3">
      <c r="A1129">
        <v>56400</v>
      </c>
      <c r="B1129" t="s">
        <v>23551</v>
      </c>
      <c r="C1129" t="s">
        <v>23552</v>
      </c>
      <c r="D1129" t="s">
        <v>23553</v>
      </c>
      <c r="E1129" t="s">
        <v>23554</v>
      </c>
      <c r="F1129" t="s">
        <v>23555</v>
      </c>
      <c r="G1129" t="s">
        <v>23556</v>
      </c>
      <c r="H1129" t="s">
        <v>23557</v>
      </c>
      <c r="I1129" t="s">
        <v>23558</v>
      </c>
      <c r="J1129" t="s">
        <v>23559</v>
      </c>
      <c r="K1129" t="s">
        <v>23560</v>
      </c>
      <c r="L1129" t="s">
        <v>23561</v>
      </c>
      <c r="M1129" t="s">
        <v>23562</v>
      </c>
      <c r="N1129" t="s">
        <v>23563</v>
      </c>
      <c r="O1129">
        <f>-739.368870800382 -67.4042569332687 -727.31682127681</f>
        <v>-1534.0899490104607</v>
      </c>
      <c r="P1129">
        <f>-724.711601971178 -46.1321248960257 -411.850696860496</f>
        <v>-1182.6944237276998</v>
      </c>
      <c r="Q1129">
        <f>-475.77590343363 -26.067178789262 -339.252721710443</f>
        <v>-841.09580393333499</v>
      </c>
      <c r="R1129" t="s">
        <v>23564</v>
      </c>
      <c r="S1129" t="s">
        <v>23565</v>
      </c>
      <c r="T1129" t="s">
        <v>23566</v>
      </c>
      <c r="U1129" t="s">
        <v>23567</v>
      </c>
      <c r="V1129" t="s">
        <v>23568</v>
      </c>
      <c r="W1129" t="s">
        <v>23569</v>
      </c>
      <c r="X1129" t="s">
        <v>23570</v>
      </c>
      <c r="Y1129" t="s">
        <v>23571</v>
      </c>
    </row>
    <row r="1130" spans="1:25" x14ac:dyDescent="0.3">
      <c r="A1130">
        <v>56450</v>
      </c>
      <c r="B1130" t="s">
        <v>23572</v>
      </c>
      <c r="C1130" t="s">
        <v>23573</v>
      </c>
      <c r="D1130" t="s">
        <v>23574</v>
      </c>
      <c r="E1130" t="s">
        <v>23575</v>
      </c>
      <c r="F1130" t="s">
        <v>23576</v>
      </c>
      <c r="G1130" t="s">
        <v>23577</v>
      </c>
      <c r="H1130" t="s">
        <v>23578</v>
      </c>
      <c r="I1130" t="s">
        <v>23579</v>
      </c>
      <c r="J1130" t="s">
        <v>23580</v>
      </c>
      <c r="K1130" t="s">
        <v>23581</v>
      </c>
      <c r="L1130" t="s">
        <v>23582</v>
      </c>
      <c r="M1130">
        <f>-321.623689000276 -0.880476261622562 -315.132846210623</f>
        <v>-637.63701147252152</v>
      </c>
      <c r="N1130" t="s">
        <v>23583</v>
      </c>
      <c r="O1130">
        <f>-739.563686276166 -66.6039981208551 -727.676788878004</f>
        <v>-1533.8444732750249</v>
      </c>
      <c r="P1130">
        <f>-725.212373549851 -45.6152870527953 -412.177782021115</f>
        <v>-1183.0054426237614</v>
      </c>
      <c r="Q1130">
        <f>-476.317882363938 -25.1261968350059 -339.556954176202</f>
        <v>-841.00103337514588</v>
      </c>
      <c r="R1130" t="s">
        <v>23584</v>
      </c>
      <c r="S1130" t="s">
        <v>23585</v>
      </c>
      <c r="T1130" t="s">
        <v>23586</v>
      </c>
      <c r="U1130" t="s">
        <v>23587</v>
      </c>
      <c r="V1130" t="s">
        <v>23588</v>
      </c>
      <c r="W1130" t="s">
        <v>23589</v>
      </c>
      <c r="X1130" t="s">
        <v>23590</v>
      </c>
      <c r="Y1130" t="s">
        <v>23591</v>
      </c>
    </row>
    <row r="1131" spans="1:25" x14ac:dyDescent="0.3">
      <c r="A1131">
        <v>56500</v>
      </c>
      <c r="B1131" t="s">
        <v>23592</v>
      </c>
      <c r="C1131" t="s">
        <v>23593</v>
      </c>
      <c r="D1131" t="s">
        <v>23594</v>
      </c>
      <c r="E1131" t="s">
        <v>23595</v>
      </c>
      <c r="F1131" t="s">
        <v>23596</v>
      </c>
      <c r="G1131" t="s">
        <v>23597</v>
      </c>
      <c r="H1131" t="s">
        <v>23598</v>
      </c>
      <c r="I1131" t="s">
        <v>23599</v>
      </c>
      <c r="J1131" t="s">
        <v>23600</v>
      </c>
      <c r="K1131" t="s">
        <v>23601</v>
      </c>
      <c r="L1131" t="s">
        <v>23602</v>
      </c>
      <c r="M1131">
        <f>-325.920195945809 -3.64335856911498 -318.094910036322</f>
        <v>-647.65846455124597</v>
      </c>
      <c r="N1131" t="s">
        <v>23603</v>
      </c>
      <c r="O1131">
        <f>-740.514783833928 -64.9777762610129 -728.27619999951</f>
        <v>-1533.768760094451</v>
      </c>
      <c r="P1131">
        <f>-726.363377180404 -44.9473317682928 -412.705639477214</f>
        <v>-1184.0163484259108</v>
      </c>
      <c r="Q1131">
        <f>-477.462724213776 -23.5901774111117 -340.356567495566</f>
        <v>-841.40946912045376</v>
      </c>
      <c r="R1131" t="s">
        <v>23604</v>
      </c>
      <c r="S1131" t="s">
        <v>23605</v>
      </c>
      <c r="T1131" t="s">
        <v>23606</v>
      </c>
      <c r="U1131" t="s">
        <v>23607</v>
      </c>
      <c r="V1131" t="s">
        <v>23608</v>
      </c>
      <c r="W1131" t="s">
        <v>23609</v>
      </c>
      <c r="X1131" t="s">
        <v>23610</v>
      </c>
      <c r="Y1131" t="s">
        <v>23611</v>
      </c>
    </row>
    <row r="1132" spans="1:25" x14ac:dyDescent="0.3">
      <c r="A1132">
        <v>56550</v>
      </c>
      <c r="B1132" t="s">
        <v>23612</v>
      </c>
      <c r="C1132" t="s">
        <v>23613</v>
      </c>
      <c r="D1132" t="s">
        <v>23614</v>
      </c>
      <c r="E1132" t="s">
        <v>23615</v>
      </c>
      <c r="F1132" t="s">
        <v>23616</v>
      </c>
      <c r="G1132" t="s">
        <v>23617</v>
      </c>
      <c r="H1132" t="s">
        <v>23618</v>
      </c>
      <c r="I1132" t="s">
        <v>23619</v>
      </c>
      <c r="J1132" t="s">
        <v>23620</v>
      </c>
      <c r="K1132" t="s">
        <v>23621</v>
      </c>
      <c r="L1132" t="s">
        <v>23622</v>
      </c>
      <c r="M1132">
        <f>-330.263959830059 -6.91918259165732 -321.267002975221</f>
        <v>-658.45014539693727</v>
      </c>
      <c r="N1132" t="s">
        <v>23623</v>
      </c>
      <c r="O1132">
        <f>-741.713292603459 -63.1918834666233 -728.758823757057</f>
        <v>-1533.6639998271394</v>
      </c>
      <c r="P1132">
        <f>-727.25572207637 -44.0885903262076 -413.144804810435</f>
        <v>-1184.4891172130126</v>
      </c>
      <c r="Q1132">
        <f>-478.293120494003 -22.1131338812743 -341.194929887831</f>
        <v>-841.60118426310828</v>
      </c>
      <c r="R1132" t="s">
        <v>23624</v>
      </c>
      <c r="S1132" t="s">
        <v>23625</v>
      </c>
      <c r="T1132" t="s">
        <v>23626</v>
      </c>
      <c r="U1132" t="s">
        <v>23627</v>
      </c>
      <c r="V1132" t="s">
        <v>23628</v>
      </c>
      <c r="W1132" t="s">
        <v>23629</v>
      </c>
      <c r="X1132" t="s">
        <v>23630</v>
      </c>
      <c r="Y1132" t="s">
        <v>23631</v>
      </c>
    </row>
    <row r="1133" spans="1:25" x14ac:dyDescent="0.3">
      <c r="A1133">
        <v>56600</v>
      </c>
      <c r="B1133" t="s">
        <v>23632</v>
      </c>
      <c r="C1133" t="s">
        <v>23633</v>
      </c>
      <c r="D1133" t="s">
        <v>23634</v>
      </c>
      <c r="E1133" t="s">
        <v>23635</v>
      </c>
      <c r="F1133" t="s">
        <v>23636</v>
      </c>
      <c r="G1133" t="s">
        <v>23637</v>
      </c>
      <c r="H1133" t="s">
        <v>23638</v>
      </c>
      <c r="I1133" t="s">
        <v>23639</v>
      </c>
      <c r="J1133" t="s">
        <v>23640</v>
      </c>
      <c r="K1133" t="s">
        <v>23641</v>
      </c>
      <c r="L1133" t="s">
        <v>23642</v>
      </c>
      <c r="M1133">
        <f>-332.611759623122 -8.91916788927028 -323.470534200471</f>
        <v>-665.00146171286326</v>
      </c>
      <c r="N1133" t="s">
        <v>23643</v>
      </c>
      <c r="O1133">
        <f>-742.408806416621 -62.2326021077877 -728.988494801695</f>
        <v>-1533.6299033261037</v>
      </c>
      <c r="P1133">
        <f>-727.989783816176 -43.4814813036858 -413.351458207295</f>
        <v>-1184.8227233271568</v>
      </c>
      <c r="Q1133">
        <f>-478.995625877793 -21.0858979789728 -341.641054389717</f>
        <v>-841.72257824648273</v>
      </c>
      <c r="R1133" t="s">
        <v>23644</v>
      </c>
      <c r="S1133" t="s">
        <v>23645</v>
      </c>
      <c r="T1133" t="s">
        <v>23646</v>
      </c>
      <c r="U1133" t="s">
        <v>23647</v>
      </c>
      <c r="V1133" t="s">
        <v>23648</v>
      </c>
      <c r="W1133" t="s">
        <v>23649</v>
      </c>
      <c r="X1133" t="s">
        <v>23650</v>
      </c>
      <c r="Y1133" t="s">
        <v>23651</v>
      </c>
    </row>
    <row r="1134" spans="1:25" x14ac:dyDescent="0.3">
      <c r="A1134">
        <v>56650</v>
      </c>
      <c r="B1134" t="s">
        <v>23652</v>
      </c>
      <c r="C1134" t="s">
        <v>23653</v>
      </c>
      <c r="D1134" t="s">
        <v>23654</v>
      </c>
      <c r="E1134" t="s">
        <v>23655</v>
      </c>
      <c r="F1134" t="s">
        <v>23656</v>
      </c>
      <c r="G1134" t="s">
        <v>23657</v>
      </c>
      <c r="H1134" t="s">
        <v>23658</v>
      </c>
      <c r="I1134" t="s">
        <v>23659</v>
      </c>
      <c r="J1134" t="s">
        <v>23660</v>
      </c>
      <c r="K1134" t="s">
        <v>23661</v>
      </c>
      <c r="L1134" t="s">
        <v>23662</v>
      </c>
      <c r="M1134">
        <f>-337.957198548966 -12.9821778040807 -327.834901369867</f>
        <v>-678.77427772291367</v>
      </c>
      <c r="N1134" t="s">
        <v>23663</v>
      </c>
      <c r="O1134">
        <f>-744.222127018183 -60.1073252801457 -729.658908629373</f>
        <v>-1533.9883609277017</v>
      </c>
      <c r="P1134">
        <f>-729.549522084026 -43.1249529900144 -413.933549704678</f>
        <v>-1186.6080247787183</v>
      </c>
      <c r="Q1134">
        <f>-480.642183605203 -20.3277520140705 -342.048477551854</f>
        <v>-843.01841317112746</v>
      </c>
      <c r="R1134" t="s">
        <v>23664</v>
      </c>
      <c r="S1134" t="s">
        <v>23665</v>
      </c>
      <c r="T1134" t="s">
        <v>23666</v>
      </c>
      <c r="U1134" t="s">
        <v>23667</v>
      </c>
      <c r="V1134" t="s">
        <v>23668</v>
      </c>
      <c r="W1134" t="s">
        <v>23669</v>
      </c>
      <c r="X1134" t="s">
        <v>23670</v>
      </c>
      <c r="Y1134" t="s">
        <v>23671</v>
      </c>
    </row>
    <row r="1135" spans="1:25" x14ac:dyDescent="0.3">
      <c r="A1135">
        <v>56700</v>
      </c>
      <c r="B1135" t="s">
        <v>23672</v>
      </c>
      <c r="C1135" t="s">
        <v>23673</v>
      </c>
      <c r="D1135" t="s">
        <v>23674</v>
      </c>
      <c r="E1135" t="s">
        <v>23675</v>
      </c>
      <c r="F1135" t="s">
        <v>23676</v>
      </c>
      <c r="G1135" t="s">
        <v>23677</v>
      </c>
      <c r="H1135" t="s">
        <v>23678</v>
      </c>
      <c r="I1135" t="s">
        <v>23679</v>
      </c>
      <c r="J1135" t="s">
        <v>23680</v>
      </c>
      <c r="K1135" t="s">
        <v>23681</v>
      </c>
      <c r="L1135" t="s">
        <v>23682</v>
      </c>
      <c r="M1135">
        <f>-341.364179005926 -15.6604375572806 -329.572869153637</f>
        <v>-686.59748571684361</v>
      </c>
      <c r="N1135" t="s">
        <v>23683</v>
      </c>
      <c r="O1135">
        <f>-745.200564809528 -59.0638527253955 -730.049358901115</f>
        <v>-1534.3137764360386</v>
      </c>
      <c r="P1135">
        <f>-730.166244515107 -43.1527419080835 -414.285195851868</f>
        <v>-1187.6041822750585</v>
      </c>
      <c r="Q1135">
        <f>-481.385313829255 -20.2454136092726 -341.998496215138</f>
        <v>-843.62922365366558</v>
      </c>
      <c r="R1135" t="s">
        <v>23684</v>
      </c>
      <c r="S1135" t="s">
        <v>23685</v>
      </c>
      <c r="T1135" t="s">
        <v>23686</v>
      </c>
      <c r="U1135" t="s">
        <v>23687</v>
      </c>
      <c r="V1135" t="s">
        <v>23688</v>
      </c>
      <c r="W1135" t="s">
        <v>23689</v>
      </c>
      <c r="X1135" t="s">
        <v>23690</v>
      </c>
      <c r="Y1135" t="s">
        <v>23691</v>
      </c>
    </row>
    <row r="1136" spans="1:25" x14ac:dyDescent="0.3">
      <c r="A1136">
        <v>56750</v>
      </c>
      <c r="B1136" t="s">
        <v>23692</v>
      </c>
      <c r="C1136" t="s">
        <v>23693</v>
      </c>
      <c r="D1136" t="s">
        <v>23694</v>
      </c>
      <c r="E1136" t="s">
        <v>23695</v>
      </c>
      <c r="F1136" t="s">
        <v>23696</v>
      </c>
      <c r="G1136" t="s">
        <v>23697</v>
      </c>
      <c r="H1136" t="s">
        <v>23698</v>
      </c>
      <c r="I1136" t="s">
        <v>23699</v>
      </c>
      <c r="J1136" t="s">
        <v>23700</v>
      </c>
      <c r="K1136" t="s">
        <v>23701</v>
      </c>
      <c r="L1136" t="s">
        <v>23702</v>
      </c>
      <c r="M1136">
        <f>-347.857991675569 -20.6951130754592 -333.937533905474</f>
        <v>-702.49063865650214</v>
      </c>
      <c r="N1136" t="s">
        <v>23703</v>
      </c>
      <c r="O1136">
        <f>-746.871615547511 -56.3133927172769 -731.179002995202</f>
        <v>-1534.3640112599901</v>
      </c>
      <c r="P1136">
        <f>-731.300180443116 -42.6198058690493 -415.337076554334</f>
        <v>-1189.2570628664994</v>
      </c>
      <c r="Q1136">
        <f>-482.850541253225 -19.530776690287 -341.976961516861</f>
        <v>-844.35827946037307</v>
      </c>
      <c r="R1136" t="s">
        <v>23704</v>
      </c>
      <c r="S1136" t="s">
        <v>23705</v>
      </c>
      <c r="T1136" t="s">
        <v>23706</v>
      </c>
      <c r="U1136" t="s">
        <v>23707</v>
      </c>
      <c r="V1136" t="s">
        <v>23708</v>
      </c>
      <c r="W1136" t="s">
        <v>23709</v>
      </c>
      <c r="X1136" t="s">
        <v>23710</v>
      </c>
      <c r="Y1136" t="s">
        <v>23711</v>
      </c>
    </row>
    <row r="1137" spans="1:25" x14ac:dyDescent="0.3">
      <c r="A1137">
        <v>56800</v>
      </c>
      <c r="B1137" t="s">
        <v>23712</v>
      </c>
      <c r="C1137" t="s">
        <v>23713</v>
      </c>
      <c r="D1137" t="s">
        <v>23714</v>
      </c>
      <c r="E1137" t="s">
        <v>23715</v>
      </c>
      <c r="F1137" t="s">
        <v>23716</v>
      </c>
      <c r="G1137" t="s">
        <v>23717</v>
      </c>
      <c r="H1137" t="s">
        <v>23718</v>
      </c>
      <c r="I1137" t="s">
        <v>23719</v>
      </c>
      <c r="J1137" t="s">
        <v>23720</v>
      </c>
      <c r="K1137" t="s">
        <v>23721</v>
      </c>
      <c r="L1137" t="s">
        <v>23722</v>
      </c>
      <c r="M1137">
        <f>-350.214497922832 -21.8658734045712 -334.809069592834</f>
        <v>-706.88944092023712</v>
      </c>
      <c r="N1137" t="s">
        <v>23723</v>
      </c>
      <c r="O1137">
        <f>-747.462958006005 -55.1282543827158 -731.76115676884</f>
        <v>-1534.3523691575608</v>
      </c>
      <c r="P1137">
        <f>-732.024523775431 -42.5534746335477 -415.866010876601</f>
        <v>-1190.4440092855798</v>
      </c>
      <c r="Q1137">
        <f>-483.669155609377 -19.421380134183 -342.200888183525</f>
        <v>-845.29142392708502</v>
      </c>
      <c r="R1137" t="s">
        <v>23724</v>
      </c>
      <c r="S1137" t="s">
        <v>23725</v>
      </c>
      <c r="T1137" t="s">
        <v>23726</v>
      </c>
      <c r="U1137" t="s">
        <v>23727</v>
      </c>
      <c r="V1137" t="s">
        <v>23728</v>
      </c>
      <c r="W1137" t="s">
        <v>23729</v>
      </c>
      <c r="X1137" t="s">
        <v>23730</v>
      </c>
      <c r="Y1137" t="s">
        <v>23731</v>
      </c>
    </row>
    <row r="1138" spans="1:25" x14ac:dyDescent="0.3">
      <c r="A1138">
        <v>56850</v>
      </c>
      <c r="B1138" t="s">
        <v>23732</v>
      </c>
      <c r="C1138" t="s">
        <v>23733</v>
      </c>
      <c r="D1138" t="s">
        <v>23734</v>
      </c>
      <c r="E1138" t="s">
        <v>23735</v>
      </c>
      <c r="F1138" t="s">
        <v>23736</v>
      </c>
      <c r="G1138" t="s">
        <v>23737</v>
      </c>
      <c r="H1138" t="s">
        <v>23738</v>
      </c>
      <c r="I1138" t="s">
        <v>23739</v>
      </c>
      <c r="J1138" t="s">
        <v>23740</v>
      </c>
      <c r="K1138" t="s">
        <v>23741</v>
      </c>
      <c r="L1138" t="s">
        <v>23742</v>
      </c>
      <c r="M1138">
        <f>-351.190876349128 -22.6627169694993 -334.527998483232</f>
        <v>-708.38159180185926</v>
      </c>
      <c r="N1138" t="s">
        <v>23743</v>
      </c>
      <c r="O1138">
        <f>-748.56038939193 -53.6857766096009 -732.536073480956</f>
        <v>-1534.7822394824871</v>
      </c>
      <c r="P1138">
        <f>-733.1900684591 -42.7837832627176 -416.575474163869</f>
        <v>-1192.5493258856866</v>
      </c>
      <c r="Q1138">
        <f>-484.809912057397 -20.2206859645114 -342.817298497118</f>
        <v>-847.84789651902634</v>
      </c>
      <c r="R1138" t="s">
        <v>23744</v>
      </c>
      <c r="S1138" t="s">
        <v>23745</v>
      </c>
      <c r="T1138" t="s">
        <v>23746</v>
      </c>
      <c r="U1138" t="s">
        <v>23747</v>
      </c>
      <c r="V1138" t="s">
        <v>23748</v>
      </c>
      <c r="W1138" t="s">
        <v>23749</v>
      </c>
      <c r="X1138" t="s">
        <v>23750</v>
      </c>
      <c r="Y1138" t="s">
        <v>23751</v>
      </c>
    </row>
    <row r="1139" spans="1:25" x14ac:dyDescent="0.3">
      <c r="A1139">
        <v>56900</v>
      </c>
      <c r="B1139" t="s">
        <v>23752</v>
      </c>
      <c r="C1139" t="s">
        <v>23753</v>
      </c>
      <c r="D1139" t="s">
        <v>23754</v>
      </c>
      <c r="E1139" t="s">
        <v>23755</v>
      </c>
      <c r="F1139" t="s">
        <v>23756</v>
      </c>
      <c r="G1139" t="s">
        <v>23757</v>
      </c>
      <c r="H1139" t="s">
        <v>23758</v>
      </c>
      <c r="I1139" t="s">
        <v>23759</v>
      </c>
      <c r="J1139" t="s">
        <v>23760</v>
      </c>
      <c r="K1139" t="s">
        <v>23761</v>
      </c>
      <c r="L1139" t="s">
        <v>23762</v>
      </c>
      <c r="M1139">
        <f>-350.197068771656 -21.7220285019027 -333.600542179521</f>
        <v>-705.51963945307966</v>
      </c>
      <c r="N1139" t="s">
        <v>23763</v>
      </c>
      <c r="O1139">
        <f>-748.949315969345 -53.0571187615008 -732.906695266148</f>
        <v>-1534.9131299969936</v>
      </c>
      <c r="P1139">
        <f>-733.352348801001 -42.9908369293933 -416.929459809132</f>
        <v>-1193.2726455395264</v>
      </c>
      <c r="Q1139">
        <f>-484.824713458751 -20.9866878973266 -343.499767898173</f>
        <v>-849.31116925425056</v>
      </c>
      <c r="R1139" t="s">
        <v>23764</v>
      </c>
      <c r="S1139" t="s">
        <v>23765</v>
      </c>
      <c r="T1139" t="s">
        <v>23766</v>
      </c>
      <c r="U1139" t="s">
        <v>23767</v>
      </c>
      <c r="V1139" t="s">
        <v>23768</v>
      </c>
      <c r="W1139" t="s">
        <v>23769</v>
      </c>
      <c r="X1139" t="s">
        <v>23770</v>
      </c>
      <c r="Y1139" t="s">
        <v>23771</v>
      </c>
    </row>
    <row r="1140" spans="1:25" x14ac:dyDescent="0.3">
      <c r="A1140">
        <v>56950</v>
      </c>
      <c r="B1140" t="s">
        <v>23772</v>
      </c>
      <c r="C1140" t="s">
        <v>23773</v>
      </c>
      <c r="D1140" t="s">
        <v>23774</v>
      </c>
      <c r="E1140" t="s">
        <v>23775</v>
      </c>
      <c r="F1140" t="s">
        <v>23776</v>
      </c>
      <c r="G1140" t="s">
        <v>23777</v>
      </c>
      <c r="H1140" t="s">
        <v>23778</v>
      </c>
      <c r="I1140" t="s">
        <v>23779</v>
      </c>
      <c r="J1140" t="s">
        <v>23780</v>
      </c>
      <c r="K1140" t="s">
        <v>23781</v>
      </c>
      <c r="L1140" t="s">
        <v>23782</v>
      </c>
      <c r="M1140">
        <f>-345.632601109903 -18.5181592935962 -333.423688836498</f>
        <v>-697.57444923999719</v>
      </c>
      <c r="N1140" t="s">
        <v>23783</v>
      </c>
      <c r="O1140">
        <f>-749.319047975864 -52.4231927728415 -733.340184392899</f>
        <v>-1535.0824251416045</v>
      </c>
      <c r="P1140">
        <f>-733.249459539921 -43.2765508577124 -417.35860141027</f>
        <v>-1193.8846118079034</v>
      </c>
      <c r="Q1140">
        <f>-484.43657087295 -22.836207792529 -344.445140248131</f>
        <v>-851.71791891360999</v>
      </c>
      <c r="R1140" t="s">
        <v>23784</v>
      </c>
      <c r="S1140" t="s">
        <v>23785</v>
      </c>
      <c r="T1140" t="s">
        <v>23786</v>
      </c>
      <c r="U1140" t="s">
        <v>23787</v>
      </c>
      <c r="V1140" t="s">
        <v>23788</v>
      </c>
      <c r="W1140" t="s">
        <v>23789</v>
      </c>
      <c r="X1140" t="s">
        <v>23790</v>
      </c>
      <c r="Y1140" t="s">
        <v>23791</v>
      </c>
    </row>
    <row r="1141" spans="1:25" x14ac:dyDescent="0.3">
      <c r="A1141">
        <v>57000</v>
      </c>
      <c r="B1141" t="s">
        <v>23792</v>
      </c>
      <c r="C1141" t="s">
        <v>23793</v>
      </c>
      <c r="D1141" t="s">
        <v>23794</v>
      </c>
      <c r="E1141" t="s">
        <v>23795</v>
      </c>
      <c r="F1141" t="s">
        <v>23796</v>
      </c>
      <c r="G1141" t="s">
        <v>23797</v>
      </c>
      <c r="H1141" t="s">
        <v>23798</v>
      </c>
      <c r="I1141" t="s">
        <v>23799</v>
      </c>
      <c r="J1141" t="s">
        <v>23800</v>
      </c>
      <c r="K1141" t="s">
        <v>23801</v>
      </c>
      <c r="L1141" t="s">
        <v>23802</v>
      </c>
      <c r="M1141">
        <f>-342.69533423572 -13.6499709842772 -329.225997100307</f>
        <v>-685.5713023203042</v>
      </c>
      <c r="N1141" t="s">
        <v>23803</v>
      </c>
      <c r="O1141">
        <f>-749.348851205359 -52.2539351328792 -733.427335583936</f>
        <v>-1535.0301219221742</v>
      </c>
      <c r="P1141">
        <f>-733.266981944596 -43.1229844477964 -417.446043028541</f>
        <v>-1193.8360094209334</v>
      </c>
      <c r="Q1141">
        <f>-484.406066459504 -23.2747689155087 -344.532511743608</f>
        <v>-852.21334711862073</v>
      </c>
      <c r="R1141" t="s">
        <v>23804</v>
      </c>
      <c r="S1141" t="s">
        <v>23805</v>
      </c>
      <c r="T1141" t="s">
        <v>23806</v>
      </c>
      <c r="U1141" t="s">
        <v>23807</v>
      </c>
      <c r="V1141" t="s">
        <v>23808</v>
      </c>
      <c r="W1141" t="s">
        <v>23809</v>
      </c>
      <c r="X1141" t="s">
        <v>23810</v>
      </c>
      <c r="Y1141" t="s">
        <v>23811</v>
      </c>
    </row>
    <row r="1142" spans="1:25" x14ac:dyDescent="0.3">
      <c r="A1142">
        <v>57050</v>
      </c>
      <c r="B1142" t="s">
        <v>23812</v>
      </c>
      <c r="C1142" t="s">
        <v>23813</v>
      </c>
      <c r="D1142" t="s">
        <v>23814</v>
      </c>
      <c r="E1142" t="s">
        <v>23815</v>
      </c>
      <c r="F1142" t="s">
        <v>23816</v>
      </c>
      <c r="G1142" t="s">
        <v>23817</v>
      </c>
      <c r="H1142" t="s">
        <v>23818</v>
      </c>
      <c r="I1142" t="s">
        <v>23819</v>
      </c>
      <c r="J1142" t="s">
        <v>23820</v>
      </c>
      <c r="K1142" t="s">
        <v>23821</v>
      </c>
      <c r="L1142" t="s">
        <v>23822</v>
      </c>
      <c r="M1142" t="s">
        <v>23823</v>
      </c>
      <c r="N1142" t="s">
        <v>23824</v>
      </c>
      <c r="O1142">
        <f>-749.328308138314 -52.337258146676 -733.464506376094</f>
        <v>-1535.1300726610841</v>
      </c>
      <c r="P1142">
        <f>-733.197633837782 -43.5086689755651 -417.477049153517</f>
        <v>-1194.1833519668639</v>
      </c>
      <c r="Q1142">
        <f>-484.408656738581 -24.1597452899064 -344.184959856271</f>
        <v>-852.75336188475842</v>
      </c>
      <c r="R1142" t="s">
        <v>23825</v>
      </c>
      <c r="S1142" t="s">
        <v>23826</v>
      </c>
      <c r="T1142" t="s">
        <v>23827</v>
      </c>
      <c r="U1142" t="s">
        <v>23828</v>
      </c>
      <c r="V1142" t="s">
        <v>23829</v>
      </c>
      <c r="W1142" t="s">
        <v>23830</v>
      </c>
      <c r="X1142" t="s">
        <v>23831</v>
      </c>
      <c r="Y1142" t="s">
        <v>23832</v>
      </c>
    </row>
    <row r="1143" spans="1:25" x14ac:dyDescent="0.3">
      <c r="A1143">
        <v>57100</v>
      </c>
      <c r="B1143" t="s">
        <v>23833</v>
      </c>
      <c r="C1143" t="s">
        <v>23834</v>
      </c>
      <c r="D1143" t="s">
        <v>23835</v>
      </c>
      <c r="E1143" t="s">
        <v>23836</v>
      </c>
      <c r="F1143" t="s">
        <v>23837</v>
      </c>
      <c r="G1143" t="s">
        <v>23838</v>
      </c>
      <c r="H1143" t="s">
        <v>23839</v>
      </c>
      <c r="I1143" t="s">
        <v>23840</v>
      </c>
      <c r="J1143" t="s">
        <v>23841</v>
      </c>
      <c r="K1143" t="s">
        <v>23842</v>
      </c>
      <c r="L1143" t="s">
        <v>23843</v>
      </c>
      <c r="M1143" t="s">
        <v>23844</v>
      </c>
      <c r="N1143" t="s">
        <v>23845</v>
      </c>
      <c r="O1143">
        <f>-749.174605033618 -52.6715628177822 -733.360550029401</f>
        <v>-1535.2067178808011</v>
      </c>
      <c r="P1143">
        <f>-733.024566922171 -43.1857936379943 -417.393111531503</f>
        <v>-1193.6034720916682</v>
      </c>
      <c r="Q1143">
        <f>-484.24026761143 -24.2164145978652 -343.986395280763</f>
        <v>-852.44307749005816</v>
      </c>
      <c r="R1143" t="s">
        <v>23846</v>
      </c>
      <c r="S1143" t="s">
        <v>23847</v>
      </c>
      <c r="T1143" t="s">
        <v>23848</v>
      </c>
      <c r="U1143" t="s">
        <v>23849</v>
      </c>
      <c r="V1143" t="s">
        <v>23850</v>
      </c>
      <c r="W1143" t="s">
        <v>23851</v>
      </c>
      <c r="X1143" t="s">
        <v>23852</v>
      </c>
      <c r="Y1143" t="s">
        <v>23853</v>
      </c>
    </row>
    <row r="1144" spans="1:25" x14ac:dyDescent="0.3">
      <c r="A1144">
        <v>57150</v>
      </c>
      <c r="B1144" t="s">
        <v>23854</v>
      </c>
      <c r="C1144" t="s">
        <v>23855</v>
      </c>
      <c r="D1144" t="s">
        <v>23856</v>
      </c>
      <c r="E1144" t="s">
        <v>23857</v>
      </c>
      <c r="F1144" t="s">
        <v>23858</v>
      </c>
      <c r="G1144" t="s">
        <v>23859</v>
      </c>
      <c r="H1144" t="s">
        <v>23860</v>
      </c>
      <c r="I1144" t="s">
        <v>23861</v>
      </c>
      <c r="J1144" t="s">
        <v>23862</v>
      </c>
      <c r="K1144" t="s">
        <v>23863</v>
      </c>
      <c r="L1144" t="s">
        <v>23864</v>
      </c>
      <c r="M1144" t="s">
        <v>23865</v>
      </c>
      <c r="N1144" t="s">
        <v>23866</v>
      </c>
      <c r="O1144">
        <f>-749.453602144231 -53.4907097209368 -732.779156063163</f>
        <v>-1535.7234679283308</v>
      </c>
      <c r="P1144">
        <f>-732.822128775855 -43.4839303872591 -416.852744142655</f>
        <v>-1193.1588033057692</v>
      </c>
      <c r="Q1144">
        <f>-483.93679042954 -25.5780534919195 -343.521340939827</f>
        <v>-853.03618486128653</v>
      </c>
      <c r="R1144" t="s">
        <v>23867</v>
      </c>
      <c r="S1144" t="s">
        <v>23868</v>
      </c>
      <c r="T1144" t="s">
        <v>23869</v>
      </c>
      <c r="U1144" t="s">
        <v>23870</v>
      </c>
      <c r="V1144" t="s">
        <v>23871</v>
      </c>
      <c r="W1144" t="s">
        <v>23872</v>
      </c>
      <c r="X1144" t="s">
        <v>23873</v>
      </c>
      <c r="Y1144" t="s">
        <v>23874</v>
      </c>
    </row>
    <row r="1145" spans="1:25" x14ac:dyDescent="0.3">
      <c r="A1145">
        <v>57200</v>
      </c>
      <c r="B1145" t="s">
        <v>23875</v>
      </c>
      <c r="C1145" t="s">
        <v>23876</v>
      </c>
      <c r="D1145" t="s">
        <v>23877</v>
      </c>
      <c r="E1145" t="s">
        <v>23878</v>
      </c>
      <c r="F1145" t="s">
        <v>23879</v>
      </c>
      <c r="G1145" t="s">
        <v>23880</v>
      </c>
      <c r="H1145" t="s">
        <v>23881</v>
      </c>
      <c r="I1145" t="s">
        <v>23882</v>
      </c>
      <c r="J1145" t="s">
        <v>23883</v>
      </c>
      <c r="K1145" t="s">
        <v>23884</v>
      </c>
      <c r="L1145" t="s">
        <v>23885</v>
      </c>
      <c r="M1145" t="s">
        <v>23886</v>
      </c>
      <c r="N1145" t="s">
        <v>23887</v>
      </c>
      <c r="O1145">
        <f>-749.927942157992 -54.0809169026481 -732.323471479516</f>
        <v>-1536.3323305401561</v>
      </c>
      <c r="P1145">
        <f>-732.798870625097 -43.3456837670674 -416.447747043793</f>
        <v>-1192.5923014359573</v>
      </c>
      <c r="Q1145">
        <f>-483.776815474389 -26.1322612616257 -343.415167775177</f>
        <v>-853.32424451119175</v>
      </c>
      <c r="R1145" t="s">
        <v>23888</v>
      </c>
      <c r="S1145" t="s">
        <v>23889</v>
      </c>
      <c r="T1145" t="s">
        <v>23890</v>
      </c>
      <c r="U1145" t="s">
        <v>23891</v>
      </c>
      <c r="V1145" t="s">
        <v>23892</v>
      </c>
      <c r="W1145" t="s">
        <v>23893</v>
      </c>
      <c r="X1145" t="s">
        <v>23894</v>
      </c>
      <c r="Y1145" t="s">
        <v>23895</v>
      </c>
    </row>
    <row r="1146" spans="1:25" x14ac:dyDescent="0.3">
      <c r="A1146">
        <v>57250</v>
      </c>
      <c r="B1146" t="s">
        <v>23896</v>
      </c>
      <c r="C1146" t="s">
        <v>23897</v>
      </c>
      <c r="D1146" t="s">
        <v>23898</v>
      </c>
      <c r="E1146" t="s">
        <v>23899</v>
      </c>
      <c r="F1146" t="s">
        <v>23900</v>
      </c>
      <c r="G1146" t="s">
        <v>23901</v>
      </c>
      <c r="H1146" t="s">
        <v>23902</v>
      </c>
      <c r="I1146" t="s">
        <v>23903</v>
      </c>
      <c r="J1146" t="s">
        <v>23904</v>
      </c>
      <c r="K1146" t="s">
        <v>23905</v>
      </c>
      <c r="L1146" t="s">
        <v>23906</v>
      </c>
      <c r="M1146" t="s">
        <v>23907</v>
      </c>
      <c r="N1146" t="s">
        <v>23908</v>
      </c>
      <c r="O1146">
        <f>-750.1615553957 -54.9730776177926 -731.713534881184</f>
        <v>-1536.8481678946766</v>
      </c>
      <c r="P1146">
        <f>-732.003764287385 -43.5619083687143 -415.918970121327</f>
        <v>-1191.4846427774264</v>
      </c>
      <c r="Q1146">
        <f>-482.738248233957 -27.1987881268617 -343.524266172681</f>
        <v>-853.46130253349975</v>
      </c>
      <c r="R1146" t="s">
        <v>23909</v>
      </c>
      <c r="S1146" t="s">
        <v>23910</v>
      </c>
      <c r="T1146" t="s">
        <v>23911</v>
      </c>
      <c r="U1146" t="s">
        <v>23912</v>
      </c>
      <c r="V1146" t="s">
        <v>23913</v>
      </c>
      <c r="W1146" t="s">
        <v>23914</v>
      </c>
      <c r="X1146" t="s">
        <v>23915</v>
      </c>
      <c r="Y1146" t="s">
        <v>23916</v>
      </c>
    </row>
    <row r="1147" spans="1:25" x14ac:dyDescent="0.3">
      <c r="A1147">
        <v>57300</v>
      </c>
      <c r="B1147" t="s">
        <v>23917</v>
      </c>
      <c r="C1147" t="s">
        <v>23918</v>
      </c>
      <c r="D1147" t="s">
        <v>23919</v>
      </c>
      <c r="E1147" t="s">
        <v>23920</v>
      </c>
      <c r="F1147" t="s">
        <v>23921</v>
      </c>
      <c r="G1147" t="s">
        <v>23922</v>
      </c>
      <c r="H1147" t="s">
        <v>23923</v>
      </c>
      <c r="I1147" t="s">
        <v>23924</v>
      </c>
      <c r="J1147" t="s">
        <v>23925</v>
      </c>
      <c r="K1147" t="s">
        <v>23926</v>
      </c>
      <c r="L1147" t="s">
        <v>23927</v>
      </c>
      <c r="M1147" t="s">
        <v>23928</v>
      </c>
      <c r="N1147" t="s">
        <v>23929</v>
      </c>
      <c r="O1147">
        <f>-750.454368764399 -55.2691581807339 -731.394165632833</f>
        <v>-1537.117692577966</v>
      </c>
      <c r="P1147">
        <f>-732.018901447548 -43.3631356134347 -415.63384650738</f>
        <v>-1191.0158835683628</v>
      </c>
      <c r="Q1147">
        <f>-482.681019426624 -27.1356035203023 -343.458287285262</f>
        <v>-853.27491023218829</v>
      </c>
      <c r="R1147" t="s">
        <v>23930</v>
      </c>
      <c r="S1147" t="s">
        <v>23931</v>
      </c>
      <c r="T1147" t="s">
        <v>23932</v>
      </c>
      <c r="U1147" t="s">
        <v>23933</v>
      </c>
      <c r="V1147" t="s">
        <v>23934</v>
      </c>
      <c r="W1147" t="s">
        <v>23935</v>
      </c>
      <c r="X1147" t="s">
        <v>23936</v>
      </c>
      <c r="Y1147" t="s">
        <v>23937</v>
      </c>
    </row>
    <row r="1148" spans="1:25" x14ac:dyDescent="0.3">
      <c r="A1148">
        <v>57350</v>
      </c>
      <c r="B1148" t="s">
        <v>23938</v>
      </c>
      <c r="C1148" t="s">
        <v>23939</v>
      </c>
      <c r="D1148" t="s">
        <v>23940</v>
      </c>
      <c r="E1148" t="s">
        <v>23941</v>
      </c>
      <c r="F1148" t="s">
        <v>23942</v>
      </c>
      <c r="G1148" t="s">
        <v>23943</v>
      </c>
      <c r="H1148" t="s">
        <v>23944</v>
      </c>
      <c r="I1148" t="s">
        <v>23945</v>
      </c>
      <c r="J1148" t="s">
        <v>23946</v>
      </c>
      <c r="K1148" t="s">
        <v>23947</v>
      </c>
      <c r="L1148" t="s">
        <v>23948</v>
      </c>
      <c r="M1148" t="s">
        <v>23949</v>
      </c>
      <c r="N1148" t="s">
        <v>23950</v>
      </c>
      <c r="O1148">
        <f>-751.05372834692 -55.4318658981897 -730.781436913436</f>
        <v>-1537.2670311585457</v>
      </c>
      <c r="P1148">
        <f>-732.167285653387 -42.8240395284095 -415.075023723873</f>
        <v>-1190.0663489056694</v>
      </c>
      <c r="Q1148">
        <f>-482.867621706113 -26.5241334342777 -342.783701594413</f>
        <v>-852.17545673480367</v>
      </c>
      <c r="R1148" t="s">
        <v>23951</v>
      </c>
      <c r="S1148" t="s">
        <v>23952</v>
      </c>
      <c r="T1148" t="s">
        <v>23953</v>
      </c>
      <c r="U1148" t="s">
        <v>23954</v>
      </c>
      <c r="V1148" t="s">
        <v>23955</v>
      </c>
      <c r="W1148" t="s">
        <v>23956</v>
      </c>
      <c r="X1148" t="s">
        <v>23957</v>
      </c>
      <c r="Y1148" t="s">
        <v>23958</v>
      </c>
    </row>
    <row r="1149" spans="1:25" x14ac:dyDescent="0.3">
      <c r="A1149">
        <v>57400</v>
      </c>
      <c r="B1149" t="s">
        <v>23959</v>
      </c>
      <c r="C1149" t="s">
        <v>23960</v>
      </c>
      <c r="D1149" t="s">
        <v>23961</v>
      </c>
      <c r="E1149" t="s">
        <v>23962</v>
      </c>
      <c r="F1149" t="s">
        <v>23963</v>
      </c>
      <c r="G1149" t="s">
        <v>23964</v>
      </c>
      <c r="H1149" t="s">
        <v>23965</v>
      </c>
      <c r="I1149" t="s">
        <v>23966</v>
      </c>
      <c r="J1149" t="s">
        <v>23967</v>
      </c>
      <c r="K1149" t="s">
        <v>23968</v>
      </c>
      <c r="L1149" t="s">
        <v>23969</v>
      </c>
      <c r="M1149" t="s">
        <v>23970</v>
      </c>
      <c r="N1149" t="s">
        <v>23971</v>
      </c>
      <c r="O1149">
        <f>-751.087104685289 -55.6668345097337 -730.463583509766</f>
        <v>-1537.2175227047887</v>
      </c>
      <c r="P1149">
        <f>-731.930938781691 -42.7387443922255 -414.786387215908</f>
        <v>-1189.4560703898246</v>
      </c>
      <c r="Q1149">
        <f>-482.657813936676 -26.3500929137554 -342.423484244323</f>
        <v>-851.43139109475442</v>
      </c>
      <c r="R1149" t="s">
        <v>23972</v>
      </c>
      <c r="S1149" t="s">
        <v>23973</v>
      </c>
      <c r="T1149" t="s">
        <v>23974</v>
      </c>
      <c r="U1149" t="s">
        <v>23975</v>
      </c>
      <c r="V1149" t="s">
        <v>23976</v>
      </c>
      <c r="W1149" t="s">
        <v>23977</v>
      </c>
      <c r="X1149" t="s">
        <v>23978</v>
      </c>
      <c r="Y1149" t="s">
        <v>23979</v>
      </c>
    </row>
    <row r="1150" spans="1:25" x14ac:dyDescent="0.3">
      <c r="A1150">
        <v>57450</v>
      </c>
      <c r="B1150" t="s">
        <v>23980</v>
      </c>
      <c r="C1150" t="s">
        <v>23981</v>
      </c>
      <c r="D1150" t="s">
        <v>23982</v>
      </c>
      <c r="E1150" t="s">
        <v>23983</v>
      </c>
      <c r="F1150" t="s">
        <v>23984</v>
      </c>
      <c r="G1150" t="s">
        <v>23985</v>
      </c>
      <c r="H1150" t="s">
        <v>23986</v>
      </c>
      <c r="I1150" t="s">
        <v>23987</v>
      </c>
      <c r="J1150" t="s">
        <v>23988</v>
      </c>
      <c r="K1150" t="s">
        <v>23989</v>
      </c>
      <c r="L1150" t="s">
        <v>23990</v>
      </c>
      <c r="M1150" t="s">
        <v>23991</v>
      </c>
      <c r="N1150" t="s">
        <v>23992</v>
      </c>
      <c r="O1150">
        <f>-750.905256924652 -55.8809893117882 -729.910129449659</f>
        <v>-1536.6963756860991</v>
      </c>
      <c r="P1150">
        <f>-731.382215086839 -42.0239421224767 -414.294821732148</f>
        <v>-1187.7009789414637</v>
      </c>
      <c r="Q1150">
        <f>-482.037063677537 -25.3793578383236 -342.239294184102</f>
        <v>-849.65571569996257</v>
      </c>
      <c r="R1150" t="s">
        <v>23993</v>
      </c>
      <c r="S1150" t="s">
        <v>23994</v>
      </c>
      <c r="T1150" t="s">
        <v>23995</v>
      </c>
      <c r="U1150" t="s">
        <v>23996</v>
      </c>
      <c r="V1150" t="s">
        <v>23997</v>
      </c>
      <c r="W1150" t="s">
        <v>23998</v>
      </c>
      <c r="X1150" t="s">
        <v>23999</v>
      </c>
      <c r="Y1150" t="s">
        <v>24000</v>
      </c>
    </row>
    <row r="1151" spans="1:25" x14ac:dyDescent="0.3">
      <c r="A1151">
        <v>57500</v>
      </c>
      <c r="B1151" t="s">
        <v>24001</v>
      </c>
      <c r="C1151" t="s">
        <v>24002</v>
      </c>
      <c r="D1151" t="s">
        <v>24003</v>
      </c>
      <c r="E1151" t="s">
        <v>24004</v>
      </c>
      <c r="F1151" t="s">
        <v>24005</v>
      </c>
      <c r="G1151" t="s">
        <v>24006</v>
      </c>
      <c r="H1151" t="s">
        <v>24007</v>
      </c>
      <c r="I1151" t="s">
        <v>24008</v>
      </c>
      <c r="J1151" t="s">
        <v>24009</v>
      </c>
      <c r="K1151" t="s">
        <v>24010</v>
      </c>
      <c r="L1151" t="s">
        <v>24011</v>
      </c>
      <c r="M1151" t="s">
        <v>24012</v>
      </c>
      <c r="N1151" t="s">
        <v>24013</v>
      </c>
      <c r="O1151">
        <f>-750.821713793483 -56.1609946628444 -729.643401432508</f>
        <v>-1536.6261098888353</v>
      </c>
      <c r="P1151">
        <f>-731.117849957043 -42.1074364881181 -414.048006393947</f>
        <v>-1187.2732928391081</v>
      </c>
      <c r="Q1151">
        <f>-481.735962201823 -25.6153600503192 -342.084729850078</f>
        <v>-849.43605210222017</v>
      </c>
      <c r="R1151" t="s">
        <v>24014</v>
      </c>
      <c r="S1151" t="s">
        <v>24015</v>
      </c>
      <c r="T1151" t="s">
        <v>24016</v>
      </c>
      <c r="U1151" t="s">
        <v>24017</v>
      </c>
      <c r="V1151" t="s">
        <v>24018</v>
      </c>
      <c r="W1151" t="s">
        <v>24019</v>
      </c>
      <c r="X1151" t="s">
        <v>24020</v>
      </c>
      <c r="Y1151" t="s">
        <v>24021</v>
      </c>
    </row>
    <row r="1152" spans="1:25" x14ac:dyDescent="0.3">
      <c r="A1152">
        <v>57550</v>
      </c>
      <c r="B1152" t="s">
        <v>24022</v>
      </c>
      <c r="C1152" t="s">
        <v>24023</v>
      </c>
      <c r="D1152" t="s">
        <v>24024</v>
      </c>
      <c r="E1152" t="s">
        <v>24025</v>
      </c>
      <c r="F1152" t="s">
        <v>24026</v>
      </c>
      <c r="G1152" t="s">
        <v>24027</v>
      </c>
      <c r="H1152" t="s">
        <v>24028</v>
      </c>
      <c r="I1152" t="s">
        <v>24029</v>
      </c>
      <c r="J1152" t="s">
        <v>24030</v>
      </c>
      <c r="K1152" t="s">
        <v>24031</v>
      </c>
      <c r="L1152" t="s">
        <v>24032</v>
      </c>
      <c r="M1152" t="s">
        <v>24033</v>
      </c>
      <c r="N1152" t="s">
        <v>24034</v>
      </c>
      <c r="O1152">
        <f>-750.975872463641 -56.7460089126646 -729.175572767024</f>
        <v>-1536.8974541433297</v>
      </c>
      <c r="P1152">
        <f>-730.68325733042 -42.066134148637 -413.645974311691</f>
        <v>-1186.3953657907482</v>
      </c>
      <c r="Q1152">
        <f>-481.188575014869 -26.3162701442675 -341.907506393302</f>
        <v>-849.41235155243851</v>
      </c>
      <c r="R1152" t="s">
        <v>24035</v>
      </c>
      <c r="S1152" t="s">
        <v>24036</v>
      </c>
      <c r="T1152" t="s">
        <v>24037</v>
      </c>
      <c r="U1152" t="s">
        <v>24038</v>
      </c>
      <c r="V1152" t="s">
        <v>24039</v>
      </c>
      <c r="W1152" t="s">
        <v>24040</v>
      </c>
      <c r="X1152" t="s">
        <v>24041</v>
      </c>
      <c r="Y1152" t="s">
        <v>24042</v>
      </c>
    </row>
    <row r="1153" spans="1:25" x14ac:dyDescent="0.3">
      <c r="A1153">
        <v>57600</v>
      </c>
      <c r="B1153" t="s">
        <v>24043</v>
      </c>
      <c r="C1153" t="s">
        <v>24044</v>
      </c>
      <c r="D1153" t="s">
        <v>24045</v>
      </c>
      <c r="E1153" t="s">
        <v>24046</v>
      </c>
      <c r="F1153" t="s">
        <v>24047</v>
      </c>
      <c r="G1153" t="s">
        <v>24048</v>
      </c>
      <c r="H1153" t="s">
        <v>24049</v>
      </c>
      <c r="I1153" t="s">
        <v>24050</v>
      </c>
      <c r="J1153" t="s">
        <v>24051</v>
      </c>
      <c r="K1153" t="s">
        <v>24052</v>
      </c>
      <c r="L1153" t="s">
        <v>24053</v>
      </c>
      <c r="M1153" t="s">
        <v>24054</v>
      </c>
      <c r="N1153" t="s">
        <v>24055</v>
      </c>
      <c r="O1153">
        <f>-750.857289155468 -56.9270888640604 -729.020980996896</f>
        <v>-1536.8053590164245</v>
      </c>
      <c r="P1153">
        <f>-730.159489292574 -42.3676826925966 -413.512252107762</f>
        <v>-1186.0394240929327</v>
      </c>
      <c r="Q1153">
        <f>-480.57089606547 -26.8768782938632 -342.044671611241</f>
        <v>-849.49244597057418</v>
      </c>
      <c r="R1153" t="s">
        <v>24056</v>
      </c>
      <c r="S1153" t="s">
        <v>24057</v>
      </c>
      <c r="T1153" t="s">
        <v>24058</v>
      </c>
      <c r="U1153" t="s">
        <v>24059</v>
      </c>
      <c r="V1153" t="s">
        <v>24060</v>
      </c>
      <c r="W1153" t="s">
        <v>24061</v>
      </c>
      <c r="X1153" t="s">
        <v>24062</v>
      </c>
      <c r="Y1153" t="s">
        <v>24063</v>
      </c>
    </row>
    <row r="1154" spans="1:25" x14ac:dyDescent="0.3">
      <c r="A1154">
        <v>57650</v>
      </c>
      <c r="B1154" t="s">
        <v>24064</v>
      </c>
      <c r="C1154" t="s">
        <v>24065</v>
      </c>
      <c r="D1154" t="s">
        <v>24066</v>
      </c>
      <c r="E1154" t="s">
        <v>24067</v>
      </c>
      <c r="F1154" t="s">
        <v>24068</v>
      </c>
      <c r="G1154" t="s">
        <v>24069</v>
      </c>
      <c r="H1154" t="s">
        <v>24070</v>
      </c>
      <c r="I1154" t="s">
        <v>24071</v>
      </c>
      <c r="J1154" t="s">
        <v>24072</v>
      </c>
      <c r="K1154" t="s">
        <v>24073</v>
      </c>
      <c r="L1154" t="s">
        <v>24074</v>
      </c>
      <c r="M1154" t="s">
        <v>24075</v>
      </c>
      <c r="N1154" t="s">
        <v>24076</v>
      </c>
      <c r="O1154">
        <f>-750.218840585655 -57.2225588225617 -728.818716617116</f>
        <v>-1536.2601160253328</v>
      </c>
      <c r="P1154">
        <f>-728.701009934083 -42.7702541603621 -413.359730197003</f>
        <v>-1184.8309942914482</v>
      </c>
      <c r="Q1154">
        <f>-478.915865858169 -27.6099646653322 -342.510774095655</f>
        <v>-849.03660461915615</v>
      </c>
      <c r="R1154" t="s">
        <v>24077</v>
      </c>
      <c r="S1154" t="s">
        <v>24078</v>
      </c>
      <c r="T1154" t="s">
        <v>24079</v>
      </c>
      <c r="U1154" t="s">
        <v>24080</v>
      </c>
      <c r="V1154" t="s">
        <v>24081</v>
      </c>
      <c r="W1154" t="s">
        <v>24082</v>
      </c>
      <c r="X1154" t="s">
        <v>24083</v>
      </c>
      <c r="Y1154" t="s">
        <v>24084</v>
      </c>
    </row>
    <row r="1155" spans="1:25" x14ac:dyDescent="0.3">
      <c r="A1155">
        <v>57700</v>
      </c>
      <c r="B1155" t="s">
        <v>24085</v>
      </c>
      <c r="C1155" t="s">
        <v>24086</v>
      </c>
      <c r="D1155" t="s">
        <v>24087</v>
      </c>
      <c r="E1155" t="s">
        <v>24088</v>
      </c>
      <c r="F1155" t="s">
        <v>24089</v>
      </c>
      <c r="G1155" t="s">
        <v>24090</v>
      </c>
      <c r="H1155" t="s">
        <v>24091</v>
      </c>
      <c r="I1155" t="s">
        <v>24092</v>
      </c>
      <c r="J1155" t="s">
        <v>24093</v>
      </c>
      <c r="K1155" t="s">
        <v>24094</v>
      </c>
      <c r="L1155" t="s">
        <v>24095</v>
      </c>
      <c r="M1155" t="s">
        <v>24096</v>
      </c>
      <c r="N1155" t="s">
        <v>24097</v>
      </c>
      <c r="O1155">
        <f>-749.65315817679 -57.4882251920133 -728.701752344996</f>
        <v>-1535.8431357137993</v>
      </c>
      <c r="P1155">
        <f>-727.795393933985 -43.2654383990075 -413.255883154496</f>
        <v>-1184.3167154874886</v>
      </c>
      <c r="Q1155">
        <f>-477.946188204484 -27.9152266477313 -342.673925634759</f>
        <v>-848.53534048697429</v>
      </c>
      <c r="R1155" t="s">
        <v>24098</v>
      </c>
      <c r="S1155" t="s">
        <v>24099</v>
      </c>
      <c r="T1155" t="s">
        <v>24100</v>
      </c>
      <c r="U1155" t="s">
        <v>24101</v>
      </c>
      <c r="V1155" t="s">
        <v>24102</v>
      </c>
      <c r="W1155" t="s">
        <v>24103</v>
      </c>
      <c r="X1155" t="s">
        <v>24104</v>
      </c>
      <c r="Y1155" t="s">
        <v>24105</v>
      </c>
    </row>
    <row r="1156" spans="1:25" x14ac:dyDescent="0.3">
      <c r="A1156">
        <v>57750</v>
      </c>
      <c r="B1156" t="s">
        <v>24106</v>
      </c>
      <c r="C1156" t="s">
        <v>24107</v>
      </c>
      <c r="D1156" t="s">
        <v>24108</v>
      </c>
      <c r="E1156" t="s">
        <v>24109</v>
      </c>
      <c r="F1156" t="s">
        <v>24110</v>
      </c>
      <c r="G1156" t="s">
        <v>24111</v>
      </c>
      <c r="H1156" t="s">
        <v>24112</v>
      </c>
      <c r="I1156" t="s">
        <v>24113</v>
      </c>
      <c r="J1156" t="s">
        <v>24114</v>
      </c>
      <c r="K1156" t="s">
        <v>24115</v>
      </c>
      <c r="L1156" t="s">
        <v>24116</v>
      </c>
      <c r="M1156" t="s">
        <v>24117</v>
      </c>
      <c r="N1156" t="s">
        <v>24118</v>
      </c>
      <c r="O1156">
        <f>-748.593274434192 -57.9654324363212 -728.566469404399</f>
        <v>-1535.1251762749121</v>
      </c>
      <c r="P1156">
        <f>-726.230815258483 -44.0791825689228 -413.140894020152</f>
        <v>-1183.4508918475576</v>
      </c>
      <c r="Q1156">
        <f>-476.383915729251 -28.0927161834607 -342.692293113721</f>
        <v>-847.1689250264327</v>
      </c>
      <c r="R1156" t="s">
        <v>24119</v>
      </c>
      <c r="S1156" t="s">
        <v>24120</v>
      </c>
      <c r="T1156" t="s">
        <v>24121</v>
      </c>
      <c r="U1156" t="s">
        <v>24122</v>
      </c>
      <c r="V1156" t="s">
        <v>24123</v>
      </c>
      <c r="W1156" t="s">
        <v>24124</v>
      </c>
      <c r="X1156" t="s">
        <v>24125</v>
      </c>
      <c r="Y1156" t="s">
        <v>24126</v>
      </c>
    </row>
    <row r="1157" spans="1:25" x14ac:dyDescent="0.3">
      <c r="A1157">
        <v>57800</v>
      </c>
      <c r="B1157" t="s">
        <v>24127</v>
      </c>
      <c r="C1157" t="s">
        <v>24128</v>
      </c>
      <c r="D1157" t="s">
        <v>24129</v>
      </c>
      <c r="E1157" t="s">
        <v>24130</v>
      </c>
      <c r="F1157" t="s">
        <v>24131</v>
      </c>
      <c r="G1157" t="s">
        <v>24132</v>
      </c>
      <c r="H1157" t="s">
        <v>24133</v>
      </c>
      <c r="I1157" t="s">
        <v>24134</v>
      </c>
      <c r="J1157" t="s">
        <v>24135</v>
      </c>
      <c r="K1157" t="s">
        <v>24136</v>
      </c>
      <c r="L1157" t="s">
        <v>24137</v>
      </c>
      <c r="M1157" t="s">
        <v>24138</v>
      </c>
      <c r="N1157" t="s">
        <v>24139</v>
      </c>
      <c r="O1157">
        <f>-748.000557470134 -58.3218106758679 -728.431252128681</f>
        <v>-1534.7536202746828</v>
      </c>
      <c r="P1157">
        <f>-725.493367967458 -44.4913276061459 -413.013526749636</f>
        <v>-1182.9982223232398</v>
      </c>
      <c r="Q1157">
        <f>-475.658113980042 -28.2034881266131 -342.592402535906</f>
        <v>-846.45400464256113</v>
      </c>
      <c r="R1157" t="s">
        <v>24140</v>
      </c>
      <c r="S1157" t="s">
        <v>24141</v>
      </c>
      <c r="T1157" t="s">
        <v>24142</v>
      </c>
      <c r="U1157" t="s">
        <v>24143</v>
      </c>
      <c r="V1157" t="s">
        <v>24144</v>
      </c>
      <c r="W1157" t="s">
        <v>24145</v>
      </c>
      <c r="X1157" t="s">
        <v>24146</v>
      </c>
      <c r="Y1157" t="s">
        <v>24147</v>
      </c>
    </row>
    <row r="1158" spans="1:25" x14ac:dyDescent="0.3">
      <c r="A1158">
        <v>57850</v>
      </c>
      <c r="B1158" t="s">
        <v>24148</v>
      </c>
      <c r="C1158" t="s">
        <v>24149</v>
      </c>
      <c r="D1158" t="s">
        <v>24150</v>
      </c>
      <c r="E1158" t="s">
        <v>24151</v>
      </c>
      <c r="F1158" t="s">
        <v>24152</v>
      </c>
      <c r="G1158" t="s">
        <v>24153</v>
      </c>
      <c r="H1158" t="s">
        <v>24154</v>
      </c>
      <c r="I1158" t="s">
        <v>24155</v>
      </c>
      <c r="J1158" t="s">
        <v>24156</v>
      </c>
      <c r="K1158" t="s">
        <v>24157</v>
      </c>
      <c r="L1158" t="s">
        <v>24158</v>
      </c>
      <c r="M1158" t="s">
        <v>24159</v>
      </c>
      <c r="N1158" t="s">
        <v>24160</v>
      </c>
      <c r="O1158">
        <f>-746.949495090995 -58.869360448665 -728.207195108628</f>
        <v>-1534.026050648288</v>
      </c>
      <c r="P1158">
        <f>-724.336581407763 -45.2230553604832 -412.789156528288</f>
        <v>-1182.348793296534</v>
      </c>
      <c r="Q1158">
        <f>-474.557297825663 -28.5140469880077 -342.268472268354</f>
        <v>-845.33981708202464</v>
      </c>
      <c r="R1158" t="s">
        <v>24161</v>
      </c>
      <c r="S1158" t="s">
        <v>24162</v>
      </c>
      <c r="T1158" t="s">
        <v>24163</v>
      </c>
      <c r="U1158" t="s">
        <v>24164</v>
      </c>
      <c r="V1158" t="s">
        <v>24165</v>
      </c>
      <c r="W1158" t="s">
        <v>24166</v>
      </c>
      <c r="X1158" t="s">
        <v>24167</v>
      </c>
      <c r="Y1158" t="s">
        <v>24168</v>
      </c>
    </row>
    <row r="1159" spans="1:25" x14ac:dyDescent="0.3">
      <c r="A1159">
        <v>57900</v>
      </c>
      <c r="B1159" t="s">
        <v>24169</v>
      </c>
      <c r="C1159" t="s">
        <v>24170</v>
      </c>
      <c r="D1159" t="s">
        <v>24171</v>
      </c>
      <c r="E1159" t="s">
        <v>24172</v>
      </c>
      <c r="F1159" t="s">
        <v>24173</v>
      </c>
      <c r="G1159" t="s">
        <v>24174</v>
      </c>
      <c r="H1159" t="s">
        <v>24175</v>
      </c>
      <c r="I1159" t="s">
        <v>24176</v>
      </c>
      <c r="J1159" t="s">
        <v>24177</v>
      </c>
      <c r="K1159" t="s">
        <v>24178</v>
      </c>
      <c r="L1159" t="s">
        <v>24179</v>
      </c>
      <c r="M1159" t="s">
        <v>24180</v>
      </c>
      <c r="N1159" t="s">
        <v>24181</v>
      </c>
      <c r="O1159">
        <f>-746.226829908907 -59.1351356322793 -728.154849228239</f>
        <v>-1533.5168147694253</v>
      </c>
      <c r="P1159">
        <f>-723.785104123637 -45.5039812946854 -412.723861272603</f>
        <v>-1182.0129466909254</v>
      </c>
      <c r="Q1159">
        <f>-474.021258196349 -28.4401144552805 -342.233537431716</f>
        <v>-844.69491008334546</v>
      </c>
      <c r="R1159" t="s">
        <v>24182</v>
      </c>
      <c r="S1159" t="s">
        <v>24183</v>
      </c>
      <c r="T1159" t="s">
        <v>24184</v>
      </c>
      <c r="U1159" t="s">
        <v>24185</v>
      </c>
      <c r="V1159" t="s">
        <v>24186</v>
      </c>
      <c r="W1159" t="s">
        <v>24187</v>
      </c>
      <c r="X1159" t="s">
        <v>24188</v>
      </c>
      <c r="Y1159" t="s">
        <v>24189</v>
      </c>
    </row>
    <row r="1160" spans="1:25" x14ac:dyDescent="0.3">
      <c r="A1160">
        <v>57950</v>
      </c>
      <c r="B1160" t="s">
        <v>24190</v>
      </c>
      <c r="C1160" t="s">
        <v>24191</v>
      </c>
      <c r="D1160" t="s">
        <v>24192</v>
      </c>
      <c r="E1160" t="s">
        <v>24193</v>
      </c>
      <c r="F1160" t="s">
        <v>24194</v>
      </c>
      <c r="G1160" t="s">
        <v>24195</v>
      </c>
      <c r="H1160" t="s">
        <v>24196</v>
      </c>
      <c r="I1160" t="s">
        <v>24197</v>
      </c>
      <c r="J1160" t="s">
        <v>24198</v>
      </c>
      <c r="K1160" t="s">
        <v>24199</v>
      </c>
      <c r="L1160" t="s">
        <v>24200</v>
      </c>
      <c r="M1160" t="s">
        <v>24201</v>
      </c>
      <c r="N1160" t="s">
        <v>24202</v>
      </c>
      <c r="O1160">
        <f>-744.850462345196 -59.5205122209341 -728.174474768903</f>
        <v>-1532.545449335033</v>
      </c>
      <c r="P1160">
        <f>-722.559161110776 -45.9609780854223 -412.729640054577</f>
        <v>-1181.2497792507752</v>
      </c>
      <c r="Q1160">
        <f>-472.850291064324 -28.4316042274338 -342.158467396987</f>
        <v>-843.44036268874481</v>
      </c>
      <c r="R1160" t="s">
        <v>24203</v>
      </c>
      <c r="S1160" t="s">
        <v>24204</v>
      </c>
      <c r="T1160" t="s">
        <v>24205</v>
      </c>
      <c r="U1160" t="s">
        <v>24206</v>
      </c>
      <c r="V1160" t="s">
        <v>24207</v>
      </c>
      <c r="W1160" t="s">
        <v>24208</v>
      </c>
      <c r="X1160" t="s">
        <v>24209</v>
      </c>
      <c r="Y1160" t="s">
        <v>24210</v>
      </c>
    </row>
    <row r="1161" spans="1:25" x14ac:dyDescent="0.3">
      <c r="A1161">
        <v>58000</v>
      </c>
      <c r="B1161" t="s">
        <v>24211</v>
      </c>
      <c r="C1161" t="s">
        <v>24212</v>
      </c>
      <c r="D1161" t="s">
        <v>24213</v>
      </c>
      <c r="E1161" t="s">
        <v>24214</v>
      </c>
      <c r="F1161" t="s">
        <v>24215</v>
      </c>
      <c r="G1161" t="s">
        <v>24216</v>
      </c>
      <c r="H1161" t="s">
        <v>24217</v>
      </c>
      <c r="I1161" t="s">
        <v>24218</v>
      </c>
      <c r="J1161" t="s">
        <v>24219</v>
      </c>
      <c r="K1161" t="s">
        <v>24220</v>
      </c>
      <c r="L1161" t="s">
        <v>24221</v>
      </c>
      <c r="M1161" t="s">
        <v>24222</v>
      </c>
      <c r="N1161" t="s">
        <v>24223</v>
      </c>
      <c r="O1161">
        <f>-744.335519105541 -59.5666197225059 -728.186088786383</f>
        <v>-1532.08822761443</v>
      </c>
      <c r="P1161">
        <f>-722.05284296871 -46.0950118096637 -412.736851318153</f>
        <v>-1180.8847060965268</v>
      </c>
      <c r="Q1161">
        <f>-472.302367418516 -28.1614621774313 -342.415374723393</f>
        <v>-842.87920431934026</v>
      </c>
      <c r="R1161" t="s">
        <v>24224</v>
      </c>
      <c r="S1161" t="s">
        <v>24225</v>
      </c>
      <c r="T1161" t="s">
        <v>24226</v>
      </c>
      <c r="U1161" t="s">
        <v>24227</v>
      </c>
      <c r="V1161" t="s">
        <v>24228</v>
      </c>
      <c r="W1161" t="s">
        <v>24229</v>
      </c>
      <c r="X1161" t="s">
        <v>24230</v>
      </c>
      <c r="Y1161" t="s">
        <v>24231</v>
      </c>
    </row>
    <row r="1162" spans="1:25" x14ac:dyDescent="0.3">
      <c r="A1162">
        <v>58050</v>
      </c>
      <c r="B1162" t="s">
        <v>24232</v>
      </c>
      <c r="C1162" t="s">
        <v>24233</v>
      </c>
      <c r="D1162" t="s">
        <v>24234</v>
      </c>
      <c r="E1162" t="s">
        <v>24235</v>
      </c>
      <c r="F1162" t="s">
        <v>24236</v>
      </c>
      <c r="G1162" t="s">
        <v>24237</v>
      </c>
      <c r="H1162" t="s">
        <v>24238</v>
      </c>
      <c r="I1162" t="s">
        <v>24239</v>
      </c>
      <c r="J1162" t="s">
        <v>24240</v>
      </c>
      <c r="K1162" t="s">
        <v>24241</v>
      </c>
      <c r="L1162" t="s">
        <v>24242</v>
      </c>
      <c r="M1162" t="s">
        <v>24243</v>
      </c>
      <c r="N1162" t="s">
        <v>24244</v>
      </c>
      <c r="O1162">
        <f>-743.091843983127 -59.77908929103 -728.215928526898</f>
        <v>-1531.086861801055</v>
      </c>
      <c r="P1162">
        <f>-720.792010333885 -46.134095520365 -412.775433113067</f>
        <v>-1179.701538967317</v>
      </c>
      <c r="Q1162">
        <f>-470.783837014884 -27.7593183647659 -343.491012783665</f>
        <v>-842.03416816331492</v>
      </c>
      <c r="R1162" t="s">
        <v>24245</v>
      </c>
      <c r="S1162" t="s">
        <v>24246</v>
      </c>
      <c r="T1162" t="s">
        <v>24247</v>
      </c>
      <c r="U1162" t="s">
        <v>24248</v>
      </c>
      <c r="V1162" t="s">
        <v>24249</v>
      </c>
      <c r="W1162" t="s">
        <v>24250</v>
      </c>
      <c r="X1162" t="s">
        <v>24251</v>
      </c>
      <c r="Y1162" t="s">
        <v>24252</v>
      </c>
    </row>
    <row r="1163" spans="1:25" x14ac:dyDescent="0.3">
      <c r="A1163">
        <v>58100</v>
      </c>
      <c r="B1163" t="s">
        <v>24253</v>
      </c>
      <c r="C1163" t="s">
        <v>24254</v>
      </c>
      <c r="D1163" t="s">
        <v>24255</v>
      </c>
      <c r="E1163" t="s">
        <v>24256</v>
      </c>
      <c r="F1163" t="s">
        <v>24257</v>
      </c>
      <c r="G1163" t="s">
        <v>24258</v>
      </c>
      <c r="H1163" t="s">
        <v>24259</v>
      </c>
      <c r="I1163" t="s">
        <v>24260</v>
      </c>
      <c r="J1163" t="s">
        <v>24261</v>
      </c>
      <c r="K1163" t="s">
        <v>24262</v>
      </c>
      <c r="L1163" t="s">
        <v>24263</v>
      </c>
      <c r="M1163" t="s">
        <v>24264</v>
      </c>
      <c r="N1163" t="s">
        <v>24265</v>
      </c>
      <c r="O1163">
        <f>-742.564877271842 -59.8992317993823 -728.132198005207</f>
        <v>-1530.5963070764312</v>
      </c>
      <c r="P1163">
        <f>-720.442644443403 -46.4190650861299 -412.67206503715</f>
        <v>-1179.533774566683</v>
      </c>
      <c r="Q1163">
        <f>-470.284851022438 -28.3696867804283 -343.843474990663</f>
        <v>-842.49801279352937</v>
      </c>
      <c r="R1163" t="s">
        <v>24266</v>
      </c>
      <c r="S1163" t="s">
        <v>24267</v>
      </c>
      <c r="T1163" t="s">
        <v>24268</v>
      </c>
      <c r="U1163" t="s">
        <v>24269</v>
      </c>
      <c r="V1163" t="s">
        <v>24270</v>
      </c>
      <c r="W1163" t="s">
        <v>24271</v>
      </c>
      <c r="X1163" t="s">
        <v>24272</v>
      </c>
      <c r="Y1163" t="s">
        <v>24273</v>
      </c>
    </row>
    <row r="1164" spans="1:25" x14ac:dyDescent="0.3">
      <c r="A1164">
        <v>58150</v>
      </c>
      <c r="B1164" t="s">
        <v>24274</v>
      </c>
      <c r="C1164" t="s">
        <v>24275</v>
      </c>
      <c r="D1164" t="s">
        <v>24276</v>
      </c>
      <c r="E1164" t="s">
        <v>24277</v>
      </c>
      <c r="F1164" t="s">
        <v>24278</v>
      </c>
      <c r="G1164" t="s">
        <v>24279</v>
      </c>
      <c r="H1164" t="s">
        <v>24280</v>
      </c>
      <c r="I1164" t="s">
        <v>24281</v>
      </c>
      <c r="J1164" t="s">
        <v>24282</v>
      </c>
      <c r="K1164" t="s">
        <v>24283</v>
      </c>
      <c r="L1164" t="s">
        <v>24284</v>
      </c>
      <c r="M1164" t="s">
        <v>24285</v>
      </c>
      <c r="N1164" t="s">
        <v>24286</v>
      </c>
      <c r="O1164">
        <f>-741.965232631377 -60.2628217050994 -727.726537661102</f>
        <v>-1529.9545919975785</v>
      </c>
      <c r="P1164">
        <f>-720.199667011877 -46.893320429866 -412.23682289248</f>
        <v>-1179.3298103342229</v>
      </c>
      <c r="Q1164">
        <f>-469.761530964254 -29.641550975268 -344.22865611438</f>
        <v>-843.63173805390193</v>
      </c>
      <c r="R1164" t="s">
        <v>24287</v>
      </c>
      <c r="S1164" t="s">
        <v>24288</v>
      </c>
      <c r="T1164" t="s">
        <v>24289</v>
      </c>
      <c r="U1164" t="s">
        <v>24290</v>
      </c>
      <c r="V1164" t="s">
        <v>24291</v>
      </c>
      <c r="W1164" t="s">
        <v>24292</v>
      </c>
      <c r="X1164" t="s">
        <v>24293</v>
      </c>
      <c r="Y1164" t="s">
        <v>24294</v>
      </c>
    </row>
    <row r="1165" spans="1:25" x14ac:dyDescent="0.3">
      <c r="A1165">
        <v>58200</v>
      </c>
      <c r="B1165" t="s">
        <v>24295</v>
      </c>
      <c r="C1165" t="s">
        <v>24296</v>
      </c>
      <c r="D1165" t="s">
        <v>24297</v>
      </c>
      <c r="E1165" t="s">
        <v>24298</v>
      </c>
      <c r="F1165" t="s">
        <v>24299</v>
      </c>
      <c r="G1165" t="s">
        <v>24300</v>
      </c>
      <c r="H1165" t="s">
        <v>24301</v>
      </c>
      <c r="I1165" t="s">
        <v>24302</v>
      </c>
      <c r="J1165" t="s">
        <v>24303</v>
      </c>
      <c r="K1165" t="s">
        <v>24304</v>
      </c>
      <c r="L1165" t="s">
        <v>24305</v>
      </c>
      <c r="M1165" t="s">
        <v>24306</v>
      </c>
      <c r="N1165" t="s">
        <v>24307</v>
      </c>
      <c r="O1165">
        <f>-741.714108539131 -60.3967269616771 -727.52164768091</f>
        <v>-1529.632483181718</v>
      </c>
      <c r="P1165">
        <f>-719.841203193552 -47.3957607131429 -412.023998889836</f>
        <v>-1179.2609627965307</v>
      </c>
      <c r="Q1165">
        <f>-469.298634791266 -30.5994098208182 -344.286936507619</f>
        <v>-844.18498111970325</v>
      </c>
      <c r="R1165" t="s">
        <v>24308</v>
      </c>
      <c r="S1165" t="s">
        <v>24309</v>
      </c>
      <c r="T1165" t="s">
        <v>24310</v>
      </c>
      <c r="U1165" t="s">
        <v>24311</v>
      </c>
      <c r="V1165" t="s">
        <v>24312</v>
      </c>
      <c r="W1165" t="s">
        <v>24313</v>
      </c>
      <c r="X1165" t="s">
        <v>24314</v>
      </c>
      <c r="Y1165" t="s">
        <v>24315</v>
      </c>
    </row>
    <row r="1166" spans="1:25" x14ac:dyDescent="0.3">
      <c r="A1166">
        <v>58250</v>
      </c>
      <c r="B1166" t="s">
        <v>24316</v>
      </c>
      <c r="C1166" t="s">
        <v>24317</v>
      </c>
      <c r="D1166" t="s">
        <v>24318</v>
      </c>
      <c r="E1166" t="s">
        <v>24319</v>
      </c>
      <c r="F1166" t="s">
        <v>24320</v>
      </c>
      <c r="G1166" t="s">
        <v>24321</v>
      </c>
      <c r="H1166" t="s">
        <v>24322</v>
      </c>
      <c r="I1166" t="s">
        <v>24323</v>
      </c>
      <c r="J1166" t="s">
        <v>24324</v>
      </c>
      <c r="K1166" t="s">
        <v>24325</v>
      </c>
      <c r="L1166" t="s">
        <v>24326</v>
      </c>
      <c r="M1166" t="s">
        <v>24327</v>
      </c>
      <c r="N1166" t="s">
        <v>24328</v>
      </c>
      <c r="O1166">
        <f>-741.210448720562 -60.5052511894944 -727.139019996348</f>
        <v>-1528.8547199064044</v>
      </c>
      <c r="P1166">
        <f>-718.997222956934 -47.7894869002482 -411.653631304726</f>
        <v>-1178.4403411619082</v>
      </c>
      <c r="Q1166">
        <f>-468.479818467399 -31.3857874563851 -343.72723092824</f>
        <v>-843.59283685202411</v>
      </c>
      <c r="R1166" t="s">
        <v>24329</v>
      </c>
      <c r="S1166" t="s">
        <v>24330</v>
      </c>
      <c r="T1166" t="s">
        <v>24331</v>
      </c>
      <c r="U1166" t="s">
        <v>24332</v>
      </c>
      <c r="V1166" t="s">
        <v>24333</v>
      </c>
      <c r="W1166" t="s">
        <v>24334</v>
      </c>
      <c r="X1166" t="s">
        <v>24335</v>
      </c>
      <c r="Y1166" t="s">
        <v>24336</v>
      </c>
    </row>
    <row r="1167" spans="1:25" x14ac:dyDescent="0.3">
      <c r="A1167">
        <v>58300</v>
      </c>
      <c r="B1167" t="s">
        <v>24337</v>
      </c>
      <c r="C1167" t="s">
        <v>24338</v>
      </c>
      <c r="D1167" t="s">
        <v>24339</v>
      </c>
      <c r="E1167" t="s">
        <v>24340</v>
      </c>
      <c r="F1167" t="s">
        <v>24341</v>
      </c>
      <c r="G1167" t="s">
        <v>24342</v>
      </c>
      <c r="H1167" t="s">
        <v>24343</v>
      </c>
      <c r="I1167" t="s">
        <v>24344</v>
      </c>
      <c r="J1167" t="s">
        <v>24345</v>
      </c>
      <c r="K1167" t="s">
        <v>24346</v>
      </c>
      <c r="L1167" t="s">
        <v>24347</v>
      </c>
      <c r="M1167" t="s">
        <v>24348</v>
      </c>
      <c r="N1167" t="s">
        <v>24349</v>
      </c>
      <c r="O1167">
        <f>-740.875696640977 -60.6593833560687 -727.011699814567</f>
        <v>-1528.5467798116129</v>
      </c>
      <c r="P1167">
        <f>-718.612254176657 -47.6534847170487 -411.541624239912</f>
        <v>-1177.8073631336176</v>
      </c>
      <c r="Q1167">
        <f>-468.171220661494 -31.1950135679595 -343.347415262799</f>
        <v>-842.71364949225244</v>
      </c>
      <c r="R1167" t="s">
        <v>24350</v>
      </c>
      <c r="S1167" t="s">
        <v>24351</v>
      </c>
      <c r="T1167" t="s">
        <v>24352</v>
      </c>
      <c r="U1167" t="s">
        <v>24353</v>
      </c>
      <c r="V1167" t="s">
        <v>24354</v>
      </c>
      <c r="W1167" t="s">
        <v>24355</v>
      </c>
      <c r="X1167" t="s">
        <v>24356</v>
      </c>
      <c r="Y1167" t="s">
        <v>24357</v>
      </c>
    </row>
    <row r="1168" spans="1:25" x14ac:dyDescent="0.3">
      <c r="A1168">
        <v>58350</v>
      </c>
      <c r="B1168" t="s">
        <v>24358</v>
      </c>
      <c r="C1168" t="s">
        <v>24359</v>
      </c>
      <c r="D1168" t="s">
        <v>24360</v>
      </c>
      <c r="E1168" t="s">
        <v>24361</v>
      </c>
      <c r="F1168" t="s">
        <v>24362</v>
      </c>
      <c r="G1168" t="s">
        <v>24363</v>
      </c>
      <c r="H1168" t="s">
        <v>24364</v>
      </c>
      <c r="I1168" t="s">
        <v>24365</v>
      </c>
      <c r="J1168" t="s">
        <v>24366</v>
      </c>
      <c r="K1168" t="s">
        <v>24367</v>
      </c>
      <c r="L1168" t="s">
        <v>24368</v>
      </c>
      <c r="M1168" t="s">
        <v>24369</v>
      </c>
      <c r="N1168" t="s">
        <v>24370</v>
      </c>
      <c r="O1168">
        <f>-740.017639584605 -60.2642651302401 -726.999278988789</f>
        <v>-1527.2811837036343</v>
      </c>
      <c r="P1168">
        <f>-717.67462793882 -47.3817243481974 -411.529705408078</f>
        <v>-1176.5860576950954</v>
      </c>
      <c r="Q1168">
        <f>-467.462865330037 -30.3580707739575 -342.636175018846</f>
        <v>-840.4571111228405</v>
      </c>
      <c r="R1168" t="s">
        <v>24371</v>
      </c>
      <c r="S1168" t="s">
        <v>24372</v>
      </c>
      <c r="T1168" t="s">
        <v>24373</v>
      </c>
      <c r="U1168" t="s">
        <v>24374</v>
      </c>
      <c r="V1168" t="s">
        <v>24375</v>
      </c>
      <c r="W1168" t="s">
        <v>24376</v>
      </c>
      <c r="X1168" t="s">
        <v>24377</v>
      </c>
      <c r="Y1168" t="s">
        <v>24378</v>
      </c>
    </row>
    <row r="1169" spans="1:25" x14ac:dyDescent="0.3">
      <c r="A1169">
        <v>58400</v>
      </c>
      <c r="B1169" t="s">
        <v>24379</v>
      </c>
      <c r="C1169" t="s">
        <v>24380</v>
      </c>
      <c r="D1169" t="s">
        <v>24381</v>
      </c>
      <c r="E1169" t="s">
        <v>24382</v>
      </c>
      <c r="F1169" t="s">
        <v>24383</v>
      </c>
      <c r="G1169" t="s">
        <v>24384</v>
      </c>
      <c r="H1169" t="s">
        <v>24385</v>
      </c>
      <c r="I1169" t="s">
        <v>24386</v>
      </c>
      <c r="J1169" t="s">
        <v>24387</v>
      </c>
      <c r="K1169" t="s">
        <v>24388</v>
      </c>
      <c r="L1169" t="s">
        <v>24389</v>
      </c>
      <c r="M1169" t="s">
        <v>24390</v>
      </c>
      <c r="N1169" t="s">
        <v>24391</v>
      </c>
      <c r="O1169">
        <f>-739.95308421971 -59.8791374313275 -727.000062406875</f>
        <v>-1526.8322840579126</v>
      </c>
      <c r="P1169">
        <f>-717.398819398782 -46.971944908358 -411.546536295593</f>
        <v>-1175.9173006027331</v>
      </c>
      <c r="Q1169">
        <f>-467.255824314968 -29.8317072622658 -342.432301175303</f>
        <v>-839.51983275253679</v>
      </c>
      <c r="R1169" t="s">
        <v>24392</v>
      </c>
      <c r="S1169" t="s">
        <v>24393</v>
      </c>
      <c r="T1169" t="s">
        <v>24394</v>
      </c>
      <c r="U1169" t="s">
        <v>24395</v>
      </c>
      <c r="V1169" t="s">
        <v>24396</v>
      </c>
      <c r="W1169" t="s">
        <v>24397</v>
      </c>
      <c r="X1169" t="s">
        <v>24398</v>
      </c>
      <c r="Y1169" t="s">
        <v>24399</v>
      </c>
    </row>
    <row r="1170" spans="1:25" x14ac:dyDescent="0.3">
      <c r="A1170">
        <v>58450</v>
      </c>
      <c r="B1170" t="s">
        <v>24400</v>
      </c>
      <c r="C1170" t="s">
        <v>24401</v>
      </c>
      <c r="D1170" t="s">
        <v>24402</v>
      </c>
      <c r="E1170" t="s">
        <v>24403</v>
      </c>
      <c r="F1170" t="s">
        <v>24404</v>
      </c>
      <c r="G1170" t="s">
        <v>24405</v>
      </c>
      <c r="H1170" t="s">
        <v>24406</v>
      </c>
      <c r="I1170" t="s">
        <v>24407</v>
      </c>
      <c r="J1170" t="s">
        <v>24408</v>
      </c>
      <c r="K1170" t="s">
        <v>24409</v>
      </c>
      <c r="L1170" t="s">
        <v>24410</v>
      </c>
      <c r="M1170" t="s">
        <v>24411</v>
      </c>
      <c r="N1170" t="s">
        <v>24412</v>
      </c>
      <c r="O1170">
        <f>-739.722029742933 -59.6982990355073 -726.838198173381</f>
        <v>-1526.2585269518213</v>
      </c>
      <c r="P1170">
        <f>-716.9899624907 -47.0995517268775 -411.384943446668</f>
        <v>-1175.4744576642456</v>
      </c>
      <c r="Q1170">
        <f>-466.891680438172 -30.0004807590224 -342.09916442999</f>
        <v>-838.99132562718444</v>
      </c>
      <c r="R1170" t="s">
        <v>24413</v>
      </c>
      <c r="S1170" t="s">
        <v>24414</v>
      </c>
      <c r="T1170" t="s">
        <v>24415</v>
      </c>
      <c r="U1170" t="s">
        <v>24416</v>
      </c>
      <c r="V1170" t="s">
        <v>24417</v>
      </c>
      <c r="W1170" t="s">
        <v>24418</v>
      </c>
      <c r="X1170" t="s">
        <v>24419</v>
      </c>
      <c r="Y1170" t="s">
        <v>24420</v>
      </c>
    </row>
    <row r="1171" spans="1:25" x14ac:dyDescent="0.3">
      <c r="A1171">
        <v>58500</v>
      </c>
      <c r="B1171" t="s">
        <v>24421</v>
      </c>
      <c r="C1171" t="s">
        <v>24422</v>
      </c>
      <c r="D1171" t="s">
        <v>24423</v>
      </c>
      <c r="E1171" t="s">
        <v>24424</v>
      </c>
      <c r="F1171" t="s">
        <v>24425</v>
      </c>
      <c r="G1171" t="s">
        <v>24426</v>
      </c>
      <c r="H1171" t="s">
        <v>24427</v>
      </c>
      <c r="I1171" t="s">
        <v>24428</v>
      </c>
      <c r="J1171" t="s">
        <v>24429</v>
      </c>
      <c r="K1171" t="s">
        <v>24430</v>
      </c>
      <c r="L1171" t="s">
        <v>24431</v>
      </c>
      <c r="M1171" t="s">
        <v>24432</v>
      </c>
      <c r="N1171" t="s">
        <v>24433</v>
      </c>
      <c r="O1171">
        <f>-739.420809656068 -59.5718607960657 -726.843868410862</f>
        <v>-1525.8365388629957</v>
      </c>
      <c r="P1171">
        <f>-716.534916247559 -47.176017697014 -411.393723397434</f>
        <v>-1175.1046573420069</v>
      </c>
      <c r="Q1171">
        <f>-466.521495589187 -30.4413638997112 -341.71365585874</f>
        <v>-838.6765153476382</v>
      </c>
      <c r="R1171" t="s">
        <v>24434</v>
      </c>
      <c r="S1171" t="s">
        <v>24435</v>
      </c>
      <c r="T1171" t="s">
        <v>24436</v>
      </c>
      <c r="U1171" t="s">
        <v>24437</v>
      </c>
      <c r="V1171" t="s">
        <v>24438</v>
      </c>
      <c r="W1171" t="s">
        <v>24439</v>
      </c>
      <c r="X1171" t="s">
        <v>24440</v>
      </c>
      <c r="Y1171" t="s">
        <v>24441</v>
      </c>
    </row>
    <row r="1172" spans="1:25" x14ac:dyDescent="0.3">
      <c r="A1172">
        <v>58550</v>
      </c>
      <c r="B1172" t="s">
        <v>24442</v>
      </c>
      <c r="C1172" t="s">
        <v>24443</v>
      </c>
      <c r="D1172" t="s">
        <v>24444</v>
      </c>
      <c r="E1172" t="s">
        <v>24445</v>
      </c>
      <c r="F1172" t="s">
        <v>24446</v>
      </c>
      <c r="G1172" t="s">
        <v>24447</v>
      </c>
      <c r="H1172" t="s">
        <v>24448</v>
      </c>
      <c r="I1172" t="s">
        <v>24449</v>
      </c>
      <c r="J1172" t="s">
        <v>24450</v>
      </c>
      <c r="K1172" t="s">
        <v>24451</v>
      </c>
      <c r="L1172" t="s">
        <v>24452</v>
      </c>
      <c r="M1172" t="s">
        <v>24453</v>
      </c>
      <c r="N1172" t="s">
        <v>24454</v>
      </c>
      <c r="O1172">
        <f>-738.207080139558 -59.7079629190139 -726.904949184082</f>
        <v>-1524.8199922426538</v>
      </c>
      <c r="P1172">
        <f>-716.04923868597 -47.4627982492536 -411.397095446711</f>
        <v>-1174.9091323819346</v>
      </c>
      <c r="Q1172">
        <f>-466.096305178041 -30.8912553206026 -341.461438514353</f>
        <v>-838.44899901299664</v>
      </c>
      <c r="R1172" t="s">
        <v>24455</v>
      </c>
      <c r="S1172" t="s">
        <v>24456</v>
      </c>
      <c r="T1172" t="s">
        <v>24457</v>
      </c>
      <c r="U1172" t="s">
        <v>24458</v>
      </c>
      <c r="V1172" t="s">
        <v>24459</v>
      </c>
      <c r="W1172" t="s">
        <v>24460</v>
      </c>
      <c r="X1172" t="s">
        <v>24461</v>
      </c>
      <c r="Y1172" t="s">
        <v>24462</v>
      </c>
    </row>
    <row r="1173" spans="1:25" x14ac:dyDescent="0.3">
      <c r="A1173">
        <v>58600</v>
      </c>
      <c r="B1173" t="s">
        <v>24463</v>
      </c>
      <c r="C1173" t="s">
        <v>24464</v>
      </c>
      <c r="D1173" t="s">
        <v>24465</v>
      </c>
      <c r="E1173" t="s">
        <v>24466</v>
      </c>
      <c r="F1173" t="s">
        <v>24467</v>
      </c>
      <c r="G1173" t="s">
        <v>24468</v>
      </c>
      <c r="H1173" t="s">
        <v>24469</v>
      </c>
      <c r="I1173" t="s">
        <v>24470</v>
      </c>
      <c r="J1173" t="s">
        <v>24471</v>
      </c>
      <c r="K1173" t="s">
        <v>24472</v>
      </c>
      <c r="L1173" t="s">
        <v>24473</v>
      </c>
      <c r="M1173" t="s">
        <v>24474</v>
      </c>
      <c r="N1173" t="s">
        <v>24475</v>
      </c>
      <c r="O1173">
        <f>-737.82831831609 -59.5349349567548 -727.122662974787</f>
        <v>-1524.4859162476318</v>
      </c>
      <c r="P1173">
        <f>-716.030658146394 -47.3579430382097 -411.586875073545</f>
        <v>-1174.9754762581488</v>
      </c>
      <c r="Q1173">
        <f>-466.215545243261 -30.6578626044263 -341.190994342222</f>
        <v>-838.06440218990929</v>
      </c>
      <c r="R1173" t="s">
        <v>24476</v>
      </c>
      <c r="S1173" t="s">
        <v>24477</v>
      </c>
      <c r="T1173" t="s">
        <v>24478</v>
      </c>
      <c r="U1173" t="s">
        <v>24479</v>
      </c>
      <c r="V1173" t="s">
        <v>24480</v>
      </c>
      <c r="W1173" t="s">
        <v>24481</v>
      </c>
      <c r="X1173" t="s">
        <v>24482</v>
      </c>
      <c r="Y1173" t="s">
        <v>24483</v>
      </c>
    </row>
    <row r="1174" spans="1:25" x14ac:dyDescent="0.3">
      <c r="A1174">
        <v>58650</v>
      </c>
      <c r="B1174" t="s">
        <v>24484</v>
      </c>
      <c r="C1174" t="s">
        <v>24485</v>
      </c>
      <c r="D1174" t="s">
        <v>24486</v>
      </c>
      <c r="E1174" t="s">
        <v>24487</v>
      </c>
      <c r="F1174" t="s">
        <v>24488</v>
      </c>
      <c r="G1174" t="s">
        <v>24489</v>
      </c>
      <c r="H1174" t="s">
        <v>24490</v>
      </c>
      <c r="I1174" t="s">
        <v>24491</v>
      </c>
      <c r="J1174" t="s">
        <v>24492</v>
      </c>
      <c r="K1174" t="s">
        <v>24493</v>
      </c>
      <c r="L1174" t="s">
        <v>24494</v>
      </c>
      <c r="M1174" t="s">
        <v>24495</v>
      </c>
      <c r="N1174" t="s">
        <v>24496</v>
      </c>
      <c r="O1174">
        <f>-737.675723390227 -58.4601061490816 -727.812546046497</f>
        <v>-1523.9483755858055</v>
      </c>
      <c r="P1174">
        <f>-716.424959826938 -46.687983031301 -412.224183517978</f>
        <v>-1175.3371263762169</v>
      </c>
      <c r="Q1174">
        <f>-466.83169166704 -29.3916577009418 -341.188157398193</f>
        <v>-837.41150676617485</v>
      </c>
      <c r="R1174" t="s">
        <v>24497</v>
      </c>
      <c r="S1174" t="s">
        <v>24498</v>
      </c>
      <c r="T1174" t="s">
        <v>24499</v>
      </c>
      <c r="U1174" t="s">
        <v>24500</v>
      </c>
      <c r="V1174" t="s">
        <v>24501</v>
      </c>
      <c r="W1174" t="s">
        <v>24502</v>
      </c>
      <c r="X1174" t="s">
        <v>24503</v>
      </c>
      <c r="Y1174" t="s">
        <v>24504</v>
      </c>
    </row>
    <row r="1175" spans="1:25" x14ac:dyDescent="0.3">
      <c r="A1175">
        <v>58700</v>
      </c>
      <c r="B1175" t="s">
        <v>24505</v>
      </c>
      <c r="C1175" t="s">
        <v>24506</v>
      </c>
      <c r="D1175" t="s">
        <v>24507</v>
      </c>
      <c r="E1175" t="s">
        <v>24508</v>
      </c>
      <c r="F1175" t="s">
        <v>24509</v>
      </c>
      <c r="G1175" t="s">
        <v>24510</v>
      </c>
      <c r="H1175" t="s">
        <v>24511</v>
      </c>
      <c r="I1175" t="s">
        <v>24512</v>
      </c>
      <c r="J1175" t="s">
        <v>24513</v>
      </c>
      <c r="K1175" t="s">
        <v>24514</v>
      </c>
      <c r="L1175" t="s">
        <v>24515</v>
      </c>
      <c r="M1175" t="s">
        <v>24516</v>
      </c>
      <c r="N1175" t="s">
        <v>24517</v>
      </c>
      <c r="O1175">
        <f>-737.587541563576 -57.8023756115808 -728.282043743401</f>
        <v>-1523.6719609185579</v>
      </c>
      <c r="P1175">
        <f>-716.377949319829 -46.3480528488478 -412.679230589318</f>
        <v>-1175.4052327579948</v>
      </c>
      <c r="Q1175">
        <f>-466.842029541339 -28.8933496783191 -341.480611087491</f>
        <v>-837.21599030714913</v>
      </c>
      <c r="R1175" t="s">
        <v>24518</v>
      </c>
      <c r="S1175" t="s">
        <v>24519</v>
      </c>
      <c r="T1175" t="s">
        <v>24520</v>
      </c>
      <c r="U1175" t="s">
        <v>24521</v>
      </c>
      <c r="V1175" t="s">
        <v>24522</v>
      </c>
      <c r="W1175" t="s">
        <v>24523</v>
      </c>
      <c r="X1175" t="s">
        <v>24524</v>
      </c>
      <c r="Y1175" t="s">
        <v>24525</v>
      </c>
    </row>
    <row r="1176" spans="1:25" x14ac:dyDescent="0.3">
      <c r="A1176">
        <v>58750</v>
      </c>
      <c r="B1176" t="s">
        <v>24526</v>
      </c>
      <c r="C1176" t="s">
        <v>24527</v>
      </c>
      <c r="D1176" t="s">
        <v>24528</v>
      </c>
      <c r="E1176" t="s">
        <v>24529</v>
      </c>
      <c r="F1176" t="s">
        <v>24530</v>
      </c>
      <c r="G1176" t="s">
        <v>24531</v>
      </c>
      <c r="H1176" t="s">
        <v>24532</v>
      </c>
      <c r="I1176" t="s">
        <v>24533</v>
      </c>
      <c r="J1176" t="s">
        <v>24534</v>
      </c>
      <c r="K1176" t="s">
        <v>24535</v>
      </c>
      <c r="L1176" t="s">
        <v>24536</v>
      </c>
      <c r="M1176" t="s">
        <v>24537</v>
      </c>
      <c r="N1176" t="s">
        <v>24538</v>
      </c>
      <c r="O1176">
        <f>-738.211227852094 -56.6704425301882 -728.881806195909</f>
        <v>-1523.7634765781913</v>
      </c>
      <c r="P1176">
        <f>-716.837317990853 -45.8519660199609 -413.26774612297</f>
        <v>-1175.9570301337837</v>
      </c>
      <c r="Q1176">
        <f>-467.240872651084 -28.380037043733 -342.28633435045</f>
        <v>-837.90724404526691</v>
      </c>
      <c r="R1176" t="s">
        <v>24539</v>
      </c>
      <c r="S1176" t="s">
        <v>24540</v>
      </c>
      <c r="T1176" t="s">
        <v>24541</v>
      </c>
      <c r="U1176" t="s">
        <v>24542</v>
      </c>
      <c r="V1176" t="s">
        <v>24543</v>
      </c>
      <c r="W1176" t="s">
        <v>24544</v>
      </c>
      <c r="X1176" t="s">
        <v>24545</v>
      </c>
      <c r="Y1176" t="s">
        <v>24546</v>
      </c>
    </row>
    <row r="1177" spans="1:25" x14ac:dyDescent="0.3">
      <c r="A1177">
        <v>58800</v>
      </c>
      <c r="B1177" t="s">
        <v>24547</v>
      </c>
      <c r="C1177" t="s">
        <v>24548</v>
      </c>
      <c r="D1177" t="s">
        <v>24549</v>
      </c>
      <c r="E1177" t="s">
        <v>24550</v>
      </c>
      <c r="F1177" t="s">
        <v>24551</v>
      </c>
      <c r="G1177" t="s">
        <v>24552</v>
      </c>
      <c r="H1177" t="s">
        <v>24553</v>
      </c>
      <c r="I1177" t="s">
        <v>24554</v>
      </c>
      <c r="J1177" t="s">
        <v>24555</v>
      </c>
      <c r="K1177" t="s">
        <v>24556</v>
      </c>
      <c r="L1177" t="s">
        <v>24557</v>
      </c>
      <c r="M1177" t="s">
        <v>24558</v>
      </c>
      <c r="N1177" t="s">
        <v>24559</v>
      </c>
      <c r="O1177">
        <f>-738.559606621426 -56.2460270586846 -729.038585040486</f>
        <v>-1523.8442187205967</v>
      </c>
      <c r="P1177">
        <f>-716.973915453606 -45.7953683294602 -413.426489141447</f>
        <v>-1176.1957729245132</v>
      </c>
      <c r="Q1177">
        <f>-467.302846531661 -28.7356875116809 -342.607208463437</f>
        <v>-838.6457425067789</v>
      </c>
      <c r="R1177" t="s">
        <v>24560</v>
      </c>
      <c r="S1177" t="s">
        <v>24561</v>
      </c>
      <c r="T1177" t="s">
        <v>24562</v>
      </c>
      <c r="U1177" t="s">
        <v>24563</v>
      </c>
      <c r="V1177" t="s">
        <v>24564</v>
      </c>
      <c r="W1177" t="s">
        <v>24565</v>
      </c>
      <c r="X1177" t="s">
        <v>24566</v>
      </c>
      <c r="Y1177" t="s">
        <v>24567</v>
      </c>
    </row>
    <row r="1178" spans="1:25" x14ac:dyDescent="0.3">
      <c r="A1178">
        <v>58850</v>
      </c>
      <c r="B1178" t="s">
        <v>24568</v>
      </c>
      <c r="C1178" t="s">
        <v>24569</v>
      </c>
      <c r="D1178" t="s">
        <v>24570</v>
      </c>
      <c r="E1178" t="s">
        <v>24571</v>
      </c>
      <c r="F1178" t="s">
        <v>24572</v>
      </c>
      <c r="G1178" t="s">
        <v>24573</v>
      </c>
      <c r="H1178" t="s">
        <v>24574</v>
      </c>
      <c r="I1178" t="s">
        <v>24575</v>
      </c>
      <c r="J1178" t="s">
        <v>24576</v>
      </c>
      <c r="K1178" t="s">
        <v>24577</v>
      </c>
      <c r="L1178" t="s">
        <v>24578</v>
      </c>
      <c r="M1178" t="s">
        <v>24579</v>
      </c>
      <c r="N1178" t="s">
        <v>24580</v>
      </c>
      <c r="O1178">
        <f>-739.380194478636 -55.835770765721 -729.092380355265</f>
        <v>-1524.308345599622</v>
      </c>
      <c r="P1178">
        <f>-717.402878978755 -45.7671268694919 -413.494906173581</f>
        <v>-1176.6649120218278</v>
      </c>
      <c r="Q1178">
        <f>-467.535976866079 -30.023517400288 -343.06221287439</f>
        <v>-840.62170714075705</v>
      </c>
      <c r="R1178" t="s">
        <v>24581</v>
      </c>
      <c r="S1178" t="s">
        <v>24582</v>
      </c>
      <c r="T1178" t="s">
        <v>24583</v>
      </c>
      <c r="U1178" t="s">
        <v>24584</v>
      </c>
      <c r="V1178" t="s">
        <v>24585</v>
      </c>
      <c r="W1178" t="s">
        <v>24586</v>
      </c>
      <c r="X1178" t="s">
        <v>24587</v>
      </c>
      <c r="Y1178" t="s">
        <v>24588</v>
      </c>
    </row>
    <row r="1179" spans="1:25" x14ac:dyDescent="0.3">
      <c r="A1179">
        <v>58900</v>
      </c>
      <c r="B1179" t="s">
        <v>24589</v>
      </c>
      <c r="C1179" t="s">
        <v>24590</v>
      </c>
      <c r="D1179" t="s">
        <v>24591</v>
      </c>
      <c r="E1179" t="s">
        <v>24592</v>
      </c>
      <c r="F1179" t="s">
        <v>24593</v>
      </c>
      <c r="G1179" t="s">
        <v>24594</v>
      </c>
      <c r="H1179" t="s">
        <v>24595</v>
      </c>
      <c r="I1179" t="s">
        <v>24596</v>
      </c>
      <c r="J1179" t="s">
        <v>24597</v>
      </c>
      <c r="K1179" t="s">
        <v>24598</v>
      </c>
      <c r="L1179" t="s">
        <v>24599</v>
      </c>
      <c r="M1179" t="s">
        <v>24600</v>
      </c>
      <c r="N1179" t="s">
        <v>24601</v>
      </c>
      <c r="O1179">
        <f>-739.617539724755 -55.680626436824 -729.11695345524</f>
        <v>-1524.4151196168191</v>
      </c>
      <c r="P1179">
        <f>-717.427556214516 -45.5420776611056 -413.536558728621</f>
        <v>-1176.5061926042426</v>
      </c>
      <c r="Q1179">
        <f>-467.508767988493 -30.5619518496865 -343.121617406384</f>
        <v>-841.19233724456353</v>
      </c>
      <c r="R1179" t="s">
        <v>24602</v>
      </c>
      <c r="S1179" t="s">
        <v>24603</v>
      </c>
      <c r="T1179" t="s">
        <v>24604</v>
      </c>
      <c r="U1179" t="s">
        <v>24605</v>
      </c>
      <c r="V1179" t="s">
        <v>24606</v>
      </c>
      <c r="W1179" t="s">
        <v>24607</v>
      </c>
      <c r="X1179" t="s">
        <v>24608</v>
      </c>
      <c r="Y1179" t="s">
        <v>24609</v>
      </c>
    </row>
    <row r="1180" spans="1:25" x14ac:dyDescent="0.3">
      <c r="A1180">
        <v>58950</v>
      </c>
      <c r="B1180" t="s">
        <v>24610</v>
      </c>
      <c r="C1180" t="s">
        <v>24611</v>
      </c>
      <c r="D1180" t="s">
        <v>24612</v>
      </c>
      <c r="E1180" t="s">
        <v>24613</v>
      </c>
      <c r="F1180" t="s">
        <v>24614</v>
      </c>
      <c r="G1180" t="s">
        <v>24615</v>
      </c>
      <c r="H1180" t="s">
        <v>24616</v>
      </c>
      <c r="I1180" t="s">
        <v>24617</v>
      </c>
      <c r="J1180" t="s">
        <v>24618</v>
      </c>
      <c r="K1180" t="s">
        <v>24619</v>
      </c>
      <c r="L1180" t="s">
        <v>24620</v>
      </c>
      <c r="M1180" t="s">
        <v>24621</v>
      </c>
      <c r="N1180" t="s">
        <v>24622</v>
      </c>
      <c r="O1180">
        <f>-739.999743346673 -55.4667083110426 -729.121160823784</f>
        <v>-1524.5876124814995</v>
      </c>
      <c r="P1180">
        <f>-717.654839895627 -45.3622966989246 -413.550599810246</f>
        <v>-1176.5677364047976</v>
      </c>
      <c r="Q1180">
        <f>-467.721160457911 -30.9302737321057 -343.074414685291</f>
        <v>-841.72584887530775</v>
      </c>
      <c r="R1180" t="s">
        <v>24623</v>
      </c>
      <c r="S1180" t="s">
        <v>24624</v>
      </c>
      <c r="T1180" t="s">
        <v>24625</v>
      </c>
      <c r="U1180" t="s">
        <v>24626</v>
      </c>
      <c r="V1180" t="s">
        <v>24627</v>
      </c>
      <c r="W1180" t="s">
        <v>24628</v>
      </c>
      <c r="X1180" t="s">
        <v>24629</v>
      </c>
      <c r="Y1180" t="s">
        <v>24630</v>
      </c>
    </row>
    <row r="1181" spans="1:25" x14ac:dyDescent="0.3">
      <c r="A1181">
        <v>59000</v>
      </c>
      <c r="B1181" t="s">
        <v>24631</v>
      </c>
      <c r="C1181" t="s">
        <v>24632</v>
      </c>
      <c r="D1181" t="s">
        <v>24633</v>
      </c>
      <c r="E1181" t="s">
        <v>24634</v>
      </c>
      <c r="F1181" t="s">
        <v>24635</v>
      </c>
      <c r="G1181" t="s">
        <v>24636</v>
      </c>
      <c r="H1181" t="s">
        <v>24637</v>
      </c>
      <c r="I1181" t="s">
        <v>24638</v>
      </c>
      <c r="J1181" t="s">
        <v>24639</v>
      </c>
      <c r="K1181" t="s">
        <v>24640</v>
      </c>
      <c r="L1181" t="s">
        <v>24641</v>
      </c>
      <c r="M1181" t="s">
        <v>24642</v>
      </c>
      <c r="N1181" t="s">
        <v>24643</v>
      </c>
      <c r="O1181">
        <f>-740.208299660745 -55.163600429252 -729.22463814179</f>
        <v>-1524.596538231787</v>
      </c>
      <c r="P1181">
        <f>-717.700940189449 -45.4230969716145 -413.65404665352</f>
        <v>-1176.7780838145836</v>
      </c>
      <c r="Q1181">
        <f>-467.870259788417 -31.1159291739143 -342.788176563527</f>
        <v>-841.77436552585823</v>
      </c>
      <c r="R1181" t="s">
        <v>24644</v>
      </c>
      <c r="S1181" t="s">
        <v>24645</v>
      </c>
      <c r="T1181" t="s">
        <v>24646</v>
      </c>
      <c r="U1181" t="s">
        <v>24647</v>
      </c>
      <c r="V1181" t="s">
        <v>24648</v>
      </c>
      <c r="W1181" t="s">
        <v>24649</v>
      </c>
      <c r="X1181" t="s">
        <v>24650</v>
      </c>
      <c r="Y1181" t="s">
        <v>24651</v>
      </c>
    </row>
    <row r="1182" spans="1:25" x14ac:dyDescent="0.3">
      <c r="A1182">
        <v>59050</v>
      </c>
      <c r="B1182" t="s">
        <v>24652</v>
      </c>
      <c r="C1182" t="s">
        <v>24653</v>
      </c>
      <c r="D1182" t="s">
        <v>24654</v>
      </c>
      <c r="E1182" t="s">
        <v>24655</v>
      </c>
      <c r="F1182" t="s">
        <v>24656</v>
      </c>
      <c r="G1182" t="s">
        <v>24657</v>
      </c>
      <c r="H1182" t="s">
        <v>24658</v>
      </c>
      <c r="I1182" t="s">
        <v>24659</v>
      </c>
      <c r="J1182" t="s">
        <v>24660</v>
      </c>
      <c r="K1182" t="s">
        <v>24661</v>
      </c>
      <c r="L1182" t="s">
        <v>24662</v>
      </c>
      <c r="M1182" t="s">
        <v>24663</v>
      </c>
      <c r="N1182" t="s">
        <v>24664</v>
      </c>
      <c r="O1182">
        <f>-740.513095587156 -54.5760510495656 -729.513990742815</f>
        <v>-1524.6031373795367</v>
      </c>
      <c r="P1182">
        <f>-717.942820832444 -45.5137975510654 -413.92781828109</f>
        <v>-1177.3844366645994</v>
      </c>
      <c r="Q1182">
        <f>-468.20921724038 -30.8835233402972 -342.786160248527</f>
        <v>-841.87890082920421</v>
      </c>
      <c r="R1182" t="s">
        <v>24665</v>
      </c>
      <c r="S1182" t="s">
        <v>24666</v>
      </c>
      <c r="T1182" t="s">
        <v>24667</v>
      </c>
      <c r="U1182" t="s">
        <v>24668</v>
      </c>
      <c r="V1182" t="s">
        <v>24669</v>
      </c>
      <c r="W1182" t="s">
        <v>24670</v>
      </c>
      <c r="X1182" t="s">
        <v>24671</v>
      </c>
      <c r="Y1182" t="s">
        <v>24672</v>
      </c>
    </row>
    <row r="1183" spans="1:25" x14ac:dyDescent="0.3">
      <c r="A1183">
        <v>59100</v>
      </c>
      <c r="B1183" t="s">
        <v>24673</v>
      </c>
      <c r="C1183" t="s">
        <v>24674</v>
      </c>
      <c r="D1183" t="s">
        <v>24675</v>
      </c>
      <c r="E1183" t="s">
        <v>24676</v>
      </c>
      <c r="F1183" t="s">
        <v>24677</v>
      </c>
      <c r="G1183" t="s">
        <v>24678</v>
      </c>
      <c r="H1183" t="s">
        <v>24679</v>
      </c>
      <c r="I1183" t="s">
        <v>24680</v>
      </c>
      <c r="J1183" t="s">
        <v>24681</v>
      </c>
      <c r="K1183" t="s">
        <v>24682</v>
      </c>
      <c r="L1183" t="s">
        <v>24683</v>
      </c>
      <c r="M1183" t="s">
        <v>24684</v>
      </c>
      <c r="N1183" t="s">
        <v>24685</v>
      </c>
      <c r="O1183">
        <f>-740.606986337448 -54.3414690023524 -729.717180276708</f>
        <v>-1524.6656356165083</v>
      </c>
      <c r="P1183">
        <f>-718.134015023175 -45.450738960081 -414.119144185062</f>
        <v>-1177.7038981683181</v>
      </c>
      <c r="Q1183">
        <f>-468.417111315947 -30.6382049679478 -342.956427024059</f>
        <v>-842.01174330795379</v>
      </c>
      <c r="R1183" t="s">
        <v>24686</v>
      </c>
      <c r="S1183" t="s">
        <v>24687</v>
      </c>
      <c r="T1183" t="s">
        <v>24688</v>
      </c>
      <c r="U1183" t="s">
        <v>24689</v>
      </c>
      <c r="V1183" t="s">
        <v>24690</v>
      </c>
      <c r="W1183" t="s">
        <v>24691</v>
      </c>
      <c r="X1183" t="s">
        <v>24692</v>
      </c>
      <c r="Y1183" t="s">
        <v>24693</v>
      </c>
    </row>
    <row r="1184" spans="1:25" x14ac:dyDescent="0.3">
      <c r="A1184">
        <v>59150</v>
      </c>
      <c r="B1184" t="s">
        <v>24694</v>
      </c>
      <c r="C1184" t="s">
        <v>24695</v>
      </c>
      <c r="D1184" t="s">
        <v>24696</v>
      </c>
      <c r="E1184" t="s">
        <v>24697</v>
      </c>
      <c r="F1184" t="s">
        <v>24698</v>
      </c>
      <c r="G1184" t="s">
        <v>24699</v>
      </c>
      <c r="H1184" t="s">
        <v>24700</v>
      </c>
      <c r="I1184" t="s">
        <v>24701</v>
      </c>
      <c r="J1184" t="s">
        <v>24702</v>
      </c>
      <c r="K1184" t="s">
        <v>24703</v>
      </c>
      <c r="L1184" t="s">
        <v>24704</v>
      </c>
      <c r="M1184" t="s">
        <v>24705</v>
      </c>
      <c r="N1184" t="s">
        <v>24706</v>
      </c>
      <c r="O1184">
        <f>-740.759242004645 -53.5626176995331 -730.270425562738</f>
        <v>-1524.592285266916</v>
      </c>
      <c r="P1184">
        <f>-718.438904697813 -45.434578845958 -414.640984035339</f>
        <v>-1178.5144675791098</v>
      </c>
      <c r="Q1184">
        <f>-468.732175984337 -29.8257952008271 -343.612810740694</f>
        <v>-842.17078192585814</v>
      </c>
      <c r="R1184" t="s">
        <v>24707</v>
      </c>
      <c r="S1184" t="s">
        <v>24708</v>
      </c>
      <c r="T1184" t="s">
        <v>24709</v>
      </c>
      <c r="U1184" t="s">
        <v>24710</v>
      </c>
      <c r="V1184" t="s">
        <v>24711</v>
      </c>
      <c r="W1184" t="s">
        <v>24712</v>
      </c>
      <c r="X1184" t="s">
        <v>24713</v>
      </c>
      <c r="Y1184" t="s">
        <v>24714</v>
      </c>
    </row>
    <row r="1185" spans="1:25" x14ac:dyDescent="0.3">
      <c r="A1185">
        <v>59200</v>
      </c>
      <c r="B1185" t="s">
        <v>24715</v>
      </c>
      <c r="C1185" t="s">
        <v>24716</v>
      </c>
      <c r="D1185" t="s">
        <v>24717</v>
      </c>
      <c r="E1185" t="s">
        <v>24718</v>
      </c>
      <c r="F1185" t="s">
        <v>24719</v>
      </c>
      <c r="G1185" t="s">
        <v>24720</v>
      </c>
      <c r="H1185" t="s">
        <v>24721</v>
      </c>
      <c r="I1185" t="s">
        <v>24722</v>
      </c>
      <c r="J1185" t="s">
        <v>24723</v>
      </c>
      <c r="K1185" t="s">
        <v>24724</v>
      </c>
      <c r="L1185" t="s">
        <v>24725</v>
      </c>
      <c r="M1185" t="s">
        <v>24726</v>
      </c>
      <c r="N1185" t="s">
        <v>24727</v>
      </c>
      <c r="O1185">
        <f>-740.936476259862 -53.084386877857 -730.542262154448</f>
        <v>-1524.5631252921671</v>
      </c>
      <c r="P1185">
        <f>-718.559913411875 -45.552683819212 -414.902060131853</f>
        <v>-1179.0146573629399</v>
      </c>
      <c r="Q1185">
        <f>-468.876665535205 -29.567533565325 -343.874923428268</f>
        <v>-842.31912252879806</v>
      </c>
      <c r="R1185" t="s">
        <v>24728</v>
      </c>
      <c r="S1185" t="s">
        <v>24729</v>
      </c>
      <c r="T1185" t="s">
        <v>24730</v>
      </c>
      <c r="U1185" t="s">
        <v>24731</v>
      </c>
      <c r="V1185" t="s">
        <v>24732</v>
      </c>
      <c r="W1185" t="s">
        <v>24733</v>
      </c>
      <c r="X1185" t="s">
        <v>24734</v>
      </c>
      <c r="Y1185" t="s">
        <v>24735</v>
      </c>
    </row>
    <row r="1186" spans="1:25" x14ac:dyDescent="0.3">
      <c r="A1186">
        <v>59250</v>
      </c>
      <c r="B1186" t="s">
        <v>24736</v>
      </c>
      <c r="C1186" t="s">
        <v>24737</v>
      </c>
      <c r="D1186" t="s">
        <v>24738</v>
      </c>
      <c r="E1186" t="s">
        <v>24739</v>
      </c>
      <c r="F1186" t="s">
        <v>24740</v>
      </c>
      <c r="G1186" t="s">
        <v>24741</v>
      </c>
      <c r="H1186" t="s">
        <v>24742</v>
      </c>
      <c r="I1186" t="s">
        <v>24743</v>
      </c>
      <c r="J1186" t="s">
        <v>24744</v>
      </c>
      <c r="K1186" t="s">
        <v>24745</v>
      </c>
      <c r="L1186" t="s">
        <v>24746</v>
      </c>
      <c r="M1186" t="s">
        <v>24747</v>
      </c>
      <c r="N1186" t="s">
        <v>24748</v>
      </c>
      <c r="O1186">
        <f>-741.41269774497 -52.4060991036888 -730.952831171537</f>
        <v>-1524.7716280201957</v>
      </c>
      <c r="P1186">
        <f>-718.9685386694 -45.5227823617163 -415.302583660713</f>
        <v>-1179.7939046918293</v>
      </c>
      <c r="Q1186">
        <f>-469.323714037911 -29.0061633779924 -344.262398083785</f>
        <v>-842.59227549968841</v>
      </c>
      <c r="R1186" t="s">
        <v>24749</v>
      </c>
      <c r="S1186" t="s">
        <v>24750</v>
      </c>
      <c r="T1186" t="s">
        <v>24751</v>
      </c>
      <c r="U1186" t="s">
        <v>24752</v>
      </c>
      <c r="V1186" t="s">
        <v>24753</v>
      </c>
      <c r="W1186" t="s">
        <v>24754</v>
      </c>
      <c r="X1186" t="s">
        <v>24755</v>
      </c>
      <c r="Y1186" t="s">
        <v>24756</v>
      </c>
    </row>
    <row r="1187" spans="1:25" x14ac:dyDescent="0.3">
      <c r="A1187">
        <v>59300</v>
      </c>
      <c r="B1187" t="s">
        <v>24757</v>
      </c>
      <c r="C1187" t="s">
        <v>24758</v>
      </c>
      <c r="D1187" t="s">
        <v>24759</v>
      </c>
      <c r="E1187" t="s">
        <v>24760</v>
      </c>
      <c r="F1187" t="s">
        <v>24761</v>
      </c>
      <c r="G1187" t="s">
        <v>24762</v>
      </c>
      <c r="H1187" t="s">
        <v>24763</v>
      </c>
      <c r="I1187" t="s">
        <v>24764</v>
      </c>
      <c r="J1187" t="s">
        <v>24765</v>
      </c>
      <c r="K1187" t="s">
        <v>24766</v>
      </c>
      <c r="L1187" t="s">
        <v>24767</v>
      </c>
      <c r="M1187" t="s">
        <v>24768</v>
      </c>
      <c r="N1187" t="s">
        <v>24769</v>
      </c>
      <c r="O1187">
        <f>-741.564606562548 -52.1423972299669 -731.044985608834</f>
        <v>-1524.751989401349</v>
      </c>
      <c r="P1187">
        <f>-719.167239651517 -45.7034692945806 -415.382010190334</f>
        <v>-1180.2527191364316</v>
      </c>
      <c r="Q1187">
        <f>-469.552058239506 -28.8859482520168 -344.308181249955</f>
        <v>-842.7461877414778</v>
      </c>
      <c r="R1187" t="s">
        <v>24770</v>
      </c>
      <c r="S1187" t="s">
        <v>24771</v>
      </c>
      <c r="T1187" t="s">
        <v>24772</v>
      </c>
      <c r="U1187" t="s">
        <v>24773</v>
      </c>
      <c r="V1187" t="s">
        <v>24774</v>
      </c>
      <c r="W1187" t="s">
        <v>24775</v>
      </c>
      <c r="X1187" t="s">
        <v>24776</v>
      </c>
      <c r="Y1187" t="s">
        <v>24777</v>
      </c>
    </row>
    <row r="1188" spans="1:25" x14ac:dyDescent="0.3">
      <c r="A1188">
        <v>59350</v>
      </c>
      <c r="B1188" t="s">
        <v>24778</v>
      </c>
      <c r="C1188" t="s">
        <v>24779</v>
      </c>
      <c r="D1188" t="s">
        <v>24780</v>
      </c>
      <c r="E1188" t="s">
        <v>24781</v>
      </c>
      <c r="F1188" t="s">
        <v>24782</v>
      </c>
      <c r="G1188" t="s">
        <v>24783</v>
      </c>
      <c r="H1188" t="s">
        <v>24784</v>
      </c>
      <c r="I1188" t="s">
        <v>24785</v>
      </c>
      <c r="J1188" t="s">
        <v>24786</v>
      </c>
      <c r="K1188" t="s">
        <v>24787</v>
      </c>
      <c r="L1188" t="s">
        <v>24788</v>
      </c>
      <c r="M1188" t="s">
        <v>24789</v>
      </c>
      <c r="N1188" t="s">
        <v>24790</v>
      </c>
      <c r="O1188">
        <f>-742.498052317799 -51.7975743807606 -731.236314151323</f>
        <v>-1525.5319408498826</v>
      </c>
      <c r="P1188">
        <f>-720.47549882782 -45.5789066054344 -415.542524489385</f>
        <v>-1181.5969299226394</v>
      </c>
      <c r="Q1188">
        <f>-471.00180712825 -28.5412219494924 -344.025608620317</f>
        <v>-843.56863769805932</v>
      </c>
      <c r="R1188" t="s">
        <v>24791</v>
      </c>
      <c r="S1188" t="s">
        <v>24792</v>
      </c>
      <c r="T1188" t="s">
        <v>24793</v>
      </c>
      <c r="U1188" t="s">
        <v>24794</v>
      </c>
      <c r="V1188" t="s">
        <v>24795</v>
      </c>
      <c r="W1188" t="s">
        <v>24796</v>
      </c>
      <c r="X1188" t="s">
        <v>24797</v>
      </c>
      <c r="Y1188" t="s">
        <v>24798</v>
      </c>
    </row>
    <row r="1189" spans="1:25" x14ac:dyDescent="0.3">
      <c r="A1189">
        <v>59400</v>
      </c>
      <c r="B1189" t="s">
        <v>24799</v>
      </c>
      <c r="C1189" t="s">
        <v>24800</v>
      </c>
      <c r="D1189" t="s">
        <v>24801</v>
      </c>
      <c r="E1189" t="s">
        <v>24802</v>
      </c>
      <c r="F1189" t="s">
        <v>24803</v>
      </c>
      <c r="G1189" t="s">
        <v>24804</v>
      </c>
      <c r="H1189" t="s">
        <v>24805</v>
      </c>
      <c r="I1189" t="s">
        <v>24806</v>
      </c>
      <c r="J1189" t="s">
        <v>24807</v>
      </c>
      <c r="K1189" t="s">
        <v>24808</v>
      </c>
      <c r="L1189" t="s">
        <v>24809</v>
      </c>
      <c r="M1189" t="s">
        <v>24810</v>
      </c>
      <c r="N1189" t="s">
        <v>24811</v>
      </c>
      <c r="O1189">
        <f>-743.13692617944 -51.4337126632104 -731.354462090497</f>
        <v>-1525.9251009331474</v>
      </c>
      <c r="P1189">
        <f>-721.31853623525 -45.4753632141544 -415.641563170271</f>
        <v>-1182.4354626196755</v>
      </c>
      <c r="Q1189">
        <f>-471.904170077618 -28.2787509569175 -343.955889195206</f>
        <v>-844.13881022974147</v>
      </c>
      <c r="R1189" t="s">
        <v>24812</v>
      </c>
      <c r="S1189" t="s">
        <v>24813</v>
      </c>
      <c r="T1189" t="s">
        <v>24814</v>
      </c>
      <c r="U1189" t="s">
        <v>24815</v>
      </c>
      <c r="V1189" t="s">
        <v>24816</v>
      </c>
      <c r="W1189" t="s">
        <v>24817</v>
      </c>
      <c r="X1189" t="s">
        <v>24818</v>
      </c>
      <c r="Y1189" t="s">
        <v>24819</v>
      </c>
    </row>
    <row r="1190" spans="1:25" x14ac:dyDescent="0.3">
      <c r="A1190">
        <v>59450</v>
      </c>
      <c r="B1190" t="s">
        <v>24820</v>
      </c>
      <c r="C1190" t="s">
        <v>24821</v>
      </c>
      <c r="D1190" t="s">
        <v>24822</v>
      </c>
      <c r="E1190" t="s">
        <v>24823</v>
      </c>
      <c r="F1190" t="s">
        <v>24824</v>
      </c>
      <c r="G1190" t="s">
        <v>24825</v>
      </c>
      <c r="H1190" t="s">
        <v>24826</v>
      </c>
      <c r="I1190" t="s">
        <v>24827</v>
      </c>
      <c r="J1190" t="s">
        <v>24828</v>
      </c>
      <c r="K1190" t="s">
        <v>24829</v>
      </c>
      <c r="L1190" t="s">
        <v>24830</v>
      </c>
      <c r="M1190" t="s">
        <v>24831</v>
      </c>
      <c r="N1190" t="s">
        <v>24832</v>
      </c>
      <c r="O1190">
        <f>-744.574521436862 -50.8220717182394 -731.724557539126</f>
        <v>-1527.1211506942273</v>
      </c>
      <c r="P1190">
        <f>-722.903479409362 -45.051921712588 -415.998005756777</f>
        <v>-1183.953406878727</v>
      </c>
      <c r="Q1190">
        <f>-473.507807255456 -28.1397249996592 -344.180110573873</f>
        <v>-845.82764282898825</v>
      </c>
      <c r="R1190" t="s">
        <v>24833</v>
      </c>
      <c r="S1190" t="s">
        <v>24834</v>
      </c>
      <c r="T1190" t="s">
        <v>24835</v>
      </c>
      <c r="U1190" t="s">
        <v>24836</v>
      </c>
      <c r="V1190" t="s">
        <v>24837</v>
      </c>
      <c r="W1190" t="s">
        <v>24838</v>
      </c>
      <c r="X1190" t="s">
        <v>24839</v>
      </c>
      <c r="Y1190" t="s">
        <v>24840</v>
      </c>
    </row>
    <row r="1191" spans="1:25" x14ac:dyDescent="0.3">
      <c r="A1191">
        <v>59500</v>
      </c>
      <c r="B1191" t="s">
        <v>24841</v>
      </c>
      <c r="C1191" t="s">
        <v>24842</v>
      </c>
      <c r="D1191" t="s">
        <v>24843</v>
      </c>
      <c r="E1191" t="s">
        <v>24844</v>
      </c>
      <c r="F1191" t="s">
        <v>24845</v>
      </c>
      <c r="G1191" t="s">
        <v>24846</v>
      </c>
      <c r="H1191" t="s">
        <v>24847</v>
      </c>
      <c r="I1191" t="s">
        <v>24848</v>
      </c>
      <c r="J1191" t="s">
        <v>24849</v>
      </c>
      <c r="K1191" t="s">
        <v>24850</v>
      </c>
      <c r="L1191" t="s">
        <v>24851</v>
      </c>
      <c r="M1191" t="s">
        <v>24852</v>
      </c>
      <c r="N1191" t="s">
        <v>24853</v>
      </c>
      <c r="O1191">
        <f>-745.325314550664 -50.462314376337 -731.849202125027</f>
        <v>-1527.6368310520279</v>
      </c>
      <c r="P1191">
        <f>-723.659615120444 -45.0110612567221 -416.116633581113</f>
        <v>-1184.7873099582789</v>
      </c>
      <c r="Q1191">
        <f>-474.243877069869 -28.259359609541 -344.330587504362</f>
        <v>-846.83382418377187</v>
      </c>
      <c r="R1191" t="s">
        <v>24854</v>
      </c>
      <c r="S1191" t="s">
        <v>24855</v>
      </c>
      <c r="T1191" t="s">
        <v>24856</v>
      </c>
      <c r="U1191" t="s">
        <v>24857</v>
      </c>
      <c r="V1191" t="s">
        <v>24858</v>
      </c>
      <c r="W1191" t="s">
        <v>24859</v>
      </c>
      <c r="X1191" t="s">
        <v>24860</v>
      </c>
      <c r="Y1191" t="s">
        <v>24861</v>
      </c>
    </row>
    <row r="1192" spans="1:25" x14ac:dyDescent="0.3">
      <c r="A1192">
        <v>59550</v>
      </c>
      <c r="B1192" t="s">
        <v>24862</v>
      </c>
      <c r="C1192" t="s">
        <v>24863</v>
      </c>
      <c r="D1192" t="s">
        <v>24864</v>
      </c>
      <c r="E1192" t="s">
        <v>24865</v>
      </c>
      <c r="F1192" t="s">
        <v>24866</v>
      </c>
      <c r="G1192" t="s">
        <v>24867</v>
      </c>
      <c r="H1192" t="s">
        <v>24868</v>
      </c>
      <c r="I1192" t="s">
        <v>24869</v>
      </c>
      <c r="J1192" t="s">
        <v>24870</v>
      </c>
      <c r="K1192" t="s">
        <v>24871</v>
      </c>
      <c r="L1192" t="s">
        <v>24872</v>
      </c>
      <c r="M1192" t="s">
        <v>24873</v>
      </c>
      <c r="N1192" t="s">
        <v>24874</v>
      </c>
      <c r="O1192">
        <f>-747.049232781023 -49.6146572345579 -732.14027954607</f>
        <v>-1528.8041695616507</v>
      </c>
      <c r="P1192">
        <f>-725.33693410849 -44.5723265921988 -416.404121660576</f>
        <v>-1186.3133823612648</v>
      </c>
      <c r="Q1192">
        <f>-475.938604679769 -28.2317842785196 -344.463011847159</f>
        <v>-848.63340080544765</v>
      </c>
      <c r="R1192" t="s">
        <v>24875</v>
      </c>
      <c r="S1192" t="s">
        <v>24876</v>
      </c>
      <c r="T1192" t="s">
        <v>24877</v>
      </c>
      <c r="U1192" t="s">
        <v>24878</v>
      </c>
      <c r="V1192" t="s">
        <v>24879</v>
      </c>
      <c r="W1192" t="s">
        <v>24880</v>
      </c>
      <c r="X1192" t="s">
        <v>24881</v>
      </c>
      <c r="Y1192" t="s">
        <v>24882</v>
      </c>
    </row>
    <row r="1193" spans="1:25" x14ac:dyDescent="0.3">
      <c r="A1193">
        <v>59600</v>
      </c>
      <c r="B1193" t="s">
        <v>24883</v>
      </c>
      <c r="C1193" t="s">
        <v>24884</v>
      </c>
      <c r="D1193" t="s">
        <v>24885</v>
      </c>
      <c r="E1193" t="s">
        <v>24886</v>
      </c>
      <c r="F1193" t="s">
        <v>24887</v>
      </c>
      <c r="G1193" t="s">
        <v>24888</v>
      </c>
      <c r="H1193" t="s">
        <v>24889</v>
      </c>
      <c r="I1193" t="s">
        <v>24890</v>
      </c>
      <c r="J1193" t="s">
        <v>24891</v>
      </c>
      <c r="K1193" t="s">
        <v>24892</v>
      </c>
      <c r="L1193" t="s">
        <v>24893</v>
      </c>
      <c r="M1193" t="s">
        <v>24894</v>
      </c>
      <c r="N1193" t="s">
        <v>24895</v>
      </c>
      <c r="O1193">
        <f>-747.947848814895 -49.116308406597 -732.286845301506</f>
        <v>-1529.351002522998</v>
      </c>
      <c r="P1193">
        <f>-726.113693761429 -44.3557727066357 -416.55466392636</f>
        <v>-1187.0241303944247</v>
      </c>
      <c r="Q1193">
        <f>-476.718519972539 -28.2499150173549 -344.54992298946</f>
        <v>-849.51835797935394</v>
      </c>
      <c r="R1193" t="s">
        <v>24896</v>
      </c>
      <c r="S1193" t="s">
        <v>24897</v>
      </c>
      <c r="T1193" t="s">
        <v>24898</v>
      </c>
      <c r="U1193" t="s">
        <v>24899</v>
      </c>
      <c r="V1193" t="s">
        <v>24900</v>
      </c>
      <c r="W1193" t="s">
        <v>24901</v>
      </c>
      <c r="X1193" t="s">
        <v>24902</v>
      </c>
      <c r="Y1193" t="s">
        <v>24903</v>
      </c>
    </row>
    <row r="1194" spans="1:25" x14ac:dyDescent="0.3">
      <c r="A1194">
        <v>59650</v>
      </c>
      <c r="B1194" t="s">
        <v>24904</v>
      </c>
      <c r="C1194" t="s">
        <v>24905</v>
      </c>
      <c r="D1194" t="s">
        <v>24906</v>
      </c>
      <c r="E1194" t="s">
        <v>24907</v>
      </c>
      <c r="F1194" t="s">
        <v>24908</v>
      </c>
      <c r="G1194" t="s">
        <v>24909</v>
      </c>
      <c r="H1194" t="s">
        <v>24910</v>
      </c>
      <c r="I1194" t="s">
        <v>24911</v>
      </c>
      <c r="J1194" t="s">
        <v>24912</v>
      </c>
      <c r="K1194" t="s">
        <v>24913</v>
      </c>
      <c r="L1194" t="s">
        <v>24914</v>
      </c>
      <c r="M1194" t="s">
        <v>24915</v>
      </c>
      <c r="N1194" t="s">
        <v>24916</v>
      </c>
      <c r="O1194">
        <f>-749.622918920676 -48.5449215734814 -732.461578193581</f>
        <v>-1530.6294186877385</v>
      </c>
      <c r="P1194">
        <f>-727.45875043179 -44.0107428795748 -416.749086721759</f>
        <v>-1188.2185800331238</v>
      </c>
      <c r="Q1194">
        <f>-478.05828757622 -28.6202780428789 -344.606229113984</f>
        <v>-851.28479473308289</v>
      </c>
      <c r="R1194" t="s">
        <v>24917</v>
      </c>
      <c r="S1194" t="s">
        <v>24918</v>
      </c>
      <c r="T1194" t="s">
        <v>24919</v>
      </c>
      <c r="U1194" t="s">
        <v>24920</v>
      </c>
      <c r="V1194" t="s">
        <v>24921</v>
      </c>
      <c r="W1194" t="s">
        <v>24922</v>
      </c>
      <c r="X1194" t="s">
        <v>24923</v>
      </c>
      <c r="Y1194" t="s">
        <v>24924</v>
      </c>
    </row>
    <row r="1195" spans="1:25" x14ac:dyDescent="0.3">
      <c r="A1195">
        <v>59700</v>
      </c>
      <c r="B1195" t="s">
        <v>24925</v>
      </c>
      <c r="C1195" t="s">
        <v>24926</v>
      </c>
      <c r="D1195" t="s">
        <v>24927</v>
      </c>
      <c r="E1195" t="s">
        <v>24928</v>
      </c>
      <c r="F1195" t="s">
        <v>24929</v>
      </c>
      <c r="G1195" t="s">
        <v>24930</v>
      </c>
      <c r="H1195" t="s">
        <v>24931</v>
      </c>
      <c r="I1195" t="s">
        <v>24932</v>
      </c>
      <c r="J1195" t="s">
        <v>24933</v>
      </c>
      <c r="K1195" t="s">
        <v>24934</v>
      </c>
      <c r="L1195" t="s">
        <v>24935</v>
      </c>
      <c r="M1195" t="s">
        <v>24936</v>
      </c>
      <c r="N1195" t="s">
        <v>24937</v>
      </c>
      <c r="O1195">
        <f>-750.480373463881 -48.3525837968743 -732.477364865383</f>
        <v>-1531.3103221261385</v>
      </c>
      <c r="P1195">
        <f>-728.210883980729 -44.0303598829864 -416.769243982001</f>
        <v>-1189.0104878457164</v>
      </c>
      <c r="Q1195">
        <f>-478.801719926073 -28.9961449623554 -344.581461402781</f>
        <v>-852.3793262912094</v>
      </c>
      <c r="R1195" t="s">
        <v>24938</v>
      </c>
      <c r="S1195" t="s">
        <v>24939</v>
      </c>
      <c r="T1195" t="s">
        <v>24940</v>
      </c>
      <c r="U1195" t="s">
        <v>24941</v>
      </c>
      <c r="V1195" t="s">
        <v>24942</v>
      </c>
      <c r="W1195" t="s">
        <v>24943</v>
      </c>
      <c r="X1195" t="s">
        <v>24944</v>
      </c>
      <c r="Y1195" t="s">
        <v>24945</v>
      </c>
    </row>
    <row r="1196" spans="1:25" x14ac:dyDescent="0.3">
      <c r="A1196">
        <v>59750</v>
      </c>
      <c r="B1196" t="s">
        <v>24946</v>
      </c>
      <c r="C1196" t="s">
        <v>24947</v>
      </c>
      <c r="D1196" t="s">
        <v>24948</v>
      </c>
      <c r="E1196" t="s">
        <v>24949</v>
      </c>
      <c r="F1196" t="s">
        <v>24950</v>
      </c>
      <c r="G1196" t="s">
        <v>24951</v>
      </c>
      <c r="H1196" t="s">
        <v>24952</v>
      </c>
      <c r="I1196" t="s">
        <v>24953</v>
      </c>
      <c r="J1196" t="s">
        <v>24954</v>
      </c>
      <c r="K1196" t="s">
        <v>24955</v>
      </c>
      <c r="L1196" t="s">
        <v>24956</v>
      </c>
      <c r="M1196" t="s">
        <v>24957</v>
      </c>
      <c r="N1196" t="s">
        <v>24958</v>
      </c>
      <c r="O1196">
        <f>-752.257303896004 -48.1087921565249 -732.575418626093</f>
        <v>-1532.9415146786218</v>
      </c>
      <c r="P1196">
        <f>-729.767363189146 -44.12661748339 -416.878428893982</f>
        <v>-1190.772409566518</v>
      </c>
      <c r="Q1196">
        <f>-480.357753787455 -29.6787199386406 -344.572494590553</f>
        <v>-854.60896831664854</v>
      </c>
      <c r="R1196" t="s">
        <v>24959</v>
      </c>
      <c r="S1196" t="s">
        <v>24960</v>
      </c>
      <c r="T1196" t="s">
        <v>24961</v>
      </c>
      <c r="U1196" t="s">
        <v>24962</v>
      </c>
      <c r="V1196" t="s">
        <v>24963</v>
      </c>
      <c r="W1196" t="s">
        <v>24964</v>
      </c>
      <c r="X1196" t="s">
        <v>24965</v>
      </c>
      <c r="Y1196" t="s">
        <v>24966</v>
      </c>
    </row>
    <row r="1197" spans="1:25" x14ac:dyDescent="0.3">
      <c r="A1197">
        <v>59800</v>
      </c>
      <c r="B1197" t="s">
        <v>24967</v>
      </c>
      <c r="C1197" t="s">
        <v>24968</v>
      </c>
      <c r="D1197" t="s">
        <v>24969</v>
      </c>
      <c r="E1197" t="s">
        <v>24970</v>
      </c>
      <c r="F1197" t="s">
        <v>24971</v>
      </c>
      <c r="G1197" t="s">
        <v>24972</v>
      </c>
      <c r="H1197" t="s">
        <v>24973</v>
      </c>
      <c r="I1197" t="s">
        <v>24974</v>
      </c>
      <c r="J1197" t="s">
        <v>24975</v>
      </c>
      <c r="K1197" t="s">
        <v>24976</v>
      </c>
      <c r="L1197" t="s">
        <v>24977</v>
      </c>
      <c r="M1197" t="s">
        <v>24978</v>
      </c>
      <c r="N1197" t="s">
        <v>24979</v>
      </c>
      <c r="O1197">
        <f>-753.233921540699 -48.0882017850308 -732.612416551175</f>
        <v>-1533.9345398769049</v>
      </c>
      <c r="P1197">
        <f>-730.643687771096 -44.2544472651241 -416.920806196043</f>
        <v>-1191.8189412322631</v>
      </c>
      <c r="Q1197">
        <f>-481.252544698836 -30.0431216036427 -344.504353044297</f>
        <v>-855.80001934677568</v>
      </c>
      <c r="R1197" t="s">
        <v>24980</v>
      </c>
      <c r="S1197" t="s">
        <v>24981</v>
      </c>
      <c r="T1197" t="s">
        <v>24982</v>
      </c>
      <c r="U1197" t="s">
        <v>24983</v>
      </c>
      <c r="V1197" t="s">
        <v>24984</v>
      </c>
      <c r="W1197" t="s">
        <v>24985</v>
      </c>
      <c r="X1197" t="s">
        <v>24986</v>
      </c>
      <c r="Y1197" t="s">
        <v>24987</v>
      </c>
    </row>
    <row r="1198" spans="1:25" x14ac:dyDescent="0.3">
      <c r="A1198">
        <v>59850</v>
      </c>
      <c r="B1198" t="s">
        <v>24988</v>
      </c>
      <c r="C1198" t="s">
        <v>24989</v>
      </c>
      <c r="D1198" t="s">
        <v>24990</v>
      </c>
      <c r="E1198" t="s">
        <v>24991</v>
      </c>
      <c r="F1198" t="s">
        <v>24992</v>
      </c>
      <c r="G1198" t="s">
        <v>24993</v>
      </c>
      <c r="H1198" t="s">
        <v>24994</v>
      </c>
      <c r="I1198" t="s">
        <v>24995</v>
      </c>
      <c r="J1198" t="s">
        <v>24996</v>
      </c>
      <c r="K1198" t="s">
        <v>24997</v>
      </c>
      <c r="L1198" t="s">
        <v>24998</v>
      </c>
      <c r="M1198" t="s">
        <v>24999</v>
      </c>
      <c r="N1198" t="s">
        <v>25000</v>
      </c>
      <c r="O1198">
        <f>-755.238902804847 -48.2365755070557 -732.490840392011</f>
        <v>-1535.9663187039137</v>
      </c>
      <c r="P1198">
        <f>-732.090384832859 -44.679333141094 -416.836546011936</f>
        <v>-1193.606263985889</v>
      </c>
      <c r="Q1198">
        <f>-482.683706844684 -30.6919932064532 -344.429829441996</f>
        <v>-857.80552949313324</v>
      </c>
      <c r="R1198" t="s">
        <v>25001</v>
      </c>
      <c r="S1198" t="s">
        <v>25002</v>
      </c>
      <c r="T1198" t="s">
        <v>25003</v>
      </c>
      <c r="U1198" t="s">
        <v>25004</v>
      </c>
      <c r="V1198" t="s">
        <v>25005</v>
      </c>
      <c r="W1198" t="s">
        <v>25006</v>
      </c>
      <c r="X1198" t="s">
        <v>25007</v>
      </c>
      <c r="Y1198" t="s">
        <v>25008</v>
      </c>
    </row>
    <row r="1199" spans="1:25" x14ac:dyDescent="0.3">
      <c r="A1199">
        <v>59900</v>
      </c>
      <c r="B1199" t="s">
        <v>25009</v>
      </c>
      <c r="C1199" t="s">
        <v>25010</v>
      </c>
      <c r="D1199" t="s">
        <v>25011</v>
      </c>
      <c r="E1199" t="s">
        <v>25012</v>
      </c>
      <c r="F1199" t="s">
        <v>25013</v>
      </c>
      <c r="G1199" t="s">
        <v>25014</v>
      </c>
      <c r="H1199" t="s">
        <v>25015</v>
      </c>
      <c r="I1199" t="s">
        <v>25016</v>
      </c>
      <c r="J1199" t="s">
        <v>25017</v>
      </c>
      <c r="K1199" t="s">
        <v>25018</v>
      </c>
      <c r="L1199" t="s">
        <v>25019</v>
      </c>
      <c r="M1199" t="s">
        <v>25020</v>
      </c>
      <c r="N1199" t="s">
        <v>25021</v>
      </c>
      <c r="O1199">
        <f>-756.064746950678 -48.2879014707578 -732.413079718603</f>
        <v>-1536.7657281400388</v>
      </c>
      <c r="P1199">
        <f>-732.551381863193 -44.7331979754958 -416.785645036065</f>
        <v>-1194.0702248747539</v>
      </c>
      <c r="Q1199">
        <f>-483.123441041743 -30.8549615531595 -344.431378600518</f>
        <v>-858.40978119542046</v>
      </c>
      <c r="R1199" t="s">
        <v>25022</v>
      </c>
      <c r="S1199" t="s">
        <v>25023</v>
      </c>
      <c r="T1199" t="s">
        <v>25024</v>
      </c>
      <c r="U1199" t="s">
        <v>25025</v>
      </c>
      <c r="V1199" t="s">
        <v>25026</v>
      </c>
      <c r="W1199" t="s">
        <v>25027</v>
      </c>
      <c r="X1199" t="s">
        <v>25028</v>
      </c>
      <c r="Y1199" t="s">
        <v>25029</v>
      </c>
    </row>
    <row r="1200" spans="1:25" x14ac:dyDescent="0.3">
      <c r="A1200">
        <v>59950</v>
      </c>
      <c r="B1200" t="s">
        <v>25030</v>
      </c>
      <c r="C1200" t="s">
        <v>25031</v>
      </c>
      <c r="D1200" t="s">
        <v>25032</v>
      </c>
      <c r="E1200" t="s">
        <v>25033</v>
      </c>
      <c r="F1200" t="s">
        <v>25034</v>
      </c>
      <c r="G1200" t="s">
        <v>25035</v>
      </c>
      <c r="H1200" t="s">
        <v>25036</v>
      </c>
      <c r="I1200" t="s">
        <v>25037</v>
      </c>
      <c r="J1200" t="s">
        <v>25038</v>
      </c>
      <c r="K1200" t="s">
        <v>25039</v>
      </c>
      <c r="L1200" t="s">
        <v>25040</v>
      </c>
      <c r="M1200" t="s">
        <v>25041</v>
      </c>
      <c r="N1200" t="s">
        <v>25042</v>
      </c>
      <c r="O1200">
        <f>-757.344316603255 -48.3301406669748 -732.457995651332</f>
        <v>-1538.1324529215617</v>
      </c>
      <c r="P1200">
        <f>-733.259413087166 -44.8761958549762 -416.872508428164</f>
        <v>-1195.0081173703061</v>
      </c>
      <c r="Q1200">
        <f>-483.82068334566 -30.6500602392593 -344.623024180815</f>
        <v>-859.09376776573436</v>
      </c>
      <c r="R1200" t="s">
        <v>25043</v>
      </c>
      <c r="S1200" t="s">
        <v>25044</v>
      </c>
      <c r="T1200" t="s">
        <v>25045</v>
      </c>
      <c r="U1200" t="s">
        <v>25046</v>
      </c>
      <c r="V1200" t="s">
        <v>25047</v>
      </c>
      <c r="W1200" t="s">
        <v>25048</v>
      </c>
      <c r="X1200" t="s">
        <v>25049</v>
      </c>
      <c r="Y1200" t="s">
        <v>25050</v>
      </c>
    </row>
    <row r="1201" spans="1:25" x14ac:dyDescent="0.3">
      <c r="A1201">
        <v>60000</v>
      </c>
      <c r="B1201" t="s">
        <v>25051</v>
      </c>
      <c r="C1201" t="s">
        <v>25052</v>
      </c>
      <c r="D1201" t="s">
        <v>25053</v>
      </c>
      <c r="E1201" t="s">
        <v>25054</v>
      </c>
      <c r="F1201" t="s">
        <v>25055</v>
      </c>
      <c r="G1201" t="s">
        <v>25056</v>
      </c>
      <c r="H1201" t="s">
        <v>25057</v>
      </c>
      <c r="I1201" t="s">
        <v>25058</v>
      </c>
      <c r="J1201" t="s">
        <v>25059</v>
      </c>
      <c r="K1201" t="s">
        <v>25060</v>
      </c>
      <c r="L1201" t="s">
        <v>25061</v>
      </c>
      <c r="M1201" t="s">
        <v>25062</v>
      </c>
      <c r="N1201" t="s">
        <v>25063</v>
      </c>
      <c r="O1201">
        <f>-757.875722608512 -48.3714998927228 -732.614969113073</f>
        <v>-1538.8621916143079</v>
      </c>
      <c r="P1201">
        <f>-733.664327219433 -44.8421574589756 -417.04001879232</f>
        <v>-1195.5465034707286</v>
      </c>
      <c r="Q1201">
        <f>-484.128667145661 -30.0853176441697 -345.233045073718</f>
        <v>-859.44702986354866</v>
      </c>
      <c r="R1201" t="s">
        <v>25064</v>
      </c>
      <c r="S1201" t="s">
        <v>25065</v>
      </c>
      <c r="T1201" t="s">
        <v>25066</v>
      </c>
      <c r="U1201" t="s">
        <v>25067</v>
      </c>
      <c r="V1201" t="s">
        <v>25068</v>
      </c>
      <c r="W1201" t="s">
        <v>25069</v>
      </c>
      <c r="X1201" t="s">
        <v>25070</v>
      </c>
      <c r="Y1201" t="s">
        <v>25071</v>
      </c>
    </row>
    <row r="1202" spans="1:25" x14ac:dyDescent="0.3">
      <c r="A1202">
        <v>60050</v>
      </c>
      <c r="B1202" t="s">
        <v>25072</v>
      </c>
      <c r="C1202" t="s">
        <v>25073</v>
      </c>
      <c r="D1202" t="s">
        <v>25074</v>
      </c>
      <c r="E1202" t="s">
        <v>25075</v>
      </c>
      <c r="F1202" t="s">
        <v>25076</v>
      </c>
      <c r="G1202" t="s">
        <v>25077</v>
      </c>
      <c r="H1202" t="s">
        <v>25078</v>
      </c>
      <c r="I1202" t="s">
        <v>25079</v>
      </c>
      <c r="J1202" t="s">
        <v>25080</v>
      </c>
      <c r="K1202" t="s">
        <v>25081</v>
      </c>
      <c r="L1202" t="s">
        <v>25082</v>
      </c>
      <c r="M1202" t="s">
        <v>25083</v>
      </c>
      <c r="N1202" t="s">
        <v>25084</v>
      </c>
      <c r="O1202">
        <f>-758.754637762298 -48.2546473013554 -732.852732108177</f>
        <v>-1539.8620171718303</v>
      </c>
      <c r="P1202">
        <f>-734.207344209815 -44.4041570288621 -417.307377684092</f>
        <v>-1195.9188789227692</v>
      </c>
      <c r="Q1202">
        <f>-484.427518815645 -29.6427570418803 -346.355273737655</f>
        <v>-860.42554959518031</v>
      </c>
      <c r="R1202" t="s">
        <v>25085</v>
      </c>
      <c r="S1202" t="s">
        <v>25086</v>
      </c>
      <c r="T1202" t="s">
        <v>25087</v>
      </c>
      <c r="U1202" t="s">
        <v>25088</v>
      </c>
      <c r="V1202" t="s">
        <v>25089</v>
      </c>
      <c r="W1202" t="s">
        <v>25090</v>
      </c>
      <c r="X1202" t="s">
        <v>25091</v>
      </c>
      <c r="Y1202" t="s">
        <v>25092</v>
      </c>
    </row>
    <row r="1203" spans="1:25" x14ac:dyDescent="0.3">
      <c r="A1203">
        <v>60100</v>
      </c>
      <c r="B1203" t="s">
        <v>25093</v>
      </c>
      <c r="C1203" t="s">
        <v>25094</v>
      </c>
      <c r="D1203" t="s">
        <v>25095</v>
      </c>
      <c r="E1203" t="s">
        <v>25096</v>
      </c>
      <c r="F1203" t="s">
        <v>25097</v>
      </c>
      <c r="G1203" t="s">
        <v>25098</v>
      </c>
      <c r="H1203" t="s">
        <v>25099</v>
      </c>
      <c r="I1203" t="s">
        <v>25100</v>
      </c>
      <c r="J1203" t="s">
        <v>25101</v>
      </c>
      <c r="K1203" t="s">
        <v>25102</v>
      </c>
      <c r="L1203" t="s">
        <v>25103</v>
      </c>
      <c r="M1203" t="s">
        <v>25104</v>
      </c>
      <c r="N1203" t="s">
        <v>25105</v>
      </c>
      <c r="O1203">
        <f>-759.143914244593 -48.2244755152872 -732.774377281683</f>
        <v>-1540.1427670415633</v>
      </c>
      <c r="P1203">
        <f>-734.462794349212 -44.6697652541559 -417.236008569515</f>
        <v>-1196.368568172883</v>
      </c>
      <c r="Q1203">
        <f>-484.617185085703 -30.0024445324955 -346.496623989822</f>
        <v>-861.11625360802054</v>
      </c>
      <c r="R1203" t="s">
        <v>25106</v>
      </c>
      <c r="S1203" t="s">
        <v>25107</v>
      </c>
      <c r="T1203" t="s">
        <v>25108</v>
      </c>
      <c r="U1203" t="s">
        <v>25109</v>
      </c>
      <c r="V1203" t="s">
        <v>25110</v>
      </c>
      <c r="W1203" t="s">
        <v>25111</v>
      </c>
      <c r="X1203" t="s">
        <v>25112</v>
      </c>
      <c r="Y1203" t="s">
        <v>25113</v>
      </c>
    </row>
    <row r="1204" spans="1:25" x14ac:dyDescent="0.3">
      <c r="A1204">
        <v>60150</v>
      </c>
      <c r="B1204" t="s">
        <v>25114</v>
      </c>
      <c r="C1204" t="s">
        <v>25115</v>
      </c>
      <c r="D1204" t="s">
        <v>25116</v>
      </c>
      <c r="E1204" t="s">
        <v>25117</v>
      </c>
      <c r="F1204" t="s">
        <v>25118</v>
      </c>
      <c r="G1204" t="s">
        <v>25119</v>
      </c>
      <c r="H1204" t="s">
        <v>25120</v>
      </c>
      <c r="I1204" t="s">
        <v>25121</v>
      </c>
      <c r="J1204" t="s">
        <v>25122</v>
      </c>
      <c r="K1204" t="s">
        <v>25123</v>
      </c>
      <c r="L1204" t="s">
        <v>25124</v>
      </c>
      <c r="M1204" t="s">
        <v>25125</v>
      </c>
      <c r="N1204" t="s">
        <v>25126</v>
      </c>
      <c r="O1204">
        <f>-760.229429376599 -48.7798856676834 -732.253956617245</f>
        <v>-1541.2632716615274</v>
      </c>
      <c r="P1204">
        <f>-734.489538705834 -45.1313700950568 -416.801302815265</f>
        <v>-1196.4222116161559</v>
      </c>
      <c r="Q1204">
        <f>-484.499068504902 -31.4108692451935 -346.384140601547</f>
        <v>-862.29407835164261</v>
      </c>
      <c r="R1204" t="s">
        <v>25127</v>
      </c>
      <c r="S1204" t="s">
        <v>25128</v>
      </c>
      <c r="T1204" t="s">
        <v>25129</v>
      </c>
      <c r="U1204" t="s">
        <v>25130</v>
      </c>
      <c r="V1204" t="s">
        <v>25131</v>
      </c>
      <c r="W1204" t="s">
        <v>25132</v>
      </c>
      <c r="X1204" t="s">
        <v>25133</v>
      </c>
      <c r="Y1204" t="s">
        <v>25134</v>
      </c>
    </row>
    <row r="1205" spans="1:25" x14ac:dyDescent="0.3">
      <c r="A1205">
        <v>60200</v>
      </c>
      <c r="B1205" t="s">
        <v>25135</v>
      </c>
      <c r="C1205" t="s">
        <v>25136</v>
      </c>
      <c r="D1205" t="s">
        <v>25137</v>
      </c>
      <c r="E1205" t="s">
        <v>25138</v>
      </c>
      <c r="F1205" t="s">
        <v>25139</v>
      </c>
      <c r="G1205" t="s">
        <v>25140</v>
      </c>
      <c r="H1205" t="s">
        <v>25141</v>
      </c>
      <c r="I1205" t="s">
        <v>25142</v>
      </c>
      <c r="J1205" t="s">
        <v>25143</v>
      </c>
      <c r="K1205" t="s">
        <v>25144</v>
      </c>
      <c r="L1205" t="s">
        <v>25145</v>
      </c>
      <c r="M1205" t="s">
        <v>25146</v>
      </c>
      <c r="N1205" t="s">
        <v>25147</v>
      </c>
      <c r="O1205">
        <f>-760.771066783728 -49.2782853754213 -731.886132153284</f>
        <v>-1541.9354843124333</v>
      </c>
      <c r="P1205">
        <f>-734.386465645363 -45.5151683025604 -416.488249467791</f>
        <v>-1196.3898834157144</v>
      </c>
      <c r="Q1205">
        <f>-484.322786692479 -32.123211796677 -346.267956856277</f>
        <v>-862.71395534543296</v>
      </c>
      <c r="R1205" t="s">
        <v>25148</v>
      </c>
      <c r="S1205" t="s">
        <v>25149</v>
      </c>
      <c r="T1205" t="s">
        <v>25150</v>
      </c>
      <c r="U1205" t="s">
        <v>25151</v>
      </c>
      <c r="V1205" t="s">
        <v>25152</v>
      </c>
      <c r="W1205" t="s">
        <v>25153</v>
      </c>
      <c r="X1205" t="s">
        <v>25154</v>
      </c>
      <c r="Y1205" t="s">
        <v>25155</v>
      </c>
    </row>
    <row r="1206" spans="1:25" x14ac:dyDescent="0.3">
      <c r="A1206">
        <v>60250</v>
      </c>
      <c r="B1206" t="s">
        <v>25156</v>
      </c>
      <c r="C1206" t="s">
        <v>25157</v>
      </c>
      <c r="D1206" t="s">
        <v>25158</v>
      </c>
      <c r="E1206" t="s">
        <v>25159</v>
      </c>
      <c r="F1206" t="s">
        <v>25160</v>
      </c>
      <c r="G1206" t="s">
        <v>25161</v>
      </c>
      <c r="H1206" t="s">
        <v>25162</v>
      </c>
      <c r="I1206" t="s">
        <v>25163</v>
      </c>
      <c r="J1206" t="s">
        <v>25164</v>
      </c>
      <c r="K1206" t="s">
        <v>25165</v>
      </c>
      <c r="L1206" t="s">
        <v>25166</v>
      </c>
      <c r="M1206" t="s">
        <v>25167</v>
      </c>
      <c r="N1206" t="s">
        <v>25168</v>
      </c>
      <c r="O1206">
        <f>-761.549939413282 -49.9514052134098 -731.294135031515</f>
        <v>-1542.7954796582067</v>
      </c>
      <c r="P1206">
        <f>-733.904938994944 -45.4555401561386 -416.013652061924</f>
        <v>-1195.3741312130066</v>
      </c>
      <c r="Q1206">
        <f>-483.908910699835 -32.9766264172911 -345.385668247235</f>
        <v>-862.27120536436109</v>
      </c>
      <c r="R1206" t="s">
        <v>25169</v>
      </c>
      <c r="S1206" t="s">
        <v>25170</v>
      </c>
      <c r="T1206" t="s">
        <v>25171</v>
      </c>
      <c r="U1206" t="s">
        <v>25172</v>
      </c>
      <c r="V1206" t="s">
        <v>25173</v>
      </c>
      <c r="W1206" t="s">
        <v>25174</v>
      </c>
      <c r="X1206" t="s">
        <v>25175</v>
      </c>
      <c r="Y1206" t="s">
        <v>25176</v>
      </c>
    </row>
    <row r="1207" spans="1:25" x14ac:dyDescent="0.3">
      <c r="A1207">
        <v>60300</v>
      </c>
      <c r="B1207" t="s">
        <v>25177</v>
      </c>
      <c r="C1207" t="s">
        <v>25178</v>
      </c>
      <c r="D1207" t="s">
        <v>25179</v>
      </c>
      <c r="E1207" t="s">
        <v>25180</v>
      </c>
      <c r="F1207" t="s">
        <v>25181</v>
      </c>
      <c r="G1207" t="s">
        <v>25182</v>
      </c>
      <c r="H1207" t="s">
        <v>25183</v>
      </c>
      <c r="I1207" t="s">
        <v>25184</v>
      </c>
      <c r="J1207" t="s">
        <v>25185</v>
      </c>
      <c r="K1207" t="s">
        <v>25186</v>
      </c>
      <c r="L1207" t="s">
        <v>25187</v>
      </c>
      <c r="M1207" t="s">
        <v>25188</v>
      </c>
      <c r="N1207" t="s">
        <v>25189</v>
      </c>
      <c r="O1207">
        <f>-761.889754368175 -50.2688862490004 -730.992883070878</f>
        <v>-1543.1515236880532</v>
      </c>
      <c r="P1207">
        <f>-734.065036059571 -45.5050485609745 -415.732186018985</f>
        <v>-1195.3022706395304</v>
      </c>
      <c r="Q1207">
        <f>-484.138289097488 -32.735317040946 -344.911313912415</f>
        <v>-861.784920050849</v>
      </c>
      <c r="R1207" t="s">
        <v>25190</v>
      </c>
      <c r="S1207" t="s">
        <v>25191</v>
      </c>
      <c r="T1207" t="s">
        <v>25192</v>
      </c>
      <c r="U1207" t="s">
        <v>25193</v>
      </c>
      <c r="V1207" t="s">
        <v>25194</v>
      </c>
      <c r="W1207" t="s">
        <v>25195</v>
      </c>
      <c r="X1207" t="s">
        <v>25196</v>
      </c>
      <c r="Y1207" t="s">
        <v>25197</v>
      </c>
    </row>
    <row r="1208" spans="1:25" x14ac:dyDescent="0.3">
      <c r="A1208">
        <v>60350</v>
      </c>
      <c r="B1208" t="s">
        <v>25198</v>
      </c>
      <c r="C1208" t="s">
        <v>25199</v>
      </c>
      <c r="D1208" t="s">
        <v>25200</v>
      </c>
      <c r="E1208" t="s">
        <v>25201</v>
      </c>
      <c r="F1208" t="s">
        <v>25202</v>
      </c>
      <c r="G1208" t="s">
        <v>25203</v>
      </c>
      <c r="H1208" t="s">
        <v>25204</v>
      </c>
      <c r="I1208" t="s">
        <v>25205</v>
      </c>
      <c r="J1208" t="s">
        <v>25206</v>
      </c>
      <c r="K1208" t="s">
        <v>25207</v>
      </c>
      <c r="L1208" t="s">
        <v>25208</v>
      </c>
      <c r="M1208" t="s">
        <v>25209</v>
      </c>
      <c r="N1208" t="s">
        <v>25210</v>
      </c>
      <c r="O1208">
        <f>-762.106963823166 -50.83075292842 -730.502889903251</f>
        <v>-1543.440606654837</v>
      </c>
      <c r="P1208">
        <f>-733.520595026419 -44.8466130387021 -415.331219445592</f>
        <v>-1193.6984275107131</v>
      </c>
      <c r="Q1208">
        <f>-483.873130959774 -32.3544332844772 -343.483008123593</f>
        <v>-859.71057236784418</v>
      </c>
      <c r="R1208" t="s">
        <v>25211</v>
      </c>
      <c r="S1208" t="s">
        <v>25212</v>
      </c>
      <c r="T1208" t="s">
        <v>25213</v>
      </c>
      <c r="U1208" t="s">
        <v>25214</v>
      </c>
      <c r="V1208" t="s">
        <v>25215</v>
      </c>
      <c r="W1208" t="s">
        <v>25216</v>
      </c>
      <c r="X1208" t="s">
        <v>25217</v>
      </c>
      <c r="Y1208" t="s">
        <v>25218</v>
      </c>
    </row>
    <row r="1209" spans="1:25" x14ac:dyDescent="0.3">
      <c r="A1209">
        <v>60400</v>
      </c>
      <c r="B1209" t="s">
        <v>25219</v>
      </c>
      <c r="C1209" t="s">
        <v>25220</v>
      </c>
      <c r="D1209" t="s">
        <v>25221</v>
      </c>
      <c r="E1209" t="s">
        <v>25222</v>
      </c>
      <c r="F1209" t="s">
        <v>25223</v>
      </c>
      <c r="G1209" t="s">
        <v>25224</v>
      </c>
      <c r="H1209" t="s">
        <v>25225</v>
      </c>
      <c r="I1209" t="s">
        <v>25226</v>
      </c>
      <c r="J1209" t="s">
        <v>25227</v>
      </c>
      <c r="K1209" t="s">
        <v>25228</v>
      </c>
      <c r="L1209" t="s">
        <v>25229</v>
      </c>
      <c r="M1209" t="s">
        <v>25230</v>
      </c>
      <c r="N1209" t="s">
        <v>25231</v>
      </c>
      <c r="O1209">
        <f>-762.187028744725 -51.0111049631591 -730.25633655503</f>
        <v>-1543.4544702629141</v>
      </c>
      <c r="P1209">
        <f>-733.242700700257 -45.1985461641564 -415.114122748276</f>
        <v>-1193.5553696126894</v>
      </c>
      <c r="Q1209">
        <f>-483.775149586656 -32.8715855414212 -342.615484366583</f>
        <v>-859.26221949466026</v>
      </c>
      <c r="R1209" t="s">
        <v>25232</v>
      </c>
      <c r="S1209" t="s">
        <v>25233</v>
      </c>
      <c r="T1209" t="s">
        <v>25234</v>
      </c>
      <c r="U1209" t="s">
        <v>25235</v>
      </c>
      <c r="V1209" t="s">
        <v>25236</v>
      </c>
      <c r="W1209" t="s">
        <v>25237</v>
      </c>
      <c r="X1209" t="s">
        <v>25238</v>
      </c>
      <c r="Y1209" t="s">
        <v>25239</v>
      </c>
    </row>
    <row r="1210" spans="1:25" x14ac:dyDescent="0.3">
      <c r="A1210">
        <v>60450</v>
      </c>
      <c r="B1210" t="s">
        <v>25240</v>
      </c>
      <c r="C1210" t="s">
        <v>25241</v>
      </c>
      <c r="D1210" t="s">
        <v>25242</v>
      </c>
      <c r="E1210" t="s">
        <v>25243</v>
      </c>
      <c r="F1210" t="s">
        <v>25244</v>
      </c>
      <c r="G1210" t="s">
        <v>25245</v>
      </c>
      <c r="H1210" t="s">
        <v>25246</v>
      </c>
      <c r="I1210" t="s">
        <v>25247</v>
      </c>
      <c r="J1210" t="s">
        <v>25248</v>
      </c>
      <c r="K1210" t="s">
        <v>25249</v>
      </c>
      <c r="L1210" t="s">
        <v>25250</v>
      </c>
      <c r="M1210" t="s">
        <v>25251</v>
      </c>
      <c r="N1210" t="s">
        <v>25252</v>
      </c>
      <c r="O1210">
        <f>-762.567075779427 -51.0466784138757 -729.864648562108</f>
        <v>-1543.4784027554106</v>
      </c>
      <c r="P1210">
        <f>-732.630670349883 -43.8212436513029 -414.844374078105</f>
        <v>-1191.2962880792909</v>
      </c>
      <c r="Q1210">
        <f>-483.321183951076 -35.0094711452562 -341.296987465146</f>
        <v>-859.62764256147818</v>
      </c>
      <c r="R1210" t="s">
        <v>25253</v>
      </c>
      <c r="S1210" t="s">
        <v>25254</v>
      </c>
      <c r="T1210" t="s">
        <v>25255</v>
      </c>
      <c r="U1210" t="s">
        <v>25256</v>
      </c>
      <c r="V1210" t="s">
        <v>25257</v>
      </c>
      <c r="W1210" t="s">
        <v>25258</v>
      </c>
      <c r="X1210" t="s">
        <v>25259</v>
      </c>
      <c r="Y1210" t="s">
        <v>25260</v>
      </c>
    </row>
    <row r="1211" spans="1:25" x14ac:dyDescent="0.3">
      <c r="A1211">
        <v>60500</v>
      </c>
      <c r="B1211" t="s">
        <v>25261</v>
      </c>
      <c r="C1211" t="s">
        <v>25262</v>
      </c>
      <c r="D1211" t="s">
        <v>25263</v>
      </c>
      <c r="E1211" t="s">
        <v>25264</v>
      </c>
      <c r="F1211" t="s">
        <v>25265</v>
      </c>
      <c r="G1211" t="s">
        <v>25266</v>
      </c>
      <c r="H1211" t="s">
        <v>25267</v>
      </c>
      <c r="I1211" t="s">
        <v>25268</v>
      </c>
      <c r="J1211" t="s">
        <v>25269</v>
      </c>
      <c r="K1211" t="s">
        <v>25270</v>
      </c>
      <c r="L1211" t="s">
        <v>25271</v>
      </c>
      <c r="M1211" t="s">
        <v>25272</v>
      </c>
      <c r="N1211" t="s">
        <v>25273</v>
      </c>
      <c r="O1211">
        <f>-762.675421655181 -51.0551475019183 -729.748371454473</f>
        <v>-1543.4789406115724</v>
      </c>
      <c r="P1211">
        <f>-732.74475399833 -44.2167325319983 -414.718937196149</f>
        <v>-1191.6804237264773</v>
      </c>
      <c r="Q1211">
        <f>-483.291060106301 -37.5611166677472 -341.434537516069</f>
        <v>-862.28671429011717</v>
      </c>
      <c r="R1211" t="s">
        <v>25274</v>
      </c>
      <c r="S1211" t="s">
        <v>25275</v>
      </c>
      <c r="T1211" t="s">
        <v>25276</v>
      </c>
      <c r="U1211" t="s">
        <v>25277</v>
      </c>
      <c r="V1211" t="s">
        <v>25278</v>
      </c>
      <c r="W1211" t="s">
        <v>25279</v>
      </c>
      <c r="X1211" t="s">
        <v>25280</v>
      </c>
      <c r="Y1211" t="s">
        <v>25281</v>
      </c>
    </row>
    <row r="1212" spans="1:25" x14ac:dyDescent="0.3">
      <c r="A1212">
        <v>60550</v>
      </c>
      <c r="B1212" t="s">
        <v>25282</v>
      </c>
      <c r="C1212" t="s">
        <v>25283</v>
      </c>
      <c r="D1212" t="s">
        <v>25284</v>
      </c>
      <c r="E1212" t="s">
        <v>25285</v>
      </c>
      <c r="F1212" t="s">
        <v>25286</v>
      </c>
      <c r="G1212" t="s">
        <v>25287</v>
      </c>
      <c r="H1212" t="s">
        <v>25288</v>
      </c>
      <c r="I1212" t="s">
        <v>25289</v>
      </c>
      <c r="J1212" t="s">
        <v>25290</v>
      </c>
      <c r="K1212" t="s">
        <v>25291</v>
      </c>
      <c r="L1212" t="s">
        <v>25292</v>
      </c>
      <c r="M1212" t="s">
        <v>25293</v>
      </c>
      <c r="N1212" t="s">
        <v>25294</v>
      </c>
      <c r="O1212">
        <f>-763.140434090212 -50.9005599800958 -729.646459981504</f>
        <v>-1543.6874540518118</v>
      </c>
      <c r="P1212">
        <f>-732.844408384108 -43.8977646282842 -414.655553373067</f>
        <v>-1191.3977263854592</v>
      </c>
      <c r="Q1212">
        <f>-483.300243129809 -40.6726909876761 -341.447692853113</f>
        <v>-865.42062697059805</v>
      </c>
      <c r="R1212" t="s">
        <v>25295</v>
      </c>
      <c r="S1212" t="s">
        <v>25296</v>
      </c>
      <c r="T1212" t="s">
        <v>25297</v>
      </c>
      <c r="U1212" t="s">
        <v>25298</v>
      </c>
      <c r="V1212" t="s">
        <v>25299</v>
      </c>
      <c r="W1212" t="s">
        <v>25300</v>
      </c>
      <c r="X1212" t="s">
        <v>25301</v>
      </c>
      <c r="Y1212" t="s">
        <v>25302</v>
      </c>
    </row>
    <row r="1213" spans="1:25" x14ac:dyDescent="0.3">
      <c r="A1213">
        <v>60600</v>
      </c>
      <c r="B1213" t="s">
        <v>25303</v>
      </c>
      <c r="C1213" t="s">
        <v>25304</v>
      </c>
      <c r="D1213" t="s">
        <v>25305</v>
      </c>
      <c r="E1213" t="s">
        <v>25306</v>
      </c>
      <c r="F1213" t="s">
        <v>25307</v>
      </c>
      <c r="G1213" t="s">
        <v>25308</v>
      </c>
      <c r="H1213" t="s">
        <v>25309</v>
      </c>
      <c r="I1213" t="s">
        <v>25310</v>
      </c>
      <c r="J1213" t="s">
        <v>25311</v>
      </c>
      <c r="K1213" t="s">
        <v>25312</v>
      </c>
      <c r="L1213" t="s">
        <v>25313</v>
      </c>
      <c r="M1213" t="s">
        <v>25314</v>
      </c>
      <c r="N1213" t="s">
        <v>25315</v>
      </c>
      <c r="O1213">
        <f>-763.291990825553 -50.9848374040257 -729.473551345311</f>
        <v>-1543.7503795748896</v>
      </c>
      <c r="P1213">
        <f>-733.128393908826 -44.2706267461031 -414.46364148816</f>
        <v>-1191.862662143089</v>
      </c>
      <c r="Q1213">
        <f>-483.299765669466 -41.7921221469283 -342.203318619032</f>
        <v>-867.29520643542628</v>
      </c>
      <c r="R1213" t="s">
        <v>25316</v>
      </c>
      <c r="S1213" t="s">
        <v>25317</v>
      </c>
      <c r="T1213" t="s">
        <v>25318</v>
      </c>
      <c r="U1213" t="s">
        <v>25319</v>
      </c>
      <c r="V1213" t="s">
        <v>25320</v>
      </c>
      <c r="W1213" t="s">
        <v>25321</v>
      </c>
      <c r="X1213" t="s">
        <v>25322</v>
      </c>
      <c r="Y1213" t="s">
        <v>25323</v>
      </c>
    </row>
    <row r="1214" spans="1:25" x14ac:dyDescent="0.3">
      <c r="A1214">
        <v>60650</v>
      </c>
      <c r="B1214" t="s">
        <v>25324</v>
      </c>
      <c r="C1214" t="s">
        <v>25325</v>
      </c>
      <c r="D1214" t="s">
        <v>25326</v>
      </c>
      <c r="E1214" t="s">
        <v>25327</v>
      </c>
      <c r="F1214" t="s">
        <v>25328</v>
      </c>
      <c r="G1214" t="s">
        <v>25329</v>
      </c>
      <c r="H1214" t="s">
        <v>25330</v>
      </c>
      <c r="I1214" t="s">
        <v>25331</v>
      </c>
      <c r="J1214" t="s">
        <v>25332</v>
      </c>
      <c r="K1214" t="s">
        <v>25333</v>
      </c>
      <c r="L1214" t="s">
        <v>25334</v>
      </c>
      <c r="M1214" t="s">
        <v>25335</v>
      </c>
      <c r="N1214" t="s">
        <v>25336</v>
      </c>
      <c r="O1214">
        <f>-763.223595603443 -51.0502468730385 -729.464203418265</f>
        <v>-1543.7380458947464</v>
      </c>
      <c r="P1214">
        <f>-732.071596014019 -44.6924426271164 -414.543053430438</f>
        <v>-1191.3070920715734</v>
      </c>
      <c r="Q1214">
        <f>-481.896211514698 -43.7640299572138 -343.455480908844</f>
        <v>-869.11572238075587</v>
      </c>
      <c r="R1214" t="s">
        <v>25337</v>
      </c>
      <c r="S1214" t="s">
        <v>25338</v>
      </c>
      <c r="T1214" t="s">
        <v>25339</v>
      </c>
      <c r="U1214" t="s">
        <v>25340</v>
      </c>
      <c r="V1214" t="s">
        <v>25341</v>
      </c>
      <c r="W1214" t="s">
        <v>25342</v>
      </c>
      <c r="X1214" t="s">
        <v>25343</v>
      </c>
      <c r="Y1214" t="s">
        <v>25344</v>
      </c>
    </row>
    <row r="1215" spans="1:25" x14ac:dyDescent="0.3">
      <c r="A1215">
        <v>60700</v>
      </c>
      <c r="B1215" t="s">
        <v>25345</v>
      </c>
      <c r="C1215" t="s">
        <v>25346</v>
      </c>
      <c r="D1215" t="s">
        <v>25347</v>
      </c>
      <c r="E1215" t="s">
        <v>25348</v>
      </c>
      <c r="F1215" t="s">
        <v>25349</v>
      </c>
      <c r="G1215" t="s">
        <v>25350</v>
      </c>
      <c r="H1215" t="s">
        <v>25351</v>
      </c>
      <c r="I1215" t="s">
        <v>25352</v>
      </c>
      <c r="J1215" t="s">
        <v>25353</v>
      </c>
      <c r="K1215" t="s">
        <v>25354</v>
      </c>
      <c r="L1215" t="s">
        <v>25355</v>
      </c>
      <c r="M1215" t="s">
        <v>25356</v>
      </c>
      <c r="N1215" t="s">
        <v>25357</v>
      </c>
      <c r="O1215">
        <f>-763.07583158898 -51.2833526688917 -729.37081835165</f>
        <v>-1543.7300026095218</v>
      </c>
      <c r="P1215">
        <f>-731.872566461107 -45.191763047839 -414.449603706546</f>
        <v>-1191.513933215492</v>
      </c>
      <c r="Q1215">
        <f>-481.545892421483 -45.4189381973804 -343.89063291988</f>
        <v>-870.85546353874338</v>
      </c>
      <c r="R1215" t="s">
        <v>25358</v>
      </c>
      <c r="S1215" t="s">
        <v>25359</v>
      </c>
      <c r="T1215" t="s">
        <v>25360</v>
      </c>
      <c r="U1215" t="s">
        <v>25361</v>
      </c>
      <c r="V1215" t="s">
        <v>25362</v>
      </c>
      <c r="W1215" t="s">
        <v>25363</v>
      </c>
      <c r="X1215" t="s">
        <v>25364</v>
      </c>
      <c r="Y1215" t="s">
        <v>25365</v>
      </c>
    </row>
    <row r="1216" spans="1:25" x14ac:dyDescent="0.3">
      <c r="A1216">
        <v>60750</v>
      </c>
      <c r="B1216" t="s">
        <v>25366</v>
      </c>
      <c r="C1216" t="s">
        <v>25367</v>
      </c>
      <c r="D1216" t="s">
        <v>25368</v>
      </c>
      <c r="E1216" t="s">
        <v>25369</v>
      </c>
      <c r="F1216" t="s">
        <v>25370</v>
      </c>
      <c r="G1216" t="s">
        <v>25371</v>
      </c>
      <c r="H1216" t="s">
        <v>25372</v>
      </c>
      <c r="I1216" t="s">
        <v>25373</v>
      </c>
      <c r="J1216" t="s">
        <v>25374</v>
      </c>
      <c r="K1216" t="s">
        <v>25375</v>
      </c>
      <c r="L1216" t="s">
        <v>25376</v>
      </c>
      <c r="M1216" t="s">
        <v>25377</v>
      </c>
      <c r="N1216" t="s">
        <v>25378</v>
      </c>
      <c r="O1216">
        <f>-762.460052638266 -51.0281328350679 -729.679948882704</f>
        <v>-1543.1681343560381</v>
      </c>
      <c r="P1216">
        <f>-730.281213934218 -46.0710459527515 -414.836847822017</f>
        <v>-1191.1891077089865</v>
      </c>
      <c r="Q1216">
        <f>-479.402808460603 -47.1888903615145 -346.27466300136</f>
        <v>-872.86636182347752</v>
      </c>
      <c r="R1216" t="s">
        <v>25379</v>
      </c>
      <c r="S1216" t="s">
        <v>25380</v>
      </c>
      <c r="T1216" t="s">
        <v>25381</v>
      </c>
      <c r="U1216" t="s">
        <v>25382</v>
      </c>
      <c r="V1216" t="s">
        <v>25383</v>
      </c>
      <c r="W1216" t="s">
        <v>25384</v>
      </c>
      <c r="X1216" t="s">
        <v>25385</v>
      </c>
      <c r="Y1216" t="s">
        <v>25386</v>
      </c>
    </row>
    <row r="1217" spans="1:25" x14ac:dyDescent="0.3">
      <c r="A1217">
        <v>60800</v>
      </c>
      <c r="B1217" t="s">
        <v>25387</v>
      </c>
      <c r="C1217" t="s">
        <v>25388</v>
      </c>
      <c r="D1217" t="s">
        <v>25389</v>
      </c>
      <c r="E1217" t="s">
        <v>25390</v>
      </c>
      <c r="F1217" t="s">
        <v>25391</v>
      </c>
      <c r="G1217" t="s">
        <v>25392</v>
      </c>
      <c r="H1217" t="s">
        <v>25393</v>
      </c>
      <c r="I1217" t="s">
        <v>25394</v>
      </c>
      <c r="J1217" t="s">
        <v>25395</v>
      </c>
      <c r="K1217" t="s">
        <v>25396</v>
      </c>
      <c r="L1217" t="s">
        <v>25397</v>
      </c>
      <c r="M1217" t="s">
        <v>25398</v>
      </c>
      <c r="N1217" t="s">
        <v>25399</v>
      </c>
      <c r="O1217">
        <f>-762.153263951288 -51.0438636377535 -729.735247482734</f>
        <v>-1542.9323750717754</v>
      </c>
      <c r="P1217">
        <f>-730.324662247776 -47.4865113087583 -414.837795889363</f>
        <v>-1192.6489694458974</v>
      </c>
      <c r="Q1217">
        <f>-478.277973659346 -48.2266650159768 -350.697784631216</f>
        <v>-877.20242330653878</v>
      </c>
      <c r="R1217" t="s">
        <v>25400</v>
      </c>
      <c r="S1217" t="s">
        <v>25401</v>
      </c>
      <c r="T1217" t="s">
        <v>25402</v>
      </c>
      <c r="U1217" t="s">
        <v>25403</v>
      </c>
      <c r="V1217" t="s">
        <v>25404</v>
      </c>
      <c r="W1217" t="s">
        <v>25405</v>
      </c>
      <c r="X1217" t="s">
        <v>25406</v>
      </c>
      <c r="Y1217" t="s">
        <v>25407</v>
      </c>
    </row>
    <row r="1218" spans="1:25" x14ac:dyDescent="0.3">
      <c r="A1218">
        <v>60850</v>
      </c>
      <c r="B1218" t="s">
        <v>25408</v>
      </c>
      <c r="C1218" t="s">
        <v>25409</v>
      </c>
      <c r="D1218" t="s">
        <v>25410</v>
      </c>
      <c r="E1218" t="s">
        <v>25411</v>
      </c>
      <c r="F1218" t="s">
        <v>25412</v>
      </c>
      <c r="G1218" t="s">
        <v>25413</v>
      </c>
      <c r="H1218" t="s">
        <v>25414</v>
      </c>
      <c r="I1218" t="s">
        <v>25415</v>
      </c>
      <c r="J1218" t="s">
        <v>25416</v>
      </c>
      <c r="K1218" t="s">
        <v>25417</v>
      </c>
      <c r="L1218" t="s">
        <v>25418</v>
      </c>
      <c r="M1218" t="s">
        <v>25419</v>
      </c>
      <c r="N1218" t="s">
        <v>25420</v>
      </c>
      <c r="O1218">
        <f>-761.745676081936 -50.5991645188703 -729.983815039405</f>
        <v>-1542.3286556402113</v>
      </c>
      <c r="P1218">
        <f>-729.634450514315 -49.7052597887055 -415.096096587955</f>
        <v>-1194.4358068909755</v>
      </c>
      <c r="Q1218">
        <f>-477.131481190097 -49.0561726214194 -352.77549306918</f>
        <v>-878.9631468806964</v>
      </c>
      <c r="R1218" t="s">
        <v>25421</v>
      </c>
      <c r="S1218" t="s">
        <v>25422</v>
      </c>
      <c r="T1218" t="s">
        <v>25423</v>
      </c>
      <c r="U1218" t="s">
        <v>25424</v>
      </c>
      <c r="V1218" t="s">
        <v>25425</v>
      </c>
      <c r="W1218" t="s">
        <v>25426</v>
      </c>
      <c r="X1218" t="s">
        <v>25427</v>
      </c>
      <c r="Y1218" t="s">
        <v>25428</v>
      </c>
    </row>
    <row r="1219" spans="1:25" x14ac:dyDescent="0.3">
      <c r="A1219">
        <v>60900</v>
      </c>
      <c r="B1219" t="s">
        <v>25429</v>
      </c>
      <c r="C1219" t="s">
        <v>25430</v>
      </c>
      <c r="D1219" t="s">
        <v>25431</v>
      </c>
      <c r="E1219" t="s">
        <v>25432</v>
      </c>
      <c r="F1219" t="s">
        <v>25433</v>
      </c>
      <c r="G1219" t="s">
        <v>25434</v>
      </c>
      <c r="H1219" t="s">
        <v>25435</v>
      </c>
      <c r="I1219" t="s">
        <v>25436</v>
      </c>
      <c r="J1219" t="s">
        <v>25437</v>
      </c>
      <c r="K1219" t="s">
        <v>25438</v>
      </c>
      <c r="L1219" t="s">
        <v>25439</v>
      </c>
      <c r="M1219" t="s">
        <v>25440</v>
      </c>
      <c r="N1219" t="s">
        <v>25441</v>
      </c>
      <c r="O1219">
        <f>-760.601299927389 -50.2857450886829 -730.216069369621</f>
        <v>-1541.1031143856931</v>
      </c>
      <c r="P1219">
        <f>-729.10349140653 -48.9979557790127 -415.267781915255</f>
        <v>-1193.3692291007978</v>
      </c>
      <c r="Q1219">
        <f>-475.597175524887 -46.4852098059364 -357.213660340303</f>
        <v>-879.29604567112642</v>
      </c>
      <c r="R1219" t="s">
        <v>25442</v>
      </c>
      <c r="S1219" t="s">
        <v>25443</v>
      </c>
      <c r="T1219" t="s">
        <v>25444</v>
      </c>
      <c r="U1219" t="s">
        <v>25445</v>
      </c>
      <c r="V1219" t="s">
        <v>25446</v>
      </c>
      <c r="W1219" t="s">
        <v>25447</v>
      </c>
      <c r="X1219" t="s">
        <v>25448</v>
      </c>
      <c r="Y1219" t="s">
        <v>25449</v>
      </c>
    </row>
    <row r="1220" spans="1:25" x14ac:dyDescent="0.3">
      <c r="A1220">
        <v>60950</v>
      </c>
      <c r="B1220" t="s">
        <v>25450</v>
      </c>
      <c r="C1220" t="s">
        <v>25451</v>
      </c>
      <c r="D1220" t="s">
        <v>25452</v>
      </c>
      <c r="E1220" t="s">
        <v>25453</v>
      </c>
      <c r="F1220" t="s">
        <v>25454</v>
      </c>
      <c r="G1220" t="s">
        <v>25455</v>
      </c>
      <c r="H1220" t="s">
        <v>25456</v>
      </c>
      <c r="I1220" t="s">
        <v>25457</v>
      </c>
      <c r="J1220" t="s">
        <v>25458</v>
      </c>
      <c r="K1220" t="s">
        <v>25459</v>
      </c>
      <c r="L1220" t="s">
        <v>25460</v>
      </c>
      <c r="M1220" t="s">
        <v>25461</v>
      </c>
      <c r="N1220" t="s">
        <v>25462</v>
      </c>
      <c r="O1220">
        <f>-758.900292477157 -50.0367027737052 -730.474632689551</f>
        <v>-1539.4116279404132</v>
      </c>
      <c r="P1220">
        <f>-728.565206485392 -49.9611957285235 -415.409571321973</f>
        <v>-1193.9359735358885</v>
      </c>
      <c r="Q1220">
        <f>-474.903411610729 -44.286164282908 -358.26488083576</f>
        <v>-877.45445672939695</v>
      </c>
      <c r="R1220" t="s">
        <v>25463</v>
      </c>
      <c r="S1220" t="s">
        <v>25464</v>
      </c>
      <c r="T1220" t="s">
        <v>25465</v>
      </c>
      <c r="U1220" t="s">
        <v>25466</v>
      </c>
      <c r="V1220" t="s">
        <v>25467</v>
      </c>
      <c r="W1220" t="s">
        <v>25468</v>
      </c>
      <c r="X1220" t="s">
        <v>25469</v>
      </c>
      <c r="Y1220" t="s">
        <v>25470</v>
      </c>
    </row>
    <row r="1221" spans="1:25" x14ac:dyDescent="0.3">
      <c r="A1221">
        <v>61000</v>
      </c>
      <c r="B1221" t="s">
        <v>25471</v>
      </c>
      <c r="C1221" t="s">
        <v>25472</v>
      </c>
      <c r="D1221" t="s">
        <v>25473</v>
      </c>
      <c r="E1221" t="s">
        <v>25474</v>
      </c>
      <c r="F1221" t="s">
        <v>25475</v>
      </c>
      <c r="G1221" t="s">
        <v>25476</v>
      </c>
      <c r="H1221" t="s">
        <v>25477</v>
      </c>
      <c r="I1221" t="s">
        <v>25478</v>
      </c>
      <c r="J1221" t="s">
        <v>25479</v>
      </c>
      <c r="K1221" t="s">
        <v>25480</v>
      </c>
      <c r="L1221" t="s">
        <v>25481</v>
      </c>
      <c r="M1221" t="s">
        <v>25482</v>
      </c>
      <c r="N1221" t="s">
        <v>25483</v>
      </c>
      <c r="O1221">
        <f>-758.201552645092 -50.078441071651 -730.465162735512</f>
        <v>-1538.7451564522548</v>
      </c>
      <c r="P1221">
        <f>-727.6600440114 -49.5855135179336 -415.420436790002</f>
        <v>-1192.6659943193356</v>
      </c>
      <c r="Q1221">
        <f>-473.884440790464 -43.7435758689603 -358.799524270019</f>
        <v>-876.42754092944324</v>
      </c>
      <c r="R1221" t="s">
        <v>25484</v>
      </c>
      <c r="S1221" t="s">
        <v>25485</v>
      </c>
      <c r="T1221" t="s">
        <v>25486</v>
      </c>
      <c r="U1221" t="s">
        <v>25487</v>
      </c>
      <c r="V1221" t="s">
        <v>25488</v>
      </c>
      <c r="W1221" t="s">
        <v>25489</v>
      </c>
      <c r="X1221" t="s">
        <v>25490</v>
      </c>
      <c r="Y1221" t="s">
        <v>25491</v>
      </c>
    </row>
    <row r="1222" spans="1:25" x14ac:dyDescent="0.3">
      <c r="A1222">
        <v>61050</v>
      </c>
      <c r="B1222" t="s">
        <v>25492</v>
      </c>
      <c r="C1222" t="s">
        <v>25493</v>
      </c>
      <c r="D1222" t="s">
        <v>25494</v>
      </c>
      <c r="E1222" t="s">
        <v>25495</v>
      </c>
      <c r="F1222" t="s">
        <v>25496</v>
      </c>
      <c r="G1222" t="s">
        <v>25497</v>
      </c>
      <c r="H1222" t="s">
        <v>25498</v>
      </c>
      <c r="I1222" t="s">
        <v>25499</v>
      </c>
      <c r="J1222" t="s">
        <v>25500</v>
      </c>
      <c r="K1222" t="s">
        <v>25501</v>
      </c>
      <c r="L1222" t="s">
        <v>25502</v>
      </c>
      <c r="M1222" t="s">
        <v>25503</v>
      </c>
      <c r="N1222" t="s">
        <v>25504</v>
      </c>
      <c r="O1222">
        <f>-757.724170141827 -49.8793332957794 -730.298545338731</f>
        <v>-1537.9020487763373</v>
      </c>
      <c r="P1222">
        <f>-725.547808157205 -48.3348665842275 -415.41994316257</f>
        <v>-1189.3026179040025</v>
      </c>
      <c r="Q1222">
        <f>-472.455434233988 -44.5738024622401 -355.652601687088</f>
        <v>-872.68183838331606</v>
      </c>
      <c r="R1222" t="s">
        <v>25505</v>
      </c>
      <c r="S1222" t="s">
        <v>25506</v>
      </c>
      <c r="T1222" t="s">
        <v>25507</v>
      </c>
      <c r="U1222" t="s">
        <v>25508</v>
      </c>
      <c r="V1222" t="s">
        <v>25509</v>
      </c>
      <c r="W1222" t="s">
        <v>25510</v>
      </c>
      <c r="X1222" t="s">
        <v>25511</v>
      </c>
      <c r="Y1222" t="s">
        <v>25512</v>
      </c>
    </row>
    <row r="1223" spans="1:25" x14ac:dyDescent="0.3">
      <c r="A1223">
        <v>61100</v>
      </c>
      <c r="B1223" t="s">
        <v>25513</v>
      </c>
      <c r="C1223" t="s">
        <v>25514</v>
      </c>
      <c r="D1223" t="s">
        <v>25515</v>
      </c>
      <c r="E1223" t="s">
        <v>25516</v>
      </c>
      <c r="F1223" t="s">
        <v>25517</v>
      </c>
      <c r="G1223" t="s">
        <v>25518</v>
      </c>
      <c r="H1223" t="s">
        <v>25519</v>
      </c>
      <c r="I1223" t="s">
        <v>25520</v>
      </c>
      <c r="J1223" t="s">
        <v>25521</v>
      </c>
      <c r="K1223" t="s">
        <v>25522</v>
      </c>
      <c r="L1223" t="s">
        <v>25523</v>
      </c>
      <c r="M1223" t="s">
        <v>25524</v>
      </c>
      <c r="N1223" t="s">
        <v>25525</v>
      </c>
      <c r="O1223">
        <f>-757.407273212731 -50.1527126799444 -730.158404397999</f>
        <v>-1537.7183902906745</v>
      </c>
      <c r="P1223">
        <f>-725.897643566466 -47.9835221561298 -415.216163400519</f>
        <v>-1189.0973291231148</v>
      </c>
      <c r="Q1223">
        <f>-473.149195571101 -43.9764592922211 -354.026363497067</f>
        <v>-871.15201836038909</v>
      </c>
      <c r="R1223" t="s">
        <v>25526</v>
      </c>
      <c r="S1223" t="s">
        <v>25527</v>
      </c>
      <c r="T1223" t="s">
        <v>25528</v>
      </c>
      <c r="U1223" t="s">
        <v>25529</v>
      </c>
      <c r="V1223" t="s">
        <v>25530</v>
      </c>
      <c r="W1223" t="s">
        <v>25531</v>
      </c>
      <c r="X1223" t="s">
        <v>25532</v>
      </c>
      <c r="Y1223" t="s">
        <v>25533</v>
      </c>
    </row>
    <row r="1224" spans="1:25" x14ac:dyDescent="0.3">
      <c r="A1224">
        <v>61150</v>
      </c>
      <c r="B1224" t="s">
        <v>25534</v>
      </c>
      <c r="C1224" t="s">
        <v>25535</v>
      </c>
      <c r="D1224" t="s">
        <v>25536</v>
      </c>
      <c r="E1224" t="s">
        <v>25537</v>
      </c>
      <c r="F1224" t="s">
        <v>25538</v>
      </c>
      <c r="G1224" t="s">
        <v>25539</v>
      </c>
      <c r="H1224" t="s">
        <v>25540</v>
      </c>
      <c r="I1224" t="s">
        <v>25541</v>
      </c>
      <c r="J1224" t="s">
        <v>25542</v>
      </c>
      <c r="K1224" t="s">
        <v>25543</v>
      </c>
      <c r="L1224" t="s">
        <v>25544</v>
      </c>
      <c r="M1224" t="s">
        <v>25545</v>
      </c>
      <c r="N1224" t="s">
        <v>25546</v>
      </c>
      <c r="O1224">
        <f>-755.276655940087 -50.3064375893653 -730.027623951247</f>
        <v>-1535.6107174806993</v>
      </c>
      <c r="P1224">
        <f>-726.011465401807 -48.1921744713541 -414.868406347561</f>
        <v>-1189.0720462207221</v>
      </c>
      <c r="Q1224">
        <f>-473.990661097218 -40.7918842220447 -351.049741975948</f>
        <v>-865.83228729521068</v>
      </c>
      <c r="R1224" t="s">
        <v>25547</v>
      </c>
      <c r="S1224" t="s">
        <v>25548</v>
      </c>
      <c r="T1224" t="s">
        <v>25549</v>
      </c>
      <c r="U1224" t="s">
        <v>25550</v>
      </c>
      <c r="V1224" t="s">
        <v>25551</v>
      </c>
      <c r="W1224" t="s">
        <v>25552</v>
      </c>
      <c r="X1224" t="s">
        <v>25553</v>
      </c>
      <c r="Y1224" t="s">
        <v>25554</v>
      </c>
    </row>
    <row r="1225" spans="1:25" x14ac:dyDescent="0.3">
      <c r="A1225">
        <v>61200</v>
      </c>
      <c r="B1225" t="s">
        <v>25555</v>
      </c>
      <c r="C1225" t="s">
        <v>25556</v>
      </c>
      <c r="D1225" t="s">
        <v>25557</v>
      </c>
      <c r="E1225" t="s">
        <v>25558</v>
      </c>
      <c r="F1225" t="s">
        <v>25559</v>
      </c>
      <c r="G1225" t="s">
        <v>25560</v>
      </c>
      <c r="H1225" t="s">
        <v>25561</v>
      </c>
      <c r="I1225" t="s">
        <v>25562</v>
      </c>
      <c r="J1225" t="s">
        <v>25563</v>
      </c>
      <c r="K1225" t="s">
        <v>25564</v>
      </c>
      <c r="L1225" t="s">
        <v>25565</v>
      </c>
      <c r="M1225" t="s">
        <v>25566</v>
      </c>
      <c r="N1225" t="s">
        <v>25567</v>
      </c>
      <c r="O1225">
        <f>-754.509038739954 -50.1810764466277 -729.869592118467</f>
        <v>-1534.5597073050487</v>
      </c>
      <c r="P1225">
        <f>-725.424633716798 -48.1081183797173 -414.693396761804</f>
        <v>-1188.2261488583194</v>
      </c>
      <c r="Q1225">
        <f>-473.391733556226 -39.2045783500575 -351.114917779044</f>
        <v>-863.71122968532745</v>
      </c>
      <c r="R1225" t="s">
        <v>25568</v>
      </c>
      <c r="S1225" t="s">
        <v>25569</v>
      </c>
      <c r="T1225" t="s">
        <v>25570</v>
      </c>
      <c r="U1225" t="s">
        <v>25571</v>
      </c>
      <c r="V1225" t="s">
        <v>25572</v>
      </c>
      <c r="W1225" t="s">
        <v>25573</v>
      </c>
      <c r="X1225" t="s">
        <v>25574</v>
      </c>
      <c r="Y1225" t="s">
        <v>25575</v>
      </c>
    </row>
    <row r="1226" spans="1:25" x14ac:dyDescent="0.3">
      <c r="A1226">
        <v>61250</v>
      </c>
      <c r="B1226" t="s">
        <v>25576</v>
      </c>
      <c r="C1226" t="s">
        <v>25577</v>
      </c>
      <c r="D1226" t="s">
        <v>25578</v>
      </c>
      <c r="E1226" t="s">
        <v>25579</v>
      </c>
      <c r="F1226" t="s">
        <v>25580</v>
      </c>
      <c r="G1226" t="s">
        <v>25581</v>
      </c>
      <c r="H1226" t="s">
        <v>25582</v>
      </c>
      <c r="I1226" t="s">
        <v>25583</v>
      </c>
      <c r="J1226" t="s">
        <v>25584</v>
      </c>
      <c r="K1226" t="s">
        <v>25585</v>
      </c>
      <c r="L1226" t="s">
        <v>25586</v>
      </c>
      <c r="M1226" t="s">
        <v>25587</v>
      </c>
      <c r="N1226" t="s">
        <v>25588</v>
      </c>
      <c r="O1226">
        <f>-753.380961871836 -49.9647604585768 -729.844769591376</f>
        <v>-1533.1904919217889</v>
      </c>
      <c r="P1226">
        <f>-722.843833912741 -47.8464345144048 -414.806459040721</f>
        <v>-1185.4967274678668</v>
      </c>
      <c r="Q1226">
        <f>-470.811660573848 -37.4961411572235 -351.444834303648</f>
        <v>-859.75263603471944</v>
      </c>
      <c r="R1226" t="s">
        <v>25589</v>
      </c>
      <c r="S1226" t="s">
        <v>25590</v>
      </c>
      <c r="T1226" t="s">
        <v>25591</v>
      </c>
      <c r="U1226" t="s">
        <v>25592</v>
      </c>
      <c r="V1226" t="s">
        <v>25593</v>
      </c>
      <c r="W1226" t="s">
        <v>25594</v>
      </c>
      <c r="X1226" t="s">
        <v>25595</v>
      </c>
      <c r="Y1226" t="s">
        <v>25596</v>
      </c>
    </row>
    <row r="1227" spans="1:25" x14ac:dyDescent="0.3">
      <c r="A1227">
        <v>61300</v>
      </c>
      <c r="B1227" t="s">
        <v>25597</v>
      </c>
      <c r="C1227" t="s">
        <v>25598</v>
      </c>
      <c r="D1227" t="s">
        <v>25599</v>
      </c>
      <c r="E1227" t="s">
        <v>25600</v>
      </c>
      <c r="F1227" t="s">
        <v>25601</v>
      </c>
      <c r="G1227" t="s">
        <v>25602</v>
      </c>
      <c r="H1227" t="s">
        <v>25603</v>
      </c>
      <c r="I1227" t="s">
        <v>25604</v>
      </c>
      <c r="J1227" t="s">
        <v>25605</v>
      </c>
      <c r="K1227" t="s">
        <v>25606</v>
      </c>
      <c r="L1227" t="s">
        <v>25607</v>
      </c>
      <c r="M1227" t="s">
        <v>25608</v>
      </c>
      <c r="N1227" t="s">
        <v>25609</v>
      </c>
      <c r="O1227">
        <f>-753.160116245223 -49.9562985758728 -730.16474373812</f>
        <v>-1533.2811585592158</v>
      </c>
      <c r="P1227">
        <f>-722.198670360141 -47.7491611542139 -415.168475129203</f>
        <v>-1185.1163066435579</v>
      </c>
      <c r="Q1227">
        <f>-470.331815763539 -37.0939562668714 -351.202743122617</f>
        <v>-858.62851515302737</v>
      </c>
      <c r="R1227" t="s">
        <v>25610</v>
      </c>
      <c r="S1227" t="s">
        <v>25611</v>
      </c>
      <c r="T1227" t="s">
        <v>25612</v>
      </c>
      <c r="U1227" t="s">
        <v>25613</v>
      </c>
      <c r="V1227" t="s">
        <v>25614</v>
      </c>
      <c r="W1227" t="s">
        <v>25615</v>
      </c>
      <c r="X1227" t="s">
        <v>25616</v>
      </c>
      <c r="Y1227" t="s">
        <v>25617</v>
      </c>
    </row>
    <row r="1228" spans="1:25" x14ac:dyDescent="0.3">
      <c r="A1228">
        <v>61350</v>
      </c>
      <c r="B1228" t="s">
        <v>25618</v>
      </c>
      <c r="C1228" t="s">
        <v>25619</v>
      </c>
      <c r="D1228" t="s">
        <v>25620</v>
      </c>
      <c r="E1228" t="s">
        <v>25621</v>
      </c>
      <c r="F1228" t="s">
        <v>25622</v>
      </c>
      <c r="G1228" t="s">
        <v>25623</v>
      </c>
      <c r="H1228" t="s">
        <v>25624</v>
      </c>
      <c r="I1228" t="s">
        <v>25625</v>
      </c>
      <c r="J1228" t="s">
        <v>25626</v>
      </c>
      <c r="K1228" t="s">
        <v>25627</v>
      </c>
      <c r="L1228" t="s">
        <v>25628</v>
      </c>
      <c r="M1228" t="s">
        <v>25629</v>
      </c>
      <c r="N1228" t="s">
        <v>25630</v>
      </c>
      <c r="O1228">
        <f>-753.432778761238 -48.6990117480552 -731.187183976696</f>
        <v>-1533.3189744859892</v>
      </c>
      <c r="P1228">
        <f>-721.375384688927 -49.0686828904547 -416.293006793878</f>
        <v>-1186.7370743732599</v>
      </c>
      <c r="Q1228">
        <f>-470.184126387055 -36.9433290977963 -349.975596293171</f>
        <v>-857.10305177802229</v>
      </c>
      <c r="R1228" t="s">
        <v>25631</v>
      </c>
      <c r="S1228" t="s">
        <v>25632</v>
      </c>
      <c r="T1228" t="s">
        <v>25633</v>
      </c>
      <c r="U1228" t="s">
        <v>25634</v>
      </c>
      <c r="V1228" t="s">
        <v>25635</v>
      </c>
      <c r="W1228" t="s">
        <v>25636</v>
      </c>
      <c r="X1228" t="s">
        <v>25637</v>
      </c>
      <c r="Y1228" t="s">
        <v>25638</v>
      </c>
    </row>
    <row r="1229" spans="1:25" x14ac:dyDescent="0.3">
      <c r="A1229">
        <v>61400</v>
      </c>
      <c r="B1229" t="s">
        <v>25639</v>
      </c>
      <c r="C1229" t="s">
        <v>25640</v>
      </c>
      <c r="D1229" t="s">
        <v>25641</v>
      </c>
      <c r="E1229" t="s">
        <v>25642</v>
      </c>
      <c r="F1229" t="s">
        <v>25643</v>
      </c>
      <c r="G1229" t="s">
        <v>25644</v>
      </c>
      <c r="H1229" t="s">
        <v>25645</v>
      </c>
      <c r="I1229" t="s">
        <v>25646</v>
      </c>
      <c r="J1229" t="s">
        <v>25647</v>
      </c>
      <c r="K1229" t="s">
        <v>25648</v>
      </c>
      <c r="L1229" t="s">
        <v>25649</v>
      </c>
      <c r="M1229" t="s">
        <v>25650</v>
      </c>
      <c r="N1229" t="s">
        <v>25651</v>
      </c>
      <c r="O1229">
        <f>-753.610058692156 -48.1614679988011 -731.496754736003</f>
        <v>-1533.2682814269601</v>
      </c>
      <c r="P1229">
        <f>-721.516757751592 -49.9091844668187 -416.610877427539</f>
        <v>-1188.0368196459497</v>
      </c>
      <c r="Q1229">
        <f>-470.399336010273 -36.8580938768168 -350.189961020227</f>
        <v>-857.44739090731673</v>
      </c>
      <c r="R1229" t="s">
        <v>25652</v>
      </c>
      <c r="S1229" t="s">
        <v>25653</v>
      </c>
      <c r="T1229" t="s">
        <v>25654</v>
      </c>
      <c r="U1229" t="s">
        <v>25655</v>
      </c>
      <c r="V1229" t="s">
        <v>25656</v>
      </c>
      <c r="W1229" t="s">
        <v>25657</v>
      </c>
      <c r="X1229" t="s">
        <v>25658</v>
      </c>
      <c r="Y1229" t="s">
        <v>25659</v>
      </c>
    </row>
    <row r="1230" spans="1:25" x14ac:dyDescent="0.3">
      <c r="A1230">
        <v>61450</v>
      </c>
      <c r="B1230" t="s">
        <v>25660</v>
      </c>
      <c r="C1230" t="s">
        <v>25661</v>
      </c>
      <c r="D1230" t="s">
        <v>25662</v>
      </c>
      <c r="E1230" t="s">
        <v>25663</v>
      </c>
      <c r="F1230" t="s">
        <v>25664</v>
      </c>
      <c r="G1230" t="s">
        <v>25665</v>
      </c>
      <c r="H1230" t="s">
        <v>25666</v>
      </c>
      <c r="I1230" t="s">
        <v>25667</v>
      </c>
      <c r="J1230" t="s">
        <v>25668</v>
      </c>
      <c r="K1230" t="s">
        <v>25669</v>
      </c>
      <c r="L1230" t="s">
        <v>25670</v>
      </c>
      <c r="M1230" t="s">
        <v>25671</v>
      </c>
      <c r="N1230" t="s">
        <v>25672</v>
      </c>
      <c r="O1230">
        <f>-753.881087496061 -47.3839816063094 -731.622214395728</f>
        <v>-1532.8872834980984</v>
      </c>
      <c r="P1230">
        <f>-720.992545002114 -49.2970808159896 -416.819223121593</f>
        <v>-1187.1088489396966</v>
      </c>
      <c r="Q1230">
        <f>-469.944160980263 -37.3659658016295 -349.928212393811</f>
        <v>-857.23833917570346</v>
      </c>
      <c r="R1230" t="s">
        <v>25673</v>
      </c>
      <c r="S1230" t="s">
        <v>25674</v>
      </c>
      <c r="T1230" t="s">
        <v>25675</v>
      </c>
      <c r="U1230" t="s">
        <v>25676</v>
      </c>
      <c r="V1230" t="s">
        <v>25677</v>
      </c>
      <c r="W1230" t="s">
        <v>25678</v>
      </c>
      <c r="X1230" t="s">
        <v>25679</v>
      </c>
      <c r="Y1230" t="s">
        <v>25680</v>
      </c>
    </row>
    <row r="1231" spans="1:25" x14ac:dyDescent="0.3">
      <c r="A1231">
        <v>61500</v>
      </c>
      <c r="B1231" t="s">
        <v>25681</v>
      </c>
      <c r="C1231" t="s">
        <v>25682</v>
      </c>
      <c r="D1231" t="s">
        <v>25683</v>
      </c>
      <c r="E1231" t="s">
        <v>25684</v>
      </c>
      <c r="F1231" t="s">
        <v>25685</v>
      </c>
      <c r="G1231" t="s">
        <v>25686</v>
      </c>
      <c r="H1231" t="s">
        <v>25687</v>
      </c>
      <c r="I1231" t="s">
        <v>25688</v>
      </c>
      <c r="J1231" t="s">
        <v>25689</v>
      </c>
      <c r="K1231" t="s">
        <v>25690</v>
      </c>
      <c r="L1231" t="s">
        <v>25691</v>
      </c>
      <c r="M1231" t="s">
        <v>25692</v>
      </c>
      <c r="N1231" t="s">
        <v>25693</v>
      </c>
      <c r="O1231">
        <f>-754.127561826144 -47.4043115495601 -731.48652599229</f>
        <v>-1533.0183993679941</v>
      </c>
      <c r="P1231">
        <f>-721.107212926558 -49.2599915138019 -416.697117322977</f>
        <v>-1187.0643217633369</v>
      </c>
      <c r="Q1231">
        <f>-470.185963865184 -38.4636558342668 -349.139719321465</f>
        <v>-857.7893390209158</v>
      </c>
      <c r="R1231" t="s">
        <v>25694</v>
      </c>
      <c r="S1231" t="s">
        <v>25695</v>
      </c>
      <c r="T1231" t="s">
        <v>25696</v>
      </c>
      <c r="U1231" t="s">
        <v>25697</v>
      </c>
      <c r="V1231" t="s">
        <v>25698</v>
      </c>
      <c r="W1231" t="s">
        <v>25699</v>
      </c>
      <c r="X1231" t="s">
        <v>25700</v>
      </c>
      <c r="Y1231" t="s">
        <v>25701</v>
      </c>
    </row>
    <row r="1232" spans="1:25" x14ac:dyDescent="0.3">
      <c r="A1232">
        <v>61550</v>
      </c>
      <c r="B1232" t="s">
        <v>25702</v>
      </c>
      <c r="C1232" t="s">
        <v>25703</v>
      </c>
      <c r="D1232" t="s">
        <v>25704</v>
      </c>
      <c r="E1232" t="s">
        <v>25705</v>
      </c>
      <c r="F1232" t="s">
        <v>25706</v>
      </c>
      <c r="G1232" t="s">
        <v>25707</v>
      </c>
      <c r="H1232" t="s">
        <v>25708</v>
      </c>
      <c r="I1232" t="s">
        <v>25709</v>
      </c>
      <c r="J1232" t="s">
        <v>25710</v>
      </c>
      <c r="K1232" t="s">
        <v>25711</v>
      </c>
      <c r="L1232" t="s">
        <v>25712</v>
      </c>
      <c r="M1232" t="s">
        <v>25713</v>
      </c>
      <c r="N1232" t="s">
        <v>25714</v>
      </c>
      <c r="O1232">
        <f>-754.896864432104 -47.7061378900673 -731.137293377836</f>
        <v>-1533.7402957000074</v>
      </c>
      <c r="P1232">
        <f>-722.404556767808 -49.1383542646931 -416.290654493491</f>
        <v>-1187.8335655259921</v>
      </c>
      <c r="Q1232">
        <f>-471.408593413572 -39.305916597219 -348.863718773524</f>
        <v>-859.578228784315</v>
      </c>
      <c r="R1232" t="s">
        <v>25715</v>
      </c>
      <c r="S1232" t="s">
        <v>25716</v>
      </c>
      <c r="T1232" t="s">
        <v>25717</v>
      </c>
      <c r="U1232" t="s">
        <v>25718</v>
      </c>
      <c r="V1232" t="s">
        <v>25719</v>
      </c>
      <c r="W1232" t="s">
        <v>25720</v>
      </c>
      <c r="X1232" t="s">
        <v>25721</v>
      </c>
      <c r="Y1232" t="s">
        <v>25722</v>
      </c>
    </row>
    <row r="1233" spans="1:25" x14ac:dyDescent="0.3">
      <c r="A1233">
        <v>61600</v>
      </c>
      <c r="B1233" t="s">
        <v>25723</v>
      </c>
      <c r="C1233" t="s">
        <v>25724</v>
      </c>
      <c r="D1233" t="s">
        <v>25725</v>
      </c>
      <c r="E1233" t="s">
        <v>25726</v>
      </c>
      <c r="F1233" t="s">
        <v>25727</v>
      </c>
      <c r="G1233" t="s">
        <v>25728</v>
      </c>
      <c r="H1233" t="s">
        <v>25729</v>
      </c>
      <c r="I1233" t="s">
        <v>25730</v>
      </c>
      <c r="J1233" t="s">
        <v>25731</v>
      </c>
      <c r="K1233" t="s">
        <v>25732</v>
      </c>
      <c r="L1233" t="s">
        <v>25733</v>
      </c>
      <c r="M1233" t="s">
        <v>25734</v>
      </c>
      <c r="N1233" t="s">
        <v>25735</v>
      </c>
      <c r="O1233">
        <f>-755.268462143391 -47.880618392433 -730.950828473631</f>
        <v>-1534.0999090094551</v>
      </c>
      <c r="P1233">
        <f>-722.746315884885 -49.2747189587722 -416.107140163966</f>
        <v>-1188.1281750076232</v>
      </c>
      <c r="Q1233">
        <f>-471.544571837316 -41.5489133659732 -349.174175400152</f>
        <v>-862.2676606034413</v>
      </c>
      <c r="R1233" t="s">
        <v>25736</v>
      </c>
      <c r="S1233" t="s">
        <v>25737</v>
      </c>
      <c r="T1233" t="s">
        <v>25738</v>
      </c>
      <c r="U1233" t="s">
        <v>25739</v>
      </c>
      <c r="V1233" t="s">
        <v>25740</v>
      </c>
      <c r="W1233" t="s">
        <v>25741</v>
      </c>
      <c r="X1233" t="s">
        <v>25742</v>
      </c>
      <c r="Y1233" t="s">
        <v>25743</v>
      </c>
    </row>
    <row r="1234" spans="1:25" x14ac:dyDescent="0.3">
      <c r="A1234">
        <v>61650</v>
      </c>
      <c r="B1234" t="s">
        <v>25744</v>
      </c>
      <c r="C1234" t="s">
        <v>25745</v>
      </c>
      <c r="D1234" t="s">
        <v>25746</v>
      </c>
      <c r="E1234" t="s">
        <v>25747</v>
      </c>
      <c r="F1234" t="s">
        <v>25748</v>
      </c>
      <c r="G1234" t="s">
        <v>25749</v>
      </c>
      <c r="H1234" t="s">
        <v>25750</v>
      </c>
      <c r="I1234" t="s">
        <v>25751</v>
      </c>
      <c r="J1234" t="s">
        <v>25752</v>
      </c>
      <c r="K1234" t="s">
        <v>25753</v>
      </c>
      <c r="L1234" t="s">
        <v>25754</v>
      </c>
      <c r="M1234" t="s">
        <v>25755</v>
      </c>
      <c r="N1234" t="s">
        <v>25756</v>
      </c>
      <c r="O1234">
        <f>-756.378198944356 -47.8715795836854 -730.543040714128</f>
        <v>-1534.7928192421693</v>
      </c>
      <c r="P1234">
        <f>-722.676462688323 -49.4323991864255 -415.824226295377</f>
        <v>-1187.9330881701255</v>
      </c>
      <c r="Q1234">
        <f>-471.571427873673 -44.3011861423079 -348.281691653963</f>
        <v>-864.15430566994382</v>
      </c>
      <c r="R1234" t="s">
        <v>25757</v>
      </c>
      <c r="S1234" t="s">
        <v>25758</v>
      </c>
      <c r="T1234" t="s">
        <v>25759</v>
      </c>
      <c r="U1234" t="s">
        <v>25760</v>
      </c>
      <c r="V1234" t="s">
        <v>25761</v>
      </c>
      <c r="W1234" t="s">
        <v>25762</v>
      </c>
      <c r="X1234" t="s">
        <v>25763</v>
      </c>
      <c r="Y1234" t="s">
        <v>25764</v>
      </c>
    </row>
    <row r="1235" spans="1:25" x14ac:dyDescent="0.3">
      <c r="A1235">
        <v>61700</v>
      </c>
      <c r="B1235" t="s">
        <v>25765</v>
      </c>
      <c r="C1235" t="s">
        <v>25766</v>
      </c>
      <c r="D1235" t="s">
        <v>25767</v>
      </c>
      <c r="E1235" t="s">
        <v>25768</v>
      </c>
      <c r="F1235" t="s">
        <v>25769</v>
      </c>
      <c r="G1235" t="s">
        <v>25770</v>
      </c>
      <c r="H1235" t="s">
        <v>25771</v>
      </c>
      <c r="I1235" t="s">
        <v>25772</v>
      </c>
      <c r="J1235" t="s">
        <v>25773</v>
      </c>
      <c r="K1235" t="s">
        <v>25774</v>
      </c>
      <c r="L1235" t="s">
        <v>25775</v>
      </c>
      <c r="M1235" t="s">
        <v>25776</v>
      </c>
      <c r="N1235" t="s">
        <v>25777</v>
      </c>
      <c r="O1235">
        <f>-756.885606599328 -48.3355314804262 -730.243475457758</f>
        <v>-1535.4646135375122</v>
      </c>
      <c r="P1235">
        <f>-722.315879094728 -49.4579863420086 -415.616886160678</f>
        <v>-1187.3907515974145</v>
      </c>
      <c r="Q1235">
        <f>-471.155979976113 -45.5595661528271 -348.196089702757</f>
        <v>-864.91163583169714</v>
      </c>
      <c r="R1235" t="s">
        <v>25778</v>
      </c>
      <c r="S1235" t="s">
        <v>25779</v>
      </c>
      <c r="T1235" t="s">
        <v>25780</v>
      </c>
      <c r="U1235" t="s">
        <v>25781</v>
      </c>
      <c r="V1235" t="s">
        <v>25782</v>
      </c>
      <c r="W1235" t="s">
        <v>25783</v>
      </c>
      <c r="X1235" t="s">
        <v>25784</v>
      </c>
      <c r="Y1235" t="s">
        <v>25785</v>
      </c>
    </row>
    <row r="1236" spans="1:25" x14ac:dyDescent="0.3">
      <c r="A1236">
        <v>61750</v>
      </c>
      <c r="B1236" t="s">
        <v>25786</v>
      </c>
      <c r="C1236" t="s">
        <v>25787</v>
      </c>
      <c r="D1236" t="s">
        <v>25788</v>
      </c>
      <c r="E1236" t="s">
        <v>25789</v>
      </c>
      <c r="F1236" t="s">
        <v>25790</v>
      </c>
      <c r="G1236" t="s">
        <v>25791</v>
      </c>
      <c r="H1236" t="s">
        <v>25792</v>
      </c>
      <c r="I1236" t="s">
        <v>25793</v>
      </c>
      <c r="J1236" t="s">
        <v>25794</v>
      </c>
      <c r="K1236" t="s">
        <v>25795</v>
      </c>
      <c r="L1236" t="s">
        <v>25796</v>
      </c>
      <c r="M1236" t="s">
        <v>25797</v>
      </c>
      <c r="N1236" t="s">
        <v>25798</v>
      </c>
      <c r="O1236">
        <f>-757.759136030869 -48.7412994434771 -729.801803557153</f>
        <v>-1536.3022390314991</v>
      </c>
      <c r="P1236">
        <f>-721.70095666315 -50.6564402020454 -415.346182317893</f>
        <v>-1187.7035791830883</v>
      </c>
      <c r="Q1236">
        <f>-470.060989479401 -45.3399289101842 -349.839675490736</f>
        <v>-865.24059388032117</v>
      </c>
      <c r="R1236" t="s">
        <v>25799</v>
      </c>
      <c r="S1236" t="s">
        <v>25800</v>
      </c>
      <c r="T1236" t="s">
        <v>25801</v>
      </c>
      <c r="U1236" t="s">
        <v>25802</v>
      </c>
      <c r="V1236" t="s">
        <v>25803</v>
      </c>
      <c r="W1236" t="s">
        <v>25804</v>
      </c>
      <c r="X1236" t="s">
        <v>25805</v>
      </c>
      <c r="Y1236" t="s">
        <v>25806</v>
      </c>
    </row>
    <row r="1237" spans="1:25" x14ac:dyDescent="0.3">
      <c r="A1237">
        <v>61800</v>
      </c>
      <c r="B1237" t="s">
        <v>25807</v>
      </c>
      <c r="C1237" t="s">
        <v>25808</v>
      </c>
      <c r="D1237" t="s">
        <v>25809</v>
      </c>
      <c r="E1237" t="s">
        <v>25810</v>
      </c>
      <c r="F1237" t="s">
        <v>25811</v>
      </c>
      <c r="G1237" t="s">
        <v>25812</v>
      </c>
      <c r="H1237" t="s">
        <v>25813</v>
      </c>
      <c r="I1237" t="s">
        <v>25814</v>
      </c>
      <c r="J1237" t="s">
        <v>25815</v>
      </c>
      <c r="K1237" t="s">
        <v>25816</v>
      </c>
      <c r="L1237" t="s">
        <v>25817</v>
      </c>
      <c r="M1237" t="s">
        <v>25818</v>
      </c>
      <c r="N1237" t="s">
        <v>25819</v>
      </c>
      <c r="O1237">
        <f>-757.996296097738 -49.0541363401458 -729.666997290129</f>
        <v>-1536.7174297280126</v>
      </c>
      <c r="P1237">
        <f>-721.701954802246 -50.9668302194718 -415.238503766181</f>
        <v>-1187.9072887878988</v>
      </c>
      <c r="Q1237">
        <f>-469.549316229597 -44.895759603753 -351.801914615211</f>
        <v>-866.24699044856106</v>
      </c>
      <c r="R1237" t="s">
        <v>25820</v>
      </c>
      <c r="S1237" t="s">
        <v>25821</v>
      </c>
      <c r="T1237" t="s">
        <v>25822</v>
      </c>
      <c r="U1237" t="s">
        <v>25823</v>
      </c>
      <c r="V1237" t="s">
        <v>25824</v>
      </c>
      <c r="W1237" t="s">
        <v>25825</v>
      </c>
      <c r="X1237" t="s">
        <v>25826</v>
      </c>
      <c r="Y1237" t="s">
        <v>25827</v>
      </c>
    </row>
    <row r="1238" spans="1:25" x14ac:dyDescent="0.3">
      <c r="A1238">
        <v>61850</v>
      </c>
      <c r="B1238" t="s">
        <v>25828</v>
      </c>
      <c r="C1238" t="s">
        <v>25829</v>
      </c>
      <c r="D1238" t="s">
        <v>25830</v>
      </c>
      <c r="E1238" t="s">
        <v>25831</v>
      </c>
      <c r="F1238" t="s">
        <v>25832</v>
      </c>
      <c r="G1238" t="s">
        <v>25833</v>
      </c>
      <c r="H1238" t="s">
        <v>25834</v>
      </c>
      <c r="I1238" t="s">
        <v>25835</v>
      </c>
      <c r="J1238" t="s">
        <v>25836</v>
      </c>
      <c r="K1238" t="s">
        <v>25837</v>
      </c>
      <c r="L1238" t="s">
        <v>25838</v>
      </c>
      <c r="M1238" t="s">
        <v>25839</v>
      </c>
      <c r="N1238" t="s">
        <v>25840</v>
      </c>
      <c r="O1238">
        <f>-758.277632293054 -49.9271068520304 -729.217262919527</f>
        <v>-1537.4220020646114</v>
      </c>
      <c r="P1238">
        <f>-720.977520341821 -52.57589031886 -414.91187500928</f>
        <v>-1188.4652856699611</v>
      </c>
      <c r="Q1238">
        <f>-467.585155291685 -46.1238334546038 -356.664645973207</f>
        <v>-870.37363471949584</v>
      </c>
      <c r="R1238" t="s">
        <v>25841</v>
      </c>
      <c r="S1238" t="s">
        <v>25842</v>
      </c>
      <c r="T1238" t="s">
        <v>25843</v>
      </c>
      <c r="U1238" t="s">
        <v>25844</v>
      </c>
      <c r="V1238" t="s">
        <v>25845</v>
      </c>
      <c r="W1238" t="s">
        <v>25846</v>
      </c>
      <c r="X1238" t="s">
        <v>25847</v>
      </c>
      <c r="Y1238" t="s">
        <v>25848</v>
      </c>
    </row>
    <row r="1239" spans="1:25" x14ac:dyDescent="0.3">
      <c r="A1239">
        <v>61900</v>
      </c>
      <c r="B1239" t="s">
        <v>25849</v>
      </c>
      <c r="C1239" t="s">
        <v>25850</v>
      </c>
      <c r="D1239" t="s">
        <v>25851</v>
      </c>
      <c r="E1239" t="s">
        <v>25852</v>
      </c>
      <c r="F1239" t="s">
        <v>25853</v>
      </c>
      <c r="G1239" t="s">
        <v>25854</v>
      </c>
      <c r="H1239" t="s">
        <v>25855</v>
      </c>
      <c r="I1239" t="s">
        <v>25856</v>
      </c>
      <c r="J1239" t="s">
        <v>25857</v>
      </c>
      <c r="K1239" t="s">
        <v>25858</v>
      </c>
      <c r="L1239" t="s">
        <v>25859</v>
      </c>
      <c r="M1239" t="s">
        <v>25860</v>
      </c>
      <c r="N1239" t="s">
        <v>25861</v>
      </c>
      <c r="O1239">
        <f>-758.177346577985 -50.3965259744664 -729.04497393583</f>
        <v>-1537.6188464882812</v>
      </c>
      <c r="P1239">
        <f>-720.530223022133 -53.1584401246844 -414.781938614512</f>
        <v>-1188.4706017613294</v>
      </c>
      <c r="Q1239">
        <f>-466.94262855635 -47.5043064461875 -357.306699715541</f>
        <v>-871.7536347180785</v>
      </c>
      <c r="R1239" t="s">
        <v>25862</v>
      </c>
      <c r="S1239" t="s">
        <v>25863</v>
      </c>
      <c r="T1239" t="s">
        <v>25864</v>
      </c>
      <c r="U1239" t="s">
        <v>25865</v>
      </c>
      <c r="V1239" t="s">
        <v>25866</v>
      </c>
      <c r="W1239" t="s">
        <v>25867</v>
      </c>
      <c r="X1239" t="s">
        <v>25868</v>
      </c>
      <c r="Y1239" t="s">
        <v>25869</v>
      </c>
    </row>
    <row r="1240" spans="1:25" x14ac:dyDescent="0.3">
      <c r="A1240">
        <v>61950</v>
      </c>
      <c r="B1240" t="s">
        <v>25870</v>
      </c>
      <c r="C1240" t="s">
        <v>25871</v>
      </c>
      <c r="D1240" t="s">
        <v>25872</v>
      </c>
      <c r="E1240" t="s">
        <v>25873</v>
      </c>
      <c r="F1240" t="s">
        <v>25874</v>
      </c>
      <c r="G1240" t="s">
        <v>25875</v>
      </c>
      <c r="H1240" t="s">
        <v>25876</v>
      </c>
      <c r="I1240" t="s">
        <v>25877</v>
      </c>
      <c r="J1240" t="s">
        <v>25878</v>
      </c>
      <c r="K1240" t="s">
        <v>25879</v>
      </c>
      <c r="L1240" t="s">
        <v>25880</v>
      </c>
      <c r="M1240" t="s">
        <v>25881</v>
      </c>
      <c r="N1240" t="s">
        <v>25882</v>
      </c>
      <c r="O1240">
        <f>-757.774378016378 -51.113404436122 -728.633957725183</f>
        <v>-1537.5217401776831</v>
      </c>
      <c r="P1240">
        <f>-719.692568386921 -53.2998508181176 -414.4188535678</f>
        <v>-1187.4112727728386</v>
      </c>
      <c r="Q1240">
        <f>-466.390961868833 -46.9866631701952 -355.763453630293</f>
        <v>-869.14107866932113</v>
      </c>
      <c r="R1240" t="s">
        <v>25883</v>
      </c>
      <c r="S1240" t="s">
        <v>25884</v>
      </c>
      <c r="T1240" t="s">
        <v>25885</v>
      </c>
      <c r="U1240" t="s">
        <v>25886</v>
      </c>
      <c r="V1240" t="s">
        <v>25887</v>
      </c>
      <c r="W1240" t="s">
        <v>25888</v>
      </c>
      <c r="X1240" t="s">
        <v>25889</v>
      </c>
      <c r="Y1240" t="s">
        <v>25890</v>
      </c>
    </row>
    <row r="1241" spans="1:25" x14ac:dyDescent="0.3">
      <c r="A1241">
        <v>62000</v>
      </c>
      <c r="B1241" t="s">
        <v>25891</v>
      </c>
      <c r="C1241" t="s">
        <v>25892</v>
      </c>
      <c r="D1241" t="s">
        <v>25893</v>
      </c>
      <c r="E1241" t="s">
        <v>25894</v>
      </c>
      <c r="F1241" t="s">
        <v>25895</v>
      </c>
      <c r="G1241" t="s">
        <v>25896</v>
      </c>
      <c r="H1241" t="s">
        <v>25897</v>
      </c>
      <c r="I1241" t="s">
        <v>25898</v>
      </c>
      <c r="J1241" t="s">
        <v>25899</v>
      </c>
      <c r="K1241" t="s">
        <v>25900</v>
      </c>
      <c r="L1241" t="s">
        <v>25901</v>
      </c>
      <c r="M1241" t="s">
        <v>25902</v>
      </c>
      <c r="N1241" t="s">
        <v>25903</v>
      </c>
      <c r="O1241">
        <f>-757.195602214307 -52.3515264676 -728.101509660403</f>
        <v>-1537.6486383423101</v>
      </c>
      <c r="P1241">
        <f>-719.596186955996 -52.3403262462518 -413.820566676396</f>
        <v>-1185.7570798786439</v>
      </c>
      <c r="Q1241">
        <f>-466.317359655656 -45.7827727485694 -355.093117793606</f>
        <v>-867.19325019783139</v>
      </c>
      <c r="R1241" t="s">
        <v>25904</v>
      </c>
      <c r="S1241" t="s">
        <v>25905</v>
      </c>
      <c r="T1241" t="s">
        <v>25906</v>
      </c>
      <c r="U1241" t="s">
        <v>25907</v>
      </c>
      <c r="V1241" t="s">
        <v>25908</v>
      </c>
      <c r="W1241" t="s">
        <v>25909</v>
      </c>
      <c r="X1241" t="s">
        <v>25910</v>
      </c>
      <c r="Y1241" t="s">
        <v>25911</v>
      </c>
    </row>
    <row r="1242" spans="1:25" x14ac:dyDescent="0.3">
      <c r="A1242">
        <v>62050</v>
      </c>
      <c r="B1242" t="s">
        <v>25912</v>
      </c>
      <c r="C1242" t="s">
        <v>25913</v>
      </c>
      <c r="D1242" t="s">
        <v>25914</v>
      </c>
      <c r="E1242" t="s">
        <v>25915</v>
      </c>
      <c r="F1242" t="s">
        <v>25916</v>
      </c>
      <c r="G1242" t="s">
        <v>25917</v>
      </c>
      <c r="H1242" t="s">
        <v>25918</v>
      </c>
      <c r="I1242" t="s">
        <v>25919</v>
      </c>
      <c r="J1242" t="s">
        <v>25920</v>
      </c>
      <c r="K1242" t="s">
        <v>25921</v>
      </c>
      <c r="L1242" t="s">
        <v>25922</v>
      </c>
      <c r="M1242" t="s">
        <v>25923</v>
      </c>
      <c r="N1242" t="s">
        <v>25924</v>
      </c>
      <c r="O1242">
        <f>-755.98320420578 -53.1949259336525 -727.938057973336</f>
        <v>-1537.1161881127684</v>
      </c>
      <c r="P1242">
        <f>-719.550567877298 -52.5702885913631 -413.520379702638</f>
        <v>-1185.6412361712992</v>
      </c>
      <c r="Q1242">
        <f>-466.800246761512 -44.0418147299551 -352.802801279558</f>
        <v>-863.64486277102515</v>
      </c>
      <c r="R1242" t="s">
        <v>25925</v>
      </c>
      <c r="S1242" t="s">
        <v>25926</v>
      </c>
      <c r="T1242" t="s">
        <v>25927</v>
      </c>
      <c r="U1242" t="s">
        <v>25928</v>
      </c>
      <c r="V1242" t="s">
        <v>25929</v>
      </c>
      <c r="W1242" t="s">
        <v>25930</v>
      </c>
      <c r="X1242" t="s">
        <v>25931</v>
      </c>
      <c r="Y1242" t="s">
        <v>25932</v>
      </c>
    </row>
    <row r="1243" spans="1:25" x14ac:dyDescent="0.3">
      <c r="A1243">
        <v>62100</v>
      </c>
      <c r="B1243" t="s">
        <v>25933</v>
      </c>
      <c r="C1243" t="s">
        <v>25934</v>
      </c>
      <c r="D1243" t="s">
        <v>25935</v>
      </c>
      <c r="E1243" t="s">
        <v>25936</v>
      </c>
      <c r="F1243" t="s">
        <v>25937</v>
      </c>
      <c r="G1243" t="s">
        <v>25938</v>
      </c>
      <c r="H1243" t="s">
        <v>25939</v>
      </c>
      <c r="I1243" t="s">
        <v>25940</v>
      </c>
      <c r="J1243" t="s">
        <v>25941</v>
      </c>
      <c r="K1243" t="s">
        <v>25942</v>
      </c>
      <c r="L1243" t="s">
        <v>25943</v>
      </c>
      <c r="M1243" t="s">
        <v>25944</v>
      </c>
      <c r="N1243" t="s">
        <v>25945</v>
      </c>
      <c r="O1243">
        <f>-755.350621359159 -53.7749418306041 -727.854488830253</f>
        <v>-1536.980052020016</v>
      </c>
      <c r="P1243">
        <f>-719.862681242354 -51.5546208659064 -413.335968356968</f>
        <v>-1184.7532704652285</v>
      </c>
      <c r="Q1243">
        <f>-467.533181204126 -41.392889669926 -351.137918395492</f>
        <v>-860.06398926954398</v>
      </c>
      <c r="R1243" t="s">
        <v>25946</v>
      </c>
      <c r="S1243" t="s">
        <v>25947</v>
      </c>
      <c r="T1243" t="s">
        <v>25948</v>
      </c>
      <c r="U1243" t="s">
        <v>25949</v>
      </c>
      <c r="V1243" t="s">
        <v>25950</v>
      </c>
      <c r="W1243" t="s">
        <v>25951</v>
      </c>
      <c r="X1243" t="s">
        <v>25952</v>
      </c>
      <c r="Y1243" t="s">
        <v>25953</v>
      </c>
    </row>
    <row r="1244" spans="1:25" x14ac:dyDescent="0.3">
      <c r="A1244">
        <v>62150</v>
      </c>
      <c r="B1244" t="s">
        <v>25954</v>
      </c>
      <c r="C1244" t="s">
        <v>25955</v>
      </c>
      <c r="D1244" t="s">
        <v>25956</v>
      </c>
      <c r="E1244" t="s">
        <v>25957</v>
      </c>
      <c r="F1244" t="s">
        <v>25958</v>
      </c>
      <c r="G1244" t="s">
        <v>25959</v>
      </c>
      <c r="H1244" t="s">
        <v>25960</v>
      </c>
      <c r="I1244" t="s">
        <v>25961</v>
      </c>
      <c r="J1244" t="s">
        <v>25962</v>
      </c>
      <c r="K1244" t="s">
        <v>25963</v>
      </c>
      <c r="L1244" t="s">
        <v>25964</v>
      </c>
      <c r="M1244" t="s">
        <v>25965</v>
      </c>
      <c r="N1244" t="s">
        <v>25966</v>
      </c>
      <c r="O1244">
        <f>-754.337486642552 -55.2974073418261 -727.488868035225</f>
        <v>-1537.123762019603</v>
      </c>
      <c r="P1244">
        <f>-720.429038665646 -50.4292551242334 -412.826091696003</f>
        <v>-1183.6843854858823</v>
      </c>
      <c r="Q1244">
        <f>-469.16945533709 -36.8470449941967 -347.052585897461</f>
        <v>-853.06908622874766</v>
      </c>
      <c r="R1244" t="s">
        <v>25967</v>
      </c>
      <c r="S1244" t="s">
        <v>25968</v>
      </c>
      <c r="T1244" t="s">
        <v>25969</v>
      </c>
      <c r="U1244" t="s">
        <v>25970</v>
      </c>
      <c r="V1244" t="s">
        <v>25971</v>
      </c>
      <c r="W1244" t="s">
        <v>25972</v>
      </c>
      <c r="X1244" t="s">
        <v>25973</v>
      </c>
      <c r="Y1244" t="s">
        <v>25974</v>
      </c>
    </row>
    <row r="1245" spans="1:25" x14ac:dyDescent="0.3">
      <c r="A1245">
        <v>62200</v>
      </c>
      <c r="B1245" t="s">
        <v>25975</v>
      </c>
      <c r="C1245" t="s">
        <v>25976</v>
      </c>
      <c r="D1245" t="s">
        <v>25977</v>
      </c>
      <c r="E1245" t="s">
        <v>25978</v>
      </c>
      <c r="F1245" t="s">
        <v>25979</v>
      </c>
      <c r="G1245" t="s">
        <v>25980</v>
      </c>
      <c r="H1245" t="s">
        <v>25981</v>
      </c>
      <c r="I1245" t="s">
        <v>25982</v>
      </c>
      <c r="J1245" t="s">
        <v>25983</v>
      </c>
      <c r="K1245" t="s">
        <v>25984</v>
      </c>
      <c r="L1245" t="s">
        <v>25985</v>
      </c>
      <c r="M1245" t="s">
        <v>25986</v>
      </c>
      <c r="N1245" t="s">
        <v>25987</v>
      </c>
      <c r="O1245">
        <f>-753.829638692212 -56.0746462431594 -727.293615704707</f>
        <v>-1537.1979006400784</v>
      </c>
      <c r="P1245">
        <f>-720.267101589667 -49.8932466174917 -412.616723105236</f>
        <v>-1182.7770713123948</v>
      </c>
      <c r="Q1245">
        <f>-469.507139148659 -34.9484046345951 -345.250875750227</f>
        <v>-849.70641953348104</v>
      </c>
      <c r="R1245" t="s">
        <v>25988</v>
      </c>
      <c r="S1245" t="s">
        <v>25989</v>
      </c>
      <c r="T1245" t="s">
        <v>25990</v>
      </c>
      <c r="U1245" t="s">
        <v>25991</v>
      </c>
      <c r="V1245" t="s">
        <v>25992</v>
      </c>
      <c r="W1245" t="s">
        <v>25993</v>
      </c>
      <c r="X1245" t="s">
        <v>25994</v>
      </c>
      <c r="Y1245" t="s">
        <v>25995</v>
      </c>
    </row>
    <row r="1246" spans="1:25" x14ac:dyDescent="0.3">
      <c r="A1246">
        <v>62250</v>
      </c>
      <c r="B1246" t="s">
        <v>25996</v>
      </c>
      <c r="C1246" t="s">
        <v>25997</v>
      </c>
      <c r="D1246" t="s">
        <v>25998</v>
      </c>
      <c r="E1246" t="s">
        <v>25999</v>
      </c>
      <c r="F1246" t="s">
        <v>26000</v>
      </c>
      <c r="G1246" t="s">
        <v>26001</v>
      </c>
      <c r="H1246" t="s">
        <v>26002</v>
      </c>
      <c r="I1246" t="s">
        <v>26003</v>
      </c>
      <c r="J1246" t="s">
        <v>26004</v>
      </c>
      <c r="K1246" t="s">
        <v>26005</v>
      </c>
      <c r="L1246" t="s">
        <v>26006</v>
      </c>
      <c r="M1246" t="s">
        <v>26007</v>
      </c>
      <c r="N1246" t="s">
        <v>26008</v>
      </c>
      <c r="O1246">
        <f>-752.658929717946 -57.6288902277961 -726.82276211912</f>
        <v>-1537.110582064862</v>
      </c>
      <c r="P1246">
        <f>-720.521543694453 -48.8005902656482 -412.060377153666</f>
        <v>-1181.3825111137674</v>
      </c>
      <c r="Q1246">
        <f>-470.569860626981 -31.1481782199746 -342.38552857151</f>
        <v>-844.10356741846567</v>
      </c>
      <c r="R1246" t="s">
        <v>26009</v>
      </c>
      <c r="S1246" t="s">
        <v>26010</v>
      </c>
      <c r="T1246" t="s">
        <v>26011</v>
      </c>
      <c r="U1246" t="s">
        <v>26012</v>
      </c>
      <c r="V1246" t="s">
        <v>26013</v>
      </c>
      <c r="W1246" t="s">
        <v>26014</v>
      </c>
      <c r="X1246" t="s">
        <v>26015</v>
      </c>
      <c r="Y1246" t="s">
        <v>26016</v>
      </c>
    </row>
    <row r="1247" spans="1:25" x14ac:dyDescent="0.3">
      <c r="A1247">
        <v>62300</v>
      </c>
      <c r="B1247" t="s">
        <v>26017</v>
      </c>
      <c r="C1247" t="s">
        <v>26018</v>
      </c>
      <c r="D1247" t="s">
        <v>26019</v>
      </c>
      <c r="E1247" t="s">
        <v>26020</v>
      </c>
      <c r="F1247" t="s">
        <v>26021</v>
      </c>
      <c r="G1247" t="s">
        <v>26022</v>
      </c>
      <c r="H1247" t="s">
        <v>26023</v>
      </c>
      <c r="I1247" t="s">
        <v>26024</v>
      </c>
      <c r="J1247" t="s">
        <v>26025</v>
      </c>
      <c r="K1247" t="s">
        <v>26026</v>
      </c>
      <c r="L1247" t="s">
        <v>26027</v>
      </c>
      <c r="M1247" t="s">
        <v>26028</v>
      </c>
      <c r="N1247" t="s">
        <v>26029</v>
      </c>
      <c r="O1247">
        <f>-752.335349040032 -58.269504207829 -726.591906160837</f>
        <v>-1537.196759408698</v>
      </c>
      <c r="P1247">
        <f>-720.926199749251 -49.1016484191434 -411.765568721871</f>
        <v>-1181.7934168902655</v>
      </c>
      <c r="Q1247">
        <f>-470.797571890598 -30.6766721481492 -342.93107790002</f>
        <v>-844.4053219387672</v>
      </c>
      <c r="R1247" t="s">
        <v>26030</v>
      </c>
      <c r="S1247" t="s">
        <v>26031</v>
      </c>
      <c r="T1247" t="s">
        <v>26032</v>
      </c>
      <c r="U1247" t="s">
        <v>26033</v>
      </c>
      <c r="V1247" t="s">
        <v>26034</v>
      </c>
      <c r="W1247" t="s">
        <v>26035</v>
      </c>
      <c r="X1247" t="s">
        <v>26036</v>
      </c>
      <c r="Y1247" t="s">
        <v>26037</v>
      </c>
    </row>
    <row r="1248" spans="1:25" x14ac:dyDescent="0.3">
      <c r="A1248">
        <v>62350</v>
      </c>
      <c r="B1248" t="s">
        <v>26038</v>
      </c>
      <c r="C1248" t="s">
        <v>26039</v>
      </c>
      <c r="D1248" t="s">
        <v>26040</v>
      </c>
      <c r="E1248" t="s">
        <v>26041</v>
      </c>
      <c r="F1248" t="s">
        <v>26042</v>
      </c>
      <c r="G1248" t="s">
        <v>26043</v>
      </c>
      <c r="H1248" t="s">
        <v>26044</v>
      </c>
      <c r="I1248" t="s">
        <v>26045</v>
      </c>
      <c r="J1248" t="s">
        <v>26046</v>
      </c>
      <c r="K1248" t="s">
        <v>26047</v>
      </c>
      <c r="L1248" t="s">
        <v>26048</v>
      </c>
      <c r="M1248" t="s">
        <v>26049</v>
      </c>
      <c r="N1248" t="s">
        <v>26050</v>
      </c>
      <c r="O1248">
        <f>-752.301608666894 -58.4370700211596 -726.373222555242</f>
        <v>-1537.1119012432955</v>
      </c>
      <c r="P1248">
        <f>-719.70362259223 -50.1870585307081 -411.642504821479</f>
        <v>-1181.533185944417</v>
      </c>
      <c r="Q1248">
        <f>-468.865335791883 -33.7994422882714 -344.90658333141</f>
        <v>-847.57136141156434</v>
      </c>
      <c r="R1248" t="s">
        <v>26051</v>
      </c>
      <c r="S1248" t="s">
        <v>26052</v>
      </c>
      <c r="T1248" t="s">
        <v>26053</v>
      </c>
      <c r="U1248" t="s">
        <v>26054</v>
      </c>
      <c r="V1248" t="s">
        <v>26055</v>
      </c>
      <c r="W1248" t="s">
        <v>26056</v>
      </c>
      <c r="X1248" t="s">
        <v>26057</v>
      </c>
      <c r="Y1248" t="s">
        <v>26058</v>
      </c>
    </row>
    <row r="1249" spans="1:25" x14ac:dyDescent="0.3">
      <c r="A1249">
        <v>62400</v>
      </c>
      <c r="B1249" t="s">
        <v>26059</v>
      </c>
      <c r="C1249" t="s">
        <v>26060</v>
      </c>
      <c r="D1249" t="s">
        <v>26061</v>
      </c>
      <c r="E1249" t="s">
        <v>26062</v>
      </c>
      <c r="F1249" t="s">
        <v>26063</v>
      </c>
      <c r="G1249" t="s">
        <v>26064</v>
      </c>
      <c r="H1249" t="s">
        <v>26065</v>
      </c>
      <c r="I1249" t="s">
        <v>26066</v>
      </c>
      <c r="J1249" t="s">
        <v>26067</v>
      </c>
      <c r="K1249" t="s">
        <v>26068</v>
      </c>
      <c r="L1249" t="s">
        <v>26069</v>
      </c>
      <c r="M1249" t="s">
        <v>26070</v>
      </c>
      <c r="N1249" t="s">
        <v>26071</v>
      </c>
      <c r="O1249">
        <f>-752.391703717791 -58.6104964446533 -726.311225711207</f>
        <v>-1537.3134258736513</v>
      </c>
      <c r="P1249">
        <f>-719.455433688514 -51.1814624018889 -411.595134463336</f>
        <v>-1182.2320305537389</v>
      </c>
      <c r="Q1249">
        <f>-468.595197619232 -35.039810706631 -344.881954883298</f>
        <v>-848.51696320916108</v>
      </c>
      <c r="R1249" t="s">
        <v>26072</v>
      </c>
      <c r="S1249" t="s">
        <v>26073</v>
      </c>
      <c r="T1249" t="s">
        <v>26074</v>
      </c>
      <c r="U1249" t="s">
        <v>26075</v>
      </c>
      <c r="V1249" t="s">
        <v>26076</v>
      </c>
      <c r="W1249" t="s">
        <v>26077</v>
      </c>
      <c r="X1249" t="s">
        <v>26078</v>
      </c>
      <c r="Y1249" t="s">
        <v>26079</v>
      </c>
    </row>
    <row r="1250" spans="1:25" x14ac:dyDescent="0.3">
      <c r="A1250">
        <v>62450</v>
      </c>
      <c r="B1250" t="s">
        <v>26080</v>
      </c>
      <c r="C1250" t="s">
        <v>26081</v>
      </c>
      <c r="D1250" t="s">
        <v>26082</v>
      </c>
      <c r="E1250" t="s">
        <v>26083</v>
      </c>
      <c r="F1250" t="s">
        <v>26084</v>
      </c>
      <c r="G1250" t="s">
        <v>26085</v>
      </c>
      <c r="H1250" t="s">
        <v>26086</v>
      </c>
      <c r="I1250" t="s">
        <v>26087</v>
      </c>
      <c r="J1250" t="s">
        <v>26088</v>
      </c>
      <c r="K1250" t="s">
        <v>26089</v>
      </c>
      <c r="L1250" t="s">
        <v>26090</v>
      </c>
      <c r="M1250" t="s">
        <v>26091</v>
      </c>
      <c r="N1250" t="s">
        <v>26092</v>
      </c>
      <c r="O1250">
        <f>-752.18081552285 -58.9524267088034 -726.019456237085</f>
        <v>-1537.1526984687384</v>
      </c>
      <c r="P1250">
        <f>-718.436145050744 -50.2342027977134 -411.42197579183</f>
        <v>-1180.0923236402873</v>
      </c>
      <c r="Q1250">
        <f>-468.106899983703 -35.2399974136595 -342.483862491442</f>
        <v>-845.83075988880455</v>
      </c>
      <c r="R1250" t="s">
        <v>26093</v>
      </c>
      <c r="S1250" t="s">
        <v>26094</v>
      </c>
      <c r="T1250" t="s">
        <v>26095</v>
      </c>
      <c r="U1250" t="s">
        <v>26096</v>
      </c>
      <c r="V1250" t="s">
        <v>26097</v>
      </c>
      <c r="W1250" t="s">
        <v>26098</v>
      </c>
      <c r="X1250" t="s">
        <v>26099</v>
      </c>
      <c r="Y1250" t="s">
        <v>26100</v>
      </c>
    </row>
    <row r="1251" spans="1:25" x14ac:dyDescent="0.3">
      <c r="A1251">
        <v>62500</v>
      </c>
      <c r="B1251" t="s">
        <v>26101</v>
      </c>
      <c r="C1251" t="s">
        <v>26102</v>
      </c>
      <c r="D1251" t="s">
        <v>26103</v>
      </c>
      <c r="E1251" t="s">
        <v>26104</v>
      </c>
      <c r="F1251" t="s">
        <v>26105</v>
      </c>
      <c r="G1251" t="s">
        <v>26106</v>
      </c>
      <c r="H1251" t="s">
        <v>26107</v>
      </c>
      <c r="I1251" t="s">
        <v>26108</v>
      </c>
      <c r="J1251" t="s">
        <v>26109</v>
      </c>
      <c r="K1251" t="s">
        <v>26110</v>
      </c>
      <c r="L1251" t="s">
        <v>26111</v>
      </c>
      <c r="M1251" t="s">
        <v>26112</v>
      </c>
      <c r="N1251" t="s">
        <v>26113</v>
      </c>
      <c r="O1251">
        <f>-751.760240744061 -59.2902007918369 -725.856441084314</f>
        <v>-1536.9068826202119</v>
      </c>
      <c r="P1251">
        <f>-717.382987281781 -50.9546909731728 -411.317295333644</f>
        <v>-1179.6549735885978</v>
      </c>
      <c r="Q1251">
        <f>-467.502197659778 -35.4907671643839 -340.872028315351</f>
        <v>-843.86499313951288</v>
      </c>
      <c r="R1251" t="s">
        <v>26114</v>
      </c>
      <c r="S1251" t="s">
        <v>26115</v>
      </c>
      <c r="T1251" t="s">
        <v>26116</v>
      </c>
      <c r="U1251" t="s">
        <v>26117</v>
      </c>
      <c r="V1251" t="s">
        <v>26118</v>
      </c>
      <c r="W1251" t="s">
        <v>26119</v>
      </c>
      <c r="X1251" t="s">
        <v>26120</v>
      </c>
      <c r="Y1251" t="s">
        <v>26121</v>
      </c>
    </row>
    <row r="1252" spans="1:25" x14ac:dyDescent="0.3">
      <c r="A1252">
        <v>62550</v>
      </c>
      <c r="B1252" t="s">
        <v>26122</v>
      </c>
      <c r="C1252" t="s">
        <v>26123</v>
      </c>
      <c r="D1252" t="s">
        <v>26124</v>
      </c>
      <c r="E1252" t="s">
        <v>26125</v>
      </c>
      <c r="F1252" t="s">
        <v>26126</v>
      </c>
      <c r="G1252" t="s">
        <v>26127</v>
      </c>
      <c r="H1252" t="s">
        <v>26128</v>
      </c>
      <c r="I1252" t="s">
        <v>26129</v>
      </c>
      <c r="J1252" t="s">
        <v>26130</v>
      </c>
      <c r="K1252" t="s">
        <v>26131</v>
      </c>
      <c r="L1252" t="s">
        <v>26132</v>
      </c>
      <c r="M1252" t="s">
        <v>26133</v>
      </c>
      <c r="N1252" t="s">
        <v>26134</v>
      </c>
      <c r="O1252">
        <f>-750.665339687323 -60.0660009257135 -725.725966547444</f>
        <v>-1536.4573071604805</v>
      </c>
      <c r="P1252">
        <f>-716.555811032874 -50.7982565192156 -411.183729274864</f>
        <v>-1178.5377968269536</v>
      </c>
      <c r="Q1252">
        <f>-466.83024992777 -33.2342544006228 -340.680573928091</f>
        <v>-840.74507825648379</v>
      </c>
      <c r="R1252" t="s">
        <v>26135</v>
      </c>
      <c r="S1252" t="s">
        <v>26136</v>
      </c>
      <c r="T1252" t="s">
        <v>26137</v>
      </c>
      <c r="U1252" t="s">
        <v>26138</v>
      </c>
      <c r="V1252" t="s">
        <v>26139</v>
      </c>
      <c r="W1252" t="s">
        <v>26140</v>
      </c>
      <c r="X1252" t="s">
        <v>26141</v>
      </c>
      <c r="Y1252" t="s">
        <v>26142</v>
      </c>
    </row>
    <row r="1253" spans="1:25" x14ac:dyDescent="0.3">
      <c r="A1253">
        <v>62600</v>
      </c>
      <c r="B1253" t="s">
        <v>26143</v>
      </c>
      <c r="C1253" t="s">
        <v>26144</v>
      </c>
      <c r="D1253" t="s">
        <v>26145</v>
      </c>
      <c r="E1253" t="s">
        <v>26146</v>
      </c>
      <c r="F1253" t="s">
        <v>26147</v>
      </c>
      <c r="G1253" t="s">
        <v>26148</v>
      </c>
      <c r="H1253" t="s">
        <v>26149</v>
      </c>
      <c r="I1253" t="s">
        <v>26150</v>
      </c>
      <c r="J1253" t="s">
        <v>26151</v>
      </c>
      <c r="K1253" t="s">
        <v>26152</v>
      </c>
      <c r="L1253" t="s">
        <v>26153</v>
      </c>
      <c r="M1253" t="s">
        <v>26154</v>
      </c>
      <c r="N1253" t="s">
        <v>26155</v>
      </c>
      <c r="O1253">
        <f>-750.395364463523 -60.4914785013816 -725.513273356208</f>
        <v>-1536.4001163211126</v>
      </c>
      <c r="P1253">
        <f>-716.332194192672 -50.5887096518798 -410.985407279037</f>
        <v>-1177.9063111235887</v>
      </c>
      <c r="Q1253">
        <f>-466.690554108755 -32.4767412054314 -340.324208772548</f>
        <v>-839.49150408673438</v>
      </c>
      <c r="R1253" t="s">
        <v>26156</v>
      </c>
      <c r="S1253" t="s">
        <v>26157</v>
      </c>
      <c r="T1253" t="s">
        <v>26158</v>
      </c>
      <c r="U1253" t="s">
        <v>26159</v>
      </c>
      <c r="V1253" t="s">
        <v>26160</v>
      </c>
      <c r="W1253" t="s">
        <v>26161</v>
      </c>
      <c r="X1253" t="s">
        <v>26162</v>
      </c>
      <c r="Y1253" t="s">
        <v>26163</v>
      </c>
    </row>
    <row r="1254" spans="1:25" x14ac:dyDescent="0.3">
      <c r="A1254">
        <v>62650</v>
      </c>
      <c r="B1254" t="s">
        <v>26164</v>
      </c>
      <c r="C1254" t="s">
        <v>26165</v>
      </c>
      <c r="D1254" t="s">
        <v>26166</v>
      </c>
      <c r="E1254" t="s">
        <v>26167</v>
      </c>
      <c r="F1254" t="s">
        <v>26168</v>
      </c>
      <c r="G1254" t="s">
        <v>26169</v>
      </c>
      <c r="H1254" t="s">
        <v>26170</v>
      </c>
      <c r="I1254" t="s">
        <v>26171</v>
      </c>
      <c r="J1254" t="s">
        <v>26172</v>
      </c>
      <c r="K1254" t="s">
        <v>26173</v>
      </c>
      <c r="L1254" t="s">
        <v>26174</v>
      </c>
      <c r="M1254" t="s">
        <v>26175</v>
      </c>
      <c r="N1254" t="s">
        <v>26176</v>
      </c>
      <c r="O1254">
        <f>-749.769439794652 -61.7852222063405 -725.155711818065</f>
        <v>-1536.7103738190576</v>
      </c>
      <c r="P1254">
        <f>-717.552160210243 -50.7192991749041 -410.472247731244</f>
        <v>-1178.7437071163911</v>
      </c>
      <c r="Q1254">
        <f>-468.623861934992 -29.3254831116644 -338.229012904584</f>
        <v>-836.17835795124051</v>
      </c>
      <c r="R1254" t="s">
        <v>26177</v>
      </c>
      <c r="S1254" t="s">
        <v>26178</v>
      </c>
      <c r="T1254" t="s">
        <v>26179</v>
      </c>
      <c r="U1254" t="s">
        <v>26180</v>
      </c>
      <c r="V1254" t="s">
        <v>26181</v>
      </c>
      <c r="W1254" t="s">
        <v>26182</v>
      </c>
      <c r="X1254" t="s">
        <v>26183</v>
      </c>
      <c r="Y1254" t="s">
        <v>26184</v>
      </c>
    </row>
    <row r="1255" spans="1:25" x14ac:dyDescent="0.3">
      <c r="A1255">
        <v>62700</v>
      </c>
      <c r="B1255" t="s">
        <v>26185</v>
      </c>
      <c r="C1255" t="s">
        <v>26186</v>
      </c>
      <c r="D1255" t="s">
        <v>26187</v>
      </c>
      <c r="E1255" t="s">
        <v>26188</v>
      </c>
      <c r="F1255" t="s">
        <v>26189</v>
      </c>
      <c r="G1255" t="s">
        <v>26190</v>
      </c>
      <c r="H1255" t="s">
        <v>26191</v>
      </c>
      <c r="I1255" t="s">
        <v>26192</v>
      </c>
      <c r="J1255" t="s">
        <v>26193</v>
      </c>
      <c r="K1255" t="s">
        <v>26194</v>
      </c>
      <c r="L1255" t="s">
        <v>26195</v>
      </c>
      <c r="M1255" t="s">
        <v>26196</v>
      </c>
      <c r="N1255" t="s">
        <v>26197</v>
      </c>
      <c r="O1255">
        <f>-749.460665818523 -62.2077742077361 -725.097416582117</f>
        <v>-1536.765856608376</v>
      </c>
      <c r="P1255">
        <f>-718.15108540198 -50.5418232180925 -410.343856619744</f>
        <v>-1179.0367652398165</v>
      </c>
      <c r="Q1255">
        <f>-469.41825684891 -27.3883835256822 -337.970092790453</f>
        <v>-834.77673316504524</v>
      </c>
      <c r="R1255" t="s">
        <v>26198</v>
      </c>
      <c r="S1255" t="s">
        <v>26199</v>
      </c>
      <c r="T1255" t="s">
        <v>26200</v>
      </c>
      <c r="U1255" t="s">
        <v>26201</v>
      </c>
      <c r="V1255" t="s">
        <v>26202</v>
      </c>
      <c r="W1255" t="s">
        <v>26203</v>
      </c>
      <c r="X1255" t="s">
        <v>26204</v>
      </c>
      <c r="Y1255" t="s">
        <v>26205</v>
      </c>
    </row>
    <row r="1256" spans="1:25" x14ac:dyDescent="0.3">
      <c r="A1256">
        <v>62750</v>
      </c>
      <c r="B1256" t="s">
        <v>26206</v>
      </c>
      <c r="C1256" t="s">
        <v>26207</v>
      </c>
      <c r="D1256" t="s">
        <v>26208</v>
      </c>
      <c r="E1256" t="s">
        <v>26209</v>
      </c>
      <c r="F1256" t="s">
        <v>26210</v>
      </c>
      <c r="G1256" t="s">
        <v>26211</v>
      </c>
      <c r="H1256" t="s">
        <v>26212</v>
      </c>
      <c r="I1256" t="s">
        <v>26213</v>
      </c>
      <c r="J1256" t="s">
        <v>26214</v>
      </c>
      <c r="K1256" t="s">
        <v>26215</v>
      </c>
      <c r="L1256" t="s">
        <v>26216</v>
      </c>
      <c r="M1256" t="s">
        <v>26217</v>
      </c>
      <c r="N1256" t="s">
        <v>26218</v>
      </c>
      <c r="O1256">
        <f>-748.929098673944 -62.6195135708078 -725.172039396488</f>
        <v>-1536.7206516412398</v>
      </c>
      <c r="P1256">
        <f>-717.948420784337 -50.0129246108545 -410.422252399611</f>
        <v>-1178.3835977948024</v>
      </c>
      <c r="Q1256">
        <f>-469.585178700451 -24.2759089055012 -337.652928225397</f>
        <v>-831.51401583134918</v>
      </c>
      <c r="R1256" t="s">
        <v>26219</v>
      </c>
      <c r="S1256" t="s">
        <v>26220</v>
      </c>
      <c r="T1256" t="s">
        <v>26221</v>
      </c>
      <c r="U1256" t="s">
        <v>26222</v>
      </c>
      <c r="V1256" t="s">
        <v>26223</v>
      </c>
      <c r="W1256" t="s">
        <v>26224</v>
      </c>
      <c r="X1256" t="s">
        <v>26225</v>
      </c>
      <c r="Y1256" t="s">
        <v>26226</v>
      </c>
    </row>
    <row r="1257" spans="1:25" x14ac:dyDescent="0.3">
      <c r="A1257">
        <v>62800</v>
      </c>
      <c r="B1257" t="s">
        <v>26227</v>
      </c>
      <c r="C1257" t="s">
        <v>26228</v>
      </c>
      <c r="D1257" t="s">
        <v>26229</v>
      </c>
      <c r="E1257" t="s">
        <v>26230</v>
      </c>
      <c r="F1257" t="s">
        <v>26231</v>
      </c>
      <c r="G1257" t="s">
        <v>26232</v>
      </c>
      <c r="H1257" t="s">
        <v>26233</v>
      </c>
      <c r="I1257" t="s">
        <v>26234</v>
      </c>
      <c r="J1257" t="s">
        <v>26235</v>
      </c>
      <c r="K1257" t="s">
        <v>26236</v>
      </c>
      <c r="L1257" t="s">
        <v>26237</v>
      </c>
      <c r="M1257" t="s">
        <v>26238</v>
      </c>
      <c r="N1257" t="s">
        <v>26239</v>
      </c>
      <c r="O1257">
        <f>-748.946456267097 -62.930615466998 -725.095050203059</f>
        <v>-1536.972121937154</v>
      </c>
      <c r="P1257">
        <f>-717.781289998958 -50.0090491337792 -410.376137798744</f>
        <v>-1178.1664769314812</v>
      </c>
      <c r="Q1257">
        <f>-469.388296248243 -23.5240570495521 -337.977872531643</f>
        <v>-830.89022582943812</v>
      </c>
      <c r="R1257" t="s">
        <v>26240</v>
      </c>
      <c r="S1257" t="s">
        <v>26241</v>
      </c>
      <c r="T1257" t="s">
        <v>26242</v>
      </c>
      <c r="U1257" t="s">
        <v>26243</v>
      </c>
      <c r="V1257" t="s">
        <v>26244</v>
      </c>
      <c r="W1257" t="s">
        <v>26245</v>
      </c>
      <c r="X1257" t="s">
        <v>26246</v>
      </c>
      <c r="Y1257" t="s">
        <v>26247</v>
      </c>
    </row>
    <row r="1258" spans="1:25" x14ac:dyDescent="0.3">
      <c r="A1258">
        <v>62850</v>
      </c>
      <c r="B1258" t="s">
        <v>26248</v>
      </c>
      <c r="C1258" t="s">
        <v>26249</v>
      </c>
      <c r="D1258" t="s">
        <v>26250</v>
      </c>
      <c r="E1258" t="s">
        <v>26251</v>
      </c>
      <c r="F1258" t="s">
        <v>26252</v>
      </c>
      <c r="G1258" t="s">
        <v>26253</v>
      </c>
      <c r="H1258" t="s">
        <v>26254</v>
      </c>
      <c r="I1258" t="s">
        <v>26255</v>
      </c>
      <c r="J1258" t="s">
        <v>26256</v>
      </c>
      <c r="K1258" t="s">
        <v>26257</v>
      </c>
      <c r="L1258" t="s">
        <v>26258</v>
      </c>
      <c r="M1258" t="s">
        <v>26259</v>
      </c>
      <c r="N1258" t="s">
        <v>26260</v>
      </c>
      <c r="O1258">
        <f>-749.359047849651 -63.1421831075502 -725.176145672617</f>
        <v>-1537.6773766298184</v>
      </c>
      <c r="P1258">
        <f>-717.468537895383 -50.9674016422048 -410.500146987991</f>
        <v>-1178.9360865255787</v>
      </c>
      <c r="Q1258">
        <f>-468.96485208322 -24.2278099295597 -338.576864224254</f>
        <v>-831.76952623703369</v>
      </c>
      <c r="R1258" t="s">
        <v>26261</v>
      </c>
      <c r="S1258" t="s">
        <v>26262</v>
      </c>
      <c r="T1258" t="s">
        <v>26263</v>
      </c>
      <c r="U1258" t="s">
        <v>26264</v>
      </c>
      <c r="V1258" t="s">
        <v>26265</v>
      </c>
      <c r="W1258" t="s">
        <v>26266</v>
      </c>
      <c r="X1258" t="s">
        <v>26267</v>
      </c>
      <c r="Y1258" t="s">
        <v>26268</v>
      </c>
    </row>
    <row r="1259" spans="1:25" x14ac:dyDescent="0.3">
      <c r="A1259">
        <v>62900</v>
      </c>
      <c r="B1259" t="s">
        <v>26269</v>
      </c>
      <c r="C1259" t="s">
        <v>26270</v>
      </c>
      <c r="D1259" t="s">
        <v>26271</v>
      </c>
      <c r="E1259" t="s">
        <v>26272</v>
      </c>
      <c r="F1259" t="s">
        <v>26273</v>
      </c>
      <c r="G1259" t="s">
        <v>26274</v>
      </c>
      <c r="H1259" t="s">
        <v>26275</v>
      </c>
      <c r="I1259" t="s">
        <v>26276</v>
      </c>
      <c r="J1259" t="s">
        <v>26277</v>
      </c>
      <c r="K1259" t="s">
        <v>26278</v>
      </c>
      <c r="L1259" t="s">
        <v>26279</v>
      </c>
      <c r="M1259" t="s">
        <v>26280</v>
      </c>
      <c r="N1259" t="s">
        <v>26281</v>
      </c>
      <c r="O1259">
        <f>-749.311053087021 -63.1750353159694 -725.230902624793</f>
        <v>-1537.7169910277835</v>
      </c>
      <c r="P1259">
        <f>-717.217418599861 -51.648552782724 -410.551184635166</f>
        <v>-1179.417156017751</v>
      </c>
      <c r="Q1259">
        <f>-468.710339521635 -25.2650295864353 -338.507898805585</f>
        <v>-832.48326791365525</v>
      </c>
      <c r="R1259" t="s">
        <v>26282</v>
      </c>
      <c r="S1259" t="s">
        <v>26283</v>
      </c>
      <c r="T1259" t="s">
        <v>26284</v>
      </c>
      <c r="U1259" t="s">
        <v>26285</v>
      </c>
      <c r="V1259" t="s">
        <v>26286</v>
      </c>
      <c r="W1259" t="s">
        <v>26287</v>
      </c>
      <c r="X1259" t="s">
        <v>26288</v>
      </c>
      <c r="Y1259" t="s">
        <v>26289</v>
      </c>
    </row>
    <row r="1260" spans="1:25" x14ac:dyDescent="0.3">
      <c r="A1260">
        <v>62950</v>
      </c>
      <c r="B1260" t="s">
        <v>26290</v>
      </c>
      <c r="C1260" t="s">
        <v>26291</v>
      </c>
      <c r="D1260" t="s">
        <v>26292</v>
      </c>
      <c r="E1260" t="s">
        <v>26293</v>
      </c>
      <c r="F1260" t="s">
        <v>26294</v>
      </c>
      <c r="G1260" t="s">
        <v>26295</v>
      </c>
      <c r="H1260" t="s">
        <v>26296</v>
      </c>
      <c r="I1260" t="s">
        <v>26297</v>
      </c>
      <c r="J1260" t="s">
        <v>26298</v>
      </c>
      <c r="K1260" t="s">
        <v>26299</v>
      </c>
      <c r="L1260" t="s">
        <v>26300</v>
      </c>
      <c r="M1260" t="s">
        <v>26301</v>
      </c>
      <c r="N1260" t="s">
        <v>26302</v>
      </c>
      <c r="O1260">
        <f>-749.418930240909 -63.5672946065656 -725.105883635719</f>
        <v>-1538.0921084831937</v>
      </c>
      <c r="P1260">
        <f>-717.045104751408 -52.3647061218503 -410.443199709634</f>
        <v>-1179.8530105828922</v>
      </c>
      <c r="Q1260">
        <f>-468.45531211534 -26.7829679372896 -338.396181958647</f>
        <v>-833.63446201127658</v>
      </c>
      <c r="R1260" t="s">
        <v>26303</v>
      </c>
      <c r="S1260" t="s">
        <v>26304</v>
      </c>
      <c r="T1260" t="s">
        <v>26305</v>
      </c>
      <c r="U1260" t="s">
        <v>26306</v>
      </c>
      <c r="V1260" t="s">
        <v>26307</v>
      </c>
      <c r="W1260" t="s">
        <v>26308</v>
      </c>
      <c r="X1260" t="s">
        <v>26309</v>
      </c>
      <c r="Y1260" t="s">
        <v>26310</v>
      </c>
    </row>
    <row r="1261" spans="1:25" x14ac:dyDescent="0.3">
      <c r="A1261">
        <v>63000</v>
      </c>
      <c r="B1261" t="s">
        <v>26311</v>
      </c>
      <c r="C1261" t="s">
        <v>26312</v>
      </c>
      <c r="D1261" t="s">
        <v>26313</v>
      </c>
      <c r="E1261" t="s">
        <v>26314</v>
      </c>
      <c r="F1261" t="s">
        <v>26315</v>
      </c>
      <c r="G1261" t="s">
        <v>26316</v>
      </c>
      <c r="H1261" t="s">
        <v>26317</v>
      </c>
      <c r="I1261" t="s">
        <v>26318</v>
      </c>
      <c r="J1261" t="s">
        <v>26319</v>
      </c>
      <c r="K1261" t="s">
        <v>26320</v>
      </c>
      <c r="L1261" t="s">
        <v>26321</v>
      </c>
      <c r="M1261" t="s">
        <v>26322</v>
      </c>
      <c r="N1261" t="s">
        <v>26323</v>
      </c>
      <c r="O1261">
        <f>-749.343159499721 -63.8601918105853 -725.03149336339</f>
        <v>-1538.2348446736964</v>
      </c>
      <c r="P1261">
        <f>-716.860948170611 -52.5456720503466 -410.384004058845</f>
        <v>-1179.7906242798026</v>
      </c>
      <c r="Q1261">
        <f>-468.275457958385 -27.6630657133683 -338.077727743869</f>
        <v>-834.01625141562226</v>
      </c>
      <c r="R1261" t="s">
        <v>26324</v>
      </c>
      <c r="S1261" t="s">
        <v>26325</v>
      </c>
      <c r="T1261" t="s">
        <v>26326</v>
      </c>
      <c r="U1261" t="s">
        <v>26327</v>
      </c>
      <c r="V1261" t="s">
        <v>26328</v>
      </c>
      <c r="W1261" t="s">
        <v>26329</v>
      </c>
      <c r="X1261" t="s">
        <v>26330</v>
      </c>
      <c r="Y1261" t="s">
        <v>26331</v>
      </c>
    </row>
    <row r="1262" spans="1:25" x14ac:dyDescent="0.3">
      <c r="A1262">
        <v>63050</v>
      </c>
      <c r="B1262" t="s">
        <v>26332</v>
      </c>
      <c r="C1262" t="s">
        <v>26333</v>
      </c>
      <c r="D1262" t="s">
        <v>26334</v>
      </c>
      <c r="E1262" t="s">
        <v>26335</v>
      </c>
      <c r="F1262" t="s">
        <v>26336</v>
      </c>
      <c r="G1262" t="s">
        <v>26337</v>
      </c>
      <c r="H1262" t="s">
        <v>26338</v>
      </c>
      <c r="I1262" t="s">
        <v>26339</v>
      </c>
      <c r="J1262" t="s">
        <v>26340</v>
      </c>
      <c r="K1262" t="s">
        <v>26341</v>
      </c>
      <c r="L1262" t="s">
        <v>26342</v>
      </c>
      <c r="M1262" t="s">
        <v>26343</v>
      </c>
      <c r="N1262" t="s">
        <v>26344</v>
      </c>
      <c r="O1262">
        <f>-749.420756479961 -64.4123365055461 -724.895443145538</f>
        <v>-1538.7285361310451</v>
      </c>
      <c r="P1262">
        <f>-717.522676603904 -52.8179923474052 -410.198330529174</f>
        <v>-1180.5389994804832</v>
      </c>
      <c r="Q1262">
        <f>-468.599566046568 -28.3471702052332 -338.92060940497</f>
        <v>-835.86734565677125</v>
      </c>
      <c r="R1262" t="s">
        <v>26345</v>
      </c>
      <c r="S1262" t="s">
        <v>26346</v>
      </c>
      <c r="T1262" t="s">
        <v>26347</v>
      </c>
      <c r="U1262" t="s">
        <v>26348</v>
      </c>
      <c r="V1262" t="s">
        <v>26349</v>
      </c>
      <c r="W1262" t="s">
        <v>26350</v>
      </c>
      <c r="X1262" t="s">
        <v>26351</v>
      </c>
      <c r="Y1262" t="s">
        <v>26352</v>
      </c>
    </row>
    <row r="1263" spans="1:25" x14ac:dyDescent="0.3">
      <c r="A1263">
        <v>63100</v>
      </c>
      <c r="B1263" t="s">
        <v>26353</v>
      </c>
      <c r="C1263" t="s">
        <v>26354</v>
      </c>
      <c r="D1263" t="s">
        <v>26355</v>
      </c>
      <c r="E1263" t="s">
        <v>26356</v>
      </c>
      <c r="F1263" t="s">
        <v>26357</v>
      </c>
      <c r="G1263" t="s">
        <v>26358</v>
      </c>
      <c r="H1263" t="s">
        <v>26359</v>
      </c>
      <c r="I1263" t="s">
        <v>26360</v>
      </c>
      <c r="J1263" t="s">
        <v>26361</v>
      </c>
      <c r="K1263" t="s">
        <v>26362</v>
      </c>
      <c r="L1263" t="s">
        <v>26363</v>
      </c>
      <c r="M1263" t="s">
        <v>26364</v>
      </c>
      <c r="N1263" t="s">
        <v>26365</v>
      </c>
      <c r="O1263">
        <f>-749.58595490771 -64.4275518217039 -724.944769509731</f>
        <v>-1538.9582762391449</v>
      </c>
      <c r="P1263">
        <f>-717.638650439261 -53.1629447171417 -410.240716407918</f>
        <v>-1181.0423115643207</v>
      </c>
      <c r="Q1263">
        <f>-468.644306003899 -29.1212859165109 -339.065825859175</f>
        <v>-836.83141777958485</v>
      </c>
      <c r="R1263" t="s">
        <v>26366</v>
      </c>
      <c r="S1263" t="s">
        <v>26367</v>
      </c>
      <c r="T1263" t="s">
        <v>26368</v>
      </c>
      <c r="U1263" t="s">
        <v>26369</v>
      </c>
      <c r="V1263" t="s">
        <v>26370</v>
      </c>
      <c r="W1263" t="s">
        <v>26371</v>
      </c>
      <c r="X1263" t="s">
        <v>26372</v>
      </c>
      <c r="Y1263" t="s">
        <v>26373</v>
      </c>
    </row>
    <row r="1264" spans="1:25" x14ac:dyDescent="0.3">
      <c r="A1264">
        <v>63150</v>
      </c>
      <c r="B1264" t="s">
        <v>26374</v>
      </c>
      <c r="C1264" t="s">
        <v>26375</v>
      </c>
      <c r="D1264" t="s">
        <v>26376</v>
      </c>
      <c r="E1264" t="s">
        <v>26377</v>
      </c>
      <c r="F1264" t="s">
        <v>26378</v>
      </c>
      <c r="G1264" t="s">
        <v>26379</v>
      </c>
      <c r="H1264" t="s">
        <v>26380</v>
      </c>
      <c r="I1264" t="s">
        <v>26381</v>
      </c>
      <c r="J1264" t="s">
        <v>26382</v>
      </c>
      <c r="K1264" t="s">
        <v>26383</v>
      </c>
      <c r="L1264" t="s">
        <v>26384</v>
      </c>
      <c r="M1264" t="s">
        <v>26385</v>
      </c>
      <c r="N1264" t="s">
        <v>26386</v>
      </c>
      <c r="O1264">
        <f>-750.27586261614 -64.4542122297587 -724.963874621056</f>
        <v>-1539.6939494669546</v>
      </c>
      <c r="P1264">
        <f>-717.848020056789 -53.5242236507843 -410.297156507142</f>
        <v>-1181.6694002147153</v>
      </c>
      <c r="Q1264">
        <f>-468.792865250905 -29.8091107051064 -339.22564907484</f>
        <v>-837.82762503085132</v>
      </c>
      <c r="R1264" t="s">
        <v>26387</v>
      </c>
      <c r="S1264" t="s">
        <v>26388</v>
      </c>
      <c r="T1264" t="s">
        <v>26389</v>
      </c>
      <c r="U1264" t="s">
        <v>26390</v>
      </c>
      <c r="V1264" t="s">
        <v>26391</v>
      </c>
      <c r="W1264" t="s">
        <v>26392</v>
      </c>
      <c r="X1264" t="s">
        <v>26393</v>
      </c>
      <c r="Y1264" t="s">
        <v>26394</v>
      </c>
    </row>
    <row r="1265" spans="1:25" x14ac:dyDescent="0.3">
      <c r="A1265">
        <v>63200</v>
      </c>
      <c r="B1265" t="s">
        <v>26395</v>
      </c>
      <c r="C1265" t="s">
        <v>26396</v>
      </c>
      <c r="D1265" t="s">
        <v>26397</v>
      </c>
      <c r="E1265" t="s">
        <v>26398</v>
      </c>
      <c r="F1265" t="s">
        <v>26399</v>
      </c>
      <c r="G1265" t="s">
        <v>26400</v>
      </c>
      <c r="H1265" t="s">
        <v>26401</v>
      </c>
      <c r="I1265" t="s">
        <v>26402</v>
      </c>
      <c r="J1265" t="s">
        <v>26403</v>
      </c>
      <c r="K1265" t="s">
        <v>26404</v>
      </c>
      <c r="L1265" t="s">
        <v>26405</v>
      </c>
      <c r="M1265" t="s">
        <v>26406</v>
      </c>
      <c r="N1265" t="s">
        <v>26407</v>
      </c>
      <c r="O1265">
        <f>-750.440302099931 -64.4212076830943 -725.081970838756</f>
        <v>-1539.9434806217814</v>
      </c>
      <c r="P1265">
        <f>-717.742782572236 -53.7176455432186 -410.43527625062</f>
        <v>-1181.8957043660746</v>
      </c>
      <c r="Q1265">
        <f>-468.700000437489 -29.8777683764495 -339.361739372365</f>
        <v>-837.93950818630356</v>
      </c>
      <c r="R1265" t="s">
        <v>26408</v>
      </c>
      <c r="S1265" t="s">
        <v>26409</v>
      </c>
      <c r="T1265" t="s">
        <v>26410</v>
      </c>
      <c r="U1265" t="s">
        <v>26411</v>
      </c>
      <c r="V1265" t="s">
        <v>26412</v>
      </c>
      <c r="W1265" t="s">
        <v>26413</v>
      </c>
      <c r="X1265" t="s">
        <v>26414</v>
      </c>
      <c r="Y1265" t="s">
        <v>26415</v>
      </c>
    </row>
    <row r="1266" spans="1:25" x14ac:dyDescent="0.3">
      <c r="A1266">
        <v>63250</v>
      </c>
      <c r="B1266" t="s">
        <v>26416</v>
      </c>
      <c r="C1266" t="s">
        <v>26417</v>
      </c>
      <c r="D1266" t="s">
        <v>26418</v>
      </c>
      <c r="E1266" t="s">
        <v>26419</v>
      </c>
      <c r="F1266" t="s">
        <v>26420</v>
      </c>
      <c r="G1266" t="s">
        <v>26421</v>
      </c>
      <c r="H1266" t="s">
        <v>26422</v>
      </c>
      <c r="I1266" t="s">
        <v>26423</v>
      </c>
      <c r="J1266" t="s">
        <v>26424</v>
      </c>
      <c r="K1266" t="s">
        <v>26425</v>
      </c>
      <c r="L1266" t="s">
        <v>26426</v>
      </c>
      <c r="M1266" t="s">
        <v>26427</v>
      </c>
      <c r="N1266" t="s">
        <v>26428</v>
      </c>
      <c r="O1266">
        <f>-750.202232046312 -64.2427284667824 -725.439808441939</f>
        <v>-1539.8847689550335</v>
      </c>
      <c r="P1266">
        <f>-718.04822902642 -53.763173658351 -410.729555555834</f>
        <v>-1182.5409582406051</v>
      </c>
      <c r="Q1266">
        <f>-469.033910408017 -29.2848837095587 -339.773730054344</f>
        <v>-838.09252417191965</v>
      </c>
      <c r="R1266" t="s">
        <v>26429</v>
      </c>
      <c r="S1266" t="s">
        <v>26430</v>
      </c>
      <c r="T1266" t="s">
        <v>26431</v>
      </c>
      <c r="U1266" t="s">
        <v>26432</v>
      </c>
      <c r="V1266" t="s">
        <v>26433</v>
      </c>
      <c r="W1266" t="s">
        <v>26434</v>
      </c>
      <c r="X1266" t="s">
        <v>26435</v>
      </c>
      <c r="Y1266" t="s">
        <v>26436</v>
      </c>
    </row>
    <row r="1267" spans="1:25" x14ac:dyDescent="0.3">
      <c r="A1267">
        <v>63300</v>
      </c>
      <c r="B1267" t="s">
        <v>26437</v>
      </c>
      <c r="C1267" t="s">
        <v>26438</v>
      </c>
      <c r="D1267" t="s">
        <v>26439</v>
      </c>
      <c r="E1267" t="s">
        <v>26440</v>
      </c>
      <c r="F1267" t="s">
        <v>26441</v>
      </c>
      <c r="G1267" t="s">
        <v>26442</v>
      </c>
      <c r="H1267" t="s">
        <v>26443</v>
      </c>
      <c r="I1267" t="s">
        <v>26444</v>
      </c>
      <c r="J1267" t="s">
        <v>26445</v>
      </c>
      <c r="K1267" t="s">
        <v>26446</v>
      </c>
      <c r="L1267" t="s">
        <v>26447</v>
      </c>
      <c r="M1267" t="s">
        <v>26448</v>
      </c>
      <c r="N1267" t="s">
        <v>26449</v>
      </c>
      <c r="O1267">
        <f>-749.732928512054 -64.1416972331983 -725.684219885357</f>
        <v>-1539.5588456306093</v>
      </c>
      <c r="P1267">
        <f>-717.928359309828 -54.1699573892329 -410.921991452354</f>
        <v>-1183.0203081514148</v>
      </c>
      <c r="Q1267">
        <f>-468.969919948672 -29.1958372570623 -339.942595699888</f>
        <v>-838.10835290562227</v>
      </c>
      <c r="R1267" t="s">
        <v>26450</v>
      </c>
      <c r="S1267" t="s">
        <v>26451</v>
      </c>
      <c r="T1267" t="s">
        <v>26452</v>
      </c>
      <c r="U1267" t="s">
        <v>26453</v>
      </c>
      <c r="V1267" t="s">
        <v>26454</v>
      </c>
      <c r="W1267" t="s">
        <v>26455</v>
      </c>
      <c r="X1267" t="s">
        <v>26456</v>
      </c>
      <c r="Y1267" t="s">
        <v>26457</v>
      </c>
    </row>
    <row r="1268" spans="1:25" x14ac:dyDescent="0.3">
      <c r="A1268">
        <v>63350</v>
      </c>
      <c r="B1268" t="s">
        <v>26458</v>
      </c>
      <c r="C1268" t="s">
        <v>26459</v>
      </c>
      <c r="D1268" t="s">
        <v>26460</v>
      </c>
      <c r="E1268" t="s">
        <v>26461</v>
      </c>
      <c r="F1268" t="s">
        <v>26462</v>
      </c>
      <c r="G1268" t="s">
        <v>26463</v>
      </c>
      <c r="H1268" t="s">
        <v>26464</v>
      </c>
      <c r="I1268" t="s">
        <v>26465</v>
      </c>
      <c r="J1268" t="s">
        <v>26466</v>
      </c>
      <c r="K1268" t="s">
        <v>26467</v>
      </c>
      <c r="L1268" t="s">
        <v>26468</v>
      </c>
      <c r="M1268" t="s">
        <v>26469</v>
      </c>
      <c r="N1268" t="s">
        <v>26470</v>
      </c>
      <c r="O1268">
        <f>-749.256084022423 -64.1818222697157 -726.112752609138</f>
        <v>-1539.5506589012766</v>
      </c>
      <c r="P1268">
        <f>-718.10348542409 -53.9912440092039 -411.29227652869</f>
        <v>-1183.387005961984</v>
      </c>
      <c r="Q1268">
        <f>-469.248428726592 -28.6795706408338 -340.070824988994</f>
        <v>-837.99882435641985</v>
      </c>
      <c r="R1268" t="s">
        <v>26471</v>
      </c>
      <c r="S1268" t="s">
        <v>26472</v>
      </c>
      <c r="T1268" t="s">
        <v>26473</v>
      </c>
      <c r="U1268" t="s">
        <v>26474</v>
      </c>
      <c r="V1268" t="s">
        <v>26475</v>
      </c>
      <c r="W1268" t="s">
        <v>26476</v>
      </c>
      <c r="X1268" t="s">
        <v>26477</v>
      </c>
      <c r="Y1268" t="s">
        <v>26478</v>
      </c>
    </row>
    <row r="1269" spans="1:25" x14ac:dyDescent="0.3">
      <c r="A1269">
        <v>63400</v>
      </c>
      <c r="B1269" t="s">
        <v>26479</v>
      </c>
      <c r="C1269" t="s">
        <v>26480</v>
      </c>
      <c r="D1269" t="s">
        <v>26481</v>
      </c>
      <c r="E1269" t="s">
        <v>26482</v>
      </c>
      <c r="F1269" t="s">
        <v>26483</v>
      </c>
      <c r="G1269" t="s">
        <v>26484</v>
      </c>
      <c r="H1269" t="s">
        <v>26485</v>
      </c>
      <c r="I1269" t="s">
        <v>26486</v>
      </c>
      <c r="J1269" t="s">
        <v>26487</v>
      </c>
      <c r="K1269" t="s">
        <v>26488</v>
      </c>
      <c r="L1269" t="s">
        <v>26489</v>
      </c>
      <c r="M1269" t="s">
        <v>26490</v>
      </c>
      <c r="N1269" t="s">
        <v>26491</v>
      </c>
      <c r="O1269">
        <f>-749.198394572936 -64.1850703037851 -726.277923158159</f>
        <v>-1539.66138803488</v>
      </c>
      <c r="P1269">
        <f>-718.017654661619 -54.1676880982882 -411.454813212938</f>
        <v>-1183.6401559728452</v>
      </c>
      <c r="Q1269">
        <f>-469.219155313013 -28.694725461708 -340.093226158303</f>
        <v>-838.00710693302403</v>
      </c>
      <c r="R1269" t="s">
        <v>26492</v>
      </c>
      <c r="S1269" t="s">
        <v>26493</v>
      </c>
      <c r="T1269" t="s">
        <v>26494</v>
      </c>
      <c r="U1269" t="s">
        <v>26495</v>
      </c>
      <c r="V1269" t="s">
        <v>26496</v>
      </c>
      <c r="W1269" t="s">
        <v>26497</v>
      </c>
      <c r="X1269" t="s">
        <v>26498</v>
      </c>
      <c r="Y1269" t="s">
        <v>26499</v>
      </c>
    </row>
    <row r="1270" spans="1:25" x14ac:dyDescent="0.3">
      <c r="A1270">
        <v>63450</v>
      </c>
      <c r="B1270" t="s">
        <v>26500</v>
      </c>
      <c r="C1270" t="s">
        <v>26501</v>
      </c>
      <c r="D1270" t="s">
        <v>26502</v>
      </c>
      <c r="E1270" t="s">
        <v>26503</v>
      </c>
      <c r="F1270" t="s">
        <v>26504</v>
      </c>
      <c r="G1270" t="s">
        <v>26505</v>
      </c>
      <c r="H1270" t="s">
        <v>26506</v>
      </c>
      <c r="I1270" t="s">
        <v>26507</v>
      </c>
      <c r="J1270" t="s">
        <v>26508</v>
      </c>
      <c r="K1270" t="s">
        <v>26509</v>
      </c>
      <c r="L1270" t="s">
        <v>26510</v>
      </c>
      <c r="M1270" t="s">
        <v>26511</v>
      </c>
      <c r="N1270" t="s">
        <v>26512</v>
      </c>
      <c r="O1270">
        <f>-749.273220264868 -64.1786188456647 -726.539866085287</f>
        <v>-1539.9917051958196</v>
      </c>
      <c r="P1270">
        <f>-718.298107254745 -54.6635062285345 -411.680815061283</f>
        <v>-1184.6424285445626</v>
      </c>
      <c r="Q1270">
        <f>-469.591276520516 -28.9397244035488 -340.089881544636</f>
        <v>-838.62088246870076</v>
      </c>
      <c r="R1270" t="s">
        <v>26513</v>
      </c>
      <c r="S1270" t="s">
        <v>26514</v>
      </c>
      <c r="T1270" t="s">
        <v>26515</v>
      </c>
      <c r="U1270" t="s">
        <v>26516</v>
      </c>
      <c r="V1270" t="s">
        <v>26517</v>
      </c>
      <c r="W1270" t="s">
        <v>26518</v>
      </c>
      <c r="X1270" t="s">
        <v>26519</v>
      </c>
      <c r="Y1270" t="s">
        <v>26520</v>
      </c>
    </row>
    <row r="1271" spans="1:25" x14ac:dyDescent="0.3">
      <c r="A1271">
        <v>63500</v>
      </c>
      <c r="B1271" t="s">
        <v>26521</v>
      </c>
      <c r="C1271" t="s">
        <v>26522</v>
      </c>
      <c r="D1271" t="s">
        <v>26523</v>
      </c>
      <c r="E1271" t="s">
        <v>26524</v>
      </c>
      <c r="F1271" t="s">
        <v>26525</v>
      </c>
      <c r="G1271" t="s">
        <v>26526</v>
      </c>
      <c r="H1271" t="s">
        <v>26527</v>
      </c>
      <c r="I1271" t="s">
        <v>26528</v>
      </c>
      <c r="J1271" t="s">
        <v>26529</v>
      </c>
      <c r="K1271" t="s">
        <v>26530</v>
      </c>
      <c r="L1271" t="s">
        <v>26531</v>
      </c>
      <c r="M1271" t="s">
        <v>26532</v>
      </c>
      <c r="N1271" t="s">
        <v>26533</v>
      </c>
      <c r="O1271">
        <f>-749.251725217173 -64.0473510876795 -726.687506754011</f>
        <v>-1539.9865830588635</v>
      </c>
      <c r="P1271">
        <f>-718.094807700237 -54.9347721855008 -411.834511824473</f>
        <v>-1184.8640917102107</v>
      </c>
      <c r="Q1271">
        <f>-469.429715595426 -29.2699186140126 -340.077813803122</f>
        <v>-838.77744801256063</v>
      </c>
      <c r="R1271" t="s">
        <v>26534</v>
      </c>
      <c r="S1271" t="s">
        <v>26535</v>
      </c>
      <c r="T1271" t="s">
        <v>26536</v>
      </c>
      <c r="U1271" t="s">
        <v>26537</v>
      </c>
      <c r="V1271" t="s">
        <v>26538</v>
      </c>
      <c r="W1271" t="s">
        <v>26539</v>
      </c>
      <c r="X1271" t="s">
        <v>26540</v>
      </c>
      <c r="Y1271" t="s">
        <v>26541</v>
      </c>
    </row>
    <row r="1272" spans="1:25" x14ac:dyDescent="0.3">
      <c r="A1272">
        <v>63550</v>
      </c>
      <c r="B1272" t="s">
        <v>26542</v>
      </c>
      <c r="C1272" t="s">
        <v>26543</v>
      </c>
      <c r="D1272" t="s">
        <v>26544</v>
      </c>
      <c r="E1272" t="s">
        <v>26545</v>
      </c>
      <c r="F1272" t="s">
        <v>26546</v>
      </c>
      <c r="G1272" t="s">
        <v>26547</v>
      </c>
      <c r="H1272" t="s">
        <v>26548</v>
      </c>
      <c r="I1272" t="s">
        <v>26549</v>
      </c>
      <c r="J1272" t="s">
        <v>26550</v>
      </c>
      <c r="K1272" t="s">
        <v>26551</v>
      </c>
      <c r="L1272" t="s">
        <v>26552</v>
      </c>
      <c r="M1272" t="s">
        <v>26553</v>
      </c>
      <c r="N1272" t="s">
        <v>26554</v>
      </c>
      <c r="O1272">
        <f>-749.53069191269 -64.1218163255414 -726.606908750678</f>
        <v>-1540.2594169889094</v>
      </c>
      <c r="P1272">
        <f>-718.085188101565 -54.3435601062433 -411.802485364368</f>
        <v>-1184.2312335721763</v>
      </c>
      <c r="Q1272">
        <f>-469.375978750413 -29.0864990461105 -340.053868250564</f>
        <v>-838.5163460470875</v>
      </c>
      <c r="R1272" t="s">
        <v>26555</v>
      </c>
      <c r="S1272" t="s">
        <v>26556</v>
      </c>
      <c r="T1272" t="s">
        <v>26557</v>
      </c>
      <c r="U1272" t="s">
        <v>26558</v>
      </c>
      <c r="V1272" t="s">
        <v>26559</v>
      </c>
      <c r="W1272" t="s">
        <v>26560</v>
      </c>
      <c r="X1272" t="s">
        <v>26561</v>
      </c>
      <c r="Y1272" t="s">
        <v>26562</v>
      </c>
    </row>
    <row r="1273" spans="1:25" x14ac:dyDescent="0.3">
      <c r="A1273">
        <v>63600</v>
      </c>
      <c r="B1273" t="s">
        <v>26563</v>
      </c>
      <c r="C1273" t="s">
        <v>26564</v>
      </c>
      <c r="D1273" t="s">
        <v>26565</v>
      </c>
      <c r="E1273" t="s">
        <v>26566</v>
      </c>
      <c r="F1273" t="s">
        <v>26567</v>
      </c>
      <c r="G1273" t="s">
        <v>26568</v>
      </c>
      <c r="H1273" t="s">
        <v>26569</v>
      </c>
      <c r="I1273" t="s">
        <v>26570</v>
      </c>
      <c r="J1273" t="s">
        <v>26571</v>
      </c>
      <c r="K1273" t="s">
        <v>26572</v>
      </c>
      <c r="L1273" t="s">
        <v>26573</v>
      </c>
      <c r="M1273" t="s">
        <v>26574</v>
      </c>
      <c r="N1273" t="s">
        <v>26575</v>
      </c>
      <c r="O1273">
        <f>-749.539560052374 -64.1857630452166 -726.542114498541</f>
        <v>-1540.2674375961315</v>
      </c>
      <c r="P1273">
        <f>-718.061437591067 -54.828636495655 -411.728305822093</f>
        <v>-1184.6183799088151</v>
      </c>
      <c r="Q1273">
        <f>-469.322737922479 -29.5800418915064 -340.078868321153</f>
        <v>-838.98164813513836</v>
      </c>
      <c r="R1273" t="s">
        <v>26576</v>
      </c>
      <c r="S1273" t="s">
        <v>26577</v>
      </c>
      <c r="T1273" t="s">
        <v>26578</v>
      </c>
      <c r="U1273" t="s">
        <v>26579</v>
      </c>
      <c r="V1273" t="s">
        <v>26580</v>
      </c>
      <c r="W1273" t="s">
        <v>26581</v>
      </c>
      <c r="X1273" t="s">
        <v>26582</v>
      </c>
      <c r="Y1273" t="s">
        <v>26583</v>
      </c>
    </row>
    <row r="1274" spans="1:25" x14ac:dyDescent="0.3">
      <c r="A1274">
        <v>63650</v>
      </c>
      <c r="B1274" t="s">
        <v>26584</v>
      </c>
      <c r="C1274" t="s">
        <v>26585</v>
      </c>
      <c r="D1274" t="s">
        <v>26586</v>
      </c>
      <c r="E1274" t="s">
        <v>26587</v>
      </c>
      <c r="F1274" t="s">
        <v>26588</v>
      </c>
      <c r="G1274" t="s">
        <v>26589</v>
      </c>
      <c r="H1274" t="s">
        <v>26590</v>
      </c>
      <c r="I1274" t="s">
        <v>26591</v>
      </c>
      <c r="J1274" t="s">
        <v>26592</v>
      </c>
      <c r="K1274" t="s">
        <v>26593</v>
      </c>
      <c r="L1274" t="s">
        <v>26594</v>
      </c>
      <c r="M1274" t="s">
        <v>26595</v>
      </c>
      <c r="N1274" t="s">
        <v>26596</v>
      </c>
      <c r="O1274">
        <f>-749.821519929982 -64.1937467934042 -726.343175148917</f>
        <v>-1540.358441872303</v>
      </c>
      <c r="P1274">
        <f>-718.078756025451 -54.7075279258549 -411.559725759084</f>
        <v>-1184.3460097103898</v>
      </c>
      <c r="Q1274">
        <f>-469.229029521327 -29.347843501839 -340.33657203951</f>
        <v>-838.91344506267592</v>
      </c>
      <c r="R1274" t="s">
        <v>26597</v>
      </c>
      <c r="S1274" t="s">
        <v>26598</v>
      </c>
      <c r="T1274" t="s">
        <v>26599</v>
      </c>
      <c r="U1274" t="s">
        <v>26600</v>
      </c>
      <c r="V1274" t="s">
        <v>26601</v>
      </c>
      <c r="W1274" t="s">
        <v>26602</v>
      </c>
      <c r="X1274" t="s">
        <v>26603</v>
      </c>
      <c r="Y1274" t="s">
        <v>26604</v>
      </c>
    </row>
    <row r="1275" spans="1:25" x14ac:dyDescent="0.3">
      <c r="A1275">
        <v>63700</v>
      </c>
      <c r="B1275" t="s">
        <v>26605</v>
      </c>
      <c r="C1275" t="s">
        <v>26606</v>
      </c>
      <c r="D1275" t="s">
        <v>26607</v>
      </c>
      <c r="E1275" t="s">
        <v>26608</v>
      </c>
      <c r="F1275" t="s">
        <v>26609</v>
      </c>
      <c r="G1275" t="s">
        <v>26610</v>
      </c>
      <c r="H1275" t="s">
        <v>26611</v>
      </c>
      <c r="I1275" t="s">
        <v>26612</v>
      </c>
      <c r="J1275" t="s">
        <v>26613</v>
      </c>
      <c r="K1275" t="s">
        <v>26614</v>
      </c>
      <c r="L1275" t="s">
        <v>26615</v>
      </c>
      <c r="M1275" t="s">
        <v>26616</v>
      </c>
      <c r="N1275" t="s">
        <v>26617</v>
      </c>
      <c r="O1275">
        <f>-750.130674667524 -64.1899257545524 -726.226168187818</f>
        <v>-1540.5467686098943</v>
      </c>
      <c r="P1275">
        <f>-718.126998321586 -54.6710142060203 -411.470227912748</f>
        <v>-1184.2682404403545</v>
      </c>
      <c r="Q1275">
        <f>-469.276956252294 -29.4249111441757 -340.207658100495</f>
        <v>-838.90952549696476</v>
      </c>
      <c r="R1275" t="s">
        <v>26618</v>
      </c>
      <c r="S1275" t="s">
        <v>26619</v>
      </c>
      <c r="T1275" t="s">
        <v>26620</v>
      </c>
      <c r="U1275" t="s">
        <v>26621</v>
      </c>
      <c r="V1275" t="s">
        <v>26622</v>
      </c>
      <c r="W1275" t="s">
        <v>26623</v>
      </c>
      <c r="X1275" t="s">
        <v>26624</v>
      </c>
      <c r="Y1275" t="s">
        <v>26625</v>
      </c>
    </row>
    <row r="1276" spans="1:25" x14ac:dyDescent="0.3">
      <c r="A1276">
        <v>63750</v>
      </c>
      <c r="B1276" t="s">
        <v>26626</v>
      </c>
      <c r="C1276" t="s">
        <v>26627</v>
      </c>
      <c r="D1276" t="s">
        <v>26628</v>
      </c>
      <c r="E1276" t="s">
        <v>26629</v>
      </c>
      <c r="F1276" t="s">
        <v>26630</v>
      </c>
      <c r="G1276" t="s">
        <v>26631</v>
      </c>
      <c r="H1276" t="s">
        <v>26632</v>
      </c>
      <c r="I1276" t="s">
        <v>26633</v>
      </c>
      <c r="J1276" t="s">
        <v>26634</v>
      </c>
      <c r="K1276" t="s">
        <v>26635</v>
      </c>
      <c r="L1276" t="s">
        <v>26636</v>
      </c>
      <c r="M1276" t="s">
        <v>26637</v>
      </c>
      <c r="N1276" t="s">
        <v>26638</v>
      </c>
      <c r="O1276">
        <f>-750.919766557377 -64.1391679070557 -725.949240915373</f>
        <v>-1541.0081753798058</v>
      </c>
      <c r="P1276">
        <f>-718.130843542444 -54.3038720950472 -411.283810808109</f>
        <v>-1183.7185264456002</v>
      </c>
      <c r="Q1276">
        <f>-469.222915243681 -28.9110799612813 -340.276216433448</f>
        <v>-838.41021163841026</v>
      </c>
      <c r="R1276" t="s">
        <v>26639</v>
      </c>
      <c r="S1276" t="s">
        <v>26640</v>
      </c>
      <c r="T1276" t="s">
        <v>26641</v>
      </c>
      <c r="U1276" t="s">
        <v>26642</v>
      </c>
      <c r="V1276" t="s">
        <v>26643</v>
      </c>
      <c r="W1276" t="s">
        <v>26644</v>
      </c>
      <c r="X1276" t="s">
        <v>26645</v>
      </c>
      <c r="Y1276" t="s">
        <v>26646</v>
      </c>
    </row>
    <row r="1277" spans="1:25" x14ac:dyDescent="0.3">
      <c r="A1277">
        <v>63800</v>
      </c>
      <c r="B1277" t="s">
        <v>26647</v>
      </c>
      <c r="C1277" t="s">
        <v>26648</v>
      </c>
      <c r="D1277" t="s">
        <v>26649</v>
      </c>
      <c r="E1277" t="s">
        <v>26650</v>
      </c>
      <c r="F1277" t="s">
        <v>26651</v>
      </c>
      <c r="G1277" t="s">
        <v>26652</v>
      </c>
      <c r="H1277" t="s">
        <v>26653</v>
      </c>
      <c r="I1277" t="s">
        <v>26654</v>
      </c>
      <c r="J1277" t="s">
        <v>26655</v>
      </c>
      <c r="K1277" t="s">
        <v>26656</v>
      </c>
      <c r="L1277" t="s">
        <v>26657</v>
      </c>
      <c r="M1277" t="s">
        <v>26658</v>
      </c>
      <c r="N1277" t="s">
        <v>26659</v>
      </c>
      <c r="O1277">
        <f>-751.0908765445 -64.1194278547709 -725.890106277756</f>
        <v>-1541.100410677027</v>
      </c>
      <c r="P1277">
        <f>-718.181205357871 -54.3068580232059 -411.23652675723</f>
        <v>-1183.7245901383069</v>
      </c>
      <c r="Q1277">
        <f>-469.289420243858 -28.8939453823809 -340.179498297436</f>
        <v>-838.36286392367492</v>
      </c>
      <c r="R1277" t="s">
        <v>26660</v>
      </c>
      <c r="S1277" t="s">
        <v>26661</v>
      </c>
      <c r="T1277" t="s">
        <v>26662</v>
      </c>
      <c r="U1277" t="s">
        <v>26663</v>
      </c>
      <c r="V1277" t="s">
        <v>26664</v>
      </c>
      <c r="W1277" t="s">
        <v>26665</v>
      </c>
      <c r="X1277" t="s">
        <v>26666</v>
      </c>
      <c r="Y1277" t="s">
        <v>26667</v>
      </c>
    </row>
    <row r="1278" spans="1:25" x14ac:dyDescent="0.3">
      <c r="A1278">
        <v>63850</v>
      </c>
      <c r="B1278" t="s">
        <v>26668</v>
      </c>
      <c r="C1278" t="s">
        <v>26669</v>
      </c>
      <c r="D1278" t="s">
        <v>26670</v>
      </c>
      <c r="E1278" t="s">
        <v>26671</v>
      </c>
      <c r="F1278" t="s">
        <v>26672</v>
      </c>
      <c r="G1278" t="s">
        <v>26673</v>
      </c>
      <c r="H1278" t="s">
        <v>26674</v>
      </c>
      <c r="I1278" t="s">
        <v>26675</v>
      </c>
      <c r="J1278" t="s">
        <v>26676</v>
      </c>
      <c r="K1278" t="s">
        <v>26677</v>
      </c>
      <c r="L1278" t="s">
        <v>26678</v>
      </c>
      <c r="M1278" t="s">
        <v>26679</v>
      </c>
      <c r="N1278" t="s">
        <v>26680</v>
      </c>
      <c r="O1278">
        <f>-751.794475389825 -64.2089865023779 -725.721848683922</f>
        <v>-1541.7253105761249</v>
      </c>
      <c r="P1278">
        <f>-718.714011381629 -54.6374638029179 -411.078860175306</f>
        <v>-1184.430335359853</v>
      </c>
      <c r="Q1278">
        <f>-469.685676996231 -28.9957858734911 -340.584568770455</f>
        <v>-839.26603164017706</v>
      </c>
      <c r="R1278" t="s">
        <v>26681</v>
      </c>
      <c r="S1278" t="s">
        <v>26682</v>
      </c>
      <c r="T1278" t="s">
        <v>26683</v>
      </c>
      <c r="U1278" t="s">
        <v>26684</v>
      </c>
      <c r="V1278" t="s">
        <v>26685</v>
      </c>
      <c r="W1278" t="s">
        <v>26686</v>
      </c>
      <c r="X1278" t="s">
        <v>26687</v>
      </c>
      <c r="Y1278" t="s">
        <v>26688</v>
      </c>
    </row>
    <row r="1279" spans="1:25" x14ac:dyDescent="0.3">
      <c r="A1279">
        <v>63900</v>
      </c>
      <c r="B1279" t="s">
        <v>26689</v>
      </c>
      <c r="C1279" t="s">
        <v>26690</v>
      </c>
      <c r="D1279" t="s">
        <v>26691</v>
      </c>
      <c r="E1279" t="s">
        <v>26692</v>
      </c>
      <c r="F1279" t="s">
        <v>26693</v>
      </c>
      <c r="G1279" t="s">
        <v>26694</v>
      </c>
      <c r="H1279" t="s">
        <v>26695</v>
      </c>
      <c r="I1279" t="s">
        <v>26696</v>
      </c>
      <c r="J1279" t="s">
        <v>26697</v>
      </c>
      <c r="K1279" t="s">
        <v>26698</v>
      </c>
      <c r="L1279" t="s">
        <v>26699</v>
      </c>
      <c r="M1279" t="s">
        <v>26700</v>
      </c>
      <c r="N1279" t="s">
        <v>26701</v>
      </c>
      <c r="O1279">
        <f>-752.262318846281 -64.1854983507324 -725.683104413663</f>
        <v>-1542.1309216106765</v>
      </c>
      <c r="P1279">
        <f>-718.914919593642 -54.5857630307135 -411.069192277224</f>
        <v>-1184.5698749015794</v>
      </c>
      <c r="Q1279">
        <f>-469.865172038281 -29.2186445193886 -340.551352413609</f>
        <v>-839.63516897127852</v>
      </c>
      <c r="R1279" t="s">
        <v>26702</v>
      </c>
      <c r="S1279" t="s">
        <v>26703</v>
      </c>
      <c r="T1279" t="s">
        <v>26704</v>
      </c>
      <c r="U1279" t="s">
        <v>26705</v>
      </c>
      <c r="V1279" t="s">
        <v>26706</v>
      </c>
      <c r="W1279" t="s">
        <v>26707</v>
      </c>
      <c r="X1279" t="s">
        <v>26708</v>
      </c>
      <c r="Y1279" t="s">
        <v>26709</v>
      </c>
    </row>
    <row r="1280" spans="1:25" x14ac:dyDescent="0.3">
      <c r="A1280">
        <v>63950</v>
      </c>
      <c r="B1280" t="s">
        <v>26710</v>
      </c>
      <c r="C1280" t="s">
        <v>26711</v>
      </c>
      <c r="D1280" t="s">
        <v>26712</v>
      </c>
      <c r="E1280" t="s">
        <v>26713</v>
      </c>
      <c r="F1280" t="s">
        <v>26714</v>
      </c>
      <c r="G1280" t="s">
        <v>26715</v>
      </c>
      <c r="H1280" t="s">
        <v>26716</v>
      </c>
      <c r="I1280" t="s">
        <v>26717</v>
      </c>
      <c r="J1280" t="s">
        <v>26718</v>
      </c>
      <c r="K1280" t="s">
        <v>26719</v>
      </c>
      <c r="L1280" t="s">
        <v>26720</v>
      </c>
      <c r="M1280" t="s">
        <v>26721</v>
      </c>
      <c r="N1280" t="s">
        <v>26722</v>
      </c>
      <c r="O1280">
        <f>-753.402127119202 -64.0042443629461 -725.590642895933</f>
        <v>-1542.9970143780811</v>
      </c>
      <c r="P1280">
        <f>-719.599071722223 -54.3245324373061 -411.027716014035</f>
        <v>-1184.951320173564</v>
      </c>
      <c r="Q1280">
        <f>-470.455100383376 -29.1816937911533 -340.762685475366</f>
        <v>-840.39947964989528</v>
      </c>
      <c r="R1280" t="s">
        <v>26723</v>
      </c>
      <c r="S1280" t="s">
        <v>26724</v>
      </c>
      <c r="T1280" t="s">
        <v>26725</v>
      </c>
      <c r="U1280" t="s">
        <v>26726</v>
      </c>
      <c r="V1280" t="s">
        <v>26727</v>
      </c>
      <c r="W1280" t="s">
        <v>26728</v>
      </c>
      <c r="X1280" t="s">
        <v>26729</v>
      </c>
      <c r="Y1280" t="s">
        <v>26730</v>
      </c>
    </row>
    <row r="1281" spans="1:25" x14ac:dyDescent="0.3">
      <c r="A1281">
        <v>64000</v>
      </c>
      <c r="B1281" t="s">
        <v>26731</v>
      </c>
      <c r="C1281" t="s">
        <v>26732</v>
      </c>
      <c r="D1281" t="s">
        <v>26733</v>
      </c>
      <c r="E1281" t="s">
        <v>26734</v>
      </c>
      <c r="F1281" t="s">
        <v>26735</v>
      </c>
      <c r="G1281" t="s">
        <v>26736</v>
      </c>
      <c r="H1281" t="s">
        <v>26737</v>
      </c>
      <c r="I1281" t="s">
        <v>26738</v>
      </c>
      <c r="J1281" t="s">
        <v>26739</v>
      </c>
      <c r="K1281" t="s">
        <v>26740</v>
      </c>
      <c r="L1281" t="s">
        <v>26741</v>
      </c>
      <c r="M1281" t="s">
        <v>26742</v>
      </c>
      <c r="N1281" t="s">
        <v>26743</v>
      </c>
      <c r="O1281">
        <f>-753.944694378957 -63.6458008396578 -725.63028456108</f>
        <v>-1543.2207797796948</v>
      </c>
      <c r="P1281">
        <f>-719.918331171257 -54.1363472333749 -411.086154690105</f>
        <v>-1185.140833094737</v>
      </c>
      <c r="Q1281">
        <f>-470.738745222729 -29.1999550633607 -340.873776495673</f>
        <v>-840.8124767817626</v>
      </c>
      <c r="R1281" t="s">
        <v>26744</v>
      </c>
      <c r="S1281" t="s">
        <v>26745</v>
      </c>
      <c r="T1281" t="s">
        <v>26746</v>
      </c>
      <c r="U1281" t="s">
        <v>26747</v>
      </c>
      <c r="V1281" t="s">
        <v>26748</v>
      </c>
      <c r="W1281" t="s">
        <v>26749</v>
      </c>
      <c r="X1281" t="s">
        <v>26750</v>
      </c>
      <c r="Y1281" t="s">
        <v>26751</v>
      </c>
    </row>
    <row r="1282" spans="1:25" x14ac:dyDescent="0.3">
      <c r="A1282">
        <v>64050</v>
      </c>
      <c r="B1282" t="s">
        <v>26752</v>
      </c>
      <c r="C1282" t="s">
        <v>26753</v>
      </c>
      <c r="D1282" t="s">
        <v>26754</v>
      </c>
      <c r="E1282" t="s">
        <v>26755</v>
      </c>
      <c r="F1282" t="s">
        <v>26756</v>
      </c>
      <c r="G1282" t="s">
        <v>26757</v>
      </c>
      <c r="H1282" t="s">
        <v>26758</v>
      </c>
      <c r="I1282" t="s">
        <v>26759</v>
      </c>
      <c r="J1282" t="s">
        <v>26760</v>
      </c>
      <c r="K1282" t="s">
        <v>26761</v>
      </c>
      <c r="L1282" t="s">
        <v>26762</v>
      </c>
      <c r="M1282" t="s">
        <v>26763</v>
      </c>
      <c r="N1282" t="s">
        <v>26764</v>
      </c>
      <c r="O1282">
        <f>-755.075469272858 -62.9120823157032 -725.655601736399</f>
        <v>-1543.6431533249602</v>
      </c>
      <c r="P1282">
        <f>-720.665495654305 -53.6093551218014 -411.147198095817</f>
        <v>-1185.4220488719234</v>
      </c>
      <c r="Q1282">
        <f>-471.459408070237 -28.8737022078988 -340.957725301086</f>
        <v>-841.29083557922172</v>
      </c>
      <c r="R1282" t="s">
        <v>26765</v>
      </c>
      <c r="S1282" t="s">
        <v>26766</v>
      </c>
      <c r="T1282" t="s">
        <v>26767</v>
      </c>
      <c r="U1282" t="s">
        <v>26768</v>
      </c>
      <c r="V1282" t="s">
        <v>26769</v>
      </c>
      <c r="W1282" t="s">
        <v>26770</v>
      </c>
      <c r="X1282" t="s">
        <v>26771</v>
      </c>
      <c r="Y1282" t="s">
        <v>26772</v>
      </c>
    </row>
    <row r="1283" spans="1:25" x14ac:dyDescent="0.3">
      <c r="A1283">
        <v>64100</v>
      </c>
      <c r="B1283" t="s">
        <v>26773</v>
      </c>
      <c r="C1283" t="s">
        <v>26774</v>
      </c>
      <c r="D1283" t="s">
        <v>26775</v>
      </c>
      <c r="E1283" t="s">
        <v>26776</v>
      </c>
      <c r="F1283" t="s">
        <v>26777</v>
      </c>
      <c r="G1283" t="s">
        <v>26778</v>
      </c>
      <c r="H1283" t="s">
        <v>26779</v>
      </c>
      <c r="I1283" t="s">
        <v>26780</v>
      </c>
      <c r="J1283" t="s">
        <v>26781</v>
      </c>
      <c r="K1283" t="s">
        <v>26782</v>
      </c>
      <c r="L1283" t="s">
        <v>26783</v>
      </c>
      <c r="M1283" t="s">
        <v>26784</v>
      </c>
      <c r="N1283" t="s">
        <v>26785</v>
      </c>
      <c r="O1283">
        <f>-755.671476477651 -62.4757759194943 -725.625267077839</f>
        <v>-1543.7725194749842</v>
      </c>
      <c r="P1283">
        <f>-721.125020472114 -53.0449774393503 -411.135510914775</f>
        <v>-1185.3055088262392</v>
      </c>
      <c r="Q1283">
        <f>-471.906348385393 -28.6488076966411 -340.872334675936</f>
        <v>-841.42749075797008</v>
      </c>
      <c r="R1283" t="s">
        <v>26786</v>
      </c>
      <c r="S1283" t="s">
        <v>26787</v>
      </c>
      <c r="T1283" t="s">
        <v>26788</v>
      </c>
      <c r="U1283" t="s">
        <v>26789</v>
      </c>
      <c r="V1283" t="s">
        <v>26790</v>
      </c>
      <c r="W1283" t="s">
        <v>26791</v>
      </c>
      <c r="X1283" t="s">
        <v>26792</v>
      </c>
      <c r="Y1283" t="s">
        <v>26793</v>
      </c>
    </row>
    <row r="1284" spans="1:25" x14ac:dyDescent="0.3">
      <c r="A1284">
        <v>64150</v>
      </c>
      <c r="B1284" t="s">
        <v>26794</v>
      </c>
      <c r="C1284" t="s">
        <v>26795</v>
      </c>
      <c r="D1284" t="s">
        <v>26796</v>
      </c>
      <c r="E1284" t="s">
        <v>26797</v>
      </c>
      <c r="F1284" t="s">
        <v>26798</v>
      </c>
      <c r="G1284" t="s">
        <v>26799</v>
      </c>
      <c r="H1284" t="s">
        <v>26800</v>
      </c>
      <c r="I1284" t="s">
        <v>26801</v>
      </c>
      <c r="J1284" t="s">
        <v>26802</v>
      </c>
      <c r="K1284" t="s">
        <v>26803</v>
      </c>
      <c r="L1284" t="s">
        <v>26804</v>
      </c>
      <c r="M1284" t="s">
        <v>26805</v>
      </c>
      <c r="N1284" t="s">
        <v>26806</v>
      </c>
      <c r="O1284">
        <f>-756.781779499381 -62.0498270822911 -725.379141863818</f>
        <v>-1544.21074844549</v>
      </c>
      <c r="P1284">
        <f>-722.165803961619 -52.9025390514514 -410.888803567079</f>
        <v>-1185.9571465801494</v>
      </c>
      <c r="Q1284">
        <f>-472.831023844027 -28.7421361198353 -340.956505957268</f>
        <v>-842.52966592113034</v>
      </c>
      <c r="R1284" t="s">
        <v>26807</v>
      </c>
      <c r="S1284" t="s">
        <v>26808</v>
      </c>
      <c r="T1284" t="s">
        <v>26809</v>
      </c>
      <c r="U1284" t="s">
        <v>26810</v>
      </c>
      <c r="V1284" t="s">
        <v>26811</v>
      </c>
      <c r="W1284" t="s">
        <v>26812</v>
      </c>
      <c r="X1284" t="s">
        <v>26813</v>
      </c>
      <c r="Y1284" t="s">
        <v>26814</v>
      </c>
    </row>
    <row r="1285" spans="1:25" x14ac:dyDescent="0.3">
      <c r="A1285">
        <v>64200</v>
      </c>
      <c r="B1285" t="s">
        <v>26815</v>
      </c>
      <c r="C1285" t="s">
        <v>26816</v>
      </c>
      <c r="D1285" t="s">
        <v>26817</v>
      </c>
      <c r="E1285" t="s">
        <v>26818</v>
      </c>
      <c r="F1285" t="s">
        <v>26819</v>
      </c>
      <c r="G1285" t="s">
        <v>26820</v>
      </c>
      <c r="H1285" t="s">
        <v>26821</v>
      </c>
      <c r="I1285" t="s">
        <v>26822</v>
      </c>
      <c r="J1285" t="s">
        <v>26823</v>
      </c>
      <c r="K1285" t="s">
        <v>26824</v>
      </c>
      <c r="L1285" t="s">
        <v>26825</v>
      </c>
      <c r="M1285" t="s">
        <v>26826</v>
      </c>
      <c r="N1285" t="s">
        <v>26827</v>
      </c>
      <c r="O1285">
        <f>-757.469674463965 -61.9879703232768 -725.212563582282</f>
        <v>-1544.6702083695238</v>
      </c>
      <c r="P1285">
        <f>-722.549881677146 -52.4663027554714 -410.766783618968</f>
        <v>-1185.7829680515854</v>
      </c>
      <c r="Q1285">
        <f>-473.108271076069 -28.7124359226054 -341.0770553276</f>
        <v>-842.89776232627446</v>
      </c>
      <c r="R1285" t="s">
        <v>26828</v>
      </c>
      <c r="S1285" t="s">
        <v>26829</v>
      </c>
      <c r="T1285" t="s">
        <v>26830</v>
      </c>
      <c r="U1285" t="s">
        <v>26831</v>
      </c>
      <c r="V1285" t="s">
        <v>26832</v>
      </c>
      <c r="W1285" t="s">
        <v>26833</v>
      </c>
      <c r="X1285" t="s">
        <v>26834</v>
      </c>
      <c r="Y1285" t="s">
        <v>26835</v>
      </c>
    </row>
    <row r="1286" spans="1:25" x14ac:dyDescent="0.3">
      <c r="A1286">
        <v>64250</v>
      </c>
      <c r="B1286" t="s">
        <v>26836</v>
      </c>
      <c r="C1286" t="s">
        <v>26837</v>
      </c>
      <c r="D1286" t="s">
        <v>26838</v>
      </c>
      <c r="E1286" t="s">
        <v>26839</v>
      </c>
      <c r="F1286" t="s">
        <v>26840</v>
      </c>
      <c r="G1286" t="s">
        <v>26841</v>
      </c>
      <c r="H1286" t="s">
        <v>26842</v>
      </c>
      <c r="I1286" t="s">
        <v>26843</v>
      </c>
      <c r="J1286" t="s">
        <v>26844</v>
      </c>
      <c r="K1286" t="s">
        <v>26845</v>
      </c>
      <c r="L1286" t="s">
        <v>26846</v>
      </c>
      <c r="M1286" t="s">
        <v>26847</v>
      </c>
      <c r="N1286" t="s">
        <v>26848</v>
      </c>
      <c r="O1286">
        <f>-758.818340302351 -61.8762447668169 -724.917816127695</f>
        <v>-1545.6124011968627</v>
      </c>
      <c r="P1286">
        <f>-723.005523744576 -52.9381076757177 -410.555217550276</f>
        <v>-1186.4988489705697</v>
      </c>
      <c r="Q1286">
        <f>-473.204972252357 -29.6696580558023 -341.996723701926</f>
        <v>-844.87135401008527</v>
      </c>
      <c r="R1286" t="s">
        <v>26849</v>
      </c>
      <c r="S1286" t="s">
        <v>26850</v>
      </c>
      <c r="T1286" t="s">
        <v>26851</v>
      </c>
      <c r="U1286" t="s">
        <v>26852</v>
      </c>
      <c r="V1286" t="s">
        <v>26853</v>
      </c>
      <c r="W1286" t="s">
        <v>26854</v>
      </c>
      <c r="X1286" t="s">
        <v>26855</v>
      </c>
      <c r="Y1286" t="s">
        <v>26856</v>
      </c>
    </row>
    <row r="1287" spans="1:25" x14ac:dyDescent="0.3">
      <c r="A1287">
        <v>64300</v>
      </c>
      <c r="B1287" t="s">
        <v>26857</v>
      </c>
      <c r="C1287" t="s">
        <v>26858</v>
      </c>
      <c r="D1287" t="s">
        <v>26859</v>
      </c>
      <c r="E1287" t="s">
        <v>26860</v>
      </c>
      <c r="F1287" t="s">
        <v>26861</v>
      </c>
      <c r="G1287" t="s">
        <v>26862</v>
      </c>
      <c r="H1287" t="s">
        <v>26863</v>
      </c>
      <c r="I1287" t="s">
        <v>26864</v>
      </c>
      <c r="J1287" t="s">
        <v>26865</v>
      </c>
      <c r="K1287" t="s">
        <v>26866</v>
      </c>
      <c r="L1287" t="s">
        <v>26867</v>
      </c>
      <c r="M1287" t="s">
        <v>26868</v>
      </c>
      <c r="N1287" t="s">
        <v>26869</v>
      </c>
      <c r="O1287">
        <f>-759.562109986493 -61.690744996888 -724.803742111548</f>
        <v>-1546.0565970949292</v>
      </c>
      <c r="P1287">
        <f>-722.899190192414 -52.4675442737889 -410.547450541035</f>
        <v>-1185.9141850072378</v>
      </c>
      <c r="Q1287">
        <f>-472.973768387783 -29.8900720973518 -342.213238773149</f>
        <v>-845.07707925828379</v>
      </c>
      <c r="R1287" t="s">
        <v>26870</v>
      </c>
      <c r="S1287" t="s">
        <v>26871</v>
      </c>
      <c r="T1287" t="s">
        <v>26872</v>
      </c>
      <c r="U1287" t="s">
        <v>26873</v>
      </c>
      <c r="V1287" t="s">
        <v>26874</v>
      </c>
      <c r="W1287" t="s">
        <v>26875</v>
      </c>
      <c r="X1287" t="s">
        <v>26876</v>
      </c>
      <c r="Y1287" t="s">
        <v>26877</v>
      </c>
    </row>
    <row r="1288" spans="1:25" x14ac:dyDescent="0.3">
      <c r="A1288">
        <v>64350</v>
      </c>
      <c r="B1288" t="s">
        <v>26878</v>
      </c>
      <c r="C1288" t="s">
        <v>26879</v>
      </c>
      <c r="D1288" t="s">
        <v>26880</v>
      </c>
      <c r="E1288" t="s">
        <v>26881</v>
      </c>
      <c r="F1288" t="s">
        <v>26882</v>
      </c>
      <c r="G1288" t="s">
        <v>26883</v>
      </c>
      <c r="H1288" t="s">
        <v>26884</v>
      </c>
      <c r="I1288" t="s">
        <v>26885</v>
      </c>
      <c r="J1288" t="s">
        <v>26886</v>
      </c>
      <c r="K1288" t="s">
        <v>26887</v>
      </c>
      <c r="L1288" t="s">
        <v>26888</v>
      </c>
      <c r="M1288" t="s">
        <v>26889</v>
      </c>
      <c r="N1288" t="s">
        <v>26890</v>
      </c>
      <c r="O1288">
        <f>-760.747789298633 -61.0982913206649 -724.527402893396</f>
        <v>-1546.3734835126938</v>
      </c>
      <c r="P1288">
        <f>-723.297840961303 -52.7486685757638 -410.339598476319</f>
        <v>-1186.3861080133856</v>
      </c>
      <c r="Q1288">
        <f>-473.011406000606 -30.5322199860561 -343.219270218839</f>
        <v>-846.76289620550097</v>
      </c>
      <c r="R1288" t="s">
        <v>26891</v>
      </c>
      <c r="S1288" t="s">
        <v>26892</v>
      </c>
      <c r="T1288" t="s">
        <v>26893</v>
      </c>
      <c r="U1288" t="s">
        <v>26894</v>
      </c>
      <c r="V1288" t="s">
        <v>26895</v>
      </c>
      <c r="W1288" t="s">
        <v>26896</v>
      </c>
      <c r="X1288" t="s">
        <v>26897</v>
      </c>
      <c r="Y1288" t="s">
        <v>26898</v>
      </c>
    </row>
    <row r="1289" spans="1:25" x14ac:dyDescent="0.3">
      <c r="A1289">
        <v>64400</v>
      </c>
      <c r="B1289" t="s">
        <v>26899</v>
      </c>
      <c r="C1289" t="s">
        <v>26900</v>
      </c>
      <c r="D1289" t="s">
        <v>26901</v>
      </c>
      <c r="E1289" t="s">
        <v>26902</v>
      </c>
      <c r="F1289" t="s">
        <v>26903</v>
      </c>
      <c r="G1289" t="s">
        <v>26904</v>
      </c>
      <c r="H1289" t="s">
        <v>26905</v>
      </c>
      <c r="I1289" t="s">
        <v>26906</v>
      </c>
      <c r="J1289" t="s">
        <v>26907</v>
      </c>
      <c r="K1289" t="s">
        <v>26908</v>
      </c>
      <c r="L1289" t="s">
        <v>26909</v>
      </c>
      <c r="M1289" t="s">
        <v>26910</v>
      </c>
      <c r="N1289" t="s">
        <v>26911</v>
      </c>
      <c r="O1289">
        <f>-761.253996293399 -60.7705743150609 -724.427911909574</f>
        <v>-1546.452482518034</v>
      </c>
      <c r="P1289">
        <f>-723.174809781619 -52.6780498397566 -410.309089283303</f>
        <v>-1186.1619489046786</v>
      </c>
      <c r="Q1289">
        <f>-472.803547143482 -30.8890198618885 -343.364929165757</f>
        <v>-847.05749617112747</v>
      </c>
      <c r="R1289" t="s">
        <v>26912</v>
      </c>
      <c r="S1289" t="s">
        <v>26913</v>
      </c>
      <c r="T1289" t="s">
        <v>26914</v>
      </c>
      <c r="U1289" t="s">
        <v>26915</v>
      </c>
      <c r="V1289" t="s">
        <v>26916</v>
      </c>
      <c r="W1289" t="s">
        <v>26917</v>
      </c>
      <c r="X1289" t="s">
        <v>26918</v>
      </c>
      <c r="Y1289" t="s">
        <v>26919</v>
      </c>
    </row>
    <row r="1290" spans="1:25" x14ac:dyDescent="0.3">
      <c r="A1290">
        <v>64450</v>
      </c>
      <c r="B1290" t="s">
        <v>26920</v>
      </c>
      <c r="C1290" t="s">
        <v>26921</v>
      </c>
      <c r="D1290" t="s">
        <v>26922</v>
      </c>
      <c r="E1290" t="s">
        <v>26923</v>
      </c>
      <c r="F1290" t="s">
        <v>26924</v>
      </c>
      <c r="G1290" t="s">
        <v>26925</v>
      </c>
      <c r="H1290" t="s">
        <v>26926</v>
      </c>
      <c r="I1290" t="s">
        <v>26927</v>
      </c>
      <c r="J1290" t="s">
        <v>26928</v>
      </c>
      <c r="K1290" t="s">
        <v>26929</v>
      </c>
      <c r="L1290" t="s">
        <v>26930</v>
      </c>
      <c r="M1290" t="s">
        <v>26931</v>
      </c>
      <c r="N1290" t="s">
        <v>26932</v>
      </c>
      <c r="O1290">
        <f>-761.990097225563 -60.0493764392088 -724.228094511316</f>
        <v>-1546.2675681760879</v>
      </c>
      <c r="P1290">
        <f>-722.960159110452 -52.199055645307 -410.219786145666</f>
        <v>-1185.3790009014249</v>
      </c>
      <c r="Q1290">
        <f>-472.320196354202 -31.083146333563 -344.069968937283</f>
        <v>-847.47331162504793</v>
      </c>
      <c r="R1290" t="s">
        <v>26933</v>
      </c>
      <c r="S1290" t="s">
        <v>26934</v>
      </c>
      <c r="T1290" t="s">
        <v>26935</v>
      </c>
      <c r="U1290" t="s">
        <v>26936</v>
      </c>
      <c r="V1290" t="s">
        <v>26937</v>
      </c>
      <c r="W1290" t="s">
        <v>26938</v>
      </c>
      <c r="X1290" t="s">
        <v>26939</v>
      </c>
      <c r="Y1290" t="s">
        <v>26940</v>
      </c>
    </row>
    <row r="1291" spans="1:25" x14ac:dyDescent="0.3">
      <c r="A1291">
        <v>64500</v>
      </c>
      <c r="B1291" t="s">
        <v>26941</v>
      </c>
      <c r="C1291" t="s">
        <v>26942</v>
      </c>
      <c r="D1291" t="s">
        <v>26943</v>
      </c>
      <c r="E1291" t="s">
        <v>26944</v>
      </c>
      <c r="F1291" t="s">
        <v>26945</v>
      </c>
      <c r="G1291" t="s">
        <v>26946</v>
      </c>
      <c r="H1291" t="s">
        <v>26947</v>
      </c>
      <c r="I1291" t="s">
        <v>26948</v>
      </c>
      <c r="J1291" t="s">
        <v>26949</v>
      </c>
      <c r="K1291" t="s">
        <v>26950</v>
      </c>
      <c r="L1291" t="s">
        <v>26951</v>
      </c>
      <c r="M1291" t="s">
        <v>26952</v>
      </c>
      <c r="N1291" t="s">
        <v>26953</v>
      </c>
      <c r="O1291">
        <f>-762.408574669999 -59.7913666882737 -724.073275249813</f>
        <v>-1546.2732166080857</v>
      </c>
      <c r="P1291">
        <f>-722.855548152562 -51.8638494184684 -410.132413534275</f>
        <v>-1184.8518111053054</v>
      </c>
      <c r="Q1291">
        <f>-472.204229698724 -30.8564391245495 -343.99109636371</f>
        <v>-847.05176518698363</v>
      </c>
      <c r="R1291" t="s">
        <v>26954</v>
      </c>
      <c r="S1291" t="s">
        <v>26955</v>
      </c>
      <c r="T1291" t="s">
        <v>26956</v>
      </c>
      <c r="U1291" t="s">
        <v>26957</v>
      </c>
      <c r="V1291" t="s">
        <v>26958</v>
      </c>
      <c r="W1291" t="s">
        <v>26959</v>
      </c>
      <c r="X1291" t="s">
        <v>26960</v>
      </c>
      <c r="Y1291" t="s">
        <v>26961</v>
      </c>
    </row>
    <row r="1292" spans="1:25" x14ac:dyDescent="0.3">
      <c r="A1292">
        <v>64550</v>
      </c>
      <c r="B1292" t="s">
        <v>26962</v>
      </c>
      <c r="C1292" t="s">
        <v>26963</v>
      </c>
      <c r="D1292" t="s">
        <v>26964</v>
      </c>
      <c r="E1292" t="s">
        <v>26965</v>
      </c>
      <c r="F1292" t="s">
        <v>26966</v>
      </c>
      <c r="G1292" t="s">
        <v>26967</v>
      </c>
      <c r="H1292" t="s">
        <v>26968</v>
      </c>
      <c r="I1292" t="s">
        <v>26969</v>
      </c>
      <c r="J1292" t="s">
        <v>26970</v>
      </c>
      <c r="K1292" t="s">
        <v>26971</v>
      </c>
      <c r="L1292" t="s">
        <v>26972</v>
      </c>
      <c r="M1292" t="s">
        <v>26973</v>
      </c>
      <c r="N1292" t="s">
        <v>26974</v>
      </c>
      <c r="O1292">
        <f>-762.96593547284 -59.2980077386794 -723.971153264069</f>
        <v>-1546.2350964755883</v>
      </c>
      <c r="P1292">
        <f>-722.669321422323 -51.1925037092133 -410.129407381962</f>
        <v>-1183.9912325134983</v>
      </c>
      <c r="Q1292">
        <f>-472.058619280254 -30.09134028935 -343.864334915309</f>
        <v>-846.01429448491297</v>
      </c>
      <c r="R1292" t="s">
        <v>26975</v>
      </c>
      <c r="S1292" t="s">
        <v>26976</v>
      </c>
      <c r="T1292" t="s">
        <v>26977</v>
      </c>
      <c r="U1292" t="s">
        <v>26978</v>
      </c>
      <c r="V1292" t="s">
        <v>26979</v>
      </c>
      <c r="W1292" t="s">
        <v>26980</v>
      </c>
      <c r="X1292" t="s">
        <v>26981</v>
      </c>
      <c r="Y1292" t="s">
        <v>26982</v>
      </c>
    </row>
    <row r="1293" spans="1:25" x14ac:dyDescent="0.3">
      <c r="A1293">
        <v>64600</v>
      </c>
      <c r="B1293" t="s">
        <v>26983</v>
      </c>
      <c r="C1293" t="s">
        <v>26984</v>
      </c>
      <c r="D1293" t="s">
        <v>26985</v>
      </c>
      <c r="E1293" t="s">
        <v>26986</v>
      </c>
      <c r="F1293" t="s">
        <v>26987</v>
      </c>
      <c r="G1293" t="s">
        <v>26988</v>
      </c>
      <c r="H1293" t="s">
        <v>26989</v>
      </c>
      <c r="I1293" t="s">
        <v>26990</v>
      </c>
      <c r="J1293" t="s">
        <v>26991</v>
      </c>
      <c r="K1293" t="s">
        <v>26992</v>
      </c>
      <c r="L1293" t="s">
        <v>26993</v>
      </c>
      <c r="M1293" t="s">
        <v>26994</v>
      </c>
      <c r="N1293" t="s">
        <v>26995</v>
      </c>
      <c r="O1293">
        <f>-763.160468673726 -59.1080125125889 -723.892997313618</f>
        <v>-1546.1614784999329</v>
      </c>
      <c r="P1293">
        <f>-722.824346226562 -50.9996557591576 -410.05636702887</f>
        <v>-1183.8803690145896</v>
      </c>
      <c r="Q1293">
        <f>-472.194844081749 -29.6905566789228 -343.92886111961</f>
        <v>-845.81426188028183</v>
      </c>
      <c r="R1293" t="s">
        <v>26996</v>
      </c>
      <c r="S1293" t="s">
        <v>26997</v>
      </c>
      <c r="T1293" t="s">
        <v>26998</v>
      </c>
      <c r="U1293" t="s">
        <v>26999</v>
      </c>
      <c r="V1293" t="s">
        <v>27000</v>
      </c>
      <c r="W1293" t="s">
        <v>27001</v>
      </c>
      <c r="X1293" t="s">
        <v>27002</v>
      </c>
      <c r="Y1293" t="s">
        <v>27003</v>
      </c>
    </row>
    <row r="1294" spans="1:25" x14ac:dyDescent="0.3">
      <c r="A1294">
        <v>64650</v>
      </c>
      <c r="B1294" t="s">
        <v>27004</v>
      </c>
      <c r="C1294" t="s">
        <v>27005</v>
      </c>
      <c r="D1294" t="s">
        <v>27006</v>
      </c>
      <c r="E1294" t="s">
        <v>27007</v>
      </c>
      <c r="F1294" t="s">
        <v>27008</v>
      </c>
      <c r="G1294" t="s">
        <v>27009</v>
      </c>
      <c r="H1294" t="s">
        <v>27010</v>
      </c>
      <c r="I1294" t="s">
        <v>27011</v>
      </c>
      <c r="J1294" t="s">
        <v>27012</v>
      </c>
      <c r="K1294" t="s">
        <v>27013</v>
      </c>
      <c r="L1294" t="s">
        <v>27014</v>
      </c>
      <c r="M1294" t="s">
        <v>27015</v>
      </c>
      <c r="N1294" t="s">
        <v>27016</v>
      </c>
      <c r="O1294">
        <f>-763.358302459783 -58.4437684749639 -723.932601100563</f>
        <v>-1545.7346720353098</v>
      </c>
      <c r="P1294">
        <f>-722.547400219003 -50.0370725928008 -410.165173124881</f>
        <v>-1182.7496459366848</v>
      </c>
      <c r="Q1294">
        <f>-471.892352666262 -28.552361330057 -344.191907930196</f>
        <v>-844.63662192651509</v>
      </c>
      <c r="R1294" t="s">
        <v>27017</v>
      </c>
      <c r="S1294" t="s">
        <v>27018</v>
      </c>
      <c r="T1294" t="s">
        <v>27019</v>
      </c>
      <c r="U1294" t="s">
        <v>27020</v>
      </c>
      <c r="V1294" t="s">
        <v>27021</v>
      </c>
      <c r="W1294" t="s">
        <v>27022</v>
      </c>
      <c r="X1294" t="s">
        <v>27023</v>
      </c>
      <c r="Y1294" t="s">
        <v>27024</v>
      </c>
    </row>
    <row r="1295" spans="1:25" x14ac:dyDescent="0.3">
      <c r="A1295">
        <v>64700</v>
      </c>
      <c r="B1295" t="s">
        <v>27025</v>
      </c>
      <c r="C1295" t="s">
        <v>27026</v>
      </c>
      <c r="D1295" t="s">
        <v>27027</v>
      </c>
      <c r="E1295" t="s">
        <v>27028</v>
      </c>
      <c r="F1295" t="s">
        <v>27029</v>
      </c>
      <c r="G1295" t="s">
        <v>27030</v>
      </c>
      <c r="H1295" t="s">
        <v>27031</v>
      </c>
      <c r="I1295" t="s">
        <v>27032</v>
      </c>
      <c r="J1295" t="s">
        <v>27033</v>
      </c>
      <c r="K1295" t="s">
        <v>27034</v>
      </c>
      <c r="L1295" t="s">
        <v>27035</v>
      </c>
      <c r="M1295" t="s">
        <v>27036</v>
      </c>
      <c r="N1295" t="s">
        <v>27037</v>
      </c>
      <c r="O1295">
        <f>-763.386905833074 -58.3164714890413 -723.922491112169</f>
        <v>-1545.6258684342843</v>
      </c>
      <c r="P1295">
        <f>-722.730758366766 -50.7706010356412 -410.11324614725</f>
        <v>-1183.6146055496572</v>
      </c>
      <c r="Q1295">
        <f>-471.988162389164 -28.8207347378088 -344.626870113748</f>
        <v>-845.43576724072079</v>
      </c>
      <c r="R1295" t="s">
        <v>27038</v>
      </c>
      <c r="S1295" t="s">
        <v>27039</v>
      </c>
      <c r="T1295" t="s">
        <v>27040</v>
      </c>
      <c r="U1295" t="s">
        <v>27041</v>
      </c>
      <c r="V1295" t="s">
        <v>27042</v>
      </c>
      <c r="W1295" t="s">
        <v>27043</v>
      </c>
      <c r="X1295" t="s">
        <v>27044</v>
      </c>
      <c r="Y1295" t="s">
        <v>27045</v>
      </c>
    </row>
    <row r="1296" spans="1:25" x14ac:dyDescent="0.3">
      <c r="A1296">
        <v>64750</v>
      </c>
      <c r="B1296" t="s">
        <v>27046</v>
      </c>
      <c r="C1296" t="s">
        <v>27047</v>
      </c>
      <c r="D1296" t="s">
        <v>27048</v>
      </c>
      <c r="E1296" t="s">
        <v>27049</v>
      </c>
      <c r="F1296" t="s">
        <v>27050</v>
      </c>
      <c r="G1296" t="s">
        <v>27051</v>
      </c>
      <c r="H1296" t="s">
        <v>27052</v>
      </c>
      <c r="I1296" t="s">
        <v>27053</v>
      </c>
      <c r="J1296" t="s">
        <v>27054</v>
      </c>
      <c r="K1296" t="s">
        <v>27055</v>
      </c>
      <c r="L1296" t="s">
        <v>27056</v>
      </c>
      <c r="M1296" t="s">
        <v>27057</v>
      </c>
      <c r="N1296" t="s">
        <v>27058</v>
      </c>
      <c r="O1296">
        <f>-763.987352891412 -57.269628318993 -724.149435464191</f>
        <v>-1545.4064166745961</v>
      </c>
      <c r="P1296">
        <f>-722.712691903014 -49.8604115001185 -410.417480377872</f>
        <v>-1182.9905837810045</v>
      </c>
      <c r="Q1296">
        <f>-472.002669903303 -27.8065680993136 -344.841723838223</f>
        <v>-844.65096184083961</v>
      </c>
      <c r="R1296" t="s">
        <v>27059</v>
      </c>
      <c r="S1296" t="s">
        <v>27060</v>
      </c>
      <c r="T1296" t="s">
        <v>27061</v>
      </c>
      <c r="U1296" t="s">
        <v>27062</v>
      </c>
      <c r="V1296" t="s">
        <v>27063</v>
      </c>
      <c r="W1296" t="s">
        <v>27064</v>
      </c>
      <c r="X1296" t="s">
        <v>27065</v>
      </c>
      <c r="Y1296" t="s">
        <v>27066</v>
      </c>
    </row>
    <row r="1297" spans="1:25" x14ac:dyDescent="0.3">
      <c r="A1297">
        <v>64800</v>
      </c>
      <c r="B1297" t="s">
        <v>27067</v>
      </c>
      <c r="C1297" t="s">
        <v>27068</v>
      </c>
      <c r="D1297" t="s">
        <v>27069</v>
      </c>
      <c r="E1297" t="s">
        <v>27070</v>
      </c>
      <c r="F1297" t="s">
        <v>27071</v>
      </c>
      <c r="G1297" t="s">
        <v>27072</v>
      </c>
      <c r="H1297" t="s">
        <v>27073</v>
      </c>
      <c r="I1297" t="s">
        <v>27074</v>
      </c>
      <c r="J1297" t="s">
        <v>27075</v>
      </c>
      <c r="K1297" t="s">
        <v>27076</v>
      </c>
      <c r="L1297" t="s">
        <v>27077</v>
      </c>
      <c r="M1297" t="s">
        <v>27078</v>
      </c>
      <c r="N1297" t="s">
        <v>27079</v>
      </c>
      <c r="O1297">
        <f>-764.104146654293 -56.9454485728998 -724.297564292121</f>
        <v>-1545.3471595193137</v>
      </c>
      <c r="P1297">
        <f>-722.855020558673 -50.3943079050475 -410.543158515685</f>
        <v>-1183.7924869794056</v>
      </c>
      <c r="Q1297">
        <f>-472.121879191396 -27.8382698543687 -345.227153263253</f>
        <v>-845.1873023090177</v>
      </c>
      <c r="R1297" t="s">
        <v>27080</v>
      </c>
      <c r="S1297" t="s">
        <v>27081</v>
      </c>
      <c r="T1297" t="s">
        <v>27082</v>
      </c>
      <c r="U1297" t="s">
        <v>27083</v>
      </c>
      <c r="V1297" t="s">
        <v>27084</v>
      </c>
      <c r="W1297" t="s">
        <v>27085</v>
      </c>
      <c r="X1297" t="s">
        <v>27086</v>
      </c>
      <c r="Y1297" t="s">
        <v>27087</v>
      </c>
    </row>
    <row r="1298" spans="1:25" x14ac:dyDescent="0.3">
      <c r="A1298">
        <v>64850</v>
      </c>
      <c r="B1298" t="s">
        <v>27088</v>
      </c>
      <c r="C1298" t="s">
        <v>27089</v>
      </c>
      <c r="D1298" t="s">
        <v>27090</v>
      </c>
      <c r="E1298" t="s">
        <v>27091</v>
      </c>
      <c r="F1298" t="s">
        <v>27092</v>
      </c>
      <c r="G1298" t="s">
        <v>27093</v>
      </c>
      <c r="H1298" t="s">
        <v>27094</v>
      </c>
      <c r="I1298" t="s">
        <v>27095</v>
      </c>
      <c r="J1298" t="s">
        <v>27096</v>
      </c>
      <c r="K1298" t="s">
        <v>27097</v>
      </c>
      <c r="L1298" t="s">
        <v>27098</v>
      </c>
      <c r="M1298" t="s">
        <v>27099</v>
      </c>
      <c r="N1298" t="s">
        <v>27100</v>
      </c>
      <c r="O1298">
        <f>-764.270936177647 -56.5263529640733 -724.538510024864</f>
        <v>-1545.3357991665844</v>
      </c>
      <c r="P1298">
        <f>-723.175050735158 -49.9154087825068 -410.765303474494</f>
        <v>-1183.8557629921588</v>
      </c>
      <c r="Q1298">
        <f>-472.666319419736 -26.9168338555723 -344.746419524874</f>
        <v>-844.32957280018229</v>
      </c>
      <c r="R1298" t="s">
        <v>27101</v>
      </c>
      <c r="S1298" t="s">
        <v>27102</v>
      </c>
      <c r="T1298" t="s">
        <v>27103</v>
      </c>
      <c r="U1298" t="s">
        <v>27104</v>
      </c>
      <c r="V1298" t="s">
        <v>27105</v>
      </c>
      <c r="W1298" t="s">
        <v>27106</v>
      </c>
      <c r="X1298" t="s">
        <v>27107</v>
      </c>
      <c r="Y1298" t="s">
        <v>27108</v>
      </c>
    </row>
    <row r="1299" spans="1:25" x14ac:dyDescent="0.3">
      <c r="A1299">
        <v>64900</v>
      </c>
      <c r="B1299" t="s">
        <v>27109</v>
      </c>
      <c r="C1299" t="s">
        <v>27110</v>
      </c>
      <c r="D1299" t="s">
        <v>27111</v>
      </c>
      <c r="E1299" t="s">
        <v>27112</v>
      </c>
      <c r="F1299" t="s">
        <v>27113</v>
      </c>
      <c r="G1299" t="s">
        <v>27114</v>
      </c>
      <c r="H1299" t="s">
        <v>27115</v>
      </c>
      <c r="I1299" t="s">
        <v>27116</v>
      </c>
      <c r="J1299" t="s">
        <v>27117</v>
      </c>
      <c r="K1299" t="s">
        <v>27118</v>
      </c>
      <c r="L1299" t="s">
        <v>27119</v>
      </c>
      <c r="M1299" t="s">
        <v>27120</v>
      </c>
      <c r="N1299" t="s">
        <v>27121</v>
      </c>
      <c r="O1299">
        <f>-764.502417911157 -56.2886656797978 -724.7109430076</f>
        <v>-1545.5020265985547</v>
      </c>
      <c r="P1299">
        <f>-723.383736421973 -49.9967061126672 -410.934289143053</f>
        <v>-1184.3147316776931</v>
      </c>
      <c r="Q1299">
        <f>-473.037310676582 -26.7867589405962 -344.375708442941</f>
        <v>-844.19977806011923</v>
      </c>
      <c r="R1299" t="s">
        <v>27122</v>
      </c>
      <c r="S1299" t="s">
        <v>27123</v>
      </c>
      <c r="T1299" t="s">
        <v>27124</v>
      </c>
      <c r="U1299" t="s">
        <v>27125</v>
      </c>
      <c r="V1299" t="s">
        <v>27126</v>
      </c>
      <c r="W1299" t="s">
        <v>27127</v>
      </c>
      <c r="X1299" t="s">
        <v>27128</v>
      </c>
      <c r="Y1299" t="s">
        <v>27129</v>
      </c>
    </row>
    <row r="1300" spans="1:25" x14ac:dyDescent="0.3">
      <c r="A1300">
        <v>64950</v>
      </c>
      <c r="B1300" t="s">
        <v>27130</v>
      </c>
      <c r="C1300" t="s">
        <v>27131</v>
      </c>
      <c r="D1300" t="s">
        <v>27132</v>
      </c>
      <c r="E1300" t="s">
        <v>27133</v>
      </c>
      <c r="F1300" t="s">
        <v>27134</v>
      </c>
      <c r="G1300" t="s">
        <v>27135</v>
      </c>
      <c r="H1300" t="s">
        <v>27136</v>
      </c>
      <c r="I1300" t="s">
        <v>27137</v>
      </c>
      <c r="J1300" t="s">
        <v>27138</v>
      </c>
      <c r="K1300" t="s">
        <v>27139</v>
      </c>
      <c r="L1300" t="s">
        <v>27140</v>
      </c>
      <c r="M1300" t="s">
        <v>27141</v>
      </c>
      <c r="N1300" t="s">
        <v>27142</v>
      </c>
      <c r="O1300">
        <f>-764.990312875142 -56.3021790812697 -724.86119740637</f>
        <v>-1546.1536893627817</v>
      </c>
      <c r="P1300">
        <f>-724.296353944286 -49.8168509006259 -411.033003824478</f>
        <v>-1185.14620866939</v>
      </c>
      <c r="Q1300">
        <f>-474.135427023077 -25.9386432473184 -344.015201579118</f>
        <v>-844.08927184951335</v>
      </c>
      <c r="R1300" t="s">
        <v>27143</v>
      </c>
      <c r="S1300" t="s">
        <v>27144</v>
      </c>
      <c r="T1300" t="s">
        <v>27145</v>
      </c>
      <c r="U1300" t="s">
        <v>27146</v>
      </c>
      <c r="V1300" t="s">
        <v>27147</v>
      </c>
      <c r="W1300" t="s">
        <v>27148</v>
      </c>
      <c r="X1300" t="s">
        <v>27149</v>
      </c>
      <c r="Y1300" t="s">
        <v>27150</v>
      </c>
    </row>
    <row r="1301" spans="1:25" x14ac:dyDescent="0.3">
      <c r="A1301">
        <v>65000</v>
      </c>
      <c r="B1301" t="s">
        <v>27151</v>
      </c>
      <c r="C1301" t="s">
        <v>27152</v>
      </c>
      <c r="D1301" t="s">
        <v>27153</v>
      </c>
      <c r="E1301" t="s">
        <v>27154</v>
      </c>
      <c r="F1301" t="s">
        <v>27155</v>
      </c>
      <c r="G1301" t="s">
        <v>27156</v>
      </c>
      <c r="H1301" t="s">
        <v>27157</v>
      </c>
      <c r="I1301" t="s">
        <v>27158</v>
      </c>
      <c r="J1301" t="s">
        <v>27159</v>
      </c>
      <c r="K1301" t="s">
        <v>27160</v>
      </c>
      <c r="L1301" t="s">
        <v>27161</v>
      </c>
      <c r="M1301" t="s">
        <v>27162</v>
      </c>
      <c r="N1301" t="s">
        <v>27163</v>
      </c>
      <c r="O1301">
        <f>-765.240666761104 -56.1839839004722 -724.871951463793</f>
        <v>-1546.2966021253692</v>
      </c>
      <c r="P1301">
        <f>-724.417340038542 -49.3600180394292 -411.067785872679</f>
        <v>-1184.8451439506503</v>
      </c>
      <c r="Q1301">
        <f>-474.386699278919 -25.2919819523152 -343.632816578981</f>
        <v>-843.31149781021531</v>
      </c>
      <c r="R1301" t="s">
        <v>27164</v>
      </c>
      <c r="S1301" t="s">
        <v>27165</v>
      </c>
      <c r="T1301" t="s">
        <v>27166</v>
      </c>
      <c r="U1301" t="s">
        <v>27167</v>
      </c>
      <c r="V1301" t="s">
        <v>27168</v>
      </c>
      <c r="W1301" t="s">
        <v>27169</v>
      </c>
      <c r="X1301" t="s">
        <v>27170</v>
      </c>
      <c r="Y1301" t="s">
        <v>27171</v>
      </c>
    </row>
    <row r="1302" spans="1:25" x14ac:dyDescent="0.3">
      <c r="A1302">
        <v>65050</v>
      </c>
      <c r="B1302" t="s">
        <v>27172</v>
      </c>
      <c r="C1302" t="s">
        <v>27173</v>
      </c>
      <c r="D1302" t="s">
        <v>27174</v>
      </c>
      <c r="E1302" t="s">
        <v>27175</v>
      </c>
      <c r="F1302" t="s">
        <v>27176</v>
      </c>
      <c r="G1302" t="s">
        <v>27177</v>
      </c>
      <c r="H1302" t="s">
        <v>27178</v>
      </c>
      <c r="I1302" t="s">
        <v>27179</v>
      </c>
      <c r="J1302" t="s">
        <v>27180</v>
      </c>
      <c r="K1302" t="s">
        <v>27181</v>
      </c>
      <c r="L1302" t="s">
        <v>27182</v>
      </c>
      <c r="M1302" t="s">
        <v>27183</v>
      </c>
      <c r="N1302" t="s">
        <v>27184</v>
      </c>
      <c r="O1302">
        <f>-765.529093704956 -56.1503738242743 -724.844366433739</f>
        <v>-1546.5238339629693</v>
      </c>
      <c r="P1302">
        <f>-724.993505071645 -49.3720884483405 -411.001907181888</f>
        <v>-1185.3675007018735</v>
      </c>
      <c r="Q1302">
        <f>-475.006691534931 -24.8956394466857 -343.551673571813</f>
        <v>-843.45400455342974</v>
      </c>
      <c r="R1302" t="s">
        <v>27185</v>
      </c>
      <c r="S1302" t="s">
        <v>27186</v>
      </c>
      <c r="T1302" t="s">
        <v>27187</v>
      </c>
      <c r="U1302" t="s">
        <v>27188</v>
      </c>
      <c r="V1302" t="s">
        <v>27189</v>
      </c>
      <c r="W1302" t="s">
        <v>27190</v>
      </c>
      <c r="X1302" t="s">
        <v>27191</v>
      </c>
      <c r="Y1302" t="s">
        <v>27192</v>
      </c>
    </row>
    <row r="1303" spans="1:25" x14ac:dyDescent="0.3">
      <c r="A1303">
        <v>65100</v>
      </c>
      <c r="B1303" t="s">
        <v>27193</v>
      </c>
      <c r="C1303" t="s">
        <v>27194</v>
      </c>
      <c r="D1303" t="s">
        <v>27195</v>
      </c>
      <c r="E1303" t="s">
        <v>27196</v>
      </c>
      <c r="F1303" t="s">
        <v>27197</v>
      </c>
      <c r="G1303" t="s">
        <v>27198</v>
      </c>
      <c r="H1303" t="s">
        <v>27199</v>
      </c>
      <c r="I1303" t="s">
        <v>27200</v>
      </c>
      <c r="J1303" t="s">
        <v>27201</v>
      </c>
      <c r="K1303" t="s">
        <v>27202</v>
      </c>
      <c r="L1303" t="s">
        <v>27203</v>
      </c>
      <c r="M1303" t="s">
        <v>27204</v>
      </c>
      <c r="N1303" t="s">
        <v>27205</v>
      </c>
      <c r="O1303">
        <f>-766.42126106245 -55.8260405138437 -724.994240288764</f>
        <v>-1547.2415418650576</v>
      </c>
      <c r="P1303">
        <f>-725.651823159777 -49.189067943289 -411.179106067079</f>
        <v>-1186.019997170145</v>
      </c>
      <c r="Q1303">
        <f>-475.809307494734 -24.1295795132555 -343.409274111711</f>
        <v>-843.34816111970053</v>
      </c>
      <c r="R1303" t="s">
        <v>27206</v>
      </c>
      <c r="S1303" t="s">
        <v>27207</v>
      </c>
      <c r="T1303" t="s">
        <v>27208</v>
      </c>
      <c r="U1303" t="s">
        <v>27209</v>
      </c>
      <c r="V1303" t="s">
        <v>27210</v>
      </c>
      <c r="W1303" t="s">
        <v>27211</v>
      </c>
      <c r="X1303" t="s">
        <v>27212</v>
      </c>
      <c r="Y1303" t="s">
        <v>27213</v>
      </c>
    </row>
    <row r="1304" spans="1:25" x14ac:dyDescent="0.3">
      <c r="A1304">
        <v>65150</v>
      </c>
      <c r="B1304" t="s">
        <v>27214</v>
      </c>
      <c r="C1304" t="s">
        <v>27215</v>
      </c>
      <c r="D1304" t="s">
        <v>27216</v>
      </c>
      <c r="E1304" t="s">
        <v>27217</v>
      </c>
      <c r="F1304" t="s">
        <v>27218</v>
      </c>
      <c r="G1304" t="s">
        <v>27219</v>
      </c>
      <c r="H1304" t="s">
        <v>27220</v>
      </c>
      <c r="I1304" t="s">
        <v>27221</v>
      </c>
      <c r="J1304" t="s">
        <v>27222</v>
      </c>
      <c r="K1304" t="s">
        <v>27223</v>
      </c>
      <c r="L1304" t="s">
        <v>27224</v>
      </c>
      <c r="M1304" t="s">
        <v>27225</v>
      </c>
      <c r="N1304" t="s">
        <v>27226</v>
      </c>
      <c r="O1304">
        <f>-767.675520737577 -55.1905046350041 -725.004048701339</f>
        <v>-1547.87007407392</v>
      </c>
      <c r="P1304">
        <f>-726.712436197557 -48.2931741787409 -411.219753151561</f>
        <v>-1186.2253635278589</v>
      </c>
      <c r="Q1304">
        <f>-476.829595251013 -22.7388491199322 -343.783647132844</f>
        <v>-843.35209150378921</v>
      </c>
      <c r="R1304" t="s">
        <v>27227</v>
      </c>
      <c r="S1304" t="s">
        <v>27228</v>
      </c>
      <c r="T1304" t="s">
        <v>27229</v>
      </c>
      <c r="U1304" t="s">
        <v>27230</v>
      </c>
      <c r="V1304" t="s">
        <v>27231</v>
      </c>
      <c r="W1304" t="s">
        <v>27232</v>
      </c>
      <c r="X1304" t="s">
        <v>27233</v>
      </c>
      <c r="Y1304" t="s">
        <v>27234</v>
      </c>
    </row>
    <row r="1305" spans="1:25" x14ac:dyDescent="0.3">
      <c r="A1305">
        <v>65200</v>
      </c>
      <c r="B1305" t="s">
        <v>27235</v>
      </c>
      <c r="C1305" t="s">
        <v>27236</v>
      </c>
      <c r="D1305" t="s">
        <v>27237</v>
      </c>
      <c r="E1305" t="s">
        <v>27238</v>
      </c>
      <c r="F1305" t="s">
        <v>27239</v>
      </c>
      <c r="G1305" t="s">
        <v>27240</v>
      </c>
      <c r="H1305" t="s">
        <v>27241</v>
      </c>
      <c r="I1305" t="s">
        <v>27242</v>
      </c>
      <c r="J1305" t="s">
        <v>27243</v>
      </c>
      <c r="K1305" t="s">
        <v>27244</v>
      </c>
      <c r="L1305" t="s">
        <v>27245</v>
      </c>
      <c r="M1305" t="s">
        <v>27246</v>
      </c>
      <c r="N1305" t="s">
        <v>27247</v>
      </c>
      <c r="O1305">
        <f>-768.412267800347 -54.8711676454725 -724.918290110047</f>
        <v>-1548.2017255558665</v>
      </c>
      <c r="P1305">
        <f>-727.48213916725 -48.0176617696773 -411.12871861553</f>
        <v>-1186.6285195524572</v>
      </c>
      <c r="Q1305">
        <f>-477.531239631141 -22.4509067548061 -343.950164072821</f>
        <v>-843.93231045876814</v>
      </c>
      <c r="R1305" t="s">
        <v>27248</v>
      </c>
      <c r="S1305" t="s">
        <v>27249</v>
      </c>
      <c r="T1305" t="s">
        <v>27250</v>
      </c>
      <c r="U1305" t="s">
        <v>27251</v>
      </c>
      <c r="V1305" t="s">
        <v>27252</v>
      </c>
      <c r="W1305" t="s">
        <v>27253</v>
      </c>
      <c r="X1305" t="s">
        <v>27254</v>
      </c>
      <c r="Y1305" t="s">
        <v>27255</v>
      </c>
    </row>
    <row r="1306" spans="1:25" x14ac:dyDescent="0.3">
      <c r="A1306">
        <v>65250</v>
      </c>
      <c r="B1306" t="s">
        <v>27256</v>
      </c>
      <c r="C1306" t="s">
        <v>27257</v>
      </c>
      <c r="D1306" t="s">
        <v>27258</v>
      </c>
      <c r="E1306" t="s">
        <v>27259</v>
      </c>
      <c r="F1306" t="s">
        <v>27260</v>
      </c>
      <c r="G1306" t="s">
        <v>27261</v>
      </c>
      <c r="H1306" t="s">
        <v>27262</v>
      </c>
      <c r="I1306" t="s">
        <v>27263</v>
      </c>
      <c r="J1306" t="s">
        <v>27264</v>
      </c>
      <c r="K1306" t="s">
        <v>27265</v>
      </c>
      <c r="L1306" t="s">
        <v>27266</v>
      </c>
      <c r="M1306" t="s">
        <v>27267</v>
      </c>
      <c r="N1306" t="s">
        <v>27268</v>
      </c>
      <c r="O1306">
        <f>-770.173510658264 -54.1446249439291 -724.626090133196</f>
        <v>-1548.9442257353892</v>
      </c>
      <c r="P1306">
        <f>-728.789004775979 -47.6042361199957 -410.889470132156</f>
        <v>-1187.2827110281307</v>
      </c>
      <c r="Q1306">
        <f>-478.681250496469 -22.4169003487461 -344.15285088999</f>
        <v>-845.25100173520514</v>
      </c>
      <c r="R1306" t="s">
        <v>27269</v>
      </c>
      <c r="S1306" t="s">
        <v>27270</v>
      </c>
      <c r="T1306" t="s">
        <v>27271</v>
      </c>
      <c r="U1306" t="s">
        <v>27272</v>
      </c>
      <c r="V1306" t="s">
        <v>27273</v>
      </c>
      <c r="W1306" t="s">
        <v>27274</v>
      </c>
      <c r="X1306" t="s">
        <v>27275</v>
      </c>
      <c r="Y1306" t="s">
        <v>27276</v>
      </c>
    </row>
    <row r="1307" spans="1:25" x14ac:dyDescent="0.3">
      <c r="A1307">
        <v>65300</v>
      </c>
      <c r="B1307" t="s">
        <v>27277</v>
      </c>
      <c r="C1307" t="s">
        <v>27278</v>
      </c>
      <c r="D1307" t="s">
        <v>27279</v>
      </c>
      <c r="E1307" t="s">
        <v>27280</v>
      </c>
      <c r="F1307" t="s">
        <v>27281</v>
      </c>
      <c r="G1307" t="s">
        <v>27282</v>
      </c>
      <c r="H1307" t="s">
        <v>27283</v>
      </c>
      <c r="I1307" t="s">
        <v>27284</v>
      </c>
      <c r="J1307" t="s">
        <v>27285</v>
      </c>
      <c r="K1307" t="s">
        <v>27286</v>
      </c>
      <c r="L1307" t="s">
        <v>27287</v>
      </c>
      <c r="M1307" t="s">
        <v>27288</v>
      </c>
      <c r="N1307" t="s">
        <v>27289</v>
      </c>
      <c r="O1307">
        <f>-771.088169597204 -53.9644436019498 -724.400106104714</f>
        <v>-1549.452719303868</v>
      </c>
      <c r="P1307">
        <f>-729.177359028561 -47.5337614002574 -410.731003124643</f>
        <v>-1187.4421235534614</v>
      </c>
      <c r="Q1307">
        <f>-478.966542390679 -22.7108951084501 -344.244568436012</f>
        <v>-845.9220059351411</v>
      </c>
      <c r="R1307" t="s">
        <v>27290</v>
      </c>
      <c r="S1307" t="s">
        <v>27291</v>
      </c>
      <c r="T1307" t="s">
        <v>27292</v>
      </c>
      <c r="U1307" t="s">
        <v>27293</v>
      </c>
      <c r="V1307" t="s">
        <v>27294</v>
      </c>
      <c r="W1307" t="s">
        <v>27295</v>
      </c>
      <c r="X1307" t="s">
        <v>27296</v>
      </c>
      <c r="Y1307" t="s">
        <v>27297</v>
      </c>
    </row>
    <row r="1308" spans="1:25" x14ac:dyDescent="0.3">
      <c r="A1308">
        <v>65350</v>
      </c>
      <c r="B1308" t="s">
        <v>27298</v>
      </c>
      <c r="C1308" t="s">
        <v>27299</v>
      </c>
      <c r="D1308" t="s">
        <v>27300</v>
      </c>
      <c r="E1308" t="s">
        <v>27301</v>
      </c>
      <c r="F1308" t="s">
        <v>27302</v>
      </c>
      <c r="G1308" t="s">
        <v>27303</v>
      </c>
      <c r="H1308" t="s">
        <v>27304</v>
      </c>
      <c r="I1308" t="s">
        <v>27305</v>
      </c>
      <c r="J1308" t="s">
        <v>27306</v>
      </c>
      <c r="K1308" t="s">
        <v>27307</v>
      </c>
      <c r="L1308" t="s">
        <v>27308</v>
      </c>
      <c r="M1308" t="s">
        <v>27309</v>
      </c>
      <c r="N1308" t="s">
        <v>27310</v>
      </c>
      <c r="O1308">
        <f>-773.027198935589 -53.880744043571 -723.759532551561</f>
        <v>-1550.667475530721</v>
      </c>
      <c r="P1308">
        <f>-729.925047694443 -47.0863626422943 -410.259452391481</f>
        <v>-1187.2708627282182</v>
      </c>
      <c r="Q1308">
        <f>-479.639302535415 -23.0925109089055 -343.751121476248</f>
        <v>-846.4829349205686</v>
      </c>
      <c r="R1308" t="s">
        <v>27311</v>
      </c>
      <c r="S1308" t="s">
        <v>27312</v>
      </c>
      <c r="T1308" t="s">
        <v>27313</v>
      </c>
      <c r="U1308" t="s">
        <v>27314</v>
      </c>
      <c r="V1308" t="s">
        <v>27315</v>
      </c>
      <c r="W1308" t="s">
        <v>27316</v>
      </c>
      <c r="X1308" t="s">
        <v>27317</v>
      </c>
      <c r="Y1308" t="s">
        <v>27318</v>
      </c>
    </row>
    <row r="1309" spans="1:25" x14ac:dyDescent="0.3">
      <c r="A1309">
        <v>65400</v>
      </c>
      <c r="B1309" t="s">
        <v>27319</v>
      </c>
      <c r="C1309" t="s">
        <v>27320</v>
      </c>
      <c r="D1309" t="s">
        <v>27321</v>
      </c>
      <c r="E1309" t="s">
        <v>27322</v>
      </c>
      <c r="F1309" t="s">
        <v>27323</v>
      </c>
      <c r="G1309" t="s">
        <v>27324</v>
      </c>
      <c r="H1309" t="s">
        <v>27325</v>
      </c>
      <c r="I1309" t="s">
        <v>27326</v>
      </c>
      <c r="J1309" t="s">
        <v>27327</v>
      </c>
      <c r="K1309" t="s">
        <v>27328</v>
      </c>
      <c r="L1309" t="s">
        <v>27329</v>
      </c>
      <c r="M1309" t="s">
        <v>27330</v>
      </c>
      <c r="N1309" t="s">
        <v>27331</v>
      </c>
      <c r="O1309">
        <f>-773.64076127208 -54.0306924550182 -723.40637617945</f>
        <v>-1551.0778299065482</v>
      </c>
      <c r="P1309">
        <f>-730.378076941125 -47.0850827412889 -409.931847354305</f>
        <v>-1187.3950070367189</v>
      </c>
      <c r="Q1309">
        <f>-480.045046678936 -23.3214884848203 -343.518636524688</f>
        <v>-846.8851716884443</v>
      </c>
      <c r="R1309" t="s">
        <v>27332</v>
      </c>
      <c r="S1309" t="s">
        <v>27333</v>
      </c>
      <c r="T1309" t="s">
        <v>27334</v>
      </c>
      <c r="U1309" t="s">
        <v>27335</v>
      </c>
      <c r="V1309" t="s">
        <v>27336</v>
      </c>
      <c r="W1309" t="s">
        <v>27337</v>
      </c>
      <c r="X1309" t="s">
        <v>27338</v>
      </c>
      <c r="Y1309" t="s">
        <v>27339</v>
      </c>
    </row>
    <row r="1310" spans="1:25" x14ac:dyDescent="0.3">
      <c r="A1310">
        <v>65450</v>
      </c>
      <c r="B1310" t="s">
        <v>27340</v>
      </c>
      <c r="C1310" t="s">
        <v>27341</v>
      </c>
      <c r="D1310" t="s">
        <v>27342</v>
      </c>
      <c r="E1310" t="s">
        <v>27343</v>
      </c>
      <c r="F1310" t="s">
        <v>27344</v>
      </c>
      <c r="G1310" t="s">
        <v>27345</v>
      </c>
      <c r="H1310" t="s">
        <v>27346</v>
      </c>
      <c r="I1310" t="s">
        <v>27347</v>
      </c>
      <c r="J1310" t="s">
        <v>27348</v>
      </c>
      <c r="K1310" t="s">
        <v>27349</v>
      </c>
      <c r="L1310" t="s">
        <v>27350</v>
      </c>
      <c r="M1310" t="s">
        <v>27351</v>
      </c>
      <c r="N1310" t="s">
        <v>27352</v>
      </c>
      <c r="O1310">
        <f>-774.881583824008 -54.1639399782914 -722.715504646857</f>
        <v>-1551.7610284491564</v>
      </c>
      <c r="P1310">
        <f>-730.983861829019 -46.5219502909538 -409.345410522051</f>
        <v>-1186.8512226420239</v>
      </c>
      <c r="Q1310">
        <f>-480.585679646775 -23.5944955799105 -342.883763323653</f>
        <v>-847.06393855033843</v>
      </c>
      <c r="R1310" t="s">
        <v>27353</v>
      </c>
      <c r="S1310" t="s">
        <v>27354</v>
      </c>
      <c r="T1310" t="s">
        <v>27355</v>
      </c>
      <c r="U1310" t="s">
        <v>27356</v>
      </c>
      <c r="V1310" t="s">
        <v>27357</v>
      </c>
      <c r="W1310" t="s">
        <v>27358</v>
      </c>
      <c r="X1310" t="s">
        <v>27359</v>
      </c>
      <c r="Y1310" t="s">
        <v>27360</v>
      </c>
    </row>
    <row r="1311" spans="1:25" x14ac:dyDescent="0.3">
      <c r="A1311">
        <v>65500</v>
      </c>
      <c r="B1311" t="s">
        <v>27361</v>
      </c>
      <c r="C1311" t="s">
        <v>27362</v>
      </c>
      <c r="D1311" t="s">
        <v>27363</v>
      </c>
      <c r="E1311" t="s">
        <v>27364</v>
      </c>
      <c r="F1311" t="s">
        <v>27365</v>
      </c>
      <c r="G1311" t="s">
        <v>27366</v>
      </c>
      <c r="H1311" t="s">
        <v>27367</v>
      </c>
      <c r="I1311" t="s">
        <v>27368</v>
      </c>
      <c r="J1311" t="s">
        <v>27369</v>
      </c>
      <c r="K1311" t="s">
        <v>27370</v>
      </c>
      <c r="L1311" t="s">
        <v>27371</v>
      </c>
      <c r="M1311" t="s">
        <v>27372</v>
      </c>
      <c r="N1311" t="s">
        <v>27373</v>
      </c>
      <c r="O1311">
        <f>-775.417591592737 -54.4536260268494 -722.346374274703</f>
        <v>-1552.2175918942894</v>
      </c>
      <c r="P1311">
        <f>-731.246486479407 -46.0608232629941 -409.03397404004</f>
        <v>-1186.3412837824412</v>
      </c>
      <c r="Q1311">
        <f>-480.739242234167 -23.5946123082051 -342.826467624081</f>
        <v>-847.16032216645317</v>
      </c>
      <c r="R1311" t="s">
        <v>27374</v>
      </c>
      <c r="S1311" t="s">
        <v>27375</v>
      </c>
      <c r="T1311" t="s">
        <v>27376</v>
      </c>
      <c r="U1311" t="s">
        <v>27377</v>
      </c>
      <c r="V1311" t="s">
        <v>27378</v>
      </c>
      <c r="W1311" t="s">
        <v>27379</v>
      </c>
      <c r="X1311" t="s">
        <v>27380</v>
      </c>
      <c r="Y1311" t="s">
        <v>27381</v>
      </c>
    </row>
    <row r="1312" spans="1:25" x14ac:dyDescent="0.3">
      <c r="A1312">
        <v>65550</v>
      </c>
      <c r="B1312" t="s">
        <v>27382</v>
      </c>
      <c r="C1312" t="s">
        <v>27383</v>
      </c>
      <c r="D1312" t="s">
        <v>27384</v>
      </c>
      <c r="E1312" t="s">
        <v>27385</v>
      </c>
      <c r="F1312" t="s">
        <v>27386</v>
      </c>
      <c r="G1312" t="s">
        <v>27387</v>
      </c>
      <c r="H1312" t="s">
        <v>27388</v>
      </c>
      <c r="I1312" t="s">
        <v>27389</v>
      </c>
      <c r="J1312" t="s">
        <v>27390</v>
      </c>
      <c r="K1312" t="s">
        <v>27391</v>
      </c>
      <c r="L1312" t="s">
        <v>27392</v>
      </c>
      <c r="M1312" t="s">
        <v>27393</v>
      </c>
      <c r="N1312" t="s">
        <v>27394</v>
      </c>
      <c r="O1312">
        <f>-776.52676440171 -55.1954551682957 -721.469671765132</f>
        <v>-1553.1918913351378</v>
      </c>
      <c r="P1312">
        <f>-731.434055816558 -46.5968109612306 -408.294199509524</f>
        <v>-1186.3250662873127</v>
      </c>
      <c r="Q1312">
        <f>-480.617127003515 -24.8909992893889 -343.011926545577</f>
        <v>-848.52005283848098</v>
      </c>
      <c r="R1312" t="s">
        <v>27395</v>
      </c>
      <c r="S1312" t="s">
        <v>27396</v>
      </c>
      <c r="T1312" t="s">
        <v>27397</v>
      </c>
      <c r="U1312" t="s">
        <v>27398</v>
      </c>
      <c r="V1312" t="s">
        <v>27399</v>
      </c>
      <c r="W1312" t="s">
        <v>27400</v>
      </c>
      <c r="X1312" t="s">
        <v>27401</v>
      </c>
      <c r="Y1312" t="s">
        <v>27402</v>
      </c>
    </row>
    <row r="1313" spans="1:25" x14ac:dyDescent="0.3">
      <c r="A1313">
        <v>65600</v>
      </c>
      <c r="B1313" t="s">
        <v>27403</v>
      </c>
      <c r="C1313" t="s">
        <v>27404</v>
      </c>
      <c r="D1313" t="s">
        <v>27405</v>
      </c>
      <c r="E1313" t="s">
        <v>27406</v>
      </c>
      <c r="F1313" t="s">
        <v>27407</v>
      </c>
      <c r="G1313" t="s">
        <v>27408</v>
      </c>
      <c r="H1313" t="s">
        <v>27409</v>
      </c>
      <c r="I1313" t="s">
        <v>27410</v>
      </c>
      <c r="J1313" t="s">
        <v>27411</v>
      </c>
      <c r="K1313" t="s">
        <v>27412</v>
      </c>
      <c r="L1313" t="s">
        <v>27413</v>
      </c>
      <c r="M1313" t="s">
        <v>27414</v>
      </c>
      <c r="N1313" t="s">
        <v>27415</v>
      </c>
      <c r="O1313">
        <f>-777.069000626191 -55.3918228495581 -721.149763789865</f>
        <v>-1553.6105872656142</v>
      </c>
      <c r="P1313">
        <f>-731.247360438587 -46.3881725685158 -408.091388498291</f>
        <v>-1185.7269215053936</v>
      </c>
      <c r="Q1313">
        <f>-480.317658642529 -25.1238941721613 -343.098077886349</f>
        <v>-848.53963070103941</v>
      </c>
      <c r="R1313" t="s">
        <v>27416</v>
      </c>
      <c r="S1313" t="s">
        <v>27417</v>
      </c>
      <c r="T1313" t="s">
        <v>27418</v>
      </c>
      <c r="U1313" t="s">
        <v>27419</v>
      </c>
      <c r="V1313" t="s">
        <v>27420</v>
      </c>
      <c r="W1313" t="s">
        <v>27421</v>
      </c>
      <c r="X1313" t="s">
        <v>27422</v>
      </c>
      <c r="Y1313" t="s">
        <v>27423</v>
      </c>
    </row>
    <row r="1314" spans="1:25" x14ac:dyDescent="0.3">
      <c r="A1314">
        <v>65650</v>
      </c>
      <c r="B1314" t="s">
        <v>27424</v>
      </c>
      <c r="C1314" t="s">
        <v>27425</v>
      </c>
      <c r="D1314" t="s">
        <v>27426</v>
      </c>
      <c r="E1314" t="s">
        <v>27427</v>
      </c>
      <c r="F1314" t="s">
        <v>27428</v>
      </c>
      <c r="G1314" t="s">
        <v>27429</v>
      </c>
      <c r="H1314" t="s">
        <v>27430</v>
      </c>
      <c r="I1314" t="s">
        <v>27431</v>
      </c>
      <c r="J1314" t="s">
        <v>27432</v>
      </c>
      <c r="K1314" t="s">
        <v>27433</v>
      </c>
      <c r="L1314" t="s">
        <v>27434</v>
      </c>
      <c r="M1314" t="s">
        <v>27435</v>
      </c>
      <c r="N1314" t="s">
        <v>27436</v>
      </c>
      <c r="O1314">
        <f>-777.988623395474 -55.8242427074724 -720.474419527209</f>
        <v>-1554.2872856301553</v>
      </c>
      <c r="P1314">
        <f>-731.021784297181 -46.8033862601515 -407.586358936527</f>
        <v>-1185.4115294938595</v>
      </c>
      <c r="Q1314">
        <f>-479.858379817169 -26.1057942300313 -343.316679748947</f>
        <v>-849.28085379614731</v>
      </c>
      <c r="R1314" t="s">
        <v>27437</v>
      </c>
      <c r="S1314" t="s">
        <v>27438</v>
      </c>
      <c r="T1314" t="s">
        <v>27439</v>
      </c>
      <c r="U1314" t="s">
        <v>27440</v>
      </c>
      <c r="V1314" t="s">
        <v>27441</v>
      </c>
      <c r="W1314" t="s">
        <v>27442</v>
      </c>
      <c r="X1314" t="s">
        <v>27443</v>
      </c>
      <c r="Y1314" t="s">
        <v>27444</v>
      </c>
    </row>
    <row r="1315" spans="1:25" x14ac:dyDescent="0.3">
      <c r="A1315">
        <v>65700</v>
      </c>
      <c r="B1315" t="s">
        <v>27445</v>
      </c>
      <c r="C1315" t="s">
        <v>27446</v>
      </c>
      <c r="D1315" t="s">
        <v>27447</v>
      </c>
      <c r="E1315" t="s">
        <v>27448</v>
      </c>
      <c r="F1315" t="s">
        <v>27449</v>
      </c>
      <c r="G1315" t="s">
        <v>27450</v>
      </c>
      <c r="H1315" t="s">
        <v>27451</v>
      </c>
      <c r="I1315" t="s">
        <v>27452</v>
      </c>
      <c r="J1315" t="s">
        <v>27453</v>
      </c>
      <c r="K1315" t="s">
        <v>27454</v>
      </c>
      <c r="L1315" t="s">
        <v>27455</v>
      </c>
      <c r="M1315" t="s">
        <v>27456</v>
      </c>
      <c r="N1315" t="s">
        <v>27457</v>
      </c>
      <c r="O1315">
        <f>-778.295339093468 -55.7221921496148 -720.295750683021</f>
        <v>-1554.3132819261036</v>
      </c>
      <c r="P1315">
        <f>-730.503841114768 -46.5244557740564 -407.53783558711</f>
        <v>-1184.5661324759344</v>
      </c>
      <c r="Q1315">
        <f>-479.318071503666 -26.3277669339961 -343.195985704724</f>
        <v>-848.84182414238603</v>
      </c>
      <c r="R1315" t="s">
        <v>27458</v>
      </c>
      <c r="S1315" t="s">
        <v>27459</v>
      </c>
      <c r="T1315" t="s">
        <v>27460</v>
      </c>
      <c r="U1315" t="s">
        <v>27461</v>
      </c>
      <c r="V1315" t="s">
        <v>27462</v>
      </c>
      <c r="W1315" t="s">
        <v>27463</v>
      </c>
      <c r="X1315" t="s">
        <v>27464</v>
      </c>
      <c r="Y1315" t="s">
        <v>27465</v>
      </c>
    </row>
    <row r="1316" spans="1:25" x14ac:dyDescent="0.3">
      <c r="A1316">
        <v>65750</v>
      </c>
      <c r="B1316" t="s">
        <v>27466</v>
      </c>
      <c r="C1316" t="s">
        <v>27467</v>
      </c>
      <c r="D1316" t="s">
        <v>27468</v>
      </c>
      <c r="E1316" t="s">
        <v>27469</v>
      </c>
      <c r="F1316" t="s">
        <v>27470</v>
      </c>
      <c r="G1316" t="s">
        <v>27471</v>
      </c>
      <c r="H1316" t="s">
        <v>27472</v>
      </c>
      <c r="I1316" t="s">
        <v>27473</v>
      </c>
      <c r="J1316" t="s">
        <v>27474</v>
      </c>
      <c r="K1316" t="s">
        <v>27475</v>
      </c>
      <c r="L1316" t="s">
        <v>27476</v>
      </c>
      <c r="M1316" t="s">
        <v>27477</v>
      </c>
      <c r="N1316" t="s">
        <v>27478</v>
      </c>
      <c r="O1316">
        <f>-778.470706727618 -55.7179929396398 -720.079085097181</f>
        <v>-1554.2677847644386</v>
      </c>
      <c r="P1316">
        <f>-730.174283069876 -46.4190280012367 -407.401642061077</f>
        <v>-1183.9949531321897</v>
      </c>
      <c r="Q1316">
        <f>-478.94218451365 -26.3750379572662 -343.193182217643</f>
        <v>-848.51040468855922</v>
      </c>
      <c r="R1316" t="s">
        <v>27479</v>
      </c>
      <c r="S1316" t="s">
        <v>27480</v>
      </c>
      <c r="T1316" t="s">
        <v>27481</v>
      </c>
      <c r="U1316" t="s">
        <v>27482</v>
      </c>
      <c r="V1316" t="s">
        <v>27483</v>
      </c>
      <c r="W1316" t="s">
        <v>27484</v>
      </c>
      <c r="X1316" t="s">
        <v>27485</v>
      </c>
      <c r="Y1316" t="s">
        <v>27486</v>
      </c>
    </row>
    <row r="1317" spans="1:25" x14ac:dyDescent="0.3">
      <c r="A1317">
        <v>65800</v>
      </c>
      <c r="B1317" t="s">
        <v>27487</v>
      </c>
      <c r="C1317" t="s">
        <v>27488</v>
      </c>
      <c r="D1317" t="s">
        <v>27489</v>
      </c>
      <c r="E1317" t="s">
        <v>27490</v>
      </c>
      <c r="F1317" t="s">
        <v>27491</v>
      </c>
      <c r="G1317" t="s">
        <v>27492</v>
      </c>
      <c r="H1317" t="s">
        <v>27493</v>
      </c>
      <c r="I1317" t="s">
        <v>27494</v>
      </c>
      <c r="J1317" t="s">
        <v>27495</v>
      </c>
      <c r="K1317" t="s">
        <v>27496</v>
      </c>
      <c r="L1317" t="s">
        <v>27497</v>
      </c>
      <c r="M1317" t="s">
        <v>27498</v>
      </c>
      <c r="N1317" t="s">
        <v>27499</v>
      </c>
      <c r="O1317">
        <f>-778.295510532622 -55.7017330113304 -720.077173327235</f>
        <v>-1554.0744168711872</v>
      </c>
      <c r="P1317">
        <f>-729.589080487048 -45.6508266332528 -407.48666191457</f>
        <v>-1182.7265690348709</v>
      </c>
      <c r="Q1317">
        <f>-478.42896107935 -25.7881306077359 -342.941005481716</f>
        <v>-847.15809716880199</v>
      </c>
      <c r="R1317" t="s">
        <v>27500</v>
      </c>
      <c r="S1317" t="s">
        <v>27501</v>
      </c>
      <c r="T1317" t="s">
        <v>27502</v>
      </c>
      <c r="U1317" t="s">
        <v>27503</v>
      </c>
      <c r="V1317" t="s">
        <v>27504</v>
      </c>
      <c r="W1317" t="s">
        <v>27505</v>
      </c>
      <c r="X1317" t="s">
        <v>27506</v>
      </c>
      <c r="Y1317" t="s">
        <v>27507</v>
      </c>
    </row>
    <row r="1318" spans="1:25" x14ac:dyDescent="0.3">
      <c r="A1318">
        <v>65850</v>
      </c>
      <c r="B1318" t="s">
        <v>27508</v>
      </c>
      <c r="C1318" t="s">
        <v>27509</v>
      </c>
      <c r="D1318" t="s">
        <v>27510</v>
      </c>
      <c r="E1318" t="s">
        <v>27511</v>
      </c>
      <c r="F1318" t="s">
        <v>27512</v>
      </c>
      <c r="G1318" t="s">
        <v>27513</v>
      </c>
      <c r="H1318" t="s">
        <v>27514</v>
      </c>
      <c r="I1318" t="s">
        <v>27515</v>
      </c>
      <c r="J1318" t="s">
        <v>27516</v>
      </c>
      <c r="K1318" t="s">
        <v>27517</v>
      </c>
      <c r="L1318" t="s">
        <v>27518</v>
      </c>
      <c r="M1318" t="s">
        <v>27519</v>
      </c>
      <c r="N1318" t="s">
        <v>27520</v>
      </c>
      <c r="O1318">
        <f>-778.274264841466 -55.1226279020677 -720.262006929729</f>
        <v>-1553.6588996732626</v>
      </c>
      <c r="P1318">
        <f>-729.043150652468 -45.9783025519171 -407.725733689098</f>
        <v>-1182.7471868934831</v>
      </c>
      <c r="Q1318">
        <f>-478.064340116678 -26.2071331390214 -342.450883032905</f>
        <v>-846.72235628860437</v>
      </c>
      <c r="R1318" t="s">
        <v>27521</v>
      </c>
      <c r="S1318" t="s">
        <v>27522</v>
      </c>
      <c r="T1318" t="s">
        <v>27523</v>
      </c>
      <c r="U1318" t="s">
        <v>27524</v>
      </c>
      <c r="V1318" t="s">
        <v>27525</v>
      </c>
      <c r="W1318" t="s">
        <v>27526</v>
      </c>
      <c r="X1318" t="s">
        <v>27527</v>
      </c>
      <c r="Y1318" t="s">
        <v>27528</v>
      </c>
    </row>
    <row r="1319" spans="1:25" x14ac:dyDescent="0.3">
      <c r="A1319">
        <v>65900</v>
      </c>
      <c r="B1319" t="s">
        <v>27529</v>
      </c>
      <c r="C1319" t="s">
        <v>27530</v>
      </c>
      <c r="D1319" t="s">
        <v>27531</v>
      </c>
      <c r="E1319" t="s">
        <v>27532</v>
      </c>
      <c r="F1319" t="s">
        <v>27533</v>
      </c>
      <c r="G1319" t="s">
        <v>27534</v>
      </c>
      <c r="H1319" t="s">
        <v>27535</v>
      </c>
      <c r="I1319" t="s">
        <v>27536</v>
      </c>
      <c r="J1319" t="s">
        <v>27537</v>
      </c>
      <c r="K1319" t="s">
        <v>27538</v>
      </c>
      <c r="L1319" t="s">
        <v>27539</v>
      </c>
      <c r="M1319" t="s">
        <v>27540</v>
      </c>
      <c r="N1319" t="s">
        <v>27541</v>
      </c>
      <c r="O1319">
        <f>-778.276345359859 -55.1435334725034 -720.212184873112</f>
        <v>-1553.6320637054755</v>
      </c>
      <c r="P1319">
        <f>-728.65119066998 -45.0038688925579 -407.768960332235</f>
        <v>-1181.4240198947728</v>
      </c>
      <c r="Q1319">
        <f>-477.718232411965 -25.6758769605328 -342.185765776838</f>
        <v>-845.57987514933575</v>
      </c>
      <c r="R1319" t="s">
        <v>27542</v>
      </c>
      <c r="S1319" t="s">
        <v>27543</v>
      </c>
      <c r="T1319" t="s">
        <v>27544</v>
      </c>
      <c r="U1319" t="s">
        <v>27545</v>
      </c>
      <c r="V1319" t="s">
        <v>27546</v>
      </c>
      <c r="W1319" t="s">
        <v>27547</v>
      </c>
      <c r="X1319" t="s">
        <v>27548</v>
      </c>
      <c r="Y1319" t="s">
        <v>27549</v>
      </c>
    </row>
    <row r="1320" spans="1:25" x14ac:dyDescent="0.3">
      <c r="A1320">
        <v>65950</v>
      </c>
      <c r="B1320" t="s">
        <v>27550</v>
      </c>
      <c r="C1320" t="s">
        <v>27551</v>
      </c>
      <c r="D1320" t="s">
        <v>27552</v>
      </c>
      <c r="E1320" t="s">
        <v>27553</v>
      </c>
      <c r="F1320" t="s">
        <v>27554</v>
      </c>
      <c r="G1320" t="s">
        <v>27555</v>
      </c>
      <c r="H1320" t="s">
        <v>27556</v>
      </c>
      <c r="I1320" t="s">
        <v>27557</v>
      </c>
      <c r="J1320" t="s">
        <v>27558</v>
      </c>
      <c r="K1320" t="s">
        <v>27559</v>
      </c>
      <c r="L1320" t="s">
        <v>27560</v>
      </c>
      <c r="M1320" t="s">
        <v>27561</v>
      </c>
      <c r="N1320" t="s">
        <v>27562</v>
      </c>
      <c r="O1320">
        <f>-778.098573298454 -55.072099922638 -720.346720200773</f>
        <v>-1553.5173934218651</v>
      </c>
      <c r="P1320">
        <f>-728.15500821253 -45.4748043272805 -407.937180364472</f>
        <v>-1181.5669929042824</v>
      </c>
      <c r="Q1320">
        <f>-477.093473034989 -26.3380658190219 -342.791706960971</f>
        <v>-846.22324581498196</v>
      </c>
      <c r="R1320" t="s">
        <v>27563</v>
      </c>
      <c r="S1320" t="s">
        <v>27564</v>
      </c>
      <c r="T1320" t="s">
        <v>27565</v>
      </c>
      <c r="U1320" t="s">
        <v>27566</v>
      </c>
      <c r="V1320" t="s">
        <v>27567</v>
      </c>
      <c r="W1320" t="s">
        <v>27568</v>
      </c>
      <c r="X1320" t="s">
        <v>27569</v>
      </c>
      <c r="Y1320" t="s">
        <v>27570</v>
      </c>
    </row>
    <row r="1321" spans="1:25" x14ac:dyDescent="0.3">
      <c r="A1321">
        <v>66000</v>
      </c>
      <c r="B1321" t="s">
        <v>27571</v>
      </c>
      <c r="C1321" t="s">
        <v>27572</v>
      </c>
      <c r="D1321" t="s">
        <v>27573</v>
      </c>
      <c r="E1321" t="s">
        <v>27574</v>
      </c>
      <c r="F1321" t="s">
        <v>27575</v>
      </c>
      <c r="G1321" t="s">
        <v>27576</v>
      </c>
      <c r="H1321" t="s">
        <v>27577</v>
      </c>
      <c r="I1321" t="s">
        <v>27578</v>
      </c>
      <c r="J1321" t="s">
        <v>27579</v>
      </c>
      <c r="K1321" t="s">
        <v>27580</v>
      </c>
      <c r="L1321" t="s">
        <v>27581</v>
      </c>
      <c r="M1321" t="s">
        <v>27582</v>
      </c>
      <c r="N1321" t="s">
        <v>27583</v>
      </c>
      <c r="O1321">
        <f>-778.130539952342 -55.3168631184049 -720.189589533887</f>
        <v>-1553.6369926046339</v>
      </c>
      <c r="P1321">
        <f>-727.912625481239 -45.8120376603702 -407.821222926087</f>
        <v>-1181.5458860676963</v>
      </c>
      <c r="Q1321">
        <f>-476.775392904635 -26.9834422008887 -342.877969190112</f>
        <v>-846.63680429563578</v>
      </c>
      <c r="R1321" t="s">
        <v>27584</v>
      </c>
      <c r="S1321" t="s">
        <v>27585</v>
      </c>
      <c r="T1321" t="s">
        <v>27586</v>
      </c>
      <c r="U1321" t="s">
        <v>27587</v>
      </c>
      <c r="V1321" t="s">
        <v>27588</v>
      </c>
      <c r="W1321" t="s">
        <v>27589</v>
      </c>
      <c r="X1321" t="s">
        <v>27590</v>
      </c>
      <c r="Y1321" t="s">
        <v>27591</v>
      </c>
    </row>
    <row r="1322" spans="1:25" x14ac:dyDescent="0.3">
      <c r="A1322">
        <v>66050</v>
      </c>
      <c r="B1322" t="s">
        <v>27592</v>
      </c>
      <c r="C1322" t="s">
        <v>27593</v>
      </c>
      <c r="D1322" t="s">
        <v>27594</v>
      </c>
      <c r="E1322" t="s">
        <v>27595</v>
      </c>
      <c r="F1322" t="s">
        <v>27596</v>
      </c>
      <c r="G1322" t="s">
        <v>27597</v>
      </c>
      <c r="H1322" t="s">
        <v>27598</v>
      </c>
      <c r="I1322" t="s">
        <v>27599</v>
      </c>
      <c r="J1322" t="s">
        <v>27600</v>
      </c>
      <c r="K1322" t="s">
        <v>27601</v>
      </c>
      <c r="L1322" t="s">
        <v>27602</v>
      </c>
      <c r="M1322" t="s">
        <v>27603</v>
      </c>
      <c r="N1322" t="s">
        <v>27604</v>
      </c>
      <c r="O1322">
        <f>-778.08936256869 -56.2493804419626 -719.705074795072</f>
        <v>-1554.0438178057248</v>
      </c>
      <c r="P1322">
        <f>-726.965279252678 -46.8867522709565 -407.479506550371</f>
        <v>-1181.3315380740055</v>
      </c>
      <c r="Q1322">
        <f>-475.665117525347 -29.0276975516122 -342.893740035781</f>
        <v>-847.58655511274014</v>
      </c>
      <c r="R1322" t="s">
        <v>27605</v>
      </c>
      <c r="S1322" t="s">
        <v>27606</v>
      </c>
      <c r="T1322" t="s">
        <v>27607</v>
      </c>
      <c r="U1322" t="s">
        <v>27608</v>
      </c>
      <c r="V1322" t="s">
        <v>27609</v>
      </c>
      <c r="W1322" t="s">
        <v>27610</v>
      </c>
      <c r="X1322" t="s">
        <v>27611</v>
      </c>
      <c r="Y1322" t="s">
        <v>27612</v>
      </c>
    </row>
    <row r="1323" spans="1:25" x14ac:dyDescent="0.3">
      <c r="A1323">
        <v>66100</v>
      </c>
      <c r="B1323" t="s">
        <v>27613</v>
      </c>
      <c r="C1323" t="s">
        <v>27614</v>
      </c>
      <c r="D1323" t="s">
        <v>27615</v>
      </c>
      <c r="E1323" t="s">
        <v>27616</v>
      </c>
      <c r="F1323" t="s">
        <v>27617</v>
      </c>
      <c r="G1323" t="s">
        <v>27618</v>
      </c>
      <c r="H1323" t="s">
        <v>27619</v>
      </c>
      <c r="I1323" t="s">
        <v>27620</v>
      </c>
      <c r="J1323" t="s">
        <v>27621</v>
      </c>
      <c r="K1323" t="s">
        <v>27622</v>
      </c>
      <c r="L1323" t="s">
        <v>27623</v>
      </c>
      <c r="M1323" t="s">
        <v>27624</v>
      </c>
      <c r="N1323" t="s">
        <v>27625</v>
      </c>
      <c r="O1323">
        <f>-778.276583122058 -56.5742088880984 -719.481795465275</f>
        <v>-1554.3325874754314</v>
      </c>
      <c r="P1323">
        <f>-726.633509224322 -47.2635086108091 -407.340049638538</f>
        <v>-1181.2370674736692</v>
      </c>
      <c r="Q1323">
        <f>-475.233129895303 -29.6467833412512 -343.078092873239</f>
        <v>-847.95800610979313</v>
      </c>
      <c r="R1323" t="s">
        <v>27626</v>
      </c>
      <c r="S1323" t="s">
        <v>27627</v>
      </c>
      <c r="T1323" t="s">
        <v>27628</v>
      </c>
      <c r="U1323" t="s">
        <v>27629</v>
      </c>
      <c r="V1323" t="s">
        <v>27630</v>
      </c>
      <c r="W1323" t="s">
        <v>27631</v>
      </c>
      <c r="X1323" t="s">
        <v>27632</v>
      </c>
      <c r="Y1323" t="s">
        <v>27633</v>
      </c>
    </row>
    <row r="1324" spans="1:25" x14ac:dyDescent="0.3">
      <c r="A1324">
        <v>66150</v>
      </c>
      <c r="B1324" t="s">
        <v>27634</v>
      </c>
      <c r="C1324" t="s">
        <v>27635</v>
      </c>
      <c r="D1324" t="s">
        <v>27636</v>
      </c>
      <c r="E1324" t="s">
        <v>27637</v>
      </c>
      <c r="F1324" t="s">
        <v>27638</v>
      </c>
      <c r="G1324" t="s">
        <v>27639</v>
      </c>
      <c r="H1324" t="s">
        <v>27640</v>
      </c>
      <c r="I1324" t="s">
        <v>27641</v>
      </c>
      <c r="J1324" t="s">
        <v>27642</v>
      </c>
      <c r="K1324" t="s">
        <v>27643</v>
      </c>
      <c r="L1324" t="s">
        <v>27644</v>
      </c>
      <c r="M1324" t="s">
        <v>27645</v>
      </c>
      <c r="N1324" t="s">
        <v>27646</v>
      </c>
      <c r="O1324">
        <f>-778.317231965399 -56.7571052714461 -719.286040668732</f>
        <v>-1554.360377905577</v>
      </c>
      <c r="P1324">
        <f>-726.396641204046 -46.9142385516695 -407.206692202618</f>
        <v>-1180.5175719583335</v>
      </c>
      <c r="Q1324">
        <f>-474.965157589728 -29.4271810560383 -343.031360343108</f>
        <v>-847.42369898887432</v>
      </c>
      <c r="R1324" t="s">
        <v>27647</v>
      </c>
      <c r="S1324" t="s">
        <v>27648</v>
      </c>
      <c r="T1324" t="s">
        <v>27649</v>
      </c>
      <c r="U1324" t="s">
        <v>27650</v>
      </c>
      <c r="V1324" t="s">
        <v>27651</v>
      </c>
      <c r="W1324" t="s">
        <v>27652</v>
      </c>
      <c r="X1324" t="s">
        <v>27653</v>
      </c>
      <c r="Y1324" t="s">
        <v>27654</v>
      </c>
    </row>
    <row r="1325" spans="1:25" x14ac:dyDescent="0.3">
      <c r="A1325">
        <v>66200</v>
      </c>
      <c r="B1325" t="s">
        <v>27655</v>
      </c>
      <c r="C1325" t="s">
        <v>27656</v>
      </c>
      <c r="D1325" t="s">
        <v>27657</v>
      </c>
      <c r="E1325" t="s">
        <v>27658</v>
      </c>
      <c r="F1325" t="s">
        <v>27659</v>
      </c>
      <c r="G1325" t="s">
        <v>27660</v>
      </c>
      <c r="H1325" t="s">
        <v>27661</v>
      </c>
      <c r="I1325" t="s">
        <v>27662</v>
      </c>
      <c r="J1325" t="s">
        <v>27663</v>
      </c>
      <c r="K1325" t="s">
        <v>27664</v>
      </c>
      <c r="L1325" t="s">
        <v>27665</v>
      </c>
      <c r="M1325" t="s">
        <v>27666</v>
      </c>
      <c r="N1325" t="s">
        <v>27667</v>
      </c>
      <c r="O1325">
        <f>-777.993606821537 -56.9151009027248 -719.285427954997</f>
        <v>-1554.1941356792588</v>
      </c>
      <c r="P1325">
        <f>-726.041886013779 -46.7556409436281 -407.221371590706</f>
        <v>-1180.0188985481132</v>
      </c>
      <c r="Q1325">
        <f>-474.666405943864 -28.9703362482842 -342.90853392586</f>
        <v>-846.54527611800813</v>
      </c>
      <c r="R1325" t="s">
        <v>27668</v>
      </c>
      <c r="S1325" t="s">
        <v>27669</v>
      </c>
      <c r="T1325" t="s">
        <v>27670</v>
      </c>
      <c r="U1325" t="s">
        <v>27671</v>
      </c>
      <c r="V1325" t="s">
        <v>27672</v>
      </c>
      <c r="W1325" t="s">
        <v>27673</v>
      </c>
      <c r="X1325" t="s">
        <v>27674</v>
      </c>
      <c r="Y1325" t="s">
        <v>27675</v>
      </c>
    </row>
    <row r="1326" spans="1:25" x14ac:dyDescent="0.3">
      <c r="A1326">
        <v>66250</v>
      </c>
      <c r="B1326" t="s">
        <v>27676</v>
      </c>
      <c r="C1326" t="s">
        <v>27677</v>
      </c>
      <c r="D1326" t="s">
        <v>27678</v>
      </c>
      <c r="E1326" t="s">
        <v>27679</v>
      </c>
      <c r="F1326" t="s">
        <v>27680</v>
      </c>
      <c r="G1326" t="s">
        <v>27681</v>
      </c>
      <c r="H1326" t="s">
        <v>27682</v>
      </c>
      <c r="I1326" t="s">
        <v>27683</v>
      </c>
      <c r="J1326" t="s">
        <v>27684</v>
      </c>
      <c r="K1326" t="s">
        <v>27685</v>
      </c>
      <c r="L1326" t="s">
        <v>27686</v>
      </c>
      <c r="M1326" t="s">
        <v>27687</v>
      </c>
      <c r="N1326" t="s">
        <v>27688</v>
      </c>
      <c r="O1326">
        <f>-777.622375853014 -57.1141953340984 -719.205446735287</f>
        <v>-1553.9420179223994</v>
      </c>
      <c r="P1326">
        <f>-725.794143918056 -46.6200084505056 -407.131806858893</f>
        <v>-1179.5459592274547</v>
      </c>
      <c r="Q1326">
        <f>-474.454533701634 -28.6854491525344 -342.7204378093</f>
        <v>-845.8604206634684</v>
      </c>
      <c r="R1326" t="s">
        <v>27689</v>
      </c>
      <c r="S1326" t="s">
        <v>27690</v>
      </c>
      <c r="T1326" t="s">
        <v>27691</v>
      </c>
      <c r="U1326" t="s">
        <v>27692</v>
      </c>
      <c r="V1326" t="s">
        <v>27693</v>
      </c>
      <c r="W1326" t="s">
        <v>27694</v>
      </c>
      <c r="X1326" t="s">
        <v>27695</v>
      </c>
      <c r="Y1326" t="s">
        <v>27696</v>
      </c>
    </row>
    <row r="1327" spans="1:25" x14ac:dyDescent="0.3">
      <c r="A1327">
        <v>66300</v>
      </c>
      <c r="B1327" t="s">
        <v>27697</v>
      </c>
      <c r="C1327" t="s">
        <v>27698</v>
      </c>
      <c r="D1327" t="s">
        <v>27699</v>
      </c>
      <c r="E1327" t="s">
        <v>27700</v>
      </c>
      <c r="F1327" t="s">
        <v>27701</v>
      </c>
      <c r="G1327" t="s">
        <v>27702</v>
      </c>
      <c r="H1327" t="s">
        <v>27703</v>
      </c>
      <c r="I1327" t="s">
        <v>27704</v>
      </c>
      <c r="J1327" t="s">
        <v>27705</v>
      </c>
      <c r="K1327" t="s">
        <v>27706</v>
      </c>
      <c r="L1327" t="s">
        <v>27707</v>
      </c>
      <c r="M1327" t="s">
        <v>27708</v>
      </c>
      <c r="N1327" t="s">
        <v>27709</v>
      </c>
      <c r="O1327">
        <f>-776.534192288078 -57.6250153973749 -719.199599763719</f>
        <v>-1553.3588074491718</v>
      </c>
      <c r="P1327">
        <f>-725.209920628745 -47.0419798763778 -407.045763243178</f>
        <v>-1179.2976637483007</v>
      </c>
      <c r="Q1327">
        <f>-473.903335050397 -28.7361999134196 -342.609924539151</f>
        <v>-845.24945950296762</v>
      </c>
      <c r="R1327" t="s">
        <v>27710</v>
      </c>
      <c r="S1327" t="s">
        <v>27711</v>
      </c>
      <c r="T1327" t="s">
        <v>27712</v>
      </c>
      <c r="U1327" t="s">
        <v>27713</v>
      </c>
      <c r="V1327" t="s">
        <v>27714</v>
      </c>
      <c r="W1327" t="s">
        <v>27715</v>
      </c>
      <c r="X1327" t="s">
        <v>27716</v>
      </c>
      <c r="Y1327" t="s">
        <v>27717</v>
      </c>
    </row>
    <row r="1328" spans="1:25" x14ac:dyDescent="0.3">
      <c r="A1328">
        <v>66350</v>
      </c>
      <c r="B1328" t="s">
        <v>27718</v>
      </c>
      <c r="C1328" t="s">
        <v>27719</v>
      </c>
      <c r="D1328" t="s">
        <v>27720</v>
      </c>
      <c r="E1328" t="s">
        <v>27721</v>
      </c>
      <c r="F1328" t="s">
        <v>27722</v>
      </c>
      <c r="G1328" t="s">
        <v>27723</v>
      </c>
      <c r="H1328" t="s">
        <v>27724</v>
      </c>
      <c r="I1328" t="s">
        <v>27725</v>
      </c>
      <c r="J1328" t="s">
        <v>27726</v>
      </c>
      <c r="K1328" t="s">
        <v>27727</v>
      </c>
      <c r="L1328" t="s">
        <v>27728</v>
      </c>
      <c r="M1328" t="s">
        <v>27729</v>
      </c>
      <c r="N1328" t="s">
        <v>27730</v>
      </c>
      <c r="O1328">
        <f>-776.947882674468 -57.5289804481072 -719.42256537101</f>
        <v>-1553.8994284935852</v>
      </c>
      <c r="P1328">
        <f>-726.402664140523 -46.1773305427148 -407.168756688028</f>
        <v>-1179.7487513712658</v>
      </c>
      <c r="Q1328">
        <f>-475.165143128539 -26.9849947438747 -342.721602190946</f>
        <v>-844.87174006335977</v>
      </c>
      <c r="R1328" t="s">
        <v>27731</v>
      </c>
      <c r="S1328" t="s">
        <v>27732</v>
      </c>
      <c r="T1328" t="s">
        <v>27733</v>
      </c>
      <c r="U1328" t="s">
        <v>27734</v>
      </c>
      <c r="V1328" t="s">
        <v>27735</v>
      </c>
      <c r="W1328" t="s">
        <v>27736</v>
      </c>
      <c r="X1328" t="s">
        <v>27737</v>
      </c>
      <c r="Y1328" t="s">
        <v>27738</v>
      </c>
    </row>
    <row r="1329" spans="1:25" x14ac:dyDescent="0.3">
      <c r="A1329">
        <v>66400</v>
      </c>
      <c r="B1329" t="s">
        <v>27739</v>
      </c>
      <c r="C1329" t="s">
        <v>27740</v>
      </c>
      <c r="D1329" t="s">
        <v>27741</v>
      </c>
      <c r="E1329" t="s">
        <v>27742</v>
      </c>
      <c r="F1329" t="s">
        <v>27743</v>
      </c>
      <c r="G1329" t="s">
        <v>27744</v>
      </c>
      <c r="H1329" t="s">
        <v>27745</v>
      </c>
      <c r="I1329" t="s">
        <v>27746</v>
      </c>
      <c r="J1329" t="s">
        <v>27747</v>
      </c>
      <c r="K1329" t="s">
        <v>27748</v>
      </c>
      <c r="L1329" t="s">
        <v>27749</v>
      </c>
      <c r="M1329" t="s">
        <v>27750</v>
      </c>
      <c r="N1329" t="s">
        <v>27751</v>
      </c>
      <c r="O1329">
        <f>-777.453811082505 -57.107081342863 -719.58440737148</f>
        <v>-1554.1452997968481</v>
      </c>
      <c r="P1329">
        <f>-727.175231082535 -46.0511685592242 -407.276919009328</f>
        <v>-1180.5033186510873</v>
      </c>
      <c r="Q1329">
        <f>-475.987720821922 -26.5490372818394 -342.727938202691</f>
        <v>-845.26469630645238</v>
      </c>
      <c r="R1329" t="s">
        <v>27752</v>
      </c>
      <c r="S1329" t="s">
        <v>27753</v>
      </c>
      <c r="T1329" t="s">
        <v>27754</v>
      </c>
      <c r="U1329" t="s">
        <v>27755</v>
      </c>
      <c r="V1329" t="s">
        <v>27756</v>
      </c>
      <c r="W1329" t="s">
        <v>27757</v>
      </c>
      <c r="X1329" t="s">
        <v>27758</v>
      </c>
      <c r="Y1329" t="s">
        <v>27759</v>
      </c>
    </row>
    <row r="1330" spans="1:25" x14ac:dyDescent="0.3">
      <c r="A1330">
        <v>66450</v>
      </c>
      <c r="B1330" t="s">
        <v>27760</v>
      </c>
      <c r="C1330" t="s">
        <v>27761</v>
      </c>
      <c r="D1330" t="s">
        <v>27762</v>
      </c>
      <c r="E1330" t="s">
        <v>27763</v>
      </c>
      <c r="F1330" t="s">
        <v>27764</v>
      </c>
      <c r="G1330" t="s">
        <v>27765</v>
      </c>
      <c r="H1330" t="s">
        <v>27766</v>
      </c>
      <c r="I1330" t="s">
        <v>27767</v>
      </c>
      <c r="J1330" t="s">
        <v>27768</v>
      </c>
      <c r="K1330" t="s">
        <v>27769</v>
      </c>
      <c r="L1330" t="s">
        <v>27770</v>
      </c>
      <c r="M1330" t="s">
        <v>27771</v>
      </c>
      <c r="N1330" t="s">
        <v>27772</v>
      </c>
      <c r="O1330">
        <f>-779.290855085506 -56.0231245653727 -719.699038182154</f>
        <v>-1555.0130178330328</v>
      </c>
      <c r="P1330">
        <f>-728.537601856906 -45.351504999566 -407.454957967012</f>
        <v>-1181.3440648234841</v>
      </c>
      <c r="Q1330">
        <f>-477.326062234007 -25.685777576005 -343.049608345251</f>
        <v>-846.06144815526295</v>
      </c>
      <c r="R1330" t="s">
        <v>27773</v>
      </c>
      <c r="S1330" t="s">
        <v>27774</v>
      </c>
      <c r="T1330" t="s">
        <v>27775</v>
      </c>
      <c r="U1330" t="s">
        <v>27776</v>
      </c>
      <c r="V1330" t="s">
        <v>27777</v>
      </c>
      <c r="W1330" t="s">
        <v>27778</v>
      </c>
      <c r="X1330" t="s">
        <v>27779</v>
      </c>
      <c r="Y1330" t="s">
        <v>27780</v>
      </c>
    </row>
    <row r="1331" spans="1:25" x14ac:dyDescent="0.3">
      <c r="A1331">
        <v>66500</v>
      </c>
      <c r="B1331" t="s">
        <v>27781</v>
      </c>
      <c r="C1331" t="s">
        <v>27782</v>
      </c>
      <c r="D1331" t="s">
        <v>27783</v>
      </c>
      <c r="E1331" t="s">
        <v>27784</v>
      </c>
      <c r="F1331" t="s">
        <v>27785</v>
      </c>
      <c r="G1331" t="s">
        <v>27786</v>
      </c>
      <c r="H1331" t="s">
        <v>27787</v>
      </c>
      <c r="I1331" t="s">
        <v>27788</v>
      </c>
      <c r="J1331" t="s">
        <v>27789</v>
      </c>
      <c r="K1331" t="s">
        <v>27790</v>
      </c>
      <c r="L1331" t="s">
        <v>27791</v>
      </c>
      <c r="M1331" t="s">
        <v>27792</v>
      </c>
      <c r="N1331" t="s">
        <v>27793</v>
      </c>
      <c r="O1331">
        <f>-780.159464798684 -55.6828193230981 -719.63520845118</f>
        <v>-1555.4774925729621</v>
      </c>
      <c r="P1331">
        <f>-729.302809130744 -45.1808269826859 -407.402085427713</f>
        <v>-1181.8857215411429</v>
      </c>
      <c r="Q1331">
        <f>-478.026588887424 -25.8259966294399 -343.154762433283</f>
        <v>-847.00734795014682</v>
      </c>
      <c r="R1331" t="s">
        <v>27794</v>
      </c>
      <c r="S1331" t="s">
        <v>27795</v>
      </c>
      <c r="T1331" t="s">
        <v>27796</v>
      </c>
      <c r="U1331" t="s">
        <v>27797</v>
      </c>
      <c r="V1331" t="s">
        <v>27798</v>
      </c>
      <c r="W1331" t="s">
        <v>27799</v>
      </c>
      <c r="X1331" t="s">
        <v>27800</v>
      </c>
      <c r="Y1331" t="s">
        <v>27801</v>
      </c>
    </row>
    <row r="1332" spans="1:25" x14ac:dyDescent="0.3">
      <c r="A1332">
        <v>66550</v>
      </c>
      <c r="B1332" t="s">
        <v>27802</v>
      </c>
      <c r="C1332" t="s">
        <v>27803</v>
      </c>
      <c r="D1332" t="s">
        <v>27804</v>
      </c>
      <c r="E1332" t="s">
        <v>27805</v>
      </c>
      <c r="F1332" t="s">
        <v>27806</v>
      </c>
      <c r="G1332" t="s">
        <v>27807</v>
      </c>
      <c r="H1332" t="s">
        <v>27808</v>
      </c>
      <c r="I1332" t="s">
        <v>27809</v>
      </c>
      <c r="J1332" t="s">
        <v>27810</v>
      </c>
      <c r="K1332" t="s">
        <v>27811</v>
      </c>
      <c r="L1332" t="s">
        <v>27812</v>
      </c>
      <c r="M1332" t="s">
        <v>27813</v>
      </c>
      <c r="N1332" t="s">
        <v>27814</v>
      </c>
      <c r="O1332">
        <f>-781.679440793338 -55.3665899294379 -719.464214348225</f>
        <v>-1556.510245071001</v>
      </c>
      <c r="P1332">
        <f>-730.83663012593 -45.112936649622 -407.220513063539</f>
        <v>-1183.1700798390912</v>
      </c>
      <c r="Q1332">
        <f>-479.415322798448 -27.111319500443 -343.147801213289</f>
        <v>-849.67444351218001</v>
      </c>
      <c r="R1332" t="s">
        <v>27815</v>
      </c>
      <c r="S1332" t="s">
        <v>27816</v>
      </c>
      <c r="T1332" t="s">
        <v>27817</v>
      </c>
      <c r="U1332" t="s">
        <v>27818</v>
      </c>
      <c r="V1332" t="s">
        <v>27819</v>
      </c>
      <c r="W1332" t="s">
        <v>27820</v>
      </c>
      <c r="X1332" t="s">
        <v>27821</v>
      </c>
      <c r="Y1332" t="s">
        <v>27822</v>
      </c>
    </row>
    <row r="1333" spans="1:25" x14ac:dyDescent="0.3">
      <c r="A1333">
        <v>66600</v>
      </c>
      <c r="B1333" t="s">
        <v>27823</v>
      </c>
      <c r="C1333" t="s">
        <v>27824</v>
      </c>
      <c r="D1333" t="s">
        <v>27825</v>
      </c>
      <c r="E1333" t="s">
        <v>27826</v>
      </c>
      <c r="F1333" t="s">
        <v>27827</v>
      </c>
      <c r="G1333" t="s">
        <v>27828</v>
      </c>
      <c r="H1333" t="s">
        <v>27829</v>
      </c>
      <c r="I1333" t="s">
        <v>27830</v>
      </c>
      <c r="J1333" t="s">
        <v>27831</v>
      </c>
      <c r="K1333" t="s">
        <v>27832</v>
      </c>
      <c r="L1333" t="s">
        <v>27833</v>
      </c>
      <c r="M1333" t="s">
        <v>27834</v>
      </c>
      <c r="N1333" t="s">
        <v>27835</v>
      </c>
      <c r="O1333">
        <f>-782.551350365797 -55.0771199440233 -719.384366572147</f>
        <v>-1557.0128368819674</v>
      </c>
      <c r="P1333">
        <f>-731.587949096899 -44.939897032308 -407.156576257744</f>
        <v>-1183.6844223869509</v>
      </c>
      <c r="Q1333">
        <f>-480.130711733867 -27.808040712011 -342.986546437744</f>
        <v>-850.92529888362196</v>
      </c>
      <c r="R1333" t="s">
        <v>27836</v>
      </c>
      <c r="S1333" t="s">
        <v>27837</v>
      </c>
      <c r="T1333" t="s">
        <v>27838</v>
      </c>
      <c r="U1333" t="s">
        <v>27839</v>
      </c>
      <c r="V1333" t="s">
        <v>27840</v>
      </c>
      <c r="W1333" t="s">
        <v>27841</v>
      </c>
      <c r="X1333" t="s">
        <v>27842</v>
      </c>
      <c r="Y1333" t="s">
        <v>27843</v>
      </c>
    </row>
    <row r="1334" spans="1:25" x14ac:dyDescent="0.3">
      <c r="A1334">
        <v>66650</v>
      </c>
      <c r="B1334" t="s">
        <v>27844</v>
      </c>
      <c r="C1334" t="s">
        <v>27845</v>
      </c>
      <c r="D1334" t="s">
        <v>27846</v>
      </c>
      <c r="E1334" t="s">
        <v>27847</v>
      </c>
      <c r="F1334" t="s">
        <v>27848</v>
      </c>
      <c r="G1334" t="s">
        <v>27849</v>
      </c>
      <c r="H1334" t="s">
        <v>27850</v>
      </c>
      <c r="I1334" t="s">
        <v>27851</v>
      </c>
      <c r="J1334" t="s">
        <v>27852</v>
      </c>
      <c r="K1334" t="s">
        <v>27853</v>
      </c>
      <c r="L1334" t="s">
        <v>27854</v>
      </c>
      <c r="M1334" t="s">
        <v>27855</v>
      </c>
      <c r="N1334" t="s">
        <v>27856</v>
      </c>
      <c r="O1334">
        <f>-783.523156549228 -54.7342310309314 -719.363300633059</f>
        <v>-1557.6206882132183</v>
      </c>
      <c r="P1334">
        <f>-732.58311414048 -44.5634928137692 -407.132824299233</f>
        <v>-1184.2794312534822</v>
      </c>
      <c r="Q1334">
        <f>-481.098022261418 -29.2711508465002 -342.607787950834</f>
        <v>-852.97696105875218</v>
      </c>
      <c r="R1334" t="s">
        <v>27857</v>
      </c>
      <c r="S1334" t="s">
        <v>27858</v>
      </c>
      <c r="T1334" t="s">
        <v>27859</v>
      </c>
      <c r="U1334" t="s">
        <v>27860</v>
      </c>
      <c r="V1334" t="s">
        <v>27861</v>
      </c>
      <c r="W1334" t="s">
        <v>27862</v>
      </c>
      <c r="X1334" t="s">
        <v>27863</v>
      </c>
      <c r="Y1334" t="s">
        <v>27864</v>
      </c>
    </row>
    <row r="1335" spans="1:25" x14ac:dyDescent="0.3">
      <c r="A1335">
        <v>66700</v>
      </c>
      <c r="B1335" t="s">
        <v>27865</v>
      </c>
      <c r="C1335" t="s">
        <v>27866</v>
      </c>
      <c r="D1335" t="s">
        <v>27867</v>
      </c>
      <c r="E1335" t="s">
        <v>27868</v>
      </c>
      <c r="F1335" t="s">
        <v>27869</v>
      </c>
      <c r="G1335" t="s">
        <v>27870</v>
      </c>
      <c r="H1335" t="s">
        <v>27871</v>
      </c>
      <c r="I1335" t="s">
        <v>27872</v>
      </c>
      <c r="J1335" t="s">
        <v>27873</v>
      </c>
      <c r="K1335" t="s">
        <v>27874</v>
      </c>
      <c r="L1335" t="s">
        <v>27875</v>
      </c>
      <c r="M1335" t="s">
        <v>27876</v>
      </c>
      <c r="N1335" t="s">
        <v>27877</v>
      </c>
      <c r="O1335">
        <f>-783.737502117922 -54.7912350042022 -719.360406151648</f>
        <v>-1557.8891432737723</v>
      </c>
      <c r="P1335">
        <f>-732.884056101665 -44.4910886192638 -407.120166390221</f>
        <v>-1184.4953111111499</v>
      </c>
      <c r="Q1335">
        <f>-481.430148670436 -30.0352297986265 -342.281729192212</f>
        <v>-853.74710766127453</v>
      </c>
      <c r="R1335" t="s">
        <v>27878</v>
      </c>
      <c r="S1335" t="s">
        <v>27879</v>
      </c>
      <c r="T1335" t="s">
        <v>27880</v>
      </c>
      <c r="U1335" t="s">
        <v>27881</v>
      </c>
      <c r="V1335" t="s">
        <v>27882</v>
      </c>
      <c r="W1335" t="s">
        <v>27883</v>
      </c>
      <c r="X1335" t="s">
        <v>27884</v>
      </c>
      <c r="Y1335" t="s">
        <v>27885</v>
      </c>
    </row>
    <row r="1336" spans="1:25" x14ac:dyDescent="0.3">
      <c r="A1336">
        <v>66750</v>
      </c>
      <c r="B1336" t="s">
        <v>27886</v>
      </c>
      <c r="C1336" t="s">
        <v>27887</v>
      </c>
      <c r="D1336" t="s">
        <v>27888</v>
      </c>
      <c r="E1336" t="s">
        <v>27889</v>
      </c>
      <c r="F1336" t="s">
        <v>27890</v>
      </c>
      <c r="G1336" t="s">
        <v>27891</v>
      </c>
      <c r="H1336" t="s">
        <v>27892</v>
      </c>
      <c r="I1336" t="s">
        <v>27893</v>
      </c>
      <c r="J1336" t="s">
        <v>27894</v>
      </c>
      <c r="K1336" t="s">
        <v>27895</v>
      </c>
      <c r="L1336" t="s">
        <v>27896</v>
      </c>
      <c r="M1336" t="s">
        <v>27897</v>
      </c>
      <c r="N1336" t="s">
        <v>27898</v>
      </c>
      <c r="O1336">
        <f>-783.431074982803 -55.3887818846792 -719.419204972184</f>
        <v>-1558.2390618396662</v>
      </c>
      <c r="P1336">
        <f>-732.665474922122 -45.1337865847497 -407.163064026479</f>
        <v>-1184.9623255333508</v>
      </c>
      <c r="Q1336">
        <f>-481.218129632674 -31.7215528709248 -342.075939724674</f>
        <v>-855.01562222827283</v>
      </c>
      <c r="R1336" t="s">
        <v>27899</v>
      </c>
      <c r="S1336" t="s">
        <v>27900</v>
      </c>
      <c r="T1336" t="s">
        <v>27901</v>
      </c>
      <c r="U1336" t="s">
        <v>27902</v>
      </c>
      <c r="V1336" t="s">
        <v>27903</v>
      </c>
      <c r="W1336" t="s">
        <v>27904</v>
      </c>
      <c r="X1336" t="s">
        <v>27905</v>
      </c>
      <c r="Y1336" t="s">
        <v>27906</v>
      </c>
    </row>
    <row r="1337" spans="1:25" x14ac:dyDescent="0.3">
      <c r="A1337">
        <v>66800</v>
      </c>
      <c r="B1337" t="s">
        <v>27907</v>
      </c>
      <c r="C1337" t="s">
        <v>27908</v>
      </c>
      <c r="D1337" t="s">
        <v>27909</v>
      </c>
      <c r="E1337" t="s">
        <v>27910</v>
      </c>
      <c r="F1337" t="s">
        <v>27911</v>
      </c>
      <c r="G1337" t="s">
        <v>27912</v>
      </c>
      <c r="H1337" t="s">
        <v>27913</v>
      </c>
      <c r="I1337" t="s">
        <v>27914</v>
      </c>
      <c r="J1337" t="s">
        <v>27915</v>
      </c>
      <c r="K1337" t="s">
        <v>27916</v>
      </c>
      <c r="L1337" t="s">
        <v>27917</v>
      </c>
      <c r="M1337" t="s">
        <v>27918</v>
      </c>
      <c r="N1337" t="s">
        <v>27919</v>
      </c>
      <c r="O1337">
        <f>-783.401496459281 -55.7071870544987 -719.471479046238</f>
        <v>-1558.5801625600177</v>
      </c>
      <c r="P1337">
        <f>-732.523803359544 -45.4858077282486 -407.232607283513</f>
        <v>-1185.2422183713056</v>
      </c>
      <c r="Q1337">
        <f>-481.118927454132 -32.2363720365836 -341.947711593119</f>
        <v>-855.30301108383469</v>
      </c>
      <c r="R1337" t="s">
        <v>27920</v>
      </c>
      <c r="S1337" t="s">
        <v>27921</v>
      </c>
      <c r="T1337" t="s">
        <v>27922</v>
      </c>
      <c r="U1337" t="s">
        <v>27923</v>
      </c>
      <c r="V1337" t="s">
        <v>27924</v>
      </c>
      <c r="W1337" t="s">
        <v>27925</v>
      </c>
      <c r="X1337" t="s">
        <v>27926</v>
      </c>
      <c r="Y1337" t="s">
        <v>27927</v>
      </c>
    </row>
    <row r="1338" spans="1:25" x14ac:dyDescent="0.3">
      <c r="A1338">
        <v>66850</v>
      </c>
      <c r="B1338" t="s">
        <v>27928</v>
      </c>
      <c r="C1338" t="s">
        <v>27929</v>
      </c>
      <c r="D1338" t="s">
        <v>27930</v>
      </c>
      <c r="E1338" t="s">
        <v>27931</v>
      </c>
      <c r="F1338" t="s">
        <v>27932</v>
      </c>
      <c r="G1338" t="s">
        <v>27933</v>
      </c>
      <c r="H1338" t="s">
        <v>27934</v>
      </c>
      <c r="I1338" t="s">
        <v>27935</v>
      </c>
      <c r="J1338" t="s">
        <v>27936</v>
      </c>
      <c r="K1338" t="s">
        <v>27937</v>
      </c>
      <c r="L1338" t="s">
        <v>27938</v>
      </c>
      <c r="M1338" t="s">
        <v>27939</v>
      </c>
      <c r="N1338" t="s">
        <v>27940</v>
      </c>
      <c r="O1338">
        <f>-783.101980680398 -56.3718967641389 -719.616733751939</f>
        <v>-1559.0906111964759</v>
      </c>
      <c r="P1338">
        <f>-732.154322054654 -46.4159541289935 -407.380669007793</f>
        <v>-1185.9509451914405</v>
      </c>
      <c r="Q1338">
        <f>-480.718143841711 -32.7629119214139 -342.299888435357</f>
        <v>-855.78094419848185</v>
      </c>
      <c r="R1338" t="s">
        <v>27941</v>
      </c>
      <c r="S1338" t="s">
        <v>27942</v>
      </c>
      <c r="T1338" t="s">
        <v>27943</v>
      </c>
      <c r="U1338" t="s">
        <v>27944</v>
      </c>
      <c r="V1338" t="s">
        <v>27945</v>
      </c>
      <c r="W1338" t="s">
        <v>27946</v>
      </c>
      <c r="X1338" t="s">
        <v>27947</v>
      </c>
      <c r="Y1338" t="s">
        <v>27948</v>
      </c>
    </row>
    <row r="1339" spans="1:25" x14ac:dyDescent="0.3">
      <c r="A1339">
        <v>66900</v>
      </c>
      <c r="B1339" t="s">
        <v>27949</v>
      </c>
      <c r="C1339" t="s">
        <v>27950</v>
      </c>
      <c r="D1339" t="s">
        <v>27951</v>
      </c>
      <c r="E1339" t="s">
        <v>27952</v>
      </c>
      <c r="F1339" t="s">
        <v>27953</v>
      </c>
      <c r="G1339" t="s">
        <v>27954</v>
      </c>
      <c r="H1339" t="s">
        <v>27955</v>
      </c>
      <c r="I1339" t="s">
        <v>27956</v>
      </c>
      <c r="J1339" t="s">
        <v>27957</v>
      </c>
      <c r="K1339" t="s">
        <v>27958</v>
      </c>
      <c r="L1339" t="s">
        <v>27959</v>
      </c>
      <c r="M1339" t="s">
        <v>27960</v>
      </c>
      <c r="N1339" t="s">
        <v>27961</v>
      </c>
      <c r="O1339">
        <f>-782.807340504962 -56.6898736847768 -719.74364711164</f>
        <v>-1559.2408613013788</v>
      </c>
      <c r="P1339">
        <f>-731.679290755555 -46.9262067629352 -407.530940052421</f>
        <v>-1186.1364375709113</v>
      </c>
      <c r="Q1339">
        <f>-480.217799620242 -32.8596312202762 -342.636713562648</f>
        <v>-855.7141444031663</v>
      </c>
      <c r="R1339" t="s">
        <v>27962</v>
      </c>
      <c r="S1339" t="s">
        <v>27963</v>
      </c>
      <c r="T1339" t="s">
        <v>27964</v>
      </c>
      <c r="U1339" t="s">
        <v>27965</v>
      </c>
      <c r="V1339" t="s">
        <v>27966</v>
      </c>
      <c r="W1339" t="s">
        <v>27967</v>
      </c>
      <c r="X1339" t="s">
        <v>27968</v>
      </c>
      <c r="Y1339" t="s">
        <v>27969</v>
      </c>
    </row>
    <row r="1340" spans="1:25" x14ac:dyDescent="0.3">
      <c r="A1340">
        <v>66950</v>
      </c>
      <c r="B1340" t="s">
        <v>27970</v>
      </c>
      <c r="C1340" t="s">
        <v>27971</v>
      </c>
      <c r="D1340" t="s">
        <v>27972</v>
      </c>
      <c r="E1340" t="s">
        <v>27973</v>
      </c>
      <c r="F1340" t="s">
        <v>27974</v>
      </c>
      <c r="G1340" t="s">
        <v>27975</v>
      </c>
      <c r="H1340" t="s">
        <v>27976</v>
      </c>
      <c r="I1340" t="s">
        <v>27977</v>
      </c>
      <c r="J1340" t="s">
        <v>27978</v>
      </c>
      <c r="K1340" t="s">
        <v>27979</v>
      </c>
      <c r="L1340" t="s">
        <v>27980</v>
      </c>
      <c r="M1340" t="s">
        <v>27981</v>
      </c>
      <c r="N1340" t="s">
        <v>27982</v>
      </c>
      <c r="O1340">
        <f>-782.161792064539 -57.5641256694296 -719.835275812177</f>
        <v>-1559.5611935461457</v>
      </c>
      <c r="P1340">
        <f>-730.973033935479 -47.9166561404686 -407.629062107887</f>
        <v>-1186.5187521838345</v>
      </c>
      <c r="Q1340">
        <f>-479.462507571008 -32.4930470286681 -343.234820885861</f>
        <v>-855.19037548553706</v>
      </c>
      <c r="R1340" t="s">
        <v>27983</v>
      </c>
      <c r="S1340" t="s">
        <v>27984</v>
      </c>
      <c r="T1340" t="s">
        <v>27985</v>
      </c>
      <c r="U1340" t="s">
        <v>27986</v>
      </c>
      <c r="V1340" t="s">
        <v>27987</v>
      </c>
      <c r="W1340" t="s">
        <v>27988</v>
      </c>
      <c r="X1340" t="s">
        <v>27989</v>
      </c>
      <c r="Y1340" t="s">
        <v>27990</v>
      </c>
    </row>
    <row r="1341" spans="1:25" x14ac:dyDescent="0.3">
      <c r="A1341">
        <v>67000</v>
      </c>
      <c r="B1341" t="s">
        <v>27991</v>
      </c>
      <c r="C1341" t="s">
        <v>27992</v>
      </c>
      <c r="D1341" t="s">
        <v>27993</v>
      </c>
      <c r="E1341" t="s">
        <v>27994</v>
      </c>
      <c r="F1341" t="s">
        <v>27995</v>
      </c>
      <c r="G1341" t="s">
        <v>27996</v>
      </c>
      <c r="H1341" t="s">
        <v>27997</v>
      </c>
      <c r="I1341" t="s">
        <v>27998</v>
      </c>
      <c r="J1341" t="s">
        <v>27999</v>
      </c>
      <c r="K1341" t="s">
        <v>28000</v>
      </c>
      <c r="L1341" t="s">
        <v>28001</v>
      </c>
      <c r="M1341" t="s">
        <v>28002</v>
      </c>
      <c r="N1341" t="s">
        <v>28003</v>
      </c>
      <c r="O1341">
        <f>-781.978629734562 -58.0010387053262 -719.882326033637</f>
        <v>-1559.8619944735251</v>
      </c>
      <c r="P1341">
        <f>-730.736361386894 -48.4078887043829 -407.683009469767</f>
        <v>-1186.827259561044</v>
      </c>
      <c r="Q1341">
        <f>-479.282090274008 -32.1883194870059 -343.264936460265</f>
        <v>-854.73534622127886</v>
      </c>
      <c r="R1341" t="s">
        <v>28004</v>
      </c>
      <c r="S1341" t="s">
        <v>28005</v>
      </c>
      <c r="T1341" t="s">
        <v>28006</v>
      </c>
      <c r="U1341" t="s">
        <v>28007</v>
      </c>
      <c r="V1341" t="s">
        <v>28008</v>
      </c>
      <c r="W1341" t="s">
        <v>28009</v>
      </c>
      <c r="X1341" t="s">
        <v>28010</v>
      </c>
      <c r="Y1341" t="s">
        <v>28011</v>
      </c>
    </row>
    <row r="1342" spans="1:25" x14ac:dyDescent="0.3">
      <c r="A1342">
        <v>67050</v>
      </c>
      <c r="B1342" t="s">
        <v>28012</v>
      </c>
      <c r="C1342" t="s">
        <v>28013</v>
      </c>
      <c r="D1342" t="s">
        <v>28014</v>
      </c>
      <c r="E1342" t="s">
        <v>28015</v>
      </c>
      <c r="F1342" t="s">
        <v>28016</v>
      </c>
      <c r="G1342" t="s">
        <v>28017</v>
      </c>
      <c r="H1342" t="s">
        <v>28018</v>
      </c>
      <c r="I1342" t="s">
        <v>28019</v>
      </c>
      <c r="J1342" t="s">
        <v>28020</v>
      </c>
      <c r="K1342" t="s">
        <v>28021</v>
      </c>
      <c r="L1342" t="s">
        <v>28022</v>
      </c>
      <c r="M1342" t="s">
        <v>28023</v>
      </c>
      <c r="N1342" t="s">
        <v>28024</v>
      </c>
      <c r="O1342">
        <f>-781.579024743719 -58.8839400615213 -719.897216985832</f>
        <v>-1560.3601817910721</v>
      </c>
      <c r="P1342">
        <f>-730.541245765606 -49.274330489988 -407.664887921795</f>
        <v>-1187.480464177389</v>
      </c>
      <c r="Q1342">
        <f>-479.262761502903 -31.6614399308398 -342.927325496978</f>
        <v>-853.85152693072087</v>
      </c>
      <c r="R1342" t="s">
        <v>28025</v>
      </c>
      <c r="S1342" t="s">
        <v>28026</v>
      </c>
      <c r="T1342" t="s">
        <v>28027</v>
      </c>
      <c r="U1342" t="s">
        <v>28028</v>
      </c>
      <c r="V1342" t="s">
        <v>28029</v>
      </c>
      <c r="W1342" t="s">
        <v>28030</v>
      </c>
      <c r="X1342" t="s">
        <v>28031</v>
      </c>
      <c r="Y1342" t="s">
        <v>28032</v>
      </c>
    </row>
    <row r="1343" spans="1:25" x14ac:dyDescent="0.3">
      <c r="A1343">
        <v>67100</v>
      </c>
      <c r="B1343" t="s">
        <v>28033</v>
      </c>
      <c r="C1343" t="s">
        <v>28034</v>
      </c>
      <c r="D1343" t="s">
        <v>28035</v>
      </c>
      <c r="E1343" t="s">
        <v>28036</v>
      </c>
      <c r="F1343" t="s">
        <v>28037</v>
      </c>
      <c r="G1343" t="s">
        <v>28038</v>
      </c>
      <c r="H1343" t="s">
        <v>28039</v>
      </c>
      <c r="I1343" t="s">
        <v>28040</v>
      </c>
      <c r="J1343" t="s">
        <v>28041</v>
      </c>
      <c r="K1343" t="s">
        <v>28042</v>
      </c>
      <c r="L1343" t="s">
        <v>28043</v>
      </c>
      <c r="M1343" t="s">
        <v>28044</v>
      </c>
      <c r="N1343" t="s">
        <v>28045</v>
      </c>
      <c r="O1343">
        <f>-781.718987392829 -59.3097168718543 -719.86995843912</f>
        <v>-1560.8986627038034</v>
      </c>
      <c r="P1343">
        <f>-730.814607900026 -49.437291270021 -407.624111340658</f>
        <v>-1187.8760105107049</v>
      </c>
      <c r="Q1343">
        <f>-479.630628351347 -31.3255805342071 -342.657903814889</f>
        <v>-853.61411270044312</v>
      </c>
      <c r="R1343" t="s">
        <v>28046</v>
      </c>
      <c r="S1343" t="s">
        <v>28047</v>
      </c>
      <c r="T1343" t="s">
        <v>28048</v>
      </c>
      <c r="U1343" t="s">
        <v>28049</v>
      </c>
      <c r="V1343" t="s">
        <v>28050</v>
      </c>
      <c r="W1343" t="s">
        <v>28051</v>
      </c>
      <c r="X1343" t="s">
        <v>28052</v>
      </c>
      <c r="Y1343" t="s">
        <v>28053</v>
      </c>
    </row>
    <row r="1344" spans="1:25" x14ac:dyDescent="0.3">
      <c r="A1344">
        <v>67150</v>
      </c>
      <c r="B1344" t="s">
        <v>28054</v>
      </c>
      <c r="C1344" t="s">
        <v>28055</v>
      </c>
      <c r="D1344" t="s">
        <v>28056</v>
      </c>
      <c r="E1344" t="s">
        <v>28057</v>
      </c>
      <c r="F1344" t="s">
        <v>28058</v>
      </c>
      <c r="G1344" t="s">
        <v>28059</v>
      </c>
      <c r="H1344" t="s">
        <v>28060</v>
      </c>
      <c r="I1344" t="s">
        <v>28061</v>
      </c>
      <c r="J1344" t="s">
        <v>28062</v>
      </c>
      <c r="K1344" t="s">
        <v>28063</v>
      </c>
      <c r="L1344" t="s">
        <v>28064</v>
      </c>
      <c r="M1344" t="s">
        <v>28065</v>
      </c>
      <c r="N1344" t="s">
        <v>28066</v>
      </c>
      <c r="O1344">
        <f>-782.390701148564 -59.975285950949 -719.777334644191</f>
        <v>-1562.1433217437038</v>
      </c>
      <c r="P1344">
        <f>-731.479188370513 -50.0921833819268 -407.532974897991</f>
        <v>-1189.1043466504309</v>
      </c>
      <c r="Q1344">
        <f>-480.402814703698 -31.4569935433688 -342.299168491919</f>
        <v>-854.15897673898576</v>
      </c>
      <c r="R1344" t="s">
        <v>28067</v>
      </c>
      <c r="S1344" t="s">
        <v>28068</v>
      </c>
      <c r="T1344" t="s">
        <v>28069</v>
      </c>
      <c r="U1344" t="s">
        <v>28070</v>
      </c>
      <c r="V1344" t="s">
        <v>28071</v>
      </c>
      <c r="W1344" t="s">
        <v>28072</v>
      </c>
      <c r="X1344" t="s">
        <v>28073</v>
      </c>
      <c r="Y1344" t="s">
        <v>28074</v>
      </c>
    </row>
    <row r="1345" spans="1:25" x14ac:dyDescent="0.3">
      <c r="A1345">
        <v>67200</v>
      </c>
      <c r="B1345" t="s">
        <v>28075</v>
      </c>
      <c r="C1345" t="s">
        <v>28076</v>
      </c>
      <c r="D1345" t="s">
        <v>28077</v>
      </c>
      <c r="E1345" t="s">
        <v>28078</v>
      </c>
      <c r="F1345" t="s">
        <v>28079</v>
      </c>
      <c r="G1345" t="s">
        <v>28080</v>
      </c>
      <c r="H1345" t="s">
        <v>28081</v>
      </c>
      <c r="I1345" t="s">
        <v>28082</v>
      </c>
      <c r="J1345" t="s">
        <v>28083</v>
      </c>
      <c r="K1345" t="s">
        <v>28084</v>
      </c>
      <c r="L1345" t="s">
        <v>28085</v>
      </c>
      <c r="M1345" t="s">
        <v>28086</v>
      </c>
      <c r="N1345" t="s">
        <v>28087</v>
      </c>
      <c r="O1345">
        <f>-782.992407648825 -60.0572141625503 -719.731705964871</f>
        <v>-1562.7813277762461</v>
      </c>
      <c r="P1345">
        <f>-731.961619916718 -50.0534079843414 -407.510710716732</f>
        <v>-1189.5257386177914</v>
      </c>
      <c r="Q1345">
        <f>-480.917249011492 -31.4154968554174 -342.15477095904</f>
        <v>-854.48751682594934</v>
      </c>
      <c r="R1345" t="s">
        <v>28088</v>
      </c>
      <c r="S1345" t="s">
        <v>28089</v>
      </c>
      <c r="T1345" t="s">
        <v>28090</v>
      </c>
      <c r="U1345" t="s">
        <v>28091</v>
      </c>
      <c r="V1345" t="s">
        <v>28092</v>
      </c>
      <c r="W1345" t="s">
        <v>28093</v>
      </c>
      <c r="X1345" t="s">
        <v>28094</v>
      </c>
      <c r="Y1345" t="s">
        <v>28095</v>
      </c>
    </row>
    <row r="1346" spans="1:25" x14ac:dyDescent="0.3">
      <c r="A1346">
        <v>67250</v>
      </c>
      <c r="B1346" t="s">
        <v>28096</v>
      </c>
      <c r="C1346" t="s">
        <v>28097</v>
      </c>
      <c r="D1346" t="s">
        <v>28098</v>
      </c>
      <c r="E1346" t="s">
        <v>28099</v>
      </c>
      <c r="F1346" t="s">
        <v>28100</v>
      </c>
      <c r="G1346" t="s">
        <v>28101</v>
      </c>
      <c r="H1346" t="s">
        <v>28102</v>
      </c>
      <c r="I1346" t="s">
        <v>28103</v>
      </c>
      <c r="J1346" t="s">
        <v>28104</v>
      </c>
      <c r="K1346" t="s">
        <v>28105</v>
      </c>
      <c r="L1346" t="s">
        <v>28106</v>
      </c>
      <c r="M1346" t="s">
        <v>28107</v>
      </c>
      <c r="N1346" t="s">
        <v>28108</v>
      </c>
      <c r="O1346">
        <f>-784.371265226878 -59.8403670859052 -719.672202341337</f>
        <v>-1563.8838346541202</v>
      </c>
      <c r="P1346">
        <f>-733.373019924675 -50.0761527160194 -407.438234138636</f>
        <v>-1190.8874067793304</v>
      </c>
      <c r="Q1346">
        <f>-482.329957905312 -31.89036572998 -341.950374131263</f>
        <v>-856.17069776655512</v>
      </c>
      <c r="R1346" t="s">
        <v>28109</v>
      </c>
      <c r="S1346" t="s">
        <v>28110</v>
      </c>
      <c r="T1346" t="s">
        <v>28111</v>
      </c>
      <c r="U1346" t="s">
        <v>28112</v>
      </c>
      <c r="V1346" t="s">
        <v>28113</v>
      </c>
      <c r="W1346" t="s">
        <v>28114</v>
      </c>
      <c r="X1346" t="s">
        <v>28115</v>
      </c>
      <c r="Y1346" t="s">
        <v>28116</v>
      </c>
    </row>
    <row r="1347" spans="1:25" x14ac:dyDescent="0.3">
      <c r="A1347">
        <v>67300</v>
      </c>
      <c r="B1347" t="s">
        <v>28117</v>
      </c>
      <c r="C1347" t="s">
        <v>28118</v>
      </c>
      <c r="D1347" t="s">
        <v>28119</v>
      </c>
      <c r="E1347" t="s">
        <v>28120</v>
      </c>
      <c r="F1347" t="s">
        <v>28121</v>
      </c>
      <c r="G1347" t="s">
        <v>28122</v>
      </c>
      <c r="H1347" t="s">
        <v>28123</v>
      </c>
      <c r="I1347" t="s">
        <v>28124</v>
      </c>
      <c r="J1347" t="s">
        <v>28125</v>
      </c>
      <c r="K1347" t="s">
        <v>28126</v>
      </c>
      <c r="L1347" t="s">
        <v>28127</v>
      </c>
      <c r="M1347" t="s">
        <v>28128</v>
      </c>
      <c r="N1347" t="s">
        <v>28129</v>
      </c>
      <c r="O1347">
        <f>-785.095676280831 -59.6706308676396 -719.681089824214</f>
        <v>-1564.4473969726846</v>
      </c>
      <c r="P1347">
        <f>-734.012707853879 -50.0779781629597 -407.455668351468</f>
        <v>-1191.5463543683065</v>
      </c>
      <c r="Q1347">
        <f>-483.00390394986 -32.3652869036439 -341.707156398743</f>
        <v>-857.07634725224693</v>
      </c>
      <c r="R1347" t="s">
        <v>28130</v>
      </c>
      <c r="S1347" t="s">
        <v>28131</v>
      </c>
      <c r="T1347" t="s">
        <v>28132</v>
      </c>
      <c r="U1347" t="s">
        <v>28133</v>
      </c>
      <c r="V1347" t="s">
        <v>28134</v>
      </c>
      <c r="W1347" t="s">
        <v>28135</v>
      </c>
      <c r="X1347" t="s">
        <v>28136</v>
      </c>
      <c r="Y1347" t="s">
        <v>28137</v>
      </c>
    </row>
    <row r="1348" spans="1:25" x14ac:dyDescent="0.3">
      <c r="A1348">
        <v>67350</v>
      </c>
      <c r="B1348" t="s">
        <v>28138</v>
      </c>
      <c r="C1348" t="s">
        <v>28139</v>
      </c>
      <c r="D1348" t="s">
        <v>28140</v>
      </c>
      <c r="E1348" t="s">
        <v>28141</v>
      </c>
      <c r="F1348" t="s">
        <v>28142</v>
      </c>
      <c r="G1348" t="s">
        <v>28143</v>
      </c>
      <c r="H1348" t="s">
        <v>28144</v>
      </c>
      <c r="I1348" t="s">
        <v>28145</v>
      </c>
      <c r="J1348" t="s">
        <v>28146</v>
      </c>
      <c r="K1348" t="s">
        <v>28147</v>
      </c>
      <c r="L1348" t="s">
        <v>28148</v>
      </c>
      <c r="M1348" t="s">
        <v>28149</v>
      </c>
      <c r="N1348" t="s">
        <v>28150</v>
      </c>
      <c r="O1348">
        <f>-786.461777045992 -58.8664161018241 -719.820253540649</f>
        <v>-1565.1484466884651</v>
      </c>
      <c r="P1348">
        <f>-735.100489833799 -49.647974559816 -407.629266077094</f>
        <v>-1192.3777304707089</v>
      </c>
      <c r="Q1348">
        <f>-484.152095942346 -32.7813235501787 -341.429011490788</f>
        <v>-858.36243098331283</v>
      </c>
      <c r="R1348" t="s">
        <v>28151</v>
      </c>
      <c r="S1348" t="s">
        <v>28152</v>
      </c>
      <c r="T1348" t="s">
        <v>28153</v>
      </c>
      <c r="U1348" t="s">
        <v>28154</v>
      </c>
      <c r="V1348" t="s">
        <v>28155</v>
      </c>
      <c r="W1348" t="s">
        <v>28156</v>
      </c>
      <c r="X1348" t="s">
        <v>28157</v>
      </c>
      <c r="Y1348" t="s">
        <v>28158</v>
      </c>
    </row>
    <row r="1349" spans="1:25" x14ac:dyDescent="0.3">
      <c r="A1349">
        <v>67400</v>
      </c>
      <c r="B1349" t="s">
        <v>28159</v>
      </c>
      <c r="C1349" t="s">
        <v>28160</v>
      </c>
      <c r="D1349" t="s">
        <v>28161</v>
      </c>
      <c r="E1349" t="s">
        <v>28162</v>
      </c>
      <c r="F1349" t="s">
        <v>28163</v>
      </c>
      <c r="G1349" t="s">
        <v>28164</v>
      </c>
      <c r="H1349" t="s">
        <v>28165</v>
      </c>
      <c r="I1349" t="s">
        <v>28166</v>
      </c>
      <c r="J1349" t="s">
        <v>28167</v>
      </c>
      <c r="K1349" t="s">
        <v>28168</v>
      </c>
      <c r="L1349" t="s">
        <v>28169</v>
      </c>
      <c r="M1349" t="s">
        <v>28170</v>
      </c>
      <c r="N1349" t="s">
        <v>28171</v>
      </c>
      <c r="O1349">
        <f>-787.043619900728 -58.2864540658006 -719.853422995083</f>
        <v>-1565.1834969616116</v>
      </c>
      <c r="P1349">
        <f>-735.443099919494 -49.299448352062 -407.695079442241</f>
        <v>-1192.4376277137969</v>
      </c>
      <c r="Q1349">
        <f>-484.541588733282 -32.784259286268 -341.229125893247</f>
        <v>-858.55497391279698</v>
      </c>
      <c r="R1349" t="s">
        <v>28172</v>
      </c>
      <c r="S1349" t="s">
        <v>28173</v>
      </c>
      <c r="T1349" t="s">
        <v>28174</v>
      </c>
      <c r="U1349" t="s">
        <v>28175</v>
      </c>
      <c r="V1349" t="s">
        <v>28176</v>
      </c>
      <c r="W1349" t="s">
        <v>28177</v>
      </c>
      <c r="X1349" t="s">
        <v>28178</v>
      </c>
      <c r="Y1349" t="s">
        <v>28179</v>
      </c>
    </row>
    <row r="1350" spans="1:25" x14ac:dyDescent="0.3">
      <c r="A1350">
        <v>67450</v>
      </c>
      <c r="B1350" t="s">
        <v>28180</v>
      </c>
      <c r="C1350" t="s">
        <v>28181</v>
      </c>
      <c r="D1350" t="s">
        <v>28182</v>
      </c>
      <c r="E1350" t="s">
        <v>28183</v>
      </c>
      <c r="F1350" t="s">
        <v>28184</v>
      </c>
      <c r="G1350" t="s">
        <v>28185</v>
      </c>
      <c r="H1350" t="s">
        <v>28186</v>
      </c>
      <c r="I1350" t="s">
        <v>28187</v>
      </c>
      <c r="J1350" t="s">
        <v>28188</v>
      </c>
      <c r="K1350" t="s">
        <v>28189</v>
      </c>
      <c r="L1350" t="s">
        <v>28190</v>
      </c>
      <c r="M1350" t="s">
        <v>28191</v>
      </c>
      <c r="N1350" t="s">
        <v>28192</v>
      </c>
      <c r="O1350">
        <f>-788.114251408465 -57.1802663685571 -719.795366306606</f>
        <v>-1565.089884083628</v>
      </c>
      <c r="P1350">
        <f>-736.257771317202 -48.2124515457263 -407.678975780003</f>
        <v>-1192.1491986429312</v>
      </c>
      <c r="Q1350">
        <f>-485.391599054375 -32.2439780679831 -340.946625499229</f>
        <v>-858.58220262158716</v>
      </c>
      <c r="R1350" t="s">
        <v>28193</v>
      </c>
      <c r="S1350" t="s">
        <v>28194</v>
      </c>
      <c r="T1350" t="s">
        <v>28195</v>
      </c>
      <c r="U1350" t="s">
        <v>28196</v>
      </c>
      <c r="V1350" t="s">
        <v>28197</v>
      </c>
      <c r="W1350" t="s">
        <v>28198</v>
      </c>
      <c r="X1350" t="s">
        <v>28199</v>
      </c>
      <c r="Y1350" t="s">
        <v>28200</v>
      </c>
    </row>
    <row r="1351" spans="1:25" x14ac:dyDescent="0.3">
      <c r="A1351">
        <v>67500</v>
      </c>
      <c r="B1351" t="s">
        <v>28201</v>
      </c>
      <c r="C1351" t="s">
        <v>28202</v>
      </c>
      <c r="D1351" t="s">
        <v>28203</v>
      </c>
      <c r="E1351" t="s">
        <v>28204</v>
      </c>
      <c r="F1351" t="s">
        <v>28205</v>
      </c>
      <c r="G1351" t="s">
        <v>28206</v>
      </c>
      <c r="H1351" t="s">
        <v>28207</v>
      </c>
      <c r="I1351" t="s">
        <v>28208</v>
      </c>
      <c r="J1351" t="s">
        <v>28209</v>
      </c>
      <c r="K1351" t="s">
        <v>28210</v>
      </c>
      <c r="L1351" t="s">
        <v>28211</v>
      </c>
      <c r="M1351" t="s">
        <v>28212</v>
      </c>
      <c r="N1351" t="s">
        <v>28213</v>
      </c>
      <c r="O1351">
        <f>-788.524006671597 -56.6677414315238 -719.713776009705</f>
        <v>-1564.9055241128258</v>
      </c>
      <c r="P1351">
        <f>-736.5122111751 -47.694022957736 -407.623360963017</f>
        <v>-1191.8295950958529</v>
      </c>
      <c r="Q1351">
        <f>-485.589935857264 -32.0274631052034 -341.030018814256</f>
        <v>-858.64741777672339</v>
      </c>
      <c r="R1351" t="s">
        <v>28214</v>
      </c>
      <c r="S1351" t="s">
        <v>28215</v>
      </c>
      <c r="T1351" t="s">
        <v>28216</v>
      </c>
      <c r="U1351" t="s">
        <v>28217</v>
      </c>
      <c r="V1351" t="s">
        <v>28218</v>
      </c>
      <c r="W1351" t="s">
        <v>28219</v>
      </c>
      <c r="X1351" t="s">
        <v>28220</v>
      </c>
      <c r="Y1351" t="s">
        <v>28221</v>
      </c>
    </row>
    <row r="1352" spans="1:25" x14ac:dyDescent="0.3">
      <c r="A1352">
        <v>67550</v>
      </c>
      <c r="B1352" t="s">
        <v>28222</v>
      </c>
      <c r="C1352" t="s">
        <v>28223</v>
      </c>
      <c r="D1352" t="s">
        <v>28224</v>
      </c>
      <c r="E1352" t="s">
        <v>28225</v>
      </c>
      <c r="F1352" t="s">
        <v>28226</v>
      </c>
      <c r="G1352" t="s">
        <v>28227</v>
      </c>
      <c r="H1352" t="s">
        <v>28228</v>
      </c>
      <c r="I1352" t="s">
        <v>28229</v>
      </c>
      <c r="J1352" t="s">
        <v>28230</v>
      </c>
      <c r="K1352" t="s">
        <v>28231</v>
      </c>
      <c r="L1352" t="s">
        <v>28232</v>
      </c>
      <c r="M1352" t="s">
        <v>28233</v>
      </c>
      <c r="N1352" t="s">
        <v>28234</v>
      </c>
      <c r="O1352">
        <f>-789.66721772249 -56.2442167751226 -719.084381243973</f>
        <v>-1564.9958157415856</v>
      </c>
      <c r="P1352">
        <f>-737.174741143669 -46.8872291526809 -407.085730113543</f>
        <v>-1191.1477004098929</v>
      </c>
      <c r="Q1352">
        <f>-486.073369497937 -32.2767541652652 -340.929211301609</f>
        <v>-859.27933496481114</v>
      </c>
      <c r="R1352" t="s">
        <v>28235</v>
      </c>
      <c r="S1352" t="s">
        <v>28236</v>
      </c>
      <c r="T1352" t="s">
        <v>28237</v>
      </c>
      <c r="U1352" t="s">
        <v>28238</v>
      </c>
      <c r="V1352" t="s">
        <v>28239</v>
      </c>
      <c r="W1352" t="s">
        <v>28240</v>
      </c>
      <c r="X1352" t="s">
        <v>28241</v>
      </c>
      <c r="Y1352" t="s">
        <v>28242</v>
      </c>
    </row>
    <row r="1353" spans="1:25" x14ac:dyDescent="0.3">
      <c r="A1353">
        <v>67600</v>
      </c>
      <c r="B1353" t="s">
        <v>28243</v>
      </c>
      <c r="C1353" t="s">
        <v>28244</v>
      </c>
      <c r="D1353" t="s">
        <v>28245</v>
      </c>
      <c r="E1353" t="s">
        <v>28246</v>
      </c>
      <c r="F1353" t="s">
        <v>28247</v>
      </c>
      <c r="G1353" t="s">
        <v>28248</v>
      </c>
      <c r="H1353" t="s">
        <v>28249</v>
      </c>
      <c r="I1353" t="s">
        <v>28250</v>
      </c>
      <c r="J1353" t="s">
        <v>28251</v>
      </c>
      <c r="K1353" t="s">
        <v>28252</v>
      </c>
      <c r="L1353" t="s">
        <v>28253</v>
      </c>
      <c r="M1353" t="s">
        <v>28254</v>
      </c>
      <c r="N1353" t="s">
        <v>28255</v>
      </c>
      <c r="O1353">
        <f>-790.596271541055 -56.5739056687848 -718.549402217315</f>
        <v>-1565.7195794271547</v>
      </c>
      <c r="P1353">
        <f>-737.813608724725 -46.5366904049224 -406.620748900952</f>
        <v>-1190.9710480305994</v>
      </c>
      <c r="Q1353">
        <f>-486.619333445552 -32.6237083244325 -340.666831864104</f>
        <v>-859.90987363408851</v>
      </c>
      <c r="R1353" t="s">
        <v>28256</v>
      </c>
      <c r="S1353" t="s">
        <v>28257</v>
      </c>
      <c r="T1353" t="s">
        <v>28258</v>
      </c>
      <c r="U1353" t="s">
        <v>28259</v>
      </c>
      <c r="V1353" t="s">
        <v>28260</v>
      </c>
      <c r="W1353" t="s">
        <v>28261</v>
      </c>
      <c r="X1353" t="s">
        <v>28262</v>
      </c>
      <c r="Y1353" t="s">
        <v>28263</v>
      </c>
    </row>
    <row r="1354" spans="1:25" x14ac:dyDescent="0.3">
      <c r="A1354">
        <v>67650</v>
      </c>
      <c r="B1354" t="s">
        <v>28264</v>
      </c>
      <c r="C1354" t="s">
        <v>28265</v>
      </c>
      <c r="D1354" t="s">
        <v>28266</v>
      </c>
      <c r="E1354" t="s">
        <v>28267</v>
      </c>
      <c r="F1354" t="s">
        <v>28268</v>
      </c>
      <c r="G1354" t="s">
        <v>28269</v>
      </c>
      <c r="H1354" t="s">
        <v>28270</v>
      </c>
      <c r="I1354" t="s">
        <v>28271</v>
      </c>
      <c r="J1354" t="s">
        <v>28272</v>
      </c>
      <c r="K1354" t="s">
        <v>28273</v>
      </c>
      <c r="L1354" t="s">
        <v>28274</v>
      </c>
      <c r="M1354" t="s">
        <v>28275</v>
      </c>
      <c r="N1354" t="s">
        <v>28276</v>
      </c>
      <c r="O1354">
        <f>-792.351709691246 -57.4434561142859 -717.26322861584</f>
        <v>-1567.058394421372</v>
      </c>
      <c r="P1354">
        <f>-739.061169451434 -45.8527575310316 -405.474917293655</f>
        <v>-1190.3888442761206</v>
      </c>
      <c r="Q1354">
        <f>-487.667483279464 -33.0618709620665 -340.055766526958</f>
        <v>-860.78512076848847</v>
      </c>
      <c r="R1354" t="s">
        <v>28277</v>
      </c>
      <c r="S1354" t="s">
        <v>28278</v>
      </c>
      <c r="T1354" t="s">
        <v>28279</v>
      </c>
      <c r="U1354" t="s">
        <v>28280</v>
      </c>
      <c r="V1354" t="s">
        <v>28281</v>
      </c>
      <c r="W1354" t="s">
        <v>28282</v>
      </c>
      <c r="X1354" t="s">
        <v>28283</v>
      </c>
      <c r="Y1354" t="s">
        <v>28284</v>
      </c>
    </row>
    <row r="1355" spans="1:25" x14ac:dyDescent="0.3">
      <c r="A1355">
        <v>67700</v>
      </c>
      <c r="B1355" t="s">
        <v>28285</v>
      </c>
      <c r="C1355" t="s">
        <v>28286</v>
      </c>
      <c r="D1355" t="s">
        <v>28287</v>
      </c>
      <c r="E1355" t="s">
        <v>28288</v>
      </c>
      <c r="F1355" t="s">
        <v>28289</v>
      </c>
      <c r="G1355" t="s">
        <v>28290</v>
      </c>
      <c r="H1355" t="s">
        <v>28291</v>
      </c>
      <c r="I1355" t="s">
        <v>28292</v>
      </c>
      <c r="J1355" t="s">
        <v>28293</v>
      </c>
      <c r="K1355" t="s">
        <v>28294</v>
      </c>
      <c r="L1355" t="s">
        <v>28295</v>
      </c>
      <c r="M1355" t="s">
        <v>28296</v>
      </c>
      <c r="N1355" t="s">
        <v>28297</v>
      </c>
      <c r="O1355">
        <f>-793.006009345648 -57.6995499486352 -716.555153248451</f>
        <v>-1567.2607125427342</v>
      </c>
      <c r="P1355">
        <f>-739.478367007523 -45.3001281608329 -404.838488252584</f>
        <v>-1189.61698342094</v>
      </c>
      <c r="Q1355">
        <f>-487.996789530846 -32.8507572818876 -339.691667067612</f>
        <v>-860.53921388034564</v>
      </c>
      <c r="R1355" t="s">
        <v>28298</v>
      </c>
      <c r="S1355" t="s">
        <v>28299</v>
      </c>
      <c r="T1355" t="s">
        <v>28300</v>
      </c>
      <c r="U1355" t="s">
        <v>28301</v>
      </c>
      <c r="V1355" t="s">
        <v>28302</v>
      </c>
      <c r="W1355" t="s">
        <v>28303</v>
      </c>
      <c r="X1355" t="s">
        <v>28304</v>
      </c>
      <c r="Y1355" t="s">
        <v>28305</v>
      </c>
    </row>
    <row r="1356" spans="1:25" x14ac:dyDescent="0.3">
      <c r="A1356">
        <v>67750</v>
      </c>
      <c r="B1356" t="s">
        <v>28306</v>
      </c>
      <c r="C1356" t="s">
        <v>28307</v>
      </c>
      <c r="D1356" t="s">
        <v>28308</v>
      </c>
      <c r="E1356" t="s">
        <v>28309</v>
      </c>
      <c r="F1356" t="s">
        <v>28310</v>
      </c>
      <c r="G1356" t="s">
        <v>28311</v>
      </c>
      <c r="H1356" t="s">
        <v>28312</v>
      </c>
      <c r="I1356" t="s">
        <v>28313</v>
      </c>
      <c r="J1356" t="s">
        <v>28314</v>
      </c>
      <c r="K1356" t="s">
        <v>28315</v>
      </c>
      <c r="L1356" t="s">
        <v>28316</v>
      </c>
      <c r="M1356" t="s">
        <v>28317</v>
      </c>
      <c r="N1356" t="s">
        <v>28318</v>
      </c>
      <c r="O1356">
        <f>-793.736263683911 -58.4434785632775 -715.112501143301</f>
        <v>-1567.2922433904896</v>
      </c>
      <c r="P1356">
        <f>-739.645411335826 -44.3811513400376 -403.563875073624</f>
        <v>-1187.5904377494876</v>
      </c>
      <c r="Q1356">
        <f>-488.053711564757 -31.8335488280431 -338.86266333299</f>
        <v>-858.74992372579015</v>
      </c>
      <c r="R1356" t="s">
        <v>28319</v>
      </c>
      <c r="S1356" t="s">
        <v>28320</v>
      </c>
      <c r="T1356" t="s">
        <v>28321</v>
      </c>
      <c r="U1356" t="s">
        <v>28322</v>
      </c>
      <c r="V1356" t="s">
        <v>28323</v>
      </c>
      <c r="W1356" t="s">
        <v>28324</v>
      </c>
      <c r="X1356" t="s">
        <v>28325</v>
      </c>
      <c r="Y1356" t="s">
        <v>28326</v>
      </c>
    </row>
    <row r="1357" spans="1:25" x14ac:dyDescent="0.3">
      <c r="A1357">
        <v>67800</v>
      </c>
      <c r="B1357" t="s">
        <v>28327</v>
      </c>
      <c r="C1357" t="s">
        <v>28328</v>
      </c>
      <c r="D1357" t="s">
        <v>28329</v>
      </c>
      <c r="E1357" t="s">
        <v>28330</v>
      </c>
      <c r="F1357" t="s">
        <v>28331</v>
      </c>
      <c r="G1357" t="s">
        <v>28332</v>
      </c>
      <c r="H1357" t="s">
        <v>28333</v>
      </c>
      <c r="I1357" t="s">
        <v>28334</v>
      </c>
      <c r="J1357" t="s">
        <v>28335</v>
      </c>
      <c r="K1357" t="s">
        <v>28336</v>
      </c>
      <c r="L1357" t="s">
        <v>28337</v>
      </c>
      <c r="M1357" t="s">
        <v>28338</v>
      </c>
      <c r="N1357" t="s">
        <v>28339</v>
      </c>
      <c r="O1357">
        <f>-794.0640968497 -58.9216218153385 -714.292141246204</f>
        <v>-1567.2778599112426</v>
      </c>
      <c r="P1357">
        <f>-739.800651819132 -43.8708053807104 -402.819617310795</f>
        <v>-1186.4910745106374</v>
      </c>
      <c r="Q1357">
        <f>-488.160635657399 -31.065293294052 -338.357556759023</f>
        <v>-857.58348571047395</v>
      </c>
      <c r="R1357" t="s">
        <v>28340</v>
      </c>
      <c r="S1357" t="s">
        <v>28341</v>
      </c>
      <c r="T1357" t="s">
        <v>28342</v>
      </c>
      <c r="U1357" t="s">
        <v>28343</v>
      </c>
      <c r="V1357" t="s">
        <v>28344</v>
      </c>
      <c r="W1357" t="s">
        <v>28345</v>
      </c>
      <c r="X1357" t="s">
        <v>28346</v>
      </c>
      <c r="Y1357" t="s">
        <v>28347</v>
      </c>
    </row>
    <row r="1358" spans="1:25" x14ac:dyDescent="0.3">
      <c r="A1358">
        <v>67850</v>
      </c>
      <c r="B1358" t="s">
        <v>28348</v>
      </c>
      <c r="C1358" t="s">
        <v>28349</v>
      </c>
      <c r="D1358" t="s">
        <v>28350</v>
      </c>
      <c r="E1358" t="s">
        <v>28351</v>
      </c>
      <c r="F1358" t="s">
        <v>28352</v>
      </c>
      <c r="G1358" t="s">
        <v>28353</v>
      </c>
      <c r="H1358" t="s">
        <v>28354</v>
      </c>
      <c r="I1358" t="s">
        <v>28355</v>
      </c>
      <c r="J1358" t="s">
        <v>28356</v>
      </c>
      <c r="K1358" t="s">
        <v>28357</v>
      </c>
      <c r="L1358" t="s">
        <v>28358</v>
      </c>
      <c r="M1358" t="s">
        <v>28359</v>
      </c>
      <c r="N1358" t="s">
        <v>28360</v>
      </c>
      <c r="O1358">
        <f>-794.194444472021 -59.5765838940977 -712.925527679888</f>
        <v>-1566.6965560460067</v>
      </c>
      <c r="P1358">
        <f>-739.275555301488 -43.0095175929453 -401.644877243278</f>
        <v>-1183.9299501377113</v>
      </c>
      <c r="Q1358">
        <f>-487.627615229741 -29.4888518813209 -337.359998462686</f>
        <v>-854.47646557374799</v>
      </c>
      <c r="R1358" t="s">
        <v>28361</v>
      </c>
      <c r="S1358" t="s">
        <v>28362</v>
      </c>
      <c r="T1358" t="s">
        <v>28363</v>
      </c>
      <c r="U1358" t="s">
        <v>28364</v>
      </c>
      <c r="V1358" t="s">
        <v>28365</v>
      </c>
      <c r="W1358" t="s">
        <v>28366</v>
      </c>
      <c r="X1358" t="s">
        <v>28367</v>
      </c>
      <c r="Y1358" t="s">
        <v>28368</v>
      </c>
    </row>
    <row r="1359" spans="1:25" x14ac:dyDescent="0.3">
      <c r="A1359">
        <v>67900</v>
      </c>
      <c r="B1359" t="s">
        <v>28369</v>
      </c>
      <c r="C1359" t="s">
        <v>28370</v>
      </c>
      <c r="D1359" t="s">
        <v>28371</v>
      </c>
      <c r="E1359" t="s">
        <v>28372</v>
      </c>
      <c r="F1359" t="s">
        <v>28373</v>
      </c>
      <c r="G1359" t="s">
        <v>28374</v>
      </c>
      <c r="H1359" t="s">
        <v>28375</v>
      </c>
      <c r="I1359" t="s">
        <v>28376</v>
      </c>
      <c r="J1359" t="s">
        <v>28377</v>
      </c>
      <c r="K1359" t="s">
        <v>28378</v>
      </c>
      <c r="L1359" t="s">
        <v>28379</v>
      </c>
      <c r="M1359" t="s">
        <v>28380</v>
      </c>
      <c r="N1359" t="s">
        <v>28381</v>
      </c>
      <c r="O1359">
        <f>-793.873121289672 -59.7993720699781 -712.378569194405</f>
        <v>-1566.0510625540551</v>
      </c>
      <c r="P1359">
        <f>-738.775715266567 -42.4083189002329 -401.174366191553</f>
        <v>-1182.3584003583528</v>
      </c>
      <c r="Q1359">
        <f>-487.165280058246 -28.4737918126848 -336.831447073353</f>
        <v>-852.47051894428387</v>
      </c>
      <c r="R1359" t="s">
        <v>28382</v>
      </c>
      <c r="S1359" t="s">
        <v>28383</v>
      </c>
      <c r="T1359" t="s">
        <v>28384</v>
      </c>
      <c r="U1359" t="s">
        <v>28385</v>
      </c>
      <c r="V1359" t="s">
        <v>28386</v>
      </c>
      <c r="W1359" t="s">
        <v>28387</v>
      </c>
      <c r="X1359" t="s">
        <v>28388</v>
      </c>
      <c r="Y1359" t="s">
        <v>28389</v>
      </c>
    </row>
    <row r="1360" spans="1:25" x14ac:dyDescent="0.3">
      <c r="A1360">
        <v>67950</v>
      </c>
      <c r="B1360" t="s">
        <v>28390</v>
      </c>
      <c r="C1360" t="s">
        <v>28391</v>
      </c>
      <c r="D1360" t="s">
        <v>28392</v>
      </c>
      <c r="E1360" t="s">
        <v>28393</v>
      </c>
      <c r="F1360" t="s">
        <v>28394</v>
      </c>
      <c r="G1360" t="s">
        <v>28395</v>
      </c>
      <c r="H1360" t="s">
        <v>28396</v>
      </c>
      <c r="I1360" t="s">
        <v>28397</v>
      </c>
      <c r="J1360" t="s">
        <v>28398</v>
      </c>
      <c r="K1360" t="s">
        <v>28399</v>
      </c>
      <c r="L1360" t="s">
        <v>28400</v>
      </c>
      <c r="M1360" t="s">
        <v>28401</v>
      </c>
      <c r="N1360" t="s">
        <v>28402</v>
      </c>
      <c r="O1360">
        <f>-792.428873138187 -60.0648619073256 -711.773771657971</f>
        <v>-1564.2675067034836</v>
      </c>
      <c r="P1360">
        <f>-737.547170198624 -41.6408332615401 -400.590914099751</f>
        <v>-1179.778917559915</v>
      </c>
      <c r="Q1360">
        <f>-486.135574623092 -26.5373427443903 -335.735896705891</f>
        <v>-848.40881407337338</v>
      </c>
      <c r="R1360" t="s">
        <v>28403</v>
      </c>
      <c r="S1360" t="s">
        <v>28404</v>
      </c>
      <c r="T1360" t="s">
        <v>28405</v>
      </c>
      <c r="U1360" t="s">
        <v>28406</v>
      </c>
      <c r="V1360" t="s">
        <v>28407</v>
      </c>
      <c r="W1360" t="s">
        <v>28408</v>
      </c>
      <c r="X1360" t="s">
        <v>28409</v>
      </c>
      <c r="Y1360" t="s">
        <v>28410</v>
      </c>
    </row>
    <row r="1361" spans="1:25" x14ac:dyDescent="0.3">
      <c r="A1361">
        <v>68000</v>
      </c>
      <c r="B1361" t="s">
        <v>28411</v>
      </c>
      <c r="C1361" t="s">
        <v>28412</v>
      </c>
      <c r="D1361" t="s">
        <v>28413</v>
      </c>
      <c r="E1361" t="s">
        <v>28414</v>
      </c>
      <c r="F1361" t="s">
        <v>28415</v>
      </c>
      <c r="G1361" t="s">
        <v>28416</v>
      </c>
      <c r="H1361" t="s">
        <v>28417</v>
      </c>
      <c r="I1361" t="s">
        <v>28418</v>
      </c>
      <c r="J1361" t="s">
        <v>28419</v>
      </c>
      <c r="K1361" t="s">
        <v>28420</v>
      </c>
      <c r="L1361" t="s">
        <v>28421</v>
      </c>
      <c r="M1361" t="s">
        <v>28422</v>
      </c>
      <c r="N1361" t="s">
        <v>28423</v>
      </c>
      <c r="O1361">
        <f>-791.425723748836 -60.2084981525657 -711.777093858727</f>
        <v>-1563.4113157601287</v>
      </c>
      <c r="P1361">
        <f>-736.852137876559 -41.3182950261837 -400.568092600176</f>
        <v>-1178.7385255029187</v>
      </c>
      <c r="Q1361">
        <f>-485.588461485141 -25.7816942650759 -335.244050279779</f>
        <v>-846.6142060299959</v>
      </c>
      <c r="R1361" t="s">
        <v>28424</v>
      </c>
      <c r="S1361" t="s">
        <v>28425</v>
      </c>
      <c r="T1361" t="s">
        <v>28426</v>
      </c>
      <c r="U1361" t="s">
        <v>28427</v>
      </c>
      <c r="V1361" t="s">
        <v>28428</v>
      </c>
      <c r="W1361" t="s">
        <v>28429</v>
      </c>
      <c r="X1361" t="s">
        <v>28430</v>
      </c>
      <c r="Y1361" t="s">
        <v>28431</v>
      </c>
    </row>
    <row r="1362" spans="1:25" x14ac:dyDescent="0.3">
      <c r="A1362">
        <v>68050</v>
      </c>
      <c r="B1362" t="s">
        <v>28432</v>
      </c>
      <c r="C1362" t="s">
        <v>28433</v>
      </c>
      <c r="D1362" t="s">
        <v>28434</v>
      </c>
      <c r="E1362" t="s">
        <v>28435</v>
      </c>
      <c r="F1362" t="s">
        <v>28436</v>
      </c>
      <c r="G1362" t="s">
        <v>28437</v>
      </c>
      <c r="H1362" t="s">
        <v>28438</v>
      </c>
      <c r="I1362" t="s">
        <v>28439</v>
      </c>
      <c r="J1362" t="s">
        <v>28440</v>
      </c>
      <c r="K1362" t="s">
        <v>28441</v>
      </c>
      <c r="L1362" t="s">
        <v>28442</v>
      </c>
      <c r="M1362" t="s">
        <v>28443</v>
      </c>
      <c r="N1362" t="s">
        <v>28444</v>
      </c>
      <c r="O1362">
        <f>-789.530450202513 -60.2153215203584 -712.063689832539</f>
        <v>-1561.8094615554105</v>
      </c>
      <c r="P1362">
        <f>-735.833028405458 -40.678791685875 -400.74210656319</f>
        <v>-1177.253926654523</v>
      </c>
      <c r="Q1362">
        <f>-484.819892313253 -23.9688291098489 -334.747752727389</f>
        <v>-843.5364741504909</v>
      </c>
      <c r="R1362" t="s">
        <v>28445</v>
      </c>
      <c r="S1362" t="s">
        <v>28446</v>
      </c>
      <c r="T1362" t="s">
        <v>28447</v>
      </c>
      <c r="U1362" t="s">
        <v>28448</v>
      </c>
      <c r="V1362" t="s">
        <v>28449</v>
      </c>
      <c r="W1362" t="s">
        <v>28450</v>
      </c>
      <c r="X1362" t="s">
        <v>28451</v>
      </c>
      <c r="Y1362" t="s">
        <v>28452</v>
      </c>
    </row>
    <row r="1363" spans="1:25" x14ac:dyDescent="0.3">
      <c r="A1363">
        <v>68100</v>
      </c>
      <c r="B1363" t="s">
        <v>28453</v>
      </c>
      <c r="C1363" t="s">
        <v>28454</v>
      </c>
      <c r="D1363" t="s">
        <v>28455</v>
      </c>
      <c r="E1363" t="s">
        <v>28456</v>
      </c>
      <c r="F1363" t="s">
        <v>28457</v>
      </c>
      <c r="G1363" t="s">
        <v>28458</v>
      </c>
      <c r="H1363" t="s">
        <v>28459</v>
      </c>
      <c r="I1363" t="s">
        <v>28460</v>
      </c>
      <c r="J1363" t="s">
        <v>28461</v>
      </c>
      <c r="K1363" t="s">
        <v>28462</v>
      </c>
      <c r="L1363" t="s">
        <v>28463</v>
      </c>
      <c r="M1363" t="s">
        <v>28464</v>
      </c>
      <c r="N1363" t="s">
        <v>28465</v>
      </c>
      <c r="O1363">
        <f>-788.865616435853 -60.0121416220859 -712.317549442341</f>
        <v>-1561.1953075002798</v>
      </c>
      <c r="P1363">
        <f>-735.599735322583 -40.746345061586 -400.905001158262</f>
        <v>-1177.2510815424309</v>
      </c>
      <c r="Q1363">
        <f>-484.660804927813 -23.0236875066421 -334.892578908748</f>
        <v>-842.5770713432031</v>
      </c>
      <c r="R1363" t="s">
        <v>28466</v>
      </c>
      <c r="S1363" t="s">
        <v>28467</v>
      </c>
      <c r="T1363" t="s">
        <v>28468</v>
      </c>
      <c r="U1363" t="s">
        <v>28469</v>
      </c>
      <c r="V1363" t="s">
        <v>28470</v>
      </c>
      <c r="W1363" t="s">
        <v>28471</v>
      </c>
      <c r="X1363" t="s">
        <v>28472</v>
      </c>
      <c r="Y1363" t="s">
        <v>28473</v>
      </c>
    </row>
    <row r="1364" spans="1:25" x14ac:dyDescent="0.3">
      <c r="A1364">
        <v>68150</v>
      </c>
      <c r="B1364" t="s">
        <v>28474</v>
      </c>
      <c r="C1364" t="s">
        <v>28475</v>
      </c>
      <c r="D1364" t="s">
        <v>28476</v>
      </c>
      <c r="E1364" t="s">
        <v>28477</v>
      </c>
      <c r="F1364" t="s">
        <v>28478</v>
      </c>
      <c r="G1364" t="s">
        <v>28479</v>
      </c>
      <c r="H1364" t="s">
        <v>28480</v>
      </c>
      <c r="I1364" t="s">
        <v>28481</v>
      </c>
      <c r="J1364" t="s">
        <v>28482</v>
      </c>
      <c r="K1364" t="s">
        <v>28483</v>
      </c>
      <c r="L1364" t="s">
        <v>28484</v>
      </c>
      <c r="M1364" t="s">
        <v>28485</v>
      </c>
      <c r="N1364" t="s">
        <v>28486</v>
      </c>
      <c r="O1364">
        <f>-787.333410547838 -59.2368092677239 -712.844652179507</f>
        <v>-1559.4148719950688</v>
      </c>
      <c r="P1364">
        <f>-734.591783121769 -40.8196472356615 -401.291535588048</f>
        <v>-1176.7029659454786</v>
      </c>
      <c r="Q1364">
        <f>-483.845554153844 -21.4491442433362 -335.01057559064</f>
        <v>-840.3052739878201</v>
      </c>
      <c r="R1364" t="s">
        <v>28487</v>
      </c>
      <c r="S1364" t="s">
        <v>28488</v>
      </c>
      <c r="T1364" t="s">
        <v>28489</v>
      </c>
      <c r="U1364" t="s">
        <v>28490</v>
      </c>
      <c r="V1364" t="s">
        <v>28491</v>
      </c>
      <c r="W1364" t="s">
        <v>28492</v>
      </c>
      <c r="X1364" t="s">
        <v>28493</v>
      </c>
      <c r="Y1364" t="s">
        <v>28494</v>
      </c>
    </row>
    <row r="1365" spans="1:25" x14ac:dyDescent="0.3">
      <c r="A1365">
        <v>68200</v>
      </c>
      <c r="B1365" t="s">
        <v>28495</v>
      </c>
      <c r="C1365" t="s">
        <v>28496</v>
      </c>
      <c r="D1365" t="s">
        <v>28497</v>
      </c>
      <c r="E1365" t="s">
        <v>28498</v>
      </c>
      <c r="F1365" t="s">
        <v>28499</v>
      </c>
      <c r="G1365" t="s">
        <v>28500</v>
      </c>
      <c r="H1365" t="s">
        <v>28501</v>
      </c>
      <c r="I1365" t="s">
        <v>28502</v>
      </c>
      <c r="J1365" t="s">
        <v>28503</v>
      </c>
      <c r="K1365" t="s">
        <v>28504</v>
      </c>
      <c r="L1365" t="s">
        <v>28505</v>
      </c>
      <c r="M1365" t="s">
        <v>28506</v>
      </c>
      <c r="N1365" t="s">
        <v>28507</v>
      </c>
      <c r="O1365">
        <f>-786.505348227257 -59.0363539007337 -713.034383445992</f>
        <v>-1558.5760855739827</v>
      </c>
      <c r="P1365">
        <f>-733.965940459829 -40.7680937486737 -401.438432130244</f>
        <v>-1176.1724663387467</v>
      </c>
      <c r="Q1365">
        <f>-483.298232710929 -20.6868916032245 -335.072378315349</f>
        <v>-839.05750262950255</v>
      </c>
      <c r="R1365" t="s">
        <v>28508</v>
      </c>
      <c r="S1365" t="s">
        <v>28509</v>
      </c>
      <c r="T1365" t="s">
        <v>28510</v>
      </c>
      <c r="U1365" t="s">
        <v>28511</v>
      </c>
      <c r="V1365" t="s">
        <v>28512</v>
      </c>
      <c r="W1365" t="s">
        <v>28513</v>
      </c>
      <c r="X1365" t="s">
        <v>28514</v>
      </c>
      <c r="Y1365" t="s">
        <v>28515</v>
      </c>
    </row>
    <row r="1366" spans="1:25" x14ac:dyDescent="0.3">
      <c r="A1366">
        <v>68250</v>
      </c>
      <c r="B1366" t="s">
        <v>28516</v>
      </c>
      <c r="C1366" t="s">
        <v>28517</v>
      </c>
      <c r="D1366" t="s">
        <v>28518</v>
      </c>
      <c r="E1366" t="s">
        <v>28519</v>
      </c>
      <c r="F1366" t="s">
        <v>28520</v>
      </c>
      <c r="G1366" t="s">
        <v>28521</v>
      </c>
      <c r="H1366" t="s">
        <v>28522</v>
      </c>
      <c r="I1366" t="s">
        <v>28523</v>
      </c>
      <c r="J1366" t="s">
        <v>28524</v>
      </c>
      <c r="K1366" t="s">
        <v>28525</v>
      </c>
      <c r="L1366" t="s">
        <v>28526</v>
      </c>
      <c r="M1366" t="s">
        <v>28527</v>
      </c>
      <c r="N1366" t="s">
        <v>28528</v>
      </c>
      <c r="O1366">
        <f>-785.076786214416 -58.259204554892 -713.485944263419</f>
        <v>-1556.821935032727</v>
      </c>
      <c r="P1366">
        <f>-732.797975325061 -40.6687737105442 -401.807036774504</f>
        <v>-1175.2737858101091</v>
      </c>
      <c r="Q1366">
        <f>-482.356537152231 -19.8186658725324 -334.826890596072</f>
        <v>-837.00209362083547</v>
      </c>
      <c r="R1366" t="s">
        <v>28529</v>
      </c>
      <c r="S1366" t="s">
        <v>28530</v>
      </c>
      <c r="T1366" t="s">
        <v>28531</v>
      </c>
      <c r="U1366" t="s">
        <v>28532</v>
      </c>
      <c r="V1366" t="s">
        <v>28533</v>
      </c>
      <c r="W1366" t="s">
        <v>28534</v>
      </c>
      <c r="X1366" t="s">
        <v>28535</v>
      </c>
      <c r="Y1366" t="s">
        <v>28536</v>
      </c>
    </row>
    <row r="1367" spans="1:25" x14ac:dyDescent="0.3">
      <c r="A1367">
        <v>68300</v>
      </c>
      <c r="B1367" t="s">
        <v>28537</v>
      </c>
      <c r="C1367" t="s">
        <v>28538</v>
      </c>
      <c r="D1367" t="s">
        <v>28539</v>
      </c>
      <c r="E1367" t="s">
        <v>28540</v>
      </c>
      <c r="F1367" t="s">
        <v>28541</v>
      </c>
      <c r="G1367" t="s">
        <v>28542</v>
      </c>
      <c r="H1367" t="s">
        <v>28543</v>
      </c>
      <c r="I1367" t="s">
        <v>28544</v>
      </c>
      <c r="J1367" t="s">
        <v>28545</v>
      </c>
      <c r="K1367" t="s">
        <v>28546</v>
      </c>
      <c r="L1367" t="s">
        <v>28547</v>
      </c>
      <c r="M1367" t="s">
        <v>28548</v>
      </c>
      <c r="N1367" t="s">
        <v>28549</v>
      </c>
      <c r="O1367">
        <f>-784.418367395195 -57.614435412298 -713.743151198339</f>
        <v>-1555.7759540058319</v>
      </c>
      <c r="P1367">
        <f>-732.366656073178 -40.1661171927271 -402.018261736975</f>
        <v>-1174.5510350028801</v>
      </c>
      <c r="Q1367">
        <f>-482.033840151086 -19.209892977872 -334.665724201877</f>
        <v>-835.90945733083504</v>
      </c>
      <c r="R1367" t="s">
        <v>28550</v>
      </c>
      <c r="S1367" t="s">
        <v>28551</v>
      </c>
      <c r="T1367" t="s">
        <v>28552</v>
      </c>
      <c r="U1367" t="s">
        <v>28553</v>
      </c>
      <c r="V1367" t="s">
        <v>28554</v>
      </c>
      <c r="W1367" t="s">
        <v>28555</v>
      </c>
      <c r="X1367" t="s">
        <v>28556</v>
      </c>
      <c r="Y1367" t="s">
        <v>28557</v>
      </c>
    </row>
    <row r="1368" spans="1:25" x14ac:dyDescent="0.3">
      <c r="A1368">
        <v>68350</v>
      </c>
      <c r="B1368" t="s">
        <v>28558</v>
      </c>
      <c r="C1368" t="s">
        <v>28559</v>
      </c>
      <c r="D1368" t="s">
        <v>28560</v>
      </c>
      <c r="E1368" t="s">
        <v>28561</v>
      </c>
      <c r="F1368" t="s">
        <v>28562</v>
      </c>
      <c r="G1368" t="s">
        <v>28563</v>
      </c>
      <c r="H1368" t="s">
        <v>28564</v>
      </c>
      <c r="I1368" t="s">
        <v>28565</v>
      </c>
      <c r="J1368" t="s">
        <v>28566</v>
      </c>
      <c r="K1368" t="s">
        <v>28567</v>
      </c>
      <c r="L1368" t="s">
        <v>28568</v>
      </c>
      <c r="M1368" t="s">
        <v>28569</v>
      </c>
      <c r="N1368" t="s">
        <v>28570</v>
      </c>
      <c r="O1368">
        <f>-782.906266799861 -57.1462865891001 -714.237249603796</f>
        <v>-1554.2898029927571</v>
      </c>
      <c r="P1368">
        <f>-731.442915272283 -39.8668940302514 -402.405449624872</f>
        <v>-1173.7152589274065</v>
      </c>
      <c r="Q1368">
        <f>-481.240105260189 -19.1648277358383 -334.493571401862</f>
        <v>-834.89850439788938</v>
      </c>
      <c r="R1368" t="s">
        <v>28571</v>
      </c>
      <c r="S1368" t="s">
        <v>28572</v>
      </c>
      <c r="T1368" t="s">
        <v>28573</v>
      </c>
      <c r="U1368" t="s">
        <v>28574</v>
      </c>
      <c r="V1368" t="s">
        <v>28575</v>
      </c>
      <c r="W1368" t="s">
        <v>28576</v>
      </c>
      <c r="X1368" t="s">
        <v>28577</v>
      </c>
      <c r="Y1368" t="s">
        <v>28578</v>
      </c>
    </row>
    <row r="1369" spans="1:25" x14ac:dyDescent="0.3">
      <c r="A1369">
        <v>68400</v>
      </c>
      <c r="B1369" t="s">
        <v>28579</v>
      </c>
      <c r="C1369" t="s">
        <v>28580</v>
      </c>
      <c r="D1369" t="s">
        <v>28581</v>
      </c>
      <c r="E1369" t="s">
        <v>28582</v>
      </c>
      <c r="F1369" t="s">
        <v>28583</v>
      </c>
      <c r="G1369" t="s">
        <v>28584</v>
      </c>
      <c r="H1369" t="s">
        <v>28585</v>
      </c>
      <c r="I1369" t="s">
        <v>28586</v>
      </c>
      <c r="J1369" t="s">
        <v>28587</v>
      </c>
      <c r="K1369" t="s">
        <v>28588</v>
      </c>
      <c r="L1369" t="s">
        <v>28589</v>
      </c>
      <c r="M1369" t="s">
        <v>28590</v>
      </c>
      <c r="N1369" t="s">
        <v>28591</v>
      </c>
      <c r="O1369">
        <f>-782.602335823462 -56.8953411484201 -714.45901582197</f>
        <v>-1553.9566927938522</v>
      </c>
      <c r="P1369">
        <f>-731.172621860143 -39.7577977990077 -402.613780567591</f>
        <v>-1173.5442002267416</v>
      </c>
      <c r="Q1369">
        <f>-481.008578829765 -19.0805506251979 -334.551491732552</f>
        <v>-834.64062118751485</v>
      </c>
      <c r="R1369" t="s">
        <v>28592</v>
      </c>
      <c r="S1369" t="s">
        <v>28593</v>
      </c>
      <c r="T1369" t="s">
        <v>28594</v>
      </c>
      <c r="U1369" t="s">
        <v>28595</v>
      </c>
      <c r="V1369" t="s">
        <v>28596</v>
      </c>
      <c r="W1369" t="s">
        <v>28597</v>
      </c>
      <c r="X1369" t="s">
        <v>28598</v>
      </c>
      <c r="Y1369" t="s">
        <v>28599</v>
      </c>
    </row>
    <row r="1370" spans="1:25" x14ac:dyDescent="0.3">
      <c r="A1370">
        <v>68450</v>
      </c>
      <c r="B1370" t="s">
        <v>28600</v>
      </c>
      <c r="C1370" t="s">
        <v>28601</v>
      </c>
      <c r="D1370" t="s">
        <v>28602</v>
      </c>
      <c r="E1370" t="s">
        <v>28603</v>
      </c>
      <c r="F1370" t="s">
        <v>28604</v>
      </c>
      <c r="G1370" t="s">
        <v>28605</v>
      </c>
      <c r="H1370" t="s">
        <v>28606</v>
      </c>
      <c r="I1370" t="s">
        <v>28607</v>
      </c>
      <c r="J1370" t="s">
        <v>28608</v>
      </c>
      <c r="K1370" t="s">
        <v>28609</v>
      </c>
      <c r="L1370" t="s">
        <v>28610</v>
      </c>
      <c r="M1370" t="s">
        <v>28611</v>
      </c>
      <c r="N1370" t="s">
        <v>28612</v>
      </c>
      <c r="O1370">
        <f>-781.738625807086 -56.3953577093448 -714.8050218695</f>
        <v>-1552.9390053859308</v>
      </c>
      <c r="P1370">
        <f>-730.274868893094 -39.5331757928379 -402.95034418305</f>
        <v>-1172.7583888689819</v>
      </c>
      <c r="Q1370">
        <f>-480.194657010864 -18.843464385671 -334.584253802557</f>
        <v>-833.62237519909195</v>
      </c>
      <c r="R1370" t="s">
        <v>28613</v>
      </c>
      <c r="S1370" t="s">
        <v>28614</v>
      </c>
      <c r="T1370" t="s">
        <v>28615</v>
      </c>
      <c r="U1370" t="s">
        <v>28616</v>
      </c>
      <c r="V1370" t="s">
        <v>28617</v>
      </c>
      <c r="W1370" t="s">
        <v>28618</v>
      </c>
      <c r="X1370" t="s">
        <v>28619</v>
      </c>
      <c r="Y1370" t="s">
        <v>28620</v>
      </c>
    </row>
    <row r="1371" spans="1:25" x14ac:dyDescent="0.3">
      <c r="A1371">
        <v>68500</v>
      </c>
      <c r="B1371" t="s">
        <v>28621</v>
      </c>
      <c r="C1371" t="s">
        <v>28622</v>
      </c>
      <c r="D1371" t="s">
        <v>28623</v>
      </c>
      <c r="E1371" t="s">
        <v>28624</v>
      </c>
      <c r="F1371" t="s">
        <v>28625</v>
      </c>
      <c r="G1371" t="s">
        <v>28626</v>
      </c>
      <c r="H1371" t="s">
        <v>28627</v>
      </c>
      <c r="I1371" t="s">
        <v>28628</v>
      </c>
      <c r="J1371" t="s">
        <v>28629</v>
      </c>
      <c r="K1371" t="s">
        <v>28630</v>
      </c>
      <c r="L1371" t="s">
        <v>28631</v>
      </c>
      <c r="M1371" t="s">
        <v>28632</v>
      </c>
      <c r="N1371" t="s">
        <v>28633</v>
      </c>
      <c r="O1371">
        <f>-781.339950494598 -56.0812854987112 -714.947334753664</f>
        <v>-1552.3685707469731</v>
      </c>
      <c r="P1371">
        <f>-729.892409320938 -39.4253331209168 -403.078991974555</f>
        <v>-1172.3967344164098</v>
      </c>
      <c r="Q1371">
        <f>-479.832737852773 -18.6453715130224 -334.665270241693</f>
        <v>-833.14337960748844</v>
      </c>
      <c r="R1371" t="s">
        <v>28634</v>
      </c>
      <c r="S1371" t="s">
        <v>28635</v>
      </c>
      <c r="T1371" t="s">
        <v>28636</v>
      </c>
      <c r="U1371" t="s">
        <v>28637</v>
      </c>
      <c r="V1371" t="s">
        <v>28638</v>
      </c>
      <c r="W1371" t="s">
        <v>28639</v>
      </c>
      <c r="X1371" t="s">
        <v>28640</v>
      </c>
      <c r="Y1371" t="s">
        <v>28641</v>
      </c>
    </row>
    <row r="1372" spans="1:25" x14ac:dyDescent="0.3">
      <c r="A1372">
        <v>68550</v>
      </c>
      <c r="B1372" t="s">
        <v>28642</v>
      </c>
      <c r="C1372" t="s">
        <v>28643</v>
      </c>
      <c r="D1372" t="s">
        <v>28644</v>
      </c>
      <c r="E1372" t="s">
        <v>28645</v>
      </c>
      <c r="F1372" t="s">
        <v>28646</v>
      </c>
      <c r="G1372" t="s">
        <v>28647</v>
      </c>
      <c r="H1372" t="s">
        <v>28648</v>
      </c>
      <c r="I1372" t="s">
        <v>28649</v>
      </c>
      <c r="J1372" t="s">
        <v>28650</v>
      </c>
      <c r="K1372" t="s">
        <v>28651</v>
      </c>
      <c r="L1372" t="s">
        <v>28652</v>
      </c>
      <c r="M1372" t="s">
        <v>28653</v>
      </c>
      <c r="N1372" t="s">
        <v>28654</v>
      </c>
      <c r="O1372">
        <f>-780.243322540775 -55.3737260546654 -715.286753571719</f>
        <v>-1550.9038021671595</v>
      </c>
      <c r="P1372">
        <f>-728.96171230403 -39.126734112207 -403.369395852714</f>
        <v>-1171.457842268951</v>
      </c>
      <c r="Q1372">
        <f>-478.882135706662 -18.3792061533613 -335.018745536649</f>
        <v>-832.28008739667234</v>
      </c>
      <c r="R1372" t="s">
        <v>28655</v>
      </c>
      <c r="S1372" t="s">
        <v>28656</v>
      </c>
      <c r="T1372" t="s">
        <v>28657</v>
      </c>
      <c r="U1372" t="s">
        <v>28658</v>
      </c>
      <c r="V1372" t="s">
        <v>28659</v>
      </c>
      <c r="W1372" t="s">
        <v>28660</v>
      </c>
      <c r="X1372" t="s">
        <v>28661</v>
      </c>
      <c r="Y1372" t="s">
        <v>28662</v>
      </c>
    </row>
    <row r="1373" spans="1:25" x14ac:dyDescent="0.3">
      <c r="A1373">
        <v>68600</v>
      </c>
      <c r="B1373" t="s">
        <v>28663</v>
      </c>
      <c r="C1373" t="s">
        <v>28664</v>
      </c>
      <c r="D1373" t="s">
        <v>28665</v>
      </c>
      <c r="E1373" t="s">
        <v>28666</v>
      </c>
      <c r="F1373" t="s">
        <v>28667</v>
      </c>
      <c r="G1373" t="s">
        <v>28668</v>
      </c>
      <c r="H1373" t="s">
        <v>28669</v>
      </c>
      <c r="I1373" t="s">
        <v>28670</v>
      </c>
      <c r="J1373" t="s">
        <v>28671</v>
      </c>
      <c r="K1373" t="s">
        <v>28672</v>
      </c>
      <c r="L1373" t="s">
        <v>28673</v>
      </c>
      <c r="M1373" t="s">
        <v>28674</v>
      </c>
      <c r="N1373" t="s">
        <v>28675</v>
      </c>
      <c r="O1373">
        <f>-779.723712872724 -55.1185945459595 -715.501740952367</f>
        <v>-1550.3440483710506</v>
      </c>
      <c r="P1373">
        <f>-728.597670640153 -39.0122610629066 -403.551566011243</f>
        <v>-1171.1614977143026</v>
      </c>
      <c r="Q1373">
        <f>-478.534754225275 -18.3657941141098 -335.109407265826</f>
        <v>-832.00995560521073</v>
      </c>
      <c r="R1373" t="s">
        <v>28676</v>
      </c>
      <c r="S1373" t="s">
        <v>28677</v>
      </c>
      <c r="T1373" t="s">
        <v>28678</v>
      </c>
      <c r="U1373" t="s">
        <v>28679</v>
      </c>
      <c r="V1373" t="s">
        <v>28680</v>
      </c>
      <c r="W1373" t="s">
        <v>28681</v>
      </c>
      <c r="X1373" t="s">
        <v>28682</v>
      </c>
      <c r="Y1373" t="s">
        <v>28683</v>
      </c>
    </row>
    <row r="1374" spans="1:25" x14ac:dyDescent="0.3">
      <c r="A1374">
        <v>68650</v>
      </c>
      <c r="B1374" t="s">
        <v>28684</v>
      </c>
      <c r="C1374" t="s">
        <v>28685</v>
      </c>
      <c r="D1374" t="s">
        <v>28686</v>
      </c>
      <c r="E1374" t="s">
        <v>28687</v>
      </c>
      <c r="F1374" t="s">
        <v>28688</v>
      </c>
      <c r="G1374" t="s">
        <v>28689</v>
      </c>
      <c r="H1374" t="s">
        <v>28690</v>
      </c>
      <c r="I1374" t="s">
        <v>28691</v>
      </c>
      <c r="J1374" t="s">
        <v>28692</v>
      </c>
      <c r="K1374" t="s">
        <v>28693</v>
      </c>
      <c r="L1374" t="s">
        <v>28694</v>
      </c>
      <c r="M1374" t="s">
        <v>28695</v>
      </c>
      <c r="N1374" t="s">
        <v>28696</v>
      </c>
      <c r="O1374">
        <f>-778.907788141752 -54.9323629183775 -715.872750795348</f>
        <v>-1549.7129018554774</v>
      </c>
      <c r="P1374">
        <f>-728.062105176854 -38.5821702743551 -403.889409068465</f>
        <v>-1170.5336845196741</v>
      </c>
      <c r="Q1374">
        <f>-478.262430225028 -19.9817864488434 -333.916919276094</f>
        <v>-832.16113594996546</v>
      </c>
      <c r="R1374" t="s">
        <v>28697</v>
      </c>
      <c r="S1374" t="s">
        <v>28698</v>
      </c>
      <c r="T1374" t="s">
        <v>28699</v>
      </c>
      <c r="U1374" t="s">
        <v>28700</v>
      </c>
      <c r="V1374" t="s">
        <v>28701</v>
      </c>
      <c r="W1374" t="s">
        <v>28702</v>
      </c>
      <c r="X1374" t="s">
        <v>28703</v>
      </c>
      <c r="Y1374" t="s">
        <v>28704</v>
      </c>
    </row>
    <row r="1375" spans="1:25" x14ac:dyDescent="0.3">
      <c r="A1375">
        <v>68700</v>
      </c>
      <c r="B1375" t="s">
        <v>28705</v>
      </c>
      <c r="C1375" t="s">
        <v>28706</v>
      </c>
      <c r="D1375" t="s">
        <v>28707</v>
      </c>
      <c r="E1375" t="s">
        <v>28708</v>
      </c>
      <c r="F1375" t="s">
        <v>28709</v>
      </c>
      <c r="G1375" t="s">
        <v>28710</v>
      </c>
      <c r="H1375" t="s">
        <v>28711</v>
      </c>
      <c r="I1375" t="s">
        <v>28712</v>
      </c>
      <c r="J1375" t="s">
        <v>28713</v>
      </c>
      <c r="K1375" t="s">
        <v>28714</v>
      </c>
      <c r="L1375" t="s">
        <v>28715</v>
      </c>
      <c r="M1375" t="s">
        <v>28716</v>
      </c>
      <c r="N1375" t="s">
        <v>28717</v>
      </c>
      <c r="O1375">
        <f>-778.55628083816 -55.0340211022919 -715.975531493203</f>
        <v>-1549.5658334336549</v>
      </c>
      <c r="P1375">
        <f>-728.127524926715 -38.3710618384839 -403.941149226482</f>
        <v>-1170.4397359916809</v>
      </c>
      <c r="Q1375">
        <f>-478.454225027353 -21.2790832717828 -333.138007608525</f>
        <v>-832.8713159076608</v>
      </c>
      <c r="R1375" t="s">
        <v>28718</v>
      </c>
      <c r="S1375" t="s">
        <v>28719</v>
      </c>
      <c r="T1375" t="s">
        <v>28720</v>
      </c>
      <c r="U1375" t="s">
        <v>28721</v>
      </c>
      <c r="V1375" t="s">
        <v>28722</v>
      </c>
      <c r="W1375" t="s">
        <v>28723</v>
      </c>
      <c r="X1375" t="s">
        <v>28724</v>
      </c>
      <c r="Y1375" t="s">
        <v>28725</v>
      </c>
    </row>
    <row r="1376" spans="1:25" x14ac:dyDescent="0.3">
      <c r="A1376">
        <v>68750</v>
      </c>
      <c r="B1376" t="s">
        <v>28726</v>
      </c>
      <c r="C1376" t="s">
        <v>28727</v>
      </c>
      <c r="D1376" t="s">
        <v>28728</v>
      </c>
      <c r="E1376" t="s">
        <v>28729</v>
      </c>
      <c r="F1376" t="s">
        <v>28730</v>
      </c>
      <c r="G1376" t="s">
        <v>28731</v>
      </c>
      <c r="H1376" t="s">
        <v>28732</v>
      </c>
      <c r="I1376" t="s">
        <v>28733</v>
      </c>
      <c r="J1376" t="s">
        <v>28734</v>
      </c>
      <c r="K1376" t="s">
        <v>28735</v>
      </c>
      <c r="L1376" t="s">
        <v>28736</v>
      </c>
      <c r="M1376" t="s">
        <v>28737</v>
      </c>
      <c r="N1376" t="s">
        <v>28738</v>
      </c>
      <c r="O1376">
        <f>-778.168307151349 -54.9788751855278 -716.347814378847</f>
        <v>-1549.494996715724</v>
      </c>
      <c r="P1376">
        <f>-727.522456966029 -38.9894522356801 -404.313250279102</f>
        <v>-1170.8251594808112</v>
      </c>
      <c r="Q1376">
        <f>-477.873402518654 -23.5672046756406 -333.042453946215</f>
        <v>-834.48306114050956</v>
      </c>
      <c r="R1376" t="s">
        <v>28739</v>
      </c>
      <c r="S1376" t="s">
        <v>28740</v>
      </c>
      <c r="T1376" t="s">
        <v>28741</v>
      </c>
      <c r="U1376" t="s">
        <v>28742</v>
      </c>
      <c r="V1376" t="s">
        <v>28743</v>
      </c>
      <c r="W1376" t="s">
        <v>28744</v>
      </c>
      <c r="X1376" t="s">
        <v>28745</v>
      </c>
      <c r="Y1376" t="s">
        <v>28746</v>
      </c>
    </row>
    <row r="1377" spans="1:25" x14ac:dyDescent="0.3">
      <c r="A1377">
        <v>68800</v>
      </c>
      <c r="B1377" t="s">
        <v>28747</v>
      </c>
      <c r="C1377" t="s">
        <v>28748</v>
      </c>
      <c r="D1377" t="s">
        <v>28749</v>
      </c>
      <c r="E1377" t="s">
        <v>28750</v>
      </c>
      <c r="F1377" t="s">
        <v>28751</v>
      </c>
      <c r="G1377" t="s">
        <v>28752</v>
      </c>
      <c r="H1377" t="s">
        <v>28753</v>
      </c>
      <c r="I1377" t="s">
        <v>28754</v>
      </c>
      <c r="J1377" t="s">
        <v>28755</v>
      </c>
      <c r="K1377" t="s">
        <v>28756</v>
      </c>
      <c r="L1377" t="s">
        <v>28757</v>
      </c>
      <c r="M1377" t="s">
        <v>28758</v>
      </c>
      <c r="N1377" t="s">
        <v>28759</v>
      </c>
      <c r="O1377">
        <f>-778.077387500688 -55.1017216025675 -716.408349877258</f>
        <v>-1549.5874589805135</v>
      </c>
      <c r="P1377">
        <f>-727.320735447691 -38.8959915235948 -404.403097894855</f>
        <v>-1170.6198248661408</v>
      </c>
      <c r="Q1377">
        <f>-477.689933126559 -24.2923640601091 -332.895907538209</f>
        <v>-834.87820472487715</v>
      </c>
      <c r="R1377" t="s">
        <v>28760</v>
      </c>
      <c r="S1377" t="s">
        <v>28761</v>
      </c>
      <c r="T1377" t="s">
        <v>28762</v>
      </c>
      <c r="U1377" t="s">
        <v>28763</v>
      </c>
      <c r="V1377" t="s">
        <v>28764</v>
      </c>
      <c r="W1377" t="s">
        <v>28765</v>
      </c>
      <c r="X1377" t="s">
        <v>28766</v>
      </c>
      <c r="Y1377" t="s">
        <v>28767</v>
      </c>
    </row>
    <row r="1378" spans="1:25" x14ac:dyDescent="0.3">
      <c r="A1378">
        <v>68850</v>
      </c>
      <c r="B1378" t="s">
        <v>28768</v>
      </c>
      <c r="C1378" t="s">
        <v>28769</v>
      </c>
      <c r="D1378" t="s">
        <v>28770</v>
      </c>
      <c r="E1378" t="s">
        <v>28771</v>
      </c>
      <c r="F1378" t="s">
        <v>28772</v>
      </c>
      <c r="G1378" t="s">
        <v>28773</v>
      </c>
      <c r="H1378" t="s">
        <v>28774</v>
      </c>
      <c r="I1378" t="s">
        <v>28775</v>
      </c>
      <c r="J1378" t="s">
        <v>28776</v>
      </c>
      <c r="K1378" t="s">
        <v>28777</v>
      </c>
      <c r="L1378" t="s">
        <v>28778</v>
      </c>
      <c r="M1378" t="s">
        <v>28779</v>
      </c>
      <c r="N1378" t="s">
        <v>28780</v>
      </c>
      <c r="O1378">
        <f>-777.744768232457 -55.325681692141 -716.425867906839</f>
        <v>-1549.496317831437</v>
      </c>
      <c r="P1378">
        <f>-726.399617496691 -39.3178133275592 -404.506725633672</f>
        <v>-1170.2241564579222</v>
      </c>
      <c r="Q1378">
        <f>-476.76378246594 -25.8702648841484 -332.79078275896</f>
        <v>-835.42483010904834</v>
      </c>
      <c r="R1378" t="s">
        <v>28781</v>
      </c>
      <c r="S1378" t="s">
        <v>28782</v>
      </c>
      <c r="T1378" t="s">
        <v>28783</v>
      </c>
      <c r="U1378" t="s">
        <v>28784</v>
      </c>
      <c r="V1378" t="s">
        <v>28785</v>
      </c>
      <c r="W1378" t="s">
        <v>28786</v>
      </c>
      <c r="X1378" t="s">
        <v>28787</v>
      </c>
      <c r="Y1378" t="s">
        <v>28788</v>
      </c>
    </row>
    <row r="1379" spans="1:25" x14ac:dyDescent="0.3">
      <c r="A1379">
        <v>68900</v>
      </c>
      <c r="B1379" t="s">
        <v>28789</v>
      </c>
      <c r="C1379" t="s">
        <v>28790</v>
      </c>
      <c r="D1379" t="s">
        <v>28791</v>
      </c>
      <c r="E1379" t="s">
        <v>28792</v>
      </c>
      <c r="F1379" t="s">
        <v>28793</v>
      </c>
      <c r="G1379" t="s">
        <v>28794</v>
      </c>
      <c r="H1379" t="s">
        <v>28795</v>
      </c>
      <c r="I1379" t="s">
        <v>28796</v>
      </c>
      <c r="J1379" t="s">
        <v>28797</v>
      </c>
      <c r="K1379" t="s">
        <v>28798</v>
      </c>
      <c r="L1379" t="s">
        <v>28799</v>
      </c>
      <c r="M1379" t="s">
        <v>28800</v>
      </c>
      <c r="N1379" t="s">
        <v>28801</v>
      </c>
      <c r="O1379">
        <f>-777.586579835542 -55.6582258920648 -716.447835676907</f>
        <v>-1549.6926414045138</v>
      </c>
      <c r="P1379">
        <f>-725.816230499742 -39.0789961505957 -404.628852885265</f>
        <v>-1169.5240795356026</v>
      </c>
      <c r="Q1379">
        <f>-476.214452630938 -26.3899355669639 -332.656538702051</f>
        <v>-835.26092689995289</v>
      </c>
      <c r="R1379" t="s">
        <v>28802</v>
      </c>
      <c r="S1379" t="s">
        <v>28803</v>
      </c>
      <c r="T1379" t="s">
        <v>28804</v>
      </c>
      <c r="U1379" t="s">
        <v>28805</v>
      </c>
      <c r="V1379" t="s">
        <v>28806</v>
      </c>
      <c r="W1379" t="s">
        <v>28807</v>
      </c>
      <c r="X1379" t="s">
        <v>28808</v>
      </c>
      <c r="Y1379" t="s">
        <v>28809</v>
      </c>
    </row>
    <row r="1380" spans="1:25" x14ac:dyDescent="0.3">
      <c r="A1380">
        <v>68950</v>
      </c>
      <c r="B1380" t="s">
        <v>28810</v>
      </c>
      <c r="C1380" t="s">
        <v>28811</v>
      </c>
      <c r="D1380" t="s">
        <v>28812</v>
      </c>
      <c r="E1380" t="s">
        <v>28813</v>
      </c>
      <c r="F1380" t="s">
        <v>28814</v>
      </c>
      <c r="G1380" t="s">
        <v>28815</v>
      </c>
      <c r="H1380" t="s">
        <v>28816</v>
      </c>
      <c r="I1380" t="s">
        <v>28817</v>
      </c>
      <c r="J1380" t="s">
        <v>28818</v>
      </c>
      <c r="K1380" t="s">
        <v>28819</v>
      </c>
      <c r="L1380" t="s">
        <v>28820</v>
      </c>
      <c r="M1380" t="s">
        <v>28821</v>
      </c>
      <c r="N1380" t="s">
        <v>28822</v>
      </c>
      <c r="O1380">
        <f>-777.395211550863 -56.4814487331682 -716.326417728912</f>
        <v>-1550.2030780129433</v>
      </c>
      <c r="P1380">
        <f>-725.032812443874 -39.5965498166081 -404.622577667822</f>
        <v>-1169.2519399283042</v>
      </c>
      <c r="Q1380">
        <f>-475.248920389806 -26.7653381901523 -333.310589716386</f>
        <v>-835.32484829634427</v>
      </c>
      <c r="R1380" t="s">
        <v>28823</v>
      </c>
      <c r="S1380" t="s">
        <v>28824</v>
      </c>
      <c r="T1380" t="s">
        <v>28825</v>
      </c>
      <c r="U1380" t="s">
        <v>28826</v>
      </c>
      <c r="V1380" t="s">
        <v>28827</v>
      </c>
      <c r="W1380" t="s">
        <v>28828</v>
      </c>
      <c r="X1380" t="s">
        <v>28829</v>
      </c>
      <c r="Y1380" t="s">
        <v>28830</v>
      </c>
    </row>
    <row r="1381" spans="1:25" x14ac:dyDescent="0.3">
      <c r="A1381">
        <v>69000</v>
      </c>
      <c r="B1381" t="s">
        <v>28831</v>
      </c>
      <c r="C1381" t="s">
        <v>28832</v>
      </c>
      <c r="D1381" t="s">
        <v>28833</v>
      </c>
      <c r="E1381" t="s">
        <v>28834</v>
      </c>
      <c r="F1381" t="s">
        <v>28835</v>
      </c>
      <c r="G1381" t="s">
        <v>28836</v>
      </c>
      <c r="H1381" t="s">
        <v>28837</v>
      </c>
      <c r="I1381" t="s">
        <v>28838</v>
      </c>
      <c r="J1381" t="s">
        <v>28839</v>
      </c>
      <c r="K1381" t="s">
        <v>28840</v>
      </c>
      <c r="L1381" t="s">
        <v>28841</v>
      </c>
      <c r="M1381" t="s">
        <v>28842</v>
      </c>
      <c r="N1381" t="s">
        <v>28843</v>
      </c>
      <c r="O1381">
        <f>-777.427037204815 -56.7498833488416 -716.293827624085</f>
        <v>-1550.4707481777416</v>
      </c>
      <c r="P1381">
        <f>-724.899586200871 -39.7487146842213 -404.624006967493</f>
        <v>-1169.2723078525853</v>
      </c>
      <c r="Q1381">
        <f>-474.98244817149 -26.5606929633632 -333.845388494721</f>
        <v>-835.38852962957412</v>
      </c>
      <c r="R1381" t="s">
        <v>28844</v>
      </c>
      <c r="S1381" t="s">
        <v>28845</v>
      </c>
      <c r="T1381" t="s">
        <v>28846</v>
      </c>
      <c r="U1381" t="s">
        <v>28847</v>
      </c>
      <c r="V1381" t="s">
        <v>28848</v>
      </c>
      <c r="W1381" t="s">
        <v>28849</v>
      </c>
      <c r="X1381" t="s">
        <v>28850</v>
      </c>
      <c r="Y1381" t="s">
        <v>28851</v>
      </c>
    </row>
    <row r="1382" spans="1:25" x14ac:dyDescent="0.3">
      <c r="A1382">
        <v>69050</v>
      </c>
      <c r="B1382" t="s">
        <v>28852</v>
      </c>
      <c r="C1382" t="s">
        <v>28853</v>
      </c>
      <c r="D1382" t="s">
        <v>28854</v>
      </c>
      <c r="E1382" t="s">
        <v>28855</v>
      </c>
      <c r="F1382" t="s">
        <v>28856</v>
      </c>
      <c r="G1382" t="s">
        <v>28857</v>
      </c>
      <c r="H1382" t="s">
        <v>28858</v>
      </c>
      <c r="I1382" t="s">
        <v>28859</v>
      </c>
      <c r="J1382" t="s">
        <v>28860</v>
      </c>
      <c r="K1382" t="s">
        <v>28861</v>
      </c>
      <c r="L1382" t="s">
        <v>28862</v>
      </c>
      <c r="M1382" t="s">
        <v>28863</v>
      </c>
      <c r="N1382" t="s">
        <v>28864</v>
      </c>
      <c r="O1382">
        <f>-777.42683831217 -57.3592237209914 -716.193188057541</f>
        <v>-1550.9792500907024</v>
      </c>
      <c r="P1382">
        <f>-724.685789602069 -40.5935225044486 -404.546708819484</f>
        <v>-1169.8260209260015</v>
      </c>
      <c r="Q1382">
        <f>-474.33132720135 -25.8283320578023 -335.650314755777</f>
        <v>-835.80997401492937</v>
      </c>
      <c r="R1382" t="s">
        <v>28865</v>
      </c>
      <c r="S1382" t="s">
        <v>28866</v>
      </c>
      <c r="T1382" t="s">
        <v>28867</v>
      </c>
      <c r="U1382" t="s">
        <v>28868</v>
      </c>
      <c r="V1382" t="s">
        <v>28869</v>
      </c>
      <c r="W1382" t="s">
        <v>28870</v>
      </c>
      <c r="X1382" t="s">
        <v>28871</v>
      </c>
      <c r="Y1382" t="s">
        <v>28872</v>
      </c>
    </row>
    <row r="1383" spans="1:25" x14ac:dyDescent="0.3">
      <c r="A1383">
        <v>69100</v>
      </c>
      <c r="B1383" t="s">
        <v>28873</v>
      </c>
      <c r="C1383" t="s">
        <v>28874</v>
      </c>
      <c r="D1383" t="s">
        <v>28875</v>
      </c>
      <c r="E1383" t="s">
        <v>28876</v>
      </c>
      <c r="F1383" t="s">
        <v>28877</v>
      </c>
      <c r="G1383" t="s">
        <v>28878</v>
      </c>
      <c r="H1383" t="s">
        <v>28879</v>
      </c>
      <c r="I1383" t="s">
        <v>28880</v>
      </c>
      <c r="J1383" t="s">
        <v>28881</v>
      </c>
      <c r="K1383" t="s">
        <v>28882</v>
      </c>
      <c r="L1383" t="s">
        <v>28883</v>
      </c>
      <c r="M1383" t="s">
        <v>28884</v>
      </c>
      <c r="N1383" t="s">
        <v>28885</v>
      </c>
      <c r="O1383">
        <f>-777.504551018827 -57.5423755891043 -716.173050238944</f>
        <v>-1551.2199768468754</v>
      </c>
      <c r="P1383">
        <f>-724.308310270129 -40.50221669745 -404.618942098061</f>
        <v>-1169.42946906564</v>
      </c>
      <c r="Q1383">
        <f>-473.783533430446 -25.6220295754663 -336.369458758679</f>
        <v>-835.77502176459132</v>
      </c>
      <c r="R1383" t="s">
        <v>28886</v>
      </c>
      <c r="S1383" t="s">
        <v>28887</v>
      </c>
      <c r="T1383" t="s">
        <v>28888</v>
      </c>
      <c r="U1383" t="s">
        <v>28889</v>
      </c>
      <c r="V1383" t="s">
        <v>28890</v>
      </c>
      <c r="W1383" t="s">
        <v>28891</v>
      </c>
      <c r="X1383" t="s">
        <v>28892</v>
      </c>
      <c r="Y1383" t="s">
        <v>28893</v>
      </c>
    </row>
    <row r="1384" spans="1:25" x14ac:dyDescent="0.3">
      <c r="A1384">
        <v>69150</v>
      </c>
      <c r="B1384" t="s">
        <v>28894</v>
      </c>
      <c r="C1384" t="s">
        <v>28895</v>
      </c>
      <c r="D1384" t="s">
        <v>28896</v>
      </c>
      <c r="E1384" t="s">
        <v>28897</v>
      </c>
      <c r="F1384" t="s">
        <v>28898</v>
      </c>
      <c r="G1384" t="s">
        <v>28899</v>
      </c>
      <c r="H1384" t="s">
        <v>28900</v>
      </c>
      <c r="I1384" t="s">
        <v>28901</v>
      </c>
      <c r="J1384" t="s">
        <v>28902</v>
      </c>
      <c r="K1384" t="s">
        <v>28903</v>
      </c>
      <c r="L1384" t="s">
        <v>28904</v>
      </c>
      <c r="M1384" t="s">
        <v>28905</v>
      </c>
      <c r="N1384" t="s">
        <v>28906</v>
      </c>
      <c r="O1384">
        <f>-777.884614284532 -57.8975344402552 -716.061540885818</f>
        <v>-1551.843689610605</v>
      </c>
      <c r="P1384">
        <f>-724.139841548747 -40.6768229631632 -404.611402701687</f>
        <v>-1169.4280672135972</v>
      </c>
      <c r="Q1384">
        <f>-473.356153400356 -25.7929170083121 -337.320404755048</f>
        <v>-836.46947516371608</v>
      </c>
      <c r="R1384" t="s">
        <v>28907</v>
      </c>
      <c r="S1384" t="s">
        <v>28908</v>
      </c>
      <c r="T1384" t="s">
        <v>28909</v>
      </c>
      <c r="U1384" t="s">
        <v>28910</v>
      </c>
      <c r="V1384" t="s">
        <v>28911</v>
      </c>
      <c r="W1384" t="s">
        <v>28912</v>
      </c>
      <c r="X1384" t="s">
        <v>28913</v>
      </c>
      <c r="Y1384" t="s">
        <v>28914</v>
      </c>
    </row>
    <row r="1385" spans="1:25" x14ac:dyDescent="0.3">
      <c r="A1385">
        <v>69200</v>
      </c>
      <c r="B1385" t="s">
        <v>28915</v>
      </c>
      <c r="C1385" t="s">
        <v>28916</v>
      </c>
      <c r="D1385" t="s">
        <v>28917</v>
      </c>
      <c r="E1385" t="s">
        <v>28918</v>
      </c>
      <c r="F1385" t="s">
        <v>28919</v>
      </c>
      <c r="G1385" t="s">
        <v>28920</v>
      </c>
      <c r="H1385" t="s">
        <v>28921</v>
      </c>
      <c r="I1385" t="s">
        <v>28922</v>
      </c>
      <c r="J1385" t="s">
        <v>28923</v>
      </c>
      <c r="K1385" t="s">
        <v>28924</v>
      </c>
      <c r="L1385" t="s">
        <v>28925</v>
      </c>
      <c r="M1385" t="s">
        <v>28926</v>
      </c>
      <c r="N1385" t="s">
        <v>28927</v>
      </c>
      <c r="O1385">
        <f>-777.931995624618 -57.9060114249635 -716.067253554311</f>
        <v>-1551.9052606038927</v>
      </c>
      <c r="P1385">
        <f>-724.181213780938 -40.933087712421 -404.604556333576</f>
        <v>-1169.7188578269349</v>
      </c>
      <c r="Q1385">
        <f>-473.323229724466 -26.1843971415715 -337.561003498097</f>
        <v>-837.06863036413449</v>
      </c>
      <c r="R1385" t="s">
        <v>28928</v>
      </c>
      <c r="S1385" t="s">
        <v>28929</v>
      </c>
      <c r="T1385" t="s">
        <v>28930</v>
      </c>
      <c r="U1385" t="s">
        <v>28931</v>
      </c>
      <c r="V1385" t="s">
        <v>28932</v>
      </c>
      <c r="W1385" t="s">
        <v>28933</v>
      </c>
      <c r="X1385" t="s">
        <v>28934</v>
      </c>
      <c r="Y1385" t="s">
        <v>28935</v>
      </c>
    </row>
    <row r="1386" spans="1:25" x14ac:dyDescent="0.3">
      <c r="A1386">
        <v>69250</v>
      </c>
      <c r="B1386" t="s">
        <v>28936</v>
      </c>
      <c r="C1386" t="s">
        <v>28937</v>
      </c>
      <c r="D1386" t="s">
        <v>28938</v>
      </c>
      <c r="E1386" t="s">
        <v>28939</v>
      </c>
      <c r="F1386" t="s">
        <v>28940</v>
      </c>
      <c r="G1386" t="s">
        <v>28941</v>
      </c>
      <c r="H1386" t="s">
        <v>28942</v>
      </c>
      <c r="I1386" t="s">
        <v>28943</v>
      </c>
      <c r="J1386" t="s">
        <v>28944</v>
      </c>
      <c r="K1386" t="s">
        <v>28945</v>
      </c>
      <c r="L1386" t="s">
        <v>28946</v>
      </c>
      <c r="M1386" t="s">
        <v>28947</v>
      </c>
      <c r="N1386" t="s">
        <v>28948</v>
      </c>
      <c r="O1386">
        <f>-778.404718718867 -57.8597589172505 -715.97989986083</f>
        <v>-1552.2443774969474</v>
      </c>
      <c r="P1386">
        <f>-724.4634895775 -41.0953873907199 -404.538926012995</f>
        <v>-1170.097802981215</v>
      </c>
      <c r="Q1386">
        <f>-473.37862020377 -26.0557742783442 -338.415887742816</f>
        <v>-837.8502822249302</v>
      </c>
      <c r="R1386" t="s">
        <v>28949</v>
      </c>
      <c r="S1386" t="s">
        <v>28950</v>
      </c>
      <c r="T1386" t="s">
        <v>28951</v>
      </c>
      <c r="U1386" t="s">
        <v>28952</v>
      </c>
      <c r="V1386" t="s">
        <v>28953</v>
      </c>
      <c r="W1386" t="s">
        <v>28954</v>
      </c>
      <c r="X1386" t="s">
        <v>28955</v>
      </c>
      <c r="Y1386" t="s">
        <v>28956</v>
      </c>
    </row>
    <row r="1387" spans="1:25" x14ac:dyDescent="0.3">
      <c r="A1387">
        <v>69300</v>
      </c>
      <c r="B1387" t="s">
        <v>28957</v>
      </c>
      <c r="C1387" t="s">
        <v>28958</v>
      </c>
      <c r="D1387" t="s">
        <v>28959</v>
      </c>
      <c r="E1387" t="s">
        <v>28960</v>
      </c>
      <c r="F1387" t="s">
        <v>28961</v>
      </c>
      <c r="G1387" t="s">
        <v>28962</v>
      </c>
      <c r="H1387" t="s">
        <v>28963</v>
      </c>
      <c r="I1387" t="s">
        <v>28964</v>
      </c>
      <c r="J1387" t="s">
        <v>28965</v>
      </c>
      <c r="K1387" t="s">
        <v>28966</v>
      </c>
      <c r="L1387" t="s">
        <v>28967</v>
      </c>
      <c r="M1387" t="s">
        <v>28968</v>
      </c>
      <c r="N1387" t="s">
        <v>28969</v>
      </c>
      <c r="O1387">
        <f>-778.630347557184 -57.83319419181 -715.882983362862</f>
        <v>-1552.346525111856</v>
      </c>
      <c r="P1387">
        <f>-724.511158181498 -40.6110479786719 -404.49776806063</f>
        <v>-1169.6199742207998</v>
      </c>
      <c r="Q1387">
        <f>-473.411942198691 -25.7541893986665 -338.388241560943</f>
        <v>-837.55437315830045</v>
      </c>
      <c r="R1387" t="s">
        <v>28970</v>
      </c>
      <c r="S1387" t="s">
        <v>28971</v>
      </c>
      <c r="T1387" t="s">
        <v>28972</v>
      </c>
      <c r="U1387" t="s">
        <v>28973</v>
      </c>
      <c r="V1387" t="s">
        <v>28974</v>
      </c>
      <c r="W1387" t="s">
        <v>28975</v>
      </c>
      <c r="X1387" t="s">
        <v>28976</v>
      </c>
      <c r="Y1387" t="s">
        <v>28977</v>
      </c>
    </row>
    <row r="1388" spans="1:25" x14ac:dyDescent="0.3">
      <c r="A1388">
        <v>69350</v>
      </c>
      <c r="B1388" t="s">
        <v>28978</v>
      </c>
      <c r="C1388" t="s">
        <v>28979</v>
      </c>
      <c r="D1388" t="s">
        <v>28980</v>
      </c>
      <c r="E1388" t="s">
        <v>28981</v>
      </c>
      <c r="F1388" t="s">
        <v>28982</v>
      </c>
      <c r="G1388" t="s">
        <v>28983</v>
      </c>
      <c r="H1388" t="s">
        <v>28984</v>
      </c>
      <c r="I1388" t="s">
        <v>28985</v>
      </c>
      <c r="J1388" t="s">
        <v>28986</v>
      </c>
      <c r="K1388" t="s">
        <v>28987</v>
      </c>
      <c r="L1388" t="s">
        <v>28988</v>
      </c>
      <c r="M1388" t="s">
        <v>28989</v>
      </c>
      <c r="N1388" t="s">
        <v>28990</v>
      </c>
      <c r="O1388">
        <f>-779.341395157656 -57.743993715239 -715.573189454192</f>
        <v>-1552.6585783270871</v>
      </c>
      <c r="P1388">
        <f>-725.032514179637 -40.579118723746 -404.218007105118</f>
        <v>-1169.829640008501</v>
      </c>
      <c r="Q1388">
        <f>-473.924749008199 -26.2395724649732 -338.026140796179</f>
        <v>-838.1904622693512</v>
      </c>
      <c r="R1388" t="s">
        <v>28991</v>
      </c>
      <c r="S1388" t="s">
        <v>28992</v>
      </c>
      <c r="T1388" t="s">
        <v>28993</v>
      </c>
      <c r="U1388" t="s">
        <v>28994</v>
      </c>
      <c r="V1388" t="s">
        <v>28995</v>
      </c>
      <c r="W1388" t="s">
        <v>28996</v>
      </c>
      <c r="X1388" t="s">
        <v>28997</v>
      </c>
      <c r="Y1388" t="s">
        <v>28998</v>
      </c>
    </row>
    <row r="1389" spans="1:25" x14ac:dyDescent="0.3">
      <c r="A1389">
        <v>69400</v>
      </c>
      <c r="B1389" t="s">
        <v>28999</v>
      </c>
      <c r="C1389" t="s">
        <v>29000</v>
      </c>
      <c r="D1389" t="s">
        <v>29001</v>
      </c>
      <c r="E1389" t="s">
        <v>29002</v>
      </c>
      <c r="F1389" t="s">
        <v>29003</v>
      </c>
      <c r="G1389" t="s">
        <v>29004</v>
      </c>
      <c r="H1389" t="s">
        <v>29005</v>
      </c>
      <c r="I1389" t="s">
        <v>29006</v>
      </c>
      <c r="J1389" t="s">
        <v>29007</v>
      </c>
      <c r="K1389" t="s">
        <v>29008</v>
      </c>
      <c r="L1389" t="s">
        <v>29009</v>
      </c>
      <c r="M1389" t="s">
        <v>29010</v>
      </c>
      <c r="N1389" t="s">
        <v>29011</v>
      </c>
      <c r="O1389">
        <f>-779.801881869635 -57.519019815968 -715.427214292199</f>
        <v>-1552.7481159778022</v>
      </c>
      <c r="P1389">
        <f>-725.446882089568 -39.9340708841798 -404.103325184272</f>
        <v>-1169.4842781580198</v>
      </c>
      <c r="Q1389">
        <f>-474.315373637467 -25.8836912882828 -337.939928777369</f>
        <v>-838.13899370311879</v>
      </c>
      <c r="R1389" t="s">
        <v>29012</v>
      </c>
      <c r="S1389" t="s">
        <v>29013</v>
      </c>
      <c r="T1389" t="s">
        <v>29014</v>
      </c>
      <c r="U1389" t="s">
        <v>29015</v>
      </c>
      <c r="V1389" t="s">
        <v>29016</v>
      </c>
      <c r="W1389" t="s">
        <v>29017</v>
      </c>
      <c r="X1389" t="s">
        <v>29018</v>
      </c>
      <c r="Y1389" t="s">
        <v>29019</v>
      </c>
    </row>
    <row r="1390" spans="1:25" x14ac:dyDescent="0.3">
      <c r="A1390">
        <v>69450</v>
      </c>
      <c r="B1390" t="s">
        <v>29020</v>
      </c>
      <c r="C1390" t="s">
        <v>29021</v>
      </c>
      <c r="D1390" t="s">
        <v>29022</v>
      </c>
      <c r="E1390" t="s">
        <v>29023</v>
      </c>
      <c r="F1390" t="s">
        <v>29024</v>
      </c>
      <c r="G1390" t="s">
        <v>29025</v>
      </c>
      <c r="H1390" t="s">
        <v>29026</v>
      </c>
      <c r="I1390" t="s">
        <v>29027</v>
      </c>
      <c r="J1390" t="s">
        <v>29028</v>
      </c>
      <c r="K1390" t="s">
        <v>29029</v>
      </c>
      <c r="L1390" t="s">
        <v>29030</v>
      </c>
      <c r="M1390" t="s">
        <v>29031</v>
      </c>
      <c r="N1390" t="s">
        <v>29032</v>
      </c>
      <c r="O1390">
        <f>-780.236168815361 -56.9994493745846 -715.145172598943</f>
        <v>-1552.3807907888886</v>
      </c>
      <c r="P1390">
        <f>-725.935505732488 -39.5199969417924 -403.805813125551</f>
        <v>-1169.2613157998314</v>
      </c>
      <c r="Q1390">
        <f>-474.62459749708 -25.6523967224812 -338.288118051533</f>
        <v>-838.56511227109422</v>
      </c>
      <c r="R1390" t="s">
        <v>29033</v>
      </c>
      <c r="S1390" t="s">
        <v>29034</v>
      </c>
      <c r="T1390" t="s">
        <v>29035</v>
      </c>
      <c r="U1390" t="s">
        <v>29036</v>
      </c>
      <c r="V1390" t="s">
        <v>29037</v>
      </c>
      <c r="W1390" t="s">
        <v>29038</v>
      </c>
      <c r="X1390" t="s">
        <v>29039</v>
      </c>
      <c r="Y1390" t="s">
        <v>29040</v>
      </c>
    </row>
    <row r="1391" spans="1:25" x14ac:dyDescent="0.3">
      <c r="A1391">
        <v>69500</v>
      </c>
      <c r="B1391" t="s">
        <v>29041</v>
      </c>
      <c r="C1391" t="s">
        <v>29042</v>
      </c>
      <c r="D1391" t="s">
        <v>29043</v>
      </c>
      <c r="E1391" t="s">
        <v>29044</v>
      </c>
      <c r="F1391" t="s">
        <v>29045</v>
      </c>
      <c r="G1391" t="s">
        <v>29046</v>
      </c>
      <c r="H1391" t="s">
        <v>29047</v>
      </c>
      <c r="I1391" t="s">
        <v>29048</v>
      </c>
      <c r="J1391" t="s">
        <v>29049</v>
      </c>
      <c r="K1391" t="s">
        <v>29050</v>
      </c>
      <c r="L1391" t="s">
        <v>29051</v>
      </c>
      <c r="M1391" t="s">
        <v>29052</v>
      </c>
      <c r="N1391" t="s">
        <v>29053</v>
      </c>
      <c r="O1391">
        <f>-780.667285172829 -56.580469061028 -715.059574812557</f>
        <v>-1552.307329046414</v>
      </c>
      <c r="P1391">
        <f>-726.336212002937 -38.987434975249 -403.732114678196</f>
        <v>-1169.0557616563819</v>
      </c>
      <c r="Q1391">
        <f>-474.975200958424 -25.0292664432236 -338.425844900712</f>
        <v>-838.43031230235965</v>
      </c>
      <c r="R1391" t="s">
        <v>29054</v>
      </c>
      <c r="S1391" t="s">
        <v>29055</v>
      </c>
      <c r="T1391" t="s">
        <v>29056</v>
      </c>
      <c r="U1391" t="s">
        <v>29057</v>
      </c>
      <c r="V1391" t="s">
        <v>29058</v>
      </c>
      <c r="W1391" t="s">
        <v>29059</v>
      </c>
      <c r="X1391" t="s">
        <v>29060</v>
      </c>
      <c r="Y1391" t="s">
        <v>29061</v>
      </c>
    </row>
    <row r="1392" spans="1:25" x14ac:dyDescent="0.3">
      <c r="A1392">
        <v>69550</v>
      </c>
      <c r="B1392" t="s">
        <v>29062</v>
      </c>
      <c r="C1392" t="s">
        <v>29063</v>
      </c>
      <c r="D1392" t="s">
        <v>29064</v>
      </c>
      <c r="E1392" t="s">
        <v>29065</v>
      </c>
      <c r="F1392" t="s">
        <v>29066</v>
      </c>
      <c r="G1392" t="s">
        <v>29067</v>
      </c>
      <c r="H1392" t="s">
        <v>29068</v>
      </c>
      <c r="I1392" t="s">
        <v>29069</v>
      </c>
      <c r="J1392" t="s">
        <v>29070</v>
      </c>
      <c r="K1392" t="s">
        <v>29071</v>
      </c>
      <c r="L1392" t="s">
        <v>29072</v>
      </c>
      <c r="M1392" t="s">
        <v>29073</v>
      </c>
      <c r="N1392" t="s">
        <v>29074</v>
      </c>
      <c r="O1392">
        <f>-781.328831078332 -56.0156838608195 -715.002595759634</f>
        <v>-1552.3471106987854</v>
      </c>
      <c r="P1392">
        <f>-726.882096293431 -38.5375558932487 -403.688956676311</f>
        <v>-1169.1086088629909</v>
      </c>
      <c r="Q1392">
        <f>-475.47664586945 -24.4767732206449 -338.576492098279</f>
        <v>-838.52991118837394</v>
      </c>
      <c r="R1392" t="s">
        <v>29075</v>
      </c>
      <c r="S1392" t="s">
        <v>29076</v>
      </c>
      <c r="T1392" t="s">
        <v>29077</v>
      </c>
      <c r="U1392" t="s">
        <v>29078</v>
      </c>
      <c r="V1392" t="s">
        <v>29079</v>
      </c>
      <c r="W1392" t="s">
        <v>29080</v>
      </c>
      <c r="X1392" t="s">
        <v>29081</v>
      </c>
      <c r="Y1392" t="s">
        <v>29082</v>
      </c>
    </row>
    <row r="1393" spans="1:25" x14ac:dyDescent="0.3">
      <c r="A1393">
        <v>69600</v>
      </c>
      <c r="B1393" t="s">
        <v>29083</v>
      </c>
      <c r="C1393" t="s">
        <v>29084</v>
      </c>
      <c r="D1393" t="s">
        <v>29085</v>
      </c>
      <c r="E1393" t="s">
        <v>29086</v>
      </c>
      <c r="F1393" t="s">
        <v>29087</v>
      </c>
      <c r="G1393" t="s">
        <v>29088</v>
      </c>
      <c r="H1393" t="s">
        <v>29089</v>
      </c>
      <c r="I1393" t="s">
        <v>29090</v>
      </c>
      <c r="J1393" t="s">
        <v>29091</v>
      </c>
      <c r="K1393" t="s">
        <v>29092</v>
      </c>
      <c r="L1393" t="s">
        <v>29093</v>
      </c>
      <c r="M1393" t="s">
        <v>29094</v>
      </c>
      <c r="N1393" t="s">
        <v>29095</v>
      </c>
      <c r="O1393">
        <f>-781.604642770217 -55.6064510358947 -715.110345730271</f>
        <v>-1552.3214395363825</v>
      </c>
      <c r="P1393">
        <f>-727.142940040963 -38.0901304435974 -403.801338740384</f>
        <v>-1169.0344092249445</v>
      </c>
      <c r="Q1393">
        <f>-475.752882698023 -23.9673585884846 -338.642687655297</f>
        <v>-838.36292894180451</v>
      </c>
      <c r="R1393" t="s">
        <v>29096</v>
      </c>
      <c r="S1393" t="s">
        <v>29097</v>
      </c>
      <c r="T1393" t="s">
        <v>29098</v>
      </c>
      <c r="U1393" t="s">
        <v>29099</v>
      </c>
      <c r="V1393" t="s">
        <v>29100</v>
      </c>
      <c r="W1393" t="s">
        <v>29101</v>
      </c>
      <c r="X1393" t="s">
        <v>29102</v>
      </c>
      <c r="Y1393" t="s">
        <v>29103</v>
      </c>
    </row>
    <row r="1394" spans="1:25" x14ac:dyDescent="0.3">
      <c r="A1394">
        <v>69650</v>
      </c>
      <c r="B1394" t="s">
        <v>29104</v>
      </c>
      <c r="C1394" t="s">
        <v>29105</v>
      </c>
      <c r="D1394" t="s">
        <v>29106</v>
      </c>
      <c r="E1394" t="s">
        <v>29107</v>
      </c>
      <c r="F1394" t="s">
        <v>29108</v>
      </c>
      <c r="G1394" t="s">
        <v>29109</v>
      </c>
      <c r="H1394" t="s">
        <v>29110</v>
      </c>
      <c r="I1394" t="s">
        <v>29111</v>
      </c>
      <c r="J1394" t="s">
        <v>29112</v>
      </c>
      <c r="K1394" t="s">
        <v>29113</v>
      </c>
      <c r="L1394" t="s">
        <v>29114</v>
      </c>
      <c r="M1394" t="s">
        <v>29115</v>
      </c>
      <c r="N1394" t="s">
        <v>29116</v>
      </c>
      <c r="O1394">
        <f>-781.967893778128 -54.9637657676694 -715.246764030498</f>
        <v>-1552.1784235762952</v>
      </c>
      <c r="P1394">
        <f>-727.568714201165 -37.6485903548542 -403.915511465406</f>
        <v>-1169.1328160214252</v>
      </c>
      <c r="Q1394">
        <f>-476.287018153711 -23.1548948498123 -338.421365780388</f>
        <v>-837.86327878391126</v>
      </c>
      <c r="R1394" t="s">
        <v>29117</v>
      </c>
      <c r="S1394" t="s">
        <v>29118</v>
      </c>
      <c r="T1394" t="s">
        <v>29119</v>
      </c>
      <c r="U1394" t="s">
        <v>29120</v>
      </c>
      <c r="V1394" t="s">
        <v>29121</v>
      </c>
      <c r="W1394" t="s">
        <v>29122</v>
      </c>
      <c r="X1394" t="s">
        <v>29123</v>
      </c>
      <c r="Y1394" t="s">
        <v>29124</v>
      </c>
    </row>
    <row r="1395" spans="1:25" x14ac:dyDescent="0.3">
      <c r="A1395">
        <v>69700</v>
      </c>
      <c r="B1395" t="s">
        <v>29125</v>
      </c>
      <c r="C1395" t="s">
        <v>29126</v>
      </c>
      <c r="D1395" t="s">
        <v>29127</v>
      </c>
      <c r="E1395" t="s">
        <v>29128</v>
      </c>
      <c r="F1395" t="s">
        <v>29129</v>
      </c>
      <c r="G1395" t="s">
        <v>29130</v>
      </c>
      <c r="H1395" t="s">
        <v>29131</v>
      </c>
      <c r="I1395" t="s">
        <v>29132</v>
      </c>
      <c r="J1395" t="s">
        <v>29133</v>
      </c>
      <c r="K1395" t="s">
        <v>29134</v>
      </c>
      <c r="L1395" t="s">
        <v>29135</v>
      </c>
      <c r="M1395" t="s">
        <v>29136</v>
      </c>
      <c r="N1395" t="s">
        <v>29137</v>
      </c>
      <c r="O1395">
        <f>-781.932709360733 -54.4684431583089 -715.321909045316</f>
        <v>-1551.723061564358</v>
      </c>
      <c r="P1395">
        <f>-727.674290575168 -37.3863067574398 -403.953413460233</f>
        <v>-1169.0140107928407</v>
      </c>
      <c r="Q1395">
        <f>-476.423978236279 -22.5093144063449 -338.424520504319</f>
        <v>-837.35781314694293</v>
      </c>
      <c r="R1395" t="s">
        <v>29138</v>
      </c>
      <c r="S1395" t="s">
        <v>29139</v>
      </c>
      <c r="T1395" t="s">
        <v>29140</v>
      </c>
      <c r="U1395" t="s">
        <v>29141</v>
      </c>
      <c r="V1395" t="s">
        <v>29142</v>
      </c>
      <c r="W1395" t="s">
        <v>29143</v>
      </c>
      <c r="X1395" t="s">
        <v>29144</v>
      </c>
      <c r="Y1395" t="s">
        <v>29145</v>
      </c>
    </row>
    <row r="1396" spans="1:25" x14ac:dyDescent="0.3">
      <c r="A1396">
        <v>69750</v>
      </c>
      <c r="B1396" t="s">
        <v>29146</v>
      </c>
      <c r="C1396" t="s">
        <v>29147</v>
      </c>
      <c r="D1396" t="s">
        <v>29148</v>
      </c>
      <c r="E1396" t="s">
        <v>29149</v>
      </c>
      <c r="F1396" t="s">
        <v>29150</v>
      </c>
      <c r="G1396" t="s">
        <v>29151</v>
      </c>
      <c r="H1396" t="s">
        <v>29152</v>
      </c>
      <c r="I1396" t="s">
        <v>29153</v>
      </c>
      <c r="J1396" t="s">
        <v>29154</v>
      </c>
      <c r="K1396" t="s">
        <v>29155</v>
      </c>
      <c r="L1396" t="s">
        <v>29156</v>
      </c>
      <c r="M1396" t="s">
        <v>29157</v>
      </c>
      <c r="N1396" t="s">
        <v>29158</v>
      </c>
      <c r="O1396">
        <f>-781.969674861726 -53.199039595936 -715.565789892139</f>
        <v>-1550.7345043498012</v>
      </c>
      <c r="P1396">
        <f>-727.939568348989 -36.2606195630758 -404.149642453695</f>
        <v>-1168.3498303657598</v>
      </c>
      <c r="Q1396">
        <f>-476.744031668514 -20.8959058960174 -338.523344615101</f>
        <v>-836.16328217963246</v>
      </c>
      <c r="R1396" t="s">
        <v>29159</v>
      </c>
      <c r="S1396" t="s">
        <v>29160</v>
      </c>
      <c r="T1396" t="s">
        <v>29161</v>
      </c>
      <c r="U1396" t="s">
        <v>29162</v>
      </c>
      <c r="V1396" t="s">
        <v>29163</v>
      </c>
      <c r="W1396" t="s">
        <v>29164</v>
      </c>
      <c r="X1396" t="s">
        <v>29165</v>
      </c>
      <c r="Y1396" t="s">
        <v>29166</v>
      </c>
    </row>
    <row r="1397" spans="1:25" x14ac:dyDescent="0.3">
      <c r="A1397">
        <v>69800</v>
      </c>
      <c r="B1397" t="s">
        <v>29167</v>
      </c>
      <c r="C1397" t="s">
        <v>29168</v>
      </c>
      <c r="D1397" t="s">
        <v>29169</v>
      </c>
      <c r="E1397" t="s">
        <v>29170</v>
      </c>
      <c r="F1397" t="s">
        <v>29171</v>
      </c>
      <c r="G1397" t="s">
        <v>29172</v>
      </c>
      <c r="H1397" t="s">
        <v>29173</v>
      </c>
      <c r="I1397" t="s">
        <v>29174</v>
      </c>
      <c r="J1397" t="s">
        <v>29175</v>
      </c>
      <c r="K1397" t="s">
        <v>29176</v>
      </c>
      <c r="L1397" t="s">
        <v>29177</v>
      </c>
      <c r="M1397" t="s">
        <v>29178</v>
      </c>
      <c r="N1397" t="s">
        <v>29179</v>
      </c>
      <c r="O1397">
        <f>-781.977814968863 -52.4437580991503 -715.70221490606</f>
        <v>-1550.1237879740734</v>
      </c>
      <c r="P1397">
        <f>-728.107791016899 -35.7395693575536 -404.245554386607</f>
        <v>-1168.0929147610595</v>
      </c>
      <c r="Q1397">
        <f>-476.902094521181 -20.1079811759232 -338.721672219091</f>
        <v>-835.73174791619522</v>
      </c>
      <c r="R1397" t="s">
        <v>29180</v>
      </c>
      <c r="S1397" t="s">
        <v>29181</v>
      </c>
      <c r="T1397" t="s">
        <v>29182</v>
      </c>
      <c r="U1397" t="s">
        <v>29183</v>
      </c>
      <c r="V1397" t="s">
        <v>29184</v>
      </c>
      <c r="W1397" t="s">
        <v>29185</v>
      </c>
      <c r="X1397" t="s">
        <v>29186</v>
      </c>
      <c r="Y1397" t="s">
        <v>29187</v>
      </c>
    </row>
    <row r="1398" spans="1:25" x14ac:dyDescent="0.3">
      <c r="A1398">
        <v>69850</v>
      </c>
      <c r="B1398" t="s">
        <v>29188</v>
      </c>
      <c r="C1398" t="s">
        <v>29189</v>
      </c>
      <c r="D1398" t="s">
        <v>29190</v>
      </c>
      <c r="E1398" t="s">
        <v>29191</v>
      </c>
      <c r="F1398" t="s">
        <v>29192</v>
      </c>
      <c r="G1398" t="s">
        <v>29193</v>
      </c>
      <c r="H1398" t="s">
        <v>29194</v>
      </c>
      <c r="I1398" t="s">
        <v>29195</v>
      </c>
      <c r="J1398" t="s">
        <v>29196</v>
      </c>
      <c r="K1398" t="s">
        <v>29197</v>
      </c>
      <c r="L1398" t="s">
        <v>29198</v>
      </c>
      <c r="M1398" t="s">
        <v>29199</v>
      </c>
      <c r="N1398" t="s">
        <v>29200</v>
      </c>
      <c r="O1398">
        <f>-782.163349467686 -51.2218859420163 -716.128147384473</f>
        <v>-1549.5133827941754</v>
      </c>
      <c r="P1398">
        <f>-728.454095130254 -35.0519285250493 -404.615684338662</f>
        <v>-1168.1217079939654</v>
      </c>
      <c r="Q1398">
        <f>-477.264776527324 -19.2546098332157 -339.068151517071</f>
        <v>-835.58753787761066</v>
      </c>
      <c r="R1398" t="s">
        <v>29201</v>
      </c>
      <c r="S1398" t="s">
        <v>29202</v>
      </c>
      <c r="T1398" t="s">
        <v>29203</v>
      </c>
      <c r="U1398" t="s">
        <v>29204</v>
      </c>
      <c r="V1398" t="s">
        <v>29205</v>
      </c>
      <c r="W1398" t="s">
        <v>29206</v>
      </c>
      <c r="X1398" t="s">
        <v>29207</v>
      </c>
      <c r="Y1398" t="s">
        <v>29208</v>
      </c>
    </row>
    <row r="1399" spans="1:25" x14ac:dyDescent="0.3">
      <c r="A1399">
        <v>69900</v>
      </c>
      <c r="B1399" t="s">
        <v>29209</v>
      </c>
      <c r="C1399" t="s">
        <v>29210</v>
      </c>
      <c r="D1399" t="s">
        <v>29211</v>
      </c>
      <c r="E1399" t="s">
        <v>29212</v>
      </c>
      <c r="F1399" t="s">
        <v>29213</v>
      </c>
      <c r="G1399" t="s">
        <v>29214</v>
      </c>
      <c r="H1399" t="s">
        <v>29215</v>
      </c>
      <c r="I1399" t="s">
        <v>29216</v>
      </c>
      <c r="J1399" t="s">
        <v>29217</v>
      </c>
      <c r="K1399" t="s">
        <v>29218</v>
      </c>
      <c r="L1399" t="s">
        <v>29219</v>
      </c>
      <c r="M1399" t="s">
        <v>29220</v>
      </c>
      <c r="N1399" t="s">
        <v>29221</v>
      </c>
      <c r="O1399">
        <f>-782.378034766848 -50.6393195315136 -716.391814456543</f>
        <v>-1549.4091687549046</v>
      </c>
      <c r="P1399">
        <f>-728.711428237453 -34.9372315176649 -404.8479901113</f>
        <v>-1168.496649866418</v>
      </c>
      <c r="Q1399">
        <f>-477.533188053157 -19.2330760322761 -339.235972196479</f>
        <v>-836.00223628191202</v>
      </c>
      <c r="R1399" t="s">
        <v>29222</v>
      </c>
      <c r="S1399" t="s">
        <v>29223</v>
      </c>
      <c r="T1399" t="s">
        <v>29224</v>
      </c>
      <c r="U1399" t="s">
        <v>29225</v>
      </c>
      <c r="V1399" t="s">
        <v>29226</v>
      </c>
      <c r="W1399" t="s">
        <v>29227</v>
      </c>
      <c r="X1399" t="s">
        <v>29228</v>
      </c>
      <c r="Y1399" t="s">
        <v>29229</v>
      </c>
    </row>
    <row r="1400" spans="1:25" x14ac:dyDescent="0.3">
      <c r="A1400">
        <v>69950</v>
      </c>
      <c r="B1400" t="s">
        <v>29230</v>
      </c>
      <c r="C1400" t="s">
        <v>29231</v>
      </c>
      <c r="D1400" t="s">
        <v>29232</v>
      </c>
      <c r="E1400" t="s">
        <v>29233</v>
      </c>
      <c r="F1400" t="s">
        <v>29234</v>
      </c>
      <c r="G1400" t="s">
        <v>29235</v>
      </c>
      <c r="H1400" t="s">
        <v>29236</v>
      </c>
      <c r="I1400" t="s">
        <v>29237</v>
      </c>
      <c r="J1400" t="s">
        <v>29238</v>
      </c>
      <c r="K1400" t="s">
        <v>29239</v>
      </c>
      <c r="L1400" t="s">
        <v>29240</v>
      </c>
      <c r="M1400" t="s">
        <v>29241</v>
      </c>
      <c r="N1400" t="s">
        <v>29242</v>
      </c>
      <c r="O1400">
        <f>-782.20645957707 -49.5834740312487 -716.964725589884</f>
        <v>-1548.7546591982027</v>
      </c>
      <c r="P1400">
        <f>-728.791560835024 -34.4699354591876 -405.348621334474</f>
        <v>-1168.6101176286857</v>
      </c>
      <c r="Q1400">
        <f>-477.605630953085 -19.159370599039 -339.673381810182</f>
        <v>-836.43838336230601</v>
      </c>
      <c r="R1400" t="s">
        <v>29243</v>
      </c>
      <c r="S1400" t="s">
        <v>29244</v>
      </c>
      <c r="T1400" t="s">
        <v>29245</v>
      </c>
      <c r="U1400" t="s">
        <v>29246</v>
      </c>
      <c r="V1400" t="s">
        <v>29247</v>
      </c>
      <c r="W1400" t="s">
        <v>29248</v>
      </c>
      <c r="X1400" t="s">
        <v>29249</v>
      </c>
      <c r="Y1400" t="s">
        <v>29250</v>
      </c>
    </row>
    <row r="1401" spans="1:25" x14ac:dyDescent="0.3">
      <c r="A1401">
        <v>70000</v>
      </c>
      <c r="B1401" t="s">
        <v>29251</v>
      </c>
      <c r="C1401" t="s">
        <v>29252</v>
      </c>
      <c r="D1401" t="s">
        <v>29253</v>
      </c>
      <c r="E1401" t="s">
        <v>29254</v>
      </c>
      <c r="F1401" t="s">
        <v>29255</v>
      </c>
      <c r="G1401" t="s">
        <v>29256</v>
      </c>
      <c r="H1401" t="s">
        <v>29257</v>
      </c>
      <c r="I1401" t="s">
        <v>29258</v>
      </c>
      <c r="J1401" t="s">
        <v>29259</v>
      </c>
      <c r="K1401" t="s">
        <v>29260</v>
      </c>
      <c r="L1401" t="s">
        <v>29261</v>
      </c>
      <c r="M1401" t="s">
        <v>29262</v>
      </c>
      <c r="N1401" t="s">
        <v>29263</v>
      </c>
      <c r="O1401">
        <f>-782.027315698334 -49.0587048320012 -717.180874304271</f>
        <v>-1548.2668948346063</v>
      </c>
      <c r="P1401">
        <f>-728.784854528162 -34.1565347557098 -405.524994290211</f>
        <v>-1168.4663835740828</v>
      </c>
      <c r="Q1401">
        <f>-477.622675092035 -19.0954994722165 -339.700980973483</f>
        <v>-836.41915553773447</v>
      </c>
      <c r="R1401" t="s">
        <v>29264</v>
      </c>
      <c r="S1401" t="s">
        <v>29265</v>
      </c>
      <c r="T1401" t="s">
        <v>29266</v>
      </c>
      <c r="U1401" t="s">
        <v>29267</v>
      </c>
      <c r="V1401" t="s">
        <v>29268</v>
      </c>
      <c r="W1401" t="s">
        <v>29269</v>
      </c>
      <c r="X1401" t="s">
        <v>29270</v>
      </c>
      <c r="Y1401" t="s">
        <v>29271</v>
      </c>
    </row>
    <row r="1402" spans="1:25" x14ac:dyDescent="0.3">
      <c r="A1402">
        <v>70050</v>
      </c>
      <c r="B1402" t="s">
        <v>29272</v>
      </c>
      <c r="C1402" t="s">
        <v>29273</v>
      </c>
      <c r="D1402" t="s">
        <v>29274</v>
      </c>
      <c r="E1402" t="s">
        <v>29275</v>
      </c>
      <c r="F1402" t="s">
        <v>29276</v>
      </c>
      <c r="G1402" t="s">
        <v>29277</v>
      </c>
      <c r="H1402" t="s">
        <v>29278</v>
      </c>
      <c r="I1402" t="s">
        <v>29279</v>
      </c>
      <c r="J1402" t="s">
        <v>29280</v>
      </c>
      <c r="K1402" t="s">
        <v>29281</v>
      </c>
      <c r="L1402" t="s">
        <v>29282</v>
      </c>
      <c r="M1402" t="s">
        <v>29283</v>
      </c>
      <c r="N1402" t="s">
        <v>29284</v>
      </c>
      <c r="O1402">
        <f>-781.067229739445 -48.4106789956741 -717.807059079018</f>
        <v>-1547.284967814137</v>
      </c>
      <c r="P1402">
        <f>-728.772039817984 -33.9883289975269 -405.96830088334</f>
        <v>-1168.7286696988508</v>
      </c>
      <c r="Q1402">
        <f>-477.734657612906 -19.4432432689789 -339.555034826672</f>
        <v>-836.73293570855685</v>
      </c>
      <c r="R1402" t="s">
        <v>29285</v>
      </c>
      <c r="S1402" t="s">
        <v>29286</v>
      </c>
      <c r="T1402" t="s">
        <v>29287</v>
      </c>
      <c r="U1402" t="s">
        <v>29288</v>
      </c>
      <c r="V1402" t="s">
        <v>29289</v>
      </c>
      <c r="W1402" t="s">
        <v>29290</v>
      </c>
      <c r="X1402" t="s">
        <v>29291</v>
      </c>
      <c r="Y1402" t="s">
        <v>29292</v>
      </c>
    </row>
    <row r="1403" spans="1:25" x14ac:dyDescent="0.3">
      <c r="A1403">
        <v>70100</v>
      </c>
      <c r="B1403" t="s">
        <v>29293</v>
      </c>
      <c r="C1403" t="s">
        <v>29294</v>
      </c>
      <c r="D1403" t="s">
        <v>29295</v>
      </c>
      <c r="E1403" t="s">
        <v>29296</v>
      </c>
      <c r="F1403" t="s">
        <v>29297</v>
      </c>
      <c r="G1403" t="s">
        <v>29298</v>
      </c>
      <c r="H1403" t="s">
        <v>29299</v>
      </c>
      <c r="I1403" t="s">
        <v>29300</v>
      </c>
      <c r="J1403" t="s">
        <v>29301</v>
      </c>
      <c r="K1403" t="s">
        <v>29302</v>
      </c>
      <c r="L1403" t="s">
        <v>29303</v>
      </c>
      <c r="M1403" t="s">
        <v>29304</v>
      </c>
      <c r="N1403" t="s">
        <v>29305</v>
      </c>
      <c r="O1403">
        <f>-780.677364969126 -48.2992642909835 -718.101119573429</f>
        <v>-1547.0777488335384</v>
      </c>
      <c r="P1403">
        <f>-728.868168318956 -33.7182473688267 -406.188651123076</f>
        <v>-1168.7750668108588</v>
      </c>
      <c r="Q1403">
        <f>-477.969362532049 -19.4031191467261 -339.204117573299</f>
        <v>-836.57659925207417</v>
      </c>
      <c r="R1403" t="s">
        <v>29306</v>
      </c>
      <c r="S1403" t="s">
        <v>29307</v>
      </c>
      <c r="T1403" t="s">
        <v>29308</v>
      </c>
      <c r="U1403" t="s">
        <v>29309</v>
      </c>
      <c r="V1403" t="s">
        <v>29310</v>
      </c>
      <c r="W1403" t="s">
        <v>29311</v>
      </c>
      <c r="X1403" t="s">
        <v>29312</v>
      </c>
      <c r="Y1403" t="s">
        <v>29313</v>
      </c>
    </row>
    <row r="1404" spans="1:25" x14ac:dyDescent="0.3">
      <c r="A1404">
        <v>70150</v>
      </c>
      <c r="B1404" t="s">
        <v>29314</v>
      </c>
      <c r="C1404" t="s">
        <v>29315</v>
      </c>
      <c r="D1404" t="s">
        <v>29316</v>
      </c>
      <c r="E1404" t="s">
        <v>29317</v>
      </c>
      <c r="F1404" t="s">
        <v>29318</v>
      </c>
      <c r="G1404" t="s">
        <v>29319</v>
      </c>
      <c r="H1404" t="s">
        <v>29320</v>
      </c>
      <c r="I1404" t="s">
        <v>29321</v>
      </c>
      <c r="J1404" t="s">
        <v>29322</v>
      </c>
      <c r="K1404" t="s">
        <v>29323</v>
      </c>
      <c r="L1404" t="s">
        <v>29324</v>
      </c>
      <c r="M1404" t="s">
        <v>29325</v>
      </c>
      <c r="N1404" t="s">
        <v>29326</v>
      </c>
      <c r="O1404">
        <f>-780.172566876044 -48.5722794212768 -718.731674225351</f>
        <v>-1547.4765205226718</v>
      </c>
      <c r="P1404">
        <f>-729.086010344995 -34.483792702822 -406.677466298327</f>
        <v>-1170.2472693461441</v>
      </c>
      <c r="Q1404">
        <f>-478.41283102413 -20.4884692035366 -338.786663194259</f>
        <v>-837.68796342192559</v>
      </c>
      <c r="R1404" t="s">
        <v>29327</v>
      </c>
      <c r="S1404" t="s">
        <v>29328</v>
      </c>
      <c r="T1404" t="s">
        <v>29329</v>
      </c>
      <c r="U1404" t="s">
        <v>29330</v>
      </c>
      <c r="V1404" t="s">
        <v>29331</v>
      </c>
      <c r="W1404" t="s">
        <v>29332</v>
      </c>
      <c r="X1404" t="s">
        <v>29333</v>
      </c>
      <c r="Y1404" t="s">
        <v>29334</v>
      </c>
    </row>
    <row r="1405" spans="1:25" x14ac:dyDescent="0.3">
      <c r="A1405">
        <v>70200</v>
      </c>
      <c r="B1405" t="s">
        <v>29335</v>
      </c>
      <c r="C1405" t="s">
        <v>29336</v>
      </c>
      <c r="D1405" t="s">
        <v>29337</v>
      </c>
      <c r="E1405" t="s">
        <v>29338</v>
      </c>
      <c r="F1405" t="s">
        <v>29339</v>
      </c>
      <c r="G1405" t="s">
        <v>29340</v>
      </c>
      <c r="H1405" t="s">
        <v>29341</v>
      </c>
      <c r="I1405" t="s">
        <v>29342</v>
      </c>
      <c r="J1405" t="s">
        <v>29343</v>
      </c>
      <c r="K1405" t="s">
        <v>29344</v>
      </c>
      <c r="L1405" t="s">
        <v>29345</v>
      </c>
      <c r="M1405" t="s">
        <v>29346</v>
      </c>
      <c r="N1405" t="s">
        <v>29347</v>
      </c>
      <c r="O1405">
        <f>-780.27991948759 -48.9508663808374 -719.0710513785</f>
        <v>-1548.3018372469273</v>
      </c>
      <c r="P1405">
        <f>-729.289671517172 -34.7353490450835 -407.006804796554</f>
        <v>-1171.0318253588093</v>
      </c>
      <c r="Q1405">
        <f>-478.677388732375 -20.9198444444021 -338.854736324169</f>
        <v>-838.45196950094601</v>
      </c>
      <c r="R1405" t="s">
        <v>29348</v>
      </c>
      <c r="S1405" t="s">
        <v>29349</v>
      </c>
      <c r="T1405" t="s">
        <v>29350</v>
      </c>
      <c r="U1405" t="s">
        <v>29351</v>
      </c>
      <c r="V1405" t="s">
        <v>29352</v>
      </c>
      <c r="W1405" t="s">
        <v>29353</v>
      </c>
      <c r="X1405" t="s">
        <v>29354</v>
      </c>
      <c r="Y1405" t="s">
        <v>29355</v>
      </c>
    </row>
    <row r="1406" spans="1:25" x14ac:dyDescent="0.3">
      <c r="A1406">
        <v>70250</v>
      </c>
      <c r="B1406" t="s">
        <v>29356</v>
      </c>
      <c r="C1406" t="s">
        <v>29357</v>
      </c>
      <c r="D1406" t="s">
        <v>29358</v>
      </c>
      <c r="E1406" t="s">
        <v>29359</v>
      </c>
      <c r="F1406" t="s">
        <v>29360</v>
      </c>
      <c r="G1406" t="s">
        <v>29361</v>
      </c>
      <c r="H1406" t="s">
        <v>29362</v>
      </c>
      <c r="I1406" t="s">
        <v>29363</v>
      </c>
      <c r="J1406" t="s">
        <v>29364</v>
      </c>
      <c r="K1406" t="s">
        <v>29365</v>
      </c>
      <c r="L1406" t="s">
        <v>29366</v>
      </c>
      <c r="M1406" t="s">
        <v>29367</v>
      </c>
      <c r="N1406" t="s">
        <v>29368</v>
      </c>
      <c r="O1406">
        <f>-779.994889062967 -49.2485912349784 -719.397645179859</f>
        <v>-1548.6411254778045</v>
      </c>
      <c r="P1406">
        <f>-728.950039683635 -35.3123899902976 -407.329709596075</f>
        <v>-1171.5921392700077</v>
      </c>
      <c r="Q1406">
        <f>-478.417039395179 -21.5558016292484 -338.875188312398</f>
        <v>-838.84802933682545</v>
      </c>
      <c r="R1406" t="s">
        <v>29369</v>
      </c>
      <c r="S1406" t="s">
        <v>29370</v>
      </c>
      <c r="T1406" t="s">
        <v>29371</v>
      </c>
      <c r="U1406" t="s">
        <v>29372</v>
      </c>
      <c r="V1406" t="s">
        <v>29373</v>
      </c>
      <c r="W1406" t="s">
        <v>29374</v>
      </c>
      <c r="X1406" t="s">
        <v>29375</v>
      </c>
      <c r="Y1406" t="s">
        <v>29376</v>
      </c>
    </row>
    <row r="1407" spans="1:25" x14ac:dyDescent="0.3">
      <c r="A1407">
        <v>70300</v>
      </c>
      <c r="B1407" t="s">
        <v>29377</v>
      </c>
      <c r="C1407" t="s">
        <v>29378</v>
      </c>
      <c r="D1407" t="s">
        <v>29379</v>
      </c>
      <c r="E1407" t="s">
        <v>29380</v>
      </c>
      <c r="F1407" t="s">
        <v>29381</v>
      </c>
      <c r="G1407" t="s">
        <v>29382</v>
      </c>
      <c r="H1407" t="s">
        <v>29383</v>
      </c>
      <c r="I1407" t="s">
        <v>29384</v>
      </c>
      <c r="J1407" t="s">
        <v>29385</v>
      </c>
      <c r="K1407" t="s">
        <v>29386</v>
      </c>
      <c r="L1407" t="s">
        <v>29387</v>
      </c>
      <c r="M1407" t="s">
        <v>29388</v>
      </c>
      <c r="N1407" t="s">
        <v>29389</v>
      </c>
      <c r="O1407">
        <f>-779.72224461423 -49.2100858123019 -719.362538482713</f>
        <v>-1548.294868909245</v>
      </c>
      <c r="P1407">
        <f>-728.676417548293 -35.2502545233183 -407.295947010189</f>
        <v>-1171.2226190818003</v>
      </c>
      <c r="Q1407">
        <f>-478.167323371658 -21.5659758332013 -338.739369685742</f>
        <v>-838.47266889060131</v>
      </c>
      <c r="R1407" t="s">
        <v>29390</v>
      </c>
      <c r="S1407" t="s">
        <v>29391</v>
      </c>
      <c r="T1407" t="s">
        <v>29392</v>
      </c>
      <c r="U1407" t="s">
        <v>29393</v>
      </c>
      <c r="V1407" t="s">
        <v>29394</v>
      </c>
      <c r="W1407" t="s">
        <v>29395</v>
      </c>
      <c r="X1407" t="s">
        <v>29396</v>
      </c>
      <c r="Y1407" t="s">
        <v>29397</v>
      </c>
    </row>
    <row r="1408" spans="1:25" x14ac:dyDescent="0.3">
      <c r="A1408">
        <v>70350</v>
      </c>
      <c r="B1408" t="s">
        <v>29398</v>
      </c>
      <c r="C1408" t="s">
        <v>29399</v>
      </c>
      <c r="D1408" t="s">
        <v>29400</v>
      </c>
      <c r="E1408" t="s">
        <v>29401</v>
      </c>
      <c r="F1408" t="s">
        <v>29402</v>
      </c>
      <c r="G1408" t="s">
        <v>29403</v>
      </c>
      <c r="H1408" t="s">
        <v>29404</v>
      </c>
      <c r="I1408" t="s">
        <v>29405</v>
      </c>
      <c r="J1408" t="s">
        <v>29406</v>
      </c>
      <c r="K1408" t="s">
        <v>29407</v>
      </c>
      <c r="L1408" t="s">
        <v>29408</v>
      </c>
      <c r="M1408" t="s">
        <v>29409</v>
      </c>
      <c r="N1408" t="s">
        <v>29410</v>
      </c>
      <c r="O1408">
        <f>-779.231719333101 -48.9757575338872 -719.287409832632</f>
        <v>-1547.4948866996201</v>
      </c>
      <c r="P1408">
        <f>-728.267237415961 -35.3098645911025 -407.194428000189</f>
        <v>-1170.7715300072525</v>
      </c>
      <c r="Q1408">
        <f>-477.798963950573 -21.7076017494405 -338.472654256677</f>
        <v>-837.97921995669049</v>
      </c>
      <c r="R1408" t="s">
        <v>29411</v>
      </c>
      <c r="S1408" t="s">
        <v>29412</v>
      </c>
      <c r="T1408" t="s">
        <v>29413</v>
      </c>
      <c r="U1408" t="s">
        <v>29414</v>
      </c>
      <c r="V1408" t="s">
        <v>29415</v>
      </c>
      <c r="W1408" t="s">
        <v>29416</v>
      </c>
      <c r="X1408" t="s">
        <v>29417</v>
      </c>
      <c r="Y1408" t="s">
        <v>29418</v>
      </c>
    </row>
    <row r="1409" spans="1:25" x14ac:dyDescent="0.3">
      <c r="A1409">
        <v>70400</v>
      </c>
      <c r="B1409" t="s">
        <v>29419</v>
      </c>
      <c r="C1409" t="s">
        <v>29420</v>
      </c>
      <c r="D1409" t="s">
        <v>29421</v>
      </c>
      <c r="E1409" t="s">
        <v>29422</v>
      </c>
      <c r="F1409" t="s">
        <v>29423</v>
      </c>
      <c r="G1409" t="s">
        <v>29424</v>
      </c>
      <c r="H1409" t="s">
        <v>29425</v>
      </c>
      <c r="I1409" t="s">
        <v>29426</v>
      </c>
      <c r="J1409" t="s">
        <v>29427</v>
      </c>
      <c r="K1409" t="s">
        <v>29428</v>
      </c>
      <c r="L1409" t="s">
        <v>29429</v>
      </c>
      <c r="M1409" t="s">
        <v>29430</v>
      </c>
      <c r="N1409" t="s">
        <v>29431</v>
      </c>
      <c r="O1409">
        <f>-779.084238528514 -48.8058482447693 -719.262989038217</f>
        <v>-1547.1530758115005</v>
      </c>
      <c r="P1409">
        <f>-728.08615987674 -35.1344232979382 -407.1757147291</f>
        <v>-1170.3962979037781</v>
      </c>
      <c r="Q1409">
        <f>-477.639357046682 -21.6838801148153 -338.345877314014</f>
        <v>-837.66911447551126</v>
      </c>
      <c r="R1409" t="s">
        <v>29432</v>
      </c>
      <c r="S1409" t="s">
        <v>29433</v>
      </c>
      <c r="T1409" t="s">
        <v>29434</v>
      </c>
      <c r="U1409" t="s">
        <v>29435</v>
      </c>
      <c r="V1409" t="s">
        <v>29436</v>
      </c>
      <c r="W1409" t="s">
        <v>29437</v>
      </c>
      <c r="X1409" t="s">
        <v>29438</v>
      </c>
      <c r="Y1409" t="s">
        <v>29439</v>
      </c>
    </row>
    <row r="1410" spans="1:25" x14ac:dyDescent="0.3">
      <c r="A1410">
        <v>70450</v>
      </c>
      <c r="B1410" t="s">
        <v>29440</v>
      </c>
      <c r="C1410" t="s">
        <v>29441</v>
      </c>
      <c r="D1410" t="s">
        <v>29442</v>
      </c>
      <c r="E1410" t="s">
        <v>29443</v>
      </c>
      <c r="F1410" t="s">
        <v>29444</v>
      </c>
      <c r="G1410" t="s">
        <v>29445</v>
      </c>
      <c r="H1410" t="s">
        <v>29446</v>
      </c>
      <c r="I1410" t="s">
        <v>29447</v>
      </c>
      <c r="J1410" t="s">
        <v>29448</v>
      </c>
      <c r="K1410" t="s">
        <v>29449</v>
      </c>
      <c r="L1410" t="s">
        <v>29450</v>
      </c>
      <c r="M1410" t="s">
        <v>29451</v>
      </c>
      <c r="N1410" t="s">
        <v>29452</v>
      </c>
      <c r="O1410">
        <f>-778.699348949074 -48.5320140711096 -719.182812198926</f>
        <v>-1546.4141752191094</v>
      </c>
      <c r="P1410">
        <f>-727.958600553563 -35.009629195059 -407.04710865633</f>
        <v>-1170.015338404952</v>
      </c>
      <c r="Q1410">
        <f>-477.607936684919 -21.8660734579903 -337.809573262591</f>
        <v>-837.28358340550039</v>
      </c>
      <c r="R1410" t="s">
        <v>29453</v>
      </c>
      <c r="S1410" t="s">
        <v>29454</v>
      </c>
      <c r="T1410" t="s">
        <v>29455</v>
      </c>
      <c r="U1410" t="s">
        <v>29456</v>
      </c>
      <c r="V1410" t="s">
        <v>29457</v>
      </c>
      <c r="W1410" t="s">
        <v>29458</v>
      </c>
      <c r="X1410" t="s">
        <v>29459</v>
      </c>
      <c r="Y1410" t="s">
        <v>29460</v>
      </c>
    </row>
    <row r="1411" spans="1:25" x14ac:dyDescent="0.3">
      <c r="A1411">
        <v>70500</v>
      </c>
      <c r="B1411" t="s">
        <v>29461</v>
      </c>
      <c r="C1411" t="s">
        <v>29462</v>
      </c>
      <c r="D1411" t="s">
        <v>29463</v>
      </c>
      <c r="E1411" t="s">
        <v>29464</v>
      </c>
      <c r="F1411" t="s">
        <v>29465</v>
      </c>
      <c r="G1411" t="s">
        <v>29466</v>
      </c>
      <c r="H1411" t="s">
        <v>29467</v>
      </c>
      <c r="I1411" t="s">
        <v>29468</v>
      </c>
      <c r="J1411" t="s">
        <v>29469</v>
      </c>
      <c r="K1411" t="s">
        <v>29470</v>
      </c>
      <c r="L1411" t="s">
        <v>29471</v>
      </c>
      <c r="M1411" t="s">
        <v>29472</v>
      </c>
      <c r="N1411" t="s">
        <v>29473</v>
      </c>
      <c r="O1411">
        <f>-778.173984680019 -48.4207081777181 -719.083416328368</f>
        <v>-1545.6781091861051</v>
      </c>
      <c r="P1411">
        <f>-727.589321028257 -34.8364151625799 -406.925076394885</f>
        <v>-1169.350812585722</v>
      </c>
      <c r="Q1411">
        <f>-477.353227974313 -22.0847088709677 -337.201863705326</f>
        <v>-836.63980055060665</v>
      </c>
      <c r="R1411" t="s">
        <v>29474</v>
      </c>
      <c r="S1411" t="s">
        <v>29475</v>
      </c>
      <c r="T1411" t="s">
        <v>29476</v>
      </c>
      <c r="U1411" t="s">
        <v>29477</v>
      </c>
      <c r="V1411" t="s">
        <v>29478</v>
      </c>
      <c r="W1411" t="s">
        <v>29479</v>
      </c>
      <c r="X1411" t="s">
        <v>29480</v>
      </c>
      <c r="Y1411" t="s">
        <v>29481</v>
      </c>
    </row>
    <row r="1412" spans="1:25" x14ac:dyDescent="0.3">
      <c r="A1412">
        <v>70550</v>
      </c>
      <c r="B1412" t="s">
        <v>29482</v>
      </c>
      <c r="C1412" t="s">
        <v>29483</v>
      </c>
      <c r="D1412" t="s">
        <v>29484</v>
      </c>
      <c r="E1412" t="s">
        <v>29485</v>
      </c>
      <c r="F1412" t="s">
        <v>29486</v>
      </c>
      <c r="G1412" t="s">
        <v>29487</v>
      </c>
      <c r="H1412" t="s">
        <v>29488</v>
      </c>
      <c r="I1412" t="s">
        <v>29489</v>
      </c>
      <c r="J1412" t="s">
        <v>29490</v>
      </c>
      <c r="K1412" t="s">
        <v>29491</v>
      </c>
      <c r="L1412" t="s">
        <v>29492</v>
      </c>
      <c r="M1412" t="s">
        <v>29493</v>
      </c>
      <c r="N1412" t="s">
        <v>29494</v>
      </c>
      <c r="O1412">
        <f>-777.24918492534 -47.9661139593954 -718.795229106436</f>
        <v>-1544.0105279911713</v>
      </c>
      <c r="P1412">
        <f>-726.939183946134 -34.3340811560729 -406.594490849751</f>
        <v>-1167.8677559519579</v>
      </c>
      <c r="Q1412">
        <f>-476.854392808546 -22.0048467991228 -336.255279609232</f>
        <v>-835.11451921690082</v>
      </c>
      <c r="R1412" t="s">
        <v>29495</v>
      </c>
      <c r="S1412" t="s">
        <v>29496</v>
      </c>
      <c r="T1412" t="s">
        <v>29497</v>
      </c>
      <c r="U1412" t="s">
        <v>29498</v>
      </c>
      <c r="V1412" t="s">
        <v>29499</v>
      </c>
      <c r="W1412" t="s">
        <v>29500</v>
      </c>
      <c r="X1412" t="s">
        <v>29501</v>
      </c>
      <c r="Y1412" t="s">
        <v>29502</v>
      </c>
    </row>
    <row r="1413" spans="1:25" x14ac:dyDescent="0.3">
      <c r="A1413">
        <v>70600</v>
      </c>
      <c r="B1413" t="s">
        <v>29503</v>
      </c>
      <c r="C1413" t="s">
        <v>29504</v>
      </c>
      <c r="D1413" t="s">
        <v>29505</v>
      </c>
      <c r="E1413" t="s">
        <v>29506</v>
      </c>
      <c r="F1413" t="s">
        <v>29507</v>
      </c>
      <c r="G1413" t="s">
        <v>29508</v>
      </c>
      <c r="H1413" t="s">
        <v>29509</v>
      </c>
      <c r="I1413" t="s">
        <v>29510</v>
      </c>
      <c r="J1413" t="s">
        <v>29511</v>
      </c>
      <c r="K1413" t="s">
        <v>29512</v>
      </c>
      <c r="L1413" t="s">
        <v>29513</v>
      </c>
      <c r="M1413" t="s">
        <v>29514</v>
      </c>
      <c r="N1413" t="s">
        <v>29515</v>
      </c>
      <c r="O1413">
        <f>-776.898909321848 -47.8537688985848 -718.723829115637</f>
        <v>-1543.47650733607</v>
      </c>
      <c r="P1413">
        <f>-726.696962778241 -34.1510560147972 -406.508822509946</f>
        <v>-1167.3568413029841</v>
      </c>
      <c r="Q1413">
        <f>-476.689084974855 -22.2565293507503 -335.822146083385</f>
        <v>-834.7677604089904</v>
      </c>
      <c r="R1413" t="s">
        <v>29516</v>
      </c>
      <c r="S1413" t="s">
        <v>29517</v>
      </c>
      <c r="T1413" t="s">
        <v>29518</v>
      </c>
      <c r="U1413" t="s">
        <v>29519</v>
      </c>
      <c r="V1413" t="s">
        <v>29520</v>
      </c>
      <c r="W1413" t="s">
        <v>29521</v>
      </c>
      <c r="X1413" t="s">
        <v>29522</v>
      </c>
      <c r="Y1413" t="s">
        <v>29523</v>
      </c>
    </row>
    <row r="1414" spans="1:25" x14ac:dyDescent="0.3">
      <c r="A1414">
        <v>70650</v>
      </c>
      <c r="B1414" t="s">
        <v>29524</v>
      </c>
      <c r="C1414" t="s">
        <v>29525</v>
      </c>
      <c r="D1414" t="s">
        <v>29526</v>
      </c>
      <c r="E1414" t="s">
        <v>29527</v>
      </c>
      <c r="F1414" t="s">
        <v>29528</v>
      </c>
      <c r="G1414" t="s">
        <v>29529</v>
      </c>
      <c r="H1414" t="s">
        <v>29530</v>
      </c>
      <c r="I1414" t="s">
        <v>29531</v>
      </c>
      <c r="J1414" t="s">
        <v>29532</v>
      </c>
      <c r="K1414" t="s">
        <v>29533</v>
      </c>
      <c r="L1414" t="s">
        <v>29534</v>
      </c>
      <c r="M1414" t="s">
        <v>29535</v>
      </c>
      <c r="N1414" t="s">
        <v>29536</v>
      </c>
      <c r="O1414">
        <f>-776.725721045427 -47.8574745900792 -718.730645547293</f>
        <v>-1543.313841182799</v>
      </c>
      <c r="P1414">
        <f>-726.631340158684 -34.221423494301 -406.495591230553</f>
        <v>-1167.3483548835379</v>
      </c>
      <c r="Q1414">
        <f>-476.677146302051 -22.8266234031169 -335.537037280361</f>
        <v>-835.04080698552889</v>
      </c>
      <c r="R1414" t="s">
        <v>29537</v>
      </c>
      <c r="S1414" t="s">
        <v>29538</v>
      </c>
      <c r="T1414" t="s">
        <v>29539</v>
      </c>
      <c r="U1414" t="s">
        <v>29540</v>
      </c>
      <c r="V1414" t="s">
        <v>29541</v>
      </c>
      <c r="W1414" t="s">
        <v>29542</v>
      </c>
      <c r="X1414" t="s">
        <v>29543</v>
      </c>
      <c r="Y1414" t="s">
        <v>29544</v>
      </c>
    </row>
    <row r="1415" spans="1:25" x14ac:dyDescent="0.3">
      <c r="A1415">
        <v>70700</v>
      </c>
      <c r="B1415" t="s">
        <v>29545</v>
      </c>
      <c r="C1415" t="s">
        <v>29546</v>
      </c>
      <c r="D1415" t="s">
        <v>29547</v>
      </c>
      <c r="E1415" t="s">
        <v>29548</v>
      </c>
      <c r="F1415" t="s">
        <v>29549</v>
      </c>
      <c r="G1415" t="s">
        <v>29550</v>
      </c>
      <c r="H1415" t="s">
        <v>29551</v>
      </c>
      <c r="I1415" t="s">
        <v>29552</v>
      </c>
      <c r="J1415" t="s">
        <v>29553</v>
      </c>
      <c r="K1415" t="s">
        <v>29554</v>
      </c>
      <c r="L1415" t="s">
        <v>29555</v>
      </c>
      <c r="M1415" t="s">
        <v>29556</v>
      </c>
      <c r="N1415" t="s">
        <v>29557</v>
      </c>
      <c r="O1415">
        <f>-776.572127663107 -47.9737872706633 -718.817966755942</f>
        <v>-1543.3638816897123</v>
      </c>
      <c r="P1415">
        <f>-726.495891896825 -34.4385577352225 -406.575418605282</f>
        <v>-1167.5098682373296</v>
      </c>
      <c r="Q1415">
        <f>-476.590319310081 -23.2266136957437 -335.416922469702</f>
        <v>-835.23385547552675</v>
      </c>
      <c r="R1415" t="s">
        <v>29558</v>
      </c>
      <c r="S1415" t="s">
        <v>29559</v>
      </c>
      <c r="T1415" t="s">
        <v>29560</v>
      </c>
      <c r="U1415" t="s">
        <v>29561</v>
      </c>
      <c r="V1415" t="s">
        <v>29562</v>
      </c>
      <c r="W1415" t="s">
        <v>29563</v>
      </c>
      <c r="X1415" t="s">
        <v>29564</v>
      </c>
      <c r="Y1415" t="s">
        <v>29565</v>
      </c>
    </row>
    <row r="1416" spans="1:25" x14ac:dyDescent="0.3">
      <c r="A1416">
        <v>70750</v>
      </c>
      <c r="B1416" t="s">
        <v>29566</v>
      </c>
      <c r="C1416" t="s">
        <v>29567</v>
      </c>
      <c r="D1416" t="s">
        <v>29568</v>
      </c>
      <c r="E1416" t="s">
        <v>29569</v>
      </c>
      <c r="F1416" t="s">
        <v>29570</v>
      </c>
      <c r="G1416" t="s">
        <v>29571</v>
      </c>
      <c r="H1416" t="s">
        <v>29572</v>
      </c>
      <c r="I1416" t="s">
        <v>29573</v>
      </c>
      <c r="J1416" t="s">
        <v>29574</v>
      </c>
      <c r="K1416" t="s">
        <v>29575</v>
      </c>
      <c r="L1416" t="s">
        <v>29576</v>
      </c>
      <c r="M1416" t="s">
        <v>29577</v>
      </c>
      <c r="N1416" t="s">
        <v>29578</v>
      </c>
      <c r="O1416">
        <f>-776.630570718175 -48.7728887355763 -719.143899997079</f>
        <v>-1544.5473594508303</v>
      </c>
      <c r="P1416">
        <f>-726.614699670615 -35.005737685301 -406.901849740379</f>
        <v>-1168.522287096295</v>
      </c>
      <c r="Q1416">
        <f>-476.888981591079 -23.6823873684182 -335.132303993288</f>
        <v>-835.70367295278515</v>
      </c>
      <c r="R1416" t="s">
        <v>29579</v>
      </c>
      <c r="S1416" t="s">
        <v>29580</v>
      </c>
      <c r="T1416" t="s">
        <v>29581</v>
      </c>
      <c r="U1416" t="s">
        <v>29582</v>
      </c>
      <c r="V1416" t="s">
        <v>29583</v>
      </c>
      <c r="W1416" t="s">
        <v>29584</v>
      </c>
      <c r="X1416" t="s">
        <v>29585</v>
      </c>
      <c r="Y1416" t="s">
        <v>29586</v>
      </c>
    </row>
    <row r="1417" spans="1:25" x14ac:dyDescent="0.3">
      <c r="A1417">
        <v>70800</v>
      </c>
      <c r="B1417" t="s">
        <v>29587</v>
      </c>
      <c r="C1417" t="s">
        <v>29588</v>
      </c>
      <c r="D1417" t="s">
        <v>29589</v>
      </c>
      <c r="E1417" t="s">
        <v>29590</v>
      </c>
      <c r="F1417" t="s">
        <v>29591</v>
      </c>
      <c r="G1417" t="s">
        <v>29592</v>
      </c>
      <c r="H1417" t="s">
        <v>29593</v>
      </c>
      <c r="I1417" t="s">
        <v>29594</v>
      </c>
      <c r="J1417" t="s">
        <v>29595</v>
      </c>
      <c r="K1417" t="s">
        <v>29596</v>
      </c>
      <c r="L1417" t="s">
        <v>29597</v>
      </c>
      <c r="M1417" t="s">
        <v>29598</v>
      </c>
      <c r="N1417" t="s">
        <v>29599</v>
      </c>
      <c r="O1417">
        <f>-776.938078788065 -49.3892967206471 -719.44237581995</f>
        <v>-1545.7697513286621</v>
      </c>
      <c r="P1417">
        <f>-726.949845075466 -35.6203120312623 -407.195983536989</f>
        <v>-1169.7661406437173</v>
      </c>
      <c r="Q1417">
        <f>-477.424846268351 -24.1424587026761 -334.755475886779</f>
        <v>-836.32278085780604</v>
      </c>
      <c r="R1417" t="s">
        <v>29600</v>
      </c>
      <c r="S1417" t="s">
        <v>29601</v>
      </c>
      <c r="T1417" t="s">
        <v>29602</v>
      </c>
      <c r="U1417" t="s">
        <v>29603</v>
      </c>
      <c r="V1417" t="s">
        <v>29604</v>
      </c>
      <c r="W1417" t="s">
        <v>29605</v>
      </c>
      <c r="X1417" t="s">
        <v>29606</v>
      </c>
      <c r="Y1417" t="s">
        <v>29607</v>
      </c>
    </row>
    <row r="1418" spans="1:25" x14ac:dyDescent="0.3">
      <c r="A1418">
        <v>70850</v>
      </c>
      <c r="B1418" t="s">
        <v>29608</v>
      </c>
      <c r="C1418" t="s">
        <v>29609</v>
      </c>
      <c r="D1418" t="s">
        <v>29610</v>
      </c>
      <c r="E1418" t="s">
        <v>29611</v>
      </c>
      <c r="F1418" t="s">
        <v>29612</v>
      </c>
      <c r="G1418" t="s">
        <v>29613</v>
      </c>
      <c r="H1418" t="s">
        <v>29614</v>
      </c>
      <c r="I1418" t="s">
        <v>29615</v>
      </c>
      <c r="J1418" t="s">
        <v>29616</v>
      </c>
      <c r="K1418" t="s">
        <v>29617</v>
      </c>
      <c r="L1418" t="s">
        <v>29618</v>
      </c>
      <c r="M1418" t="s">
        <v>29619</v>
      </c>
      <c r="N1418" t="s">
        <v>29620</v>
      </c>
      <c r="O1418">
        <f>-777.812315155486 -50.4126236817831 -719.783201845247</f>
        <v>-1548.0081406825161</v>
      </c>
      <c r="P1418">
        <f>-727.789081987137 -36.102591502176 -407.566757700065</f>
        <v>-1171.458431189378</v>
      </c>
      <c r="Q1418">
        <f>-478.698800709954 -23.8985636558639 -333.762069019978</f>
        <v>-836.35943338579591</v>
      </c>
      <c r="R1418" t="s">
        <v>29621</v>
      </c>
      <c r="S1418" t="s">
        <v>29622</v>
      </c>
      <c r="T1418" t="s">
        <v>29623</v>
      </c>
      <c r="U1418" t="s">
        <v>29624</v>
      </c>
      <c r="V1418" t="s">
        <v>29625</v>
      </c>
      <c r="W1418" t="s">
        <v>29626</v>
      </c>
      <c r="X1418" t="s">
        <v>29627</v>
      </c>
      <c r="Y1418" t="s">
        <v>29628</v>
      </c>
    </row>
    <row r="1419" spans="1:25" x14ac:dyDescent="0.3">
      <c r="A1419">
        <v>70900</v>
      </c>
      <c r="B1419" t="s">
        <v>29629</v>
      </c>
      <c r="C1419" t="s">
        <v>29630</v>
      </c>
      <c r="D1419" t="s">
        <v>29631</v>
      </c>
      <c r="E1419" t="s">
        <v>29632</v>
      </c>
      <c r="F1419" t="s">
        <v>29633</v>
      </c>
      <c r="G1419" t="s">
        <v>29634</v>
      </c>
      <c r="H1419" t="s">
        <v>29635</v>
      </c>
      <c r="I1419" t="s">
        <v>29636</v>
      </c>
      <c r="J1419" t="s">
        <v>29637</v>
      </c>
      <c r="K1419" t="s">
        <v>29638</v>
      </c>
      <c r="L1419" t="s">
        <v>29639</v>
      </c>
      <c r="M1419" t="s">
        <v>29640</v>
      </c>
      <c r="N1419" t="s">
        <v>29641</v>
      </c>
      <c r="O1419">
        <f>-778.038210135762 -50.7165993452315 -719.723291675158</f>
        <v>-1548.4781011561515</v>
      </c>
      <c r="P1419">
        <f>-728.259779052686 -35.9985545011941 -407.48662796248</f>
        <v>-1171.74496151636</v>
      </c>
      <c r="Q1419">
        <f>-479.340545247582 -23.4102329574332 -333.171327781056</f>
        <v>-835.92210598607119</v>
      </c>
      <c r="R1419" t="s">
        <v>29642</v>
      </c>
      <c r="S1419" t="s">
        <v>29643</v>
      </c>
      <c r="T1419" t="s">
        <v>29644</v>
      </c>
      <c r="U1419" t="s">
        <v>29645</v>
      </c>
      <c r="V1419" t="s">
        <v>29646</v>
      </c>
      <c r="W1419" t="s">
        <v>29647</v>
      </c>
      <c r="X1419" t="s">
        <v>29648</v>
      </c>
      <c r="Y1419" t="s">
        <v>29649</v>
      </c>
    </row>
    <row r="1420" spans="1:25" x14ac:dyDescent="0.3">
      <c r="A1420">
        <v>70950</v>
      </c>
      <c r="B1420" t="s">
        <v>29650</v>
      </c>
      <c r="C1420" t="s">
        <v>29651</v>
      </c>
      <c r="D1420" t="s">
        <v>29652</v>
      </c>
      <c r="E1420" t="s">
        <v>29653</v>
      </c>
      <c r="F1420" t="s">
        <v>29654</v>
      </c>
      <c r="G1420" t="s">
        <v>29655</v>
      </c>
      <c r="H1420" t="s">
        <v>29656</v>
      </c>
      <c r="I1420" t="s">
        <v>29657</v>
      </c>
      <c r="J1420" t="s">
        <v>29658</v>
      </c>
      <c r="K1420" t="s">
        <v>29659</v>
      </c>
      <c r="L1420" t="s">
        <v>29660</v>
      </c>
      <c r="M1420" t="s">
        <v>29661</v>
      </c>
      <c r="N1420" t="s">
        <v>29662</v>
      </c>
      <c r="O1420">
        <f>-777.341909882066 -51.2361717913304 -719.384156114922</f>
        <v>-1547.9622377883184</v>
      </c>
      <c r="P1420">
        <f>-728.446332632076 -36.1057757444064 -407.027987327191</f>
        <v>-1171.5800957036734</v>
      </c>
      <c r="Q1420">
        <f>-479.757743049634 -22.8732556650245 -332.054711218487</f>
        <v>-834.68570993314552</v>
      </c>
      <c r="R1420" t="s">
        <v>29663</v>
      </c>
      <c r="S1420" t="s">
        <v>29664</v>
      </c>
      <c r="T1420" t="s">
        <v>29665</v>
      </c>
      <c r="U1420" t="s">
        <v>29666</v>
      </c>
      <c r="V1420" t="s">
        <v>29667</v>
      </c>
      <c r="W1420" t="s">
        <v>29668</v>
      </c>
      <c r="X1420" t="s">
        <v>29669</v>
      </c>
      <c r="Y1420" t="s">
        <v>29670</v>
      </c>
    </row>
    <row r="1421" spans="1:25" x14ac:dyDescent="0.3">
      <c r="A1421">
        <v>71000</v>
      </c>
      <c r="B1421" t="s">
        <v>29671</v>
      </c>
      <c r="C1421" t="s">
        <v>29672</v>
      </c>
      <c r="D1421" t="s">
        <v>29673</v>
      </c>
      <c r="E1421" t="s">
        <v>29674</v>
      </c>
      <c r="F1421" t="s">
        <v>29675</v>
      </c>
      <c r="G1421" t="s">
        <v>29676</v>
      </c>
      <c r="H1421" t="s">
        <v>29677</v>
      </c>
      <c r="I1421" t="s">
        <v>29678</v>
      </c>
      <c r="J1421" t="s">
        <v>29679</v>
      </c>
      <c r="K1421" t="s">
        <v>29680</v>
      </c>
      <c r="L1421" t="s">
        <v>29681</v>
      </c>
      <c r="M1421" t="s">
        <v>29682</v>
      </c>
      <c r="N1421" t="s">
        <v>29683</v>
      </c>
      <c r="O1421">
        <f>-776.953231998681 -51.3735400938331 -719.193518194943</f>
        <v>-1547.5202902874571</v>
      </c>
      <c r="P1421">
        <f>-728.712553641716 -35.833041713759 -406.755566945689</f>
        <v>-1171.3011623011639</v>
      </c>
      <c r="Q1421">
        <f>-480.115706256305 -22.2520403600615 -331.541030755189</f>
        <v>-833.90877737155552</v>
      </c>
      <c r="R1421" t="s">
        <v>29684</v>
      </c>
      <c r="S1421" t="s">
        <v>29685</v>
      </c>
      <c r="T1421" t="s">
        <v>29686</v>
      </c>
      <c r="U1421" t="s">
        <v>29687</v>
      </c>
      <c r="V1421" t="s">
        <v>29688</v>
      </c>
      <c r="W1421" t="s">
        <v>29689</v>
      </c>
      <c r="X1421" t="s">
        <v>29690</v>
      </c>
      <c r="Y1421" t="s">
        <v>29691</v>
      </c>
    </row>
    <row r="1422" spans="1:25" x14ac:dyDescent="0.3">
      <c r="A1422">
        <v>71050</v>
      </c>
      <c r="B1422" t="s">
        <v>29692</v>
      </c>
      <c r="C1422" t="s">
        <v>29693</v>
      </c>
      <c r="D1422" t="s">
        <v>29694</v>
      </c>
      <c r="E1422" t="s">
        <v>29695</v>
      </c>
      <c r="F1422" t="s">
        <v>29696</v>
      </c>
      <c r="G1422" t="s">
        <v>29697</v>
      </c>
      <c r="H1422" t="s">
        <v>29698</v>
      </c>
      <c r="I1422" t="s">
        <v>29699</v>
      </c>
      <c r="J1422" t="s">
        <v>29700</v>
      </c>
      <c r="K1422" t="s">
        <v>29701</v>
      </c>
      <c r="L1422" t="s">
        <v>29702</v>
      </c>
      <c r="M1422" t="s">
        <v>29703</v>
      </c>
      <c r="N1422" t="s">
        <v>29704</v>
      </c>
      <c r="O1422">
        <f>-776.422381867892 -51.5882700026334 -719.064362152174</f>
        <v>-1547.0750140226994</v>
      </c>
      <c r="P1422">
        <f>-729.55388733333 -35.5769386691713 -406.441385180873</f>
        <v>-1171.5722111833743</v>
      </c>
      <c r="Q1422">
        <f>-481.259729204563 -21.2774329490042 -330.365226695295</f>
        <v>-832.90238884886219</v>
      </c>
      <c r="R1422" t="s">
        <v>29705</v>
      </c>
      <c r="S1422" t="s">
        <v>29706</v>
      </c>
      <c r="T1422" t="s">
        <v>29707</v>
      </c>
      <c r="U1422" t="s">
        <v>29708</v>
      </c>
      <c r="V1422" t="s">
        <v>29709</v>
      </c>
      <c r="W1422" t="s">
        <v>29710</v>
      </c>
      <c r="X1422" t="s">
        <v>29711</v>
      </c>
      <c r="Y1422" t="s">
        <v>29712</v>
      </c>
    </row>
    <row r="1423" spans="1:25" x14ac:dyDescent="0.3">
      <c r="A1423">
        <v>71100</v>
      </c>
      <c r="B1423" t="s">
        <v>29713</v>
      </c>
      <c r="C1423" t="s">
        <v>29714</v>
      </c>
      <c r="D1423" t="s">
        <v>29715</v>
      </c>
      <c r="E1423" t="s">
        <v>29716</v>
      </c>
      <c r="F1423" t="s">
        <v>29717</v>
      </c>
      <c r="G1423" t="s">
        <v>29718</v>
      </c>
      <c r="H1423" t="s">
        <v>29719</v>
      </c>
      <c r="I1423" t="s">
        <v>29720</v>
      </c>
      <c r="J1423" t="s">
        <v>29721</v>
      </c>
      <c r="K1423" t="s">
        <v>29722</v>
      </c>
      <c r="L1423" t="s">
        <v>29723</v>
      </c>
      <c r="M1423" t="s">
        <v>29724</v>
      </c>
      <c r="N1423" t="s">
        <v>29725</v>
      </c>
      <c r="O1423">
        <f>-776.062276839856 -51.7132175756294 -719.042860854142</f>
        <v>-1546.8183552696273</v>
      </c>
      <c r="P1423">
        <f>-730.024516073162 -35.3251623437579 -406.315869828866</f>
        <v>-1171.6655482457859</v>
      </c>
      <c r="Q1423">
        <f>-481.915844005191 -20.5747921415784 -329.722156505098</f>
        <v>-832.2127926518674</v>
      </c>
      <c r="R1423" t="s">
        <v>29726</v>
      </c>
      <c r="S1423" t="s">
        <v>29727</v>
      </c>
      <c r="T1423" t="s">
        <v>29728</v>
      </c>
      <c r="U1423" t="s">
        <v>29729</v>
      </c>
      <c r="V1423" t="s">
        <v>29730</v>
      </c>
      <c r="W1423" t="s">
        <v>29731</v>
      </c>
      <c r="X1423" t="s">
        <v>29732</v>
      </c>
      <c r="Y1423" t="s">
        <v>29733</v>
      </c>
    </row>
    <row r="1424" spans="1:25" x14ac:dyDescent="0.3">
      <c r="A1424">
        <v>71150</v>
      </c>
      <c r="B1424" t="s">
        <v>29734</v>
      </c>
      <c r="C1424" t="s">
        <v>29735</v>
      </c>
      <c r="D1424" t="s">
        <v>29736</v>
      </c>
      <c r="E1424" t="s">
        <v>29737</v>
      </c>
      <c r="F1424" t="s">
        <v>29738</v>
      </c>
      <c r="G1424" t="s">
        <v>29739</v>
      </c>
      <c r="H1424" t="s">
        <v>29740</v>
      </c>
      <c r="I1424" t="s">
        <v>29741</v>
      </c>
      <c r="J1424" t="s">
        <v>29742</v>
      </c>
      <c r="K1424" t="s">
        <v>29743</v>
      </c>
      <c r="L1424" t="s">
        <v>29744</v>
      </c>
      <c r="M1424" t="s">
        <v>29745</v>
      </c>
      <c r="N1424" t="s">
        <v>29746</v>
      </c>
      <c r="O1424">
        <f>-775.076101263719 -52.0433367231508 -719.195718835959</f>
        <v>-1546.3151568228288</v>
      </c>
      <c r="P1424">
        <f>-730.784135832084 -35.1647567263942 -406.242781868028</f>
        <v>-1172.1916744265061</v>
      </c>
      <c r="Q1424">
        <f>-483.114535226679 -19.563266032925 -328.406912214013</f>
        <v>-831.08471347361706</v>
      </c>
      <c r="R1424" t="s">
        <v>29747</v>
      </c>
      <c r="S1424" t="s">
        <v>29748</v>
      </c>
      <c r="T1424" t="s">
        <v>29749</v>
      </c>
      <c r="U1424" t="s">
        <v>29750</v>
      </c>
      <c r="V1424" t="s">
        <v>29751</v>
      </c>
      <c r="W1424" t="s">
        <v>29752</v>
      </c>
      <c r="X1424" t="s">
        <v>29753</v>
      </c>
      <c r="Y1424" t="s">
        <v>29754</v>
      </c>
    </row>
    <row r="1425" spans="1:25" x14ac:dyDescent="0.3">
      <c r="A1425">
        <v>71200</v>
      </c>
      <c r="B1425" t="s">
        <v>29755</v>
      </c>
      <c r="C1425" t="s">
        <v>29756</v>
      </c>
      <c r="D1425" t="s">
        <v>29757</v>
      </c>
      <c r="E1425" t="s">
        <v>29758</v>
      </c>
      <c r="F1425" t="s">
        <v>29759</v>
      </c>
      <c r="G1425" t="s">
        <v>29760</v>
      </c>
      <c r="H1425" t="s">
        <v>29761</v>
      </c>
      <c r="I1425" t="s">
        <v>29762</v>
      </c>
      <c r="J1425" t="s">
        <v>29763</v>
      </c>
      <c r="K1425" t="s">
        <v>29764</v>
      </c>
      <c r="L1425" t="s">
        <v>29765</v>
      </c>
      <c r="M1425" t="s">
        <v>29766</v>
      </c>
      <c r="N1425" t="s">
        <v>29767</v>
      </c>
      <c r="O1425">
        <f>-774.571791318171 -52.2587409614134 -719.323543377984</f>
        <v>-1546.1540756575685</v>
      </c>
      <c r="P1425">
        <f>-731.233383726347 -35.039210177102 -406.255684763542</f>
        <v>-1172.5282786669909</v>
      </c>
      <c r="Q1425">
        <f>-483.777622330069 -19.1074997212979 -327.80888772995</f>
        <v>-830.69400978131694</v>
      </c>
      <c r="R1425" t="s">
        <v>29768</v>
      </c>
      <c r="S1425" t="s">
        <v>29769</v>
      </c>
      <c r="T1425" t="s">
        <v>29770</v>
      </c>
      <c r="U1425" t="s">
        <v>29771</v>
      </c>
      <c r="V1425" t="s">
        <v>29772</v>
      </c>
      <c r="W1425" t="s">
        <v>29773</v>
      </c>
      <c r="X1425" t="s">
        <v>29774</v>
      </c>
      <c r="Y1425" t="s">
        <v>29775</v>
      </c>
    </row>
    <row r="1426" spans="1:25" x14ac:dyDescent="0.3">
      <c r="A1426">
        <v>71250</v>
      </c>
      <c r="B1426" t="s">
        <v>29776</v>
      </c>
      <c r="C1426" t="s">
        <v>29777</v>
      </c>
      <c r="D1426" t="s">
        <v>29778</v>
      </c>
      <c r="E1426" t="s">
        <v>29779</v>
      </c>
      <c r="F1426" t="s">
        <v>29780</v>
      </c>
      <c r="G1426" t="s">
        <v>29781</v>
      </c>
      <c r="H1426" t="s">
        <v>29782</v>
      </c>
      <c r="I1426" t="s">
        <v>29783</v>
      </c>
      <c r="J1426" t="s">
        <v>29784</v>
      </c>
      <c r="K1426" t="s">
        <v>29785</v>
      </c>
      <c r="L1426" t="s">
        <v>29786</v>
      </c>
      <c r="M1426" t="s">
        <v>29787</v>
      </c>
      <c r="N1426" t="s">
        <v>29788</v>
      </c>
      <c r="O1426">
        <f>-773.668401990416 -52.6338849580598 -719.759412989537</f>
        <v>-1546.0616999380127</v>
      </c>
      <c r="P1426">
        <f>-732.258914542317 -34.9005427544716 -406.459289351698</f>
        <v>-1173.6187466484866</v>
      </c>
      <c r="Q1426">
        <f>-485.261223661395 -18.276518699231 -326.723276243972</f>
        <v>-830.26101860459801</v>
      </c>
      <c r="R1426" t="s">
        <v>29789</v>
      </c>
      <c r="S1426" t="s">
        <v>29790</v>
      </c>
      <c r="T1426" t="s">
        <v>29791</v>
      </c>
      <c r="U1426" t="s">
        <v>29792</v>
      </c>
      <c r="V1426" t="s">
        <v>29793</v>
      </c>
      <c r="W1426" t="s">
        <v>29794</v>
      </c>
      <c r="X1426" t="s">
        <v>29795</v>
      </c>
      <c r="Y1426" t="s">
        <v>29796</v>
      </c>
    </row>
    <row r="1427" spans="1:25" x14ac:dyDescent="0.3">
      <c r="A1427">
        <v>71300</v>
      </c>
      <c r="B1427" t="s">
        <v>29797</v>
      </c>
      <c r="C1427" t="s">
        <v>29798</v>
      </c>
      <c r="D1427" t="s">
        <v>29799</v>
      </c>
      <c r="E1427" t="s">
        <v>29800</v>
      </c>
      <c r="F1427" t="s">
        <v>29801</v>
      </c>
      <c r="G1427" t="s">
        <v>29802</v>
      </c>
      <c r="H1427" t="s">
        <v>29803</v>
      </c>
      <c r="I1427" t="s">
        <v>29804</v>
      </c>
      <c r="J1427" t="s">
        <v>29805</v>
      </c>
      <c r="K1427" t="s">
        <v>29806</v>
      </c>
      <c r="L1427" t="s">
        <v>29807</v>
      </c>
      <c r="M1427" t="s">
        <v>29808</v>
      </c>
      <c r="N1427" t="s">
        <v>29809</v>
      </c>
      <c r="O1427">
        <f>-773.248770552321 -52.7842987935401 -720.012689256714</f>
        <v>-1546.045758602575</v>
      </c>
      <c r="P1427">
        <f>-732.613227551242 -34.7925176141309 -406.625975502458</f>
        <v>-1174.031720667831</v>
      </c>
      <c r="Q1427">
        <f>-485.805649532827 -17.9251546381652 -326.353739800359</f>
        <v>-830.0845439713512</v>
      </c>
      <c r="R1427" t="s">
        <v>29810</v>
      </c>
      <c r="S1427" t="s">
        <v>29811</v>
      </c>
      <c r="T1427" t="s">
        <v>29812</v>
      </c>
      <c r="U1427" t="s">
        <v>29813</v>
      </c>
      <c r="V1427" t="s">
        <v>29814</v>
      </c>
      <c r="W1427" t="s">
        <v>29815</v>
      </c>
      <c r="X1427" t="s">
        <v>29816</v>
      </c>
      <c r="Y1427" t="s">
        <v>29817</v>
      </c>
    </row>
    <row r="1428" spans="1:25" x14ac:dyDescent="0.3">
      <c r="A1428">
        <v>71350</v>
      </c>
      <c r="B1428" t="s">
        <v>29818</v>
      </c>
      <c r="C1428" t="s">
        <v>29819</v>
      </c>
      <c r="D1428" t="s">
        <v>29820</v>
      </c>
      <c r="E1428" t="s">
        <v>29821</v>
      </c>
      <c r="F1428" t="s">
        <v>29822</v>
      </c>
      <c r="G1428" t="s">
        <v>29823</v>
      </c>
      <c r="H1428" t="s">
        <v>29824</v>
      </c>
      <c r="I1428" t="s">
        <v>29825</v>
      </c>
      <c r="J1428" t="s">
        <v>29826</v>
      </c>
      <c r="K1428" t="s">
        <v>29827</v>
      </c>
      <c r="L1428" t="s">
        <v>29828</v>
      </c>
      <c r="M1428" t="s">
        <v>29829</v>
      </c>
      <c r="N1428" t="s">
        <v>29830</v>
      </c>
      <c r="O1428">
        <f>-772.745899745285 -53.2017218658466 -720.59310022648</f>
        <v>-1546.5407218376117</v>
      </c>
      <c r="P1428">
        <f>-733.550419519112 -34.8325150151261 -407.044932461221</f>
        <v>-1175.427866995459</v>
      </c>
      <c r="Q1428">
        <f>-487.006945864174 -17.840303205528 -325.991643223516</f>
        <v>-830.83889229321801</v>
      </c>
      <c r="R1428" t="s">
        <v>29831</v>
      </c>
      <c r="S1428" t="s">
        <v>29832</v>
      </c>
      <c r="T1428" t="s">
        <v>29833</v>
      </c>
      <c r="U1428" t="s">
        <v>29834</v>
      </c>
      <c r="V1428" t="s">
        <v>29835</v>
      </c>
      <c r="W1428" t="s">
        <v>29836</v>
      </c>
      <c r="X1428" t="s">
        <v>29837</v>
      </c>
      <c r="Y1428" t="s">
        <v>29838</v>
      </c>
    </row>
    <row r="1429" spans="1:25" x14ac:dyDescent="0.3">
      <c r="A1429">
        <v>71400</v>
      </c>
      <c r="B1429" t="s">
        <v>29839</v>
      </c>
      <c r="C1429" t="s">
        <v>29840</v>
      </c>
      <c r="D1429" t="s">
        <v>29841</v>
      </c>
      <c r="E1429" t="s">
        <v>29842</v>
      </c>
      <c r="F1429" t="s">
        <v>29843</v>
      </c>
      <c r="G1429" t="s">
        <v>29844</v>
      </c>
      <c r="H1429" t="s">
        <v>29845</v>
      </c>
      <c r="I1429" t="s">
        <v>29846</v>
      </c>
      <c r="J1429" t="s">
        <v>29847</v>
      </c>
      <c r="K1429" t="s">
        <v>29848</v>
      </c>
      <c r="L1429" t="s">
        <v>29849</v>
      </c>
      <c r="M1429" t="s">
        <v>29850</v>
      </c>
      <c r="N1429" t="s">
        <v>29851</v>
      </c>
      <c r="O1429">
        <f>-772.447312558935 -53.4348408369501 -720.872383718618</f>
        <v>-1546.7545371145031</v>
      </c>
      <c r="P1429">
        <f>-733.848197060556 -35.0662801092353 -407.250212914177</f>
        <v>-1176.1646900839683</v>
      </c>
      <c r="Q1429">
        <f>-487.40000359726 -18.0571367688697 -325.911036122328</f>
        <v>-831.36817648845772</v>
      </c>
      <c r="R1429" t="s">
        <v>29852</v>
      </c>
      <c r="S1429" t="s">
        <v>29853</v>
      </c>
      <c r="T1429" t="s">
        <v>29854</v>
      </c>
      <c r="U1429" t="s">
        <v>29855</v>
      </c>
      <c r="V1429" t="s">
        <v>29856</v>
      </c>
      <c r="W1429" t="s">
        <v>29857</v>
      </c>
      <c r="X1429" t="s">
        <v>29858</v>
      </c>
      <c r="Y1429" t="s">
        <v>29859</v>
      </c>
    </row>
    <row r="1430" spans="1:25" x14ac:dyDescent="0.3">
      <c r="A1430">
        <v>71450</v>
      </c>
      <c r="B1430" t="s">
        <v>29860</v>
      </c>
      <c r="C1430" t="s">
        <v>29861</v>
      </c>
      <c r="D1430" t="s">
        <v>29862</v>
      </c>
      <c r="E1430" t="s">
        <v>29863</v>
      </c>
      <c r="F1430" t="s">
        <v>29864</v>
      </c>
      <c r="G1430" t="s">
        <v>29865</v>
      </c>
      <c r="H1430" t="s">
        <v>29866</v>
      </c>
      <c r="I1430" t="s">
        <v>29867</v>
      </c>
      <c r="J1430" t="s">
        <v>29868</v>
      </c>
      <c r="K1430" t="s">
        <v>29869</v>
      </c>
      <c r="L1430" t="s">
        <v>29870</v>
      </c>
      <c r="M1430" t="s">
        <v>29871</v>
      </c>
      <c r="N1430" t="s">
        <v>29872</v>
      </c>
      <c r="O1430">
        <f>-771.618544067157 -54.1342653332051 -721.389609722326</f>
        <v>-1547.1424191226881</v>
      </c>
      <c r="P1430">
        <f>-734.253821097841 -35.3666955769343 -407.641555736655</f>
        <v>-1177.2620724114302</v>
      </c>
      <c r="Q1430">
        <f>-487.989116920405 -18.4280117045414 -325.733924508406</f>
        <v>-832.15105313335243</v>
      </c>
      <c r="R1430" t="s">
        <v>29873</v>
      </c>
      <c r="S1430" t="s">
        <v>29874</v>
      </c>
      <c r="T1430" t="s">
        <v>29875</v>
      </c>
      <c r="U1430" t="s">
        <v>29876</v>
      </c>
      <c r="V1430" t="s">
        <v>29877</v>
      </c>
      <c r="W1430" t="s">
        <v>29878</v>
      </c>
      <c r="X1430" t="s">
        <v>29879</v>
      </c>
      <c r="Y1430" t="s">
        <v>29880</v>
      </c>
    </row>
    <row r="1431" spans="1:25" x14ac:dyDescent="0.3">
      <c r="A1431">
        <v>71500</v>
      </c>
      <c r="B1431" t="s">
        <v>29881</v>
      </c>
      <c r="C1431" t="s">
        <v>29882</v>
      </c>
      <c r="D1431" t="s">
        <v>29883</v>
      </c>
      <c r="E1431" t="s">
        <v>29884</v>
      </c>
      <c r="F1431" t="s">
        <v>29885</v>
      </c>
      <c r="G1431" t="s">
        <v>29886</v>
      </c>
      <c r="H1431" t="s">
        <v>29887</v>
      </c>
      <c r="I1431" t="s">
        <v>29888</v>
      </c>
      <c r="J1431" t="s">
        <v>29889</v>
      </c>
      <c r="K1431" t="s">
        <v>29890</v>
      </c>
      <c r="L1431" t="s">
        <v>29891</v>
      </c>
      <c r="M1431" t="s">
        <v>29892</v>
      </c>
      <c r="N1431" t="s">
        <v>29893</v>
      </c>
      <c r="O1431">
        <f>-771.221133723031 -54.3533549532672 -721.601212849972</f>
        <v>-1547.1757015262701</v>
      </c>
      <c r="P1431">
        <f>-734.383800908002 -35.7419559431473 -407.781556884448</f>
        <v>-1177.9073137355972</v>
      </c>
      <c r="Q1431">
        <f>-488.227084143832 -18.8062935153976 -325.549475187133</f>
        <v>-832.58285284636258</v>
      </c>
      <c r="R1431" t="s">
        <v>29894</v>
      </c>
      <c r="S1431" t="s">
        <v>29895</v>
      </c>
      <c r="T1431" t="s">
        <v>29896</v>
      </c>
      <c r="U1431" t="s">
        <v>29897</v>
      </c>
      <c r="V1431" t="s">
        <v>29898</v>
      </c>
      <c r="W1431" t="s">
        <v>29899</v>
      </c>
      <c r="X1431" t="s">
        <v>29900</v>
      </c>
      <c r="Y1431" t="s">
        <v>29901</v>
      </c>
    </row>
    <row r="1432" spans="1:25" x14ac:dyDescent="0.3">
      <c r="A1432">
        <v>71550</v>
      </c>
      <c r="B1432" t="s">
        <v>29902</v>
      </c>
      <c r="C1432" t="s">
        <v>29903</v>
      </c>
      <c r="D1432" t="s">
        <v>29904</v>
      </c>
      <c r="E1432" t="s">
        <v>29905</v>
      </c>
      <c r="F1432" t="s">
        <v>29906</v>
      </c>
      <c r="G1432" t="s">
        <v>29907</v>
      </c>
      <c r="H1432" t="s">
        <v>29908</v>
      </c>
      <c r="I1432" t="s">
        <v>29909</v>
      </c>
      <c r="J1432" t="s">
        <v>29910</v>
      </c>
      <c r="K1432" t="s">
        <v>29911</v>
      </c>
      <c r="L1432" t="s">
        <v>29912</v>
      </c>
      <c r="M1432" t="s">
        <v>29913</v>
      </c>
      <c r="N1432" t="s">
        <v>29914</v>
      </c>
      <c r="O1432">
        <f>-770.826016251423 -54.9856398869492 -722.036259225692</f>
        <v>-1547.8479153640642</v>
      </c>
      <c r="P1432">
        <f>-734.834556289 -35.9896045197825 -408.141576847765</f>
        <v>-1178.9657376565474</v>
      </c>
      <c r="Q1432">
        <f>-488.848571718434 -19.0962139242722 -325.391535789057</f>
        <v>-833.33632143176328</v>
      </c>
      <c r="R1432" t="s">
        <v>29915</v>
      </c>
      <c r="S1432" t="s">
        <v>29916</v>
      </c>
      <c r="T1432" t="s">
        <v>29917</v>
      </c>
      <c r="U1432" t="s">
        <v>29918</v>
      </c>
      <c r="V1432" t="s">
        <v>29919</v>
      </c>
      <c r="W1432" t="s">
        <v>29920</v>
      </c>
      <c r="X1432" t="s">
        <v>29921</v>
      </c>
      <c r="Y1432" t="s">
        <v>29922</v>
      </c>
    </row>
    <row r="1433" spans="1:25" x14ac:dyDescent="0.3">
      <c r="A1433">
        <v>71600</v>
      </c>
      <c r="B1433" t="s">
        <v>29923</v>
      </c>
      <c r="C1433" t="s">
        <v>29924</v>
      </c>
      <c r="D1433" t="s">
        <v>29925</v>
      </c>
      <c r="E1433" t="s">
        <v>29926</v>
      </c>
      <c r="F1433" t="s">
        <v>29927</v>
      </c>
      <c r="G1433" t="s">
        <v>29928</v>
      </c>
      <c r="H1433" t="s">
        <v>29929</v>
      </c>
      <c r="I1433" t="s">
        <v>29930</v>
      </c>
      <c r="J1433" t="s">
        <v>29931</v>
      </c>
      <c r="K1433" t="s">
        <v>29932</v>
      </c>
      <c r="L1433" t="s">
        <v>29933</v>
      </c>
      <c r="M1433" t="s">
        <v>29934</v>
      </c>
      <c r="N1433" t="s">
        <v>29935</v>
      </c>
      <c r="O1433">
        <f>-770.758075082733 -55.1963591920321 -722.246817438923</f>
        <v>-1548.2012517136882</v>
      </c>
      <c r="P1433">
        <f>-734.942123263615 -36.4252124250588 -408.318397554816</f>
        <v>-1179.6857332434897</v>
      </c>
      <c r="Q1433">
        <f>-489.015591279026 -19.5774246799342 -325.382627157755</f>
        <v>-833.97564311671522</v>
      </c>
      <c r="R1433" t="s">
        <v>29936</v>
      </c>
      <c r="S1433" t="s">
        <v>29937</v>
      </c>
      <c r="T1433" t="s">
        <v>29938</v>
      </c>
      <c r="U1433" t="s">
        <v>29939</v>
      </c>
      <c r="V1433" t="s">
        <v>29940</v>
      </c>
      <c r="W1433" t="s">
        <v>29941</v>
      </c>
      <c r="X1433" t="s">
        <v>29942</v>
      </c>
      <c r="Y1433" t="s">
        <v>29943</v>
      </c>
    </row>
    <row r="1434" spans="1:25" x14ac:dyDescent="0.3">
      <c r="A1434">
        <v>71650</v>
      </c>
      <c r="B1434" t="s">
        <v>29944</v>
      </c>
      <c r="C1434" t="s">
        <v>29945</v>
      </c>
      <c r="D1434" t="s">
        <v>29946</v>
      </c>
      <c r="E1434" t="s">
        <v>29947</v>
      </c>
      <c r="F1434" t="s">
        <v>29948</v>
      </c>
      <c r="G1434" t="s">
        <v>29949</v>
      </c>
      <c r="H1434" t="s">
        <v>29950</v>
      </c>
      <c r="I1434" t="s">
        <v>29951</v>
      </c>
      <c r="J1434" t="s">
        <v>29952</v>
      </c>
      <c r="K1434" t="s">
        <v>29953</v>
      </c>
      <c r="L1434" t="s">
        <v>29954</v>
      </c>
      <c r="M1434" t="s">
        <v>29955</v>
      </c>
      <c r="N1434" t="s">
        <v>29956</v>
      </c>
      <c r="O1434">
        <f>-770.780221050754 -55.5799282764217 -722.550807595987</f>
        <v>-1548.9109569231628</v>
      </c>
      <c r="P1434">
        <f>-735.1278600614 -36.7816672225376 -408.605481789951</f>
        <v>-1180.5150090738887</v>
      </c>
      <c r="Q1434">
        <f>-489.152570530127 -19.8948965619018 -325.821916499933</f>
        <v>-834.86938359196188</v>
      </c>
      <c r="R1434" t="s">
        <v>29957</v>
      </c>
      <c r="S1434" t="s">
        <v>29958</v>
      </c>
      <c r="T1434" t="s">
        <v>29959</v>
      </c>
      <c r="U1434" t="s">
        <v>29960</v>
      </c>
      <c r="V1434" t="s">
        <v>29961</v>
      </c>
      <c r="W1434" t="s">
        <v>29962</v>
      </c>
      <c r="X1434" t="s">
        <v>29963</v>
      </c>
      <c r="Y1434" t="s">
        <v>29964</v>
      </c>
    </row>
    <row r="1435" spans="1:25" x14ac:dyDescent="0.3">
      <c r="A1435">
        <v>71700</v>
      </c>
      <c r="B1435" t="s">
        <v>29965</v>
      </c>
      <c r="C1435" t="s">
        <v>29966</v>
      </c>
      <c r="D1435" t="s">
        <v>29967</v>
      </c>
      <c r="E1435" t="s">
        <v>29968</v>
      </c>
      <c r="F1435" t="s">
        <v>29969</v>
      </c>
      <c r="G1435" t="s">
        <v>29970</v>
      </c>
      <c r="H1435" t="s">
        <v>29971</v>
      </c>
      <c r="I1435" t="s">
        <v>29972</v>
      </c>
      <c r="J1435" t="s">
        <v>29973</v>
      </c>
      <c r="K1435" t="s">
        <v>29974</v>
      </c>
      <c r="L1435" t="s">
        <v>29975</v>
      </c>
      <c r="M1435" t="s">
        <v>29976</v>
      </c>
      <c r="N1435" t="s">
        <v>29977</v>
      </c>
      <c r="O1435">
        <f>-770.654790907623 -55.6969066962897 -722.685634379186</f>
        <v>-1549.0373319830987</v>
      </c>
      <c r="P1435">
        <f>-734.940515314854 -36.996616127517 -408.741424339928</f>
        <v>-1180.6785557822991</v>
      </c>
      <c r="Q1435">
        <f>-488.955655105829 -20.1685878785781 -325.974842252773</f>
        <v>-835.09908523718013</v>
      </c>
      <c r="R1435" t="s">
        <v>29978</v>
      </c>
      <c r="S1435" t="s">
        <v>29979</v>
      </c>
      <c r="T1435" t="s">
        <v>29980</v>
      </c>
      <c r="U1435" t="s">
        <v>29981</v>
      </c>
      <c r="V1435" t="s">
        <v>29982</v>
      </c>
      <c r="W1435" t="s">
        <v>29983</v>
      </c>
      <c r="X1435" t="s">
        <v>29984</v>
      </c>
      <c r="Y1435" t="s">
        <v>29985</v>
      </c>
    </row>
    <row r="1436" spans="1:25" x14ac:dyDescent="0.3">
      <c r="A1436">
        <v>71750</v>
      </c>
      <c r="B1436" t="s">
        <v>29986</v>
      </c>
      <c r="C1436" t="s">
        <v>29987</v>
      </c>
      <c r="D1436" t="s">
        <v>29988</v>
      </c>
      <c r="E1436" t="s">
        <v>29989</v>
      </c>
      <c r="F1436" t="s">
        <v>29990</v>
      </c>
      <c r="G1436" t="s">
        <v>29991</v>
      </c>
      <c r="H1436" t="s">
        <v>29992</v>
      </c>
      <c r="I1436" t="s">
        <v>29993</v>
      </c>
      <c r="J1436" t="s">
        <v>29994</v>
      </c>
      <c r="K1436" t="s">
        <v>29995</v>
      </c>
      <c r="L1436" t="s">
        <v>29996</v>
      </c>
      <c r="M1436" t="s">
        <v>29997</v>
      </c>
      <c r="N1436" t="s">
        <v>29998</v>
      </c>
      <c r="O1436">
        <f>-770.562869091385 -55.6737394250356 -722.908482737465</f>
        <v>-1549.1450912538855</v>
      </c>
      <c r="P1436">
        <f>-734.815580837272 -37.2146179836234 -408.9537962575</f>
        <v>-1180.9839950783953</v>
      </c>
      <c r="Q1436">
        <f>-488.707857238421 -20.2144881486768 -326.588765489419</f>
        <v>-835.5111108765168</v>
      </c>
      <c r="R1436" t="s">
        <v>29999</v>
      </c>
      <c r="S1436" t="s">
        <v>30000</v>
      </c>
      <c r="T1436" t="s">
        <v>30001</v>
      </c>
      <c r="U1436" t="s">
        <v>30002</v>
      </c>
      <c r="V1436" t="s">
        <v>30003</v>
      </c>
      <c r="W1436" t="s">
        <v>30004</v>
      </c>
      <c r="X1436" t="s">
        <v>30005</v>
      </c>
      <c r="Y1436" t="s">
        <v>30006</v>
      </c>
    </row>
    <row r="1437" spans="1:25" x14ac:dyDescent="0.3">
      <c r="A1437">
        <v>71800</v>
      </c>
      <c r="B1437" t="s">
        <v>30007</v>
      </c>
      <c r="C1437" t="s">
        <v>30008</v>
      </c>
      <c r="D1437" t="s">
        <v>30009</v>
      </c>
      <c r="E1437" t="s">
        <v>30010</v>
      </c>
      <c r="F1437" t="s">
        <v>30011</v>
      </c>
      <c r="G1437" t="s">
        <v>30012</v>
      </c>
      <c r="H1437" t="s">
        <v>30013</v>
      </c>
      <c r="I1437" t="s">
        <v>30014</v>
      </c>
      <c r="J1437" t="s">
        <v>30015</v>
      </c>
      <c r="K1437" t="s">
        <v>30016</v>
      </c>
      <c r="L1437" t="s">
        <v>30017</v>
      </c>
      <c r="M1437" t="s">
        <v>30018</v>
      </c>
      <c r="N1437" t="s">
        <v>30019</v>
      </c>
      <c r="O1437">
        <f>-770.507885031212 -55.5390846246237 -723.029274613913</f>
        <v>-1549.0762442697487</v>
      </c>
      <c r="P1437">
        <f>-734.655753331969 -37.3190438048505 -409.072659500689</f>
        <v>-1181.0474566375085</v>
      </c>
      <c r="Q1437">
        <f>-488.470076874387 -20.365300195393 -326.930979012085</f>
        <v>-835.76635608186507</v>
      </c>
      <c r="R1437" t="s">
        <v>30020</v>
      </c>
      <c r="S1437" t="s">
        <v>30021</v>
      </c>
      <c r="T1437" t="s">
        <v>30022</v>
      </c>
      <c r="U1437" t="s">
        <v>30023</v>
      </c>
      <c r="V1437" t="s">
        <v>30024</v>
      </c>
      <c r="W1437" t="s">
        <v>30025</v>
      </c>
      <c r="X1437" t="s">
        <v>30026</v>
      </c>
      <c r="Y1437" t="s">
        <v>30027</v>
      </c>
    </row>
    <row r="1438" spans="1:25" x14ac:dyDescent="0.3">
      <c r="A1438">
        <v>71850</v>
      </c>
      <c r="B1438" t="s">
        <v>30028</v>
      </c>
      <c r="C1438" t="s">
        <v>30029</v>
      </c>
      <c r="D1438" t="s">
        <v>30030</v>
      </c>
      <c r="E1438" t="s">
        <v>30031</v>
      </c>
      <c r="F1438" t="s">
        <v>30032</v>
      </c>
      <c r="G1438" t="s">
        <v>30033</v>
      </c>
      <c r="H1438" t="s">
        <v>30034</v>
      </c>
      <c r="I1438" t="s">
        <v>30035</v>
      </c>
      <c r="J1438" t="s">
        <v>30036</v>
      </c>
      <c r="K1438" t="s">
        <v>30037</v>
      </c>
      <c r="L1438" t="s">
        <v>30038</v>
      </c>
      <c r="M1438" t="s">
        <v>30039</v>
      </c>
      <c r="N1438" t="s">
        <v>30040</v>
      </c>
      <c r="O1438">
        <f>-770.273928932039 -55.3659379568273 -723.200267656357</f>
        <v>-1548.8401345452235</v>
      </c>
      <c r="P1438">
        <f>-734.26006922075 -37.5055673864179 -409.241256463424</f>
        <v>-1181.0068930705918</v>
      </c>
      <c r="Q1438">
        <f>-487.896697869894 -20.8598039713015 -327.570985502776</f>
        <v>-836.3274873439716</v>
      </c>
      <c r="R1438" t="s">
        <v>30041</v>
      </c>
      <c r="S1438" t="s">
        <v>30042</v>
      </c>
      <c r="T1438" t="s">
        <v>30043</v>
      </c>
      <c r="U1438" t="s">
        <v>30044</v>
      </c>
      <c r="V1438" t="s">
        <v>30045</v>
      </c>
      <c r="W1438" t="s">
        <v>30046</v>
      </c>
      <c r="X1438" t="s">
        <v>30047</v>
      </c>
      <c r="Y1438" t="s">
        <v>30048</v>
      </c>
    </row>
    <row r="1439" spans="1:25" x14ac:dyDescent="0.3">
      <c r="A1439">
        <v>71900</v>
      </c>
      <c r="B1439" t="s">
        <v>30049</v>
      </c>
      <c r="C1439" t="s">
        <v>30050</v>
      </c>
      <c r="D1439" t="s">
        <v>30051</v>
      </c>
      <c r="E1439" t="s">
        <v>30052</v>
      </c>
      <c r="F1439" t="s">
        <v>30053</v>
      </c>
      <c r="G1439" t="s">
        <v>30054</v>
      </c>
      <c r="H1439" t="s">
        <v>30055</v>
      </c>
      <c r="I1439" t="s">
        <v>30056</v>
      </c>
      <c r="J1439" t="s">
        <v>30057</v>
      </c>
      <c r="K1439" t="s">
        <v>30058</v>
      </c>
      <c r="L1439" t="s">
        <v>30059</v>
      </c>
      <c r="M1439" t="s">
        <v>30060</v>
      </c>
      <c r="N1439" t="s">
        <v>30061</v>
      </c>
      <c r="O1439">
        <f>-770.237626560841 -55.2559015648681 -723.248818505283</f>
        <v>-1548.742346630992</v>
      </c>
      <c r="P1439">
        <f>-734.141586231357 -37.4229160964269 -409.29775289056</f>
        <v>-1180.8622552183438</v>
      </c>
      <c r="Q1439">
        <f>-487.706020677909 -20.909191017804 -327.818727827899</f>
        <v>-836.43393952361203</v>
      </c>
      <c r="R1439" t="s">
        <v>30062</v>
      </c>
      <c r="S1439" t="s">
        <v>30063</v>
      </c>
      <c r="T1439" t="s">
        <v>30064</v>
      </c>
      <c r="U1439" t="s">
        <v>30065</v>
      </c>
      <c r="V1439" t="s">
        <v>30066</v>
      </c>
      <c r="W1439" t="s">
        <v>30067</v>
      </c>
      <c r="X1439" t="s">
        <v>30068</v>
      </c>
      <c r="Y1439" t="s">
        <v>30069</v>
      </c>
    </row>
    <row r="1440" spans="1:25" x14ac:dyDescent="0.3">
      <c r="A1440">
        <v>71950</v>
      </c>
      <c r="B1440" t="s">
        <v>30070</v>
      </c>
      <c r="C1440" t="s">
        <v>30071</v>
      </c>
      <c r="D1440" t="s">
        <v>30072</v>
      </c>
      <c r="E1440" t="s">
        <v>30073</v>
      </c>
      <c r="F1440" t="s">
        <v>30074</v>
      </c>
      <c r="G1440" t="s">
        <v>30075</v>
      </c>
      <c r="H1440" t="s">
        <v>30076</v>
      </c>
      <c r="I1440" t="s">
        <v>30077</v>
      </c>
      <c r="J1440" t="s">
        <v>30078</v>
      </c>
      <c r="K1440" t="s">
        <v>30079</v>
      </c>
      <c r="L1440" t="s">
        <v>30080</v>
      </c>
      <c r="M1440" t="s">
        <v>30081</v>
      </c>
      <c r="N1440" t="s">
        <v>30082</v>
      </c>
      <c r="O1440">
        <f>-770.018744557541 -55.3075154353164 -723.339023051592</f>
        <v>-1548.6652830444496</v>
      </c>
      <c r="P1440">
        <f>-733.725726388991 -37.5471521160325 -409.406629572569</f>
        <v>-1180.6795080775926</v>
      </c>
      <c r="Q1440">
        <f>-487.181206853845 -21.2816496849423 -328.207346084478</f>
        <v>-836.67020262326537</v>
      </c>
      <c r="R1440" t="s">
        <v>30083</v>
      </c>
      <c r="S1440" t="s">
        <v>30084</v>
      </c>
      <c r="T1440" t="s">
        <v>30085</v>
      </c>
      <c r="U1440" t="s">
        <v>30086</v>
      </c>
      <c r="V1440" t="s">
        <v>30087</v>
      </c>
      <c r="W1440" t="s">
        <v>30088</v>
      </c>
      <c r="X1440" t="s">
        <v>30089</v>
      </c>
      <c r="Y1440" t="s">
        <v>30090</v>
      </c>
    </row>
    <row r="1441" spans="1:25" x14ac:dyDescent="0.3">
      <c r="A1441">
        <v>72000</v>
      </c>
      <c r="B1441" t="s">
        <v>30091</v>
      </c>
      <c r="C1441" t="s">
        <v>30092</v>
      </c>
      <c r="D1441" t="s">
        <v>30093</v>
      </c>
      <c r="E1441" t="s">
        <v>30094</v>
      </c>
      <c r="F1441" t="s">
        <v>30095</v>
      </c>
      <c r="G1441" t="s">
        <v>30096</v>
      </c>
      <c r="H1441" t="s">
        <v>30097</v>
      </c>
      <c r="I1441" t="s">
        <v>30098</v>
      </c>
      <c r="J1441" t="s">
        <v>30099</v>
      </c>
      <c r="K1441" t="s">
        <v>30100</v>
      </c>
      <c r="L1441" t="s">
        <v>30101</v>
      </c>
      <c r="M1441" t="s">
        <v>30102</v>
      </c>
      <c r="N1441" t="s">
        <v>30103</v>
      </c>
      <c r="O1441">
        <f>-769.709122756815 -55.2121369511467 -723.427800541347</f>
        <v>-1548.3490602493086</v>
      </c>
      <c r="P1441">
        <f>-733.288939120405 -37.4700872386297 -409.509055774979</f>
        <v>-1180.2680821340136</v>
      </c>
      <c r="Q1441">
        <f>-486.693350689862 -21.2829212380173 -328.449297460253</f>
        <v>-836.42556938813232</v>
      </c>
      <c r="R1441" t="s">
        <v>30104</v>
      </c>
      <c r="S1441" t="s">
        <v>30105</v>
      </c>
      <c r="T1441" t="s">
        <v>30106</v>
      </c>
      <c r="U1441" t="s">
        <v>30107</v>
      </c>
      <c r="V1441" t="s">
        <v>30108</v>
      </c>
      <c r="W1441" t="s">
        <v>30109</v>
      </c>
      <c r="X1441" t="s">
        <v>30110</v>
      </c>
      <c r="Y1441" t="s">
        <v>30111</v>
      </c>
    </row>
    <row r="1442" spans="1:25" x14ac:dyDescent="0.3">
      <c r="A1442">
        <v>72050</v>
      </c>
      <c r="B1442" t="s">
        <v>30112</v>
      </c>
      <c r="C1442" t="s">
        <v>30113</v>
      </c>
      <c r="D1442" t="s">
        <v>30114</v>
      </c>
      <c r="E1442" t="s">
        <v>30115</v>
      </c>
      <c r="F1442" t="s">
        <v>30116</v>
      </c>
      <c r="G1442" t="s">
        <v>30117</v>
      </c>
      <c r="H1442" t="s">
        <v>30118</v>
      </c>
      <c r="I1442" t="s">
        <v>30119</v>
      </c>
      <c r="J1442" t="s">
        <v>30120</v>
      </c>
      <c r="K1442" t="s">
        <v>30121</v>
      </c>
      <c r="L1442" t="s">
        <v>30122</v>
      </c>
      <c r="M1442" t="s">
        <v>30123</v>
      </c>
      <c r="N1442" t="s">
        <v>30124</v>
      </c>
      <c r="O1442">
        <f>-768.899592231508 -55.0268172218166 -723.615537317394</f>
        <v>-1547.5419467707186</v>
      </c>
      <c r="P1442">
        <f>-732.429993101804 -37.4770448345616 -409.691748257444</f>
        <v>-1179.5987861938097</v>
      </c>
      <c r="Q1442">
        <f>-485.81383772402 -21.2333391860411 -328.706053562987</f>
        <v>-835.75323047304812</v>
      </c>
      <c r="R1442" t="s">
        <v>30125</v>
      </c>
      <c r="S1442" t="s">
        <v>30126</v>
      </c>
      <c r="T1442" t="s">
        <v>30127</v>
      </c>
      <c r="U1442" t="s">
        <v>30128</v>
      </c>
      <c r="V1442" t="s">
        <v>30129</v>
      </c>
      <c r="W1442" t="s">
        <v>30130</v>
      </c>
      <c r="X1442" t="s">
        <v>30131</v>
      </c>
      <c r="Y1442" t="s">
        <v>30132</v>
      </c>
    </row>
    <row r="1443" spans="1:25" x14ac:dyDescent="0.3">
      <c r="A1443">
        <v>72100</v>
      </c>
      <c r="B1443" t="s">
        <v>30133</v>
      </c>
      <c r="C1443" t="s">
        <v>30134</v>
      </c>
      <c r="D1443" t="s">
        <v>30135</v>
      </c>
      <c r="E1443" t="s">
        <v>30136</v>
      </c>
      <c r="F1443" t="s">
        <v>30137</v>
      </c>
      <c r="G1443" t="s">
        <v>30138</v>
      </c>
      <c r="H1443" t="s">
        <v>30139</v>
      </c>
      <c r="I1443" t="s">
        <v>30140</v>
      </c>
      <c r="J1443" t="s">
        <v>30141</v>
      </c>
      <c r="K1443" t="s">
        <v>30142</v>
      </c>
      <c r="L1443" t="s">
        <v>30143</v>
      </c>
      <c r="M1443" t="s">
        <v>30144</v>
      </c>
      <c r="N1443" t="s">
        <v>30145</v>
      </c>
      <c r="O1443">
        <f>-768.413754503073 -54.9067933007493 -723.726102160472</f>
        <v>-1547.0466499642944</v>
      </c>
      <c r="P1443">
        <f>-732.053326448842 -37.4458774456621 -409.784721998471</f>
        <v>-1179.283925892975</v>
      </c>
      <c r="Q1443">
        <f>-485.420905324677 -21.1040490057596 -328.868335432623</f>
        <v>-835.39328976305956</v>
      </c>
      <c r="R1443" t="s">
        <v>30146</v>
      </c>
      <c r="S1443" t="s">
        <v>30147</v>
      </c>
      <c r="T1443" t="s">
        <v>30148</v>
      </c>
      <c r="U1443" t="s">
        <v>30149</v>
      </c>
      <c r="V1443" t="s">
        <v>30150</v>
      </c>
      <c r="W1443" t="s">
        <v>30151</v>
      </c>
      <c r="X1443" t="s">
        <v>30152</v>
      </c>
      <c r="Y1443" t="s">
        <v>30153</v>
      </c>
    </row>
    <row r="1444" spans="1:25" x14ac:dyDescent="0.3">
      <c r="A1444">
        <v>72150</v>
      </c>
      <c r="B1444" t="s">
        <v>30154</v>
      </c>
      <c r="C1444" t="s">
        <v>30155</v>
      </c>
      <c r="D1444" t="s">
        <v>30156</v>
      </c>
      <c r="E1444" t="s">
        <v>30157</v>
      </c>
      <c r="F1444" t="s">
        <v>30158</v>
      </c>
      <c r="G1444" t="s">
        <v>30159</v>
      </c>
      <c r="H1444" t="s">
        <v>30160</v>
      </c>
      <c r="I1444" t="s">
        <v>30161</v>
      </c>
      <c r="J1444" t="s">
        <v>30162</v>
      </c>
      <c r="K1444" t="s">
        <v>30163</v>
      </c>
      <c r="L1444" t="s">
        <v>30164</v>
      </c>
      <c r="M1444" t="s">
        <v>30165</v>
      </c>
      <c r="N1444" t="s">
        <v>30166</v>
      </c>
      <c r="O1444">
        <f>-767.7669381557 -54.8801790051643 -723.898414254442</f>
        <v>-1546.5455314153064</v>
      </c>
      <c r="P1444">
        <f>-731.172820439547 -37.7343188946454 -409.966794350758</f>
        <v>-1178.8739336849503</v>
      </c>
      <c r="Q1444">
        <f>-484.447149981876 -21.0098683321016 -329.413911086355</f>
        <v>-834.87092940033256</v>
      </c>
      <c r="R1444" t="s">
        <v>30167</v>
      </c>
      <c r="S1444" t="s">
        <v>30168</v>
      </c>
      <c r="T1444" t="s">
        <v>30169</v>
      </c>
      <c r="U1444" t="s">
        <v>30170</v>
      </c>
      <c r="V1444" t="s">
        <v>30171</v>
      </c>
      <c r="W1444" t="s">
        <v>30172</v>
      </c>
      <c r="X1444" t="s">
        <v>30173</v>
      </c>
      <c r="Y1444" t="s">
        <v>30174</v>
      </c>
    </row>
    <row r="1445" spans="1:25" x14ac:dyDescent="0.3">
      <c r="A1445">
        <v>72200</v>
      </c>
      <c r="B1445" t="s">
        <v>30175</v>
      </c>
      <c r="C1445" t="s">
        <v>30176</v>
      </c>
      <c r="D1445" t="s">
        <v>30177</v>
      </c>
      <c r="E1445" t="s">
        <v>30178</v>
      </c>
      <c r="F1445" t="s">
        <v>30179</v>
      </c>
      <c r="G1445" t="s">
        <v>30180</v>
      </c>
      <c r="H1445" t="s">
        <v>30181</v>
      </c>
      <c r="I1445" t="s">
        <v>30182</v>
      </c>
      <c r="J1445" t="s">
        <v>30183</v>
      </c>
      <c r="K1445" t="s">
        <v>30184</v>
      </c>
      <c r="L1445" t="s">
        <v>30185</v>
      </c>
      <c r="M1445" t="s">
        <v>30186</v>
      </c>
      <c r="N1445" t="s">
        <v>30187</v>
      </c>
      <c r="O1445">
        <f>-767.29530049864 -55.0129652493958 -723.962602381306</f>
        <v>-1546.270868129342</v>
      </c>
      <c r="P1445">
        <f>-730.463636252227 -38.1611372986854 -410.042856910471</f>
        <v>-1178.6676304613834</v>
      </c>
      <c r="Q1445">
        <f>-483.68079644786 -21.2424058873919 -329.705888252974</f>
        <v>-834.62909058822584</v>
      </c>
      <c r="R1445" t="s">
        <v>30188</v>
      </c>
      <c r="S1445" t="s">
        <v>30189</v>
      </c>
      <c r="T1445" t="s">
        <v>30190</v>
      </c>
      <c r="U1445" t="s">
        <v>30191</v>
      </c>
      <c r="V1445" t="s">
        <v>30192</v>
      </c>
      <c r="W1445" t="s">
        <v>30193</v>
      </c>
      <c r="X1445" t="s">
        <v>30194</v>
      </c>
      <c r="Y1445" t="s">
        <v>30195</v>
      </c>
    </row>
    <row r="1446" spans="1:25" x14ac:dyDescent="0.3">
      <c r="A1446">
        <v>72250</v>
      </c>
      <c r="B1446" t="s">
        <v>30196</v>
      </c>
      <c r="C1446" t="s">
        <v>30197</v>
      </c>
      <c r="D1446" t="s">
        <v>30198</v>
      </c>
      <c r="E1446" t="s">
        <v>30199</v>
      </c>
      <c r="F1446" t="s">
        <v>30200</v>
      </c>
      <c r="G1446" t="s">
        <v>30201</v>
      </c>
      <c r="H1446" t="s">
        <v>30202</v>
      </c>
      <c r="I1446" t="s">
        <v>30203</v>
      </c>
      <c r="J1446" t="s">
        <v>30204</v>
      </c>
      <c r="K1446" t="s">
        <v>30205</v>
      </c>
      <c r="L1446" t="s">
        <v>30206</v>
      </c>
      <c r="M1446" t="s">
        <v>30207</v>
      </c>
      <c r="N1446" t="s">
        <v>30208</v>
      </c>
      <c r="O1446">
        <f>-766.68838164461 -55.5449093601906 -724.071378794915</f>
        <v>-1546.3046697997156</v>
      </c>
      <c r="P1446">
        <f>-729.403614906052 -38.7843909840278 -410.200302772688</f>
        <v>-1178.3883086627679</v>
      </c>
      <c r="Q1446">
        <f>-482.533884343273 -21.3890369988858 -330.232697606581</f>
        <v>-834.15561894873974</v>
      </c>
      <c r="R1446" t="s">
        <v>30209</v>
      </c>
      <c r="S1446" t="s">
        <v>30210</v>
      </c>
      <c r="T1446" t="s">
        <v>30211</v>
      </c>
      <c r="U1446" t="s">
        <v>30212</v>
      </c>
      <c r="V1446" t="s">
        <v>30213</v>
      </c>
      <c r="W1446" t="s">
        <v>30214</v>
      </c>
      <c r="X1446" t="s">
        <v>30215</v>
      </c>
      <c r="Y1446" t="s">
        <v>30216</v>
      </c>
    </row>
    <row r="1447" spans="1:25" x14ac:dyDescent="0.3">
      <c r="A1447">
        <v>72300</v>
      </c>
      <c r="B1447" t="s">
        <v>30217</v>
      </c>
      <c r="C1447" t="s">
        <v>30218</v>
      </c>
      <c r="D1447" t="s">
        <v>30219</v>
      </c>
      <c r="E1447" t="s">
        <v>30220</v>
      </c>
      <c r="F1447" t="s">
        <v>30221</v>
      </c>
      <c r="G1447" t="s">
        <v>30222</v>
      </c>
      <c r="H1447" t="s">
        <v>30223</v>
      </c>
      <c r="I1447" t="s">
        <v>30224</v>
      </c>
      <c r="J1447" t="s">
        <v>30225</v>
      </c>
      <c r="K1447" t="s">
        <v>30226</v>
      </c>
      <c r="L1447" t="s">
        <v>30227</v>
      </c>
      <c r="M1447" t="s">
        <v>30228</v>
      </c>
      <c r="N1447" t="s">
        <v>30229</v>
      </c>
      <c r="O1447">
        <f>-766.41018845956 -55.9038696212961 -724.126218433543</f>
        <v>-1546.4402765143991</v>
      </c>
      <c r="P1447">
        <f>-728.912964976616 -39.3822179077761 -410.267609037505</f>
        <v>-1178.5627919218971</v>
      </c>
      <c r="Q1447">
        <f>-482.001736214363 -21.8990664928658 -330.447771017848</f>
        <v>-834.3485737250769</v>
      </c>
      <c r="R1447" t="s">
        <v>30230</v>
      </c>
      <c r="S1447" t="s">
        <v>30231</v>
      </c>
      <c r="T1447" t="s">
        <v>30232</v>
      </c>
      <c r="U1447" t="s">
        <v>30233</v>
      </c>
      <c r="V1447" t="s">
        <v>30234</v>
      </c>
      <c r="W1447" t="s">
        <v>30235</v>
      </c>
      <c r="X1447" t="s">
        <v>30236</v>
      </c>
      <c r="Y1447" t="s">
        <v>30237</v>
      </c>
    </row>
    <row r="1448" spans="1:25" x14ac:dyDescent="0.3">
      <c r="A1448">
        <v>72350</v>
      </c>
      <c r="B1448" t="s">
        <v>30238</v>
      </c>
      <c r="C1448" t="s">
        <v>30239</v>
      </c>
      <c r="D1448" t="s">
        <v>30240</v>
      </c>
      <c r="E1448" t="s">
        <v>30241</v>
      </c>
      <c r="F1448" t="s">
        <v>30242</v>
      </c>
      <c r="G1448" t="s">
        <v>30243</v>
      </c>
      <c r="H1448" t="s">
        <v>30244</v>
      </c>
      <c r="I1448" t="s">
        <v>30245</v>
      </c>
      <c r="J1448" t="s">
        <v>30246</v>
      </c>
      <c r="K1448" t="s">
        <v>30247</v>
      </c>
      <c r="L1448" t="s">
        <v>30248</v>
      </c>
      <c r="M1448" t="s">
        <v>30249</v>
      </c>
      <c r="N1448" t="s">
        <v>30250</v>
      </c>
      <c r="O1448">
        <f>-766.129221275103 -56.3050360312182 -724.313302120624</f>
        <v>-1546.7475594269451</v>
      </c>
      <c r="P1448">
        <f>-728.074649262909 -40.2190339918652 -410.499209592421</f>
        <v>-1178.7928928471952</v>
      </c>
      <c r="Q1448">
        <f>-480.753818200251 -22.6726585832605 -331.971531915837</f>
        <v>-835.39800869934845</v>
      </c>
      <c r="R1448" t="s">
        <v>30251</v>
      </c>
      <c r="S1448" t="s">
        <v>30252</v>
      </c>
      <c r="T1448" t="s">
        <v>30253</v>
      </c>
      <c r="U1448" t="s">
        <v>30254</v>
      </c>
      <c r="V1448" t="s">
        <v>30255</v>
      </c>
      <c r="W1448" t="s">
        <v>30256</v>
      </c>
      <c r="X1448" t="s">
        <v>30257</v>
      </c>
      <c r="Y1448" t="s">
        <v>30258</v>
      </c>
    </row>
    <row r="1449" spans="1:25" x14ac:dyDescent="0.3">
      <c r="A1449">
        <v>72400</v>
      </c>
      <c r="B1449" t="s">
        <v>30259</v>
      </c>
      <c r="C1449" t="s">
        <v>30260</v>
      </c>
      <c r="D1449" t="s">
        <v>30261</v>
      </c>
      <c r="E1449" t="s">
        <v>30262</v>
      </c>
      <c r="F1449" t="s">
        <v>30263</v>
      </c>
      <c r="G1449" t="s">
        <v>30264</v>
      </c>
      <c r="H1449" t="s">
        <v>30265</v>
      </c>
      <c r="I1449" t="s">
        <v>30266</v>
      </c>
      <c r="J1449" t="s">
        <v>30267</v>
      </c>
      <c r="K1449" t="s">
        <v>30268</v>
      </c>
      <c r="L1449" t="s">
        <v>30269</v>
      </c>
      <c r="M1449" t="s">
        <v>30270</v>
      </c>
      <c r="N1449" t="s">
        <v>30271</v>
      </c>
      <c r="O1449">
        <f>-765.949588176394 -56.4189645391261 -724.481864445844</f>
        <v>-1546.850417161364</v>
      </c>
      <c r="P1449">
        <f>-727.508137120858 -40.9010088791588 -410.686361244674</f>
        <v>-1179.0955072446909</v>
      </c>
      <c r="Q1449">
        <f>-479.985188452476 -23.6378458953188 -332.734794201354</f>
        <v>-836.35782854914873</v>
      </c>
      <c r="R1449" t="s">
        <v>30272</v>
      </c>
      <c r="S1449" t="s">
        <v>30273</v>
      </c>
      <c r="T1449" t="s">
        <v>30274</v>
      </c>
      <c r="U1449" t="s">
        <v>30275</v>
      </c>
      <c r="V1449" t="s">
        <v>30276</v>
      </c>
      <c r="W1449" t="s">
        <v>30277</v>
      </c>
      <c r="X1449" t="s">
        <v>30278</v>
      </c>
      <c r="Y1449" t="s">
        <v>30279</v>
      </c>
    </row>
    <row r="1450" spans="1:25" x14ac:dyDescent="0.3">
      <c r="A1450">
        <v>72450</v>
      </c>
      <c r="B1450" t="s">
        <v>30280</v>
      </c>
      <c r="C1450" t="s">
        <v>30281</v>
      </c>
      <c r="D1450" t="s">
        <v>30282</v>
      </c>
      <c r="E1450" t="s">
        <v>30283</v>
      </c>
      <c r="F1450" t="s">
        <v>30284</v>
      </c>
      <c r="G1450" t="s">
        <v>30285</v>
      </c>
      <c r="H1450" t="s">
        <v>30286</v>
      </c>
      <c r="I1450" t="s">
        <v>30287</v>
      </c>
      <c r="J1450" t="s">
        <v>30288</v>
      </c>
      <c r="K1450" t="s">
        <v>30289</v>
      </c>
      <c r="L1450" t="s">
        <v>30290</v>
      </c>
      <c r="M1450" t="s">
        <v>30291</v>
      </c>
      <c r="N1450" t="s">
        <v>30292</v>
      </c>
      <c r="O1450">
        <f>-765.739611292071 -56.781513792334 -724.856180176431</f>
        <v>-1547.377305260836</v>
      </c>
      <c r="P1450">
        <f>-727.136028202166 -42.2509609097951 -411.033196184506</f>
        <v>-1180.420185296467</v>
      </c>
      <c r="Q1450">
        <f>-479.102174622452 -25.764037308855 -334.551470681776</f>
        <v>-839.417682613083</v>
      </c>
      <c r="R1450" t="s">
        <v>30293</v>
      </c>
      <c r="S1450" t="s">
        <v>30294</v>
      </c>
      <c r="T1450" t="s">
        <v>30295</v>
      </c>
      <c r="U1450" t="s">
        <v>30296</v>
      </c>
      <c r="V1450" t="s">
        <v>30297</v>
      </c>
      <c r="W1450" t="s">
        <v>30298</v>
      </c>
      <c r="X1450" t="s">
        <v>30299</v>
      </c>
      <c r="Y1450" t="s">
        <v>30300</v>
      </c>
    </row>
    <row r="1451" spans="1:25" x14ac:dyDescent="0.3">
      <c r="A1451">
        <v>72500</v>
      </c>
      <c r="B1451" t="s">
        <v>30301</v>
      </c>
      <c r="C1451" t="s">
        <v>30302</v>
      </c>
      <c r="D1451" t="s">
        <v>30303</v>
      </c>
      <c r="E1451" t="s">
        <v>30304</v>
      </c>
      <c r="F1451" t="s">
        <v>30305</v>
      </c>
      <c r="G1451" t="s">
        <v>30306</v>
      </c>
      <c r="H1451" t="s">
        <v>30307</v>
      </c>
      <c r="I1451" t="s">
        <v>30308</v>
      </c>
      <c r="J1451" t="s">
        <v>30309</v>
      </c>
      <c r="K1451" t="s">
        <v>30310</v>
      </c>
      <c r="L1451" t="s">
        <v>30311</v>
      </c>
      <c r="M1451" t="s">
        <v>30312</v>
      </c>
      <c r="N1451" t="s">
        <v>30313</v>
      </c>
      <c r="O1451">
        <f>-765.84741864607 -56.9648024022542 -725.0968216617</f>
        <v>-1547.9090427100241</v>
      </c>
      <c r="P1451">
        <f>-727.278193701311 -43.159037443927 -411.23698280845</f>
        <v>-1181.674213953688</v>
      </c>
      <c r="Q1451">
        <f>-479.046377243651 -26.6593804460128 -335.402714742505</f>
        <v>-841.10847243216881</v>
      </c>
      <c r="R1451" t="s">
        <v>30314</v>
      </c>
      <c r="S1451" t="s">
        <v>30315</v>
      </c>
      <c r="T1451" t="s">
        <v>30316</v>
      </c>
      <c r="U1451" t="s">
        <v>30317</v>
      </c>
      <c r="V1451" t="s">
        <v>30318</v>
      </c>
      <c r="W1451" t="s">
        <v>30319</v>
      </c>
      <c r="X1451" t="s">
        <v>30320</v>
      </c>
      <c r="Y1451" t="s">
        <v>30321</v>
      </c>
    </row>
    <row r="1452" spans="1:25" x14ac:dyDescent="0.3">
      <c r="A1452">
        <v>72550</v>
      </c>
      <c r="B1452" t="s">
        <v>30322</v>
      </c>
      <c r="C1452" t="s">
        <v>30323</v>
      </c>
      <c r="D1452" t="s">
        <v>30324</v>
      </c>
      <c r="E1452" t="s">
        <v>30325</v>
      </c>
      <c r="F1452" t="s">
        <v>30326</v>
      </c>
      <c r="G1452" t="s">
        <v>30327</v>
      </c>
      <c r="H1452" t="s">
        <v>30328</v>
      </c>
      <c r="I1452" t="s">
        <v>30329</v>
      </c>
      <c r="J1452" t="s">
        <v>30330</v>
      </c>
      <c r="K1452" t="s">
        <v>30331</v>
      </c>
      <c r="L1452" t="s">
        <v>30332</v>
      </c>
      <c r="M1452" t="s">
        <v>30333</v>
      </c>
      <c r="N1452" t="s">
        <v>30334</v>
      </c>
      <c r="O1452">
        <f>-766.271996275935 -57.4536543057766 -725.494142716183</f>
        <v>-1549.2197932978945</v>
      </c>
      <c r="P1452">
        <f>-727.864483034693 -43.8370100151392 -411.606320134419</f>
        <v>-1183.3078131842512</v>
      </c>
      <c r="Q1452">
        <f>-479.398522189543 -28.0576961513732 -336.388093841262</f>
        <v>-843.8443121821781</v>
      </c>
      <c r="R1452" t="s">
        <v>30335</v>
      </c>
      <c r="S1452" t="s">
        <v>30336</v>
      </c>
      <c r="T1452" t="s">
        <v>30337</v>
      </c>
      <c r="U1452" t="s">
        <v>30338</v>
      </c>
      <c r="V1452" t="s">
        <v>30339</v>
      </c>
      <c r="W1452" t="s">
        <v>30340</v>
      </c>
      <c r="X1452" t="s">
        <v>30341</v>
      </c>
      <c r="Y1452" t="s">
        <v>30342</v>
      </c>
    </row>
    <row r="1453" spans="1:25" x14ac:dyDescent="0.3">
      <c r="A1453">
        <v>72600</v>
      </c>
      <c r="B1453" t="s">
        <v>30343</v>
      </c>
      <c r="C1453" t="s">
        <v>30344</v>
      </c>
      <c r="D1453" t="s">
        <v>30345</v>
      </c>
      <c r="E1453" t="s">
        <v>30346</v>
      </c>
      <c r="F1453" t="s">
        <v>30347</v>
      </c>
      <c r="G1453" t="s">
        <v>30348</v>
      </c>
      <c r="H1453" t="s">
        <v>30349</v>
      </c>
      <c r="I1453" t="s">
        <v>30350</v>
      </c>
      <c r="J1453" t="s">
        <v>30351</v>
      </c>
      <c r="K1453" t="s">
        <v>30352</v>
      </c>
      <c r="L1453" t="s">
        <v>30353</v>
      </c>
      <c r="M1453" t="s">
        <v>30354</v>
      </c>
      <c r="N1453" t="s">
        <v>30355</v>
      </c>
      <c r="O1453">
        <f>-766.520806554528 -57.6090478872702 -725.674945761639</f>
        <v>-1549.8048002034373</v>
      </c>
      <c r="P1453">
        <f>-728.079775616605 -44.4072059074801 -411.773403066559</f>
        <v>-1184.2603845906442</v>
      </c>
      <c r="Q1453">
        <f>-479.609559350962 -29.1488417188204 -336.462090553747</f>
        <v>-845.22049162352937</v>
      </c>
      <c r="R1453" t="s">
        <v>30356</v>
      </c>
      <c r="S1453" t="s">
        <v>30357</v>
      </c>
      <c r="T1453" t="s">
        <v>30358</v>
      </c>
      <c r="U1453" t="s">
        <v>30359</v>
      </c>
      <c r="V1453" t="s">
        <v>30360</v>
      </c>
      <c r="W1453" t="s">
        <v>30361</v>
      </c>
      <c r="X1453" t="s">
        <v>30362</v>
      </c>
      <c r="Y1453" t="s">
        <v>30363</v>
      </c>
    </row>
    <row r="1454" spans="1:25" x14ac:dyDescent="0.3">
      <c r="A1454">
        <v>72650</v>
      </c>
      <c r="B1454" t="s">
        <v>30364</v>
      </c>
      <c r="C1454" t="s">
        <v>30365</v>
      </c>
      <c r="D1454" t="s">
        <v>30366</v>
      </c>
      <c r="E1454" t="s">
        <v>30367</v>
      </c>
      <c r="F1454" t="s">
        <v>30368</v>
      </c>
      <c r="G1454" t="s">
        <v>30369</v>
      </c>
      <c r="H1454" t="s">
        <v>30370</v>
      </c>
      <c r="I1454" t="s">
        <v>30371</v>
      </c>
      <c r="J1454" t="s">
        <v>30372</v>
      </c>
      <c r="K1454" t="s">
        <v>30373</v>
      </c>
      <c r="L1454" t="s">
        <v>30374</v>
      </c>
      <c r="M1454" t="s">
        <v>30375</v>
      </c>
      <c r="N1454" t="s">
        <v>30376</v>
      </c>
      <c r="O1454">
        <f>-766.99681408809 -58.076698951214 -725.878551961748</f>
        <v>-1550.952065001052</v>
      </c>
      <c r="P1454">
        <f>-728.753641016704 -45.4226875435547 -411.930330739212</f>
        <v>-1186.1066592994707</v>
      </c>
      <c r="Q1454">
        <f>-480.305686856121 -30.877930787738 -336.404841022582</f>
        <v>-847.58845866644106</v>
      </c>
      <c r="R1454" t="s">
        <v>30377</v>
      </c>
      <c r="S1454" t="s">
        <v>30378</v>
      </c>
      <c r="T1454" t="s">
        <v>30379</v>
      </c>
      <c r="U1454" t="s">
        <v>30380</v>
      </c>
      <c r="V1454" t="s">
        <v>30381</v>
      </c>
      <c r="W1454" t="s">
        <v>30382</v>
      </c>
      <c r="X1454" t="s">
        <v>30383</v>
      </c>
      <c r="Y1454" t="s">
        <v>30384</v>
      </c>
    </row>
    <row r="1455" spans="1:25" x14ac:dyDescent="0.3">
      <c r="A1455">
        <v>72700</v>
      </c>
      <c r="B1455" t="s">
        <v>30385</v>
      </c>
      <c r="C1455" t="s">
        <v>30386</v>
      </c>
      <c r="D1455" t="s">
        <v>30387</v>
      </c>
      <c r="E1455" t="s">
        <v>30388</v>
      </c>
      <c r="F1455" t="s">
        <v>30389</v>
      </c>
      <c r="G1455" t="s">
        <v>30390</v>
      </c>
      <c r="H1455" t="s">
        <v>30391</v>
      </c>
      <c r="I1455" t="s">
        <v>30392</v>
      </c>
      <c r="J1455" t="s">
        <v>30393</v>
      </c>
      <c r="K1455" t="s">
        <v>30394</v>
      </c>
      <c r="L1455" t="s">
        <v>30395</v>
      </c>
      <c r="M1455" t="s">
        <v>30396</v>
      </c>
      <c r="N1455" t="s">
        <v>30397</v>
      </c>
      <c r="O1455">
        <f>-767.277604594105 -58.1764938956762 -726.025628461994</f>
        <v>-1551.4797269517753</v>
      </c>
      <c r="P1455">
        <f>-729.128709534991 -45.6787055478665 -412.059669421661</f>
        <v>-1186.8670845045185</v>
      </c>
      <c r="Q1455">
        <f>-480.597384529756 -31.3698837693114 -336.763721759993</f>
        <v>-848.73099005906045</v>
      </c>
      <c r="R1455" t="s">
        <v>30398</v>
      </c>
      <c r="S1455" t="s">
        <v>30399</v>
      </c>
      <c r="T1455" t="s">
        <v>30400</v>
      </c>
      <c r="U1455" t="s">
        <v>30401</v>
      </c>
      <c r="V1455" t="s">
        <v>30402</v>
      </c>
      <c r="W1455" t="s">
        <v>30403</v>
      </c>
      <c r="X1455" t="s">
        <v>30404</v>
      </c>
      <c r="Y1455" t="s">
        <v>30405</v>
      </c>
    </row>
    <row r="1456" spans="1:25" x14ac:dyDescent="0.3">
      <c r="A1456">
        <v>72750</v>
      </c>
      <c r="B1456" t="s">
        <v>30406</v>
      </c>
      <c r="C1456" t="s">
        <v>30407</v>
      </c>
      <c r="D1456" t="s">
        <v>30408</v>
      </c>
      <c r="E1456" t="s">
        <v>30409</v>
      </c>
      <c r="F1456" t="s">
        <v>30410</v>
      </c>
      <c r="G1456" t="s">
        <v>30411</v>
      </c>
      <c r="H1456" t="s">
        <v>30412</v>
      </c>
      <c r="I1456" t="s">
        <v>30413</v>
      </c>
      <c r="J1456" t="s">
        <v>30414</v>
      </c>
      <c r="K1456" t="s">
        <v>30415</v>
      </c>
      <c r="L1456" t="s">
        <v>30416</v>
      </c>
      <c r="M1456" t="s">
        <v>30417</v>
      </c>
      <c r="N1456" t="s">
        <v>30418</v>
      </c>
      <c r="O1456">
        <f>-768.184654092401 -58.2866464578308 -726.389433234214</f>
        <v>-1552.860733784446</v>
      </c>
      <c r="P1456">
        <f>-729.67611108445 -46.8730236328249 -412.42594658772</f>
        <v>-1188.975081304995</v>
      </c>
      <c r="Q1456">
        <f>-480.777682253443 -34.3925230829107 -338.02273791862</f>
        <v>-853.19294325497367</v>
      </c>
      <c r="R1456" t="s">
        <v>30419</v>
      </c>
      <c r="S1456" t="s">
        <v>30420</v>
      </c>
      <c r="T1456" t="s">
        <v>30421</v>
      </c>
      <c r="U1456" t="s">
        <v>30422</v>
      </c>
      <c r="V1456" t="s">
        <v>30423</v>
      </c>
      <c r="W1456" t="s">
        <v>30424</v>
      </c>
      <c r="X1456" t="s">
        <v>30425</v>
      </c>
      <c r="Y1456" t="s">
        <v>30426</v>
      </c>
    </row>
    <row r="1457" spans="1:25" x14ac:dyDescent="0.3">
      <c r="A1457">
        <v>72800</v>
      </c>
      <c r="B1457" t="s">
        <v>30427</v>
      </c>
      <c r="C1457" t="s">
        <v>30428</v>
      </c>
      <c r="D1457" t="s">
        <v>30429</v>
      </c>
      <c r="E1457" t="s">
        <v>30430</v>
      </c>
      <c r="F1457" t="s">
        <v>30431</v>
      </c>
      <c r="G1457" t="s">
        <v>30432</v>
      </c>
      <c r="H1457" t="s">
        <v>30433</v>
      </c>
      <c r="I1457" t="s">
        <v>30434</v>
      </c>
      <c r="J1457" t="s">
        <v>30435</v>
      </c>
      <c r="K1457" t="s">
        <v>30436</v>
      </c>
      <c r="L1457" t="s">
        <v>30437</v>
      </c>
      <c r="M1457" t="s">
        <v>30438</v>
      </c>
      <c r="N1457" t="s">
        <v>30439</v>
      </c>
      <c r="O1457">
        <f>-768.787835044601 -58.3753809191858 -726.5620467905</f>
        <v>-1553.7252627542866</v>
      </c>
      <c r="P1457">
        <f>-730.073358451286 -47.1699957837525 -412.616555983172</f>
        <v>-1189.8599102182106</v>
      </c>
      <c r="Q1457">
        <f>-480.885099876667 -35.42966543534 -339.067760115953</f>
        <v>-855.38252542795999</v>
      </c>
      <c r="R1457" t="s">
        <v>30440</v>
      </c>
      <c r="S1457" t="s">
        <v>30441</v>
      </c>
      <c r="T1457" t="s">
        <v>30442</v>
      </c>
      <c r="U1457" t="s">
        <v>30443</v>
      </c>
      <c r="V1457" t="s">
        <v>30444</v>
      </c>
      <c r="W1457" t="s">
        <v>30445</v>
      </c>
      <c r="X1457" t="s">
        <v>30446</v>
      </c>
      <c r="Y1457" t="s">
        <v>30447</v>
      </c>
    </row>
    <row r="1458" spans="1:25" x14ac:dyDescent="0.3">
      <c r="A1458">
        <v>72850</v>
      </c>
      <c r="B1458" t="s">
        <v>30448</v>
      </c>
      <c r="C1458" t="s">
        <v>30449</v>
      </c>
      <c r="D1458" t="s">
        <v>30450</v>
      </c>
      <c r="E1458" t="s">
        <v>30451</v>
      </c>
      <c r="F1458" t="s">
        <v>30452</v>
      </c>
      <c r="G1458" t="s">
        <v>30453</v>
      </c>
      <c r="H1458" t="s">
        <v>30454</v>
      </c>
      <c r="I1458" t="s">
        <v>30455</v>
      </c>
      <c r="J1458" t="s">
        <v>30456</v>
      </c>
      <c r="K1458" t="s">
        <v>30457</v>
      </c>
      <c r="L1458" t="s">
        <v>30458</v>
      </c>
      <c r="M1458" t="s">
        <v>30459</v>
      </c>
      <c r="N1458" t="s">
        <v>30460</v>
      </c>
      <c r="O1458">
        <f>-769.759322121518 -58.4767470156746 -726.818983016648</f>
        <v>-1555.0550521538407</v>
      </c>
      <c r="P1458">
        <f>-730.294778717614 -48.2297048341052 -412.93422000642</f>
        <v>-1191.4587035581392</v>
      </c>
      <c r="Q1458">
        <f>-480.345472762115 -39.4577053074788 -341.5865872112</f>
        <v>-861.38976528079377</v>
      </c>
      <c r="R1458" t="s">
        <v>30461</v>
      </c>
      <c r="S1458" t="s">
        <v>30462</v>
      </c>
      <c r="T1458" t="s">
        <v>30463</v>
      </c>
      <c r="U1458" t="s">
        <v>30464</v>
      </c>
      <c r="V1458" t="s">
        <v>30465</v>
      </c>
      <c r="W1458" t="s">
        <v>30466</v>
      </c>
      <c r="X1458" t="s">
        <v>30467</v>
      </c>
      <c r="Y1458" t="s">
        <v>30468</v>
      </c>
    </row>
    <row r="1459" spans="1:25" x14ac:dyDescent="0.3">
      <c r="A1459">
        <v>72900</v>
      </c>
      <c r="B1459" t="s">
        <v>30469</v>
      </c>
      <c r="C1459" t="s">
        <v>30470</v>
      </c>
      <c r="D1459" t="s">
        <v>30471</v>
      </c>
      <c r="E1459" t="s">
        <v>30472</v>
      </c>
      <c r="F1459" t="s">
        <v>30473</v>
      </c>
      <c r="G1459" t="s">
        <v>30474</v>
      </c>
      <c r="H1459" t="s">
        <v>30475</v>
      </c>
      <c r="I1459" t="s">
        <v>30476</v>
      </c>
      <c r="J1459" t="s">
        <v>30477</v>
      </c>
      <c r="K1459" t="s">
        <v>30478</v>
      </c>
      <c r="L1459" t="s">
        <v>30479</v>
      </c>
      <c r="M1459" t="s">
        <v>30480</v>
      </c>
      <c r="N1459" t="s">
        <v>30481</v>
      </c>
      <c r="O1459">
        <f>-770.42154249748 -58.4489926771307 -726.92395588872</f>
        <v>-1555.7944910633307</v>
      </c>
      <c r="P1459">
        <f>-730.385085741147 -48.4850348323735 -413.102482691728</f>
        <v>-1191.9726032652484</v>
      </c>
      <c r="Q1459">
        <f>-480.204309569859 -41.0103790859148 -342.421590563796</f>
        <v>-863.63627921956981</v>
      </c>
      <c r="R1459" t="s">
        <v>30482</v>
      </c>
      <c r="S1459" t="s">
        <v>30483</v>
      </c>
      <c r="T1459" t="s">
        <v>30484</v>
      </c>
      <c r="U1459" t="s">
        <v>30485</v>
      </c>
      <c r="V1459" t="s">
        <v>30486</v>
      </c>
      <c r="W1459" t="s">
        <v>30487</v>
      </c>
      <c r="X1459" t="s">
        <v>30488</v>
      </c>
      <c r="Y1459" t="s">
        <v>30489</v>
      </c>
    </row>
    <row r="1460" spans="1:25" x14ac:dyDescent="0.3">
      <c r="A1460">
        <v>72950</v>
      </c>
      <c r="B1460" t="s">
        <v>30490</v>
      </c>
      <c r="C1460" t="s">
        <v>30491</v>
      </c>
      <c r="D1460" t="s">
        <v>30492</v>
      </c>
      <c r="E1460" t="s">
        <v>30493</v>
      </c>
      <c r="F1460" t="s">
        <v>30494</v>
      </c>
      <c r="G1460" t="s">
        <v>30495</v>
      </c>
      <c r="H1460" t="s">
        <v>30496</v>
      </c>
      <c r="I1460" t="s">
        <v>30497</v>
      </c>
      <c r="J1460" t="s">
        <v>30498</v>
      </c>
      <c r="K1460" t="s">
        <v>30499</v>
      </c>
      <c r="L1460" t="s">
        <v>30500</v>
      </c>
      <c r="M1460" t="s">
        <v>30501</v>
      </c>
      <c r="N1460" t="s">
        <v>30502</v>
      </c>
      <c r="O1460">
        <f>-771.221628859197 -58.6368001896972 -727.015550149897</f>
        <v>-1556.8739791987912</v>
      </c>
      <c r="P1460">
        <f>-730.847644042559 -49.0872325828482 -413.224345231222</f>
        <v>-1193.1592218566291</v>
      </c>
      <c r="Q1460">
        <f>-480.58030687474 -42.8974197821865 -342.726240950868</f>
        <v>-866.20396760779454</v>
      </c>
      <c r="R1460" t="s">
        <v>30503</v>
      </c>
      <c r="S1460" t="s">
        <v>30504</v>
      </c>
      <c r="T1460" t="s">
        <v>30505</v>
      </c>
      <c r="U1460" t="s">
        <v>30506</v>
      </c>
      <c r="V1460" t="s">
        <v>30507</v>
      </c>
      <c r="W1460" t="s">
        <v>30508</v>
      </c>
      <c r="X1460" t="s">
        <v>30509</v>
      </c>
      <c r="Y1460" t="s">
        <v>30510</v>
      </c>
    </row>
    <row r="1461" spans="1:25" x14ac:dyDescent="0.3">
      <c r="A1461">
        <v>73000</v>
      </c>
      <c r="B1461" t="s">
        <v>30511</v>
      </c>
      <c r="C1461" t="s">
        <v>30512</v>
      </c>
      <c r="D1461" t="s">
        <v>30513</v>
      </c>
      <c r="E1461" t="s">
        <v>30514</v>
      </c>
      <c r="F1461" t="s">
        <v>30515</v>
      </c>
      <c r="G1461" t="s">
        <v>30516</v>
      </c>
      <c r="H1461" t="s">
        <v>30517</v>
      </c>
      <c r="I1461" t="s">
        <v>30518</v>
      </c>
      <c r="J1461" t="s">
        <v>30519</v>
      </c>
      <c r="K1461" t="s">
        <v>30520</v>
      </c>
      <c r="L1461" t="s">
        <v>30521</v>
      </c>
      <c r="M1461" t="s">
        <v>30522</v>
      </c>
      <c r="N1461" t="s">
        <v>30523</v>
      </c>
      <c r="O1461">
        <f>-771.576562623227 -58.7124863871218 -727.001422398539</f>
        <v>-1557.2904714088877</v>
      </c>
      <c r="P1461">
        <f>-731.077942822727 -49.2286585482962 -413.224330530137</f>
        <v>-1193.5309319011601</v>
      </c>
      <c r="Q1461">
        <f>-480.768065124279 -43.6619469010936 -342.825152476107</f>
        <v>-867.25516450147961</v>
      </c>
      <c r="R1461" t="s">
        <v>30524</v>
      </c>
      <c r="S1461" t="s">
        <v>30525</v>
      </c>
      <c r="T1461" t="s">
        <v>30526</v>
      </c>
      <c r="U1461" t="s">
        <v>30527</v>
      </c>
      <c r="V1461" t="s">
        <v>30528</v>
      </c>
      <c r="W1461" t="s">
        <v>30529</v>
      </c>
      <c r="X1461" t="s">
        <v>30530</v>
      </c>
      <c r="Y1461" t="s">
        <v>30531</v>
      </c>
    </row>
    <row r="1462" spans="1:25" x14ac:dyDescent="0.3">
      <c r="A1462">
        <v>73050</v>
      </c>
      <c r="B1462" t="s">
        <v>30532</v>
      </c>
      <c r="C1462" t="s">
        <v>30533</v>
      </c>
      <c r="D1462" t="s">
        <v>30534</v>
      </c>
      <c r="E1462" t="s">
        <v>30535</v>
      </c>
      <c r="F1462" t="s">
        <v>30536</v>
      </c>
      <c r="G1462" t="s">
        <v>30537</v>
      </c>
      <c r="H1462" t="s">
        <v>30538</v>
      </c>
      <c r="I1462" t="s">
        <v>30539</v>
      </c>
      <c r="J1462" t="s">
        <v>30540</v>
      </c>
      <c r="K1462" t="s">
        <v>30541</v>
      </c>
      <c r="L1462" t="s">
        <v>30542</v>
      </c>
      <c r="M1462" t="s">
        <v>30543</v>
      </c>
      <c r="N1462" t="s">
        <v>30544</v>
      </c>
      <c r="O1462">
        <f>-772.173217746415 -58.7679269725716 -726.875977283345</f>
        <v>-1557.8171220023316</v>
      </c>
      <c r="P1462">
        <f>-731.464767471569 -48.88074557716 -413.138423314062</f>
        <v>-1193.4839363627909</v>
      </c>
      <c r="Q1462">
        <f>-481.153249281672 -45.0430809112565 -342.630015275291</f>
        <v>-868.82634546821942</v>
      </c>
      <c r="R1462" t="s">
        <v>30545</v>
      </c>
      <c r="S1462" t="s">
        <v>30546</v>
      </c>
      <c r="T1462" t="s">
        <v>30547</v>
      </c>
      <c r="U1462" t="s">
        <v>30548</v>
      </c>
      <c r="V1462" t="s">
        <v>30549</v>
      </c>
      <c r="W1462" t="s">
        <v>30550</v>
      </c>
      <c r="X1462" t="s">
        <v>30551</v>
      </c>
      <c r="Y1462" t="s">
        <v>30552</v>
      </c>
    </row>
    <row r="1463" spans="1:25" x14ac:dyDescent="0.3">
      <c r="A1463">
        <v>73100</v>
      </c>
      <c r="B1463" t="s">
        <v>30553</v>
      </c>
      <c r="C1463" t="s">
        <v>30554</v>
      </c>
      <c r="D1463" t="s">
        <v>30555</v>
      </c>
      <c r="E1463" t="s">
        <v>30556</v>
      </c>
      <c r="F1463" t="s">
        <v>30557</v>
      </c>
      <c r="G1463" t="s">
        <v>30558</v>
      </c>
      <c r="H1463" t="s">
        <v>30559</v>
      </c>
      <c r="I1463" t="s">
        <v>30560</v>
      </c>
      <c r="J1463" t="s">
        <v>30561</v>
      </c>
      <c r="K1463" t="s">
        <v>30562</v>
      </c>
      <c r="L1463" t="s">
        <v>30563</v>
      </c>
      <c r="M1463" t="s">
        <v>30564</v>
      </c>
      <c r="N1463" t="s">
        <v>30565</v>
      </c>
      <c r="O1463">
        <f>-772.402636891194 -58.8268159468955 -726.712574939738</f>
        <v>-1557.9420277778277</v>
      </c>
      <c r="P1463">
        <f>-731.709035154879 -48.3748363345617 -412.991466806343</f>
        <v>-1193.0753382957837</v>
      </c>
      <c r="Q1463">
        <f>-481.400768486943 -45.6907017335443 -342.418252771087</f>
        <v>-869.50972299157434</v>
      </c>
      <c r="R1463" t="s">
        <v>30566</v>
      </c>
      <c r="S1463" t="s">
        <v>30567</v>
      </c>
      <c r="T1463" t="s">
        <v>30568</v>
      </c>
      <c r="U1463" t="s">
        <v>30569</v>
      </c>
      <c r="V1463" t="s">
        <v>30570</v>
      </c>
      <c r="W1463" t="s">
        <v>30571</v>
      </c>
      <c r="X1463" t="s">
        <v>30572</v>
      </c>
      <c r="Y1463" t="s">
        <v>30573</v>
      </c>
    </row>
    <row r="1464" spans="1:25" x14ac:dyDescent="0.3">
      <c r="A1464">
        <v>73150</v>
      </c>
      <c r="B1464" t="s">
        <v>30574</v>
      </c>
      <c r="C1464" t="s">
        <v>30575</v>
      </c>
      <c r="D1464" t="s">
        <v>30576</v>
      </c>
      <c r="E1464" t="s">
        <v>30577</v>
      </c>
      <c r="F1464" t="s">
        <v>30578</v>
      </c>
      <c r="G1464" t="s">
        <v>30579</v>
      </c>
      <c r="H1464" t="s">
        <v>30580</v>
      </c>
      <c r="I1464" t="s">
        <v>30581</v>
      </c>
      <c r="J1464" t="s">
        <v>30582</v>
      </c>
      <c r="K1464" t="s">
        <v>30583</v>
      </c>
      <c r="L1464" t="s">
        <v>30584</v>
      </c>
      <c r="M1464" t="s">
        <v>30585</v>
      </c>
      <c r="N1464" t="s">
        <v>30586</v>
      </c>
      <c r="O1464">
        <f>-772.847576902587 -59.1026400045575 -726.272068052098</f>
        <v>-1558.2222849592426</v>
      </c>
      <c r="P1464">
        <f>-732.074721782591 -47.1088168990323 -412.616293985973</f>
        <v>-1191.7998326675963</v>
      </c>
      <c r="Q1464">
        <f>-482.131093500691 -46.9216617657196 -340.712259859906</f>
        <v>-869.7650151263166</v>
      </c>
      <c r="R1464" t="s">
        <v>30587</v>
      </c>
      <c r="S1464" t="s">
        <v>30588</v>
      </c>
      <c r="T1464" t="s">
        <v>30589</v>
      </c>
      <c r="U1464" t="s">
        <v>30590</v>
      </c>
      <c r="V1464" t="s">
        <v>30591</v>
      </c>
      <c r="W1464" t="s">
        <v>30592</v>
      </c>
      <c r="X1464" t="s">
        <v>30593</v>
      </c>
      <c r="Y1464" t="s">
        <v>30594</v>
      </c>
    </row>
    <row r="1465" spans="1:25" x14ac:dyDescent="0.3">
      <c r="A1465">
        <v>73200</v>
      </c>
      <c r="B1465" t="s">
        <v>30595</v>
      </c>
      <c r="C1465" t="s">
        <v>30596</v>
      </c>
      <c r="D1465" t="s">
        <v>30597</v>
      </c>
      <c r="E1465" t="s">
        <v>30598</v>
      </c>
      <c r="F1465" t="s">
        <v>30599</v>
      </c>
      <c r="G1465" t="s">
        <v>30600</v>
      </c>
      <c r="H1465" t="s">
        <v>30601</v>
      </c>
      <c r="I1465" t="s">
        <v>30602</v>
      </c>
      <c r="J1465" t="s">
        <v>30603</v>
      </c>
      <c r="K1465" t="s">
        <v>30604</v>
      </c>
      <c r="L1465" t="s">
        <v>30605</v>
      </c>
      <c r="M1465" t="s">
        <v>30606</v>
      </c>
      <c r="N1465" t="s">
        <v>30607</v>
      </c>
      <c r="O1465">
        <f>-772.958243327582 -59.1740939876654 -726.060092766095</f>
        <v>-1558.1924300813423</v>
      </c>
      <c r="P1465">
        <f>-732.943398439293 -46.5985663079416 -412.329598063404</f>
        <v>-1191.8715628106386</v>
      </c>
      <c r="Q1465">
        <f>-483.475819053196 -44.8340719516393 -338.811674583345</f>
        <v>-867.12156558818037</v>
      </c>
      <c r="R1465" t="s">
        <v>30608</v>
      </c>
      <c r="S1465" t="s">
        <v>30609</v>
      </c>
      <c r="T1465" t="s">
        <v>30610</v>
      </c>
      <c r="U1465" t="s">
        <v>30611</v>
      </c>
      <c r="V1465" t="s">
        <v>30612</v>
      </c>
      <c r="W1465" t="s">
        <v>30613</v>
      </c>
      <c r="X1465" t="s">
        <v>30614</v>
      </c>
      <c r="Y1465" t="s">
        <v>30615</v>
      </c>
    </row>
    <row r="1466" spans="1:25" x14ac:dyDescent="0.3">
      <c r="A1466">
        <v>73250</v>
      </c>
      <c r="B1466" t="s">
        <v>30616</v>
      </c>
      <c r="C1466" t="s">
        <v>30617</v>
      </c>
      <c r="D1466" t="s">
        <v>30618</v>
      </c>
      <c r="E1466" t="s">
        <v>30619</v>
      </c>
      <c r="F1466" t="s">
        <v>30620</v>
      </c>
      <c r="G1466" t="s">
        <v>30621</v>
      </c>
      <c r="H1466" t="s">
        <v>30622</v>
      </c>
      <c r="I1466" t="s">
        <v>30623</v>
      </c>
      <c r="J1466" t="s">
        <v>30624</v>
      </c>
      <c r="K1466" t="s">
        <v>30625</v>
      </c>
      <c r="L1466" t="s">
        <v>30626</v>
      </c>
      <c r="M1466" t="s">
        <v>30627</v>
      </c>
      <c r="N1466" t="s">
        <v>30628</v>
      </c>
      <c r="O1466">
        <f>-773.053057173961 -59.304471016422 -725.669581561848</f>
        <v>-1558.0271097522309</v>
      </c>
      <c r="P1466">
        <f>-734.358457466137 -44.1044471366031 -411.889579962651</f>
        <v>-1190.352484565391</v>
      </c>
      <c r="Q1466">
        <f>-485.813999186623 -39.605958050694 -335.420524386123</f>
        <v>-860.84048162344004</v>
      </c>
      <c r="R1466" t="s">
        <v>30629</v>
      </c>
      <c r="S1466" t="s">
        <v>30630</v>
      </c>
      <c r="T1466" t="s">
        <v>30631</v>
      </c>
      <c r="U1466" t="s">
        <v>30632</v>
      </c>
      <c r="V1466" t="s">
        <v>30633</v>
      </c>
      <c r="W1466" t="s">
        <v>30634</v>
      </c>
      <c r="X1466" t="s">
        <v>30635</v>
      </c>
      <c r="Y1466" t="s">
        <v>30636</v>
      </c>
    </row>
    <row r="1467" spans="1:25" x14ac:dyDescent="0.3">
      <c r="A1467">
        <v>73300</v>
      </c>
      <c r="B1467" t="s">
        <v>30637</v>
      </c>
      <c r="C1467" t="s">
        <v>30638</v>
      </c>
      <c r="D1467" t="s">
        <v>30639</v>
      </c>
      <c r="E1467" t="s">
        <v>30640</v>
      </c>
      <c r="F1467" t="s">
        <v>30641</v>
      </c>
      <c r="G1467" t="s">
        <v>30642</v>
      </c>
      <c r="H1467" t="s">
        <v>30643</v>
      </c>
      <c r="I1467" t="s">
        <v>30644</v>
      </c>
      <c r="J1467" t="s">
        <v>30645</v>
      </c>
      <c r="K1467" t="s">
        <v>30646</v>
      </c>
      <c r="L1467" t="s">
        <v>30647</v>
      </c>
      <c r="M1467" t="s">
        <v>30648</v>
      </c>
      <c r="N1467" t="s">
        <v>30649</v>
      </c>
      <c r="O1467">
        <f>-773.287115914698 -59.1859257709634 -725.458421667457</f>
        <v>-1557.9314633531185</v>
      </c>
      <c r="P1467">
        <f>-734.23988422043 -43.357955386997 -411.753233390761</f>
        <v>-1189.3510729981881</v>
      </c>
      <c r="Q1467">
        <f>-485.686579483696 -37.7530447076617 -335.386149811496</f>
        <v>-858.82577400285368</v>
      </c>
      <c r="R1467" t="s">
        <v>30650</v>
      </c>
      <c r="S1467" t="s">
        <v>30651</v>
      </c>
      <c r="T1467" t="s">
        <v>30652</v>
      </c>
      <c r="U1467" t="s">
        <v>30653</v>
      </c>
      <c r="V1467" t="s">
        <v>30654</v>
      </c>
      <c r="W1467" t="s">
        <v>30655</v>
      </c>
      <c r="X1467" t="s">
        <v>30656</v>
      </c>
      <c r="Y1467" t="s">
        <v>30657</v>
      </c>
    </row>
    <row r="1468" spans="1:25" x14ac:dyDescent="0.3">
      <c r="A1468">
        <v>73350</v>
      </c>
      <c r="B1468" t="s">
        <v>30658</v>
      </c>
      <c r="C1468" t="s">
        <v>30659</v>
      </c>
      <c r="D1468" t="s">
        <v>30660</v>
      </c>
      <c r="E1468" t="s">
        <v>30661</v>
      </c>
      <c r="F1468" t="s">
        <v>30662</v>
      </c>
      <c r="G1468" t="s">
        <v>30663</v>
      </c>
      <c r="H1468" t="s">
        <v>30664</v>
      </c>
      <c r="I1468" t="s">
        <v>30665</v>
      </c>
      <c r="J1468" t="s">
        <v>30666</v>
      </c>
      <c r="K1468" t="s">
        <v>30667</v>
      </c>
      <c r="L1468" t="s">
        <v>30668</v>
      </c>
      <c r="M1468" t="s">
        <v>30669</v>
      </c>
      <c r="N1468" t="s">
        <v>30670</v>
      </c>
      <c r="O1468">
        <f>-773.732099174822 -58.9292969881594 -725.053515131501</f>
        <v>-1557.7149112944824</v>
      </c>
      <c r="P1468">
        <f>-734.584202784127 -41.8180880668563 -411.428133678989</f>
        <v>-1187.8304245299723</v>
      </c>
      <c r="Q1468">
        <f>-485.829478267298 -35.4253836184241 -335.782286422012</f>
        <v>-857.03714830773413</v>
      </c>
      <c r="R1468" t="s">
        <v>30671</v>
      </c>
      <c r="S1468" t="s">
        <v>30672</v>
      </c>
      <c r="T1468" t="s">
        <v>30673</v>
      </c>
      <c r="U1468" t="s">
        <v>30674</v>
      </c>
      <c r="V1468" t="s">
        <v>30675</v>
      </c>
      <c r="W1468" t="s">
        <v>30676</v>
      </c>
      <c r="X1468" t="s">
        <v>30677</v>
      </c>
      <c r="Y1468" t="s">
        <v>30678</v>
      </c>
    </row>
    <row r="1469" spans="1:25" x14ac:dyDescent="0.3">
      <c r="A1469">
        <v>73400</v>
      </c>
      <c r="B1469" t="s">
        <v>30679</v>
      </c>
      <c r="C1469" t="s">
        <v>30680</v>
      </c>
      <c r="D1469" t="s">
        <v>30681</v>
      </c>
      <c r="E1469" t="s">
        <v>30682</v>
      </c>
      <c r="F1469" t="s">
        <v>30683</v>
      </c>
      <c r="G1469" t="s">
        <v>30684</v>
      </c>
      <c r="H1469" t="s">
        <v>30685</v>
      </c>
      <c r="I1469" t="s">
        <v>30686</v>
      </c>
      <c r="J1469" t="s">
        <v>30687</v>
      </c>
      <c r="K1469" t="s">
        <v>30688</v>
      </c>
      <c r="L1469" t="s">
        <v>30689</v>
      </c>
      <c r="M1469" t="s">
        <v>30690</v>
      </c>
      <c r="N1469" t="s">
        <v>30691</v>
      </c>
      <c r="O1469">
        <f>-773.919661131486 -58.6986843950181 -724.92576697102</f>
        <v>-1557.5441124975241</v>
      </c>
      <c r="P1469">
        <f>-734.502168831795 -41.674845058812 -411.329421229767</f>
        <v>-1187.5064351203739</v>
      </c>
      <c r="Q1469">
        <f>-485.595826961701 -35.1666639468658 -336.194222005746</f>
        <v>-856.95671291431267</v>
      </c>
      <c r="R1469" t="s">
        <v>30692</v>
      </c>
      <c r="S1469" t="s">
        <v>30693</v>
      </c>
      <c r="T1469" t="s">
        <v>30694</v>
      </c>
      <c r="U1469" t="s">
        <v>30695</v>
      </c>
      <c r="V1469" t="s">
        <v>30696</v>
      </c>
      <c r="W1469" t="s">
        <v>30697</v>
      </c>
      <c r="X1469" t="s">
        <v>30698</v>
      </c>
      <c r="Y1469" t="s">
        <v>30699</v>
      </c>
    </row>
    <row r="1470" spans="1:25" x14ac:dyDescent="0.3">
      <c r="A1470">
        <v>73450</v>
      </c>
      <c r="B1470" t="s">
        <v>30700</v>
      </c>
      <c r="C1470" t="s">
        <v>30701</v>
      </c>
      <c r="D1470" t="s">
        <v>30702</v>
      </c>
      <c r="E1470" t="s">
        <v>30703</v>
      </c>
      <c r="F1470" t="s">
        <v>30704</v>
      </c>
      <c r="G1470" t="s">
        <v>30705</v>
      </c>
      <c r="H1470" t="s">
        <v>30706</v>
      </c>
      <c r="I1470" t="s">
        <v>30707</v>
      </c>
      <c r="J1470" t="s">
        <v>30708</v>
      </c>
      <c r="K1470" t="s">
        <v>30709</v>
      </c>
      <c r="L1470" t="s">
        <v>30710</v>
      </c>
      <c r="M1470" t="s">
        <v>30711</v>
      </c>
      <c r="N1470" t="s">
        <v>30712</v>
      </c>
      <c r="O1470">
        <f>-774.713184717888 -58.1870054415622 -724.732879097049</f>
        <v>-1557.6330692564993</v>
      </c>
      <c r="P1470">
        <f>-735.281720173095 -41.7562853064132 -411.106658681812</f>
        <v>-1188.1446641613202</v>
      </c>
      <c r="Q1470">
        <f>-486.013416497118 -37.2557527370941 -337.031427709554</f>
        <v>-860.3005969437661</v>
      </c>
      <c r="R1470" t="s">
        <v>30713</v>
      </c>
      <c r="S1470" t="s">
        <v>30714</v>
      </c>
      <c r="T1470" t="s">
        <v>30715</v>
      </c>
      <c r="U1470" t="s">
        <v>30716</v>
      </c>
      <c r="V1470" t="s">
        <v>30717</v>
      </c>
      <c r="W1470" t="s">
        <v>30718</v>
      </c>
      <c r="X1470" t="s">
        <v>30719</v>
      </c>
      <c r="Y1470" t="s">
        <v>30720</v>
      </c>
    </row>
    <row r="1471" spans="1:25" x14ac:dyDescent="0.3">
      <c r="A1471">
        <v>73500</v>
      </c>
      <c r="B1471" t="s">
        <v>30721</v>
      </c>
      <c r="C1471" t="s">
        <v>30722</v>
      </c>
      <c r="D1471" t="s">
        <v>30723</v>
      </c>
      <c r="E1471" t="s">
        <v>30724</v>
      </c>
      <c r="F1471" t="s">
        <v>30725</v>
      </c>
      <c r="G1471" t="s">
        <v>30726</v>
      </c>
      <c r="H1471" t="s">
        <v>30727</v>
      </c>
      <c r="I1471" t="s">
        <v>30728</v>
      </c>
      <c r="J1471" t="s">
        <v>30729</v>
      </c>
      <c r="K1471" t="s">
        <v>30730</v>
      </c>
      <c r="L1471" t="s">
        <v>30731</v>
      </c>
      <c r="M1471" t="s">
        <v>30732</v>
      </c>
      <c r="N1471" t="s">
        <v>30733</v>
      </c>
      <c r="O1471">
        <f>-775.176482041765 -57.7084401075167 -724.684876683212</f>
        <v>-1557.5697988324937</v>
      </c>
      <c r="P1471">
        <f>-735.838470446189 -41.7916049207815 -411.02036439176</f>
        <v>-1188.6504397587305</v>
      </c>
      <c r="Q1471">
        <f>-486.391425540603 -36.7599796292936 -337.584169245404</f>
        <v>-860.73557441530056</v>
      </c>
      <c r="R1471" t="s">
        <v>30734</v>
      </c>
      <c r="S1471" t="s">
        <v>30735</v>
      </c>
      <c r="T1471" t="s">
        <v>30736</v>
      </c>
      <c r="U1471" t="s">
        <v>30737</v>
      </c>
      <c r="V1471" t="s">
        <v>30738</v>
      </c>
      <c r="W1471" t="s">
        <v>30739</v>
      </c>
      <c r="X1471" t="s">
        <v>30740</v>
      </c>
      <c r="Y1471" t="s">
        <v>30741</v>
      </c>
    </row>
    <row r="1472" spans="1:25" x14ac:dyDescent="0.3">
      <c r="A1472">
        <v>73550</v>
      </c>
      <c r="B1472" t="s">
        <v>30742</v>
      </c>
      <c r="C1472" t="s">
        <v>30743</v>
      </c>
      <c r="D1472" t="s">
        <v>30744</v>
      </c>
      <c r="E1472" t="s">
        <v>30745</v>
      </c>
      <c r="F1472" t="s">
        <v>30746</v>
      </c>
      <c r="G1472" t="s">
        <v>30747</v>
      </c>
      <c r="H1472" t="s">
        <v>30748</v>
      </c>
      <c r="I1472" t="s">
        <v>30749</v>
      </c>
      <c r="J1472" t="s">
        <v>30750</v>
      </c>
      <c r="K1472" t="s">
        <v>30751</v>
      </c>
      <c r="L1472" t="s">
        <v>30752</v>
      </c>
      <c r="M1472" t="s">
        <v>30753</v>
      </c>
      <c r="N1472" t="s">
        <v>30754</v>
      </c>
      <c r="O1472">
        <f>-776.553076020787 -57.2162543041866 -724.404916825564</f>
        <v>-1558.1742471505377</v>
      </c>
      <c r="P1472">
        <f>-736.972240920999 -41.5831342751478 -410.756747196537</f>
        <v>-1189.3121223926837</v>
      </c>
      <c r="Q1472">
        <f>-486.731296450007 -36.1140722791999 -340.105481935571</f>
        <v>-862.95085066477793</v>
      </c>
      <c r="R1472" t="s">
        <v>30755</v>
      </c>
      <c r="S1472" t="s">
        <v>30756</v>
      </c>
      <c r="T1472" t="s">
        <v>30757</v>
      </c>
      <c r="U1472" t="s">
        <v>30758</v>
      </c>
      <c r="V1472" t="s">
        <v>30759</v>
      </c>
      <c r="W1472" t="s">
        <v>30760</v>
      </c>
      <c r="X1472" t="s">
        <v>30761</v>
      </c>
      <c r="Y1472" t="s">
        <v>30762</v>
      </c>
    </row>
    <row r="1473" spans="1:25" x14ac:dyDescent="0.3">
      <c r="A1473">
        <v>73600</v>
      </c>
      <c r="B1473" t="s">
        <v>30763</v>
      </c>
      <c r="C1473" t="s">
        <v>30764</v>
      </c>
      <c r="D1473" t="s">
        <v>30765</v>
      </c>
      <c r="E1473" t="s">
        <v>30766</v>
      </c>
      <c r="F1473" t="s">
        <v>30767</v>
      </c>
      <c r="G1473" t="s">
        <v>30768</v>
      </c>
      <c r="H1473" t="s">
        <v>30769</v>
      </c>
      <c r="I1473" t="s">
        <v>30770</v>
      </c>
      <c r="J1473" t="s">
        <v>30771</v>
      </c>
      <c r="K1473" t="s">
        <v>30772</v>
      </c>
      <c r="L1473" t="s">
        <v>30773</v>
      </c>
      <c r="M1473" t="s">
        <v>30774</v>
      </c>
      <c r="N1473" t="s">
        <v>30775</v>
      </c>
      <c r="O1473">
        <f>-777.384100224394 -56.8911011250468 -724.322970269372</f>
        <v>-1558.598171618813</v>
      </c>
      <c r="P1473">
        <f>-737.123562498245 -41.2275876714505 -410.762949489193</f>
        <v>-1189.1140996588883</v>
      </c>
      <c r="Q1473">
        <f>-486.531486304831 -36.2617922721786 -341.329325223023</f>
        <v>-864.12260380003249</v>
      </c>
      <c r="R1473" t="s">
        <v>30776</v>
      </c>
      <c r="S1473" t="s">
        <v>30777</v>
      </c>
      <c r="T1473" t="s">
        <v>30778</v>
      </c>
      <c r="U1473" t="s">
        <v>30779</v>
      </c>
      <c r="V1473" t="s">
        <v>30780</v>
      </c>
      <c r="W1473" t="s">
        <v>30781</v>
      </c>
      <c r="X1473" t="s">
        <v>30782</v>
      </c>
      <c r="Y1473" t="s">
        <v>30783</v>
      </c>
    </row>
    <row r="1474" spans="1:25" x14ac:dyDescent="0.3">
      <c r="A1474">
        <v>73650</v>
      </c>
      <c r="B1474" t="s">
        <v>30784</v>
      </c>
      <c r="C1474" t="s">
        <v>30785</v>
      </c>
      <c r="D1474" t="s">
        <v>30786</v>
      </c>
      <c r="E1474" t="s">
        <v>30787</v>
      </c>
      <c r="F1474" t="s">
        <v>30788</v>
      </c>
      <c r="G1474" t="s">
        <v>30789</v>
      </c>
      <c r="H1474" t="s">
        <v>30790</v>
      </c>
      <c r="I1474" t="s">
        <v>30791</v>
      </c>
      <c r="J1474" t="s">
        <v>30792</v>
      </c>
      <c r="K1474" t="s">
        <v>30793</v>
      </c>
      <c r="L1474" t="s">
        <v>30794</v>
      </c>
      <c r="M1474" t="s">
        <v>30795</v>
      </c>
      <c r="N1474" t="s">
        <v>30796</v>
      </c>
      <c r="O1474">
        <f>-779.129148547863 -56.2797066739947 -724.206665276601</f>
        <v>-1559.6155204984589</v>
      </c>
      <c r="P1474">
        <f>-738.104708029853 -40.8768735390511 -410.732584654078</f>
        <v>-1189.7141662229819</v>
      </c>
      <c r="Q1474">
        <f>-487.211860218215 -36.7984640544958 -342.335143940307</f>
        <v>-866.34546821301774</v>
      </c>
      <c r="R1474" t="s">
        <v>30797</v>
      </c>
      <c r="S1474" t="s">
        <v>30798</v>
      </c>
      <c r="T1474" t="s">
        <v>30799</v>
      </c>
      <c r="U1474" t="s">
        <v>30800</v>
      </c>
      <c r="V1474" t="s">
        <v>30801</v>
      </c>
      <c r="W1474" t="s">
        <v>30802</v>
      </c>
      <c r="X1474" t="s">
        <v>30803</v>
      </c>
      <c r="Y1474" t="s">
        <v>30804</v>
      </c>
    </row>
    <row r="1475" spans="1:25" x14ac:dyDescent="0.3">
      <c r="A1475">
        <v>73700</v>
      </c>
      <c r="B1475" t="s">
        <v>30805</v>
      </c>
      <c r="C1475" t="s">
        <v>30806</v>
      </c>
      <c r="D1475" t="s">
        <v>30807</v>
      </c>
      <c r="E1475" t="s">
        <v>30808</v>
      </c>
      <c r="F1475" t="s">
        <v>30809</v>
      </c>
      <c r="G1475" t="s">
        <v>30810</v>
      </c>
      <c r="H1475" t="s">
        <v>30811</v>
      </c>
      <c r="I1475" t="s">
        <v>30812</v>
      </c>
      <c r="J1475" t="s">
        <v>30813</v>
      </c>
      <c r="K1475" t="s">
        <v>30814</v>
      </c>
      <c r="L1475" t="s">
        <v>30815</v>
      </c>
      <c r="M1475" t="s">
        <v>30816</v>
      </c>
      <c r="N1475" t="s">
        <v>30817</v>
      </c>
      <c r="O1475">
        <f>-780.07490072421 -56.1301088580001 -724.040916190736</f>
        <v>-1560.2459257729461</v>
      </c>
      <c r="P1475">
        <f>-738.914029037468 -40.5380119209115 -410.594183788726</f>
        <v>-1190.0462247471055</v>
      </c>
      <c r="Q1475">
        <f>-487.9337282077 -36.3901331451921 -342.522464703361</f>
        <v>-866.84632605625302</v>
      </c>
      <c r="R1475" t="s">
        <v>30818</v>
      </c>
      <c r="S1475" t="s">
        <v>30819</v>
      </c>
      <c r="T1475" t="s">
        <v>30820</v>
      </c>
      <c r="U1475" t="s">
        <v>30821</v>
      </c>
      <c r="V1475" t="s">
        <v>30822</v>
      </c>
      <c r="W1475" t="s">
        <v>30823</v>
      </c>
      <c r="X1475" t="s">
        <v>30824</v>
      </c>
      <c r="Y1475" t="s">
        <v>30825</v>
      </c>
    </row>
    <row r="1476" spans="1:25" x14ac:dyDescent="0.3">
      <c r="A1476">
        <v>73750</v>
      </c>
      <c r="B1476" t="s">
        <v>30826</v>
      </c>
      <c r="C1476" t="s">
        <v>30827</v>
      </c>
      <c r="D1476" t="s">
        <v>30828</v>
      </c>
      <c r="E1476" t="s">
        <v>30829</v>
      </c>
      <c r="F1476" t="s">
        <v>30830</v>
      </c>
      <c r="G1476" t="s">
        <v>30831</v>
      </c>
      <c r="H1476" t="s">
        <v>30832</v>
      </c>
      <c r="I1476" t="s">
        <v>30833</v>
      </c>
      <c r="J1476" t="s">
        <v>30834</v>
      </c>
      <c r="K1476" t="s">
        <v>30835</v>
      </c>
      <c r="L1476" t="s">
        <v>30836</v>
      </c>
      <c r="M1476" t="s">
        <v>30837</v>
      </c>
      <c r="N1476" t="s">
        <v>30838</v>
      </c>
      <c r="O1476">
        <f>-781.760912735871 -55.9245928935272 -723.578323873488</f>
        <v>-1561.2638295028862</v>
      </c>
      <c r="P1476">
        <f>-739.928733605264 -40.1326239957814 -410.2304264617</f>
        <v>-1190.2917840627454</v>
      </c>
      <c r="Q1476">
        <f>-488.804826450911 -36.295633662497 -342.67222907988</f>
        <v>-867.77268919328799</v>
      </c>
      <c r="R1476" t="s">
        <v>30839</v>
      </c>
      <c r="S1476" t="s">
        <v>30840</v>
      </c>
      <c r="T1476" t="s">
        <v>30841</v>
      </c>
      <c r="U1476" t="s">
        <v>30842</v>
      </c>
      <c r="V1476" t="s">
        <v>30843</v>
      </c>
      <c r="W1476" t="s">
        <v>30844</v>
      </c>
      <c r="X1476" t="s">
        <v>30845</v>
      </c>
      <c r="Y1476" t="s">
        <v>30846</v>
      </c>
    </row>
    <row r="1477" spans="1:25" x14ac:dyDescent="0.3">
      <c r="A1477">
        <v>73800</v>
      </c>
      <c r="B1477" t="s">
        <v>30847</v>
      </c>
      <c r="C1477" t="s">
        <v>30848</v>
      </c>
      <c r="D1477" t="s">
        <v>30849</v>
      </c>
      <c r="E1477" t="s">
        <v>30850</v>
      </c>
      <c r="F1477" t="s">
        <v>30851</v>
      </c>
      <c r="G1477" t="s">
        <v>30852</v>
      </c>
      <c r="H1477" t="s">
        <v>30853</v>
      </c>
      <c r="I1477" t="s">
        <v>30854</v>
      </c>
      <c r="J1477" t="s">
        <v>30855</v>
      </c>
      <c r="K1477" t="s">
        <v>30856</v>
      </c>
      <c r="L1477" t="s">
        <v>30857</v>
      </c>
      <c r="M1477" t="s">
        <v>30858</v>
      </c>
      <c r="N1477" t="s">
        <v>30859</v>
      </c>
      <c r="O1477">
        <f>-782.827079775338 -55.728493742886 -723.281700901758</f>
        <v>-1561.8372744199819</v>
      </c>
      <c r="P1477">
        <f>-740.744524219066 -39.5058177909311 -409.989354576468</f>
        <v>-1190.239696586465</v>
      </c>
      <c r="Q1477">
        <f>-489.663134860425 -36.0610681277035 -342.252219145008</f>
        <v>-867.97642213313645</v>
      </c>
      <c r="R1477" t="s">
        <v>30860</v>
      </c>
      <c r="S1477" t="s">
        <v>30861</v>
      </c>
      <c r="T1477" t="s">
        <v>30862</v>
      </c>
      <c r="U1477" t="s">
        <v>30863</v>
      </c>
      <c r="V1477" t="s">
        <v>30864</v>
      </c>
      <c r="W1477" t="s">
        <v>30865</v>
      </c>
      <c r="X1477" t="s">
        <v>30866</v>
      </c>
      <c r="Y1477" t="s">
        <v>30867</v>
      </c>
    </row>
    <row r="1478" spans="1:25" x14ac:dyDescent="0.3">
      <c r="A1478">
        <v>73850</v>
      </c>
      <c r="B1478" t="s">
        <v>30868</v>
      </c>
      <c r="C1478" t="s">
        <v>30869</v>
      </c>
      <c r="D1478" t="s">
        <v>30870</v>
      </c>
      <c r="E1478" t="s">
        <v>30871</v>
      </c>
      <c r="F1478" t="s">
        <v>30872</v>
      </c>
      <c r="G1478" t="s">
        <v>30873</v>
      </c>
      <c r="H1478" t="s">
        <v>30874</v>
      </c>
      <c r="I1478" t="s">
        <v>30875</v>
      </c>
      <c r="J1478" t="s">
        <v>30876</v>
      </c>
      <c r="K1478" t="s">
        <v>30877</v>
      </c>
      <c r="L1478" t="s">
        <v>30878</v>
      </c>
      <c r="M1478" t="s">
        <v>30879</v>
      </c>
      <c r="N1478" t="s">
        <v>30880</v>
      </c>
      <c r="O1478">
        <f>-785.010575045404 -55.1165893255236 -722.612979560633</f>
        <v>-1562.7401439315606</v>
      </c>
      <c r="P1478">
        <f>-742.021899827791 -38.3831935284672 -409.47057198402</f>
        <v>-1189.8756653402784</v>
      </c>
      <c r="Q1478">
        <f>-490.819604759598 -36.2522459388174 -342.128946206417</f>
        <v>-869.20079690483249</v>
      </c>
      <c r="R1478" t="s">
        <v>30881</v>
      </c>
      <c r="S1478" t="s">
        <v>30882</v>
      </c>
      <c r="T1478" t="s">
        <v>30883</v>
      </c>
      <c r="U1478" t="s">
        <v>30884</v>
      </c>
      <c r="V1478" t="s">
        <v>30885</v>
      </c>
      <c r="W1478" t="s">
        <v>30886</v>
      </c>
      <c r="X1478" t="s">
        <v>30887</v>
      </c>
      <c r="Y1478" t="s">
        <v>30888</v>
      </c>
    </row>
    <row r="1479" spans="1:25" x14ac:dyDescent="0.3">
      <c r="A1479">
        <v>73900</v>
      </c>
      <c r="B1479" t="s">
        <v>30889</v>
      </c>
      <c r="C1479" t="s">
        <v>30890</v>
      </c>
      <c r="D1479" t="s">
        <v>30891</v>
      </c>
      <c r="E1479" t="s">
        <v>30892</v>
      </c>
      <c r="F1479" t="s">
        <v>30893</v>
      </c>
      <c r="G1479" t="s">
        <v>30894</v>
      </c>
      <c r="H1479" t="s">
        <v>30895</v>
      </c>
      <c r="I1479" t="s">
        <v>30896</v>
      </c>
      <c r="J1479" t="s">
        <v>30897</v>
      </c>
      <c r="K1479" t="s">
        <v>30898</v>
      </c>
      <c r="L1479" t="s">
        <v>30899</v>
      </c>
      <c r="M1479" t="s">
        <v>30900</v>
      </c>
      <c r="N1479" t="s">
        <v>30901</v>
      </c>
      <c r="O1479">
        <f>-786.084126237892 -54.6255315809344 -722.215901919583</f>
        <v>-1562.9255597384094</v>
      </c>
      <c r="P1479">
        <f>-742.492144125114 -37.7304487922734 -409.165599973687</f>
        <v>-1189.3881928910744</v>
      </c>
      <c r="Q1479">
        <f>-491.142486194993 -36.4725927050215 -342.35347038583</f>
        <v>-869.96854928584457</v>
      </c>
      <c r="R1479" t="s">
        <v>30902</v>
      </c>
      <c r="S1479" t="s">
        <v>30903</v>
      </c>
      <c r="T1479" t="s">
        <v>30904</v>
      </c>
      <c r="U1479" t="s">
        <v>30905</v>
      </c>
      <c r="V1479" t="s">
        <v>30906</v>
      </c>
      <c r="W1479" t="s">
        <v>30907</v>
      </c>
      <c r="X1479" t="s">
        <v>30908</v>
      </c>
      <c r="Y1479" t="s">
        <v>30909</v>
      </c>
    </row>
    <row r="1480" spans="1:25" x14ac:dyDescent="0.3">
      <c r="A1480">
        <v>73950</v>
      </c>
      <c r="B1480" t="s">
        <v>30910</v>
      </c>
      <c r="C1480" t="s">
        <v>30911</v>
      </c>
      <c r="D1480" t="s">
        <v>30912</v>
      </c>
      <c r="E1480" t="s">
        <v>30913</v>
      </c>
      <c r="F1480" t="s">
        <v>30914</v>
      </c>
      <c r="G1480" t="s">
        <v>30915</v>
      </c>
      <c r="H1480" t="s">
        <v>30916</v>
      </c>
      <c r="I1480" t="s">
        <v>30917</v>
      </c>
      <c r="J1480" t="s">
        <v>30918</v>
      </c>
      <c r="K1480" t="s">
        <v>30919</v>
      </c>
      <c r="L1480" t="s">
        <v>30920</v>
      </c>
      <c r="M1480" t="s">
        <v>30921</v>
      </c>
      <c r="N1480" t="s">
        <v>30922</v>
      </c>
      <c r="O1480">
        <f>-788.466826841424 -53.7709693179452 -721.091141027807</f>
        <v>-1563.3289371871761</v>
      </c>
      <c r="P1480">
        <f>-743.216135048184 -36.5412430370698 -408.294515974356</f>
        <v>-1188.0518940596098</v>
      </c>
      <c r="Q1480">
        <f>-491.598361686781 -38.0512658187429 -342.504999506704</f>
        <v>-872.15462701222782</v>
      </c>
      <c r="R1480" t="s">
        <v>30923</v>
      </c>
      <c r="S1480" t="s">
        <v>30924</v>
      </c>
      <c r="T1480" t="s">
        <v>30925</v>
      </c>
      <c r="U1480" t="s">
        <v>30926</v>
      </c>
      <c r="V1480" t="s">
        <v>30927</v>
      </c>
      <c r="W1480" t="s">
        <v>30928</v>
      </c>
      <c r="X1480" t="s">
        <v>30929</v>
      </c>
      <c r="Y1480" t="s">
        <v>30930</v>
      </c>
    </row>
    <row r="1481" spans="1:25" x14ac:dyDescent="0.3">
      <c r="A1481">
        <v>74000</v>
      </c>
      <c r="B1481" t="s">
        <v>30931</v>
      </c>
      <c r="C1481" t="s">
        <v>30932</v>
      </c>
      <c r="D1481" t="s">
        <v>30933</v>
      </c>
      <c r="E1481" t="s">
        <v>30934</v>
      </c>
      <c r="F1481" t="s">
        <v>30935</v>
      </c>
      <c r="G1481" t="s">
        <v>30936</v>
      </c>
      <c r="H1481" t="s">
        <v>30937</v>
      </c>
      <c r="I1481" t="s">
        <v>30938</v>
      </c>
      <c r="J1481" t="s">
        <v>30939</v>
      </c>
      <c r="K1481" t="s">
        <v>30940</v>
      </c>
      <c r="L1481" t="s">
        <v>30941</v>
      </c>
      <c r="M1481" t="s">
        <v>30942</v>
      </c>
      <c r="N1481" t="s">
        <v>30943</v>
      </c>
      <c r="O1481">
        <f>-789.597051561217 -53.4638087031326 -720.457893159796</f>
        <v>-1563.5187534241454</v>
      </c>
      <c r="P1481">
        <f>-743.566443470336 -36.1976874295515 -407.777134869089</f>
        <v>-1187.5412657689765</v>
      </c>
      <c r="Q1481">
        <f>-491.713847056338 -39.1597423935914 -342.94234636638</f>
        <v>-873.81593581630943</v>
      </c>
      <c r="R1481" t="s">
        <v>30944</v>
      </c>
      <c r="S1481" t="s">
        <v>30945</v>
      </c>
      <c r="T1481" t="s">
        <v>30946</v>
      </c>
      <c r="U1481" t="s">
        <v>30947</v>
      </c>
      <c r="V1481" t="s">
        <v>30948</v>
      </c>
      <c r="W1481" t="s">
        <v>30949</v>
      </c>
      <c r="X1481" t="s">
        <v>30950</v>
      </c>
      <c r="Y1481" t="s">
        <v>30951</v>
      </c>
    </row>
    <row r="1482" spans="1:25" x14ac:dyDescent="0.3">
      <c r="A1482">
        <v>74050</v>
      </c>
      <c r="B1482" t="s">
        <v>30952</v>
      </c>
      <c r="C1482" t="s">
        <v>30953</v>
      </c>
      <c r="D1482" t="s">
        <v>30954</v>
      </c>
      <c r="E1482" t="s">
        <v>30955</v>
      </c>
      <c r="F1482" t="s">
        <v>30956</v>
      </c>
      <c r="G1482" t="s">
        <v>30957</v>
      </c>
      <c r="H1482" t="s">
        <v>30958</v>
      </c>
      <c r="I1482" t="s">
        <v>30959</v>
      </c>
      <c r="J1482" t="s">
        <v>30960</v>
      </c>
      <c r="K1482" t="s">
        <v>30961</v>
      </c>
      <c r="L1482" t="s">
        <v>30962</v>
      </c>
      <c r="M1482" t="s">
        <v>30963</v>
      </c>
      <c r="N1482" t="s">
        <v>30964</v>
      </c>
      <c r="O1482">
        <f>-791.669931671599 -53.0509542727648 -719.185213717845</f>
        <v>-1563.9060996622088</v>
      </c>
      <c r="P1482">
        <f>-743.662147132851 -35.5280516510902 -406.816232014661</f>
        <v>-1186.0064307986022</v>
      </c>
      <c r="Q1482">
        <f>-491.148117087474 -41.4292883702276 -344.817378713007</f>
        <v>-877.39478417070859</v>
      </c>
      <c r="R1482" t="s">
        <v>30965</v>
      </c>
      <c r="S1482" t="s">
        <v>30966</v>
      </c>
      <c r="T1482" t="s">
        <v>30967</v>
      </c>
      <c r="U1482" t="s">
        <v>30968</v>
      </c>
      <c r="V1482" t="s">
        <v>30969</v>
      </c>
      <c r="W1482" t="s">
        <v>30970</v>
      </c>
      <c r="X1482" t="s">
        <v>30971</v>
      </c>
      <c r="Y1482" t="s">
        <v>30972</v>
      </c>
    </row>
    <row r="1483" spans="1:25" x14ac:dyDescent="0.3">
      <c r="A1483">
        <v>74100</v>
      </c>
      <c r="B1483" t="s">
        <v>30973</v>
      </c>
      <c r="C1483" t="s">
        <v>30974</v>
      </c>
      <c r="D1483" t="s">
        <v>30975</v>
      </c>
      <c r="E1483" t="s">
        <v>30976</v>
      </c>
      <c r="F1483" t="s">
        <v>30977</v>
      </c>
      <c r="G1483" t="s">
        <v>30978</v>
      </c>
      <c r="H1483" t="s">
        <v>30979</v>
      </c>
      <c r="I1483" t="s">
        <v>30980</v>
      </c>
      <c r="J1483" t="s">
        <v>30981</v>
      </c>
      <c r="K1483" t="s">
        <v>30982</v>
      </c>
      <c r="L1483" t="s">
        <v>30983</v>
      </c>
      <c r="M1483" t="s">
        <v>30984</v>
      </c>
      <c r="N1483" t="s">
        <v>30985</v>
      </c>
      <c r="O1483">
        <f>-792.862741997085 -52.9502967339649 -718.485113352423</f>
        <v>-1564.2981520834728</v>
      </c>
      <c r="P1483">
        <f>-744.149947251752 -35.2527898338228 -406.235198624251</f>
        <v>-1185.6379357098258</v>
      </c>
      <c r="Q1483">
        <f>-491.190466776288 -42.2121087039081 -346.192463917121</f>
        <v>-879.59503939731712</v>
      </c>
      <c r="R1483" t="s">
        <v>30986</v>
      </c>
      <c r="S1483" t="s">
        <v>30987</v>
      </c>
      <c r="T1483" t="s">
        <v>30988</v>
      </c>
      <c r="U1483" t="s">
        <v>30989</v>
      </c>
      <c r="V1483" t="s">
        <v>30990</v>
      </c>
      <c r="W1483" t="s">
        <v>30991</v>
      </c>
      <c r="X1483" t="s">
        <v>30992</v>
      </c>
      <c r="Y1483" t="s">
        <v>30993</v>
      </c>
    </row>
    <row r="1484" spans="1:25" x14ac:dyDescent="0.3">
      <c r="A1484">
        <v>74150</v>
      </c>
      <c r="B1484" t="s">
        <v>30994</v>
      </c>
      <c r="C1484" t="s">
        <v>30995</v>
      </c>
      <c r="D1484" t="s">
        <v>30996</v>
      </c>
      <c r="E1484" t="s">
        <v>30997</v>
      </c>
      <c r="F1484" t="s">
        <v>30998</v>
      </c>
      <c r="G1484" t="s">
        <v>30999</v>
      </c>
      <c r="H1484" t="s">
        <v>31000</v>
      </c>
      <c r="I1484" t="s">
        <v>31001</v>
      </c>
      <c r="J1484" t="s">
        <v>31002</v>
      </c>
      <c r="K1484" t="s">
        <v>31003</v>
      </c>
      <c r="L1484" t="s">
        <v>31004</v>
      </c>
      <c r="M1484" t="s">
        <v>31005</v>
      </c>
      <c r="N1484" t="s">
        <v>31006</v>
      </c>
      <c r="O1484">
        <f>-794.58284972587 -52.8227292562124 -717.168801523249</f>
        <v>-1564.5743805053314</v>
      </c>
      <c r="P1484">
        <f>-745.338036144307 -33.8349300919324 -405.078083507547</f>
        <v>-1184.2510497437863</v>
      </c>
      <c r="Q1484">
        <f>-492.992209567984 -43.1678306743436 -342.816325390785</f>
        <v>-878.97636563311255</v>
      </c>
      <c r="R1484" t="s">
        <v>31007</v>
      </c>
      <c r="S1484" t="s">
        <v>31008</v>
      </c>
      <c r="T1484" t="s">
        <v>31009</v>
      </c>
      <c r="U1484" t="s">
        <v>31010</v>
      </c>
      <c r="V1484" t="s">
        <v>31011</v>
      </c>
      <c r="W1484" t="s">
        <v>31012</v>
      </c>
      <c r="X1484" t="s">
        <v>31013</v>
      </c>
      <c r="Y1484" t="s">
        <v>31014</v>
      </c>
    </row>
    <row r="1485" spans="1:25" x14ac:dyDescent="0.3">
      <c r="A1485">
        <v>74200</v>
      </c>
      <c r="B1485" t="s">
        <v>31015</v>
      </c>
      <c r="C1485" t="s">
        <v>31016</v>
      </c>
      <c r="D1485" t="s">
        <v>31017</v>
      </c>
      <c r="E1485" t="s">
        <v>31018</v>
      </c>
      <c r="F1485" t="s">
        <v>31019</v>
      </c>
      <c r="G1485" t="s">
        <v>31020</v>
      </c>
      <c r="H1485" t="s">
        <v>31021</v>
      </c>
      <c r="I1485" t="s">
        <v>31022</v>
      </c>
      <c r="J1485" t="s">
        <v>31023</v>
      </c>
      <c r="K1485" t="s">
        <v>31024</v>
      </c>
      <c r="L1485" t="s">
        <v>31025</v>
      </c>
      <c r="M1485" t="s">
        <v>31026</v>
      </c>
      <c r="N1485" t="s">
        <v>31027</v>
      </c>
      <c r="O1485">
        <f>-796.13361132611 -53.1704385904256 -715.832631497611</f>
        <v>-1565.1366814141466</v>
      </c>
      <c r="P1485">
        <f>-747.312733573392 -30.532882948788 -403.918830894239</f>
        <v>-1181.764447416419</v>
      </c>
      <c r="Q1485">
        <f>-496.620441890597 -38.6587275743668 -335.14815021734</f>
        <v>-870.42731968230385</v>
      </c>
      <c r="R1485" t="s">
        <v>31028</v>
      </c>
      <c r="S1485" t="s">
        <v>31029</v>
      </c>
      <c r="T1485" t="s">
        <v>31030</v>
      </c>
      <c r="U1485" t="s">
        <v>31031</v>
      </c>
      <c r="V1485" t="s">
        <v>31032</v>
      </c>
      <c r="W1485" t="s">
        <v>31033</v>
      </c>
      <c r="X1485" t="s">
        <v>31034</v>
      </c>
      <c r="Y1485" t="s">
        <v>31035</v>
      </c>
    </row>
    <row r="1486" spans="1:25" x14ac:dyDescent="0.3">
      <c r="A1486">
        <v>74250</v>
      </c>
      <c r="B1486" t="s">
        <v>31036</v>
      </c>
      <c r="C1486" t="s">
        <v>31037</v>
      </c>
      <c r="D1486" t="s">
        <v>31038</v>
      </c>
      <c r="E1486" t="s">
        <v>31039</v>
      </c>
      <c r="F1486" t="s">
        <v>31040</v>
      </c>
      <c r="G1486" t="s">
        <v>31041</v>
      </c>
      <c r="H1486" t="s">
        <v>31042</v>
      </c>
      <c r="I1486" t="s">
        <v>31043</v>
      </c>
      <c r="J1486" t="s">
        <v>31044</v>
      </c>
      <c r="K1486" t="s">
        <v>31045</v>
      </c>
      <c r="L1486" t="s">
        <v>31046</v>
      </c>
      <c r="M1486" t="s">
        <v>31047</v>
      </c>
      <c r="N1486" t="s">
        <v>31048</v>
      </c>
      <c r="O1486">
        <f>-797.185392064084 -53.3267820449796 -715.049323717821</f>
        <v>-1565.5614978268845</v>
      </c>
      <c r="P1486">
        <f>-747.868457555984 -29.6859928758659 -403.287921659535</f>
        <v>-1180.842372091385</v>
      </c>
      <c r="Q1486">
        <f>-497.081939465788 -35.5998970158337 -334.635011507626</f>
        <v>-867.31684798924778</v>
      </c>
      <c r="R1486" t="s">
        <v>31049</v>
      </c>
      <c r="S1486" t="s">
        <v>31050</v>
      </c>
      <c r="T1486" t="s">
        <v>31051</v>
      </c>
      <c r="U1486" t="s">
        <v>31052</v>
      </c>
      <c r="V1486" t="s">
        <v>31053</v>
      </c>
      <c r="W1486" t="s">
        <v>31054</v>
      </c>
      <c r="X1486" t="s">
        <v>31055</v>
      </c>
      <c r="Y1486" t="s">
        <v>31056</v>
      </c>
    </row>
    <row r="1487" spans="1:25" x14ac:dyDescent="0.3">
      <c r="A1487">
        <v>74300</v>
      </c>
      <c r="B1487" t="s">
        <v>31057</v>
      </c>
      <c r="C1487" t="s">
        <v>31058</v>
      </c>
      <c r="D1487" t="s">
        <v>31059</v>
      </c>
      <c r="E1487" t="s">
        <v>31060</v>
      </c>
      <c r="F1487" t="s">
        <v>31061</v>
      </c>
      <c r="G1487" t="s">
        <v>31062</v>
      </c>
      <c r="H1487" t="s">
        <v>31063</v>
      </c>
      <c r="I1487" t="s">
        <v>31064</v>
      </c>
      <c r="J1487" t="s">
        <v>31065</v>
      </c>
      <c r="K1487" t="s">
        <v>31066</v>
      </c>
      <c r="L1487" t="s">
        <v>31067</v>
      </c>
      <c r="M1487" t="s">
        <v>31068</v>
      </c>
      <c r="N1487" t="s">
        <v>31069</v>
      </c>
      <c r="O1487">
        <f>-798.580430206865 -53.1319274674865 -714.366326996191</f>
        <v>-1566.0786846705425</v>
      </c>
      <c r="P1487">
        <f>-748.165971640133 -28.7767505905235 -402.835678348452</f>
        <v>-1179.7784005791086</v>
      </c>
      <c r="Q1487">
        <f>-496.854470642577 -33.4567580132743 -336.032184824334</f>
        <v>-866.34341348018529</v>
      </c>
      <c r="R1487" t="s">
        <v>31070</v>
      </c>
      <c r="S1487" t="s">
        <v>31071</v>
      </c>
      <c r="T1487" t="s">
        <v>31072</v>
      </c>
      <c r="U1487" t="s">
        <v>31073</v>
      </c>
      <c r="V1487" t="s">
        <v>31074</v>
      </c>
      <c r="W1487" t="s">
        <v>31075</v>
      </c>
      <c r="X1487" t="s">
        <v>31076</v>
      </c>
      <c r="Y1487" t="s">
        <v>31077</v>
      </c>
    </row>
    <row r="1488" spans="1:25" x14ac:dyDescent="0.3">
      <c r="A1488">
        <v>74350</v>
      </c>
      <c r="B1488" t="s">
        <v>31078</v>
      </c>
      <c r="C1488" t="s">
        <v>31079</v>
      </c>
      <c r="D1488" t="s">
        <v>31080</v>
      </c>
      <c r="E1488" t="s">
        <v>31081</v>
      </c>
      <c r="F1488" t="s">
        <v>31082</v>
      </c>
      <c r="G1488" t="s">
        <v>31083</v>
      </c>
      <c r="H1488" t="s">
        <v>31084</v>
      </c>
      <c r="I1488" t="s">
        <v>31085</v>
      </c>
      <c r="J1488" t="s">
        <v>31086</v>
      </c>
      <c r="K1488" t="s">
        <v>31087</v>
      </c>
      <c r="L1488" t="s">
        <v>31088</v>
      </c>
      <c r="M1488" t="s">
        <v>31089</v>
      </c>
      <c r="N1488" t="s">
        <v>31090</v>
      </c>
      <c r="O1488">
        <f>-801.474444345648 -52.3895199759647 -713.203123147533</f>
        <v>-1567.0670874691457</v>
      </c>
      <c r="P1488">
        <f>-748.112372293015 -29.0275804132455 -402.087589037535</f>
        <v>-1179.2275417437954</v>
      </c>
      <c r="Q1488">
        <f>-495.619362953958 -33.1185083232781 -339.857409425657</f>
        <v>-868.59528070289309</v>
      </c>
      <c r="R1488" t="s">
        <v>31091</v>
      </c>
      <c r="S1488" t="s">
        <v>31092</v>
      </c>
      <c r="T1488" t="s">
        <v>31093</v>
      </c>
      <c r="U1488" t="s">
        <v>31094</v>
      </c>
      <c r="V1488" t="s">
        <v>31095</v>
      </c>
      <c r="W1488" t="s">
        <v>31096</v>
      </c>
      <c r="X1488" t="s">
        <v>31097</v>
      </c>
      <c r="Y1488" t="s">
        <v>31098</v>
      </c>
    </row>
    <row r="1489" spans="1:25" x14ac:dyDescent="0.3">
      <c r="A1489">
        <v>74400</v>
      </c>
      <c r="B1489" t="s">
        <v>31099</v>
      </c>
      <c r="C1489" t="s">
        <v>31100</v>
      </c>
      <c r="D1489" t="s">
        <v>31101</v>
      </c>
      <c r="E1489" t="s">
        <v>31102</v>
      </c>
      <c r="F1489" t="s">
        <v>31103</v>
      </c>
      <c r="G1489" t="s">
        <v>31104</v>
      </c>
      <c r="H1489" t="s">
        <v>31105</v>
      </c>
      <c r="I1489" t="s">
        <v>31106</v>
      </c>
      <c r="J1489" t="s">
        <v>31107</v>
      </c>
      <c r="K1489" t="s">
        <v>31108</v>
      </c>
      <c r="L1489" t="s">
        <v>31109</v>
      </c>
      <c r="M1489" t="s">
        <v>31110</v>
      </c>
      <c r="N1489" t="s">
        <v>31111</v>
      </c>
      <c r="O1489">
        <f>-802.613788932267 -52.1896355509391 -712.622285825311</f>
        <v>-1567.425710308517</v>
      </c>
      <c r="P1489">
        <f>-748.209900214253 -28.5539551974616 -401.707818226997</f>
        <v>-1178.4716736387118</v>
      </c>
      <c r="Q1489">
        <f>-495.308052790303 -32.6540599806635 -341.161061578029</f>
        <v>-869.12317434899546</v>
      </c>
      <c r="R1489" t="s">
        <v>31112</v>
      </c>
      <c r="S1489" t="s">
        <v>31113</v>
      </c>
      <c r="T1489" t="s">
        <v>31114</v>
      </c>
      <c r="U1489" t="s">
        <v>31115</v>
      </c>
      <c r="V1489" t="s">
        <v>31116</v>
      </c>
      <c r="W1489" t="s">
        <v>31117</v>
      </c>
      <c r="X1489" t="s">
        <v>31118</v>
      </c>
      <c r="Y1489" t="s">
        <v>31119</v>
      </c>
    </row>
    <row r="1490" spans="1:25" x14ac:dyDescent="0.3">
      <c r="A1490">
        <v>74450</v>
      </c>
      <c r="B1490" t="s">
        <v>31120</v>
      </c>
      <c r="C1490" t="s">
        <v>31121</v>
      </c>
      <c r="D1490" t="s">
        <v>31122</v>
      </c>
      <c r="E1490" t="s">
        <v>31123</v>
      </c>
      <c r="F1490" t="s">
        <v>31124</v>
      </c>
      <c r="G1490" t="s">
        <v>31125</v>
      </c>
      <c r="H1490" t="s">
        <v>31126</v>
      </c>
      <c r="I1490" t="s">
        <v>31127</v>
      </c>
      <c r="J1490" t="s">
        <v>31128</v>
      </c>
      <c r="K1490" t="s">
        <v>31129</v>
      </c>
      <c r="L1490" t="s">
        <v>31130</v>
      </c>
      <c r="M1490" t="s">
        <v>31131</v>
      </c>
      <c r="N1490" t="s">
        <v>31132</v>
      </c>
      <c r="O1490">
        <f>-803.933643844098 -52.0655487685278 -711.650863609752</f>
        <v>-1567.6500562223778</v>
      </c>
      <c r="P1490">
        <f>-749.867466894358 -30.2731561696155 -400.542876087714</f>
        <v>-1180.6834991516876</v>
      </c>
      <c r="Q1490">
        <f>-496.117387793496 -32.7434841545751 -343.562003428499</f>
        <v>-872.42287537657012</v>
      </c>
      <c r="R1490" t="s">
        <v>31133</v>
      </c>
      <c r="S1490" t="s">
        <v>31134</v>
      </c>
      <c r="T1490" t="s">
        <v>31135</v>
      </c>
      <c r="U1490" t="s">
        <v>31136</v>
      </c>
      <c r="V1490" t="s">
        <v>31137</v>
      </c>
      <c r="W1490" t="s">
        <v>31138</v>
      </c>
      <c r="X1490" t="s">
        <v>31139</v>
      </c>
      <c r="Y1490" t="s">
        <v>31140</v>
      </c>
    </row>
    <row r="1491" spans="1:25" x14ac:dyDescent="0.3">
      <c r="A1491">
        <v>74500</v>
      </c>
      <c r="B1491" t="s">
        <v>31141</v>
      </c>
      <c r="C1491" t="s">
        <v>31142</v>
      </c>
      <c r="D1491" t="s">
        <v>31143</v>
      </c>
      <c r="E1491" t="s">
        <v>31144</v>
      </c>
      <c r="F1491" t="s">
        <v>31145</v>
      </c>
      <c r="G1491" t="s">
        <v>31146</v>
      </c>
      <c r="H1491" t="s">
        <v>31147</v>
      </c>
      <c r="I1491" t="s">
        <v>31148</v>
      </c>
      <c r="J1491" t="s">
        <v>31149</v>
      </c>
      <c r="K1491" t="s">
        <v>31150</v>
      </c>
      <c r="L1491" t="s">
        <v>31151</v>
      </c>
      <c r="M1491" t="s">
        <v>31152</v>
      </c>
      <c r="N1491" t="s">
        <v>31153</v>
      </c>
      <c r="O1491">
        <f>-804.798781381121 -51.8421036887178 -711.36950791343</f>
        <v>-1568.0103929832687</v>
      </c>
      <c r="P1491">
        <f>-750.16365721443 -28.6005374288416 -400.466083719718</f>
        <v>-1179.2302783629896</v>
      </c>
      <c r="Q1491">
        <f>-495.876748472131 -29.9829617558182 -345.892289149421</f>
        <v>-871.75199937737023</v>
      </c>
      <c r="R1491" t="s">
        <v>31154</v>
      </c>
      <c r="S1491" t="s">
        <v>31155</v>
      </c>
      <c r="T1491" t="s">
        <v>31156</v>
      </c>
      <c r="U1491" t="s">
        <v>31157</v>
      </c>
      <c r="V1491" t="s">
        <v>31158</v>
      </c>
      <c r="W1491" t="s">
        <v>31159</v>
      </c>
      <c r="X1491" t="s">
        <v>31160</v>
      </c>
      <c r="Y1491" t="s">
        <v>31161</v>
      </c>
    </row>
    <row r="1492" spans="1:25" x14ac:dyDescent="0.3">
      <c r="A1492">
        <v>74550</v>
      </c>
      <c r="B1492" t="s">
        <v>31162</v>
      </c>
      <c r="C1492" t="s">
        <v>31163</v>
      </c>
      <c r="D1492" t="s">
        <v>31164</v>
      </c>
      <c r="E1492" t="s">
        <v>31165</v>
      </c>
      <c r="F1492" t="s">
        <v>31166</v>
      </c>
      <c r="G1492" t="s">
        <v>31167</v>
      </c>
      <c r="H1492" t="s">
        <v>31168</v>
      </c>
      <c r="I1492" t="s">
        <v>31169</v>
      </c>
      <c r="J1492" t="s">
        <v>31170</v>
      </c>
      <c r="K1492" t="s">
        <v>31171</v>
      </c>
      <c r="L1492" t="s">
        <v>31172</v>
      </c>
      <c r="M1492" t="s">
        <v>31173</v>
      </c>
      <c r="N1492" t="s">
        <v>31174</v>
      </c>
      <c r="O1492">
        <f>-805.981278000736 -52.0778823298738 -710.636629828655</f>
        <v>-1568.6957901592648</v>
      </c>
      <c r="P1492">
        <f>-749.934974798897 -28.5824568108287 -400.00338528904</f>
        <v>-1178.5208168987656</v>
      </c>
      <c r="Q1492">
        <f>-494.641844784227 -30.0021530829681 -350.350353964252</f>
        <v>-874.99435183144703</v>
      </c>
      <c r="R1492" t="s">
        <v>31175</v>
      </c>
      <c r="S1492" t="s">
        <v>31176</v>
      </c>
      <c r="T1492" t="s">
        <v>31177</v>
      </c>
      <c r="U1492" t="s">
        <v>31178</v>
      </c>
      <c r="V1492" t="s">
        <v>31179</v>
      </c>
      <c r="W1492" t="s">
        <v>31180</v>
      </c>
      <c r="X1492" t="s">
        <v>31181</v>
      </c>
      <c r="Y1492" t="s">
        <v>31182</v>
      </c>
    </row>
    <row r="1493" spans="1:25" x14ac:dyDescent="0.3">
      <c r="A1493">
        <v>74600</v>
      </c>
      <c r="B1493" t="s">
        <v>31183</v>
      </c>
      <c r="C1493" t="s">
        <v>31184</v>
      </c>
      <c r="D1493" t="s">
        <v>31185</v>
      </c>
      <c r="E1493" t="s">
        <v>31186</v>
      </c>
      <c r="F1493" t="s">
        <v>31187</v>
      </c>
      <c r="G1493" t="s">
        <v>31188</v>
      </c>
      <c r="H1493" t="s">
        <v>31189</v>
      </c>
      <c r="I1493" t="s">
        <v>31190</v>
      </c>
      <c r="J1493" t="s">
        <v>31191</v>
      </c>
      <c r="K1493" t="s">
        <v>31192</v>
      </c>
      <c r="L1493" t="s">
        <v>31193</v>
      </c>
      <c r="M1493" t="s">
        <v>31194</v>
      </c>
      <c r="N1493" t="s">
        <v>31195</v>
      </c>
      <c r="O1493">
        <f>-806.776597894036 -51.9871592420006 -710.379520834814</f>
        <v>-1569.1432779708507</v>
      </c>
      <c r="P1493">
        <f>-750.295507836187 -28.2812393602321 -399.841137964347</f>
        <v>-1178.4178851607662</v>
      </c>
      <c r="Q1493">
        <f>-494.800704935341 -30.1490393788815 -351.251222450062</f>
        <v>-876.20096676428443</v>
      </c>
      <c r="R1493" t="s">
        <v>31196</v>
      </c>
      <c r="S1493" t="s">
        <v>31197</v>
      </c>
      <c r="T1493" t="s">
        <v>31198</v>
      </c>
      <c r="U1493" t="s">
        <v>31199</v>
      </c>
      <c r="V1493" t="s">
        <v>31200</v>
      </c>
      <c r="W1493" t="s">
        <v>31201</v>
      </c>
      <c r="X1493" t="s">
        <v>31202</v>
      </c>
      <c r="Y1493" t="s">
        <v>31203</v>
      </c>
    </row>
    <row r="1494" spans="1:25" x14ac:dyDescent="0.3">
      <c r="A1494">
        <v>74650</v>
      </c>
      <c r="B1494" t="s">
        <v>31204</v>
      </c>
      <c r="C1494" t="s">
        <v>31205</v>
      </c>
      <c r="D1494" t="s">
        <v>31206</v>
      </c>
      <c r="E1494" t="s">
        <v>31207</v>
      </c>
      <c r="F1494" t="s">
        <v>31208</v>
      </c>
      <c r="G1494" t="s">
        <v>31209</v>
      </c>
      <c r="H1494" t="s">
        <v>31210</v>
      </c>
      <c r="I1494" t="s">
        <v>31211</v>
      </c>
      <c r="J1494" t="s">
        <v>31212</v>
      </c>
      <c r="K1494" t="s">
        <v>31213</v>
      </c>
      <c r="L1494" t="s">
        <v>31214</v>
      </c>
      <c r="M1494" t="s">
        <v>31215</v>
      </c>
      <c r="N1494" t="s">
        <v>31216</v>
      </c>
      <c r="O1494">
        <f>-808.352650981184 -52.0518387429381 -709.637556543699</f>
        <v>-1570.0420462678212</v>
      </c>
      <c r="P1494">
        <f>-751.399030372793 -29.2929705068557 -399.114558050513</f>
        <v>-1179.8065589301618</v>
      </c>
      <c r="Q1494">
        <f>-495.294630449587 -31.924884107668 -353.885805365795</f>
        <v>-881.10531992305005</v>
      </c>
      <c r="R1494" t="s">
        <v>31217</v>
      </c>
      <c r="S1494" t="s">
        <v>31218</v>
      </c>
      <c r="T1494" t="s">
        <v>31219</v>
      </c>
      <c r="U1494" t="s">
        <v>31220</v>
      </c>
      <c r="V1494" t="s">
        <v>31221</v>
      </c>
      <c r="W1494" t="s">
        <v>31222</v>
      </c>
      <c r="X1494" t="s">
        <v>31223</v>
      </c>
      <c r="Y1494" t="s">
        <v>31224</v>
      </c>
    </row>
    <row r="1495" spans="1:25" x14ac:dyDescent="0.3">
      <c r="A1495">
        <v>74700</v>
      </c>
      <c r="B1495" t="s">
        <v>31225</v>
      </c>
      <c r="C1495" t="s">
        <v>31226</v>
      </c>
      <c r="D1495" t="s">
        <v>31227</v>
      </c>
      <c r="E1495" t="s">
        <v>31228</v>
      </c>
      <c r="F1495" t="s">
        <v>31229</v>
      </c>
      <c r="G1495" t="s">
        <v>31230</v>
      </c>
      <c r="H1495" t="s">
        <v>31231</v>
      </c>
      <c r="I1495" t="s">
        <v>31232</v>
      </c>
      <c r="J1495" t="s">
        <v>31233</v>
      </c>
      <c r="K1495" t="s">
        <v>31234</v>
      </c>
      <c r="L1495" t="s">
        <v>31235</v>
      </c>
      <c r="M1495" t="s">
        <v>31236</v>
      </c>
      <c r="N1495" t="s">
        <v>31237</v>
      </c>
      <c r="O1495">
        <f>-809.242360472933 -51.6950706649275 -709.360918392908</f>
        <v>-1570.2983495307685</v>
      </c>
      <c r="P1495">
        <f>-751.767399432365 -29.6341483204187 -398.883694550669</f>
        <v>-1180.2852423034528</v>
      </c>
      <c r="Q1495">
        <f>-495.475935632494 -32.6181559417012 -354.749703213455</f>
        <v>-882.84379478765027</v>
      </c>
      <c r="R1495" t="s">
        <v>31238</v>
      </c>
      <c r="S1495" t="s">
        <v>31239</v>
      </c>
      <c r="T1495" t="s">
        <v>31240</v>
      </c>
      <c r="U1495" t="s">
        <v>31241</v>
      </c>
      <c r="V1495" t="s">
        <v>31242</v>
      </c>
      <c r="W1495" t="s">
        <v>31243</v>
      </c>
      <c r="X1495" t="s">
        <v>31244</v>
      </c>
      <c r="Y1495" t="s">
        <v>31245</v>
      </c>
    </row>
    <row r="1496" spans="1:25" x14ac:dyDescent="0.3">
      <c r="A1496">
        <v>74750</v>
      </c>
      <c r="B1496" t="s">
        <v>31246</v>
      </c>
      <c r="C1496" t="s">
        <v>31247</v>
      </c>
      <c r="D1496" t="s">
        <v>31248</v>
      </c>
      <c r="E1496" t="s">
        <v>31249</v>
      </c>
      <c r="F1496" t="s">
        <v>31250</v>
      </c>
      <c r="G1496" t="s">
        <v>31251</v>
      </c>
      <c r="H1496" t="s">
        <v>31252</v>
      </c>
      <c r="I1496" t="s">
        <v>31253</v>
      </c>
      <c r="J1496" t="s">
        <v>31254</v>
      </c>
      <c r="K1496" t="s">
        <v>31255</v>
      </c>
      <c r="L1496" t="s">
        <v>31256</v>
      </c>
      <c r="M1496" t="s">
        <v>31257</v>
      </c>
      <c r="N1496" t="s">
        <v>31258</v>
      </c>
      <c r="O1496">
        <f>-810.98012793093 -51.2400724295494 -708.56477712024</f>
        <v>-1570.7849774807196</v>
      </c>
      <c r="P1496">
        <f>-752.082045667632 -29.7589181595993 -398.313729851111</f>
        <v>-1180.1546936783423</v>
      </c>
      <c r="Q1496">
        <f>-495.378627880675 -34.7591265220337 -356.835464600187</f>
        <v>-886.9732190028958</v>
      </c>
      <c r="R1496" t="s">
        <v>31259</v>
      </c>
      <c r="S1496" t="s">
        <v>31260</v>
      </c>
      <c r="T1496" t="s">
        <v>31261</v>
      </c>
      <c r="U1496" t="s">
        <v>31262</v>
      </c>
      <c r="V1496" t="s">
        <v>31263</v>
      </c>
      <c r="W1496" t="s">
        <v>31264</v>
      </c>
      <c r="X1496" t="s">
        <v>31265</v>
      </c>
      <c r="Y1496" t="s">
        <v>31266</v>
      </c>
    </row>
    <row r="1497" spans="1:25" x14ac:dyDescent="0.3">
      <c r="A1497">
        <v>74800</v>
      </c>
      <c r="B1497" t="s">
        <v>31267</v>
      </c>
      <c r="C1497" t="s">
        <v>31268</v>
      </c>
      <c r="D1497" t="s">
        <v>31269</v>
      </c>
      <c r="E1497" t="s">
        <v>31270</v>
      </c>
      <c r="F1497" t="s">
        <v>31271</v>
      </c>
      <c r="G1497" t="s">
        <v>31272</v>
      </c>
      <c r="H1497" t="s">
        <v>31273</v>
      </c>
      <c r="I1497" t="s">
        <v>31274</v>
      </c>
      <c r="J1497" t="s">
        <v>31275</v>
      </c>
      <c r="K1497" t="s">
        <v>31276</v>
      </c>
      <c r="L1497" t="s">
        <v>31277</v>
      </c>
      <c r="M1497" t="s">
        <v>31278</v>
      </c>
      <c r="N1497" t="s">
        <v>31279</v>
      </c>
      <c r="O1497">
        <f>-811.376907097339 -51.2681134313705 -708.245874863063</f>
        <v>-1570.8908953917726</v>
      </c>
      <c r="P1497">
        <f>-752.225747757627 -29.8187552243346 -398.040648500339</f>
        <v>-1180.0851514823007</v>
      </c>
      <c r="Q1497">
        <f>-495.465166256785 -35.0168753759986 -356.942587161145</f>
        <v>-887.4246287939286</v>
      </c>
      <c r="R1497" t="s">
        <v>31280</v>
      </c>
      <c r="S1497" t="s">
        <v>31281</v>
      </c>
      <c r="T1497" t="s">
        <v>31282</v>
      </c>
      <c r="U1497" t="s">
        <v>31283</v>
      </c>
      <c r="V1497" t="s">
        <v>31284</v>
      </c>
      <c r="W1497" t="s">
        <v>31285</v>
      </c>
      <c r="X1497" t="s">
        <v>31286</v>
      </c>
      <c r="Y1497" t="s">
        <v>31287</v>
      </c>
    </row>
    <row r="1498" spans="1:25" x14ac:dyDescent="0.3">
      <c r="A1498">
        <v>74850</v>
      </c>
      <c r="B1498" t="s">
        <v>31288</v>
      </c>
      <c r="C1498" t="s">
        <v>31289</v>
      </c>
      <c r="D1498" t="s">
        <v>31290</v>
      </c>
      <c r="E1498" t="s">
        <v>31291</v>
      </c>
      <c r="F1498" t="s">
        <v>31292</v>
      </c>
      <c r="G1498" t="s">
        <v>31293</v>
      </c>
      <c r="H1498" t="s">
        <v>31294</v>
      </c>
      <c r="I1498" t="s">
        <v>31295</v>
      </c>
      <c r="J1498" t="s">
        <v>31296</v>
      </c>
      <c r="K1498" t="s">
        <v>31297</v>
      </c>
      <c r="L1498" t="s">
        <v>31298</v>
      </c>
      <c r="M1498" t="s">
        <v>31299</v>
      </c>
      <c r="N1498" t="s">
        <v>31300</v>
      </c>
      <c r="O1498">
        <f>-811.707207699858 -51.558471124386 -707.694290854172</f>
        <v>-1570.959969678416</v>
      </c>
      <c r="P1498">
        <f>-752.116423313002 -28.3244815685753 -397.701941128883</f>
        <v>-1178.1428460104603</v>
      </c>
      <c r="Q1498">
        <f>-495.675482144468 -35.0326768790449 -354.864003990325</f>
        <v>-885.57216301383778</v>
      </c>
      <c r="R1498" t="s">
        <v>31301</v>
      </c>
      <c r="S1498" t="s">
        <v>31302</v>
      </c>
      <c r="T1498" t="s">
        <v>31303</v>
      </c>
      <c r="U1498" t="s">
        <v>31304</v>
      </c>
      <c r="V1498" t="s">
        <v>31305</v>
      </c>
      <c r="W1498" t="s">
        <v>31306</v>
      </c>
      <c r="X1498" t="s">
        <v>31307</v>
      </c>
      <c r="Y1498" t="s">
        <v>31308</v>
      </c>
    </row>
    <row r="1499" spans="1:25" x14ac:dyDescent="0.3">
      <c r="A1499">
        <v>74900</v>
      </c>
      <c r="B1499" t="s">
        <v>31309</v>
      </c>
      <c r="C1499" t="s">
        <v>31310</v>
      </c>
      <c r="D1499" t="s">
        <v>31311</v>
      </c>
      <c r="E1499" t="s">
        <v>31312</v>
      </c>
      <c r="F1499" t="s">
        <v>31313</v>
      </c>
      <c r="G1499" t="s">
        <v>31314</v>
      </c>
      <c r="H1499" t="s">
        <v>31315</v>
      </c>
      <c r="I1499" t="s">
        <v>31316</v>
      </c>
      <c r="J1499" t="s">
        <v>31317</v>
      </c>
      <c r="K1499" t="s">
        <v>31318</v>
      </c>
      <c r="L1499" t="s">
        <v>31319</v>
      </c>
      <c r="M1499" t="s">
        <v>31320</v>
      </c>
      <c r="N1499" t="s">
        <v>31321</v>
      </c>
      <c r="O1499">
        <f>-811.481198887794 -51.9755760139249 -707.413799212811</f>
        <v>-1570.87057411453</v>
      </c>
      <c r="P1499">
        <f>-752.193132779134 -27.8422966467369 -397.431970140691</f>
        <v>-1177.4673995665619</v>
      </c>
      <c r="Q1499">
        <f>-495.863833937411 -34.7315884357977 -353.959654719545</f>
        <v>-884.55507709275366</v>
      </c>
      <c r="R1499" t="s">
        <v>31322</v>
      </c>
      <c r="S1499" t="s">
        <v>31323</v>
      </c>
      <c r="T1499" t="s">
        <v>31324</v>
      </c>
      <c r="U1499" t="s">
        <v>31325</v>
      </c>
      <c r="V1499" t="s">
        <v>31326</v>
      </c>
      <c r="W1499" t="s">
        <v>31327</v>
      </c>
      <c r="X1499" t="s">
        <v>31328</v>
      </c>
      <c r="Y1499" t="s">
        <v>31329</v>
      </c>
    </row>
    <row r="1500" spans="1:25" x14ac:dyDescent="0.3">
      <c r="A1500">
        <v>74950</v>
      </c>
      <c r="B1500" t="s">
        <v>31330</v>
      </c>
      <c r="C1500" t="s">
        <v>31331</v>
      </c>
      <c r="D1500" t="s">
        <v>31332</v>
      </c>
      <c r="E1500" t="s">
        <v>31333</v>
      </c>
      <c r="F1500" t="s">
        <v>31334</v>
      </c>
      <c r="G1500" t="s">
        <v>31335</v>
      </c>
      <c r="H1500" t="s">
        <v>31336</v>
      </c>
      <c r="I1500" t="s">
        <v>31337</v>
      </c>
      <c r="J1500" t="s">
        <v>31338</v>
      </c>
      <c r="K1500" t="s">
        <v>31339</v>
      </c>
      <c r="L1500" t="s">
        <v>31340</v>
      </c>
      <c r="M1500" t="s">
        <v>31341</v>
      </c>
      <c r="N1500" t="s">
        <v>31342</v>
      </c>
      <c r="O1500">
        <f>-810.840747707285 -52.5944124656789 -707.037788705883</f>
        <v>-1570.4729488788471</v>
      </c>
      <c r="P1500">
        <f>-752.757986326789 -26.3919280946557 -396.995813527979</f>
        <v>-1176.1457279494236</v>
      </c>
      <c r="Q1500">
        <f>-496.779697777477 -32.5163753739319 -351.392467284544</f>
        <v>-880.68854043595297</v>
      </c>
      <c r="R1500" t="s">
        <v>31343</v>
      </c>
      <c r="S1500" t="s">
        <v>31344</v>
      </c>
      <c r="T1500" t="s">
        <v>31345</v>
      </c>
      <c r="U1500" t="s">
        <v>31346</v>
      </c>
      <c r="V1500" t="s">
        <v>31347</v>
      </c>
      <c r="W1500" t="s">
        <v>31348</v>
      </c>
      <c r="X1500" t="s">
        <v>31349</v>
      </c>
      <c r="Y1500" t="s">
        <v>31350</v>
      </c>
    </row>
    <row r="1501" spans="1:25" x14ac:dyDescent="0.3">
      <c r="A1501">
        <v>75000</v>
      </c>
      <c r="B1501" t="s">
        <v>31351</v>
      </c>
      <c r="C1501" t="s">
        <v>31352</v>
      </c>
      <c r="D1501" t="s">
        <v>31353</v>
      </c>
      <c r="E1501" t="s">
        <v>31354</v>
      </c>
      <c r="F1501" t="s">
        <v>31355</v>
      </c>
      <c r="G1501" t="s">
        <v>31356</v>
      </c>
      <c r="H1501" t="s">
        <v>31357</v>
      </c>
      <c r="I1501" t="s">
        <v>31358</v>
      </c>
      <c r="J1501" t="s">
        <v>31359</v>
      </c>
      <c r="K1501" t="s">
        <v>31360</v>
      </c>
      <c r="L1501" t="s">
        <v>31361</v>
      </c>
      <c r="M1501" t="s">
        <v>31362</v>
      </c>
      <c r="N1501" t="s">
        <v>31363</v>
      </c>
      <c r="O1501">
        <f>-810.148152149487 -53.1950268034705 -706.803942521733</f>
        <v>-1570.1471214746905</v>
      </c>
      <c r="P1501">
        <f>-752.619048787459 -25.6640783769287 -396.773952268284</f>
        <v>-1175.0570794326718</v>
      </c>
      <c r="Q1501">
        <f>-496.676508691418 -31.5578072594485 -350.94052358634</f>
        <v>-879.17483953720648</v>
      </c>
      <c r="R1501" t="s">
        <v>31364</v>
      </c>
      <c r="S1501" t="s">
        <v>31365</v>
      </c>
      <c r="T1501" t="s">
        <v>31366</v>
      </c>
      <c r="U1501" t="s">
        <v>31367</v>
      </c>
      <c r="V1501" t="s">
        <v>31368</v>
      </c>
      <c r="W1501" t="s">
        <v>31369</v>
      </c>
      <c r="X1501" t="s">
        <v>31370</v>
      </c>
      <c r="Y1501" t="s">
        <v>31371</v>
      </c>
    </row>
    <row r="1502" spans="1:25" x14ac:dyDescent="0.3">
      <c r="A1502">
        <v>75050</v>
      </c>
      <c r="B1502" t="s">
        <v>31372</v>
      </c>
      <c r="C1502" t="s">
        <v>31373</v>
      </c>
      <c r="D1502" t="s">
        <v>31374</v>
      </c>
      <c r="E1502" t="s">
        <v>31375</v>
      </c>
      <c r="F1502" t="s">
        <v>31376</v>
      </c>
      <c r="G1502" t="s">
        <v>31377</v>
      </c>
      <c r="H1502" t="s">
        <v>31378</v>
      </c>
      <c r="I1502" t="s">
        <v>31379</v>
      </c>
      <c r="J1502" t="s">
        <v>31380</v>
      </c>
      <c r="K1502" t="s">
        <v>31381</v>
      </c>
      <c r="L1502" t="s">
        <v>31382</v>
      </c>
      <c r="M1502" t="s">
        <v>31383</v>
      </c>
      <c r="N1502" t="s">
        <v>31384</v>
      </c>
      <c r="O1502">
        <f>-809.346562247433 -54.0421635354212 -706.294811824395</f>
        <v>-1569.683537607249</v>
      </c>
      <c r="P1502">
        <f>-751.877812409573 -26.3632761796632 -396.266568547171</f>
        <v>-1174.5076571364073</v>
      </c>
      <c r="Q1502">
        <f>-495.644005998489 -31.6607806830561 -352.014582730704</f>
        <v>-879.3193694122491</v>
      </c>
      <c r="R1502" t="s">
        <v>31385</v>
      </c>
      <c r="S1502" t="s">
        <v>31386</v>
      </c>
      <c r="T1502" t="s">
        <v>31387</v>
      </c>
      <c r="U1502" t="s">
        <v>31388</v>
      </c>
      <c r="V1502" t="s">
        <v>31389</v>
      </c>
      <c r="W1502" t="s">
        <v>31390</v>
      </c>
      <c r="X1502" t="s">
        <v>31391</v>
      </c>
      <c r="Y1502" t="s">
        <v>31392</v>
      </c>
    </row>
    <row r="1503" spans="1:25" x14ac:dyDescent="0.3">
      <c r="A1503">
        <v>75100</v>
      </c>
      <c r="B1503" t="s">
        <v>31393</v>
      </c>
      <c r="C1503" t="s">
        <v>31394</v>
      </c>
      <c r="D1503" t="s">
        <v>31395</v>
      </c>
      <c r="E1503" t="s">
        <v>31396</v>
      </c>
      <c r="F1503" t="s">
        <v>31397</v>
      </c>
      <c r="G1503" t="s">
        <v>31398</v>
      </c>
      <c r="H1503" t="s">
        <v>31399</v>
      </c>
      <c r="I1503" t="s">
        <v>31400</v>
      </c>
      <c r="J1503" t="s">
        <v>31401</v>
      </c>
      <c r="K1503" t="s">
        <v>31402</v>
      </c>
      <c r="L1503" t="s">
        <v>31403</v>
      </c>
      <c r="M1503" t="s">
        <v>31404</v>
      </c>
      <c r="N1503" t="s">
        <v>31405</v>
      </c>
      <c r="O1503">
        <f>-809.153426103694 -54.3906373985474 -706.110759175054</f>
        <v>-1569.6548226772952</v>
      </c>
      <c r="P1503">
        <f>-751.721322343453 -27.2055880008279 -396.03215882786</f>
        <v>-1174.959069172141</v>
      </c>
      <c r="Q1503">
        <f>-495.247081824587 -31.7884835245118 -353.112869232795</f>
        <v>-880.14843458189375</v>
      </c>
      <c r="R1503" t="s">
        <v>31406</v>
      </c>
      <c r="S1503" t="s">
        <v>31407</v>
      </c>
      <c r="T1503" t="s">
        <v>31408</v>
      </c>
      <c r="U1503" t="s">
        <v>31409</v>
      </c>
      <c r="V1503" t="s">
        <v>31410</v>
      </c>
      <c r="W1503" t="s">
        <v>31411</v>
      </c>
      <c r="X1503" t="s">
        <v>31412</v>
      </c>
      <c r="Y1503" t="s">
        <v>31413</v>
      </c>
    </row>
    <row r="1504" spans="1:25" x14ac:dyDescent="0.3">
      <c r="A1504">
        <v>75150</v>
      </c>
      <c r="B1504" t="s">
        <v>31414</v>
      </c>
      <c r="C1504" t="s">
        <v>31415</v>
      </c>
      <c r="D1504" t="s">
        <v>31416</v>
      </c>
      <c r="E1504" t="s">
        <v>31417</v>
      </c>
      <c r="F1504" t="s">
        <v>31418</v>
      </c>
      <c r="G1504" t="s">
        <v>31419</v>
      </c>
      <c r="H1504" t="s">
        <v>31420</v>
      </c>
      <c r="I1504" t="s">
        <v>31421</v>
      </c>
      <c r="J1504" t="s">
        <v>31422</v>
      </c>
      <c r="K1504" t="s">
        <v>31423</v>
      </c>
      <c r="L1504" t="s">
        <v>31424</v>
      </c>
      <c r="M1504" t="s">
        <v>31425</v>
      </c>
      <c r="N1504" t="s">
        <v>31426</v>
      </c>
      <c r="O1504">
        <f>-809.224193071563 -54.7715993721222 -705.659867194337</f>
        <v>-1569.6556596380224</v>
      </c>
      <c r="P1504">
        <f>-751.156513870168 -28.0129533647801 -395.662464879227</f>
        <v>-1174.8319321141751</v>
      </c>
      <c r="Q1504">
        <f>-494.374901299717 -31.9112770645404 -354.552028831318</f>
        <v>-880.83820719557548</v>
      </c>
      <c r="R1504" t="s">
        <v>31427</v>
      </c>
      <c r="S1504" t="s">
        <v>31428</v>
      </c>
      <c r="T1504" t="s">
        <v>31429</v>
      </c>
      <c r="U1504" t="s">
        <v>31430</v>
      </c>
      <c r="V1504" t="s">
        <v>31431</v>
      </c>
      <c r="W1504" t="s">
        <v>31432</v>
      </c>
      <c r="X1504" t="s">
        <v>31433</v>
      </c>
      <c r="Y1504" t="s">
        <v>31434</v>
      </c>
    </row>
    <row r="1505" spans="1:25" x14ac:dyDescent="0.3">
      <c r="A1505">
        <v>75200</v>
      </c>
      <c r="B1505" t="s">
        <v>31435</v>
      </c>
      <c r="C1505" t="s">
        <v>31436</v>
      </c>
      <c r="D1505" t="s">
        <v>31437</v>
      </c>
      <c r="E1505" t="s">
        <v>31438</v>
      </c>
      <c r="F1505" t="s">
        <v>31439</v>
      </c>
      <c r="G1505" t="s">
        <v>31440</v>
      </c>
      <c r="H1505" t="s">
        <v>31441</v>
      </c>
      <c r="I1505" t="s">
        <v>31442</v>
      </c>
      <c r="J1505" t="s">
        <v>31443</v>
      </c>
      <c r="K1505" t="s">
        <v>31444</v>
      </c>
      <c r="L1505" t="s">
        <v>31445</v>
      </c>
      <c r="M1505" t="s">
        <v>31446</v>
      </c>
      <c r="N1505" t="s">
        <v>31447</v>
      </c>
      <c r="O1505">
        <f>-809.306880557937 -55.136419923035 -705.28079525035</f>
        <v>-1569.724095731322</v>
      </c>
      <c r="P1505">
        <f>-751.012082402436 -28.1653210508589 -395.344532673033</f>
        <v>-1174.521936126328</v>
      </c>
      <c r="Q1505">
        <f>-494.17233647638 -32.418356846706 -354.634331903119</f>
        <v>-881.22502522620505</v>
      </c>
      <c r="R1505" t="s">
        <v>31448</v>
      </c>
      <c r="S1505" t="s">
        <v>31449</v>
      </c>
      <c r="T1505" t="s">
        <v>31450</v>
      </c>
      <c r="U1505" t="s">
        <v>31451</v>
      </c>
      <c r="V1505" t="s">
        <v>31452</v>
      </c>
      <c r="W1505" t="s">
        <v>31453</v>
      </c>
      <c r="X1505" t="s">
        <v>31454</v>
      </c>
      <c r="Y1505" t="s">
        <v>31455</v>
      </c>
    </row>
    <row r="1506" spans="1:25" x14ac:dyDescent="0.3">
      <c r="A1506">
        <v>75250</v>
      </c>
      <c r="B1506" t="s">
        <v>31456</v>
      </c>
      <c r="C1506" t="s">
        <v>31457</v>
      </c>
      <c r="D1506" t="s">
        <v>31458</v>
      </c>
      <c r="E1506" t="s">
        <v>31459</v>
      </c>
      <c r="F1506" t="s">
        <v>31460</v>
      </c>
      <c r="G1506" t="s">
        <v>31461</v>
      </c>
      <c r="H1506" t="s">
        <v>31462</v>
      </c>
      <c r="I1506" t="s">
        <v>31463</v>
      </c>
      <c r="J1506" t="s">
        <v>31464</v>
      </c>
      <c r="K1506" t="s">
        <v>31465</v>
      </c>
      <c r="L1506" t="s">
        <v>31466</v>
      </c>
      <c r="M1506" t="s">
        <v>31467</v>
      </c>
      <c r="N1506" t="s">
        <v>31468</v>
      </c>
      <c r="O1506">
        <f>-809.926103022043 -55.9547949870243 -704.360330665626</f>
        <v>-1570.2412286746933</v>
      </c>
      <c r="P1506">
        <f>-751.09791103196 -27.75936645877 -394.633996089872</f>
        <v>-1173.4912735806022</v>
      </c>
      <c r="Q1506">
        <f>-494.378916720009 -33.4235279831812 -353.338122218528</f>
        <v>-881.14056692171812</v>
      </c>
      <c r="R1506" t="s">
        <v>31469</v>
      </c>
      <c r="S1506" t="s">
        <v>31470</v>
      </c>
      <c r="T1506" t="s">
        <v>31471</v>
      </c>
      <c r="U1506" t="s">
        <v>31472</v>
      </c>
      <c r="V1506" t="s">
        <v>31473</v>
      </c>
      <c r="W1506" t="s">
        <v>31474</v>
      </c>
      <c r="X1506" t="s">
        <v>31475</v>
      </c>
      <c r="Y1506" t="s">
        <v>31476</v>
      </c>
    </row>
    <row r="1507" spans="1:25" x14ac:dyDescent="0.3">
      <c r="A1507">
        <v>75300</v>
      </c>
      <c r="B1507" t="s">
        <v>31477</v>
      </c>
      <c r="C1507" t="s">
        <v>31478</v>
      </c>
      <c r="D1507" t="s">
        <v>31479</v>
      </c>
      <c r="E1507" t="s">
        <v>31480</v>
      </c>
      <c r="F1507" t="s">
        <v>31481</v>
      </c>
      <c r="G1507" t="s">
        <v>31482</v>
      </c>
      <c r="H1507" t="s">
        <v>31483</v>
      </c>
      <c r="I1507" t="s">
        <v>31484</v>
      </c>
      <c r="J1507" t="s">
        <v>31485</v>
      </c>
      <c r="K1507" t="s">
        <v>31486</v>
      </c>
      <c r="L1507" t="s">
        <v>31487</v>
      </c>
      <c r="M1507" t="s">
        <v>31488</v>
      </c>
      <c r="N1507" t="s">
        <v>31489</v>
      </c>
      <c r="O1507">
        <f>-810.441187000544 -56.1485722380532 -703.90446961608</f>
        <v>-1570.4942288546772</v>
      </c>
      <c r="P1507">
        <f>-751.440551262024 -27.4498152642525 -394.257172046079</f>
        <v>-1173.1475385723554</v>
      </c>
      <c r="Q1507">
        <f>-494.800202594967 -33.6875221847597 -352.557723043331</f>
        <v>-881.04544782305766</v>
      </c>
      <c r="R1507" t="s">
        <v>31490</v>
      </c>
      <c r="S1507" t="s">
        <v>31491</v>
      </c>
      <c r="T1507" t="s">
        <v>31492</v>
      </c>
      <c r="U1507" t="s">
        <v>31493</v>
      </c>
      <c r="V1507" t="s">
        <v>31494</v>
      </c>
      <c r="W1507" t="s">
        <v>31495</v>
      </c>
      <c r="X1507" t="s">
        <v>31496</v>
      </c>
      <c r="Y1507" t="s">
        <v>31497</v>
      </c>
    </row>
    <row r="1508" spans="1:25" x14ac:dyDescent="0.3">
      <c r="A1508">
        <v>75350</v>
      </c>
      <c r="B1508" t="s">
        <v>31498</v>
      </c>
      <c r="C1508" t="s">
        <v>31499</v>
      </c>
      <c r="D1508" t="s">
        <v>31500</v>
      </c>
      <c r="E1508" t="s">
        <v>31501</v>
      </c>
      <c r="F1508" t="s">
        <v>31502</v>
      </c>
      <c r="G1508" t="s">
        <v>31503</v>
      </c>
      <c r="H1508" t="s">
        <v>31504</v>
      </c>
      <c r="I1508" t="s">
        <v>31505</v>
      </c>
      <c r="J1508" t="s">
        <v>31506</v>
      </c>
      <c r="K1508" t="s">
        <v>31507</v>
      </c>
      <c r="L1508" t="s">
        <v>31508</v>
      </c>
      <c r="M1508" t="s">
        <v>31509</v>
      </c>
      <c r="N1508" t="s">
        <v>31510</v>
      </c>
      <c r="O1508">
        <f>-811.112794220922 -56.6241058140947 -703.000685131397</f>
        <v>-1570.7375851664137</v>
      </c>
      <c r="P1508">
        <f>-751.95013395627 -26.8667926809101 -393.484101892162</f>
        <v>-1172.3010285293421</v>
      </c>
      <c r="Q1508">
        <f>-495.292901702274 -32.892752853006 -351.857245142999</f>
        <v>-880.04289969827892</v>
      </c>
      <c r="R1508" t="s">
        <v>31511</v>
      </c>
      <c r="S1508" t="s">
        <v>31512</v>
      </c>
      <c r="T1508" t="s">
        <v>31513</v>
      </c>
      <c r="U1508" t="s">
        <v>31514</v>
      </c>
      <c r="V1508" t="s">
        <v>31515</v>
      </c>
      <c r="W1508" t="s">
        <v>31516</v>
      </c>
      <c r="X1508" t="s">
        <v>31517</v>
      </c>
      <c r="Y1508" t="s">
        <v>31518</v>
      </c>
    </row>
    <row r="1509" spans="1:25" x14ac:dyDescent="0.3">
      <c r="A1509">
        <v>75400</v>
      </c>
      <c r="B1509" t="s">
        <v>31519</v>
      </c>
      <c r="C1509" t="s">
        <v>31520</v>
      </c>
      <c r="D1509" t="s">
        <v>31521</v>
      </c>
      <c r="E1509" t="s">
        <v>31522</v>
      </c>
      <c r="F1509" t="s">
        <v>31523</v>
      </c>
      <c r="G1509" t="s">
        <v>31524</v>
      </c>
      <c r="H1509" t="s">
        <v>31525</v>
      </c>
      <c r="I1509" t="s">
        <v>31526</v>
      </c>
      <c r="J1509" t="s">
        <v>31527</v>
      </c>
      <c r="K1509" t="s">
        <v>31528</v>
      </c>
      <c r="L1509" t="s">
        <v>31529</v>
      </c>
      <c r="M1509" t="s">
        <v>31530</v>
      </c>
      <c r="N1509" t="s">
        <v>31531</v>
      </c>
      <c r="O1509">
        <f>-811.564667210674 -56.5580896522727 -702.549342982576</f>
        <v>-1570.6720998455226</v>
      </c>
      <c r="P1509">
        <f>-752.205737831567 -26.1613260079666 -393.132568943976</f>
        <v>-1171.4996327835097</v>
      </c>
      <c r="Q1509">
        <f>-495.574671305349 -32.0336318028126 -351.322344855537</f>
        <v>-878.93064796369868</v>
      </c>
      <c r="R1509" t="s">
        <v>31532</v>
      </c>
      <c r="S1509" t="s">
        <v>31533</v>
      </c>
      <c r="T1509" t="s">
        <v>31534</v>
      </c>
      <c r="U1509" t="s">
        <v>31535</v>
      </c>
      <c r="V1509" t="s">
        <v>31536</v>
      </c>
      <c r="W1509" t="s">
        <v>31537</v>
      </c>
      <c r="X1509" t="s">
        <v>31538</v>
      </c>
      <c r="Y1509" t="s">
        <v>31539</v>
      </c>
    </row>
    <row r="1510" spans="1:25" x14ac:dyDescent="0.3">
      <c r="A1510">
        <v>75450</v>
      </c>
      <c r="B1510" t="s">
        <v>31540</v>
      </c>
      <c r="C1510" t="s">
        <v>31541</v>
      </c>
      <c r="D1510" t="s">
        <v>31542</v>
      </c>
      <c r="E1510" t="s">
        <v>31543</v>
      </c>
      <c r="F1510" t="s">
        <v>31544</v>
      </c>
      <c r="G1510" t="s">
        <v>31545</v>
      </c>
      <c r="H1510" t="s">
        <v>31546</v>
      </c>
      <c r="I1510" t="s">
        <v>31547</v>
      </c>
      <c r="J1510" t="s">
        <v>31548</v>
      </c>
      <c r="K1510" t="s">
        <v>31549</v>
      </c>
      <c r="L1510" t="s">
        <v>31550</v>
      </c>
      <c r="M1510" t="s">
        <v>31551</v>
      </c>
      <c r="N1510" t="s">
        <v>31552</v>
      </c>
      <c r="O1510">
        <f>-812.038859471656 -56.9479605861297 -701.54409611229</f>
        <v>-1570.5309161700757</v>
      </c>
      <c r="P1510">
        <f>-752.533285645854 -25.6706974644906 -392.243377737219</f>
        <v>-1170.4473608475637</v>
      </c>
      <c r="Q1510">
        <f>-496.048245747878 -31.243450886217 -349.506542680468</f>
        <v>-876.79823931456303</v>
      </c>
      <c r="R1510" t="s">
        <v>31553</v>
      </c>
      <c r="S1510" t="s">
        <v>31554</v>
      </c>
      <c r="T1510" t="s">
        <v>31555</v>
      </c>
      <c r="U1510" t="s">
        <v>31556</v>
      </c>
      <c r="V1510" t="s">
        <v>31557</v>
      </c>
      <c r="W1510" t="s">
        <v>31558</v>
      </c>
      <c r="X1510" t="s">
        <v>31559</v>
      </c>
      <c r="Y1510" t="s">
        <v>31560</v>
      </c>
    </row>
    <row r="1511" spans="1:25" x14ac:dyDescent="0.3">
      <c r="A1511">
        <v>75500</v>
      </c>
      <c r="B1511" t="s">
        <v>31561</v>
      </c>
      <c r="C1511" t="s">
        <v>31562</v>
      </c>
      <c r="D1511" t="s">
        <v>31563</v>
      </c>
      <c r="E1511" t="s">
        <v>31564</v>
      </c>
      <c r="F1511" t="s">
        <v>31565</v>
      </c>
      <c r="G1511" t="s">
        <v>31566</v>
      </c>
      <c r="H1511" t="s">
        <v>31567</v>
      </c>
      <c r="I1511" t="s">
        <v>31568</v>
      </c>
      <c r="J1511" t="s">
        <v>31569</v>
      </c>
      <c r="K1511" t="s">
        <v>31570</v>
      </c>
      <c r="L1511" t="s">
        <v>31571</v>
      </c>
      <c r="M1511" t="s">
        <v>31572</v>
      </c>
      <c r="N1511" t="s">
        <v>31573</v>
      </c>
      <c r="O1511">
        <f>-812.423531745387 -57.0627188645672 -700.996853890088</f>
        <v>-1570.4831045000421</v>
      </c>
      <c r="P1511">
        <f>-752.551031929946 -24.9544029635208 -391.85203671506</f>
        <v>-1169.3574716085268</v>
      </c>
      <c r="Q1511">
        <f>-496.172829838144 -30.4474782503614 -348.468663623882</f>
        <v>-875.08897171238743</v>
      </c>
      <c r="R1511" t="s">
        <v>31574</v>
      </c>
      <c r="S1511" t="s">
        <v>31575</v>
      </c>
      <c r="T1511" t="s">
        <v>31576</v>
      </c>
      <c r="U1511" t="s">
        <v>31577</v>
      </c>
      <c r="V1511" t="s">
        <v>31578</v>
      </c>
      <c r="W1511" t="s">
        <v>31579</v>
      </c>
      <c r="X1511" t="s">
        <v>31580</v>
      </c>
      <c r="Y1511" t="s">
        <v>31581</v>
      </c>
    </row>
    <row r="1512" spans="1:25" x14ac:dyDescent="0.3">
      <c r="A1512">
        <v>75550</v>
      </c>
      <c r="B1512" t="s">
        <v>31582</v>
      </c>
      <c r="C1512" t="s">
        <v>31583</v>
      </c>
      <c r="D1512" t="s">
        <v>31584</v>
      </c>
      <c r="E1512" t="s">
        <v>31585</v>
      </c>
      <c r="F1512" t="s">
        <v>31586</v>
      </c>
      <c r="G1512" t="s">
        <v>31587</v>
      </c>
      <c r="H1512" t="s">
        <v>31588</v>
      </c>
      <c r="I1512" t="s">
        <v>31589</v>
      </c>
      <c r="J1512" t="s">
        <v>31590</v>
      </c>
      <c r="K1512" t="s">
        <v>31591</v>
      </c>
      <c r="L1512" t="s">
        <v>31592</v>
      </c>
      <c r="M1512" t="s">
        <v>31593</v>
      </c>
      <c r="N1512" t="s">
        <v>31594</v>
      </c>
      <c r="O1512">
        <f>-813.098418096971 -57.2594721713845 -699.850266539276</f>
        <v>-1570.2081568076314</v>
      </c>
      <c r="P1512">
        <f>-753.103057196937 -24.9122140583775 -390.754184787829</f>
        <v>-1168.7694560431435</v>
      </c>
      <c r="Q1512">
        <f>-496.825505151592 -29.5736429208532 -346.684322307641</f>
        <v>-873.08347038008628</v>
      </c>
      <c r="R1512" t="s">
        <v>31595</v>
      </c>
      <c r="S1512" t="s">
        <v>31596</v>
      </c>
      <c r="T1512" t="s">
        <v>31597</v>
      </c>
      <c r="U1512" t="s">
        <v>31598</v>
      </c>
      <c r="V1512" t="s">
        <v>31599</v>
      </c>
      <c r="W1512" t="s">
        <v>31600</v>
      </c>
      <c r="X1512" t="s">
        <v>31601</v>
      </c>
      <c r="Y1512" t="s">
        <v>31602</v>
      </c>
    </row>
    <row r="1513" spans="1:25" x14ac:dyDescent="0.3">
      <c r="A1513">
        <v>75600</v>
      </c>
      <c r="B1513" t="s">
        <v>31603</v>
      </c>
      <c r="C1513" t="s">
        <v>31604</v>
      </c>
      <c r="D1513" t="s">
        <v>31605</v>
      </c>
      <c r="E1513" t="s">
        <v>31606</v>
      </c>
      <c r="F1513" t="s">
        <v>31607</v>
      </c>
      <c r="G1513" t="s">
        <v>31608</v>
      </c>
      <c r="H1513" t="s">
        <v>31609</v>
      </c>
      <c r="I1513" t="s">
        <v>31610</v>
      </c>
      <c r="J1513" t="s">
        <v>31611</v>
      </c>
      <c r="K1513" t="s">
        <v>31612</v>
      </c>
      <c r="L1513" t="s">
        <v>31613</v>
      </c>
      <c r="M1513" t="s">
        <v>31614</v>
      </c>
      <c r="N1513" t="s">
        <v>31615</v>
      </c>
      <c r="O1513">
        <f>-813.661511660639 -57.0822322814747 -699.393476943942</f>
        <v>-1570.1372208860557</v>
      </c>
      <c r="P1513">
        <f>-753.488386686922 -24.474633619215 -390.359323385205</f>
        <v>-1168.322343691342</v>
      </c>
      <c r="Q1513">
        <f>-497.218206759833 -28.3906787542319 -346.173855759414</f>
        <v>-871.7827412734789</v>
      </c>
      <c r="R1513" t="s">
        <v>31616</v>
      </c>
      <c r="S1513" t="s">
        <v>31617</v>
      </c>
      <c r="T1513" t="s">
        <v>31618</v>
      </c>
      <c r="U1513" t="s">
        <v>31619</v>
      </c>
      <c r="V1513" t="s">
        <v>31620</v>
      </c>
      <c r="W1513" t="s">
        <v>31621</v>
      </c>
      <c r="X1513" t="s">
        <v>31622</v>
      </c>
      <c r="Y1513" t="s">
        <v>31623</v>
      </c>
    </row>
    <row r="1514" spans="1:25" x14ac:dyDescent="0.3">
      <c r="A1514">
        <v>75650</v>
      </c>
      <c r="B1514" t="s">
        <v>31624</v>
      </c>
      <c r="C1514" t="s">
        <v>31625</v>
      </c>
      <c r="D1514" t="s">
        <v>31626</v>
      </c>
      <c r="E1514" t="s">
        <v>31627</v>
      </c>
      <c r="F1514" t="s">
        <v>31628</v>
      </c>
      <c r="G1514" t="s">
        <v>31629</v>
      </c>
      <c r="H1514" t="s">
        <v>31630</v>
      </c>
      <c r="I1514" t="s">
        <v>31631</v>
      </c>
      <c r="J1514" t="s">
        <v>31632</v>
      </c>
      <c r="K1514" t="s">
        <v>31633</v>
      </c>
      <c r="L1514" t="s">
        <v>31634</v>
      </c>
      <c r="M1514" t="s">
        <v>31635</v>
      </c>
      <c r="N1514" t="s">
        <v>31636</v>
      </c>
      <c r="O1514">
        <f>-813.794602907646 -57.1114159856893 -698.513907775076</f>
        <v>-1569.4199266684113</v>
      </c>
      <c r="P1514">
        <f>-753.541071458698 -24.6221296333458 -389.482974444674</f>
        <v>-1167.6461755367177</v>
      </c>
      <c r="Q1514">
        <f>-497.273041474643 -26.7834792958033 -345.164937719044</f>
        <v>-869.22145848949026</v>
      </c>
      <c r="R1514" t="s">
        <v>31637</v>
      </c>
      <c r="S1514" t="s">
        <v>31638</v>
      </c>
      <c r="T1514" t="s">
        <v>31639</v>
      </c>
      <c r="U1514" t="s">
        <v>31640</v>
      </c>
      <c r="V1514" t="s">
        <v>31641</v>
      </c>
      <c r="W1514" t="s">
        <v>31642</v>
      </c>
      <c r="X1514" t="s">
        <v>31643</v>
      </c>
      <c r="Y1514" t="s">
        <v>31644</v>
      </c>
    </row>
    <row r="1515" spans="1:25" x14ac:dyDescent="0.3">
      <c r="A1515">
        <v>75700</v>
      </c>
      <c r="B1515" t="s">
        <v>31645</v>
      </c>
      <c r="C1515" t="s">
        <v>31646</v>
      </c>
      <c r="D1515" t="s">
        <v>31647</v>
      </c>
      <c r="E1515" t="s">
        <v>31648</v>
      </c>
      <c r="F1515" t="s">
        <v>31649</v>
      </c>
      <c r="G1515" t="s">
        <v>31650</v>
      </c>
      <c r="H1515" t="s">
        <v>31651</v>
      </c>
      <c r="I1515" t="s">
        <v>31652</v>
      </c>
      <c r="J1515" t="s">
        <v>31653</v>
      </c>
      <c r="K1515" t="s">
        <v>31654</v>
      </c>
      <c r="L1515" t="s">
        <v>31655</v>
      </c>
      <c r="M1515" t="s">
        <v>31656</v>
      </c>
      <c r="N1515" t="s">
        <v>31657</v>
      </c>
      <c r="O1515">
        <f>-813.492715686447 -57.0301502829543 -698.169793534994</f>
        <v>-1568.6926595043954</v>
      </c>
      <c r="P1515">
        <f>-753.139503560954 -24.5435055834264 -389.157917994273</f>
        <v>-1166.8409271386536</v>
      </c>
      <c r="Q1515">
        <f>-496.954402132144 -25.8508298390295 -344.329887395873</f>
        <v>-867.13511936704651</v>
      </c>
      <c r="R1515" t="s">
        <v>31658</v>
      </c>
      <c r="S1515" t="s">
        <v>31659</v>
      </c>
      <c r="T1515" t="s">
        <v>31660</v>
      </c>
      <c r="U1515" t="s">
        <v>31661</v>
      </c>
      <c r="V1515" t="s">
        <v>31662</v>
      </c>
      <c r="W1515" t="s">
        <v>31663</v>
      </c>
      <c r="X1515" t="s">
        <v>31664</v>
      </c>
      <c r="Y1515" t="s">
        <v>31665</v>
      </c>
    </row>
    <row r="1516" spans="1:25" x14ac:dyDescent="0.3">
      <c r="A1516">
        <v>75750</v>
      </c>
      <c r="B1516" t="s">
        <v>31666</v>
      </c>
      <c r="C1516" t="s">
        <v>31667</v>
      </c>
      <c r="D1516" t="s">
        <v>31668</v>
      </c>
      <c r="E1516" t="s">
        <v>31669</v>
      </c>
      <c r="F1516" t="s">
        <v>31670</v>
      </c>
      <c r="G1516" t="s">
        <v>31671</v>
      </c>
      <c r="H1516" t="s">
        <v>31672</v>
      </c>
      <c r="I1516" t="s">
        <v>31673</v>
      </c>
      <c r="J1516" t="s">
        <v>31674</v>
      </c>
      <c r="K1516" t="s">
        <v>31675</v>
      </c>
      <c r="L1516" t="s">
        <v>31676</v>
      </c>
      <c r="M1516" t="s">
        <v>31677</v>
      </c>
      <c r="N1516" t="s">
        <v>31678</v>
      </c>
      <c r="O1516">
        <f>-812.877656532996 -57.1065732580737 -697.423954612143</f>
        <v>-1567.4081844032125</v>
      </c>
      <c r="P1516">
        <f>-752.777301675316 -24.5883163477099 -388.366261357441</f>
        <v>-1165.731879380467</v>
      </c>
      <c r="Q1516">
        <f>-496.735171640106 -22.9780559621217 -342.738073063809</f>
        <v>-862.45130066603667</v>
      </c>
      <c r="R1516" t="s">
        <v>31679</v>
      </c>
      <c r="S1516" t="s">
        <v>31680</v>
      </c>
      <c r="T1516" t="s">
        <v>31681</v>
      </c>
      <c r="U1516" t="s">
        <v>31682</v>
      </c>
      <c r="V1516" t="s">
        <v>31683</v>
      </c>
      <c r="W1516" t="s">
        <v>31684</v>
      </c>
      <c r="X1516" t="s">
        <v>31685</v>
      </c>
      <c r="Y1516" t="s">
        <v>31686</v>
      </c>
    </row>
    <row r="1517" spans="1:25" x14ac:dyDescent="0.3">
      <c r="A1517">
        <v>75800</v>
      </c>
      <c r="B1517" t="s">
        <v>31687</v>
      </c>
      <c r="C1517" t="s">
        <v>31688</v>
      </c>
      <c r="D1517" t="s">
        <v>31689</v>
      </c>
      <c r="E1517" t="s">
        <v>31690</v>
      </c>
      <c r="F1517" t="s">
        <v>31691</v>
      </c>
      <c r="G1517" t="s">
        <v>31692</v>
      </c>
      <c r="H1517" t="s">
        <v>31693</v>
      </c>
      <c r="I1517" t="s">
        <v>31694</v>
      </c>
      <c r="J1517" t="s">
        <v>31695</v>
      </c>
      <c r="K1517" t="s">
        <v>31696</v>
      </c>
      <c r="L1517" t="s">
        <v>31697</v>
      </c>
      <c r="M1517" t="s">
        <v>31698</v>
      </c>
      <c r="N1517" t="s">
        <v>31699</v>
      </c>
      <c r="O1517">
        <f>-812.679176061916 -57.0663868309096 -697.209745704154</f>
        <v>-1566.9553085969796</v>
      </c>
      <c r="P1517">
        <f>-752.84413862425 -24.4743663974009 -388.108172346142</f>
        <v>-1165.426677367793</v>
      </c>
      <c r="Q1517">
        <f>-496.890860107831 -21.1983548295937 -342.073293327537</f>
        <v>-860.16250826496162</v>
      </c>
      <c r="R1517" t="s">
        <v>31700</v>
      </c>
      <c r="S1517" t="s">
        <v>31701</v>
      </c>
      <c r="T1517" t="s">
        <v>31702</v>
      </c>
      <c r="U1517" t="s">
        <v>31703</v>
      </c>
      <c r="V1517" t="s">
        <v>31704</v>
      </c>
      <c r="W1517" t="s">
        <v>31705</v>
      </c>
      <c r="X1517" t="s">
        <v>31706</v>
      </c>
      <c r="Y1517" t="s">
        <v>31707</v>
      </c>
    </row>
    <row r="1518" spans="1:25" x14ac:dyDescent="0.3">
      <c r="A1518">
        <v>75850</v>
      </c>
      <c r="B1518" t="s">
        <v>31708</v>
      </c>
      <c r="C1518" t="s">
        <v>31709</v>
      </c>
      <c r="D1518" t="s">
        <v>31710</v>
      </c>
      <c r="E1518" t="s">
        <v>31711</v>
      </c>
      <c r="F1518" t="s">
        <v>31712</v>
      </c>
      <c r="G1518" t="s">
        <v>31713</v>
      </c>
      <c r="H1518" t="s">
        <v>31714</v>
      </c>
      <c r="I1518" t="s">
        <v>31715</v>
      </c>
      <c r="J1518" t="s">
        <v>31716</v>
      </c>
      <c r="K1518" t="s">
        <v>31717</v>
      </c>
      <c r="L1518" t="s">
        <v>31718</v>
      </c>
      <c r="M1518" t="s">
        <v>31719</v>
      </c>
      <c r="N1518" t="s">
        <v>31720</v>
      </c>
      <c r="O1518">
        <f>-811.735831033199 -57.0031124770051 -696.967512859233</f>
        <v>-1565.7064563694371</v>
      </c>
      <c r="P1518">
        <f>-752.361914454382 -24.454931362101 -387.772515537804</f>
        <v>-1164.5893613542871</v>
      </c>
      <c r="Q1518">
        <f>-496.530946439583 -18.8814911692 -341.280930004778</f>
        <v>-856.69336761356089</v>
      </c>
      <c r="R1518" t="s">
        <v>31721</v>
      </c>
      <c r="S1518" t="s">
        <v>31722</v>
      </c>
      <c r="T1518" t="s">
        <v>31723</v>
      </c>
      <c r="U1518" t="s">
        <v>31724</v>
      </c>
      <c r="V1518" t="s">
        <v>31725</v>
      </c>
      <c r="W1518" t="s">
        <v>31726</v>
      </c>
      <c r="X1518" t="s">
        <v>31727</v>
      </c>
      <c r="Y1518" t="s">
        <v>31728</v>
      </c>
    </row>
    <row r="1519" spans="1:25" x14ac:dyDescent="0.3">
      <c r="A1519">
        <v>75900</v>
      </c>
      <c r="B1519" t="s">
        <v>31729</v>
      </c>
      <c r="C1519" t="s">
        <v>31730</v>
      </c>
      <c r="D1519" t="s">
        <v>31731</v>
      </c>
      <c r="E1519" t="s">
        <v>31732</v>
      </c>
      <c r="F1519" t="s">
        <v>31733</v>
      </c>
      <c r="G1519" t="s">
        <v>31734</v>
      </c>
      <c r="H1519" t="s">
        <v>31735</v>
      </c>
      <c r="I1519" t="s">
        <v>31736</v>
      </c>
      <c r="J1519" t="s">
        <v>31737</v>
      </c>
      <c r="K1519" t="s">
        <v>31738</v>
      </c>
      <c r="L1519" t="s">
        <v>31739</v>
      </c>
      <c r="M1519" t="s">
        <v>31740</v>
      </c>
      <c r="N1519" t="s">
        <v>31741</v>
      </c>
      <c r="O1519">
        <f>-811.394042195738 -56.6284853488187 -696.985791116402</f>
        <v>-1565.0083186609586</v>
      </c>
      <c r="P1519">
        <f>-752.221455794967 -24.0374497031191 -387.756703326613</f>
        <v>-1164.015608824699</v>
      </c>
      <c r="Q1519">
        <f>-496.434673657826 -17.8942459051912 -341.093844734188</f>
        <v>-855.42276429720516</v>
      </c>
      <c r="R1519" t="s">
        <v>31742</v>
      </c>
      <c r="S1519" t="s">
        <v>31743</v>
      </c>
      <c r="T1519" t="s">
        <v>31744</v>
      </c>
      <c r="U1519" t="s">
        <v>31745</v>
      </c>
      <c r="V1519" t="s">
        <v>31746</v>
      </c>
      <c r="W1519" t="s">
        <v>31747</v>
      </c>
      <c r="X1519" t="s">
        <v>31748</v>
      </c>
      <c r="Y1519" t="s">
        <v>31749</v>
      </c>
    </row>
    <row r="1520" spans="1:25" x14ac:dyDescent="0.3">
      <c r="A1520">
        <v>75950</v>
      </c>
      <c r="B1520" t="s">
        <v>31750</v>
      </c>
      <c r="C1520" t="s">
        <v>31751</v>
      </c>
      <c r="D1520" t="s">
        <v>31752</v>
      </c>
      <c r="E1520" t="s">
        <v>31753</v>
      </c>
      <c r="F1520" t="s">
        <v>31754</v>
      </c>
      <c r="G1520" t="s">
        <v>31755</v>
      </c>
      <c r="H1520" t="s">
        <v>31756</v>
      </c>
      <c r="I1520" t="s">
        <v>31757</v>
      </c>
      <c r="J1520" t="s">
        <v>31758</v>
      </c>
      <c r="K1520" t="s">
        <v>31759</v>
      </c>
      <c r="L1520" t="s">
        <v>31760</v>
      </c>
      <c r="M1520" t="s">
        <v>31761</v>
      </c>
      <c r="N1520" t="s">
        <v>31762</v>
      </c>
      <c r="O1520">
        <f>-810.312430684843 -56.4371129375095 -697.520891559102</f>
        <v>-1564.2704351814546</v>
      </c>
      <c r="P1520">
        <f>-751.97446685809 -23.7295729130119 -388.145624399848</f>
        <v>-1163.8496641709498</v>
      </c>
      <c r="Q1520">
        <f>-496.373418205246 -17.5081190658398 -340.485952883706</f>
        <v>-854.36749015479177</v>
      </c>
      <c r="R1520" t="s">
        <v>31763</v>
      </c>
      <c r="S1520" t="s">
        <v>31764</v>
      </c>
      <c r="T1520" t="s">
        <v>31765</v>
      </c>
      <c r="U1520" t="s">
        <v>31766</v>
      </c>
      <c r="V1520" t="s">
        <v>31767</v>
      </c>
      <c r="W1520" t="s">
        <v>31768</v>
      </c>
      <c r="X1520" t="s">
        <v>31769</v>
      </c>
      <c r="Y1520" t="s">
        <v>31770</v>
      </c>
    </row>
    <row r="1521" spans="1:25" x14ac:dyDescent="0.3">
      <c r="A1521">
        <v>76000</v>
      </c>
      <c r="B1521" t="s">
        <v>31771</v>
      </c>
      <c r="C1521" t="s">
        <v>31772</v>
      </c>
      <c r="D1521" t="s">
        <v>31773</v>
      </c>
      <c r="E1521" t="s">
        <v>31774</v>
      </c>
      <c r="F1521" t="s">
        <v>31775</v>
      </c>
      <c r="G1521" t="s">
        <v>31776</v>
      </c>
      <c r="H1521" t="s">
        <v>31777</v>
      </c>
      <c r="I1521" t="s">
        <v>31778</v>
      </c>
      <c r="J1521" t="s">
        <v>31779</v>
      </c>
      <c r="K1521" t="s">
        <v>31780</v>
      </c>
      <c r="L1521" t="s">
        <v>31781</v>
      </c>
      <c r="M1521" t="s">
        <v>31782</v>
      </c>
      <c r="N1521" t="s">
        <v>31783</v>
      </c>
      <c r="O1521">
        <f>-810.343322183106 -56.1909980465196 -697.931706151031</f>
        <v>-1564.4660263806566</v>
      </c>
      <c r="P1521">
        <f>-752.597342882518 -23.6518446121149 -388.427666730719</f>
        <v>-1164.6768542253519</v>
      </c>
      <c r="Q1521">
        <f>-497.067193076875 -17.5199189366017 -340.377239790694</f>
        <v>-854.96435180417075</v>
      </c>
      <c r="R1521" t="s">
        <v>31784</v>
      </c>
      <c r="S1521" t="s">
        <v>31785</v>
      </c>
      <c r="T1521" t="s">
        <v>31786</v>
      </c>
      <c r="U1521" t="s">
        <v>31787</v>
      </c>
      <c r="V1521" t="s">
        <v>31788</v>
      </c>
      <c r="W1521" t="s">
        <v>31789</v>
      </c>
      <c r="X1521" t="s">
        <v>31790</v>
      </c>
      <c r="Y1521" t="s">
        <v>31791</v>
      </c>
    </row>
    <row r="1522" spans="1:25" x14ac:dyDescent="0.3">
      <c r="A1522">
        <v>76050</v>
      </c>
      <c r="B1522" t="s">
        <v>31792</v>
      </c>
      <c r="C1522" t="s">
        <v>31793</v>
      </c>
      <c r="D1522" t="s">
        <v>31794</v>
      </c>
      <c r="E1522" t="s">
        <v>31795</v>
      </c>
      <c r="F1522" t="s">
        <v>31796</v>
      </c>
      <c r="G1522" t="s">
        <v>31797</v>
      </c>
      <c r="H1522" t="s">
        <v>31798</v>
      </c>
      <c r="I1522" t="s">
        <v>31799</v>
      </c>
      <c r="J1522" t="s">
        <v>31800</v>
      </c>
      <c r="K1522" t="s">
        <v>31801</v>
      </c>
      <c r="L1522" t="s">
        <v>31802</v>
      </c>
      <c r="M1522" t="s">
        <v>31803</v>
      </c>
      <c r="N1522" t="s">
        <v>31804</v>
      </c>
      <c r="O1522">
        <f>-810.05536784889 -56.2621570510346 -699.032330401829</f>
        <v>-1565.3498553017535</v>
      </c>
      <c r="P1522">
        <f>-753.43209210792 -23.7975154151511 -389.313011606348</f>
        <v>-1166.5426191294191</v>
      </c>
      <c r="Q1522">
        <f>-498.022694410787 -18.5308522264199 -340.524070897437</f>
        <v>-857.07761753464388</v>
      </c>
      <c r="R1522" t="s">
        <v>31805</v>
      </c>
      <c r="S1522" t="s">
        <v>31806</v>
      </c>
      <c r="T1522" t="s">
        <v>31807</v>
      </c>
      <c r="U1522" t="s">
        <v>31808</v>
      </c>
      <c r="V1522" t="s">
        <v>31809</v>
      </c>
      <c r="W1522" t="s">
        <v>31810</v>
      </c>
      <c r="X1522" t="s">
        <v>31811</v>
      </c>
      <c r="Y1522" t="s">
        <v>31812</v>
      </c>
    </row>
    <row r="1523" spans="1:25" x14ac:dyDescent="0.3">
      <c r="A1523">
        <v>76100</v>
      </c>
      <c r="B1523" t="s">
        <v>31813</v>
      </c>
      <c r="C1523" t="s">
        <v>31814</v>
      </c>
      <c r="D1523" t="s">
        <v>31815</v>
      </c>
      <c r="E1523" t="s">
        <v>31816</v>
      </c>
      <c r="F1523" t="s">
        <v>31817</v>
      </c>
      <c r="G1523" t="s">
        <v>31818</v>
      </c>
      <c r="H1523" t="s">
        <v>31819</v>
      </c>
      <c r="I1523" t="s">
        <v>31820</v>
      </c>
      <c r="J1523" t="s">
        <v>31821</v>
      </c>
      <c r="K1523" t="s">
        <v>31822</v>
      </c>
      <c r="L1523" t="s">
        <v>31823</v>
      </c>
      <c r="M1523" t="s">
        <v>31824</v>
      </c>
      <c r="N1523" t="s">
        <v>31825</v>
      </c>
      <c r="O1523">
        <f>-809.272348749761 -56.2804359000131 -699.451446323132</f>
        <v>-1565.004230972906</v>
      </c>
      <c r="P1523">
        <f>-752.912522980887 -23.904474376076 -389.674816939697</f>
        <v>-1166.4918142966601</v>
      </c>
      <c r="Q1523">
        <f>-497.589240622323 -19.1868061188641 -340.381351240013</f>
        <v>-857.15739798120012</v>
      </c>
      <c r="R1523" t="s">
        <v>31826</v>
      </c>
      <c r="S1523" t="s">
        <v>31827</v>
      </c>
      <c r="T1523" t="s">
        <v>31828</v>
      </c>
      <c r="U1523" t="s">
        <v>31829</v>
      </c>
      <c r="V1523" t="s">
        <v>31830</v>
      </c>
      <c r="W1523" t="s">
        <v>31831</v>
      </c>
      <c r="X1523" t="s">
        <v>31832</v>
      </c>
      <c r="Y1523" t="s">
        <v>31833</v>
      </c>
    </row>
    <row r="1524" spans="1:25" x14ac:dyDescent="0.3">
      <c r="A1524">
        <v>76150</v>
      </c>
      <c r="B1524" t="s">
        <v>31834</v>
      </c>
      <c r="C1524" t="s">
        <v>31835</v>
      </c>
      <c r="D1524" t="s">
        <v>31836</v>
      </c>
      <c r="E1524" t="s">
        <v>31837</v>
      </c>
      <c r="F1524" t="s">
        <v>31838</v>
      </c>
      <c r="G1524" t="s">
        <v>31839</v>
      </c>
      <c r="H1524" t="s">
        <v>31840</v>
      </c>
      <c r="I1524" t="s">
        <v>31841</v>
      </c>
      <c r="J1524" t="s">
        <v>31842</v>
      </c>
      <c r="K1524" t="s">
        <v>31843</v>
      </c>
      <c r="L1524" t="s">
        <v>31844</v>
      </c>
      <c r="M1524" t="s">
        <v>31845</v>
      </c>
      <c r="N1524" t="s">
        <v>31846</v>
      </c>
      <c r="O1524">
        <f>-807.065960282181 -56.2401790137633 -699.985750211891</f>
        <v>-1563.2918895078351</v>
      </c>
      <c r="P1524">
        <f>-751.361241146472 -23.6809980743992 -390.109818641846</f>
        <v>-1165.1520578627174</v>
      </c>
      <c r="Q1524">
        <f>-496.165755246335 -19.8383378113363 -340.084319442955</f>
        <v>-856.0884125006263</v>
      </c>
      <c r="R1524" t="s">
        <v>31847</v>
      </c>
      <c r="S1524" t="s">
        <v>31848</v>
      </c>
      <c r="T1524" t="s">
        <v>31849</v>
      </c>
      <c r="U1524" t="s">
        <v>31850</v>
      </c>
      <c r="V1524" t="s">
        <v>31851</v>
      </c>
      <c r="W1524" t="s">
        <v>31852</v>
      </c>
      <c r="X1524" t="s">
        <v>31853</v>
      </c>
      <c r="Y1524" t="s">
        <v>31854</v>
      </c>
    </row>
    <row r="1525" spans="1:25" x14ac:dyDescent="0.3">
      <c r="A1525">
        <v>76200</v>
      </c>
      <c r="B1525" t="s">
        <v>31855</v>
      </c>
      <c r="C1525" t="s">
        <v>31856</v>
      </c>
      <c r="D1525" t="s">
        <v>31857</v>
      </c>
      <c r="E1525" t="s">
        <v>31858</v>
      </c>
      <c r="F1525" t="s">
        <v>31859</v>
      </c>
      <c r="G1525" t="s">
        <v>31860</v>
      </c>
      <c r="H1525" t="s">
        <v>31861</v>
      </c>
      <c r="I1525" t="s">
        <v>31862</v>
      </c>
      <c r="J1525" t="s">
        <v>31863</v>
      </c>
      <c r="K1525" t="s">
        <v>31864</v>
      </c>
      <c r="L1525" t="s">
        <v>31865</v>
      </c>
      <c r="M1525" t="s">
        <v>31866</v>
      </c>
      <c r="N1525" t="s">
        <v>31867</v>
      </c>
      <c r="O1525">
        <f>-805.452080650305 -56.0815874054456 -700.200940447005</f>
        <v>-1561.7346085027557</v>
      </c>
      <c r="P1525">
        <f>-750.114411766016 -23.5544589353055 -390.256052694909</f>
        <v>-1163.9249233962305</v>
      </c>
      <c r="Q1525">
        <f>-494.94012095064 -20.0621837262095 -340.0967566141</f>
        <v>-855.09906129094952</v>
      </c>
      <c r="R1525" t="s">
        <v>31868</v>
      </c>
      <c r="S1525" t="s">
        <v>31869</v>
      </c>
      <c r="T1525" t="s">
        <v>31870</v>
      </c>
      <c r="U1525" t="s">
        <v>31871</v>
      </c>
      <c r="V1525" t="s">
        <v>31872</v>
      </c>
      <c r="W1525" t="s">
        <v>31873</v>
      </c>
      <c r="X1525" t="s">
        <v>31874</v>
      </c>
      <c r="Y1525" t="s">
        <v>31875</v>
      </c>
    </row>
    <row r="1526" spans="1:25" x14ac:dyDescent="0.3">
      <c r="A1526">
        <v>76250</v>
      </c>
      <c r="B1526" t="s">
        <v>31876</v>
      </c>
      <c r="C1526" t="s">
        <v>31877</v>
      </c>
      <c r="D1526" t="s">
        <v>31878</v>
      </c>
      <c r="E1526" t="s">
        <v>31879</v>
      </c>
      <c r="F1526" t="s">
        <v>31880</v>
      </c>
      <c r="G1526" t="s">
        <v>31881</v>
      </c>
      <c r="H1526" t="s">
        <v>31882</v>
      </c>
      <c r="I1526" t="s">
        <v>31883</v>
      </c>
      <c r="J1526" t="s">
        <v>31884</v>
      </c>
      <c r="K1526" t="s">
        <v>31885</v>
      </c>
      <c r="L1526" t="s">
        <v>31886</v>
      </c>
      <c r="M1526" t="s">
        <v>31887</v>
      </c>
      <c r="N1526" t="s">
        <v>31888</v>
      </c>
      <c r="O1526">
        <f>-802.526919812423 -55.5660738529098 -700.600175378186</f>
        <v>-1558.6931690435188</v>
      </c>
      <c r="P1526">
        <f>-747.48393865877 -23.8568417638683 -390.51787097492</f>
        <v>-1161.8586513975583</v>
      </c>
      <c r="Q1526">
        <f>-492.295228764421 -20.9472879741877 -340.395069673385</f>
        <v>-853.63758641199365</v>
      </c>
      <c r="R1526" t="s">
        <v>31889</v>
      </c>
      <c r="S1526" t="s">
        <v>31890</v>
      </c>
      <c r="T1526" t="s">
        <v>31891</v>
      </c>
      <c r="U1526" t="s">
        <v>31892</v>
      </c>
      <c r="V1526" t="s">
        <v>31893</v>
      </c>
      <c r="W1526" t="s">
        <v>31894</v>
      </c>
      <c r="X1526" t="s">
        <v>31895</v>
      </c>
      <c r="Y1526" t="s">
        <v>31896</v>
      </c>
    </row>
    <row r="1527" spans="1:25" x14ac:dyDescent="0.3">
      <c r="A1527">
        <v>76300</v>
      </c>
      <c r="B1527" t="s">
        <v>31897</v>
      </c>
      <c r="C1527" t="s">
        <v>31898</v>
      </c>
      <c r="D1527" t="s">
        <v>31899</v>
      </c>
      <c r="E1527" t="s">
        <v>31900</v>
      </c>
      <c r="F1527" t="s">
        <v>31901</v>
      </c>
      <c r="G1527" t="s">
        <v>31902</v>
      </c>
      <c r="H1527" t="s">
        <v>31903</v>
      </c>
      <c r="I1527" t="s">
        <v>31904</v>
      </c>
      <c r="J1527" t="s">
        <v>31905</v>
      </c>
      <c r="K1527" t="s">
        <v>31906</v>
      </c>
      <c r="L1527" t="s">
        <v>31907</v>
      </c>
      <c r="M1527" t="s">
        <v>31908</v>
      </c>
      <c r="N1527" t="s">
        <v>31909</v>
      </c>
      <c r="O1527">
        <f>-801.053050818256 -55.4771114885041 -700.949526186227</f>
        <v>-1557.479688492987</v>
      </c>
      <c r="P1527">
        <f>-746.227528871567 -23.8618887504956 -390.819085540865</f>
        <v>-1160.9085031629274</v>
      </c>
      <c r="Q1527">
        <f>-491.0299917037 -20.8814548301891 -340.745240591538</f>
        <v>-852.65668712542708</v>
      </c>
      <c r="R1527" t="s">
        <v>31910</v>
      </c>
      <c r="S1527" t="s">
        <v>31911</v>
      </c>
      <c r="T1527" t="s">
        <v>31912</v>
      </c>
      <c r="U1527" t="s">
        <v>31913</v>
      </c>
      <c r="V1527" t="s">
        <v>31914</v>
      </c>
      <c r="W1527" t="s">
        <v>31915</v>
      </c>
      <c r="X1527" t="s">
        <v>31916</v>
      </c>
      <c r="Y1527" t="s">
        <v>31917</v>
      </c>
    </row>
    <row r="1528" spans="1:25" x14ac:dyDescent="0.3">
      <c r="A1528">
        <v>76350</v>
      </c>
      <c r="B1528" t="s">
        <v>31918</v>
      </c>
      <c r="C1528" t="s">
        <v>31919</v>
      </c>
      <c r="D1528" t="s">
        <v>31920</v>
      </c>
      <c r="E1528" t="s">
        <v>31921</v>
      </c>
      <c r="F1528" t="s">
        <v>31922</v>
      </c>
      <c r="G1528" t="s">
        <v>31923</v>
      </c>
      <c r="H1528" t="s">
        <v>31924</v>
      </c>
      <c r="I1528" t="s">
        <v>31925</v>
      </c>
      <c r="J1528" t="s">
        <v>31926</v>
      </c>
      <c r="K1528" t="s">
        <v>31927</v>
      </c>
      <c r="L1528" t="s">
        <v>31928</v>
      </c>
      <c r="M1528" t="s">
        <v>31929</v>
      </c>
      <c r="N1528" t="s">
        <v>31930</v>
      </c>
      <c r="O1528">
        <f>-797.289021020505 -55.9674389944873 -701.903211512921</f>
        <v>-1555.1596715279134</v>
      </c>
      <c r="P1528">
        <f>-743.997214510244 -23.8954436442064 -391.552434108451</f>
        <v>-1159.4450922629014</v>
      </c>
      <c r="Q1528">
        <f>-488.91924935557 -19.5939478297 -340.968453046757</f>
        <v>-849.48165023202705</v>
      </c>
      <c r="R1528" t="s">
        <v>31931</v>
      </c>
      <c r="S1528" t="s">
        <v>31932</v>
      </c>
      <c r="T1528" t="s">
        <v>31933</v>
      </c>
      <c r="U1528" t="s">
        <v>31934</v>
      </c>
      <c r="V1528" t="s">
        <v>31935</v>
      </c>
      <c r="W1528" t="s">
        <v>31936</v>
      </c>
      <c r="X1528" t="s">
        <v>31937</v>
      </c>
      <c r="Y1528" t="s">
        <v>31938</v>
      </c>
    </row>
    <row r="1529" spans="1:25" x14ac:dyDescent="0.3">
      <c r="A1529">
        <v>76400</v>
      </c>
      <c r="B1529" t="s">
        <v>31939</v>
      </c>
      <c r="C1529" t="s">
        <v>31940</v>
      </c>
      <c r="D1529" t="s">
        <v>31941</v>
      </c>
      <c r="E1529" t="s">
        <v>31942</v>
      </c>
      <c r="F1529" t="s">
        <v>31943</v>
      </c>
      <c r="G1529" t="s">
        <v>31944</v>
      </c>
      <c r="H1529" t="s">
        <v>31945</v>
      </c>
      <c r="I1529" t="s">
        <v>31946</v>
      </c>
      <c r="J1529" t="s">
        <v>31947</v>
      </c>
      <c r="K1529" t="s">
        <v>31948</v>
      </c>
      <c r="L1529" t="s">
        <v>31949</v>
      </c>
      <c r="M1529" t="s">
        <v>31950</v>
      </c>
      <c r="N1529" t="s">
        <v>31951</v>
      </c>
      <c r="O1529">
        <f>-795.788573254926 -56.3807337026274 -702.273607853045</f>
        <v>-1554.4429148105983</v>
      </c>
      <c r="P1529">
        <f>-743.088277143629 -24.1455697147853 -391.83882309694</f>
        <v>-1159.0726699553543</v>
      </c>
      <c r="Q1529">
        <f>-488.062316168597 -18.9891964543581 -341.072539774807</f>
        <v>-848.12405239776217</v>
      </c>
      <c r="R1529" t="s">
        <v>31952</v>
      </c>
      <c r="S1529" t="s">
        <v>31953</v>
      </c>
      <c r="T1529" t="s">
        <v>31954</v>
      </c>
      <c r="U1529" t="s">
        <v>31955</v>
      </c>
      <c r="V1529" t="s">
        <v>31956</v>
      </c>
      <c r="W1529" t="s">
        <v>31957</v>
      </c>
      <c r="X1529" t="s">
        <v>31958</v>
      </c>
      <c r="Y1529" t="s">
        <v>31959</v>
      </c>
    </row>
    <row r="1530" spans="1:25" x14ac:dyDescent="0.3">
      <c r="A1530">
        <v>76450</v>
      </c>
      <c r="B1530" t="s">
        <v>31960</v>
      </c>
      <c r="C1530" t="s">
        <v>31961</v>
      </c>
      <c r="D1530" t="s">
        <v>31962</v>
      </c>
      <c r="E1530" t="s">
        <v>31963</v>
      </c>
      <c r="F1530" t="s">
        <v>31964</v>
      </c>
      <c r="G1530" t="s">
        <v>31965</v>
      </c>
      <c r="H1530" t="s">
        <v>31966</v>
      </c>
      <c r="I1530" t="s">
        <v>31967</v>
      </c>
      <c r="J1530" t="s">
        <v>31968</v>
      </c>
      <c r="K1530" t="s">
        <v>31969</v>
      </c>
      <c r="L1530" t="s">
        <v>31970</v>
      </c>
      <c r="M1530" t="s">
        <v>31971</v>
      </c>
      <c r="N1530" t="s">
        <v>31972</v>
      </c>
      <c r="O1530">
        <f>-793.133037494242 -56.9896562059703 -702.905991812205</f>
        <v>-1553.0286855124173</v>
      </c>
      <c r="P1530">
        <f>-741.002984320521 -24.423850572304 -392.409503133608</f>
        <v>-1157.8363380264329</v>
      </c>
      <c r="Q1530">
        <f>-485.983283728402 -17.9719884451376 -341.75942052374</f>
        <v>-845.71469269727959</v>
      </c>
      <c r="R1530" t="s">
        <v>31973</v>
      </c>
      <c r="S1530" t="s">
        <v>31974</v>
      </c>
      <c r="T1530" t="s">
        <v>31975</v>
      </c>
      <c r="U1530" t="s">
        <v>31976</v>
      </c>
      <c r="V1530" t="s">
        <v>31977</v>
      </c>
      <c r="W1530" t="s">
        <v>31978</v>
      </c>
      <c r="X1530" t="s">
        <v>31979</v>
      </c>
      <c r="Y1530" t="s">
        <v>31980</v>
      </c>
    </row>
    <row r="1531" spans="1:25" x14ac:dyDescent="0.3">
      <c r="A1531">
        <v>76500</v>
      </c>
      <c r="B1531" t="s">
        <v>31981</v>
      </c>
      <c r="C1531" t="s">
        <v>31982</v>
      </c>
      <c r="D1531" t="s">
        <v>31983</v>
      </c>
      <c r="E1531" t="s">
        <v>31984</v>
      </c>
      <c r="F1531" t="s">
        <v>31985</v>
      </c>
      <c r="G1531" t="s">
        <v>31986</v>
      </c>
      <c r="H1531" t="s">
        <v>31987</v>
      </c>
      <c r="I1531" t="s">
        <v>31988</v>
      </c>
      <c r="J1531" t="s">
        <v>31989</v>
      </c>
      <c r="K1531" t="s">
        <v>31990</v>
      </c>
      <c r="L1531" t="s">
        <v>31991</v>
      </c>
      <c r="M1531" t="s">
        <v>31992</v>
      </c>
      <c r="N1531" t="s">
        <v>31993</v>
      </c>
      <c r="O1531">
        <f>-791.872553728306 -57.2777286168146 -703.145580117704</f>
        <v>-1552.2958624628245</v>
      </c>
      <c r="P1531">
        <f>-740.081124974618 -24.4161108855997 -392.623343147952</f>
        <v>-1157.1205790081697</v>
      </c>
      <c r="Q1531">
        <f>-485.054767036364 -17.4059474628384 -342.081568564432</f>
        <v>-844.54228306363439</v>
      </c>
      <c r="R1531" t="s">
        <v>31994</v>
      </c>
      <c r="S1531" t="s">
        <v>31995</v>
      </c>
      <c r="T1531" t="s">
        <v>31996</v>
      </c>
      <c r="U1531" t="s">
        <v>31997</v>
      </c>
      <c r="V1531" t="s">
        <v>31998</v>
      </c>
      <c r="W1531" t="s">
        <v>31999</v>
      </c>
      <c r="X1531" t="s">
        <v>32000</v>
      </c>
      <c r="Y1531" t="s">
        <v>32001</v>
      </c>
    </row>
    <row r="1532" spans="1:25" x14ac:dyDescent="0.3">
      <c r="A1532">
        <v>76550</v>
      </c>
      <c r="B1532" t="s">
        <v>32002</v>
      </c>
      <c r="C1532" t="s">
        <v>32003</v>
      </c>
      <c r="D1532" t="s">
        <v>32004</v>
      </c>
      <c r="E1532" t="s">
        <v>32005</v>
      </c>
      <c r="F1532" t="s">
        <v>32006</v>
      </c>
      <c r="G1532" t="s">
        <v>32007</v>
      </c>
      <c r="H1532" t="s">
        <v>32008</v>
      </c>
      <c r="I1532" t="s">
        <v>32009</v>
      </c>
      <c r="J1532" t="s">
        <v>32010</v>
      </c>
      <c r="K1532" t="s">
        <v>32011</v>
      </c>
      <c r="L1532" t="s">
        <v>32012</v>
      </c>
      <c r="M1532" t="s">
        <v>32013</v>
      </c>
      <c r="N1532" t="s">
        <v>32014</v>
      </c>
      <c r="O1532">
        <f>-789.071271002441 -57.5009661433899 -703.803590743699</f>
        <v>-1550.3758278895298</v>
      </c>
      <c r="P1532">
        <f>-738.280112173322 -24.2704109088913 -393.155708616171</f>
        <v>-1155.7062316983843</v>
      </c>
      <c r="Q1532">
        <f>-483.336671375399 -15.7439625337745 -342.428859563923</f>
        <v>-841.50949347309654</v>
      </c>
      <c r="R1532" t="s">
        <v>32015</v>
      </c>
      <c r="S1532" t="s">
        <v>32016</v>
      </c>
      <c r="T1532" t="s">
        <v>32017</v>
      </c>
      <c r="U1532" t="s">
        <v>32018</v>
      </c>
      <c r="V1532" t="s">
        <v>32019</v>
      </c>
      <c r="W1532" t="s">
        <v>32020</v>
      </c>
      <c r="X1532" t="s">
        <v>32021</v>
      </c>
      <c r="Y1532" t="s">
        <v>32022</v>
      </c>
    </row>
    <row r="1533" spans="1:25" x14ac:dyDescent="0.3">
      <c r="A1533">
        <v>76600</v>
      </c>
      <c r="B1533" t="s">
        <v>32023</v>
      </c>
      <c r="C1533" t="s">
        <v>32024</v>
      </c>
      <c r="D1533" t="s">
        <v>32025</v>
      </c>
      <c r="E1533" t="s">
        <v>32026</v>
      </c>
      <c r="F1533" t="s">
        <v>32027</v>
      </c>
      <c r="G1533" t="s">
        <v>32028</v>
      </c>
      <c r="H1533" t="s">
        <v>32029</v>
      </c>
      <c r="I1533" t="s">
        <v>32030</v>
      </c>
      <c r="J1533" t="s">
        <v>32031</v>
      </c>
      <c r="K1533" t="s">
        <v>32032</v>
      </c>
      <c r="L1533" t="s">
        <v>32033</v>
      </c>
      <c r="M1533" t="s">
        <v>32034</v>
      </c>
      <c r="N1533" t="s">
        <v>32035</v>
      </c>
      <c r="O1533">
        <f>-787.836740976197 -57.6549626555168 -704.156363560839</f>
        <v>-1549.6480671925528</v>
      </c>
      <c r="P1533">
        <f>-737.610991265301 -24.4589902813925 -393.412738980617</f>
        <v>-1155.4827205273104</v>
      </c>
      <c r="Q1533">
        <f>-482.747351404695 -15.2799002153415 -342.39993443223</f>
        <v>-840.42718605226651</v>
      </c>
      <c r="R1533" t="s">
        <v>32036</v>
      </c>
      <c r="S1533" t="s">
        <v>32037</v>
      </c>
      <c r="T1533" t="s">
        <v>32038</v>
      </c>
      <c r="U1533" t="s">
        <v>32039</v>
      </c>
      <c r="V1533" t="s">
        <v>32040</v>
      </c>
      <c r="W1533" t="s">
        <v>32041</v>
      </c>
      <c r="X1533" t="s">
        <v>32042</v>
      </c>
      <c r="Y1533" t="s">
        <v>32043</v>
      </c>
    </row>
    <row r="1534" spans="1:25" x14ac:dyDescent="0.3">
      <c r="A1534">
        <v>76650</v>
      </c>
      <c r="B1534" t="s">
        <v>32044</v>
      </c>
      <c r="C1534" t="s">
        <v>32045</v>
      </c>
      <c r="D1534" t="s">
        <v>32046</v>
      </c>
      <c r="E1534" t="s">
        <v>32047</v>
      </c>
      <c r="F1534" t="s">
        <v>32048</v>
      </c>
      <c r="G1534" t="s">
        <v>32049</v>
      </c>
      <c r="H1534" t="s">
        <v>32050</v>
      </c>
      <c r="I1534" t="s">
        <v>32051</v>
      </c>
      <c r="J1534" t="s">
        <v>32052</v>
      </c>
      <c r="K1534" t="s">
        <v>32053</v>
      </c>
      <c r="L1534" t="s">
        <v>32054</v>
      </c>
      <c r="M1534" t="s">
        <v>32055</v>
      </c>
      <c r="N1534" t="s">
        <v>32056</v>
      </c>
      <c r="O1534">
        <f>-785.713719627938 -57.9340014665713 -704.589667806976</f>
        <v>-1548.2373889014852</v>
      </c>
      <c r="P1534">
        <f>-736.489872895924 -24.4935302433751 -393.711927212942</f>
        <v>-1154.6953303522409</v>
      </c>
      <c r="Q1534">
        <f>-481.757631769465 -14.5464800699428 -342.188999514531</f>
        <v>-838.49311135393873</v>
      </c>
      <c r="R1534" t="s">
        <v>32057</v>
      </c>
      <c r="S1534" t="s">
        <v>32058</v>
      </c>
      <c r="T1534" t="s">
        <v>32059</v>
      </c>
      <c r="U1534" t="s">
        <v>32060</v>
      </c>
      <c r="V1534" t="s">
        <v>32061</v>
      </c>
      <c r="W1534" t="s">
        <v>32062</v>
      </c>
      <c r="X1534" t="s">
        <v>32063</v>
      </c>
      <c r="Y1534" t="s">
        <v>32064</v>
      </c>
    </row>
    <row r="1535" spans="1:25" x14ac:dyDescent="0.3">
      <c r="A1535">
        <v>76700</v>
      </c>
      <c r="B1535" t="s">
        <v>32065</v>
      </c>
      <c r="C1535" t="s">
        <v>32066</v>
      </c>
      <c r="D1535" t="s">
        <v>32067</v>
      </c>
      <c r="E1535" t="s">
        <v>32068</v>
      </c>
      <c r="F1535" t="s">
        <v>32069</v>
      </c>
      <c r="G1535" t="s">
        <v>32070</v>
      </c>
      <c r="H1535" t="s">
        <v>32071</v>
      </c>
      <c r="I1535" t="s">
        <v>32072</v>
      </c>
      <c r="J1535" t="s">
        <v>32073</v>
      </c>
      <c r="K1535" t="s">
        <v>32074</v>
      </c>
      <c r="L1535" t="s">
        <v>32075</v>
      </c>
      <c r="M1535" t="s">
        <v>32076</v>
      </c>
      <c r="N1535" t="s">
        <v>32077</v>
      </c>
      <c r="O1535">
        <f>-784.376830673367 -58.0944504208946 -704.854223911228</f>
        <v>-1547.3255050054895</v>
      </c>
      <c r="P1535">
        <f>-735.615890777053 -24.4192086182329 -393.929018581601</f>
        <v>-1153.9641179768869</v>
      </c>
      <c r="Q1535">
        <f>-480.971968204788 -14.2238575805168 -342.020041575817</f>
        <v>-837.21586736112181</v>
      </c>
      <c r="R1535" t="s">
        <v>32078</v>
      </c>
      <c r="S1535" t="s">
        <v>32079</v>
      </c>
      <c r="T1535" t="s">
        <v>32080</v>
      </c>
      <c r="U1535" t="s">
        <v>32081</v>
      </c>
      <c r="V1535" t="s">
        <v>32082</v>
      </c>
      <c r="W1535" t="s">
        <v>32083</v>
      </c>
      <c r="X1535" t="s">
        <v>32084</v>
      </c>
      <c r="Y1535" t="s">
        <v>32085</v>
      </c>
    </row>
    <row r="1536" spans="1:25" x14ac:dyDescent="0.3">
      <c r="A1536">
        <v>76750</v>
      </c>
      <c r="B1536" t="s">
        <v>32086</v>
      </c>
      <c r="C1536" t="s">
        <v>32087</v>
      </c>
      <c r="D1536" t="s">
        <v>32088</v>
      </c>
      <c r="E1536" t="s">
        <v>32089</v>
      </c>
      <c r="F1536" t="s">
        <v>32090</v>
      </c>
      <c r="G1536" t="s">
        <v>32091</v>
      </c>
      <c r="H1536" t="s">
        <v>32092</v>
      </c>
      <c r="I1536" t="s">
        <v>32093</v>
      </c>
      <c r="J1536" t="s">
        <v>32094</v>
      </c>
      <c r="K1536" t="s">
        <v>32095</v>
      </c>
      <c r="L1536" t="s">
        <v>32096</v>
      </c>
      <c r="M1536" t="s">
        <v>32097</v>
      </c>
      <c r="N1536" t="s">
        <v>32098</v>
      </c>
      <c r="O1536">
        <f>-781.816858752202 -58.2901544684023 -705.603074887817</f>
        <v>-1545.7100881084214</v>
      </c>
      <c r="P1536">
        <f>-734.271051021675 -24.580405226264 -394.493422456383</f>
        <v>-1153.3448787043221</v>
      </c>
      <c r="Q1536">
        <f>-479.858814410882 -13.7379495047012 -341.588550982247</f>
        <v>-835.18531489783027</v>
      </c>
      <c r="R1536" t="s">
        <v>32099</v>
      </c>
      <c r="S1536" t="s">
        <v>32100</v>
      </c>
      <c r="T1536" t="s">
        <v>32101</v>
      </c>
      <c r="U1536" t="s">
        <v>32102</v>
      </c>
      <c r="V1536" t="s">
        <v>32103</v>
      </c>
      <c r="W1536" t="s">
        <v>32104</v>
      </c>
      <c r="X1536" t="s">
        <v>32105</v>
      </c>
      <c r="Y1536" t="s">
        <v>32106</v>
      </c>
    </row>
    <row r="1537" spans="1:25" x14ac:dyDescent="0.3">
      <c r="A1537">
        <v>76800</v>
      </c>
      <c r="B1537" t="s">
        <v>32107</v>
      </c>
      <c r="C1537" t="s">
        <v>32108</v>
      </c>
      <c r="D1537" t="s">
        <v>32109</v>
      </c>
      <c r="E1537" t="s">
        <v>32110</v>
      </c>
      <c r="F1537" t="s">
        <v>32111</v>
      </c>
      <c r="G1537" t="s">
        <v>32112</v>
      </c>
      <c r="H1537" t="s">
        <v>32113</v>
      </c>
      <c r="I1537" t="s">
        <v>32114</v>
      </c>
      <c r="J1537" t="s">
        <v>32115</v>
      </c>
      <c r="K1537" t="s">
        <v>32116</v>
      </c>
      <c r="L1537" t="s">
        <v>32117</v>
      </c>
      <c r="M1537" t="s">
        <v>32118</v>
      </c>
      <c r="N1537" t="s">
        <v>32119</v>
      </c>
      <c r="O1537">
        <f>-779.485842980697 -58.2079009409244 -706.933637435955</f>
        <v>-1544.6273813575765</v>
      </c>
      <c r="P1537">
        <f>-733.494887769256 -24.5565093299924 -395.5839807774</f>
        <v>-1153.6353778766484</v>
      </c>
      <c r="Q1537">
        <f>-479.383543257234 -12.3857755286119 -341.534435880269</f>
        <v>-833.30375466611486</v>
      </c>
      <c r="R1537" t="s">
        <v>32120</v>
      </c>
      <c r="S1537" t="s">
        <v>32121</v>
      </c>
      <c r="T1537" t="s">
        <v>32122</v>
      </c>
      <c r="U1537" t="s">
        <v>32123</v>
      </c>
      <c r="V1537" t="s">
        <v>32124</v>
      </c>
      <c r="W1537" t="s">
        <v>32125</v>
      </c>
      <c r="X1537" t="s">
        <v>32126</v>
      </c>
      <c r="Y1537" t="s">
        <v>32127</v>
      </c>
    </row>
    <row r="1538" spans="1:25" x14ac:dyDescent="0.3">
      <c r="A1538">
        <v>76850</v>
      </c>
      <c r="B1538" t="s">
        <v>32128</v>
      </c>
      <c r="C1538" t="s">
        <v>32129</v>
      </c>
      <c r="D1538" t="s">
        <v>32130</v>
      </c>
      <c r="E1538" t="s">
        <v>32131</v>
      </c>
      <c r="F1538" t="s">
        <v>32132</v>
      </c>
      <c r="G1538" t="s">
        <v>32133</v>
      </c>
      <c r="H1538" t="s">
        <v>32134</v>
      </c>
      <c r="I1538" t="s">
        <v>32135</v>
      </c>
      <c r="J1538" t="s">
        <v>32136</v>
      </c>
      <c r="K1538" t="s">
        <v>32137</v>
      </c>
      <c r="L1538" t="s">
        <v>32138</v>
      </c>
      <c r="M1538" t="s">
        <v>32139</v>
      </c>
      <c r="N1538" t="s">
        <v>32140</v>
      </c>
      <c r="O1538">
        <f>-778.513593201986 -58.1446723857118 -707.818679399697</f>
        <v>-1544.4769449873947</v>
      </c>
      <c r="P1538">
        <f>-733.423989507831 -24.7319760508026 -396.311473946334</f>
        <v>-1154.4674395049676</v>
      </c>
      <c r="Q1538">
        <f>-479.520424771711 -11.7969067931535 -341.468642710764</f>
        <v>-832.78597427562852</v>
      </c>
      <c r="R1538" t="s">
        <v>32141</v>
      </c>
      <c r="S1538" t="s">
        <v>32142</v>
      </c>
      <c r="T1538" t="s">
        <v>32143</v>
      </c>
      <c r="U1538" t="s">
        <v>32144</v>
      </c>
      <c r="V1538" t="s">
        <v>32145</v>
      </c>
      <c r="W1538" t="s">
        <v>32146</v>
      </c>
      <c r="X1538" t="s">
        <v>32147</v>
      </c>
      <c r="Y1538" t="s">
        <v>32148</v>
      </c>
    </row>
    <row r="1539" spans="1:25" x14ac:dyDescent="0.3">
      <c r="A1539">
        <v>76900</v>
      </c>
      <c r="B1539" t="s">
        <v>32149</v>
      </c>
      <c r="C1539" t="s">
        <v>32150</v>
      </c>
      <c r="D1539" t="s">
        <v>32151</v>
      </c>
      <c r="E1539" t="s">
        <v>32152</v>
      </c>
      <c r="F1539" t="s">
        <v>32153</v>
      </c>
      <c r="G1539" t="s">
        <v>32154</v>
      </c>
      <c r="H1539" t="s">
        <v>32155</v>
      </c>
      <c r="I1539" t="s">
        <v>32156</v>
      </c>
      <c r="J1539" t="s">
        <v>32157</v>
      </c>
      <c r="K1539" t="s">
        <v>32158</v>
      </c>
      <c r="L1539" t="s">
        <v>32159</v>
      </c>
      <c r="M1539" t="s">
        <v>32160</v>
      </c>
      <c r="N1539" t="s">
        <v>32161</v>
      </c>
      <c r="O1539">
        <f>-777.749894401465 -58.3779959689962 -708.820050604629</f>
        <v>-1544.9479409750902</v>
      </c>
      <c r="P1539">
        <f>-733.529041127532 -25.1428276492732 -397.169291595159</f>
        <v>-1155.8411603719642</v>
      </c>
      <c r="Q1539">
        <f>-479.884180221452 -11.3711924054633 -341.341944401322</f>
        <v>-832.59731702823728</v>
      </c>
      <c r="R1539" t="s">
        <v>32162</v>
      </c>
      <c r="S1539" t="s">
        <v>32163</v>
      </c>
      <c r="T1539" t="s">
        <v>32164</v>
      </c>
      <c r="U1539" t="s">
        <v>32165</v>
      </c>
      <c r="V1539" t="s">
        <v>32166</v>
      </c>
      <c r="W1539" t="s">
        <v>32167</v>
      </c>
      <c r="X1539" t="s">
        <v>32168</v>
      </c>
      <c r="Y1539" t="s">
        <v>32169</v>
      </c>
    </row>
    <row r="1540" spans="1:25" x14ac:dyDescent="0.3">
      <c r="A1540">
        <v>76950</v>
      </c>
      <c r="B1540" t="s">
        <v>32170</v>
      </c>
      <c r="C1540" t="s">
        <v>32171</v>
      </c>
      <c r="D1540" t="s">
        <v>32172</v>
      </c>
      <c r="E1540" t="s">
        <v>32173</v>
      </c>
      <c r="F1540" t="s">
        <v>32174</v>
      </c>
      <c r="G1540" t="s">
        <v>32175</v>
      </c>
      <c r="H1540" t="s">
        <v>32176</v>
      </c>
      <c r="I1540" t="s">
        <v>32177</v>
      </c>
      <c r="J1540" t="s">
        <v>32178</v>
      </c>
      <c r="K1540" t="s">
        <v>32179</v>
      </c>
      <c r="L1540" t="s">
        <v>32180</v>
      </c>
      <c r="M1540" t="s">
        <v>32181</v>
      </c>
      <c r="N1540" t="s">
        <v>32182</v>
      </c>
      <c r="O1540">
        <f>-776.061660882864 -58.8622354712584 -710.301138395035</f>
        <v>-1545.2250347491572</v>
      </c>
      <c r="P1540">
        <f>-733.561218497125 -25.80040497041 -398.392863994024</f>
        <v>-1157.7544874615589</v>
      </c>
      <c r="Q1540">
        <f>-480.326064704377 -10.2502313283583 -341.189535336329</f>
        <v>-831.76583136906436</v>
      </c>
      <c r="R1540" t="s">
        <v>32183</v>
      </c>
      <c r="S1540" t="s">
        <v>32184</v>
      </c>
      <c r="T1540" t="s">
        <v>32185</v>
      </c>
      <c r="U1540" t="s">
        <v>32186</v>
      </c>
      <c r="V1540" t="s">
        <v>32187</v>
      </c>
      <c r="W1540" t="s">
        <v>32188</v>
      </c>
      <c r="X1540" t="s">
        <v>32189</v>
      </c>
      <c r="Y1540" t="s">
        <v>32190</v>
      </c>
    </row>
    <row r="1541" spans="1:25" x14ac:dyDescent="0.3">
      <c r="A1541">
        <v>77000</v>
      </c>
      <c r="B1541" t="s">
        <v>32191</v>
      </c>
      <c r="C1541" t="s">
        <v>32192</v>
      </c>
      <c r="D1541" t="s">
        <v>32193</v>
      </c>
      <c r="E1541" t="s">
        <v>32194</v>
      </c>
      <c r="F1541" t="s">
        <v>32195</v>
      </c>
      <c r="G1541" t="s">
        <v>32196</v>
      </c>
      <c r="H1541" t="s">
        <v>32197</v>
      </c>
      <c r="I1541" t="s">
        <v>32198</v>
      </c>
      <c r="J1541" t="s">
        <v>32199</v>
      </c>
      <c r="K1541" t="s">
        <v>32200</v>
      </c>
      <c r="L1541" t="s">
        <v>32201</v>
      </c>
      <c r="M1541" t="s">
        <v>32202</v>
      </c>
      <c r="N1541" t="s">
        <v>32203</v>
      </c>
      <c r="O1541">
        <f>-775.138376651562 -58.9104158039697 -710.760713370742</f>
        <v>-1544.8095058262738</v>
      </c>
      <c r="P1541">
        <f>-733.156978083582 -25.9958398823853 -398.766562374635</f>
        <v>-1157.9193803406024</v>
      </c>
      <c r="Q1541">
        <f>-480.000110419278 -9.08605641625036 -341.603097230094</f>
        <v>-830.68926406562241</v>
      </c>
      <c r="R1541" t="s">
        <v>32204</v>
      </c>
      <c r="S1541" t="s">
        <v>32205</v>
      </c>
      <c r="T1541" t="s">
        <v>32206</v>
      </c>
      <c r="U1541" t="s">
        <v>32207</v>
      </c>
      <c r="V1541" t="s">
        <v>32208</v>
      </c>
      <c r="W1541" t="s">
        <v>32209</v>
      </c>
      <c r="X1541" t="s">
        <v>32210</v>
      </c>
      <c r="Y1541" t="s">
        <v>32211</v>
      </c>
    </row>
    <row r="1542" spans="1:25" x14ac:dyDescent="0.3">
      <c r="A1542">
        <v>77050</v>
      </c>
      <c r="B1542" t="s">
        <v>32212</v>
      </c>
      <c r="C1542" t="s">
        <v>32213</v>
      </c>
      <c r="D1542" t="s">
        <v>32214</v>
      </c>
      <c r="E1542" t="s">
        <v>32215</v>
      </c>
      <c r="F1542" t="s">
        <v>32216</v>
      </c>
      <c r="G1542" t="s">
        <v>32217</v>
      </c>
      <c r="H1542" t="s">
        <v>32218</v>
      </c>
      <c r="I1542" t="s">
        <v>32219</v>
      </c>
      <c r="J1542" t="s">
        <v>32220</v>
      </c>
      <c r="K1542" t="s">
        <v>32221</v>
      </c>
      <c r="L1542" t="s">
        <v>32222</v>
      </c>
      <c r="M1542" t="s">
        <v>32223</v>
      </c>
      <c r="N1542" t="s">
        <v>32224</v>
      </c>
      <c r="O1542">
        <f>-773.794229798605 -58.6182939179482 -711.617420566193</f>
        <v>-1544.0299442827463</v>
      </c>
      <c r="P1542">
        <f>-732.034828035957 -26.6424390456079 -399.495828721826</f>
        <v>-1158.1730958033909</v>
      </c>
      <c r="Q1542">
        <f>-479.159645816909 -6.61301919919811 -342.093469460979</f>
        <v>-827.86613447708612</v>
      </c>
      <c r="R1542" t="s">
        <v>32225</v>
      </c>
      <c r="S1542" t="s">
        <v>32226</v>
      </c>
      <c r="T1542" t="s">
        <v>32227</v>
      </c>
      <c r="U1542" t="s">
        <v>32228</v>
      </c>
      <c r="V1542" t="s">
        <v>32229</v>
      </c>
      <c r="W1542" t="s">
        <v>32230</v>
      </c>
      <c r="X1542" t="s">
        <v>32231</v>
      </c>
      <c r="Y1542" t="s">
        <v>32232</v>
      </c>
    </row>
    <row r="1543" spans="1:25" x14ac:dyDescent="0.3">
      <c r="A1543">
        <v>77100</v>
      </c>
      <c r="B1543" t="s">
        <v>32233</v>
      </c>
      <c r="C1543" t="s">
        <v>32234</v>
      </c>
      <c r="D1543" t="s">
        <v>32235</v>
      </c>
      <c r="E1543" t="s">
        <v>32236</v>
      </c>
      <c r="F1543" t="s">
        <v>32237</v>
      </c>
      <c r="G1543" t="s">
        <v>32238</v>
      </c>
      <c r="H1543" t="s">
        <v>32239</v>
      </c>
      <c r="I1543" t="s">
        <v>32240</v>
      </c>
      <c r="J1543" t="s">
        <v>32241</v>
      </c>
      <c r="K1543" t="s">
        <v>32242</v>
      </c>
      <c r="L1543" t="s">
        <v>32243</v>
      </c>
      <c r="M1543" t="s">
        <v>32244</v>
      </c>
      <c r="N1543" t="s">
        <v>32245</v>
      </c>
      <c r="O1543">
        <f>-773.114032963231 -58.4954523004512 -711.865212880986</f>
        <v>-1543.4746981446683</v>
      </c>
      <c r="P1543">
        <f>-731.851634564441 -26.9522453739883 -399.633464696394</f>
        <v>-1158.4373446348234</v>
      </c>
      <c r="Q1543">
        <f>-479.04577054854 -5.56369408044702 -342.416299667663</f>
        <v>-827.0257642966501</v>
      </c>
      <c r="R1543" t="s">
        <v>32246</v>
      </c>
      <c r="S1543" t="s">
        <v>32247</v>
      </c>
      <c r="T1543" t="s">
        <v>32248</v>
      </c>
      <c r="U1543" t="s">
        <v>32249</v>
      </c>
      <c r="V1543" t="s">
        <v>32250</v>
      </c>
      <c r="W1543" t="s">
        <v>32251</v>
      </c>
      <c r="X1543" t="s">
        <v>32252</v>
      </c>
      <c r="Y1543" t="s">
        <v>32253</v>
      </c>
    </row>
    <row r="1544" spans="1:25" x14ac:dyDescent="0.3">
      <c r="A1544">
        <v>77150</v>
      </c>
      <c r="B1544" t="s">
        <v>32254</v>
      </c>
      <c r="C1544" t="s">
        <v>32255</v>
      </c>
      <c r="D1544" t="s">
        <v>32256</v>
      </c>
      <c r="E1544" t="s">
        <v>32257</v>
      </c>
      <c r="F1544" t="s">
        <v>32258</v>
      </c>
      <c r="G1544" t="s">
        <v>32259</v>
      </c>
      <c r="H1544" t="s">
        <v>32260</v>
      </c>
      <c r="I1544" t="s">
        <v>32261</v>
      </c>
      <c r="J1544" t="s">
        <v>32262</v>
      </c>
      <c r="K1544" t="s">
        <v>32263</v>
      </c>
      <c r="L1544" t="s">
        <v>32264</v>
      </c>
      <c r="M1544" t="s">
        <v>32265</v>
      </c>
      <c r="N1544" t="s">
        <v>32266</v>
      </c>
      <c r="O1544">
        <f>-771.455006215105 -57.8247878898701 -712.388693725773</f>
        <v>-1541.6684878307481</v>
      </c>
      <c r="P1544">
        <f>-730.587904010659 -27.1422904587214 -400.019366740071</f>
        <v>-1157.7495612094515</v>
      </c>
      <c r="Q1544">
        <f>-477.739399585876 -5.48959732708204 -343.09079008</f>
        <v>-826.31978699295803</v>
      </c>
      <c r="R1544" t="s">
        <v>32267</v>
      </c>
      <c r="S1544" t="s">
        <v>32268</v>
      </c>
      <c r="T1544" t="s">
        <v>32269</v>
      </c>
      <c r="U1544" t="s">
        <v>32270</v>
      </c>
      <c r="V1544" t="s">
        <v>32271</v>
      </c>
      <c r="W1544" t="s">
        <v>32272</v>
      </c>
      <c r="X1544" t="s">
        <v>32273</v>
      </c>
      <c r="Y1544" t="s">
        <v>32274</v>
      </c>
    </row>
    <row r="1545" spans="1:25" x14ac:dyDescent="0.3">
      <c r="A1545">
        <v>77200</v>
      </c>
      <c r="B1545" t="s">
        <v>32275</v>
      </c>
      <c r="C1545" t="s">
        <v>32276</v>
      </c>
      <c r="D1545" t="s">
        <v>32277</v>
      </c>
      <c r="E1545" t="s">
        <v>32278</v>
      </c>
      <c r="F1545" t="s">
        <v>32279</v>
      </c>
      <c r="G1545" t="s">
        <v>32280</v>
      </c>
      <c r="H1545" t="s">
        <v>32281</v>
      </c>
      <c r="I1545" t="s">
        <v>32282</v>
      </c>
      <c r="J1545" t="s">
        <v>32283</v>
      </c>
      <c r="K1545" t="s">
        <v>32284</v>
      </c>
      <c r="L1545" t="s">
        <v>32285</v>
      </c>
      <c r="M1545" t="s">
        <v>32286</v>
      </c>
      <c r="N1545" t="s">
        <v>32287</v>
      </c>
      <c r="O1545">
        <f>-770.867607891174 -57.4782804405029 -712.589708962221</f>
        <v>-1540.9355972938979</v>
      </c>
      <c r="P1545">
        <f>-729.994689137447 -27.0512156085899 -400.196022374061</f>
        <v>-1157.2419271200979</v>
      </c>
      <c r="Q1545">
        <f>-477.050547397758 -6.61847449122683 -343.24173888573</f>
        <v>-826.91076077471484</v>
      </c>
      <c r="R1545" t="s">
        <v>32288</v>
      </c>
      <c r="S1545" t="s">
        <v>32289</v>
      </c>
      <c r="T1545" t="s">
        <v>32290</v>
      </c>
      <c r="U1545" t="s">
        <v>32291</v>
      </c>
      <c r="V1545" t="s">
        <v>32292</v>
      </c>
      <c r="W1545" t="s">
        <v>32293</v>
      </c>
      <c r="X1545" t="s">
        <v>32294</v>
      </c>
      <c r="Y1545" t="s">
        <v>32295</v>
      </c>
    </row>
    <row r="1546" spans="1:25" x14ac:dyDescent="0.3">
      <c r="A1546">
        <v>77250</v>
      </c>
      <c r="B1546" t="s">
        <v>32296</v>
      </c>
      <c r="C1546" t="s">
        <v>32297</v>
      </c>
      <c r="D1546" t="s">
        <v>32298</v>
      </c>
      <c r="E1546" t="s">
        <v>32299</v>
      </c>
      <c r="F1546" t="s">
        <v>32300</v>
      </c>
      <c r="G1546" t="s">
        <v>32301</v>
      </c>
      <c r="H1546" t="s">
        <v>32302</v>
      </c>
      <c r="I1546" t="s">
        <v>32303</v>
      </c>
      <c r="J1546" t="s">
        <v>32304</v>
      </c>
      <c r="K1546" t="s">
        <v>32305</v>
      </c>
      <c r="L1546" t="s">
        <v>32306</v>
      </c>
      <c r="M1546" t="s">
        <v>32307</v>
      </c>
      <c r="N1546" t="s">
        <v>32308</v>
      </c>
      <c r="O1546">
        <f>-770.143182199223 -56.9429885493587 -712.749415738294</f>
        <v>-1539.8355864868759</v>
      </c>
      <c r="P1546">
        <f>-729.17890952384 -27.1815803319148 -400.303450984084</f>
        <v>-1156.6639408398389</v>
      </c>
      <c r="Q1546">
        <f>-476.191180231804 -8.93281576167146 -342.803885166257</f>
        <v>-827.92788115973246</v>
      </c>
      <c r="R1546" t="s">
        <v>32309</v>
      </c>
      <c r="S1546" t="s">
        <v>32310</v>
      </c>
      <c r="T1546" t="s">
        <v>32311</v>
      </c>
      <c r="U1546" t="s">
        <v>32312</v>
      </c>
      <c r="V1546" t="s">
        <v>32313</v>
      </c>
      <c r="W1546" t="s">
        <v>32314</v>
      </c>
      <c r="X1546" t="s">
        <v>32315</v>
      </c>
      <c r="Y1546" t="s">
        <v>32316</v>
      </c>
    </row>
    <row r="1547" spans="1:25" x14ac:dyDescent="0.3">
      <c r="A1547">
        <v>77300</v>
      </c>
      <c r="B1547" t="s">
        <v>32317</v>
      </c>
      <c r="C1547" t="s">
        <v>32318</v>
      </c>
      <c r="D1547" t="s">
        <v>32319</v>
      </c>
      <c r="E1547" t="s">
        <v>32320</v>
      </c>
      <c r="F1547" t="s">
        <v>32321</v>
      </c>
      <c r="G1547" t="s">
        <v>32322</v>
      </c>
      <c r="H1547" t="s">
        <v>32323</v>
      </c>
      <c r="I1547" t="s">
        <v>32324</v>
      </c>
      <c r="J1547" t="s">
        <v>32325</v>
      </c>
      <c r="K1547" t="s">
        <v>32326</v>
      </c>
      <c r="L1547" t="s">
        <v>32327</v>
      </c>
      <c r="M1547" t="s">
        <v>32328</v>
      </c>
      <c r="N1547" t="s">
        <v>32329</v>
      </c>
      <c r="O1547">
        <f>-770.207472247134 -56.7441837139656 -712.719033636377</f>
        <v>-1539.6706895974767</v>
      </c>
      <c r="P1547">
        <f>-729.274749054696 -26.9661602911483 -400.270783723786</f>
        <v>-1156.5116930696304</v>
      </c>
      <c r="Q1547">
        <f>-476.252334651588 -9.48105154109635 -342.686099004361</f>
        <v>-828.41948519704533</v>
      </c>
      <c r="R1547" t="s">
        <v>32330</v>
      </c>
      <c r="S1547" t="s">
        <v>32331</v>
      </c>
      <c r="T1547" t="s">
        <v>32332</v>
      </c>
      <c r="U1547" t="s">
        <v>32333</v>
      </c>
      <c r="V1547" t="s">
        <v>32334</v>
      </c>
      <c r="W1547" t="s">
        <v>32335</v>
      </c>
      <c r="X1547" t="s">
        <v>32336</v>
      </c>
      <c r="Y1547" t="s">
        <v>32337</v>
      </c>
    </row>
    <row r="1548" spans="1:25" x14ac:dyDescent="0.3">
      <c r="A1548">
        <v>77350</v>
      </c>
      <c r="B1548" t="s">
        <v>32338</v>
      </c>
      <c r="C1548" t="s">
        <v>32339</v>
      </c>
      <c r="D1548" t="s">
        <v>32340</v>
      </c>
      <c r="E1548" t="s">
        <v>32341</v>
      </c>
      <c r="F1548" t="s">
        <v>32342</v>
      </c>
      <c r="G1548" t="s">
        <v>32343</v>
      </c>
      <c r="H1548" t="s">
        <v>32344</v>
      </c>
      <c r="I1548" t="s">
        <v>32345</v>
      </c>
      <c r="J1548" t="s">
        <v>32346</v>
      </c>
      <c r="K1548" t="s">
        <v>32347</v>
      </c>
      <c r="L1548" t="s">
        <v>32348</v>
      </c>
      <c r="M1548" t="s">
        <v>32349</v>
      </c>
      <c r="N1548" t="s">
        <v>32350</v>
      </c>
      <c r="O1548">
        <f>-771.272209192967 -56.5383794107465 -712.320065386341</f>
        <v>-1540.1306539900545</v>
      </c>
      <c r="P1548">
        <f>-729.53178984866 -26.7822384448441 -399.976478310357</f>
        <v>-1156.2905066038611</v>
      </c>
      <c r="Q1548">
        <f>-476.356647383094 -10.7470565888289 -342.641651408905</f>
        <v>-829.74535538082796</v>
      </c>
      <c r="R1548" t="s">
        <v>32351</v>
      </c>
      <c r="S1548" t="s">
        <v>32352</v>
      </c>
      <c r="T1548" t="s">
        <v>32353</v>
      </c>
      <c r="U1548" t="s">
        <v>32354</v>
      </c>
      <c r="V1548" t="s">
        <v>32355</v>
      </c>
      <c r="W1548" t="s">
        <v>32356</v>
      </c>
      <c r="X1548" t="s">
        <v>32357</v>
      </c>
      <c r="Y1548" t="s">
        <v>32358</v>
      </c>
    </row>
    <row r="1549" spans="1:25" x14ac:dyDescent="0.3">
      <c r="A1549">
        <v>77400</v>
      </c>
      <c r="B1549" t="s">
        <v>32359</v>
      </c>
      <c r="C1549" t="s">
        <v>32360</v>
      </c>
      <c r="D1549" t="s">
        <v>32361</v>
      </c>
      <c r="E1549" t="s">
        <v>32362</v>
      </c>
      <c r="F1549" t="s">
        <v>32363</v>
      </c>
      <c r="G1549" t="s">
        <v>32364</v>
      </c>
      <c r="H1549" t="s">
        <v>32365</v>
      </c>
      <c r="I1549" t="s">
        <v>32366</v>
      </c>
      <c r="J1549" t="s">
        <v>32367</v>
      </c>
      <c r="K1549" t="s">
        <v>32368</v>
      </c>
      <c r="L1549" t="s">
        <v>32369</v>
      </c>
      <c r="M1549" t="s">
        <v>32370</v>
      </c>
      <c r="N1549" t="s">
        <v>32371</v>
      </c>
      <c r="O1549">
        <f>-771.90045029982 -56.3487596379007 -712.083549122736</f>
        <v>-1540.3327590604567</v>
      </c>
      <c r="P1549">
        <f>-729.807337790646 -26.4120553189848 -399.804711165384</f>
        <v>-1156.0241042750149</v>
      </c>
      <c r="Q1549">
        <f>-476.533119545426 -11.1278187260627 -342.703163920494</f>
        <v>-830.36410219198274</v>
      </c>
      <c r="R1549" t="s">
        <v>32372</v>
      </c>
      <c r="S1549" t="s">
        <v>32373</v>
      </c>
      <c r="T1549" t="s">
        <v>32374</v>
      </c>
      <c r="U1549" t="s">
        <v>32375</v>
      </c>
      <c r="V1549" t="s">
        <v>32376</v>
      </c>
      <c r="W1549" t="s">
        <v>32377</v>
      </c>
      <c r="X1549" t="s">
        <v>32378</v>
      </c>
      <c r="Y1549" t="s">
        <v>32379</v>
      </c>
    </row>
    <row r="1550" spans="1:25" x14ac:dyDescent="0.3">
      <c r="A1550">
        <v>77450</v>
      </c>
      <c r="B1550" t="s">
        <v>32380</v>
      </c>
      <c r="C1550" t="s">
        <v>32381</v>
      </c>
      <c r="D1550" t="s">
        <v>32382</v>
      </c>
      <c r="E1550" t="s">
        <v>32383</v>
      </c>
      <c r="F1550" t="s">
        <v>32384</v>
      </c>
      <c r="G1550" t="s">
        <v>32385</v>
      </c>
      <c r="H1550" t="s">
        <v>32386</v>
      </c>
      <c r="I1550" t="s">
        <v>32387</v>
      </c>
      <c r="J1550" t="s">
        <v>32388</v>
      </c>
      <c r="K1550" t="s">
        <v>32389</v>
      </c>
      <c r="L1550" t="s">
        <v>32390</v>
      </c>
      <c r="M1550" t="s">
        <v>32391</v>
      </c>
      <c r="N1550" t="s">
        <v>32392</v>
      </c>
      <c r="O1550">
        <f>-772.485719018286 -56.3809124678774 -711.488795101475</f>
        <v>-1540.3554265876382</v>
      </c>
      <c r="P1550">
        <f>-729.945556291504 -26.3858690124152 -399.27599701856</f>
        <v>-1155.6074223224791</v>
      </c>
      <c r="Q1550">
        <f>-476.612713385831 -12.7485349669319 -342.017655834816</f>
        <v>-831.37890418757888</v>
      </c>
      <c r="R1550" t="s">
        <v>32393</v>
      </c>
      <c r="S1550" t="s">
        <v>32394</v>
      </c>
      <c r="T1550" t="s">
        <v>32395</v>
      </c>
      <c r="U1550" t="s">
        <v>32396</v>
      </c>
      <c r="V1550" t="s">
        <v>32397</v>
      </c>
      <c r="W1550" t="s">
        <v>32398</v>
      </c>
      <c r="X1550" t="s">
        <v>32399</v>
      </c>
      <c r="Y1550" t="s">
        <v>32400</v>
      </c>
    </row>
    <row r="1551" spans="1:25" x14ac:dyDescent="0.3">
      <c r="A1551">
        <v>77500</v>
      </c>
      <c r="B1551" t="s">
        <v>32401</v>
      </c>
      <c r="C1551" t="s">
        <v>32402</v>
      </c>
      <c r="D1551" t="s">
        <v>32403</v>
      </c>
      <c r="E1551" t="s">
        <v>32404</v>
      </c>
      <c r="F1551" t="s">
        <v>32405</v>
      </c>
      <c r="G1551" t="s">
        <v>32406</v>
      </c>
      <c r="H1551" t="s">
        <v>32407</v>
      </c>
      <c r="I1551" t="s">
        <v>32408</v>
      </c>
      <c r="J1551" t="s">
        <v>32409</v>
      </c>
      <c r="K1551" t="s">
        <v>32410</v>
      </c>
      <c r="L1551" t="s">
        <v>32411</v>
      </c>
      <c r="M1551" t="s">
        <v>32412</v>
      </c>
      <c r="N1551" t="s">
        <v>32413</v>
      </c>
      <c r="O1551">
        <f>-772.2364783542 -56.2414657525276 -711.19484458687</f>
        <v>-1539.6727886935976</v>
      </c>
      <c r="P1551">
        <f>-729.690354734797 -25.9420714625869 -399.012166000872</f>
        <v>-1154.6445921982559</v>
      </c>
      <c r="Q1551">
        <f>-476.336832876802 -13.0851359045189 -341.664753251211</f>
        <v>-831.08672203253195</v>
      </c>
      <c r="R1551" t="s">
        <v>32414</v>
      </c>
      <c r="S1551" t="s">
        <v>32415</v>
      </c>
      <c r="T1551" t="s">
        <v>32416</v>
      </c>
      <c r="U1551" t="s">
        <v>32417</v>
      </c>
      <c r="V1551" t="s">
        <v>32418</v>
      </c>
      <c r="W1551" t="s">
        <v>32419</v>
      </c>
      <c r="X1551" t="s">
        <v>32420</v>
      </c>
      <c r="Y1551" t="s">
        <v>32421</v>
      </c>
    </row>
    <row r="1552" spans="1:25" x14ac:dyDescent="0.3">
      <c r="A1552">
        <v>77550</v>
      </c>
      <c r="B1552" t="s">
        <v>32422</v>
      </c>
      <c r="C1552" t="s">
        <v>32423</v>
      </c>
      <c r="D1552" t="s">
        <v>32424</v>
      </c>
      <c r="E1552" t="s">
        <v>32425</v>
      </c>
      <c r="F1552" t="s">
        <v>32426</v>
      </c>
      <c r="G1552" t="s">
        <v>32427</v>
      </c>
      <c r="H1552" t="s">
        <v>32428</v>
      </c>
      <c r="I1552" t="s">
        <v>32429</v>
      </c>
      <c r="J1552" t="s">
        <v>32430</v>
      </c>
      <c r="K1552" t="s">
        <v>32431</v>
      </c>
      <c r="L1552" t="s">
        <v>32432</v>
      </c>
      <c r="M1552" t="s">
        <v>32433</v>
      </c>
      <c r="N1552" t="s">
        <v>32434</v>
      </c>
      <c r="O1552">
        <f>-771.649574775244 -55.4845206300563 -710.821836285053</f>
        <v>-1537.9559316903533</v>
      </c>
      <c r="P1552">
        <f>-729.431950614715 -24.2742791188205 -398.684492171835</f>
        <v>-1152.3907219053704</v>
      </c>
      <c r="Q1552">
        <f>-476.105505540103 -13.1084939983539 -340.86464871854</f>
        <v>-830.07864825699698</v>
      </c>
      <c r="R1552" t="s">
        <v>32435</v>
      </c>
      <c r="S1552" t="s">
        <v>32436</v>
      </c>
      <c r="T1552" t="s">
        <v>32437</v>
      </c>
      <c r="U1552" t="s">
        <v>32438</v>
      </c>
      <c r="V1552" t="s">
        <v>32439</v>
      </c>
      <c r="W1552" t="s">
        <v>32440</v>
      </c>
      <c r="X1552" t="s">
        <v>32441</v>
      </c>
      <c r="Y1552" t="s">
        <v>32442</v>
      </c>
    </row>
    <row r="1553" spans="1:25" x14ac:dyDescent="0.3">
      <c r="A1553">
        <v>77600</v>
      </c>
      <c r="B1553" t="s">
        <v>32443</v>
      </c>
      <c r="C1553" t="s">
        <v>32444</v>
      </c>
      <c r="D1553" t="s">
        <v>32445</v>
      </c>
      <c r="E1553" t="s">
        <v>32446</v>
      </c>
      <c r="F1553" t="s">
        <v>32447</v>
      </c>
      <c r="G1553" t="s">
        <v>32448</v>
      </c>
      <c r="H1553" t="s">
        <v>32449</v>
      </c>
      <c r="I1553" t="s">
        <v>32450</v>
      </c>
      <c r="J1553" t="s">
        <v>32451</v>
      </c>
      <c r="K1553" t="s">
        <v>32452</v>
      </c>
      <c r="L1553" t="s">
        <v>32453</v>
      </c>
      <c r="M1553" t="s">
        <v>32454</v>
      </c>
      <c r="N1553" t="s">
        <v>32455</v>
      </c>
      <c r="O1553">
        <f>-771.403020470298 -55.0742044504786 -710.84511111078</f>
        <v>-1537.3223360315565</v>
      </c>
      <c r="P1553">
        <f>-729.321726044759 -23.8046123586084 -398.695166409239</f>
        <v>-1151.8215048126065</v>
      </c>
      <c r="Q1553">
        <f>-476.03620305955 -13.0199762059569 -340.624991096861</f>
        <v>-829.68117036236788</v>
      </c>
      <c r="R1553" t="s">
        <v>32456</v>
      </c>
      <c r="S1553" t="s">
        <v>32457</v>
      </c>
      <c r="T1553" t="s">
        <v>32458</v>
      </c>
      <c r="U1553" t="s">
        <v>32459</v>
      </c>
      <c r="V1553" t="s">
        <v>32460</v>
      </c>
      <c r="W1553" t="s">
        <v>32461</v>
      </c>
      <c r="X1553" t="s">
        <v>32462</v>
      </c>
      <c r="Y1553" t="s">
        <v>32463</v>
      </c>
    </row>
    <row r="1554" spans="1:25" x14ac:dyDescent="0.3">
      <c r="A1554">
        <v>77650</v>
      </c>
      <c r="B1554" t="s">
        <v>32464</v>
      </c>
      <c r="C1554" t="s">
        <v>32465</v>
      </c>
      <c r="D1554" t="s">
        <v>32466</v>
      </c>
      <c r="E1554" t="s">
        <v>32467</v>
      </c>
      <c r="F1554" t="s">
        <v>32468</v>
      </c>
      <c r="G1554" t="s">
        <v>32469</v>
      </c>
      <c r="H1554" t="s">
        <v>32470</v>
      </c>
      <c r="I1554" t="s">
        <v>32471</v>
      </c>
      <c r="J1554" t="s">
        <v>32472</v>
      </c>
      <c r="K1554" t="s">
        <v>32473</v>
      </c>
      <c r="L1554" t="s">
        <v>32474</v>
      </c>
      <c r="M1554" t="s">
        <v>32475</v>
      </c>
      <c r="N1554" t="s">
        <v>32476</v>
      </c>
      <c r="O1554">
        <f>-771.894538634168 -54.6620840335058 -711.038985022869</f>
        <v>-1537.5956076905429</v>
      </c>
      <c r="P1554">
        <f>-729.827699953652 -23.2642937222715 -398.899973121932</f>
        <v>-1151.9919667978556</v>
      </c>
      <c r="Q1554">
        <f>-476.603821295801 -12.8817436366239 -340.488183229193</f>
        <v>-829.973748161618</v>
      </c>
      <c r="R1554" t="s">
        <v>32477</v>
      </c>
      <c r="S1554" t="s">
        <v>32478</v>
      </c>
      <c r="T1554" t="s">
        <v>32479</v>
      </c>
      <c r="U1554" t="s">
        <v>32480</v>
      </c>
      <c r="V1554" t="s">
        <v>32481</v>
      </c>
      <c r="W1554" t="s">
        <v>32482</v>
      </c>
      <c r="X1554" t="s">
        <v>32483</v>
      </c>
      <c r="Y1554" t="s">
        <v>32484</v>
      </c>
    </row>
    <row r="1555" spans="1:25" x14ac:dyDescent="0.3">
      <c r="A1555">
        <v>77700</v>
      </c>
      <c r="B1555" t="s">
        <v>32485</v>
      </c>
      <c r="C1555" t="s">
        <v>32486</v>
      </c>
      <c r="D1555" t="s">
        <v>32487</v>
      </c>
      <c r="E1555" t="s">
        <v>32488</v>
      </c>
      <c r="F1555" t="s">
        <v>32489</v>
      </c>
      <c r="G1555" t="s">
        <v>32490</v>
      </c>
      <c r="H1555" t="s">
        <v>32491</v>
      </c>
      <c r="I1555" t="s">
        <v>32492</v>
      </c>
      <c r="J1555" t="s">
        <v>32493</v>
      </c>
      <c r="K1555" t="s">
        <v>32494</v>
      </c>
      <c r="L1555" t="s">
        <v>32495</v>
      </c>
      <c r="M1555" t="s">
        <v>32496</v>
      </c>
      <c r="N1555" t="s">
        <v>32497</v>
      </c>
      <c r="O1555">
        <f>-772.300988564617 -54.7581173731844 -711.227336072718</f>
        <v>-1538.2864420105193</v>
      </c>
      <c r="P1555">
        <f>-729.917537193799 -23.4396952124523 -399.123230076831</f>
        <v>-1152.4804624830824</v>
      </c>
      <c r="Q1555">
        <f>-476.729163417915 -13.3827010532495 -340.500897467197</f>
        <v>-830.61276193836147</v>
      </c>
      <c r="R1555" t="s">
        <v>32498</v>
      </c>
      <c r="S1555" t="s">
        <v>32499</v>
      </c>
      <c r="T1555" t="s">
        <v>32500</v>
      </c>
      <c r="U1555" t="s">
        <v>32501</v>
      </c>
      <c r="V1555" t="s">
        <v>32502</v>
      </c>
      <c r="W1555" t="s">
        <v>32503</v>
      </c>
      <c r="X1555" t="s">
        <v>32504</v>
      </c>
      <c r="Y1555" t="s">
        <v>32505</v>
      </c>
    </row>
    <row r="1556" spans="1:25" x14ac:dyDescent="0.3">
      <c r="A1556">
        <v>77750</v>
      </c>
      <c r="B1556" t="s">
        <v>32506</v>
      </c>
      <c r="C1556" t="s">
        <v>32507</v>
      </c>
      <c r="D1556" t="s">
        <v>32508</v>
      </c>
      <c r="E1556" t="s">
        <v>32509</v>
      </c>
      <c r="F1556" t="s">
        <v>32510</v>
      </c>
      <c r="G1556" t="s">
        <v>32511</v>
      </c>
      <c r="H1556" t="s">
        <v>32512</v>
      </c>
      <c r="I1556" t="s">
        <v>32513</v>
      </c>
      <c r="J1556" t="s">
        <v>32514</v>
      </c>
      <c r="K1556" t="s">
        <v>32515</v>
      </c>
      <c r="L1556" t="s">
        <v>32516</v>
      </c>
      <c r="M1556" t="s">
        <v>32517</v>
      </c>
      <c r="N1556" t="s">
        <v>32518</v>
      </c>
      <c r="O1556">
        <f>-772.459678925904 -55.1664405974066 -711.365404684228</f>
        <v>-1538.9915242075385</v>
      </c>
      <c r="P1556">
        <f>-730.160434260729 -23.1471792802902 -399.321038899564</f>
        <v>-1152.6286524405832</v>
      </c>
      <c r="Q1556">
        <f>-476.967247345082 -12.4248408521385 -340.837786877982</f>
        <v>-830.22987507520247</v>
      </c>
      <c r="R1556" t="s">
        <v>32519</v>
      </c>
      <c r="S1556" t="s">
        <v>32520</v>
      </c>
      <c r="T1556" t="s">
        <v>32521</v>
      </c>
      <c r="U1556" t="s">
        <v>32522</v>
      </c>
      <c r="V1556" t="s">
        <v>32523</v>
      </c>
      <c r="W1556" t="s">
        <v>32524</v>
      </c>
      <c r="X1556" t="s">
        <v>32525</v>
      </c>
      <c r="Y1556" t="s">
        <v>32526</v>
      </c>
    </row>
    <row r="1557" spans="1:25" x14ac:dyDescent="0.3">
      <c r="A1557">
        <v>77800</v>
      </c>
      <c r="B1557" t="s">
        <v>32527</v>
      </c>
      <c r="C1557" t="s">
        <v>32528</v>
      </c>
      <c r="D1557" t="s">
        <v>32529</v>
      </c>
      <c r="E1557" t="s">
        <v>32530</v>
      </c>
      <c r="F1557" t="s">
        <v>32531</v>
      </c>
      <c r="G1557" t="s">
        <v>32532</v>
      </c>
      <c r="H1557" t="s">
        <v>32533</v>
      </c>
      <c r="I1557" t="s">
        <v>32534</v>
      </c>
      <c r="J1557" t="s">
        <v>32535</v>
      </c>
      <c r="K1557" t="s">
        <v>32536</v>
      </c>
      <c r="L1557" t="s">
        <v>32537</v>
      </c>
      <c r="M1557" t="s">
        <v>32538</v>
      </c>
      <c r="N1557" t="s">
        <v>32539</v>
      </c>
      <c r="O1557">
        <f>-772.245630455029 -55.2349366676838 -711.296437058889</f>
        <v>-1538.7770041816016</v>
      </c>
      <c r="P1557">
        <f>-730.16471764497 -23.1723081182888 -399.2269293717</f>
        <v>-1152.5639551349589</v>
      </c>
      <c r="Q1557">
        <f>-477.019599480192 -12.2925740353537 -340.564645425279</f>
        <v>-829.87681894082471</v>
      </c>
      <c r="R1557" t="s">
        <v>32540</v>
      </c>
      <c r="S1557" t="s">
        <v>32541</v>
      </c>
      <c r="T1557" t="s">
        <v>32542</v>
      </c>
      <c r="U1557" t="s">
        <v>32543</v>
      </c>
      <c r="V1557" t="s">
        <v>32544</v>
      </c>
      <c r="W1557" t="s">
        <v>32545</v>
      </c>
      <c r="X1557" t="s">
        <v>32546</v>
      </c>
      <c r="Y1557" t="s">
        <v>32547</v>
      </c>
    </row>
    <row r="1558" spans="1:25" x14ac:dyDescent="0.3">
      <c r="A1558">
        <v>77850</v>
      </c>
      <c r="B1558" t="s">
        <v>32548</v>
      </c>
      <c r="C1558" t="s">
        <v>32549</v>
      </c>
      <c r="D1558" t="s">
        <v>32550</v>
      </c>
      <c r="E1558" t="s">
        <v>32551</v>
      </c>
      <c r="F1558" t="s">
        <v>32552</v>
      </c>
      <c r="G1558" t="s">
        <v>32553</v>
      </c>
      <c r="H1558" t="s">
        <v>32554</v>
      </c>
      <c r="I1558" t="s">
        <v>32555</v>
      </c>
      <c r="J1558" t="s">
        <v>32556</v>
      </c>
      <c r="K1558" t="s">
        <v>32557</v>
      </c>
      <c r="L1558" t="s">
        <v>32558</v>
      </c>
      <c r="M1558" t="s">
        <v>32559</v>
      </c>
      <c r="N1558" t="s">
        <v>32560</v>
      </c>
      <c r="O1558">
        <f>-771.948117948735 -55.2427161225467 -711.042120760523</f>
        <v>-1538.2329548318046</v>
      </c>
      <c r="P1558">
        <f>-730.390209800544 -22.6323114679176 -398.959279917342</f>
        <v>-1151.9818011858035</v>
      </c>
      <c r="Q1558">
        <f>-477.448051651409 -11.1202220598673 -339.547207142242</f>
        <v>-828.11548085351819</v>
      </c>
      <c r="R1558" t="s">
        <v>32561</v>
      </c>
      <c r="S1558" t="s">
        <v>32562</v>
      </c>
      <c r="T1558" t="s">
        <v>32563</v>
      </c>
      <c r="U1558" t="s">
        <v>32564</v>
      </c>
      <c r="V1558" t="s">
        <v>32565</v>
      </c>
      <c r="W1558" t="s">
        <v>32566</v>
      </c>
      <c r="X1558" t="s">
        <v>32567</v>
      </c>
      <c r="Y1558" t="s">
        <v>32568</v>
      </c>
    </row>
    <row r="1559" spans="1:25" x14ac:dyDescent="0.3">
      <c r="A1559">
        <v>77900</v>
      </c>
      <c r="B1559" t="s">
        <v>32569</v>
      </c>
      <c r="C1559" t="s">
        <v>32570</v>
      </c>
      <c r="D1559" t="s">
        <v>32571</v>
      </c>
      <c r="E1559" t="s">
        <v>32572</v>
      </c>
      <c r="F1559" t="s">
        <v>32573</v>
      </c>
      <c r="G1559" t="s">
        <v>32574</v>
      </c>
      <c r="H1559" t="s">
        <v>32575</v>
      </c>
      <c r="I1559" t="s">
        <v>32576</v>
      </c>
      <c r="J1559" t="s">
        <v>32577</v>
      </c>
      <c r="K1559" t="s">
        <v>32578</v>
      </c>
      <c r="L1559" t="s">
        <v>32579</v>
      </c>
      <c r="M1559" t="s">
        <v>32580</v>
      </c>
      <c r="N1559" t="s">
        <v>32581</v>
      </c>
      <c r="O1559">
        <f>-771.789099550652 -55.3176516035578 -710.929409272622</f>
        <v>-1538.0361604268319</v>
      </c>
      <c r="P1559">
        <f>-730.477333040638 -22.6342784395226 -398.82154396012</f>
        <v>-1151.9331554402806</v>
      </c>
      <c r="Q1559">
        <f>-477.611940341486 -11.1279334944722 -339.082746322562</f>
        <v>-827.82262015852018</v>
      </c>
      <c r="R1559" t="s">
        <v>32582</v>
      </c>
      <c r="S1559" t="s">
        <v>32583</v>
      </c>
      <c r="T1559" t="s">
        <v>32584</v>
      </c>
      <c r="U1559" t="s">
        <v>32585</v>
      </c>
      <c r="V1559" t="s">
        <v>32586</v>
      </c>
      <c r="W1559" t="s">
        <v>32587</v>
      </c>
      <c r="X1559" t="s">
        <v>32588</v>
      </c>
      <c r="Y1559" t="s">
        <v>32589</v>
      </c>
    </row>
    <row r="1560" spans="1:25" x14ac:dyDescent="0.3">
      <c r="A1560">
        <v>77950</v>
      </c>
      <c r="B1560" t="s">
        <v>32590</v>
      </c>
      <c r="C1560" t="s">
        <v>32591</v>
      </c>
      <c r="D1560" t="s">
        <v>32592</v>
      </c>
      <c r="E1560" t="s">
        <v>32593</v>
      </c>
      <c r="F1560" t="s">
        <v>32594</v>
      </c>
      <c r="G1560" t="s">
        <v>32595</v>
      </c>
      <c r="H1560" t="s">
        <v>32596</v>
      </c>
      <c r="I1560" t="s">
        <v>32597</v>
      </c>
      <c r="J1560" t="s">
        <v>32598</v>
      </c>
      <c r="K1560" t="s">
        <v>32599</v>
      </c>
      <c r="L1560" t="s">
        <v>32600</v>
      </c>
      <c r="M1560" t="s">
        <v>32601</v>
      </c>
      <c r="N1560" t="s">
        <v>32602</v>
      </c>
      <c r="O1560">
        <f>-771.756247370652 -54.9638391373426 -710.995764428666</f>
        <v>-1537.7158509366604</v>
      </c>
      <c r="P1560">
        <f>-730.472093941485 -22.4354348231 -398.867878470304</f>
        <v>-1151.7754072348889</v>
      </c>
      <c r="Q1560">
        <f>-477.665211450306 -10.8647416135893 -338.894263761305</f>
        <v>-827.42421682520035</v>
      </c>
      <c r="R1560" t="s">
        <v>32603</v>
      </c>
      <c r="S1560" t="s">
        <v>32604</v>
      </c>
      <c r="T1560" t="s">
        <v>32605</v>
      </c>
      <c r="U1560" t="s">
        <v>32606</v>
      </c>
      <c r="V1560" t="s">
        <v>32607</v>
      </c>
      <c r="W1560" t="s">
        <v>32608</v>
      </c>
      <c r="X1560" t="s">
        <v>32609</v>
      </c>
      <c r="Y1560" t="s">
        <v>32610</v>
      </c>
    </row>
    <row r="1561" spans="1:25" x14ac:dyDescent="0.3">
      <c r="A1561">
        <v>78000</v>
      </c>
      <c r="B1561" t="s">
        <v>32611</v>
      </c>
      <c r="C1561" t="s">
        <v>32612</v>
      </c>
      <c r="D1561" t="s">
        <v>32613</v>
      </c>
      <c r="E1561" t="s">
        <v>32614</v>
      </c>
      <c r="F1561" t="s">
        <v>32615</v>
      </c>
      <c r="G1561" t="s">
        <v>32616</v>
      </c>
      <c r="H1561" t="s">
        <v>32617</v>
      </c>
      <c r="I1561" t="s">
        <v>32618</v>
      </c>
      <c r="J1561" t="s">
        <v>32619</v>
      </c>
      <c r="K1561" t="s">
        <v>32620</v>
      </c>
      <c r="L1561" t="s">
        <v>32621</v>
      </c>
      <c r="M1561" t="s">
        <v>32622</v>
      </c>
      <c r="N1561" t="s">
        <v>32623</v>
      </c>
      <c r="O1561">
        <f>-771.520488114173 -54.8230801686088 -711.157721503902</f>
        <v>-1537.5012897866839</v>
      </c>
      <c r="P1561">
        <f>-730.311273296795 -22.3416052898278 -399.015197230501</f>
        <v>-1151.6680758171237</v>
      </c>
      <c r="Q1561">
        <f>-477.520300806047 -10.6805747628812 -338.991427108477</f>
        <v>-827.19230267740522</v>
      </c>
      <c r="R1561" t="s">
        <v>32624</v>
      </c>
      <c r="S1561" t="s">
        <v>32625</v>
      </c>
      <c r="T1561" t="s">
        <v>32626</v>
      </c>
      <c r="U1561" t="s">
        <v>32627</v>
      </c>
      <c r="V1561" t="s">
        <v>32628</v>
      </c>
      <c r="W1561" t="s">
        <v>32629</v>
      </c>
      <c r="X1561" t="s">
        <v>32630</v>
      </c>
      <c r="Y1561" t="s">
        <v>32631</v>
      </c>
    </row>
    <row r="1562" spans="1:25" x14ac:dyDescent="0.3">
      <c r="A1562">
        <v>78050</v>
      </c>
      <c r="B1562" t="s">
        <v>32632</v>
      </c>
      <c r="C1562" t="s">
        <v>32633</v>
      </c>
      <c r="D1562" t="s">
        <v>32634</v>
      </c>
      <c r="E1562" t="s">
        <v>32635</v>
      </c>
      <c r="F1562" t="s">
        <v>32636</v>
      </c>
      <c r="G1562" t="s">
        <v>32637</v>
      </c>
      <c r="H1562" t="s">
        <v>32638</v>
      </c>
      <c r="I1562" t="s">
        <v>32639</v>
      </c>
      <c r="J1562" t="s">
        <v>32640</v>
      </c>
      <c r="K1562" t="s">
        <v>32641</v>
      </c>
      <c r="L1562" t="s">
        <v>32642</v>
      </c>
      <c r="M1562" t="s">
        <v>32643</v>
      </c>
      <c r="N1562" t="s">
        <v>32644</v>
      </c>
      <c r="O1562">
        <f>-771.437285938966 -54.3855486667644 -711.603953387147</f>
        <v>-1537.4267879928775</v>
      </c>
      <c r="P1562">
        <f>-730.26341871994 -22.5839760344315 -399.38678182835</f>
        <v>-1152.2341765827216</v>
      </c>
      <c r="Q1562">
        <f>-477.472634172184 -10.9133198584886 -339.364584115207</f>
        <v>-827.75053814587955</v>
      </c>
      <c r="R1562" t="s">
        <v>32645</v>
      </c>
      <c r="S1562" t="s">
        <v>32646</v>
      </c>
      <c r="T1562" t="s">
        <v>32647</v>
      </c>
      <c r="U1562" t="s">
        <v>32648</v>
      </c>
      <c r="V1562" t="s">
        <v>32649</v>
      </c>
      <c r="W1562" t="s">
        <v>32650</v>
      </c>
      <c r="X1562" t="s">
        <v>32651</v>
      </c>
      <c r="Y1562" t="s">
        <v>32652</v>
      </c>
    </row>
    <row r="1563" spans="1:25" x14ac:dyDescent="0.3">
      <c r="A1563">
        <v>78100</v>
      </c>
      <c r="B1563" t="s">
        <v>32653</v>
      </c>
      <c r="C1563" t="s">
        <v>32654</v>
      </c>
      <c r="D1563" t="s">
        <v>32655</v>
      </c>
      <c r="E1563" t="s">
        <v>32656</v>
      </c>
      <c r="F1563" t="s">
        <v>32657</v>
      </c>
      <c r="G1563" t="s">
        <v>32658</v>
      </c>
      <c r="H1563" t="s">
        <v>32659</v>
      </c>
      <c r="I1563" t="s">
        <v>32660</v>
      </c>
      <c r="J1563" t="s">
        <v>32661</v>
      </c>
      <c r="K1563" t="s">
        <v>32662</v>
      </c>
      <c r="L1563" t="s">
        <v>32663</v>
      </c>
      <c r="M1563" t="s">
        <v>32664</v>
      </c>
      <c r="N1563" t="s">
        <v>32665</v>
      </c>
      <c r="O1563">
        <f>-771.623703988406 -54.4566566507713 -711.78520655319</f>
        <v>-1537.8655671923673</v>
      </c>
      <c r="P1563">
        <f>-730.522255790277 -22.7601803405853 -399.547788397514</f>
        <v>-1152.8302245283762</v>
      </c>
      <c r="Q1563">
        <f>-477.71116122098 -11.0954299136788 -339.610216831852</f>
        <v>-828.41680796651076</v>
      </c>
      <c r="R1563" t="s">
        <v>32666</v>
      </c>
      <c r="S1563" t="s">
        <v>32667</v>
      </c>
      <c r="T1563" t="s">
        <v>32668</v>
      </c>
      <c r="U1563" t="s">
        <v>32669</v>
      </c>
      <c r="V1563" t="s">
        <v>32670</v>
      </c>
      <c r="W1563" t="s">
        <v>32671</v>
      </c>
      <c r="X1563" t="s">
        <v>32672</v>
      </c>
      <c r="Y1563" t="s">
        <v>32673</v>
      </c>
    </row>
    <row r="1564" spans="1:25" x14ac:dyDescent="0.3">
      <c r="A1564">
        <v>78150</v>
      </c>
      <c r="B1564" t="s">
        <v>32674</v>
      </c>
      <c r="C1564" t="s">
        <v>32675</v>
      </c>
      <c r="D1564" t="s">
        <v>32676</v>
      </c>
      <c r="E1564" t="s">
        <v>32677</v>
      </c>
      <c r="F1564" t="s">
        <v>32678</v>
      </c>
      <c r="G1564" t="s">
        <v>32679</v>
      </c>
      <c r="H1564" t="s">
        <v>32680</v>
      </c>
      <c r="I1564" t="s">
        <v>32681</v>
      </c>
      <c r="J1564" t="s">
        <v>32682</v>
      </c>
      <c r="K1564" t="s">
        <v>32683</v>
      </c>
      <c r="L1564" t="s">
        <v>32684</v>
      </c>
      <c r="M1564" t="s">
        <v>32685</v>
      </c>
      <c r="N1564" t="s">
        <v>32686</v>
      </c>
      <c r="O1564">
        <f>-771.99873462455 -54.5294697269801 -712.327714972456</f>
        <v>-1538.8559193239862</v>
      </c>
      <c r="P1564">
        <f>-730.899679442165 -23.3149410872518 -400.041549083002</f>
        <v>-1154.2561696124189</v>
      </c>
      <c r="Q1564">
        <f>-478.042534959793 -11.4784811535894 -340.332148132587</f>
        <v>-829.85316424596942</v>
      </c>
      <c r="R1564" t="s">
        <v>32687</v>
      </c>
      <c r="S1564" t="s">
        <v>32688</v>
      </c>
      <c r="T1564" t="s">
        <v>32689</v>
      </c>
      <c r="U1564" t="s">
        <v>32690</v>
      </c>
      <c r="V1564" t="s">
        <v>32691</v>
      </c>
      <c r="W1564" t="s">
        <v>32692</v>
      </c>
      <c r="X1564" t="s">
        <v>32693</v>
      </c>
      <c r="Y1564" t="s">
        <v>32694</v>
      </c>
    </row>
    <row r="1565" spans="1:25" x14ac:dyDescent="0.3">
      <c r="A1565">
        <v>78200</v>
      </c>
      <c r="B1565" t="s">
        <v>32695</v>
      </c>
      <c r="C1565" t="s">
        <v>32696</v>
      </c>
      <c r="D1565" t="s">
        <v>32697</v>
      </c>
      <c r="E1565" t="s">
        <v>32698</v>
      </c>
      <c r="F1565" t="s">
        <v>32699</v>
      </c>
      <c r="G1565" t="s">
        <v>32700</v>
      </c>
      <c r="H1565" t="s">
        <v>32701</v>
      </c>
      <c r="I1565" t="s">
        <v>32702</v>
      </c>
      <c r="J1565" t="s">
        <v>32703</v>
      </c>
      <c r="K1565" t="s">
        <v>32704</v>
      </c>
      <c r="L1565" t="s">
        <v>32705</v>
      </c>
      <c r="M1565" t="s">
        <v>32706</v>
      </c>
      <c r="N1565" t="s">
        <v>32707</v>
      </c>
      <c r="O1565">
        <f>-772.211572078235 -54.6259226159034 -712.576825152265</f>
        <v>-1539.4143198464035</v>
      </c>
      <c r="P1565">
        <f>-731.11769256862 -23.5994732219899 -400.271225243585</f>
        <v>-1154.9883910341948</v>
      </c>
      <c r="Q1565">
        <f>-478.294257849396 -11.4879836077503 -340.474258428635</f>
        <v>-830.2564998857813</v>
      </c>
      <c r="R1565" t="s">
        <v>32708</v>
      </c>
      <c r="S1565" t="s">
        <v>32709</v>
      </c>
      <c r="T1565" t="s">
        <v>32710</v>
      </c>
      <c r="U1565" t="s">
        <v>32711</v>
      </c>
      <c r="V1565" t="s">
        <v>32712</v>
      </c>
      <c r="W1565" t="s">
        <v>32713</v>
      </c>
      <c r="X1565" t="s">
        <v>32714</v>
      </c>
      <c r="Y1565" t="s">
        <v>32715</v>
      </c>
    </row>
    <row r="1566" spans="1:25" x14ac:dyDescent="0.3">
      <c r="A1566">
        <v>78250</v>
      </c>
      <c r="B1566" t="s">
        <v>32716</v>
      </c>
      <c r="C1566" t="s">
        <v>32717</v>
      </c>
      <c r="D1566" t="s">
        <v>32718</v>
      </c>
      <c r="E1566" t="s">
        <v>32719</v>
      </c>
      <c r="F1566" t="s">
        <v>32720</v>
      </c>
      <c r="G1566" t="s">
        <v>32721</v>
      </c>
      <c r="H1566" t="s">
        <v>32722</v>
      </c>
      <c r="I1566" t="s">
        <v>32723</v>
      </c>
      <c r="J1566" t="s">
        <v>32724</v>
      </c>
      <c r="K1566" t="s">
        <v>32725</v>
      </c>
      <c r="L1566" t="s">
        <v>32726</v>
      </c>
      <c r="M1566" t="s">
        <v>32727</v>
      </c>
      <c r="N1566" t="s">
        <v>32728</v>
      </c>
      <c r="O1566">
        <f>-772.839653975639 -54.6101973614586 -712.917529438395</f>
        <v>-1540.3673807754926</v>
      </c>
      <c r="P1566">
        <f>-732.08306766828 -23.9245451440668 -400.534032370103</f>
        <v>-1156.5416451824499</v>
      </c>
      <c r="Q1566">
        <f>-479.429079747489 -10.8192090146424 -340.232715652072</f>
        <v>-830.48100441420343</v>
      </c>
      <c r="R1566" t="s">
        <v>32729</v>
      </c>
      <c r="S1566" t="s">
        <v>32730</v>
      </c>
      <c r="T1566" t="s">
        <v>32731</v>
      </c>
      <c r="U1566" t="s">
        <v>32732</v>
      </c>
      <c r="V1566" t="s">
        <v>32733</v>
      </c>
      <c r="W1566" t="s">
        <v>32734</v>
      </c>
      <c r="X1566" t="s">
        <v>32735</v>
      </c>
      <c r="Y1566" t="s">
        <v>32736</v>
      </c>
    </row>
    <row r="1567" spans="1:25" x14ac:dyDescent="0.3">
      <c r="A1567">
        <v>78300</v>
      </c>
      <c r="B1567" t="s">
        <v>32737</v>
      </c>
      <c r="C1567" t="s">
        <v>32738</v>
      </c>
      <c r="D1567" t="s">
        <v>32739</v>
      </c>
      <c r="E1567" t="s">
        <v>32740</v>
      </c>
      <c r="F1567" t="s">
        <v>32741</v>
      </c>
      <c r="G1567" t="s">
        <v>32742</v>
      </c>
      <c r="H1567" t="s">
        <v>32743</v>
      </c>
      <c r="I1567" t="s">
        <v>32744</v>
      </c>
      <c r="J1567" t="s">
        <v>32745</v>
      </c>
      <c r="K1567" t="s">
        <v>32746</v>
      </c>
      <c r="L1567" t="s">
        <v>32747</v>
      </c>
      <c r="M1567" t="s">
        <v>32748</v>
      </c>
      <c r="N1567" t="s">
        <v>32749</v>
      </c>
      <c r="O1567">
        <f>-773.267146258381 -54.5746513950978 -713.153442205089</f>
        <v>-1540.9952398585679</v>
      </c>
      <c r="P1567">
        <f>-732.768631400553 -23.8332837695787 -400.741883363173</f>
        <v>-1157.3437985333046</v>
      </c>
      <c r="Q1567">
        <f>-480.181771350856 -10.0204177189412 -340.317184325303</f>
        <v>-830.51937339510027</v>
      </c>
      <c r="R1567" t="s">
        <v>32750</v>
      </c>
      <c r="S1567" t="s">
        <v>32751</v>
      </c>
      <c r="T1567" t="s">
        <v>32752</v>
      </c>
      <c r="U1567" t="s">
        <v>32753</v>
      </c>
      <c r="V1567" t="s">
        <v>32754</v>
      </c>
      <c r="W1567" t="s">
        <v>32755</v>
      </c>
      <c r="X1567" t="s">
        <v>32756</v>
      </c>
      <c r="Y1567" t="s">
        <v>32757</v>
      </c>
    </row>
    <row r="1568" spans="1:25" x14ac:dyDescent="0.3">
      <c r="A1568">
        <v>78350</v>
      </c>
      <c r="B1568" t="s">
        <v>32758</v>
      </c>
      <c r="C1568" t="s">
        <v>32759</v>
      </c>
      <c r="D1568" t="s">
        <v>32760</v>
      </c>
      <c r="E1568" t="s">
        <v>32761</v>
      </c>
      <c r="F1568" t="s">
        <v>32762</v>
      </c>
      <c r="G1568" t="s">
        <v>32763</v>
      </c>
      <c r="H1568" t="s">
        <v>32764</v>
      </c>
      <c r="I1568" t="s">
        <v>32765</v>
      </c>
      <c r="J1568" t="s">
        <v>32766</v>
      </c>
      <c r="K1568" t="s">
        <v>32767</v>
      </c>
      <c r="L1568" t="s">
        <v>32768</v>
      </c>
      <c r="M1568" t="s">
        <v>32769</v>
      </c>
      <c r="N1568" t="s">
        <v>32770</v>
      </c>
      <c r="O1568">
        <f>-774.322522665672 -54.539668053033 -713.502167227589</f>
        <v>-1542.3643579462939</v>
      </c>
      <c r="P1568">
        <f>-734.017377284808 -24.431163719049 -401.00389033581</f>
        <v>-1159.4524313396671</v>
      </c>
      <c r="Q1568">
        <f>-481.522614904329 -9.22998576494865 -340.5276370135</f>
        <v>-831.28023768277762</v>
      </c>
      <c r="R1568" t="s">
        <v>32771</v>
      </c>
      <c r="S1568" t="s">
        <v>32772</v>
      </c>
      <c r="T1568" t="s">
        <v>32773</v>
      </c>
      <c r="U1568" t="s">
        <v>32774</v>
      </c>
      <c r="V1568" t="s">
        <v>32775</v>
      </c>
      <c r="W1568" t="s">
        <v>32776</v>
      </c>
      <c r="X1568" t="s">
        <v>32777</v>
      </c>
      <c r="Y1568" t="s">
        <v>32778</v>
      </c>
    </row>
    <row r="1569" spans="1:25" x14ac:dyDescent="0.3">
      <c r="A1569">
        <v>78400</v>
      </c>
      <c r="B1569" t="s">
        <v>32779</v>
      </c>
      <c r="C1569" t="s">
        <v>32780</v>
      </c>
      <c r="D1569" t="s">
        <v>32781</v>
      </c>
      <c r="E1569" t="s">
        <v>32782</v>
      </c>
      <c r="F1569" t="s">
        <v>32783</v>
      </c>
      <c r="G1569" t="s">
        <v>32784</v>
      </c>
      <c r="H1569" t="s">
        <v>32785</v>
      </c>
      <c r="I1569" t="s">
        <v>32786</v>
      </c>
      <c r="J1569" t="s">
        <v>32787</v>
      </c>
      <c r="K1569" t="s">
        <v>32788</v>
      </c>
      <c r="L1569" t="s">
        <v>32789</v>
      </c>
      <c r="M1569" t="s">
        <v>32790</v>
      </c>
      <c r="N1569" t="s">
        <v>32791</v>
      </c>
      <c r="O1569">
        <f>-775.271451727879 -54.6456906601538 -713.595322171054</f>
        <v>-1543.5124645590868</v>
      </c>
      <c r="P1569">
        <f>-735.010552501139 -24.6672106071801 -401.078885101946</f>
        <v>-1160.7566482102652</v>
      </c>
      <c r="Q1569">
        <f>-482.555237388727 -9.0400043659979 -340.54689767044</f>
        <v>-832.14213942516494</v>
      </c>
      <c r="R1569" t="s">
        <v>32792</v>
      </c>
      <c r="S1569" t="s">
        <v>32793</v>
      </c>
      <c r="T1569" t="s">
        <v>32794</v>
      </c>
      <c r="U1569" t="s">
        <v>32795</v>
      </c>
      <c r="V1569" t="s">
        <v>32796</v>
      </c>
      <c r="W1569" t="s">
        <v>32797</v>
      </c>
      <c r="X1569" t="s">
        <v>32798</v>
      </c>
      <c r="Y1569" t="s">
        <v>32799</v>
      </c>
    </row>
    <row r="1570" spans="1:25" x14ac:dyDescent="0.3">
      <c r="A1570">
        <v>78450</v>
      </c>
      <c r="B1570" t="s">
        <v>32800</v>
      </c>
      <c r="C1570" t="s">
        <v>32801</v>
      </c>
      <c r="D1570" t="s">
        <v>32802</v>
      </c>
      <c r="E1570" t="s">
        <v>32803</v>
      </c>
      <c r="F1570" t="s">
        <v>32804</v>
      </c>
      <c r="G1570" t="s">
        <v>32805</v>
      </c>
      <c r="H1570" t="s">
        <v>32806</v>
      </c>
      <c r="I1570" t="s">
        <v>32807</v>
      </c>
      <c r="J1570" t="s">
        <v>32808</v>
      </c>
      <c r="K1570" t="s">
        <v>32809</v>
      </c>
      <c r="L1570" t="s">
        <v>32810</v>
      </c>
      <c r="M1570" t="s">
        <v>32811</v>
      </c>
      <c r="N1570" t="s">
        <v>32812</v>
      </c>
      <c r="O1570">
        <f>-776.972911191538 -54.9487861104974 -713.716506535104</f>
        <v>-1545.6382038371394</v>
      </c>
      <c r="P1570">
        <f>-736.702980000289 -25.2496957544729 -401.174504285555</f>
        <v>-1163.1271800403169</v>
      </c>
      <c r="Q1570">
        <f>-484.263708632184 -8.87728390648704 -340.772310662646</f>
        <v>-833.91330320131704</v>
      </c>
      <c r="R1570" t="s">
        <v>32813</v>
      </c>
      <c r="S1570" t="s">
        <v>32814</v>
      </c>
      <c r="T1570" t="s">
        <v>32815</v>
      </c>
      <c r="U1570" t="s">
        <v>32816</v>
      </c>
      <c r="V1570" t="s">
        <v>32817</v>
      </c>
      <c r="W1570" t="s">
        <v>32818</v>
      </c>
      <c r="X1570" t="s">
        <v>32819</v>
      </c>
      <c r="Y1570" t="s">
        <v>32820</v>
      </c>
    </row>
    <row r="1571" spans="1:25" x14ac:dyDescent="0.3">
      <c r="A1571">
        <v>78500</v>
      </c>
      <c r="B1571" t="s">
        <v>32821</v>
      </c>
      <c r="C1571" t="s">
        <v>32822</v>
      </c>
      <c r="D1571" t="s">
        <v>32823</v>
      </c>
      <c r="E1571" t="s">
        <v>32824</v>
      </c>
      <c r="F1571" t="s">
        <v>32825</v>
      </c>
      <c r="G1571" t="s">
        <v>32826</v>
      </c>
      <c r="H1571" t="s">
        <v>32827</v>
      </c>
      <c r="I1571" t="s">
        <v>32828</v>
      </c>
      <c r="J1571" t="s">
        <v>32829</v>
      </c>
      <c r="K1571" t="s">
        <v>32830</v>
      </c>
      <c r="L1571" t="s">
        <v>32831</v>
      </c>
      <c r="M1571" t="s">
        <v>32832</v>
      </c>
      <c r="N1571" t="s">
        <v>32833</v>
      </c>
      <c r="O1571">
        <f>-777.600483064979 -54.7573210651167 -713.732118434238</f>
        <v>-1546.0899225643338</v>
      </c>
      <c r="P1571">
        <f>-737.395064341194 -25.2219636245254 -401.166270790604</f>
        <v>-1163.7832987563233</v>
      </c>
      <c r="Q1571">
        <f>-484.989583862366 -8.38827002316339 -340.749598922571</f>
        <v>-834.12745280810032</v>
      </c>
      <c r="R1571" t="s">
        <v>32834</v>
      </c>
      <c r="S1571" t="s">
        <v>32835</v>
      </c>
      <c r="T1571" t="s">
        <v>32836</v>
      </c>
      <c r="U1571" t="s">
        <v>32837</v>
      </c>
      <c r="V1571" t="s">
        <v>32838</v>
      </c>
      <c r="W1571" t="s">
        <v>32839</v>
      </c>
      <c r="X1571" t="s">
        <v>32840</v>
      </c>
      <c r="Y1571" t="s">
        <v>32841</v>
      </c>
    </row>
    <row r="1572" spans="1:25" x14ac:dyDescent="0.3">
      <c r="A1572">
        <v>78550</v>
      </c>
      <c r="B1572" t="s">
        <v>32842</v>
      </c>
      <c r="C1572" t="s">
        <v>32843</v>
      </c>
      <c r="D1572" t="s">
        <v>32844</v>
      </c>
      <c r="E1572" t="s">
        <v>32845</v>
      </c>
      <c r="F1572" t="s">
        <v>32846</v>
      </c>
      <c r="G1572" t="s">
        <v>32847</v>
      </c>
      <c r="H1572" t="s">
        <v>32848</v>
      </c>
      <c r="I1572" t="s">
        <v>32849</v>
      </c>
      <c r="J1572" t="s">
        <v>32850</v>
      </c>
      <c r="K1572" t="s">
        <v>32851</v>
      </c>
      <c r="L1572" t="s">
        <v>32852</v>
      </c>
      <c r="M1572" t="s">
        <v>32853</v>
      </c>
      <c r="N1572" t="s">
        <v>32854</v>
      </c>
      <c r="O1572">
        <f>-778.603611619739 -54.0682246479964 -713.681144449336</f>
        <v>-1546.3529807170714</v>
      </c>
      <c r="P1572">
        <f>-738.741661745809 -24.9334280769585 -401.033769991519</f>
        <v>-1164.7088598142866</v>
      </c>
      <c r="Q1572">
        <f>-486.485725667282 -7.03195315818334 -340.300353026951</f>
        <v>-833.81803185241631</v>
      </c>
      <c r="R1572" t="s">
        <v>32855</v>
      </c>
      <c r="S1572" t="s">
        <v>32856</v>
      </c>
      <c r="T1572" t="s">
        <v>32857</v>
      </c>
      <c r="U1572" t="s">
        <v>32858</v>
      </c>
      <c r="V1572" t="s">
        <v>32859</v>
      </c>
      <c r="W1572" t="s">
        <v>32860</v>
      </c>
      <c r="X1572" t="s">
        <v>32861</v>
      </c>
      <c r="Y1572" t="s">
        <v>32862</v>
      </c>
    </row>
    <row r="1573" spans="1:25" x14ac:dyDescent="0.3">
      <c r="A1573">
        <v>78600</v>
      </c>
      <c r="B1573" t="s">
        <v>32863</v>
      </c>
      <c r="C1573" t="s">
        <v>32864</v>
      </c>
      <c r="D1573" t="s">
        <v>32865</v>
      </c>
      <c r="E1573" t="s">
        <v>32866</v>
      </c>
      <c r="F1573" t="s">
        <v>32867</v>
      </c>
      <c r="G1573" t="s">
        <v>32868</v>
      </c>
      <c r="H1573" t="s">
        <v>32869</v>
      </c>
      <c r="I1573" t="s">
        <v>32870</v>
      </c>
      <c r="J1573" t="s">
        <v>32871</v>
      </c>
      <c r="K1573" t="s">
        <v>32872</v>
      </c>
      <c r="L1573" t="s">
        <v>32873</v>
      </c>
      <c r="M1573" t="s">
        <v>32874</v>
      </c>
      <c r="N1573" t="s">
        <v>32875</v>
      </c>
      <c r="O1573">
        <f>-779.221173946907 -53.6784830469649 -713.613976040539</f>
        <v>-1546.5136330344108</v>
      </c>
      <c r="P1573">
        <f>-739.460903723348 -24.6881725239548 -400.94033897857</f>
        <v>-1165.0894152258729</v>
      </c>
      <c r="Q1573">
        <f>-487.232186379283 -6.41012755119823 -340.206000242816</f>
        <v>-833.84831417329724</v>
      </c>
      <c r="R1573" t="s">
        <v>32876</v>
      </c>
      <c r="S1573" t="s">
        <v>32877</v>
      </c>
      <c r="T1573" t="s">
        <v>32878</v>
      </c>
      <c r="U1573" t="s">
        <v>32879</v>
      </c>
      <c r="V1573" t="s">
        <v>32880</v>
      </c>
      <c r="W1573" t="s">
        <v>32881</v>
      </c>
      <c r="X1573" t="s">
        <v>32882</v>
      </c>
      <c r="Y1573" t="s">
        <v>32883</v>
      </c>
    </row>
    <row r="1574" spans="1:25" x14ac:dyDescent="0.3">
      <c r="A1574">
        <v>78650</v>
      </c>
      <c r="B1574" t="s">
        <v>32884</v>
      </c>
      <c r="C1574" t="s">
        <v>32885</v>
      </c>
      <c r="D1574" t="s">
        <v>32886</v>
      </c>
      <c r="E1574" t="s">
        <v>32887</v>
      </c>
      <c r="F1574" t="s">
        <v>32888</v>
      </c>
      <c r="G1574" t="s">
        <v>32889</v>
      </c>
      <c r="H1574" t="s">
        <v>32890</v>
      </c>
      <c r="I1574" t="s">
        <v>32891</v>
      </c>
      <c r="J1574" t="s">
        <v>32892</v>
      </c>
      <c r="K1574" t="s">
        <v>32893</v>
      </c>
      <c r="L1574" t="s">
        <v>32894</v>
      </c>
      <c r="M1574" t="s">
        <v>32895</v>
      </c>
      <c r="N1574" t="s">
        <v>32896</v>
      </c>
      <c r="O1574">
        <f>-781.1432169898 -53.1555937122914 -713.327924497464</f>
        <v>-1547.6267351995552</v>
      </c>
      <c r="P1574">
        <f>-741.164430737645 -24.4596834668209 -400.654858148052</f>
        <v>-1166.2789723525179</v>
      </c>
      <c r="Q1574">
        <f>-488.893287079978 -6.05555570392926 -340.135597988769</f>
        <v>-835.08444077267632</v>
      </c>
      <c r="R1574" t="s">
        <v>32897</v>
      </c>
      <c r="S1574" t="s">
        <v>32898</v>
      </c>
      <c r="T1574" t="s">
        <v>32899</v>
      </c>
      <c r="U1574" t="s">
        <v>32900</v>
      </c>
      <c r="V1574" t="s">
        <v>32901</v>
      </c>
      <c r="W1574" t="s">
        <v>32902</v>
      </c>
      <c r="X1574" t="s">
        <v>32903</v>
      </c>
      <c r="Y1574" t="s">
        <v>32904</v>
      </c>
    </row>
    <row r="1575" spans="1:25" x14ac:dyDescent="0.3">
      <c r="A1575">
        <v>78700</v>
      </c>
      <c r="B1575" t="s">
        <v>32905</v>
      </c>
      <c r="C1575" t="s">
        <v>32906</v>
      </c>
      <c r="D1575" t="s">
        <v>32907</v>
      </c>
      <c r="E1575" t="s">
        <v>32908</v>
      </c>
      <c r="F1575" t="s">
        <v>32909</v>
      </c>
      <c r="G1575" t="s">
        <v>32910</v>
      </c>
      <c r="H1575" t="s">
        <v>32911</v>
      </c>
      <c r="I1575" t="s">
        <v>32912</v>
      </c>
      <c r="J1575" t="s">
        <v>32913</v>
      </c>
      <c r="K1575" t="s">
        <v>32914</v>
      </c>
      <c r="L1575" t="s">
        <v>32915</v>
      </c>
      <c r="M1575" t="s">
        <v>32916</v>
      </c>
      <c r="N1575" t="s">
        <v>32917</v>
      </c>
      <c r="O1575">
        <f>-782.419848864807 -53.1178965148729 -713.231820370024</f>
        <v>-1548.7695657497038</v>
      </c>
      <c r="P1575">
        <f>-742.170595985094 -24.5310292526776 -400.583503445544</f>
        <v>-1167.2851286833156</v>
      </c>
      <c r="Q1575">
        <f>-489.859582163647 -6.20261278841258 -340.20759539285</f>
        <v>-836.26979034490955</v>
      </c>
      <c r="R1575" t="s">
        <v>32918</v>
      </c>
      <c r="S1575" t="s">
        <v>32919</v>
      </c>
      <c r="T1575" t="s">
        <v>32920</v>
      </c>
      <c r="U1575" t="s">
        <v>32921</v>
      </c>
      <c r="V1575" t="s">
        <v>32922</v>
      </c>
      <c r="W1575" t="s">
        <v>32923</v>
      </c>
      <c r="X1575" t="s">
        <v>32924</v>
      </c>
      <c r="Y1575" t="s">
        <v>32925</v>
      </c>
    </row>
    <row r="1576" spans="1:25" x14ac:dyDescent="0.3">
      <c r="A1576">
        <v>78750</v>
      </c>
      <c r="B1576" t="s">
        <v>32926</v>
      </c>
      <c r="C1576" t="s">
        <v>32927</v>
      </c>
      <c r="D1576" t="s">
        <v>32928</v>
      </c>
      <c r="E1576" t="s">
        <v>32929</v>
      </c>
      <c r="F1576" t="s">
        <v>32930</v>
      </c>
      <c r="G1576" t="s">
        <v>32931</v>
      </c>
      <c r="H1576" t="s">
        <v>32932</v>
      </c>
      <c r="I1576" t="s">
        <v>32933</v>
      </c>
      <c r="J1576" t="s">
        <v>32934</v>
      </c>
      <c r="K1576" t="s">
        <v>32935</v>
      </c>
      <c r="L1576" t="s">
        <v>32936</v>
      </c>
      <c r="M1576" t="s">
        <v>32937</v>
      </c>
      <c r="N1576" t="s">
        <v>32938</v>
      </c>
      <c r="O1576">
        <f>-785.166155978032 -53.304391338658 -713.096238849716</f>
        <v>-1551.566786166406</v>
      </c>
      <c r="P1576">
        <f>-744.373280194777 -24.9612010098442 -400.496279120332</f>
        <v>-1169.8307603249532</v>
      </c>
      <c r="Q1576">
        <f>-491.904326597049 -6.94005408646103 -340.690440933677</f>
        <v>-839.53482161718705</v>
      </c>
      <c r="R1576" t="s">
        <v>32939</v>
      </c>
      <c r="S1576" t="s">
        <v>32940</v>
      </c>
      <c r="T1576" t="s">
        <v>32941</v>
      </c>
      <c r="U1576" t="s">
        <v>32942</v>
      </c>
      <c r="V1576" t="s">
        <v>32943</v>
      </c>
      <c r="W1576" t="s">
        <v>32944</v>
      </c>
      <c r="X1576" t="s">
        <v>32945</v>
      </c>
      <c r="Y1576" t="s">
        <v>32946</v>
      </c>
    </row>
    <row r="1577" spans="1:25" x14ac:dyDescent="0.3">
      <c r="A1577">
        <v>78800</v>
      </c>
      <c r="B1577" t="s">
        <v>32947</v>
      </c>
      <c r="C1577" t="s">
        <v>32948</v>
      </c>
      <c r="D1577" t="s">
        <v>32949</v>
      </c>
      <c r="E1577" t="s">
        <v>32950</v>
      </c>
      <c r="F1577" t="s">
        <v>32951</v>
      </c>
      <c r="G1577" t="s">
        <v>32952</v>
      </c>
      <c r="H1577" t="s">
        <v>32953</v>
      </c>
      <c r="I1577" t="s">
        <v>32954</v>
      </c>
      <c r="J1577" t="s">
        <v>32955</v>
      </c>
      <c r="K1577" t="s">
        <v>32956</v>
      </c>
      <c r="L1577" t="s">
        <v>32957</v>
      </c>
      <c r="M1577" t="s">
        <v>32958</v>
      </c>
      <c r="N1577" t="s">
        <v>32959</v>
      </c>
      <c r="O1577">
        <f>-786.547661821668 -53.2832274831912 -712.923735304425</f>
        <v>-1552.7546246092843</v>
      </c>
      <c r="P1577">
        <f>-745.309597434588 -25.0389444274444 -400.373204827782</f>
        <v>-1170.7217466898144</v>
      </c>
      <c r="Q1577">
        <f>-492.732968167617 -7.36484215865471 -340.919548135515</f>
        <v>-841.01735846178667</v>
      </c>
      <c r="R1577" t="s">
        <v>32960</v>
      </c>
      <c r="S1577" t="s">
        <v>32961</v>
      </c>
      <c r="T1577" t="s">
        <v>32962</v>
      </c>
      <c r="U1577" t="s">
        <v>32963</v>
      </c>
      <c r="V1577" t="s">
        <v>32964</v>
      </c>
      <c r="W1577" t="s">
        <v>32965</v>
      </c>
      <c r="X1577" t="s">
        <v>32966</v>
      </c>
      <c r="Y1577" t="s">
        <v>32967</v>
      </c>
    </row>
    <row r="1578" spans="1:25" x14ac:dyDescent="0.3">
      <c r="A1578">
        <v>78850</v>
      </c>
      <c r="B1578" t="s">
        <v>32968</v>
      </c>
      <c r="C1578" t="s">
        <v>32969</v>
      </c>
      <c r="D1578" t="s">
        <v>32970</v>
      </c>
      <c r="E1578" t="s">
        <v>32971</v>
      </c>
      <c r="F1578" t="s">
        <v>32972</v>
      </c>
      <c r="G1578" t="s">
        <v>32973</v>
      </c>
      <c r="H1578" t="s">
        <v>32974</v>
      </c>
      <c r="I1578" t="s">
        <v>32975</v>
      </c>
      <c r="J1578" t="s">
        <v>32976</v>
      </c>
      <c r="K1578" t="s">
        <v>32977</v>
      </c>
      <c r="L1578" t="s">
        <v>32978</v>
      </c>
      <c r="M1578" t="s">
        <v>32979</v>
      </c>
      <c r="N1578" t="s">
        <v>32980</v>
      </c>
      <c r="O1578">
        <f>-789.055178524652 -53.1709150350666 -712.479156918339</f>
        <v>-1554.7052504780577</v>
      </c>
      <c r="P1578">
        <f>-746.854692434943 -24.9721933434842 -400.05302381958</f>
        <v>-1171.8799095980071</v>
      </c>
      <c r="Q1578">
        <f>-494.102728160141 -7.99664875440931 -341.143631619223</f>
        <v>-843.24300853377326</v>
      </c>
      <c r="R1578" t="s">
        <v>32981</v>
      </c>
      <c r="S1578" t="s">
        <v>32982</v>
      </c>
      <c r="T1578" t="s">
        <v>32983</v>
      </c>
      <c r="U1578" t="s">
        <v>32984</v>
      </c>
      <c r="V1578" t="s">
        <v>32985</v>
      </c>
      <c r="W1578" t="s">
        <v>32986</v>
      </c>
      <c r="X1578" t="s">
        <v>32987</v>
      </c>
      <c r="Y1578" t="s">
        <v>32988</v>
      </c>
    </row>
    <row r="1579" spans="1:25" x14ac:dyDescent="0.3">
      <c r="A1579">
        <v>78900</v>
      </c>
      <c r="B1579" t="s">
        <v>32989</v>
      </c>
      <c r="C1579" t="s">
        <v>32990</v>
      </c>
      <c r="D1579" t="s">
        <v>32991</v>
      </c>
      <c r="E1579" t="s">
        <v>32992</v>
      </c>
      <c r="F1579" t="s">
        <v>32993</v>
      </c>
      <c r="G1579" t="s">
        <v>32994</v>
      </c>
      <c r="H1579" t="s">
        <v>32995</v>
      </c>
      <c r="I1579" t="s">
        <v>32996</v>
      </c>
      <c r="J1579" t="s">
        <v>32997</v>
      </c>
      <c r="K1579" t="s">
        <v>32998</v>
      </c>
      <c r="L1579" t="s">
        <v>32999</v>
      </c>
      <c r="M1579" t="s">
        <v>33000</v>
      </c>
      <c r="N1579" t="s">
        <v>33001</v>
      </c>
      <c r="O1579">
        <f>-790.353475676055 -53.1591940193548 -712.275730551739</f>
        <v>-1555.7884002471487</v>
      </c>
      <c r="P1579">
        <f>-747.737662643682 -25.0998763059181 -399.893329216584</f>
        <v>-1172.7308681661841</v>
      </c>
      <c r="Q1579">
        <f>-494.928302867722 -8.28604242715414 -341.184204660151</f>
        <v>-844.39854995502719</v>
      </c>
      <c r="R1579" t="s">
        <v>33002</v>
      </c>
      <c r="S1579" t="s">
        <v>33003</v>
      </c>
      <c r="T1579" t="s">
        <v>33004</v>
      </c>
      <c r="U1579" t="s">
        <v>33005</v>
      </c>
      <c r="V1579" t="s">
        <v>33006</v>
      </c>
      <c r="W1579" t="s">
        <v>33007</v>
      </c>
      <c r="X1579" t="s">
        <v>33008</v>
      </c>
      <c r="Y1579" t="s">
        <v>33009</v>
      </c>
    </row>
    <row r="1580" spans="1:25" x14ac:dyDescent="0.3">
      <c r="A1580">
        <v>78950</v>
      </c>
      <c r="B1580" t="s">
        <v>33010</v>
      </c>
      <c r="C1580" t="s">
        <v>33011</v>
      </c>
      <c r="D1580" t="s">
        <v>33012</v>
      </c>
      <c r="E1580" t="s">
        <v>33013</v>
      </c>
      <c r="F1580" t="s">
        <v>33014</v>
      </c>
      <c r="G1580" t="s">
        <v>33015</v>
      </c>
      <c r="H1580" t="s">
        <v>33016</v>
      </c>
      <c r="I1580" t="s">
        <v>33017</v>
      </c>
      <c r="J1580" t="s">
        <v>33018</v>
      </c>
      <c r="K1580" t="s">
        <v>33019</v>
      </c>
      <c r="L1580" t="s">
        <v>33020</v>
      </c>
      <c r="M1580" t="s">
        <v>33021</v>
      </c>
      <c r="N1580" t="s">
        <v>33022</v>
      </c>
      <c r="O1580">
        <f>-792.791747529024 -53.101092004355 -711.90555705144</f>
        <v>-1557.7983965848189</v>
      </c>
      <c r="P1580">
        <f>-749.527997177484 -25.1181007327662 -399.605390078327</f>
        <v>-1174.2514879885771</v>
      </c>
      <c r="Q1580">
        <f>-496.576082308426 -8.77536143592806 -341.379326196015</f>
        <v>-846.7307699403691</v>
      </c>
      <c r="R1580" t="s">
        <v>33023</v>
      </c>
      <c r="S1580" t="s">
        <v>33024</v>
      </c>
      <c r="T1580" t="s">
        <v>33025</v>
      </c>
      <c r="U1580" t="s">
        <v>33026</v>
      </c>
      <c r="V1580" t="s">
        <v>33027</v>
      </c>
      <c r="W1580" t="s">
        <v>33028</v>
      </c>
      <c r="X1580" t="s">
        <v>33029</v>
      </c>
      <c r="Y1580" t="s">
        <v>33030</v>
      </c>
    </row>
    <row r="1581" spans="1:25" x14ac:dyDescent="0.3">
      <c r="A1581">
        <v>79000</v>
      </c>
      <c r="B1581" t="s">
        <v>33031</v>
      </c>
      <c r="C1581" t="s">
        <v>33032</v>
      </c>
      <c r="D1581" t="s">
        <v>33033</v>
      </c>
      <c r="E1581" t="s">
        <v>33034</v>
      </c>
      <c r="F1581" t="s">
        <v>33035</v>
      </c>
      <c r="G1581" t="s">
        <v>33036</v>
      </c>
      <c r="H1581" t="s">
        <v>33037</v>
      </c>
      <c r="I1581" t="s">
        <v>33038</v>
      </c>
      <c r="J1581" t="s">
        <v>33039</v>
      </c>
      <c r="K1581" t="s">
        <v>33040</v>
      </c>
      <c r="L1581" t="s">
        <v>33041</v>
      </c>
      <c r="M1581" t="s">
        <v>33042</v>
      </c>
      <c r="N1581" t="s">
        <v>33043</v>
      </c>
      <c r="O1581">
        <f>-793.800575259921 -53.0246887856363 -711.795563694483</f>
        <v>-1558.6208277400401</v>
      </c>
      <c r="P1581">
        <f>-750.154539911901 -25.0179847568133 -399.550753000288</f>
        <v>-1174.7232776690023</v>
      </c>
      <c r="Q1581">
        <f>-497.133537808286 -8.97908896471313 -341.540833604602</f>
        <v>-847.65346037760116</v>
      </c>
      <c r="R1581" t="s">
        <v>33044</v>
      </c>
      <c r="S1581" t="s">
        <v>33045</v>
      </c>
      <c r="T1581" t="s">
        <v>33046</v>
      </c>
      <c r="U1581" t="s">
        <v>33047</v>
      </c>
      <c r="V1581" t="s">
        <v>33048</v>
      </c>
      <c r="W1581" t="s">
        <v>33049</v>
      </c>
      <c r="X1581" t="s">
        <v>33050</v>
      </c>
      <c r="Y1581" t="s">
        <v>33051</v>
      </c>
    </row>
    <row r="1582" spans="1:25" x14ac:dyDescent="0.3">
      <c r="A1582">
        <v>79050</v>
      </c>
      <c r="B1582" t="s">
        <v>33052</v>
      </c>
      <c r="C1582" t="s">
        <v>33053</v>
      </c>
      <c r="D1582" t="s">
        <v>33054</v>
      </c>
      <c r="E1582" t="s">
        <v>33055</v>
      </c>
      <c r="F1582" t="s">
        <v>33056</v>
      </c>
      <c r="G1582" t="s">
        <v>33057</v>
      </c>
      <c r="H1582" t="s">
        <v>33058</v>
      </c>
      <c r="I1582" t="s">
        <v>33059</v>
      </c>
      <c r="J1582" t="s">
        <v>33060</v>
      </c>
      <c r="K1582" t="s">
        <v>33061</v>
      </c>
      <c r="L1582" t="s">
        <v>33062</v>
      </c>
      <c r="M1582" t="s">
        <v>33063</v>
      </c>
      <c r="N1582" t="s">
        <v>33064</v>
      </c>
      <c r="O1582">
        <f>-795.832552655714 -53.1940837432605 -711.575152665155</f>
        <v>-1560.6017890641297</v>
      </c>
      <c r="P1582">
        <f>-751.625932460281 -25.1965346922746 -399.408353658095</f>
        <v>-1176.2308208106506</v>
      </c>
      <c r="Q1582">
        <f>-498.536566257936 -9.37279337460473 -341.637611553946</f>
        <v>-849.54697118648664</v>
      </c>
      <c r="R1582" t="s">
        <v>33065</v>
      </c>
      <c r="S1582" t="s">
        <v>33066</v>
      </c>
      <c r="T1582" t="s">
        <v>33067</v>
      </c>
      <c r="U1582" t="s">
        <v>33068</v>
      </c>
      <c r="V1582" t="s">
        <v>33069</v>
      </c>
      <c r="W1582" t="s">
        <v>33070</v>
      </c>
      <c r="X1582" t="s">
        <v>33071</v>
      </c>
      <c r="Y1582" t="s">
        <v>33072</v>
      </c>
    </row>
    <row r="1583" spans="1:25" x14ac:dyDescent="0.3">
      <c r="A1583">
        <v>79100</v>
      </c>
      <c r="B1583" t="s">
        <v>33073</v>
      </c>
      <c r="C1583" t="s">
        <v>33074</v>
      </c>
      <c r="D1583" t="s">
        <v>33075</v>
      </c>
      <c r="E1583" t="s">
        <v>33076</v>
      </c>
      <c r="F1583" t="s">
        <v>33077</v>
      </c>
      <c r="G1583" t="s">
        <v>33078</v>
      </c>
      <c r="H1583" t="s">
        <v>33079</v>
      </c>
      <c r="I1583" t="s">
        <v>33080</v>
      </c>
      <c r="J1583" t="s">
        <v>33081</v>
      </c>
      <c r="K1583" t="s">
        <v>33082</v>
      </c>
      <c r="L1583" t="s">
        <v>33083</v>
      </c>
      <c r="M1583" t="s">
        <v>33084</v>
      </c>
      <c r="N1583" t="s">
        <v>33085</v>
      </c>
      <c r="O1583">
        <f>-796.490121879005 -53.4771146946823 -711.577888526132</f>
        <v>-1561.5451250998194</v>
      </c>
      <c r="P1583">
        <f>-752.08744826545 -25.5187618480529 -399.435432600624</f>
        <v>-1177.041642714127</v>
      </c>
      <c r="Q1583">
        <f>-498.992813618951 -9.62432170600323 -341.707164648014</f>
        <v>-850.32429997296822</v>
      </c>
      <c r="R1583" t="s">
        <v>33086</v>
      </c>
      <c r="S1583" t="s">
        <v>33087</v>
      </c>
      <c r="T1583" t="s">
        <v>33088</v>
      </c>
      <c r="U1583" t="s">
        <v>33089</v>
      </c>
      <c r="V1583" t="s">
        <v>33090</v>
      </c>
      <c r="W1583" t="s">
        <v>33091</v>
      </c>
      <c r="X1583" t="s">
        <v>33092</v>
      </c>
      <c r="Y1583" t="s">
        <v>33093</v>
      </c>
    </row>
    <row r="1584" spans="1:25" x14ac:dyDescent="0.3">
      <c r="A1584">
        <v>79150</v>
      </c>
      <c r="B1584" t="s">
        <v>33094</v>
      </c>
      <c r="C1584" t="s">
        <v>33095</v>
      </c>
      <c r="D1584" t="s">
        <v>33096</v>
      </c>
      <c r="E1584" t="s">
        <v>33097</v>
      </c>
      <c r="F1584" t="s">
        <v>33098</v>
      </c>
      <c r="G1584" t="s">
        <v>33099</v>
      </c>
      <c r="H1584" t="s">
        <v>33100</v>
      </c>
      <c r="I1584" t="s">
        <v>33101</v>
      </c>
      <c r="J1584" t="s">
        <v>33102</v>
      </c>
      <c r="K1584" t="s">
        <v>33103</v>
      </c>
      <c r="L1584" t="s">
        <v>33104</v>
      </c>
      <c r="M1584" t="s">
        <v>33105</v>
      </c>
      <c r="N1584" t="s">
        <v>33106</v>
      </c>
      <c r="O1584">
        <f>-797.497239699898 -54.084401125737 -711.604968442952</f>
        <v>-1563.1866092685871</v>
      </c>
      <c r="P1584">
        <f>-752.788483358153 -26.1533289381673 -399.50369802109</f>
        <v>-1178.4455103174103</v>
      </c>
      <c r="Q1584">
        <f>-499.689837267133 -9.71086568911505 -341.947417654493</f>
        <v>-851.34812061074103</v>
      </c>
      <c r="R1584" t="s">
        <v>33107</v>
      </c>
      <c r="S1584" t="s">
        <v>33108</v>
      </c>
      <c r="T1584" t="s">
        <v>33109</v>
      </c>
      <c r="U1584" t="s">
        <v>33110</v>
      </c>
      <c r="V1584" t="s">
        <v>33111</v>
      </c>
      <c r="W1584" t="s">
        <v>33112</v>
      </c>
      <c r="X1584" t="s">
        <v>33113</v>
      </c>
      <c r="Y1584" t="s">
        <v>33114</v>
      </c>
    </row>
    <row r="1585" spans="1:25" x14ac:dyDescent="0.3">
      <c r="A1585">
        <v>79200</v>
      </c>
      <c r="B1585" t="s">
        <v>33115</v>
      </c>
      <c r="C1585" t="s">
        <v>33116</v>
      </c>
      <c r="D1585" t="s">
        <v>33117</v>
      </c>
      <c r="E1585" t="s">
        <v>33118</v>
      </c>
      <c r="F1585" t="s">
        <v>33119</v>
      </c>
      <c r="G1585" t="s">
        <v>33120</v>
      </c>
      <c r="H1585" t="s">
        <v>33121</v>
      </c>
      <c r="I1585" t="s">
        <v>33122</v>
      </c>
      <c r="J1585" t="s">
        <v>33123</v>
      </c>
      <c r="K1585" t="s">
        <v>33124</v>
      </c>
      <c r="L1585" t="s">
        <v>33125</v>
      </c>
      <c r="M1585" t="s">
        <v>33126</v>
      </c>
      <c r="N1585" t="s">
        <v>33127</v>
      </c>
      <c r="O1585">
        <f>-797.800438906638 -54.2553894518207 -711.558310426405</f>
        <v>-1563.6141387848638</v>
      </c>
      <c r="P1585">
        <f>-752.99547204442 -26.4250337625863 -399.461852923766</f>
        <v>-1178.8823587307722</v>
      </c>
      <c r="Q1585">
        <f>-499.908957883584 -9.55774558980829 -341.975143956628</f>
        <v>-851.44184743002029</v>
      </c>
      <c r="R1585" t="s">
        <v>33128</v>
      </c>
      <c r="S1585" t="s">
        <v>33129</v>
      </c>
      <c r="T1585" t="s">
        <v>33130</v>
      </c>
      <c r="U1585" t="s">
        <v>33131</v>
      </c>
      <c r="V1585" t="s">
        <v>33132</v>
      </c>
      <c r="W1585" t="s">
        <v>33133</v>
      </c>
      <c r="X1585" t="s">
        <v>33134</v>
      </c>
      <c r="Y1585" t="s">
        <v>33135</v>
      </c>
    </row>
    <row r="1586" spans="1:25" x14ac:dyDescent="0.3">
      <c r="A1586">
        <v>79250</v>
      </c>
      <c r="B1586" t="s">
        <v>33136</v>
      </c>
      <c r="C1586" t="s">
        <v>33137</v>
      </c>
      <c r="D1586" t="s">
        <v>33138</v>
      </c>
      <c r="E1586" t="s">
        <v>33139</v>
      </c>
      <c r="F1586" t="s">
        <v>33140</v>
      </c>
      <c r="G1586" t="s">
        <v>33141</v>
      </c>
      <c r="H1586" t="s">
        <v>33142</v>
      </c>
      <c r="I1586" t="s">
        <v>33143</v>
      </c>
      <c r="J1586" t="s">
        <v>33144</v>
      </c>
      <c r="K1586" t="s">
        <v>33145</v>
      </c>
      <c r="L1586" t="s">
        <v>33146</v>
      </c>
      <c r="M1586" t="s">
        <v>33147</v>
      </c>
      <c r="N1586" t="s">
        <v>33148</v>
      </c>
      <c r="O1586">
        <f>-797.808489718673 -54.3843546773971 -711.496722553752</f>
        <v>-1563.6895669498222</v>
      </c>
      <c r="P1586">
        <f>-752.970728049992 -26.9375923303428 -399.371031463858</f>
        <v>-1179.2793518441927</v>
      </c>
      <c r="Q1586">
        <f>-499.952418007181 -9.24670699889248 -341.831180027208</f>
        <v>-851.03030503328148</v>
      </c>
      <c r="R1586" t="s">
        <v>33149</v>
      </c>
      <c r="S1586" t="s">
        <v>33150</v>
      </c>
      <c r="T1586" t="s">
        <v>33151</v>
      </c>
      <c r="U1586" t="s">
        <v>33152</v>
      </c>
      <c r="V1586" t="s">
        <v>33153</v>
      </c>
      <c r="W1586" t="s">
        <v>33154</v>
      </c>
      <c r="X1586" t="s">
        <v>33155</v>
      </c>
      <c r="Y1586" t="s">
        <v>33156</v>
      </c>
    </row>
    <row r="1587" spans="1:25" x14ac:dyDescent="0.3">
      <c r="A1587">
        <v>79300</v>
      </c>
      <c r="B1587" t="s">
        <v>33157</v>
      </c>
      <c r="C1587" t="s">
        <v>33158</v>
      </c>
      <c r="D1587" t="s">
        <v>33159</v>
      </c>
      <c r="E1587" t="s">
        <v>33160</v>
      </c>
      <c r="F1587" t="s">
        <v>33161</v>
      </c>
      <c r="G1587" t="s">
        <v>33162</v>
      </c>
      <c r="H1587" t="s">
        <v>33163</v>
      </c>
      <c r="I1587" t="s">
        <v>33164</v>
      </c>
      <c r="J1587" t="s">
        <v>33165</v>
      </c>
      <c r="K1587" t="s">
        <v>33166</v>
      </c>
      <c r="L1587" t="s">
        <v>33167</v>
      </c>
      <c r="M1587" t="s">
        <v>33168</v>
      </c>
      <c r="N1587" t="s">
        <v>33169</v>
      </c>
      <c r="O1587">
        <f>-797.582672401702 -54.4533190537143 -711.603484691761</f>
        <v>-1563.6394761471772</v>
      </c>
      <c r="P1587">
        <f>-752.840735173578 -27.2573251066435 -399.442054499357</f>
        <v>-1179.5401147795785</v>
      </c>
      <c r="Q1587">
        <f>-499.865696504842 -9.12871814966888 -341.848331326181</f>
        <v>-850.84274598069192</v>
      </c>
      <c r="R1587" t="s">
        <v>33170</v>
      </c>
      <c r="S1587" t="s">
        <v>33171</v>
      </c>
      <c r="T1587" t="s">
        <v>33172</v>
      </c>
      <c r="U1587" t="s">
        <v>33173</v>
      </c>
      <c r="V1587" t="s">
        <v>33174</v>
      </c>
      <c r="W1587" t="s">
        <v>33175</v>
      </c>
      <c r="X1587" t="s">
        <v>33176</v>
      </c>
      <c r="Y1587" t="s">
        <v>33177</v>
      </c>
    </row>
    <row r="1588" spans="1:25" x14ac:dyDescent="0.3">
      <c r="A1588">
        <v>79350</v>
      </c>
      <c r="B1588" t="s">
        <v>33178</v>
      </c>
      <c r="C1588" t="s">
        <v>33179</v>
      </c>
      <c r="D1588" t="s">
        <v>33180</v>
      </c>
      <c r="E1588" t="s">
        <v>33181</v>
      </c>
      <c r="F1588" t="s">
        <v>33182</v>
      </c>
      <c r="G1588" t="s">
        <v>33183</v>
      </c>
      <c r="H1588" t="s">
        <v>33184</v>
      </c>
      <c r="I1588" t="s">
        <v>33185</v>
      </c>
      <c r="J1588" t="s">
        <v>33186</v>
      </c>
      <c r="K1588" t="s">
        <v>33187</v>
      </c>
      <c r="L1588" t="s">
        <v>33188</v>
      </c>
      <c r="M1588" t="s">
        <v>33189</v>
      </c>
      <c r="N1588" t="s">
        <v>33190</v>
      </c>
      <c r="O1588">
        <f>-797.313657034851 -54.8336420876558 -711.801900252124</f>
        <v>-1563.9491993746308</v>
      </c>
      <c r="P1588">
        <f>-752.655651991163 -28.1001576651729 -399.588370224036</f>
        <v>-1180.3441798803719</v>
      </c>
      <c r="Q1588">
        <f>-499.758170935251 -9.00534371031085 -341.966407414137</f>
        <v>-850.72992205969877</v>
      </c>
      <c r="R1588" t="s">
        <v>33191</v>
      </c>
      <c r="S1588" t="s">
        <v>33192</v>
      </c>
      <c r="T1588" t="s">
        <v>33193</v>
      </c>
      <c r="U1588" t="s">
        <v>33194</v>
      </c>
      <c r="V1588" t="s">
        <v>33195</v>
      </c>
      <c r="W1588" t="s">
        <v>33196</v>
      </c>
      <c r="X1588" t="s">
        <v>33197</v>
      </c>
      <c r="Y1588" t="s">
        <v>33198</v>
      </c>
    </row>
    <row r="1589" spans="1:25" x14ac:dyDescent="0.3">
      <c r="A1589">
        <v>79400</v>
      </c>
      <c r="B1589" t="s">
        <v>33199</v>
      </c>
      <c r="C1589" t="s">
        <v>33200</v>
      </c>
      <c r="D1589" t="s">
        <v>33201</v>
      </c>
      <c r="E1589" t="s">
        <v>33202</v>
      </c>
      <c r="F1589" t="s">
        <v>33203</v>
      </c>
      <c r="G1589" t="s">
        <v>33204</v>
      </c>
      <c r="H1589" t="s">
        <v>33205</v>
      </c>
      <c r="I1589" t="s">
        <v>33206</v>
      </c>
      <c r="J1589" t="s">
        <v>33207</v>
      </c>
      <c r="K1589" t="s">
        <v>33208</v>
      </c>
      <c r="L1589" t="s">
        <v>33209</v>
      </c>
      <c r="M1589" t="s">
        <v>33210</v>
      </c>
      <c r="N1589" t="s">
        <v>33211</v>
      </c>
      <c r="O1589">
        <f>-797.240468707131 -54.9945029288247 -711.906461730488</f>
        <v>-1564.1414333664436</v>
      </c>
      <c r="P1589">
        <f>-752.505756614634 -28.3220937209803 -399.698886121283</f>
        <v>-1180.5267364568974</v>
      </c>
      <c r="Q1589">
        <f>-499.642075941767 -9.05438296657439 -341.986250085626</f>
        <v>-850.68270899396748</v>
      </c>
      <c r="R1589" t="s">
        <v>33212</v>
      </c>
      <c r="S1589" t="s">
        <v>33213</v>
      </c>
      <c r="T1589" t="s">
        <v>33214</v>
      </c>
      <c r="U1589" t="s">
        <v>33215</v>
      </c>
      <c r="V1589" t="s">
        <v>33216</v>
      </c>
      <c r="W1589" t="s">
        <v>33217</v>
      </c>
      <c r="X1589" t="s">
        <v>33218</v>
      </c>
      <c r="Y1589" t="s">
        <v>33219</v>
      </c>
    </row>
    <row r="1590" spans="1:25" x14ac:dyDescent="0.3">
      <c r="A1590">
        <v>79450</v>
      </c>
      <c r="B1590" t="s">
        <v>33220</v>
      </c>
      <c r="C1590" t="s">
        <v>33221</v>
      </c>
      <c r="D1590" t="s">
        <v>33222</v>
      </c>
      <c r="E1590" t="s">
        <v>33223</v>
      </c>
      <c r="F1590" t="s">
        <v>33224</v>
      </c>
      <c r="G1590" t="s">
        <v>33225</v>
      </c>
      <c r="H1590" t="s">
        <v>33226</v>
      </c>
      <c r="I1590" t="s">
        <v>33227</v>
      </c>
      <c r="J1590" t="s">
        <v>33228</v>
      </c>
      <c r="K1590" t="s">
        <v>33229</v>
      </c>
      <c r="L1590" t="s">
        <v>33230</v>
      </c>
      <c r="M1590" t="s">
        <v>33231</v>
      </c>
      <c r="N1590" t="s">
        <v>33232</v>
      </c>
      <c r="O1590">
        <f>-796.834260317667 -55.3471203064671 -712.119511098225</f>
        <v>-1564.3008917223592</v>
      </c>
      <c r="P1590">
        <f>-751.987898194424 -29.0557944503844 -399.89565960935</f>
        <v>-1180.9393522541584</v>
      </c>
      <c r="Q1590">
        <f>-499.118756432998 -9.70090314886761 -342.235803485793</f>
        <v>-851.05546306765859</v>
      </c>
      <c r="R1590" t="s">
        <v>33233</v>
      </c>
      <c r="S1590" t="s">
        <v>33234</v>
      </c>
      <c r="T1590" t="s">
        <v>33235</v>
      </c>
      <c r="U1590" t="s">
        <v>33236</v>
      </c>
      <c r="V1590" t="s">
        <v>33237</v>
      </c>
      <c r="W1590" t="s">
        <v>33238</v>
      </c>
      <c r="X1590" t="s">
        <v>33239</v>
      </c>
      <c r="Y1590" t="s">
        <v>33240</v>
      </c>
    </row>
    <row r="1591" spans="1:25" x14ac:dyDescent="0.3">
      <c r="A1591">
        <v>79500</v>
      </c>
      <c r="B1591" t="s">
        <v>33241</v>
      </c>
      <c r="C1591" t="s">
        <v>33242</v>
      </c>
      <c r="D1591" t="s">
        <v>33243</v>
      </c>
      <c r="E1591" t="s">
        <v>33244</v>
      </c>
      <c r="F1591" t="s">
        <v>33245</v>
      </c>
      <c r="G1591" t="s">
        <v>33246</v>
      </c>
      <c r="H1591" t="s">
        <v>33247</v>
      </c>
      <c r="I1591" t="s">
        <v>33248</v>
      </c>
      <c r="J1591" t="s">
        <v>33249</v>
      </c>
      <c r="K1591" t="s">
        <v>33250</v>
      </c>
      <c r="L1591" t="s">
        <v>33251</v>
      </c>
      <c r="M1591" t="s">
        <v>33252</v>
      </c>
      <c r="N1591" t="s">
        <v>33253</v>
      </c>
      <c r="O1591">
        <f>-796.650440412484 -55.5654721658425 -712.249138349937</f>
        <v>-1564.4650509282635</v>
      </c>
      <c r="P1591">
        <f>-751.732749405253 -29.1725118663203 -400.043944679851</f>
        <v>-1180.9492059514243</v>
      </c>
      <c r="Q1591">
        <f>-498.85265671739 -10.2194527968873 -342.299031460142</f>
        <v>-851.37114097441929</v>
      </c>
      <c r="R1591" t="s">
        <v>33254</v>
      </c>
      <c r="S1591" t="s">
        <v>33255</v>
      </c>
      <c r="T1591" t="s">
        <v>33256</v>
      </c>
      <c r="U1591" t="s">
        <v>33257</v>
      </c>
      <c r="V1591" t="s">
        <v>33258</v>
      </c>
      <c r="W1591" t="s">
        <v>33259</v>
      </c>
      <c r="X1591" t="s">
        <v>33260</v>
      </c>
      <c r="Y1591" t="s">
        <v>33261</v>
      </c>
    </row>
    <row r="1592" spans="1:25" x14ac:dyDescent="0.3">
      <c r="A1592">
        <v>79550</v>
      </c>
      <c r="B1592" t="s">
        <v>33262</v>
      </c>
      <c r="C1592" t="s">
        <v>33263</v>
      </c>
      <c r="D1592" t="s">
        <v>33264</v>
      </c>
      <c r="E1592" t="s">
        <v>33265</v>
      </c>
      <c r="F1592" t="s">
        <v>33266</v>
      </c>
      <c r="G1592" t="s">
        <v>33267</v>
      </c>
      <c r="H1592" t="s">
        <v>33268</v>
      </c>
      <c r="I1592" t="s">
        <v>33269</v>
      </c>
      <c r="J1592" t="s">
        <v>33270</v>
      </c>
      <c r="K1592" t="s">
        <v>33271</v>
      </c>
      <c r="L1592" t="s">
        <v>33272</v>
      </c>
      <c r="M1592" t="s">
        <v>33273</v>
      </c>
      <c r="N1592" t="s">
        <v>33274</v>
      </c>
      <c r="O1592">
        <f>-796.230384899169 -56.0956888996502 -712.330901029638</f>
        <v>-1564.6569748284574</v>
      </c>
      <c r="P1592">
        <f>-751.510564930089 -29.8133533609268 -400.088113175169</f>
        <v>-1181.4120314661848</v>
      </c>
      <c r="Q1592">
        <f>-498.740950037527 -11.8013251436764 -341.562997922299</f>
        <v>-852.10527310350244</v>
      </c>
      <c r="R1592" t="s">
        <v>33275</v>
      </c>
      <c r="S1592" t="s">
        <v>33276</v>
      </c>
      <c r="T1592" t="s">
        <v>33277</v>
      </c>
      <c r="U1592" t="s">
        <v>33278</v>
      </c>
      <c r="V1592" t="s">
        <v>33279</v>
      </c>
      <c r="W1592" t="s">
        <v>33280</v>
      </c>
      <c r="X1592" t="s">
        <v>33281</v>
      </c>
      <c r="Y1592" t="s">
        <v>33282</v>
      </c>
    </row>
    <row r="1593" spans="1:25" x14ac:dyDescent="0.3">
      <c r="A1593">
        <v>79600</v>
      </c>
      <c r="B1593" t="s">
        <v>33283</v>
      </c>
      <c r="C1593" t="s">
        <v>33284</v>
      </c>
      <c r="D1593" t="s">
        <v>33285</v>
      </c>
      <c r="E1593" t="s">
        <v>33286</v>
      </c>
      <c r="F1593" t="s">
        <v>33287</v>
      </c>
      <c r="G1593" t="s">
        <v>33288</v>
      </c>
      <c r="H1593" t="s">
        <v>33289</v>
      </c>
      <c r="I1593" t="s">
        <v>33290</v>
      </c>
      <c r="J1593" t="s">
        <v>33291</v>
      </c>
      <c r="K1593" t="s">
        <v>33292</v>
      </c>
      <c r="L1593" t="s">
        <v>33293</v>
      </c>
      <c r="M1593" t="s">
        <v>33294</v>
      </c>
      <c r="N1593" t="s">
        <v>33295</v>
      </c>
      <c r="O1593">
        <f>-796.170588527251 -56.2943752034726 -712.366749338306</f>
        <v>-1564.8317130690295</v>
      </c>
      <c r="P1593">
        <f>-751.572116827412 -30.2577651939605 -400.086109630341</f>
        <v>-1181.9159916517135</v>
      </c>
      <c r="Q1593">
        <f>-498.834246408019 -12.1775317303011 -341.445844629915</f>
        <v>-852.45762276823507</v>
      </c>
      <c r="R1593" t="s">
        <v>33296</v>
      </c>
      <c r="S1593" t="s">
        <v>33297</v>
      </c>
      <c r="T1593" t="s">
        <v>33298</v>
      </c>
      <c r="U1593" t="s">
        <v>33299</v>
      </c>
      <c r="V1593" t="s">
        <v>33300</v>
      </c>
      <c r="W1593" t="s">
        <v>33301</v>
      </c>
      <c r="X1593" t="s">
        <v>33302</v>
      </c>
      <c r="Y1593" t="s">
        <v>33303</v>
      </c>
    </row>
    <row r="1594" spans="1:25" x14ac:dyDescent="0.3">
      <c r="A1594">
        <v>79650</v>
      </c>
      <c r="B1594" t="s">
        <v>33304</v>
      </c>
      <c r="C1594" t="s">
        <v>33305</v>
      </c>
      <c r="D1594" t="s">
        <v>33306</v>
      </c>
      <c r="E1594" t="s">
        <v>33307</v>
      </c>
      <c r="F1594" t="s">
        <v>33308</v>
      </c>
      <c r="G1594" t="s">
        <v>33309</v>
      </c>
      <c r="H1594" t="s">
        <v>33310</v>
      </c>
      <c r="I1594" t="s">
        <v>33311</v>
      </c>
      <c r="J1594" t="s">
        <v>33312</v>
      </c>
      <c r="K1594" t="s">
        <v>33313</v>
      </c>
      <c r="L1594" t="s">
        <v>33314</v>
      </c>
      <c r="M1594" t="s">
        <v>33315</v>
      </c>
      <c r="N1594" t="s">
        <v>33316</v>
      </c>
      <c r="O1594">
        <f>-796.34877378296 -56.9002442460837 -712.362471322633</f>
        <v>-1565.6114893516769</v>
      </c>
      <c r="P1594">
        <f>-751.855454493604 -30.5331651846202 -400.094533126237</f>
        <v>-1182.4831528044613</v>
      </c>
      <c r="Q1594">
        <f>-499.224572278535 -11.7486789007676 -341.214440515304</f>
        <v>-852.18769169460654</v>
      </c>
      <c r="R1594" t="s">
        <v>33317</v>
      </c>
      <c r="S1594" t="s">
        <v>33318</v>
      </c>
      <c r="T1594" t="s">
        <v>33319</v>
      </c>
      <c r="U1594" t="s">
        <v>33320</v>
      </c>
      <c r="V1594" t="s">
        <v>33321</v>
      </c>
      <c r="W1594" t="s">
        <v>33322</v>
      </c>
      <c r="X1594" t="s">
        <v>33323</v>
      </c>
      <c r="Y1594" t="s">
        <v>33324</v>
      </c>
    </row>
    <row r="1595" spans="1:25" x14ac:dyDescent="0.3">
      <c r="A1595">
        <v>79700</v>
      </c>
      <c r="B1595" t="s">
        <v>33325</v>
      </c>
      <c r="C1595" t="s">
        <v>33326</v>
      </c>
      <c r="D1595" t="s">
        <v>33327</v>
      </c>
      <c r="E1595" t="s">
        <v>33328</v>
      </c>
      <c r="F1595" t="s">
        <v>33329</v>
      </c>
      <c r="G1595" t="s">
        <v>33330</v>
      </c>
      <c r="H1595" t="s">
        <v>33331</v>
      </c>
      <c r="I1595" t="s">
        <v>33332</v>
      </c>
      <c r="J1595" t="s">
        <v>33333</v>
      </c>
      <c r="K1595" t="s">
        <v>33334</v>
      </c>
      <c r="L1595" t="s">
        <v>33335</v>
      </c>
      <c r="M1595" t="s">
        <v>33336</v>
      </c>
      <c r="N1595" t="s">
        <v>33337</v>
      </c>
      <c r="O1595">
        <f>-796.364668543767 -57.4379952498434 -712.347444239193</f>
        <v>-1566.1501080328035</v>
      </c>
      <c r="P1595">
        <f>-752.006716829865 -30.716692708711 -400.090387666847</f>
        <v>-1182.813797205423</v>
      </c>
      <c r="Q1595">
        <f>-499.436119760441 -10.8971332073916 -341.291370833585</f>
        <v>-851.62462380141756</v>
      </c>
      <c r="R1595" t="s">
        <v>33338</v>
      </c>
      <c r="S1595" t="s">
        <v>33339</v>
      </c>
      <c r="T1595" t="s">
        <v>33340</v>
      </c>
      <c r="U1595" t="s">
        <v>33341</v>
      </c>
      <c r="V1595" t="s">
        <v>33342</v>
      </c>
      <c r="W1595" t="s">
        <v>33343</v>
      </c>
      <c r="X1595" t="s">
        <v>33344</v>
      </c>
      <c r="Y1595" t="s">
        <v>33345</v>
      </c>
    </row>
    <row r="1596" spans="1:25" x14ac:dyDescent="0.3">
      <c r="A1596">
        <v>79750</v>
      </c>
      <c r="B1596" t="s">
        <v>33346</v>
      </c>
      <c r="C1596" t="s">
        <v>33347</v>
      </c>
      <c r="D1596" t="s">
        <v>33348</v>
      </c>
      <c r="E1596" t="s">
        <v>33349</v>
      </c>
      <c r="F1596" t="s">
        <v>33350</v>
      </c>
      <c r="G1596" t="s">
        <v>33351</v>
      </c>
      <c r="H1596" t="s">
        <v>33352</v>
      </c>
      <c r="I1596" t="s">
        <v>33353</v>
      </c>
      <c r="J1596" t="s">
        <v>33354</v>
      </c>
      <c r="K1596" t="s">
        <v>33355</v>
      </c>
      <c r="L1596" t="s">
        <v>33356</v>
      </c>
      <c r="M1596" t="s">
        <v>33357</v>
      </c>
      <c r="N1596" t="s">
        <v>33358</v>
      </c>
      <c r="O1596">
        <f>-796.08337405716 -58.4470292746173 -712.196530808113</f>
        <v>-1566.7269341398903</v>
      </c>
      <c r="P1596">
        <f>-751.915469917521 -30.9254858686074 -399.981936987878</f>
        <v>-1182.8228927740065</v>
      </c>
      <c r="Q1596">
        <f>-499.51728182215 -9.33354883149445 -341.066826049005</f>
        <v>-849.91765670264942</v>
      </c>
      <c r="R1596" t="s">
        <v>33359</v>
      </c>
      <c r="S1596" t="s">
        <v>33360</v>
      </c>
      <c r="T1596" t="s">
        <v>33361</v>
      </c>
      <c r="U1596" t="s">
        <v>33362</v>
      </c>
      <c r="V1596" t="s">
        <v>33363</v>
      </c>
      <c r="W1596" t="s">
        <v>33364</v>
      </c>
      <c r="X1596" t="s">
        <v>33365</v>
      </c>
      <c r="Y1596" t="s">
        <v>33366</v>
      </c>
    </row>
    <row r="1597" spans="1:25" x14ac:dyDescent="0.3">
      <c r="A1597">
        <v>79800</v>
      </c>
      <c r="B1597" t="s">
        <v>33367</v>
      </c>
      <c r="C1597" t="s">
        <v>33368</v>
      </c>
      <c r="D1597" t="s">
        <v>33369</v>
      </c>
      <c r="E1597" t="s">
        <v>33370</v>
      </c>
      <c r="F1597" t="s">
        <v>33371</v>
      </c>
      <c r="G1597" t="s">
        <v>33372</v>
      </c>
      <c r="H1597" t="s">
        <v>33373</v>
      </c>
      <c r="I1597" t="s">
        <v>33374</v>
      </c>
      <c r="J1597" t="s">
        <v>33375</v>
      </c>
      <c r="K1597" t="s">
        <v>33376</v>
      </c>
      <c r="L1597" t="s">
        <v>33377</v>
      </c>
      <c r="M1597" t="s">
        <v>33378</v>
      </c>
      <c r="N1597" t="s">
        <v>33379</v>
      </c>
      <c r="O1597">
        <f>-795.721895138642 -58.8824230698547 -712.212583687698</f>
        <v>-1566.8169018961948</v>
      </c>
      <c r="P1597">
        <f>-751.617458778257 -31.469884318361 -399.979426812046</f>
        <v>-1183.0667699086639</v>
      </c>
      <c r="Q1597">
        <f>-499.296105056212 -8.49722578953924 -341.257960669941</f>
        <v>-849.05129151569224</v>
      </c>
      <c r="R1597" t="s">
        <v>33380</v>
      </c>
      <c r="S1597" t="s">
        <v>33381</v>
      </c>
      <c r="T1597" t="s">
        <v>33382</v>
      </c>
      <c r="U1597" t="s">
        <v>33383</v>
      </c>
      <c r="V1597" t="s">
        <v>33384</v>
      </c>
      <c r="W1597" t="s">
        <v>33385</v>
      </c>
      <c r="X1597" t="s">
        <v>33386</v>
      </c>
      <c r="Y1597" t="s">
        <v>33387</v>
      </c>
    </row>
    <row r="1598" spans="1:25" x14ac:dyDescent="0.3">
      <c r="A1598">
        <v>79850</v>
      </c>
      <c r="B1598" t="s">
        <v>33388</v>
      </c>
      <c r="C1598" t="s">
        <v>33389</v>
      </c>
      <c r="D1598" t="s">
        <v>33390</v>
      </c>
      <c r="E1598" t="s">
        <v>33391</v>
      </c>
      <c r="F1598" t="s">
        <v>33392</v>
      </c>
      <c r="G1598" t="s">
        <v>33393</v>
      </c>
      <c r="H1598" t="s">
        <v>33394</v>
      </c>
      <c r="I1598" t="s">
        <v>33395</v>
      </c>
      <c r="J1598" t="s">
        <v>33396</v>
      </c>
      <c r="K1598" t="s">
        <v>33397</v>
      </c>
      <c r="L1598" t="s">
        <v>33398</v>
      </c>
      <c r="M1598" t="s">
        <v>33399</v>
      </c>
      <c r="N1598" t="s">
        <v>33400</v>
      </c>
      <c r="O1598">
        <f>-794.770139376723 -59.7752724453808 -712.223066520796</f>
        <v>-1566.7684783428999</v>
      </c>
      <c r="P1598">
        <f>-751.118919193011 -32.1172428753559 -399.947810295082</f>
        <v>-1183.1839723634489</v>
      </c>
      <c r="Q1598">
        <f>-499.001457362502 -6.28201372498393 -341.540672335254</f>
        <v>-846.82414342273989</v>
      </c>
      <c r="R1598" t="s">
        <v>33401</v>
      </c>
      <c r="S1598" t="s">
        <v>33402</v>
      </c>
      <c r="T1598" t="s">
        <v>33403</v>
      </c>
      <c r="U1598" t="s">
        <v>33404</v>
      </c>
      <c r="V1598" t="s">
        <v>33405</v>
      </c>
      <c r="W1598" t="s">
        <v>33406</v>
      </c>
      <c r="X1598" t="s">
        <v>33407</v>
      </c>
      <c r="Y1598" t="s">
        <v>33408</v>
      </c>
    </row>
    <row r="1599" spans="1:25" x14ac:dyDescent="0.3">
      <c r="A1599">
        <v>79900</v>
      </c>
      <c r="B1599" t="s">
        <v>33409</v>
      </c>
      <c r="C1599" t="s">
        <v>33410</v>
      </c>
      <c r="D1599" t="s">
        <v>33411</v>
      </c>
      <c r="E1599" t="s">
        <v>33412</v>
      </c>
      <c r="F1599" t="s">
        <v>33413</v>
      </c>
      <c r="G1599" t="s">
        <v>33414</v>
      </c>
      <c r="H1599" t="s">
        <v>33415</v>
      </c>
      <c r="I1599" t="s">
        <v>33416</v>
      </c>
      <c r="J1599" t="s">
        <v>33417</v>
      </c>
      <c r="K1599" t="s">
        <v>33418</v>
      </c>
      <c r="L1599" t="s">
        <v>33419</v>
      </c>
      <c r="M1599" t="s">
        <v>33420</v>
      </c>
      <c r="N1599" t="s">
        <v>33421</v>
      </c>
      <c r="O1599">
        <f>-794.335400729486 -60.1860255116944 -712.048257131044</f>
        <v>-1566.5696833722245</v>
      </c>
      <c r="P1599">
        <f>-750.860939971343 -32.4902742573749 -399.751617449432</f>
        <v>-1183.1028316781499</v>
      </c>
      <c r="Q1599">
        <f>-498.864029430772 -5.61011203829958 -341.296010808446</f>
        <v>-845.77015227751758</v>
      </c>
      <c r="R1599" t="s">
        <v>33422</v>
      </c>
      <c r="S1599" t="s">
        <v>33423</v>
      </c>
      <c r="T1599" t="s">
        <v>33424</v>
      </c>
      <c r="U1599" t="s">
        <v>33425</v>
      </c>
      <c r="V1599" t="s">
        <v>33426</v>
      </c>
      <c r="W1599" t="s">
        <v>33427</v>
      </c>
      <c r="X1599" t="s">
        <v>33428</v>
      </c>
      <c r="Y1599" t="s">
        <v>33429</v>
      </c>
    </row>
    <row r="1600" spans="1:25" x14ac:dyDescent="0.3">
      <c r="A1600">
        <v>79950</v>
      </c>
      <c r="B1600" t="s">
        <v>33430</v>
      </c>
      <c r="C1600" t="s">
        <v>33431</v>
      </c>
      <c r="D1600" t="s">
        <v>33432</v>
      </c>
      <c r="E1600" t="s">
        <v>33433</v>
      </c>
      <c r="F1600" t="s">
        <v>33434</v>
      </c>
      <c r="G1600" t="s">
        <v>33435</v>
      </c>
      <c r="H1600" t="s">
        <v>33436</v>
      </c>
      <c r="I1600" t="s">
        <v>33437</v>
      </c>
      <c r="J1600" t="s">
        <v>33438</v>
      </c>
      <c r="K1600" t="s">
        <v>33439</v>
      </c>
      <c r="L1600" t="s">
        <v>33440</v>
      </c>
      <c r="M1600" t="s">
        <v>33441</v>
      </c>
      <c r="N1600" t="s">
        <v>33442</v>
      </c>
      <c r="O1600">
        <f>-793.287305730937 -60.6242455689039 -711.577393657517</f>
        <v>-1565.4889449573579</v>
      </c>
      <c r="P1600">
        <f>-750.045394594263 -33.1230271914603 -399.231346972514</f>
        <v>-1182.3997687582373</v>
      </c>
      <c r="Q1600">
        <f>-498.099999518634 -4.85696144868075 -341.208649598475</f>
        <v>-844.16561056578973</v>
      </c>
      <c r="R1600" t="s">
        <v>33443</v>
      </c>
      <c r="S1600" t="s">
        <v>33444</v>
      </c>
      <c r="T1600" t="s">
        <v>33445</v>
      </c>
      <c r="U1600" t="s">
        <v>33446</v>
      </c>
      <c r="V1600" t="s">
        <v>33447</v>
      </c>
      <c r="W1600" t="s">
        <v>33448</v>
      </c>
      <c r="X1600" t="s">
        <v>33449</v>
      </c>
      <c r="Y1600" t="s">
        <v>33450</v>
      </c>
    </row>
    <row r="1601" spans="1:25" x14ac:dyDescent="0.3">
      <c r="A1601">
        <v>80000</v>
      </c>
      <c r="B1601" t="s">
        <v>33451</v>
      </c>
      <c r="C1601" t="s">
        <v>33452</v>
      </c>
      <c r="D1601" t="s">
        <v>33453</v>
      </c>
      <c r="E1601" t="s">
        <v>33454</v>
      </c>
      <c r="F1601" t="s">
        <v>33455</v>
      </c>
      <c r="G1601" t="s">
        <v>33456</v>
      </c>
      <c r="H1601" t="s">
        <v>33457</v>
      </c>
      <c r="I1601" t="s">
        <v>33458</v>
      </c>
      <c r="J1601" t="s">
        <v>33459</v>
      </c>
      <c r="K1601" t="s">
        <v>33460</v>
      </c>
      <c r="L1601" t="s">
        <v>33461</v>
      </c>
      <c r="M1601" t="s">
        <v>33462</v>
      </c>
      <c r="N1601" t="s">
        <v>33463</v>
      </c>
      <c r="O1601">
        <f>-792.932952653528 -60.7168501706856 -711.339242834759</f>
        <v>-1564.9890456589726</v>
      </c>
      <c r="P1601">
        <f>-749.4748113148 -33.4069118461462 -399.006589780559</f>
        <v>-1181.8883129415053</v>
      </c>
      <c r="Q1601">
        <f>-497.504585289707 -4.88001674847737 -341.219850610952</f>
        <v>-843.60445264913642</v>
      </c>
      <c r="R1601" t="s">
        <v>33464</v>
      </c>
      <c r="S1601" t="s">
        <v>33465</v>
      </c>
      <c r="T1601" t="s">
        <v>33466</v>
      </c>
      <c r="U1601" t="s">
        <v>33467</v>
      </c>
      <c r="V1601" t="s">
        <v>33468</v>
      </c>
      <c r="W1601" t="s">
        <v>33469</v>
      </c>
      <c r="X1601" t="s">
        <v>33470</v>
      </c>
      <c r="Y1601" t="s">
        <v>33471</v>
      </c>
    </row>
    <row r="1602" spans="1:25" x14ac:dyDescent="0.3">
      <c r="A1602">
        <v>80050</v>
      </c>
      <c r="B1602" t="s">
        <v>33472</v>
      </c>
      <c r="C1602" t="s">
        <v>33473</v>
      </c>
      <c r="D1602" t="s">
        <v>33474</v>
      </c>
      <c r="E1602" t="s">
        <v>33475</v>
      </c>
      <c r="F1602" t="s">
        <v>33476</v>
      </c>
      <c r="G1602" t="s">
        <v>33477</v>
      </c>
      <c r="H1602" t="s">
        <v>33478</v>
      </c>
      <c r="I1602" t="s">
        <v>33479</v>
      </c>
      <c r="J1602" t="s">
        <v>33480</v>
      </c>
      <c r="K1602" t="s">
        <v>33481</v>
      </c>
      <c r="L1602" t="s">
        <v>33482</v>
      </c>
      <c r="M1602" t="s">
        <v>33483</v>
      </c>
      <c r="N1602" t="s">
        <v>33484</v>
      </c>
      <c r="O1602">
        <f>-792.321013171732 -61.0049031836161 -710.892115270182</f>
        <v>-1564.2180316255301</v>
      </c>
      <c r="P1602">
        <f>-748.629991744989 -33.7856410165314 -398.583957554592</f>
        <v>-1180.9995903161123</v>
      </c>
      <c r="Q1602">
        <f>-496.584662195377 -4.87341267221677 -341.318744955709</f>
        <v>-842.77681982330273</v>
      </c>
      <c r="R1602" t="s">
        <v>33485</v>
      </c>
      <c r="S1602" t="s">
        <v>33486</v>
      </c>
      <c r="T1602" t="s">
        <v>33487</v>
      </c>
      <c r="U1602" t="s">
        <v>33488</v>
      </c>
      <c r="V1602" t="s">
        <v>33489</v>
      </c>
      <c r="W1602" t="s">
        <v>33490</v>
      </c>
      <c r="X1602" t="s">
        <v>33491</v>
      </c>
      <c r="Y1602" t="s">
        <v>33492</v>
      </c>
    </row>
    <row r="1603" spans="1:25" x14ac:dyDescent="0.3">
      <c r="A1603">
        <v>80100</v>
      </c>
      <c r="B1603" t="s">
        <v>33493</v>
      </c>
      <c r="C1603" t="s">
        <v>33494</v>
      </c>
      <c r="D1603" t="s">
        <v>33495</v>
      </c>
      <c r="E1603" t="s">
        <v>33496</v>
      </c>
      <c r="F1603" t="s">
        <v>33497</v>
      </c>
      <c r="G1603" t="s">
        <v>33498</v>
      </c>
      <c r="H1603" t="s">
        <v>33499</v>
      </c>
      <c r="I1603" t="s">
        <v>33500</v>
      </c>
      <c r="J1603" t="s">
        <v>33501</v>
      </c>
      <c r="K1603" t="s">
        <v>33502</v>
      </c>
      <c r="L1603" t="s">
        <v>33503</v>
      </c>
      <c r="M1603" t="s">
        <v>33504</v>
      </c>
      <c r="N1603" t="s">
        <v>33505</v>
      </c>
      <c r="O1603">
        <f>-792.039502388508 -61.1178375064153 -710.790575928444</f>
        <v>-1563.9479158233673</v>
      </c>
      <c r="P1603">
        <f>-748.332339015972 -33.9679032510389 -398.478601819681</f>
        <v>-1180.7788440866921</v>
      </c>
      <c r="Q1603">
        <f>-496.252278075259 -4.8935535531914 -341.449360770827</f>
        <v>-842.59519239927749</v>
      </c>
      <c r="R1603" t="s">
        <v>33506</v>
      </c>
      <c r="S1603" t="s">
        <v>33507</v>
      </c>
      <c r="T1603" t="s">
        <v>33508</v>
      </c>
      <c r="U1603" t="s">
        <v>33509</v>
      </c>
      <c r="V1603" t="s">
        <v>33510</v>
      </c>
      <c r="W1603" t="s">
        <v>33511</v>
      </c>
      <c r="X1603" t="s">
        <v>33512</v>
      </c>
      <c r="Y1603" t="s">
        <v>33513</v>
      </c>
    </row>
    <row r="1604" spans="1:25" x14ac:dyDescent="0.3">
      <c r="A1604">
        <v>80150</v>
      </c>
      <c r="B1604" t="s">
        <v>33514</v>
      </c>
      <c r="C1604" t="s">
        <v>33515</v>
      </c>
      <c r="D1604" t="s">
        <v>33516</v>
      </c>
      <c r="E1604" t="s">
        <v>33517</v>
      </c>
      <c r="F1604" t="s">
        <v>33518</v>
      </c>
      <c r="G1604" t="s">
        <v>33519</v>
      </c>
      <c r="H1604" t="s">
        <v>33520</v>
      </c>
      <c r="I1604" t="s">
        <v>33521</v>
      </c>
      <c r="J1604" t="s">
        <v>33522</v>
      </c>
      <c r="K1604" t="s">
        <v>33523</v>
      </c>
      <c r="L1604" t="s">
        <v>33524</v>
      </c>
      <c r="M1604" t="s">
        <v>33525</v>
      </c>
      <c r="N1604" t="s">
        <v>33526</v>
      </c>
      <c r="O1604">
        <f>-792.369697132245 -61.1823302160067 -710.67800823297</f>
        <v>-1564.2300355812217</v>
      </c>
      <c r="P1604">
        <f>-748.672468193878 -34.555609589549 -398.319558735103</f>
        <v>-1181.54763651853</v>
      </c>
      <c r="Q1604">
        <f>-496.461319469708 -5.53301265798427 -341.845771476368</f>
        <v>-843.84010360406023</v>
      </c>
      <c r="R1604" t="s">
        <v>33527</v>
      </c>
      <c r="S1604" t="s">
        <v>33528</v>
      </c>
      <c r="T1604" t="s">
        <v>33529</v>
      </c>
      <c r="U1604" t="s">
        <v>33530</v>
      </c>
      <c r="V1604" t="s">
        <v>33531</v>
      </c>
      <c r="W1604" t="s">
        <v>33532</v>
      </c>
      <c r="X1604" t="s">
        <v>33533</v>
      </c>
      <c r="Y1604" t="s">
        <v>33534</v>
      </c>
    </row>
    <row r="1605" spans="1:25" x14ac:dyDescent="0.3">
      <c r="A1605">
        <v>80200</v>
      </c>
      <c r="B1605" t="s">
        <v>33535</v>
      </c>
      <c r="C1605" t="s">
        <v>33536</v>
      </c>
      <c r="D1605" t="s">
        <v>33537</v>
      </c>
      <c r="E1605" t="s">
        <v>33538</v>
      </c>
      <c r="F1605" t="s">
        <v>33539</v>
      </c>
      <c r="G1605" t="s">
        <v>33540</v>
      </c>
      <c r="H1605" t="s">
        <v>33541</v>
      </c>
      <c r="I1605" t="s">
        <v>33542</v>
      </c>
      <c r="J1605" t="s">
        <v>33543</v>
      </c>
      <c r="K1605" t="s">
        <v>33544</v>
      </c>
      <c r="L1605" t="s">
        <v>33545</v>
      </c>
      <c r="M1605" t="s">
        <v>33546</v>
      </c>
      <c r="N1605" t="s">
        <v>33547</v>
      </c>
      <c r="O1605">
        <f>-792.840884347649 -61.1878949701459 -710.645280022861</f>
        <v>-1564.6740593406557</v>
      </c>
      <c r="P1605">
        <f>-748.869535646171 -34.7800077109393 -398.306828113191</f>
        <v>-1181.9563714703013</v>
      </c>
      <c r="Q1605">
        <f>-496.612232093972 -5.7795513389533 -342.028503342516</f>
        <v>-844.42028677544135</v>
      </c>
      <c r="R1605" t="s">
        <v>33548</v>
      </c>
      <c r="S1605" t="s">
        <v>33549</v>
      </c>
      <c r="T1605" t="s">
        <v>33550</v>
      </c>
      <c r="U1605" t="s">
        <v>33551</v>
      </c>
      <c r="V1605" t="s">
        <v>33552</v>
      </c>
      <c r="W1605" t="s">
        <v>33553</v>
      </c>
      <c r="X1605" t="s">
        <v>33554</v>
      </c>
      <c r="Y1605" t="s">
        <v>33555</v>
      </c>
    </row>
    <row r="1606" spans="1:25" x14ac:dyDescent="0.3">
      <c r="A1606">
        <v>80250</v>
      </c>
      <c r="B1606" t="s">
        <v>33556</v>
      </c>
      <c r="C1606" t="s">
        <v>33557</v>
      </c>
      <c r="D1606" t="s">
        <v>33558</v>
      </c>
      <c r="E1606" t="s">
        <v>33559</v>
      </c>
      <c r="F1606" t="s">
        <v>33560</v>
      </c>
      <c r="G1606" t="s">
        <v>33561</v>
      </c>
      <c r="H1606" t="s">
        <v>33562</v>
      </c>
      <c r="I1606" t="s">
        <v>33563</v>
      </c>
      <c r="J1606" t="s">
        <v>33564</v>
      </c>
      <c r="K1606" t="s">
        <v>33565</v>
      </c>
      <c r="L1606" t="s">
        <v>33566</v>
      </c>
      <c r="M1606" t="s">
        <v>33567</v>
      </c>
      <c r="N1606" t="s">
        <v>33568</v>
      </c>
      <c r="O1606">
        <f>-794.291430087116 -61.3475533185679 -710.603647949695</f>
        <v>-1566.2426313553788</v>
      </c>
      <c r="P1606">
        <f>-749.804443722151 -34.8612046297103 -398.344997882536</f>
        <v>-1183.0106462343972</v>
      </c>
      <c r="Q1606">
        <f>-497.441320389255 -6.47649986510692 -342.227125571588</f>
        <v>-846.14494582594989</v>
      </c>
      <c r="R1606" t="s">
        <v>33569</v>
      </c>
      <c r="S1606" t="s">
        <v>33570</v>
      </c>
      <c r="T1606" t="s">
        <v>33571</v>
      </c>
      <c r="U1606" t="s">
        <v>33572</v>
      </c>
      <c r="V1606" t="s">
        <v>33573</v>
      </c>
      <c r="W1606" t="s">
        <v>33574</v>
      </c>
      <c r="X1606" t="s">
        <v>33575</v>
      </c>
      <c r="Y1606" t="s">
        <v>33576</v>
      </c>
    </row>
    <row r="1607" spans="1:25" x14ac:dyDescent="0.3">
      <c r="A1607">
        <v>80300</v>
      </c>
      <c r="B1607" t="s">
        <v>33577</v>
      </c>
      <c r="C1607" t="s">
        <v>33578</v>
      </c>
      <c r="D1607" t="s">
        <v>33579</v>
      </c>
      <c r="E1607" t="s">
        <v>33580</v>
      </c>
      <c r="F1607" t="s">
        <v>33581</v>
      </c>
      <c r="G1607" t="s">
        <v>33582</v>
      </c>
      <c r="H1607" t="s">
        <v>33583</v>
      </c>
      <c r="I1607" t="s">
        <v>33584</v>
      </c>
      <c r="J1607" t="s">
        <v>33585</v>
      </c>
      <c r="K1607" t="s">
        <v>33586</v>
      </c>
      <c r="L1607" t="s">
        <v>33587</v>
      </c>
      <c r="M1607" t="s">
        <v>33588</v>
      </c>
      <c r="N1607" t="s">
        <v>33589</v>
      </c>
      <c r="O1607">
        <f>-795.107261436164 -61.4335275467115 -710.529056742419</f>
        <v>-1567.0698457252945</v>
      </c>
      <c r="P1607">
        <f>-750.379181776552 -35.0662037013597 -398.294741312017</f>
        <v>-1183.7401267899286</v>
      </c>
      <c r="Q1607">
        <f>-497.91791295789 -6.76368740436124 -342.578068797845</f>
        <v>-847.25966916009622</v>
      </c>
      <c r="R1607" t="s">
        <v>33590</v>
      </c>
      <c r="S1607" t="s">
        <v>33591</v>
      </c>
      <c r="T1607" t="s">
        <v>33592</v>
      </c>
      <c r="U1607" t="s">
        <v>33593</v>
      </c>
      <c r="V1607" t="s">
        <v>33594</v>
      </c>
      <c r="W1607" t="s">
        <v>33595</v>
      </c>
      <c r="X1607" t="s">
        <v>33596</v>
      </c>
      <c r="Y1607" t="s">
        <v>33597</v>
      </c>
    </row>
    <row r="1608" spans="1:25" x14ac:dyDescent="0.3">
      <c r="A1608">
        <v>80350</v>
      </c>
      <c r="B1608" t="s">
        <v>33598</v>
      </c>
      <c r="C1608" t="s">
        <v>33599</v>
      </c>
      <c r="D1608" t="s">
        <v>33600</v>
      </c>
      <c r="E1608" t="s">
        <v>33601</v>
      </c>
      <c r="F1608" t="s">
        <v>33602</v>
      </c>
      <c r="G1608" t="s">
        <v>33603</v>
      </c>
      <c r="H1608" t="s">
        <v>33604</v>
      </c>
      <c r="I1608" t="s">
        <v>33605</v>
      </c>
      <c r="J1608" t="s">
        <v>33606</v>
      </c>
      <c r="K1608" t="s">
        <v>33607</v>
      </c>
      <c r="L1608" t="s">
        <v>33608</v>
      </c>
      <c r="M1608" t="s">
        <v>33609</v>
      </c>
      <c r="N1608" t="s">
        <v>33610</v>
      </c>
      <c r="O1608">
        <f>-796.533319549012 -61.2967322785134 -710.236493357469</f>
        <v>-1568.0665451849945</v>
      </c>
      <c r="P1608">
        <f>-751.617482774166 -34.9626064099734 -398.026133182883</f>
        <v>-1184.6062223670224</v>
      </c>
      <c r="Q1608">
        <f>-498.979475494824 -7.60097053720165 -342.641738952822</f>
        <v>-849.22218498484767</v>
      </c>
      <c r="R1608" t="s">
        <v>33611</v>
      </c>
      <c r="S1608" t="s">
        <v>33612</v>
      </c>
      <c r="T1608" t="s">
        <v>33613</v>
      </c>
      <c r="U1608" t="s">
        <v>33614</v>
      </c>
      <c r="V1608" t="s">
        <v>33615</v>
      </c>
      <c r="W1608" t="s">
        <v>33616</v>
      </c>
      <c r="X1608" t="s">
        <v>33617</v>
      </c>
      <c r="Y1608" t="s">
        <v>33618</v>
      </c>
    </row>
    <row r="1609" spans="1:25" x14ac:dyDescent="0.3">
      <c r="A1609">
        <v>80400</v>
      </c>
      <c r="B1609" t="s">
        <v>33619</v>
      </c>
      <c r="C1609" t="s">
        <v>33620</v>
      </c>
      <c r="D1609" t="s">
        <v>33621</v>
      </c>
      <c r="E1609" t="s">
        <v>33622</v>
      </c>
      <c r="F1609" t="s">
        <v>33623</v>
      </c>
      <c r="G1609" t="s">
        <v>33624</v>
      </c>
      <c r="H1609" t="s">
        <v>33625</v>
      </c>
      <c r="I1609" t="s">
        <v>33626</v>
      </c>
      <c r="J1609" t="s">
        <v>33627</v>
      </c>
      <c r="K1609" t="s">
        <v>33628</v>
      </c>
      <c r="L1609" t="s">
        <v>33629</v>
      </c>
      <c r="M1609" t="s">
        <v>33630</v>
      </c>
      <c r="N1609" t="s">
        <v>33631</v>
      </c>
      <c r="O1609">
        <f>-797.100680445643 -61.1345055021991 -710.043099451029</f>
        <v>-1568.278285398871</v>
      </c>
      <c r="P1609">
        <f>-751.977858286611 -34.7714447590758 -397.865114454717</f>
        <v>-1184.6144175004038</v>
      </c>
      <c r="Q1609">
        <f>-499.257319936824 -7.86622226664463 -342.633618955939</f>
        <v>-849.75716115940759</v>
      </c>
      <c r="R1609" t="s">
        <v>33632</v>
      </c>
      <c r="S1609" t="s">
        <v>33633</v>
      </c>
      <c r="T1609" t="s">
        <v>33634</v>
      </c>
      <c r="U1609" t="s">
        <v>33635</v>
      </c>
      <c r="V1609" t="s">
        <v>33636</v>
      </c>
      <c r="W1609" t="s">
        <v>33637</v>
      </c>
      <c r="X1609" t="s">
        <v>33638</v>
      </c>
      <c r="Y1609" t="s">
        <v>33639</v>
      </c>
    </row>
    <row r="1610" spans="1:25" x14ac:dyDescent="0.3">
      <c r="A1610">
        <v>80450</v>
      </c>
      <c r="B1610" t="s">
        <v>33640</v>
      </c>
      <c r="C1610" t="s">
        <v>33641</v>
      </c>
      <c r="D1610" t="s">
        <v>33642</v>
      </c>
      <c r="E1610" t="s">
        <v>33643</v>
      </c>
      <c r="F1610" t="s">
        <v>33644</v>
      </c>
      <c r="G1610" t="s">
        <v>33645</v>
      </c>
      <c r="H1610" t="s">
        <v>33646</v>
      </c>
      <c r="I1610" t="s">
        <v>33647</v>
      </c>
      <c r="J1610" t="s">
        <v>33648</v>
      </c>
      <c r="K1610" t="s">
        <v>33649</v>
      </c>
      <c r="L1610" t="s">
        <v>33650</v>
      </c>
      <c r="M1610" t="s">
        <v>33651</v>
      </c>
      <c r="N1610" t="s">
        <v>33652</v>
      </c>
      <c r="O1610">
        <f>-797.44811823202 -60.9579416942656 -709.727006361675</f>
        <v>-1568.1330662879604</v>
      </c>
      <c r="P1610">
        <f>-752.331286543112 -34.4670195440378 -397.559019929734</f>
        <v>-1184.3573260168839</v>
      </c>
      <c r="Q1610">
        <f>-499.445542644571 -9.072243902938 -342.36838848504</f>
        <v>-850.88617503254898</v>
      </c>
      <c r="R1610" t="s">
        <v>33653</v>
      </c>
      <c r="S1610" t="s">
        <v>33654</v>
      </c>
      <c r="T1610" t="s">
        <v>33655</v>
      </c>
      <c r="U1610" t="s">
        <v>33656</v>
      </c>
      <c r="V1610" t="s">
        <v>33657</v>
      </c>
      <c r="W1610" t="s">
        <v>33658</v>
      </c>
      <c r="X1610" t="s">
        <v>33659</v>
      </c>
      <c r="Y1610" t="s">
        <v>33660</v>
      </c>
    </row>
    <row r="1611" spans="1:25" x14ac:dyDescent="0.3">
      <c r="A1611">
        <v>80500</v>
      </c>
      <c r="B1611" t="s">
        <v>33661</v>
      </c>
      <c r="C1611" t="s">
        <v>33662</v>
      </c>
      <c r="D1611" t="s">
        <v>33663</v>
      </c>
      <c r="E1611" t="s">
        <v>33664</v>
      </c>
      <c r="F1611" t="s">
        <v>33665</v>
      </c>
      <c r="G1611" t="s">
        <v>33666</v>
      </c>
      <c r="H1611" t="s">
        <v>33667</v>
      </c>
      <c r="I1611" t="s">
        <v>33668</v>
      </c>
      <c r="J1611" t="s">
        <v>33669</v>
      </c>
      <c r="K1611" t="s">
        <v>33670</v>
      </c>
      <c r="L1611" t="s">
        <v>33671</v>
      </c>
      <c r="M1611" t="s">
        <v>33672</v>
      </c>
      <c r="N1611" t="s">
        <v>33673</v>
      </c>
      <c r="O1611">
        <f>-797.631521490767 -60.7427366150148 -709.622852710996</f>
        <v>-1567.9971108167779</v>
      </c>
      <c r="P1611">
        <f>-752.445457755958 -34.5155084673979 -397.442539747183</f>
        <v>-1184.4035059705388</v>
      </c>
      <c r="Q1611">
        <f>-499.421475555595 -10.3030812364364 -342.354576820107</f>
        <v>-852.07913361213843</v>
      </c>
      <c r="R1611" t="s">
        <v>33674</v>
      </c>
      <c r="S1611" t="s">
        <v>33675</v>
      </c>
      <c r="T1611" t="s">
        <v>33676</v>
      </c>
      <c r="U1611" t="s">
        <v>33677</v>
      </c>
      <c r="V1611" t="s">
        <v>33678</v>
      </c>
      <c r="W1611" t="s">
        <v>33679</v>
      </c>
      <c r="X1611" t="s">
        <v>33680</v>
      </c>
      <c r="Y1611" t="s">
        <v>33681</v>
      </c>
    </row>
    <row r="1612" spans="1:25" x14ac:dyDescent="0.3">
      <c r="A1612">
        <v>80550</v>
      </c>
      <c r="B1612" t="s">
        <v>33682</v>
      </c>
      <c r="C1612" t="s">
        <v>33683</v>
      </c>
      <c r="D1612" t="s">
        <v>33684</v>
      </c>
      <c r="E1612" t="s">
        <v>33685</v>
      </c>
      <c r="F1612" t="s">
        <v>33686</v>
      </c>
      <c r="G1612" t="s">
        <v>33687</v>
      </c>
      <c r="H1612" t="s">
        <v>33688</v>
      </c>
      <c r="I1612" t="s">
        <v>33689</v>
      </c>
      <c r="J1612" t="s">
        <v>33690</v>
      </c>
      <c r="K1612" t="s">
        <v>33691</v>
      </c>
      <c r="L1612" t="s">
        <v>33692</v>
      </c>
      <c r="M1612" t="s">
        <v>33693</v>
      </c>
      <c r="N1612" t="s">
        <v>33694</v>
      </c>
      <c r="O1612">
        <f>-799.135150885204 -60.1817580634654 -709.11324289166</f>
        <v>-1568.4301518403295</v>
      </c>
      <c r="P1612">
        <f>-753.492542342241 -34.5837383601231 -396.947084477449</f>
        <v>-1185.023365179813</v>
      </c>
      <c r="Q1612">
        <f>-500.333510601764 -12.5646668798404 -341.559946668667</f>
        <v>-854.45812415027149</v>
      </c>
      <c r="R1612" t="s">
        <v>33695</v>
      </c>
      <c r="S1612" t="s">
        <v>33696</v>
      </c>
      <c r="T1612" t="s">
        <v>33697</v>
      </c>
      <c r="U1612" t="s">
        <v>33698</v>
      </c>
      <c r="V1612" t="s">
        <v>33699</v>
      </c>
      <c r="W1612" t="s">
        <v>33700</v>
      </c>
      <c r="X1612" t="s">
        <v>33701</v>
      </c>
      <c r="Y1612" t="s">
        <v>33702</v>
      </c>
    </row>
    <row r="1613" spans="1:25" x14ac:dyDescent="0.3">
      <c r="A1613">
        <v>80600</v>
      </c>
      <c r="B1613" t="s">
        <v>33703</v>
      </c>
      <c r="C1613" t="s">
        <v>33704</v>
      </c>
      <c r="D1613" t="s">
        <v>33705</v>
      </c>
      <c r="E1613" t="s">
        <v>33706</v>
      </c>
      <c r="F1613" t="s">
        <v>33707</v>
      </c>
      <c r="G1613" t="s">
        <v>33708</v>
      </c>
      <c r="H1613" t="s">
        <v>33709</v>
      </c>
      <c r="I1613" t="s">
        <v>33710</v>
      </c>
      <c r="J1613" t="s">
        <v>33711</v>
      </c>
      <c r="K1613" t="s">
        <v>33712</v>
      </c>
      <c r="L1613" t="s">
        <v>33713</v>
      </c>
      <c r="M1613" t="s">
        <v>33714</v>
      </c>
      <c r="N1613" t="s">
        <v>33715</v>
      </c>
      <c r="O1613">
        <f>-800.047336831081 -60.0352843692381 -708.833007050025</f>
        <v>-1568.9156282503441</v>
      </c>
      <c r="P1613">
        <f>-754.002080616347 -34.5463622318578 -396.717108439754</f>
        <v>-1185.2655512879587</v>
      </c>
      <c r="Q1613">
        <f>-500.854440280848 -13.8790820707879 -340.760197090971</f>
        <v>-855.4937194426069</v>
      </c>
      <c r="R1613" t="s">
        <v>33716</v>
      </c>
      <c r="S1613" t="s">
        <v>33717</v>
      </c>
      <c r="T1613" t="s">
        <v>33718</v>
      </c>
      <c r="U1613" t="s">
        <v>33719</v>
      </c>
      <c r="V1613" t="s">
        <v>33720</v>
      </c>
      <c r="W1613" t="s">
        <v>33721</v>
      </c>
      <c r="X1613" t="s">
        <v>33722</v>
      </c>
      <c r="Y1613" t="s">
        <v>33723</v>
      </c>
    </row>
    <row r="1614" spans="1:25" x14ac:dyDescent="0.3">
      <c r="A1614">
        <v>80650</v>
      </c>
      <c r="B1614" t="s">
        <v>33724</v>
      </c>
      <c r="C1614" t="s">
        <v>33725</v>
      </c>
      <c r="D1614" t="s">
        <v>33726</v>
      </c>
      <c r="E1614" t="s">
        <v>33727</v>
      </c>
      <c r="F1614" t="s">
        <v>33728</v>
      </c>
      <c r="G1614" t="s">
        <v>33729</v>
      </c>
      <c r="H1614" t="s">
        <v>33730</v>
      </c>
      <c r="I1614" t="s">
        <v>33731</v>
      </c>
      <c r="J1614" t="s">
        <v>33732</v>
      </c>
      <c r="K1614" t="s">
        <v>33733</v>
      </c>
      <c r="L1614" t="s">
        <v>33734</v>
      </c>
      <c r="M1614" t="s">
        <v>33735</v>
      </c>
      <c r="N1614" t="s">
        <v>33736</v>
      </c>
      <c r="O1614">
        <f>-801.377738580473 -59.6718686877266 -708.313508803003</f>
        <v>-1569.3631160712025</v>
      </c>
      <c r="P1614">
        <f>-754.637343574789 -33.7697356063343 -396.334986172805</f>
        <v>-1184.7420653539284</v>
      </c>
      <c r="Q1614">
        <f>-501.473517028505 -14.4805350259287 -339.960860883851</f>
        <v>-855.91491293828471</v>
      </c>
      <c r="R1614" t="s">
        <v>33737</v>
      </c>
      <c r="S1614" t="s">
        <v>33738</v>
      </c>
      <c r="T1614" t="s">
        <v>33739</v>
      </c>
      <c r="U1614" t="s">
        <v>33740</v>
      </c>
      <c r="V1614" t="s">
        <v>33741</v>
      </c>
      <c r="W1614" t="s">
        <v>33742</v>
      </c>
      <c r="X1614" t="s">
        <v>33743</v>
      </c>
      <c r="Y1614" t="s">
        <v>33744</v>
      </c>
    </row>
    <row r="1615" spans="1:25" x14ac:dyDescent="0.3">
      <c r="A1615">
        <v>80700</v>
      </c>
      <c r="B1615" t="s">
        <v>33745</v>
      </c>
      <c r="C1615" t="s">
        <v>33746</v>
      </c>
      <c r="D1615" t="s">
        <v>33747</v>
      </c>
      <c r="E1615" t="s">
        <v>33748</v>
      </c>
      <c r="F1615" t="s">
        <v>33749</v>
      </c>
      <c r="G1615" t="s">
        <v>33750</v>
      </c>
      <c r="H1615" t="s">
        <v>33751</v>
      </c>
      <c r="I1615" t="s">
        <v>33752</v>
      </c>
      <c r="J1615" t="s">
        <v>33753</v>
      </c>
      <c r="K1615" t="s">
        <v>33754</v>
      </c>
      <c r="L1615" t="s">
        <v>33755</v>
      </c>
      <c r="M1615" t="s">
        <v>33756</v>
      </c>
      <c r="N1615" t="s">
        <v>33757</v>
      </c>
      <c r="O1615">
        <f>-802.107166337456 -59.3933225608839 -707.986557650656</f>
        <v>-1569.4870465489957</v>
      </c>
      <c r="P1615">
        <f>-755.266264230331 -33.664854865242 -396.008773606414</f>
        <v>-1184.939892701987</v>
      </c>
      <c r="Q1615">
        <f>-501.959426810052 -15.0482287682921 -340.052571037451</f>
        <v>-857.06022661579505</v>
      </c>
      <c r="R1615" t="s">
        <v>33758</v>
      </c>
      <c r="S1615" t="s">
        <v>33759</v>
      </c>
      <c r="T1615" t="s">
        <v>33760</v>
      </c>
      <c r="U1615" t="s">
        <v>33761</v>
      </c>
      <c r="V1615" t="s">
        <v>33762</v>
      </c>
      <c r="W1615" t="s">
        <v>33763</v>
      </c>
      <c r="X1615" t="s">
        <v>33764</v>
      </c>
      <c r="Y1615" t="s">
        <v>33765</v>
      </c>
    </row>
    <row r="1616" spans="1:25" x14ac:dyDescent="0.3">
      <c r="A1616">
        <v>80750</v>
      </c>
      <c r="B1616" t="s">
        <v>33766</v>
      </c>
      <c r="C1616" t="s">
        <v>33767</v>
      </c>
      <c r="D1616" t="s">
        <v>33768</v>
      </c>
      <c r="E1616" t="s">
        <v>33769</v>
      </c>
      <c r="F1616" t="s">
        <v>33770</v>
      </c>
      <c r="G1616" t="s">
        <v>33771</v>
      </c>
      <c r="H1616" t="s">
        <v>33772</v>
      </c>
      <c r="I1616" t="s">
        <v>33773</v>
      </c>
      <c r="J1616" t="s">
        <v>33774</v>
      </c>
      <c r="K1616" t="s">
        <v>33775</v>
      </c>
      <c r="L1616" t="s">
        <v>33776</v>
      </c>
      <c r="M1616" t="s">
        <v>33777</v>
      </c>
      <c r="N1616" t="s">
        <v>33778</v>
      </c>
      <c r="O1616">
        <f>-803.614124309461 -58.5893826082779 -707.653572006571</f>
        <v>-1569.8570789243099</v>
      </c>
      <c r="P1616">
        <f>-757.186244412823 -33.6147708566141 -395.552782960571</f>
        <v>-1186.3537982300081</v>
      </c>
      <c r="Q1616">
        <f>-503.789275080255 -15.4870332680953 -339.844741954231</f>
        <v>-859.12105030258135</v>
      </c>
      <c r="R1616" t="s">
        <v>33779</v>
      </c>
      <c r="S1616" t="s">
        <v>33780</v>
      </c>
      <c r="T1616" t="s">
        <v>33781</v>
      </c>
      <c r="U1616" t="s">
        <v>33782</v>
      </c>
      <c r="V1616" t="s">
        <v>33783</v>
      </c>
      <c r="W1616" t="s">
        <v>33784</v>
      </c>
      <c r="X1616" t="s">
        <v>33785</v>
      </c>
      <c r="Y1616" t="s">
        <v>33786</v>
      </c>
    </row>
    <row r="1617" spans="1:25" x14ac:dyDescent="0.3">
      <c r="A1617">
        <v>80800</v>
      </c>
      <c r="B1617" t="s">
        <v>33787</v>
      </c>
      <c r="C1617" t="s">
        <v>33788</v>
      </c>
      <c r="D1617" t="s">
        <v>33789</v>
      </c>
      <c r="E1617" t="s">
        <v>33790</v>
      </c>
      <c r="F1617" t="s">
        <v>33791</v>
      </c>
      <c r="G1617" t="s">
        <v>33792</v>
      </c>
      <c r="H1617" t="s">
        <v>33793</v>
      </c>
      <c r="I1617" t="s">
        <v>33794</v>
      </c>
      <c r="J1617" t="s">
        <v>33795</v>
      </c>
      <c r="K1617" t="s">
        <v>33796</v>
      </c>
      <c r="L1617" t="s">
        <v>33797</v>
      </c>
      <c r="M1617" t="s">
        <v>33798</v>
      </c>
      <c r="N1617" t="s">
        <v>33799</v>
      </c>
      <c r="O1617">
        <f>-804.604288874535 -58.3022534906088 -707.738144961531</f>
        <v>-1570.6446873266748</v>
      </c>
      <c r="P1617">
        <f>-758.093103929606 -33.4485113100814 -395.64012627417</f>
        <v>-1187.1817415138573</v>
      </c>
      <c r="Q1617">
        <f>-504.449879829033 -16.5701562698725 -340.664658491939</f>
        <v>-861.68469459084452</v>
      </c>
      <c r="R1617" t="s">
        <v>33800</v>
      </c>
      <c r="S1617" t="s">
        <v>33801</v>
      </c>
      <c r="T1617" t="s">
        <v>33802</v>
      </c>
      <c r="U1617" t="s">
        <v>33803</v>
      </c>
      <c r="V1617" t="s">
        <v>33804</v>
      </c>
      <c r="W1617" t="s">
        <v>33805</v>
      </c>
      <c r="X1617" t="s">
        <v>33806</v>
      </c>
      <c r="Y1617" t="s">
        <v>33807</v>
      </c>
    </row>
    <row r="1618" spans="1:25" x14ac:dyDescent="0.3">
      <c r="A1618">
        <v>80850</v>
      </c>
      <c r="B1618" t="s">
        <v>33808</v>
      </c>
      <c r="C1618" t="s">
        <v>33809</v>
      </c>
      <c r="D1618" t="s">
        <v>33810</v>
      </c>
      <c r="E1618" t="s">
        <v>33811</v>
      </c>
      <c r="F1618" t="s">
        <v>33812</v>
      </c>
      <c r="G1618" t="s">
        <v>33813</v>
      </c>
      <c r="H1618" t="s">
        <v>33814</v>
      </c>
      <c r="I1618" t="s">
        <v>33815</v>
      </c>
      <c r="J1618" t="s">
        <v>33816</v>
      </c>
      <c r="K1618" t="s">
        <v>33817</v>
      </c>
      <c r="L1618" t="s">
        <v>33818</v>
      </c>
      <c r="M1618" t="s">
        <v>33819</v>
      </c>
      <c r="N1618" t="s">
        <v>33820</v>
      </c>
      <c r="O1618">
        <f>-807.368918587843 -57.6409193836707 -708.09289585954</f>
        <v>-1573.1027338310537</v>
      </c>
      <c r="P1618">
        <f>-760.538239775478 -33.7876331173068 -395.964634562718</f>
        <v>-1190.2905074555028</v>
      </c>
      <c r="Q1618">
        <f>-506.491304979028 -19.2726131717759 -342.191338305901</f>
        <v>-867.95525645670489</v>
      </c>
      <c r="R1618" t="s">
        <v>33821</v>
      </c>
      <c r="S1618" t="s">
        <v>33822</v>
      </c>
      <c r="T1618" t="s">
        <v>33823</v>
      </c>
      <c r="U1618" t="s">
        <v>33824</v>
      </c>
      <c r="V1618" t="s">
        <v>33825</v>
      </c>
      <c r="W1618" t="s">
        <v>33826</v>
      </c>
      <c r="X1618" t="s">
        <v>33827</v>
      </c>
      <c r="Y1618" t="s">
        <v>33828</v>
      </c>
    </row>
    <row r="1619" spans="1:25" x14ac:dyDescent="0.3">
      <c r="A1619">
        <v>80900</v>
      </c>
      <c r="B1619" t="s">
        <v>33829</v>
      </c>
      <c r="C1619" t="s">
        <v>33830</v>
      </c>
      <c r="D1619" t="s">
        <v>33831</v>
      </c>
      <c r="E1619" t="s">
        <v>33832</v>
      </c>
      <c r="F1619" t="s">
        <v>33833</v>
      </c>
      <c r="G1619" t="s">
        <v>33834</v>
      </c>
      <c r="H1619" t="s">
        <v>33835</v>
      </c>
      <c r="I1619" t="s">
        <v>33836</v>
      </c>
      <c r="J1619" t="s">
        <v>33837</v>
      </c>
      <c r="K1619" t="s">
        <v>33838</v>
      </c>
      <c r="L1619" t="s">
        <v>33839</v>
      </c>
      <c r="M1619" t="s">
        <v>33840</v>
      </c>
      <c r="N1619" t="s">
        <v>33841</v>
      </c>
      <c r="O1619">
        <f>-808.553117576771 -57.1965508738922 -708.417423475214</f>
        <v>-1574.1670919258772</v>
      </c>
      <c r="P1619">
        <f>-761.65356435888 -33.5612861856519 -396.282825360679</f>
        <v>-1191.4976759052108</v>
      </c>
      <c r="Q1619">
        <f>-507.455140931538 -20.1826742905016 -342.932674951183</f>
        <v>-870.57049017322254</v>
      </c>
      <c r="R1619" t="s">
        <v>33842</v>
      </c>
      <c r="S1619" t="s">
        <v>33843</v>
      </c>
      <c r="T1619" t="s">
        <v>33844</v>
      </c>
      <c r="U1619" t="s">
        <v>33845</v>
      </c>
      <c r="V1619" t="s">
        <v>33846</v>
      </c>
      <c r="W1619" t="s">
        <v>33847</v>
      </c>
      <c r="X1619" t="s">
        <v>33848</v>
      </c>
      <c r="Y1619" t="s">
        <v>33849</v>
      </c>
    </row>
    <row r="1620" spans="1:25" x14ac:dyDescent="0.3">
      <c r="A1620">
        <v>80950</v>
      </c>
      <c r="B1620" t="s">
        <v>33850</v>
      </c>
      <c r="C1620" t="s">
        <v>33851</v>
      </c>
      <c r="D1620" t="s">
        <v>33852</v>
      </c>
      <c r="E1620" t="s">
        <v>33853</v>
      </c>
      <c r="F1620" t="s">
        <v>33854</v>
      </c>
      <c r="G1620" t="s">
        <v>33855</v>
      </c>
      <c r="H1620" t="s">
        <v>33856</v>
      </c>
      <c r="I1620" t="s">
        <v>33857</v>
      </c>
      <c r="J1620" t="s">
        <v>33858</v>
      </c>
      <c r="K1620" t="s">
        <v>33859</v>
      </c>
      <c r="L1620" t="s">
        <v>33860</v>
      </c>
      <c r="M1620" t="s">
        <v>33861</v>
      </c>
      <c r="N1620" t="s">
        <v>33862</v>
      </c>
      <c r="O1620">
        <f>-810.668984229025 -56.0607041915634 -708.530542604538</f>
        <v>-1575.2602310251264</v>
      </c>
      <c r="P1620">
        <f>-763.64786994202 -32.3594971845675 -396.41915165711</f>
        <v>-1192.4265187836975</v>
      </c>
      <c r="Q1620">
        <f>-509.423225993131 -22.8737383763723 -342.364222893247</f>
        <v>-874.66118726275022</v>
      </c>
      <c r="R1620" t="s">
        <v>33863</v>
      </c>
      <c r="S1620" t="s">
        <v>33864</v>
      </c>
      <c r="T1620" t="s">
        <v>33865</v>
      </c>
      <c r="U1620" t="s">
        <v>33866</v>
      </c>
      <c r="V1620" t="s">
        <v>33867</v>
      </c>
      <c r="W1620" t="s">
        <v>33868</v>
      </c>
      <c r="X1620" t="s">
        <v>33869</v>
      </c>
      <c r="Y1620" t="s">
        <v>33870</v>
      </c>
    </row>
    <row r="1621" spans="1:25" x14ac:dyDescent="0.3">
      <c r="A1621">
        <v>81000</v>
      </c>
      <c r="B1621" t="s">
        <v>33871</v>
      </c>
      <c r="C1621" t="s">
        <v>33872</v>
      </c>
      <c r="D1621" t="s">
        <v>33873</v>
      </c>
      <c r="E1621" t="s">
        <v>33874</v>
      </c>
      <c r="F1621" t="s">
        <v>33875</v>
      </c>
      <c r="G1621" t="s">
        <v>33876</v>
      </c>
      <c r="H1621" t="s">
        <v>33877</v>
      </c>
      <c r="I1621" t="s">
        <v>33878</v>
      </c>
      <c r="J1621" t="s">
        <v>33879</v>
      </c>
      <c r="K1621" t="s">
        <v>33880</v>
      </c>
      <c r="L1621" t="s">
        <v>33881</v>
      </c>
      <c r="M1621" t="s">
        <v>33882</v>
      </c>
      <c r="N1621" t="s">
        <v>33883</v>
      </c>
      <c r="O1621">
        <f>-811.372253765138 -55.6822091658091 -708.307378371036</f>
        <v>-1575.3618413019831</v>
      </c>
      <c r="P1621">
        <f>-764.220688422669 -32.1245600260643 -396.20486073675</f>
        <v>-1192.5501091854833</v>
      </c>
      <c r="Q1621">
        <f>-510.334273029711 -25.2941264170051 -340.195244488635</f>
        <v>-875.82364393535113</v>
      </c>
      <c r="R1621" t="s">
        <v>33884</v>
      </c>
      <c r="S1621" t="s">
        <v>33885</v>
      </c>
      <c r="T1621" t="s">
        <v>33886</v>
      </c>
      <c r="U1621" t="s">
        <v>33887</v>
      </c>
      <c r="V1621" t="s">
        <v>33888</v>
      </c>
      <c r="W1621" t="s">
        <v>33889</v>
      </c>
      <c r="X1621" t="s">
        <v>33890</v>
      </c>
      <c r="Y1621" t="s">
        <v>33891</v>
      </c>
    </row>
    <row r="1622" spans="1:25" x14ac:dyDescent="0.3">
      <c r="A1622">
        <v>81050</v>
      </c>
      <c r="B1622" t="s">
        <v>33892</v>
      </c>
      <c r="C1622" t="s">
        <v>33893</v>
      </c>
      <c r="D1622" t="s">
        <v>33894</v>
      </c>
      <c r="E1622" t="s">
        <v>33895</v>
      </c>
      <c r="F1622" t="s">
        <v>33896</v>
      </c>
      <c r="G1622" t="s">
        <v>33897</v>
      </c>
      <c r="H1622" t="s">
        <v>33898</v>
      </c>
      <c r="I1622" t="s">
        <v>33899</v>
      </c>
      <c r="J1622" t="s">
        <v>33900</v>
      </c>
      <c r="K1622" t="s">
        <v>33901</v>
      </c>
      <c r="L1622" t="s">
        <v>33902</v>
      </c>
      <c r="M1622" t="s">
        <v>33903</v>
      </c>
      <c r="N1622" t="s">
        <v>33904</v>
      </c>
      <c r="O1622">
        <f>-811.832811514182 -55.2719095554437 -707.550742801035</f>
        <v>-1574.6554638706607</v>
      </c>
      <c r="P1622">
        <f>-765.105603209438 -33.33991026692 -395.266032069667</f>
        <v>-1193.711545546025</v>
      </c>
      <c r="Q1622">
        <f>-511.782013536416 -29.525849969064 -336.489422667749</f>
        <v>-877.79728617322894</v>
      </c>
      <c r="R1622" t="s">
        <v>33905</v>
      </c>
      <c r="S1622" t="s">
        <v>33906</v>
      </c>
      <c r="T1622" t="s">
        <v>33907</v>
      </c>
      <c r="U1622" t="s">
        <v>33908</v>
      </c>
      <c r="V1622" t="s">
        <v>33909</v>
      </c>
      <c r="W1622" t="s">
        <v>33910</v>
      </c>
      <c r="X1622" t="s">
        <v>33911</v>
      </c>
      <c r="Y1622" t="s">
        <v>33912</v>
      </c>
    </row>
    <row r="1623" spans="1:25" x14ac:dyDescent="0.3">
      <c r="A1623">
        <v>81100</v>
      </c>
      <c r="B1623" t="s">
        <v>33913</v>
      </c>
      <c r="C1623" t="s">
        <v>33914</v>
      </c>
      <c r="D1623" t="s">
        <v>33915</v>
      </c>
      <c r="E1623" t="s">
        <v>33916</v>
      </c>
      <c r="F1623" t="s">
        <v>33917</v>
      </c>
      <c r="G1623" t="s">
        <v>33918</v>
      </c>
      <c r="H1623" t="s">
        <v>33919</v>
      </c>
      <c r="I1623" t="s">
        <v>33920</v>
      </c>
      <c r="J1623" t="s">
        <v>33921</v>
      </c>
      <c r="K1623" t="s">
        <v>33922</v>
      </c>
      <c r="L1623" t="s">
        <v>33923</v>
      </c>
      <c r="M1623" t="s">
        <v>33924</v>
      </c>
      <c r="N1623" t="s">
        <v>33925</v>
      </c>
      <c r="O1623">
        <f>-811.971761091279 -54.6971592939008 -707.444946009704</f>
        <v>-1574.1138663948836</v>
      </c>
      <c r="P1623">
        <f>-764.720650652263 -34.4339431115591 -395.126440192507</f>
        <v>-1194.2810339563291</v>
      </c>
      <c r="Q1623">
        <f>-511.581164951447 -31.6581407413432 -335.504569418709</f>
        <v>-878.74387511149928</v>
      </c>
      <c r="R1623" t="s">
        <v>33926</v>
      </c>
      <c r="S1623" t="s">
        <v>33927</v>
      </c>
      <c r="T1623" t="s">
        <v>33928</v>
      </c>
      <c r="U1623" t="s">
        <v>33929</v>
      </c>
      <c r="V1623" t="s">
        <v>33930</v>
      </c>
      <c r="W1623" t="s">
        <v>33931</v>
      </c>
      <c r="X1623" t="s">
        <v>33932</v>
      </c>
      <c r="Y1623" t="s">
        <v>33933</v>
      </c>
    </row>
    <row r="1624" spans="1:25" x14ac:dyDescent="0.3">
      <c r="A1624">
        <v>81150</v>
      </c>
      <c r="B1624" t="s">
        <v>33934</v>
      </c>
      <c r="C1624" t="s">
        <v>33935</v>
      </c>
      <c r="D1624" t="s">
        <v>33936</v>
      </c>
      <c r="E1624" t="s">
        <v>33937</v>
      </c>
      <c r="F1624" t="s">
        <v>33938</v>
      </c>
      <c r="G1624" t="s">
        <v>33939</v>
      </c>
      <c r="H1624" t="s">
        <v>33940</v>
      </c>
      <c r="I1624" t="s">
        <v>33941</v>
      </c>
      <c r="J1624" t="s">
        <v>33942</v>
      </c>
      <c r="K1624" t="s">
        <v>33943</v>
      </c>
      <c r="L1624" t="s">
        <v>33944</v>
      </c>
      <c r="M1624" t="s">
        <v>33945</v>
      </c>
      <c r="N1624" t="s">
        <v>33946</v>
      </c>
      <c r="O1624">
        <f>-812.692690469572 -54.0114295649021 -706.933719656772</f>
        <v>-1573.637839691246</v>
      </c>
      <c r="P1624">
        <f>-762.149876502183 -37.633110895621 -394.90272757663</f>
        <v>-1194.6857149744342</v>
      </c>
      <c r="Q1624">
        <f>-508.727625888507 -35.5240112051306 -336.466827556597</f>
        <v>-880.71846465023464</v>
      </c>
      <c r="R1624" t="s">
        <v>33947</v>
      </c>
      <c r="S1624" t="s">
        <v>33948</v>
      </c>
      <c r="T1624" t="s">
        <v>33949</v>
      </c>
      <c r="U1624" t="s">
        <v>33950</v>
      </c>
      <c r="V1624" t="s">
        <v>33951</v>
      </c>
      <c r="W1624" t="s">
        <v>33952</v>
      </c>
      <c r="X1624" t="s">
        <v>33953</v>
      </c>
      <c r="Y1624" t="s">
        <v>33954</v>
      </c>
    </row>
    <row r="1625" spans="1:25" x14ac:dyDescent="0.3">
      <c r="A1625">
        <v>81200</v>
      </c>
      <c r="B1625" t="s">
        <v>33955</v>
      </c>
      <c r="C1625" t="s">
        <v>33956</v>
      </c>
      <c r="D1625" t="s">
        <v>33957</v>
      </c>
      <c r="E1625" t="s">
        <v>33958</v>
      </c>
      <c r="F1625" t="s">
        <v>33959</v>
      </c>
      <c r="G1625" t="s">
        <v>33960</v>
      </c>
      <c r="H1625" t="s">
        <v>33961</v>
      </c>
      <c r="I1625" t="s">
        <v>33962</v>
      </c>
      <c r="J1625" t="s">
        <v>33963</v>
      </c>
      <c r="K1625" t="s">
        <v>33964</v>
      </c>
      <c r="L1625" t="s">
        <v>33965</v>
      </c>
      <c r="M1625" t="s">
        <v>33966</v>
      </c>
      <c r="N1625" t="s">
        <v>33967</v>
      </c>
      <c r="O1625">
        <f>-813.678551444496 -53.7025722556045 -706.50434638148</f>
        <v>-1573.8854700815805</v>
      </c>
      <c r="P1625">
        <f>-760.745847741248 -38.8746431552911 -394.792211614002</f>
        <v>-1194.4127025105411</v>
      </c>
      <c r="Q1625">
        <f>-507.158457389744 -37.4554673841806 -337.055845041182</f>
        <v>-881.66976981510663</v>
      </c>
      <c r="R1625" t="s">
        <v>33968</v>
      </c>
      <c r="S1625" t="s">
        <v>33969</v>
      </c>
      <c r="T1625" t="s">
        <v>33970</v>
      </c>
      <c r="U1625" t="s">
        <v>33971</v>
      </c>
      <c r="V1625" t="s">
        <v>33972</v>
      </c>
      <c r="W1625" t="s">
        <v>33973</v>
      </c>
      <c r="X1625" t="s">
        <v>33974</v>
      </c>
      <c r="Y1625" t="s">
        <v>33975</v>
      </c>
    </row>
    <row r="1626" spans="1:25" x14ac:dyDescent="0.3">
      <c r="A1626">
        <v>81250</v>
      </c>
      <c r="B1626" t="s">
        <v>33976</v>
      </c>
      <c r="C1626" t="s">
        <v>33977</v>
      </c>
      <c r="D1626" t="s">
        <v>33978</v>
      </c>
      <c r="E1626" t="s">
        <v>33979</v>
      </c>
      <c r="F1626" t="s">
        <v>33980</v>
      </c>
      <c r="G1626" t="s">
        <v>33981</v>
      </c>
      <c r="H1626" t="s">
        <v>33982</v>
      </c>
      <c r="I1626" t="s">
        <v>33983</v>
      </c>
      <c r="J1626" t="s">
        <v>33984</v>
      </c>
      <c r="K1626" t="s">
        <v>33985</v>
      </c>
      <c r="L1626" t="s">
        <v>33986</v>
      </c>
      <c r="M1626" t="s">
        <v>33987</v>
      </c>
      <c r="N1626" t="s">
        <v>33988</v>
      </c>
      <c r="O1626">
        <f>-815.310855838391 -53.6309814266681 -705.499098799402</f>
        <v>-1574.4409360644611</v>
      </c>
      <c r="P1626">
        <f>-758.72045500608 -42.6173147128338 -394.271773865594</f>
        <v>-1195.6095435845077</v>
      </c>
      <c r="Q1626">
        <f>-504.249101079336 -38.9221499985188 -340.673628675088</f>
        <v>-883.8448797529428</v>
      </c>
      <c r="R1626" t="s">
        <v>33989</v>
      </c>
      <c r="S1626" t="s">
        <v>33990</v>
      </c>
      <c r="T1626" t="s">
        <v>33991</v>
      </c>
      <c r="U1626" t="s">
        <v>33992</v>
      </c>
      <c r="V1626" t="s">
        <v>33993</v>
      </c>
      <c r="W1626" t="s">
        <v>33994</v>
      </c>
      <c r="X1626" t="s">
        <v>33995</v>
      </c>
      <c r="Y1626" t="s">
        <v>33996</v>
      </c>
    </row>
    <row r="1627" spans="1:25" x14ac:dyDescent="0.3">
      <c r="A1627">
        <v>81300</v>
      </c>
      <c r="B1627" t="s">
        <v>33997</v>
      </c>
      <c r="C1627" t="s">
        <v>33998</v>
      </c>
      <c r="D1627" t="s">
        <v>33999</v>
      </c>
      <c r="E1627" t="s">
        <v>34000</v>
      </c>
      <c r="F1627" t="s">
        <v>34001</v>
      </c>
      <c r="G1627" t="s">
        <v>34002</v>
      </c>
      <c r="H1627" t="s">
        <v>34003</v>
      </c>
      <c r="I1627" t="s">
        <v>34004</v>
      </c>
      <c r="J1627" t="s">
        <v>34005</v>
      </c>
      <c r="K1627" t="s">
        <v>34006</v>
      </c>
      <c r="L1627" t="s">
        <v>34007</v>
      </c>
      <c r="M1627" t="s">
        <v>34008</v>
      </c>
      <c r="N1627" t="s">
        <v>34009</v>
      </c>
      <c r="O1627">
        <f>-815.717703498647 -53.6465244757612 -704.940674755172</f>
        <v>-1574.3049027295801</v>
      </c>
      <c r="P1627">
        <f>-757.949149686981 -43.8353913846242 -393.889616747919</f>
        <v>-1195.6741578195242</v>
      </c>
      <c r="Q1627">
        <f>-503.121381832439 -38.633074697686 -342.142279636656</f>
        <v>-883.89673616678101</v>
      </c>
      <c r="R1627" t="s">
        <v>34010</v>
      </c>
      <c r="S1627" t="s">
        <v>34011</v>
      </c>
      <c r="T1627" t="s">
        <v>34012</v>
      </c>
      <c r="U1627" t="s">
        <v>34013</v>
      </c>
      <c r="V1627" t="s">
        <v>34014</v>
      </c>
      <c r="W1627" t="s">
        <v>34015</v>
      </c>
      <c r="X1627" t="s">
        <v>34016</v>
      </c>
      <c r="Y1627" t="s">
        <v>34017</v>
      </c>
    </row>
    <row r="1628" spans="1:25" x14ac:dyDescent="0.3">
      <c r="A1628">
        <v>81350</v>
      </c>
      <c r="B1628" t="s">
        <v>34018</v>
      </c>
      <c r="C1628" t="s">
        <v>34019</v>
      </c>
      <c r="D1628" t="s">
        <v>34020</v>
      </c>
      <c r="E1628" t="s">
        <v>34021</v>
      </c>
      <c r="F1628" t="s">
        <v>34022</v>
      </c>
      <c r="G1628" t="s">
        <v>34023</v>
      </c>
      <c r="H1628" t="s">
        <v>34024</v>
      </c>
      <c r="I1628" t="s">
        <v>34025</v>
      </c>
      <c r="J1628" t="s">
        <v>34026</v>
      </c>
      <c r="K1628" t="s">
        <v>34027</v>
      </c>
      <c r="L1628" t="s">
        <v>34028</v>
      </c>
      <c r="M1628" t="s">
        <v>34029</v>
      </c>
      <c r="N1628" t="s">
        <v>34030</v>
      </c>
      <c r="O1628">
        <f>-814.061054315004 -54.6092177704331 -703.591114729411</f>
        <v>-1572.261386814848</v>
      </c>
      <c r="P1628">
        <f>-755.429803070606 -44.7955801882813 -392.701607394774</f>
        <v>-1192.9269906536613</v>
      </c>
      <c r="Q1628">
        <f>-500.355043642052 -34.8801839280304 -342.89552437175</f>
        <v>-878.13075194183239</v>
      </c>
      <c r="R1628" t="s">
        <v>34031</v>
      </c>
      <c r="S1628" t="s">
        <v>34032</v>
      </c>
      <c r="T1628" t="s">
        <v>34033</v>
      </c>
      <c r="U1628" t="s">
        <v>34034</v>
      </c>
      <c r="V1628" t="s">
        <v>34035</v>
      </c>
      <c r="W1628" t="s">
        <v>34036</v>
      </c>
      <c r="X1628" t="s">
        <v>34037</v>
      </c>
      <c r="Y1628" t="s">
        <v>34038</v>
      </c>
    </row>
    <row r="1629" spans="1:25" x14ac:dyDescent="0.3">
      <c r="A1629">
        <v>81400</v>
      </c>
      <c r="B1629" t="s">
        <v>34039</v>
      </c>
      <c r="C1629" t="s">
        <v>34040</v>
      </c>
      <c r="D1629" t="s">
        <v>34041</v>
      </c>
      <c r="E1629" t="s">
        <v>34042</v>
      </c>
      <c r="F1629" t="s">
        <v>34043</v>
      </c>
      <c r="G1629" t="s">
        <v>34044</v>
      </c>
      <c r="H1629" t="s">
        <v>34045</v>
      </c>
      <c r="I1629" t="s">
        <v>34046</v>
      </c>
      <c r="J1629" t="s">
        <v>34047</v>
      </c>
      <c r="K1629" t="s">
        <v>34048</v>
      </c>
      <c r="L1629" t="s">
        <v>34049</v>
      </c>
      <c r="M1629" t="s">
        <v>34050</v>
      </c>
      <c r="N1629" t="s">
        <v>34051</v>
      </c>
      <c r="O1629">
        <f>-812.79551076571 -55.439719276372 -702.792293659583</f>
        <v>-1571.0275237016649</v>
      </c>
      <c r="P1629">
        <f>-754.440432732553 -44.5626803612163 -391.886351570362</f>
        <v>-1190.8894646641313</v>
      </c>
      <c r="Q1629">
        <f>-499.263791219593 -32.7995850537179 -343.013404379469</f>
        <v>-875.07678065277992</v>
      </c>
      <c r="R1629" t="s">
        <v>34052</v>
      </c>
      <c r="S1629" t="s">
        <v>34053</v>
      </c>
      <c r="T1629" t="s">
        <v>34054</v>
      </c>
      <c r="U1629" t="s">
        <v>34055</v>
      </c>
      <c r="V1629" t="s">
        <v>34056</v>
      </c>
      <c r="W1629" t="s">
        <v>34057</v>
      </c>
      <c r="X1629" t="s">
        <v>34058</v>
      </c>
      <c r="Y1629" t="s">
        <v>34059</v>
      </c>
    </row>
    <row r="1630" spans="1:25" x14ac:dyDescent="0.3">
      <c r="A1630">
        <v>81450</v>
      </c>
      <c r="B1630" t="s">
        <v>34060</v>
      </c>
      <c r="C1630" t="s">
        <v>34061</v>
      </c>
      <c r="D1630" t="s">
        <v>34062</v>
      </c>
      <c r="E1630" t="s">
        <v>34063</v>
      </c>
      <c r="F1630" t="s">
        <v>34064</v>
      </c>
      <c r="G1630" t="s">
        <v>34065</v>
      </c>
      <c r="H1630" t="s">
        <v>34066</v>
      </c>
      <c r="I1630" t="s">
        <v>34067</v>
      </c>
      <c r="J1630" t="s">
        <v>34068</v>
      </c>
      <c r="K1630" t="s">
        <v>34069</v>
      </c>
      <c r="L1630" t="s">
        <v>34070</v>
      </c>
      <c r="M1630" t="s">
        <v>34071</v>
      </c>
      <c r="N1630" t="s">
        <v>34072</v>
      </c>
      <c r="O1630">
        <f>-810.029560604783 -57.6143663771609 -701.798781203602</f>
        <v>-1569.4427081855458</v>
      </c>
      <c r="P1630">
        <f>-752.133525554136 -45.0495186431895 -390.870473680746</f>
        <v>-1188.0535178780715</v>
      </c>
      <c r="Q1630">
        <f>-496.986320408233 -28.8876823383707 -343.113585979651</f>
        <v>-868.98758872625467</v>
      </c>
      <c r="R1630" t="s">
        <v>34073</v>
      </c>
      <c r="S1630" t="s">
        <v>34074</v>
      </c>
      <c r="T1630" t="s">
        <v>34075</v>
      </c>
      <c r="U1630" t="s">
        <v>34076</v>
      </c>
      <c r="V1630" t="s">
        <v>34077</v>
      </c>
      <c r="W1630" t="s">
        <v>34078</v>
      </c>
      <c r="X1630" t="s">
        <v>34079</v>
      </c>
      <c r="Y1630" t="s">
        <v>34080</v>
      </c>
    </row>
    <row r="1631" spans="1:25" x14ac:dyDescent="0.3">
      <c r="A1631">
        <v>81500</v>
      </c>
      <c r="B1631" t="s">
        <v>34081</v>
      </c>
      <c r="C1631" t="s">
        <v>34082</v>
      </c>
      <c r="D1631" t="s">
        <v>34083</v>
      </c>
      <c r="E1631" t="s">
        <v>34084</v>
      </c>
      <c r="F1631" t="s">
        <v>34085</v>
      </c>
      <c r="G1631" t="s">
        <v>34086</v>
      </c>
      <c r="H1631" t="s">
        <v>34087</v>
      </c>
      <c r="I1631" t="s">
        <v>34088</v>
      </c>
      <c r="J1631" t="s">
        <v>34089</v>
      </c>
      <c r="K1631" t="s">
        <v>34090</v>
      </c>
      <c r="L1631" t="s">
        <v>34091</v>
      </c>
      <c r="M1631" t="s">
        <v>34092</v>
      </c>
      <c r="N1631" t="s">
        <v>34093</v>
      </c>
      <c r="O1631">
        <f>-808.847248128456 -58.8276489550096 -701.555360967785</f>
        <v>-1569.2302580512505</v>
      </c>
      <c r="P1631">
        <f>-752.017317951696 -45.9492523572674 -390.443262895072</f>
        <v>-1188.4098332040353</v>
      </c>
      <c r="Q1631">
        <f>-496.910371257928 -28.0482576035197 -343.093113367131</f>
        <v>-868.05174222857863</v>
      </c>
      <c r="R1631" t="s">
        <v>34094</v>
      </c>
      <c r="S1631" t="s">
        <v>34095</v>
      </c>
      <c r="T1631" t="s">
        <v>34096</v>
      </c>
      <c r="U1631" t="s">
        <v>34097</v>
      </c>
      <c r="V1631" t="s">
        <v>34098</v>
      </c>
      <c r="W1631" t="s">
        <v>34099</v>
      </c>
      <c r="X1631" t="s">
        <v>34100</v>
      </c>
      <c r="Y1631" t="s">
        <v>34101</v>
      </c>
    </row>
    <row r="1632" spans="1:25" x14ac:dyDescent="0.3">
      <c r="A1632">
        <v>81550</v>
      </c>
      <c r="B1632" t="s">
        <v>34102</v>
      </c>
      <c r="C1632" t="s">
        <v>34103</v>
      </c>
      <c r="D1632" t="s">
        <v>34104</v>
      </c>
      <c r="E1632" t="s">
        <v>34105</v>
      </c>
      <c r="F1632" t="s">
        <v>34106</v>
      </c>
      <c r="G1632" t="s">
        <v>34107</v>
      </c>
      <c r="H1632" t="s">
        <v>34108</v>
      </c>
      <c r="I1632" t="s">
        <v>34109</v>
      </c>
      <c r="J1632" t="s">
        <v>34110</v>
      </c>
      <c r="K1632" t="s">
        <v>34111</v>
      </c>
      <c r="L1632" t="s">
        <v>34112</v>
      </c>
      <c r="M1632" t="s">
        <v>34113</v>
      </c>
      <c r="N1632" t="s">
        <v>34114</v>
      </c>
      <c r="O1632">
        <f>-805.598461285051 -61.5129072882207 -702.013735065555</f>
        <v>-1569.1251036388267</v>
      </c>
      <c r="P1632">
        <f>-749.188776843974 -48.8231863823726 -390.817590561084</f>
        <v>-1188.8295537874305</v>
      </c>
      <c r="Q1632">
        <f>-494.08495117737 -24.1209091162411 -346.614708746653</f>
        <v>-864.82056904026399</v>
      </c>
      <c r="R1632" t="s">
        <v>34115</v>
      </c>
      <c r="S1632" t="s">
        <v>34116</v>
      </c>
      <c r="T1632" t="s">
        <v>34117</v>
      </c>
      <c r="U1632" t="s">
        <v>34118</v>
      </c>
      <c r="V1632" t="s">
        <v>34119</v>
      </c>
      <c r="W1632" t="s">
        <v>34120</v>
      </c>
      <c r="X1632" t="s">
        <v>34121</v>
      </c>
      <c r="Y1632" t="s">
        <v>34122</v>
      </c>
    </row>
    <row r="1633" spans="1:25" x14ac:dyDescent="0.3">
      <c r="A1633">
        <v>81600</v>
      </c>
      <c r="B1633" t="s">
        <v>34123</v>
      </c>
      <c r="C1633" t="s">
        <v>34124</v>
      </c>
      <c r="D1633" t="s">
        <v>34125</v>
      </c>
      <c r="E1633" t="s">
        <v>34126</v>
      </c>
      <c r="F1633" t="s">
        <v>34127</v>
      </c>
      <c r="G1633" t="s">
        <v>34128</v>
      </c>
      <c r="H1633" t="s">
        <v>34129</v>
      </c>
      <c r="I1633" t="s">
        <v>34130</v>
      </c>
      <c r="J1633" t="s">
        <v>34131</v>
      </c>
      <c r="K1633" t="s">
        <v>34132</v>
      </c>
      <c r="L1633" t="s">
        <v>34133</v>
      </c>
      <c r="M1633" t="s">
        <v>34134</v>
      </c>
      <c r="N1633" t="s">
        <v>34135</v>
      </c>
      <c r="O1633">
        <f>-803.706591729655 -62.6955761626855 -702.366075329616</f>
        <v>-1568.7682432219565</v>
      </c>
      <c r="P1633">
        <f>-746.623851328178 -49.7306757774872 -391.303898610769</f>
        <v>-1187.6584257164343</v>
      </c>
      <c r="Q1633">
        <f>-491.384055580314 -22.088343079816 -349.70375880946</f>
        <v>-863.17615746958995</v>
      </c>
      <c r="R1633" t="s">
        <v>34136</v>
      </c>
      <c r="S1633" t="s">
        <v>34137</v>
      </c>
      <c r="T1633" t="s">
        <v>34138</v>
      </c>
      <c r="U1633" t="s">
        <v>34139</v>
      </c>
      <c r="V1633" t="s">
        <v>34140</v>
      </c>
      <c r="W1633" t="s">
        <v>34141</v>
      </c>
      <c r="X1633" t="s">
        <v>34142</v>
      </c>
      <c r="Y1633" t="s">
        <v>34143</v>
      </c>
    </row>
    <row r="1634" spans="1:25" x14ac:dyDescent="0.3">
      <c r="A1634">
        <v>81650</v>
      </c>
      <c r="B1634" t="s">
        <v>34144</v>
      </c>
      <c r="C1634" t="s">
        <v>34145</v>
      </c>
      <c r="D1634" t="s">
        <v>34146</v>
      </c>
      <c r="E1634" t="s">
        <v>34147</v>
      </c>
      <c r="F1634" t="s">
        <v>34148</v>
      </c>
      <c r="G1634" t="s">
        <v>34149</v>
      </c>
      <c r="H1634" t="s">
        <v>34150</v>
      </c>
      <c r="I1634" t="s">
        <v>34151</v>
      </c>
      <c r="J1634" t="s">
        <v>34152</v>
      </c>
      <c r="K1634" t="s">
        <v>34153</v>
      </c>
      <c r="L1634" t="s">
        <v>34154</v>
      </c>
      <c r="M1634" t="s">
        <v>34155</v>
      </c>
      <c r="N1634" t="s">
        <v>34156</v>
      </c>
      <c r="O1634">
        <f>-800.308555663777 -64.7059962293936 -703.148537224396</f>
        <v>-1568.1630891175666</v>
      </c>
      <c r="P1634">
        <f>-740.137453007173 -52.6777220527204 -392.63130030782</f>
        <v>-1185.4464753677134</v>
      </c>
      <c r="Q1634">
        <f>-484.88462826918 -18.2970071686664 -356.492789967828</f>
        <v>-859.67442540567436</v>
      </c>
      <c r="R1634" t="s">
        <v>34157</v>
      </c>
      <c r="S1634" t="s">
        <v>34158</v>
      </c>
      <c r="T1634" t="s">
        <v>34159</v>
      </c>
      <c r="U1634" t="s">
        <v>34160</v>
      </c>
      <c r="V1634" t="s">
        <v>34161</v>
      </c>
      <c r="W1634" t="s">
        <v>34162</v>
      </c>
      <c r="X1634" t="s">
        <v>34163</v>
      </c>
      <c r="Y1634" t="s">
        <v>34164</v>
      </c>
    </row>
    <row r="1635" spans="1:25" x14ac:dyDescent="0.3">
      <c r="A1635">
        <v>81700</v>
      </c>
      <c r="B1635" t="s">
        <v>34165</v>
      </c>
      <c r="C1635" t="s">
        <v>34166</v>
      </c>
      <c r="D1635" t="s">
        <v>34167</v>
      </c>
      <c r="E1635" t="s">
        <v>34168</v>
      </c>
      <c r="F1635" t="s">
        <v>34169</v>
      </c>
      <c r="G1635" t="s">
        <v>34170</v>
      </c>
      <c r="H1635" t="s">
        <v>34171</v>
      </c>
      <c r="I1635" t="s">
        <v>34172</v>
      </c>
      <c r="J1635" t="s">
        <v>34173</v>
      </c>
      <c r="K1635" t="s">
        <v>34174</v>
      </c>
      <c r="L1635" t="s">
        <v>34175</v>
      </c>
      <c r="M1635" t="s">
        <v>34176</v>
      </c>
      <c r="N1635" t="s">
        <v>34177</v>
      </c>
      <c r="O1635">
        <f>-798.722743256048 -65.4849061819534 -703.582267659111</f>
        <v>-1567.7899170971125</v>
      </c>
      <c r="P1635">
        <f>-736.54532381473 -54.0897226920936 -393.436741391007</f>
        <v>-1184.0717878978305</v>
      </c>
      <c r="Q1635">
        <f>-481.59474058645 -15.0303769379543 -360.020594464284</f>
        <v>-856.64571198868828</v>
      </c>
      <c r="R1635" t="s">
        <v>34178</v>
      </c>
      <c r="S1635" t="s">
        <v>34179</v>
      </c>
      <c r="T1635" t="s">
        <v>34180</v>
      </c>
      <c r="U1635" t="s">
        <v>34181</v>
      </c>
      <c r="V1635" t="s">
        <v>34182</v>
      </c>
      <c r="W1635" t="s">
        <v>34183</v>
      </c>
      <c r="X1635" t="s">
        <v>34184</v>
      </c>
      <c r="Y1635" t="s">
        <v>34185</v>
      </c>
    </row>
    <row r="1636" spans="1:25" x14ac:dyDescent="0.3">
      <c r="A1636">
        <v>81750</v>
      </c>
      <c r="B1636" t="s">
        <v>34186</v>
      </c>
      <c r="C1636" t="s">
        <v>34187</v>
      </c>
      <c r="D1636" t="s">
        <v>34188</v>
      </c>
      <c r="E1636" t="s">
        <v>34189</v>
      </c>
      <c r="F1636" t="s">
        <v>34190</v>
      </c>
      <c r="G1636" t="s">
        <v>34191</v>
      </c>
      <c r="H1636" t="s">
        <v>34192</v>
      </c>
      <c r="I1636" t="s">
        <v>34193</v>
      </c>
      <c r="J1636" t="s">
        <v>34194</v>
      </c>
      <c r="K1636" t="s">
        <v>34195</v>
      </c>
      <c r="L1636" t="s">
        <v>34196</v>
      </c>
      <c r="M1636" t="s">
        <v>34197</v>
      </c>
      <c r="N1636" t="s">
        <v>34198</v>
      </c>
      <c r="O1636">
        <f>-794.350528005039 -67.5607680130754 -704.165883277532</f>
        <v>-1566.0771792956464</v>
      </c>
      <c r="P1636">
        <f>-729.428789703887 -58.3968378849647 -394.508963537254</f>
        <v>-1182.3345911261058</v>
      </c>
      <c r="Q1636">
        <f>-475.68018772863 -9.50628260048643 -365.124496143909</f>
        <v>-850.31096647302547</v>
      </c>
      <c r="R1636" t="s">
        <v>34199</v>
      </c>
      <c r="S1636" t="s">
        <v>34200</v>
      </c>
      <c r="T1636" t="s">
        <v>34201</v>
      </c>
      <c r="U1636" t="s">
        <v>34202</v>
      </c>
      <c r="V1636" t="s">
        <v>34203</v>
      </c>
      <c r="W1636" t="s">
        <v>34204</v>
      </c>
      <c r="X1636" t="s">
        <v>34205</v>
      </c>
      <c r="Y1636" t="s">
        <v>34206</v>
      </c>
    </row>
    <row r="1637" spans="1:25" x14ac:dyDescent="0.3">
      <c r="A1637">
        <v>81800</v>
      </c>
      <c r="B1637" t="s">
        <v>34207</v>
      </c>
      <c r="C1637" t="s">
        <v>34208</v>
      </c>
      <c r="D1637" t="s">
        <v>34209</v>
      </c>
      <c r="E1637" t="s">
        <v>34210</v>
      </c>
      <c r="F1637" t="s">
        <v>34211</v>
      </c>
      <c r="G1637" t="s">
        <v>34212</v>
      </c>
      <c r="H1637" t="s">
        <v>34213</v>
      </c>
      <c r="I1637" t="s">
        <v>34214</v>
      </c>
      <c r="J1637" t="s">
        <v>34215</v>
      </c>
      <c r="K1637" t="s">
        <v>34216</v>
      </c>
      <c r="L1637" t="s">
        <v>34217</v>
      </c>
      <c r="M1637" t="s">
        <v>34218</v>
      </c>
      <c r="N1637" t="s">
        <v>34219</v>
      </c>
      <c r="O1637">
        <f>-791.979434785505 -68.4657789379605 -704.523786416971</f>
        <v>-1564.9690001404365</v>
      </c>
      <c r="P1637">
        <f>-725.385441815046 -60.0910789579609 -395.200000419082</f>
        <v>-1180.6765211920888</v>
      </c>
      <c r="Q1637">
        <f>-472.496635318588 -6.40605371339461 -366.78798008839</f>
        <v>-845.6906691203726</v>
      </c>
      <c r="R1637" t="s">
        <v>34220</v>
      </c>
      <c r="S1637" t="s">
        <v>34221</v>
      </c>
      <c r="T1637" t="s">
        <v>34222</v>
      </c>
      <c r="U1637" t="s">
        <v>34223</v>
      </c>
      <c r="V1637" t="s">
        <v>34224</v>
      </c>
      <c r="W1637" t="s">
        <v>34225</v>
      </c>
      <c r="X1637" t="s">
        <v>34226</v>
      </c>
      <c r="Y1637" t="s">
        <v>34227</v>
      </c>
    </row>
    <row r="1638" spans="1:25" x14ac:dyDescent="0.3">
      <c r="A1638">
        <v>81850</v>
      </c>
      <c r="B1638" t="s">
        <v>34228</v>
      </c>
      <c r="C1638" t="s">
        <v>34229</v>
      </c>
      <c r="D1638" t="s">
        <v>34230</v>
      </c>
      <c r="E1638" t="s">
        <v>34231</v>
      </c>
      <c r="F1638" t="s">
        <v>34232</v>
      </c>
      <c r="G1638" t="s">
        <v>34233</v>
      </c>
      <c r="H1638" t="s">
        <v>34234</v>
      </c>
      <c r="I1638" t="s">
        <v>34235</v>
      </c>
      <c r="J1638" t="s">
        <v>34236</v>
      </c>
      <c r="K1638" t="s">
        <v>34237</v>
      </c>
      <c r="L1638" t="s">
        <v>34238</v>
      </c>
      <c r="M1638" t="s">
        <v>34239</v>
      </c>
      <c r="N1638" t="s">
        <v>34240</v>
      </c>
      <c r="O1638">
        <f>-786.629424308547 -70.6201918295806 -705.42042332274</f>
        <v>-1562.6700394608674</v>
      </c>
      <c r="P1638">
        <f>-718.907093140712 -62.0478032670844 -396.346887706595</f>
        <v>-1177.3017841143915</v>
      </c>
      <c r="Q1638">
        <f>-467.782767512995 -0.14935747693653 -369.012559781562</f>
        <v>-836.94468477149348</v>
      </c>
      <c r="R1638" t="s">
        <v>34241</v>
      </c>
      <c r="S1638" t="s">
        <v>34242</v>
      </c>
      <c r="T1638" t="s">
        <v>34243</v>
      </c>
      <c r="U1638" t="s">
        <v>34244</v>
      </c>
      <c r="V1638" t="s">
        <v>34245</v>
      </c>
      <c r="W1638" t="s">
        <v>34246</v>
      </c>
      <c r="X1638" t="s">
        <v>34247</v>
      </c>
      <c r="Y1638" t="s">
        <v>34248</v>
      </c>
    </row>
    <row r="1639" spans="1:25" x14ac:dyDescent="0.3">
      <c r="A1639">
        <v>81900</v>
      </c>
      <c r="B1639" t="s">
        <v>34249</v>
      </c>
      <c r="C1639" t="s">
        <v>34250</v>
      </c>
      <c r="D1639" t="s">
        <v>34251</v>
      </c>
      <c r="E1639" t="s">
        <v>34252</v>
      </c>
      <c r="F1639" t="s">
        <v>34253</v>
      </c>
      <c r="G1639" t="s">
        <v>34254</v>
      </c>
      <c r="H1639" t="s">
        <v>34255</v>
      </c>
      <c r="I1639" t="s">
        <v>34256</v>
      </c>
      <c r="J1639" t="s">
        <v>34257</v>
      </c>
      <c r="K1639" t="s">
        <v>34258</v>
      </c>
      <c r="L1639" t="s">
        <v>34259</v>
      </c>
      <c r="M1639" t="s">
        <v>34260</v>
      </c>
      <c r="N1639" t="s">
        <v>34261</v>
      </c>
      <c r="O1639">
        <f>-784.112262048444 -71.574005899643 -706.0779174887</f>
        <v>-1561.7641854367871</v>
      </c>
      <c r="P1639">
        <f>-716.122287232108 -62.6952035223151 -397.071919423192</f>
        <v>-1175.889410177615</v>
      </c>
      <c r="Q1639" t="s">
        <v>34262</v>
      </c>
      <c r="R1639" t="s">
        <v>34263</v>
      </c>
      <c r="S1639" t="s">
        <v>34264</v>
      </c>
      <c r="T1639" t="s">
        <v>34265</v>
      </c>
      <c r="U1639" t="s">
        <v>34266</v>
      </c>
      <c r="V1639" t="s">
        <v>34267</v>
      </c>
      <c r="W1639" t="s">
        <v>34268</v>
      </c>
      <c r="X1639" t="s">
        <v>34269</v>
      </c>
      <c r="Y1639" t="s">
        <v>34270</v>
      </c>
    </row>
    <row r="1640" spans="1:25" x14ac:dyDescent="0.3">
      <c r="A1640">
        <v>81950</v>
      </c>
      <c r="B1640" t="s">
        <v>34271</v>
      </c>
      <c r="C1640" t="s">
        <v>34272</v>
      </c>
      <c r="D1640" t="s">
        <v>34273</v>
      </c>
      <c r="E1640" t="s">
        <v>34274</v>
      </c>
      <c r="F1640" t="s">
        <v>34275</v>
      </c>
      <c r="G1640" t="s">
        <v>34276</v>
      </c>
      <c r="H1640" t="s">
        <v>34277</v>
      </c>
      <c r="I1640" t="s">
        <v>34278</v>
      </c>
      <c r="J1640" t="s">
        <v>34279</v>
      </c>
      <c r="K1640" t="s">
        <v>34280</v>
      </c>
      <c r="L1640" t="s">
        <v>34281</v>
      </c>
      <c r="M1640" t="s">
        <v>34282</v>
      </c>
      <c r="N1640" t="s">
        <v>34283</v>
      </c>
      <c r="O1640">
        <f>-779.03702436621 -73.5983565367098 -707.23069556909</f>
        <v>-1559.8660764720098</v>
      </c>
      <c r="P1640">
        <f>-711.38911486299 -64.5975290509896 -398.153167042412</f>
        <v>-1174.1398109563916</v>
      </c>
      <c r="Q1640" t="s">
        <v>34284</v>
      </c>
      <c r="R1640" t="s">
        <v>34285</v>
      </c>
      <c r="S1640" t="s">
        <v>34286</v>
      </c>
      <c r="T1640" t="s">
        <v>34287</v>
      </c>
      <c r="U1640" t="s">
        <v>34288</v>
      </c>
      <c r="V1640" t="s">
        <v>34289</v>
      </c>
      <c r="W1640" t="s">
        <v>34290</v>
      </c>
      <c r="X1640" t="s">
        <v>34291</v>
      </c>
      <c r="Y1640" t="s">
        <v>34292</v>
      </c>
    </row>
    <row r="1641" spans="1:25" x14ac:dyDescent="0.3">
      <c r="A1641">
        <v>82000</v>
      </c>
      <c r="B1641" t="s">
        <v>34293</v>
      </c>
      <c r="C1641" t="s">
        <v>34294</v>
      </c>
      <c r="D1641" t="s">
        <v>34295</v>
      </c>
      <c r="E1641" t="s">
        <v>34296</v>
      </c>
      <c r="F1641" t="s">
        <v>34297</v>
      </c>
      <c r="G1641" t="s">
        <v>34298</v>
      </c>
      <c r="H1641" t="s">
        <v>34299</v>
      </c>
      <c r="I1641" t="s">
        <v>34300</v>
      </c>
      <c r="J1641" t="s">
        <v>34301</v>
      </c>
      <c r="K1641" t="s">
        <v>34302</v>
      </c>
      <c r="L1641" t="s">
        <v>34303</v>
      </c>
      <c r="M1641" t="s">
        <v>34304</v>
      </c>
      <c r="N1641" t="s">
        <v>34305</v>
      </c>
      <c r="O1641">
        <f>-775.116009521468 -75.4314164804985 -707.972105006746</f>
        <v>-1558.5195310087124</v>
      </c>
      <c r="P1641">
        <f>-707.914895224633 -66.1616552186927 -398.805134412314</f>
        <v>-1172.8816848556396</v>
      </c>
      <c r="Q1641" t="s">
        <v>34306</v>
      </c>
      <c r="R1641" t="s">
        <v>34307</v>
      </c>
      <c r="S1641" t="s">
        <v>34308</v>
      </c>
      <c r="T1641" t="s">
        <v>34309</v>
      </c>
      <c r="U1641" t="s">
        <v>34310</v>
      </c>
      <c r="V1641" t="s">
        <v>34311</v>
      </c>
      <c r="W1641" t="s">
        <v>34312</v>
      </c>
      <c r="X1641" t="s">
        <v>34313</v>
      </c>
      <c r="Y1641" t="s">
        <v>34314</v>
      </c>
    </row>
    <row r="1642" spans="1:25" x14ac:dyDescent="0.3">
      <c r="A1642">
        <v>82050</v>
      </c>
      <c r="B1642" t="s">
        <v>34315</v>
      </c>
      <c r="C1642" t="s">
        <v>34316</v>
      </c>
      <c r="D1642" t="s">
        <v>34317</v>
      </c>
      <c r="E1642" t="s">
        <v>34318</v>
      </c>
      <c r="F1642" t="s">
        <v>34319</v>
      </c>
      <c r="G1642" t="s">
        <v>34320</v>
      </c>
      <c r="H1642" t="s">
        <v>34321</v>
      </c>
      <c r="I1642" t="s">
        <v>34322</v>
      </c>
      <c r="J1642" t="s">
        <v>34323</v>
      </c>
      <c r="K1642" t="s">
        <v>34324</v>
      </c>
      <c r="L1642" t="s">
        <v>34325</v>
      </c>
      <c r="M1642" t="s">
        <v>34326</v>
      </c>
      <c r="N1642" t="s">
        <v>34327</v>
      </c>
      <c r="O1642">
        <f>-771.394650109024 -77.8593963585347 -708.554560876852</f>
        <v>-1557.8086073444106</v>
      </c>
      <c r="P1642">
        <f>-704.918416433626 -67.8383901010679 -399.254265386144</f>
        <v>-1172.011071920838</v>
      </c>
      <c r="Q1642">
        <f>-454.966762252273 -2.08695158738897 -370.220699285248</f>
        <v>-827.27441312490987</v>
      </c>
      <c r="R1642" t="s">
        <v>34328</v>
      </c>
      <c r="S1642" t="s">
        <v>34329</v>
      </c>
      <c r="T1642" t="s">
        <v>34330</v>
      </c>
      <c r="U1642" t="s">
        <v>34331</v>
      </c>
      <c r="V1642" t="s">
        <v>34332</v>
      </c>
      <c r="W1642" t="s">
        <v>34333</v>
      </c>
      <c r="X1642" t="s">
        <v>34334</v>
      </c>
      <c r="Y1642" t="s">
        <v>34335</v>
      </c>
    </row>
    <row r="1643" spans="1:25" x14ac:dyDescent="0.3">
      <c r="A1643">
        <v>82100</v>
      </c>
      <c r="B1643" t="s">
        <v>34336</v>
      </c>
      <c r="C1643" t="s">
        <v>34337</v>
      </c>
      <c r="D1643" t="s">
        <v>34338</v>
      </c>
      <c r="E1643" t="s">
        <v>34339</v>
      </c>
      <c r="F1643" t="s">
        <v>34340</v>
      </c>
      <c r="G1643" t="s">
        <v>34341</v>
      </c>
      <c r="H1643" t="s">
        <v>34342</v>
      </c>
      <c r="I1643" t="s">
        <v>34343</v>
      </c>
      <c r="J1643" t="s">
        <v>34344</v>
      </c>
      <c r="K1643" t="s">
        <v>34345</v>
      </c>
      <c r="L1643" t="s">
        <v>34346</v>
      </c>
      <c r="M1643" t="s">
        <v>34347</v>
      </c>
      <c r="N1643" t="s">
        <v>34348</v>
      </c>
      <c r="O1643">
        <f>-769.050260432196 -79.0126068001891 -709.034372953236</f>
        <v>-1557.0972401856211</v>
      </c>
      <c r="P1643">
        <f>-703.052302223294 -68.5696816079665 -399.64568174662</f>
        <v>-1171.2676655778805</v>
      </c>
      <c r="Q1643">
        <f>-453.386945380596 -1.79049333656735 -370.494879150894</f>
        <v>-825.67231786805735</v>
      </c>
      <c r="R1643" t="s">
        <v>34349</v>
      </c>
      <c r="S1643" t="s">
        <v>34350</v>
      </c>
      <c r="T1643" t="s">
        <v>34351</v>
      </c>
      <c r="U1643" t="s">
        <v>34352</v>
      </c>
      <c r="V1643" t="s">
        <v>34353</v>
      </c>
      <c r="W1643" t="s">
        <v>34354</v>
      </c>
      <c r="X1643" t="s">
        <v>34355</v>
      </c>
      <c r="Y1643" t="s">
        <v>34356</v>
      </c>
    </row>
    <row r="1644" spans="1:25" x14ac:dyDescent="0.3">
      <c r="A1644">
        <v>82150</v>
      </c>
      <c r="B1644" t="s">
        <v>34357</v>
      </c>
      <c r="C1644" t="s">
        <v>34358</v>
      </c>
      <c r="D1644" t="s">
        <v>34359</v>
      </c>
      <c r="E1644" t="s">
        <v>34360</v>
      </c>
      <c r="F1644" t="s">
        <v>34361</v>
      </c>
      <c r="G1644" t="s">
        <v>34362</v>
      </c>
      <c r="H1644" t="s">
        <v>34363</v>
      </c>
      <c r="I1644" t="s">
        <v>34364</v>
      </c>
      <c r="J1644" t="s">
        <v>34365</v>
      </c>
      <c r="K1644" t="s">
        <v>34366</v>
      </c>
      <c r="L1644" t="s">
        <v>34367</v>
      </c>
      <c r="M1644" t="s">
        <v>34368</v>
      </c>
      <c r="N1644" t="s">
        <v>34369</v>
      </c>
      <c r="O1644">
        <f>-763.766611593244 -81.1191939080645 -710.189126971047</f>
        <v>-1555.0749324723556</v>
      </c>
      <c r="P1644">
        <f>-699.563518517496 -69.0888778064154 -400.48042549386</f>
        <v>-1169.1328218177714</v>
      </c>
      <c r="Q1644" t="s">
        <v>34370</v>
      </c>
      <c r="R1644" t="s">
        <v>34371</v>
      </c>
      <c r="S1644" t="s">
        <v>34372</v>
      </c>
      <c r="T1644" t="s">
        <v>34373</v>
      </c>
      <c r="U1644" t="s">
        <v>34374</v>
      </c>
      <c r="V1644" t="s">
        <v>34375</v>
      </c>
      <c r="W1644" t="s">
        <v>34376</v>
      </c>
      <c r="X1644" t="s">
        <v>34377</v>
      </c>
      <c r="Y1644" t="s">
        <v>34378</v>
      </c>
    </row>
    <row r="1645" spans="1:25" x14ac:dyDescent="0.3">
      <c r="A1645">
        <v>82200</v>
      </c>
      <c r="B1645" t="s">
        <v>34379</v>
      </c>
      <c r="C1645" t="s">
        <v>34380</v>
      </c>
      <c r="D1645" t="s">
        <v>34381</v>
      </c>
      <c r="E1645" t="s">
        <v>34382</v>
      </c>
      <c r="F1645" t="s">
        <v>34383</v>
      </c>
      <c r="G1645" t="s">
        <v>34384</v>
      </c>
      <c r="H1645" t="s">
        <v>34385</v>
      </c>
      <c r="I1645" t="s">
        <v>34386</v>
      </c>
      <c r="J1645" t="s">
        <v>34387</v>
      </c>
      <c r="K1645" t="s">
        <v>34388</v>
      </c>
      <c r="L1645" t="s">
        <v>34389</v>
      </c>
      <c r="M1645" t="s">
        <v>34390</v>
      </c>
      <c r="N1645" t="s">
        <v>34391</v>
      </c>
      <c r="O1645">
        <f>-760.634426500116 -81.756619683038 -710.896728273663</f>
        <v>-1553.287774456817</v>
      </c>
      <c r="P1645">
        <f>-697.259331423092 -69.2637926059519 -401.035986132538</f>
        <v>-1167.5591101615819</v>
      </c>
      <c r="Q1645" t="s">
        <v>34392</v>
      </c>
      <c r="R1645" t="s">
        <v>34393</v>
      </c>
      <c r="S1645" t="s">
        <v>34394</v>
      </c>
      <c r="T1645" t="s">
        <v>34395</v>
      </c>
      <c r="U1645" t="s">
        <v>34396</v>
      </c>
      <c r="V1645" t="s">
        <v>34397</v>
      </c>
      <c r="W1645" t="s">
        <v>34398</v>
      </c>
      <c r="X1645" t="s">
        <v>34399</v>
      </c>
      <c r="Y1645" t="s">
        <v>34400</v>
      </c>
    </row>
    <row r="1646" spans="1:25" x14ac:dyDescent="0.3">
      <c r="A1646">
        <v>82250</v>
      </c>
      <c r="B1646" t="s">
        <v>34401</v>
      </c>
      <c r="C1646" t="s">
        <v>34402</v>
      </c>
      <c r="D1646" t="s">
        <v>34403</v>
      </c>
      <c r="E1646" t="s">
        <v>34404</v>
      </c>
      <c r="F1646" t="s">
        <v>34405</v>
      </c>
      <c r="G1646" t="s">
        <v>34406</v>
      </c>
      <c r="H1646" t="s">
        <v>34407</v>
      </c>
      <c r="I1646" t="s">
        <v>34408</v>
      </c>
      <c r="J1646" t="s">
        <v>34409</v>
      </c>
      <c r="K1646" t="s">
        <v>34410</v>
      </c>
      <c r="L1646" t="s">
        <v>34411</v>
      </c>
      <c r="M1646" t="s">
        <v>34412</v>
      </c>
      <c r="N1646" t="s">
        <v>34413</v>
      </c>
      <c r="O1646">
        <f>-754.272006938852 -82.7653999244449 -712.092884862862</f>
        <v>-1549.1302917261587</v>
      </c>
      <c r="P1646">
        <f>-693.215457677929 -69.1361860248112 -401.81476883983</f>
        <v>-1164.16641254257</v>
      </c>
      <c r="Q1646" t="s">
        <v>34414</v>
      </c>
      <c r="R1646" t="s">
        <v>34415</v>
      </c>
      <c r="S1646" t="s">
        <v>34416</v>
      </c>
      <c r="T1646" t="s">
        <v>34417</v>
      </c>
      <c r="U1646" t="s">
        <v>34418</v>
      </c>
      <c r="V1646" t="s">
        <v>34419</v>
      </c>
      <c r="W1646" t="s">
        <v>34420</v>
      </c>
      <c r="X1646" t="s">
        <v>34421</v>
      </c>
      <c r="Y1646" t="s">
        <v>34422</v>
      </c>
    </row>
    <row r="1647" spans="1:25" x14ac:dyDescent="0.3">
      <c r="A1647">
        <v>82300</v>
      </c>
      <c r="B1647" t="s">
        <v>34423</v>
      </c>
      <c r="C1647" t="s">
        <v>34424</v>
      </c>
      <c r="D1647" t="s">
        <v>34425</v>
      </c>
      <c r="E1647" t="s">
        <v>34426</v>
      </c>
      <c r="F1647" t="s">
        <v>34427</v>
      </c>
      <c r="G1647" t="s">
        <v>34428</v>
      </c>
      <c r="H1647" t="s">
        <v>34429</v>
      </c>
      <c r="I1647" t="s">
        <v>34430</v>
      </c>
      <c r="J1647" t="s">
        <v>34431</v>
      </c>
      <c r="K1647" t="s">
        <v>34432</v>
      </c>
      <c r="L1647" t="s">
        <v>34433</v>
      </c>
      <c r="M1647" t="s">
        <v>34434</v>
      </c>
      <c r="N1647" t="s">
        <v>34435</v>
      </c>
      <c r="O1647">
        <f>-751.527693421396 -83.1456763644937 -712.549947866357</f>
        <v>-1547.2233176522468</v>
      </c>
      <c r="P1647">
        <f>-691.595061792497 -69.0123831306094 -402.075399796654</f>
        <v>-1162.6828447197604</v>
      </c>
      <c r="Q1647" t="s">
        <v>34436</v>
      </c>
      <c r="R1647" t="s">
        <v>34437</v>
      </c>
      <c r="S1647" t="s">
        <v>34438</v>
      </c>
      <c r="T1647" t="s">
        <v>34439</v>
      </c>
      <c r="U1647" t="s">
        <v>34440</v>
      </c>
      <c r="V1647" t="s">
        <v>34441</v>
      </c>
      <c r="W1647" t="s">
        <v>34442</v>
      </c>
      <c r="X1647" t="s">
        <v>34443</v>
      </c>
      <c r="Y1647" t="s">
        <v>34444</v>
      </c>
    </row>
    <row r="1648" spans="1:25" x14ac:dyDescent="0.3">
      <c r="A1648">
        <v>82350</v>
      </c>
      <c r="B1648" t="s">
        <v>34445</v>
      </c>
      <c r="C1648" t="s">
        <v>34446</v>
      </c>
      <c r="D1648" t="s">
        <v>34447</v>
      </c>
      <c r="E1648" t="s">
        <v>34448</v>
      </c>
      <c r="F1648" t="s">
        <v>34449</v>
      </c>
      <c r="G1648" t="s">
        <v>34450</v>
      </c>
      <c r="H1648" t="s">
        <v>34451</v>
      </c>
      <c r="I1648" t="s">
        <v>34452</v>
      </c>
      <c r="J1648" t="s">
        <v>34453</v>
      </c>
      <c r="K1648" t="s">
        <v>34454</v>
      </c>
      <c r="L1648" t="s">
        <v>34455</v>
      </c>
      <c r="M1648" t="s">
        <v>34456</v>
      </c>
      <c r="N1648" t="s">
        <v>34457</v>
      </c>
      <c r="O1648">
        <f>-749.399879896108 -83.3212270196418 -712.890766814419</f>
        <v>-1545.6118737301688</v>
      </c>
      <c r="P1648">
        <f>-690.23031550301 -68.7711428093494 -402.289033941369</f>
        <v>-1161.2904922537284</v>
      </c>
      <c r="Q1648" t="s">
        <v>34458</v>
      </c>
      <c r="R1648" t="s">
        <v>34459</v>
      </c>
      <c r="S1648" t="s">
        <v>34460</v>
      </c>
      <c r="T1648" t="s">
        <v>34461</v>
      </c>
      <c r="U1648" t="s">
        <v>34462</v>
      </c>
      <c r="V1648" t="s">
        <v>34463</v>
      </c>
      <c r="W1648" t="s">
        <v>34464</v>
      </c>
      <c r="X1648" t="s">
        <v>34465</v>
      </c>
      <c r="Y1648" t="s">
        <v>34466</v>
      </c>
    </row>
    <row r="1649" spans="1:25" x14ac:dyDescent="0.3">
      <c r="A1649">
        <v>82400</v>
      </c>
      <c r="B1649" t="s">
        <v>34467</v>
      </c>
      <c r="C1649" t="s">
        <v>34468</v>
      </c>
      <c r="D1649" t="s">
        <v>34469</v>
      </c>
      <c r="E1649" t="s">
        <v>34470</v>
      </c>
      <c r="F1649" t="s">
        <v>34471</v>
      </c>
      <c r="G1649" t="s">
        <v>34472</v>
      </c>
      <c r="H1649" t="s">
        <v>34473</v>
      </c>
      <c r="I1649" t="s">
        <v>34474</v>
      </c>
      <c r="J1649" t="s">
        <v>34475</v>
      </c>
      <c r="K1649" t="s">
        <v>34476</v>
      </c>
      <c r="L1649" t="s">
        <v>34477</v>
      </c>
      <c r="M1649" t="s">
        <v>34478</v>
      </c>
      <c r="N1649" t="s">
        <v>34479</v>
      </c>
      <c r="O1649">
        <f>-745.692829009847 -83.6237195563483 -713.254345820691</f>
        <v>-1542.5708943868863</v>
      </c>
      <c r="P1649">
        <f>-687.806749944966 -68.2367739861722 -402.451276102868</f>
        <v>-1158.4948000340062</v>
      </c>
      <c r="Q1649" t="s">
        <v>34480</v>
      </c>
      <c r="R1649" t="s">
        <v>34481</v>
      </c>
      <c r="S1649" t="s">
        <v>34482</v>
      </c>
      <c r="T1649" t="s">
        <v>34483</v>
      </c>
      <c r="U1649" t="s">
        <v>34484</v>
      </c>
      <c r="V1649" t="s">
        <v>34485</v>
      </c>
      <c r="W1649" t="s">
        <v>34486</v>
      </c>
      <c r="X1649" t="s">
        <v>34487</v>
      </c>
      <c r="Y1649" t="s">
        <v>34488</v>
      </c>
    </row>
    <row r="1650" spans="1:25" x14ac:dyDescent="0.3">
      <c r="A1650">
        <v>82450</v>
      </c>
      <c r="B1650" t="s">
        <v>34489</v>
      </c>
      <c r="C1650" t="s">
        <v>34490</v>
      </c>
      <c r="D1650" t="s">
        <v>34491</v>
      </c>
      <c r="E1650" t="s">
        <v>34492</v>
      </c>
      <c r="F1650" t="s">
        <v>34493</v>
      </c>
      <c r="G1650" t="s">
        <v>34494</v>
      </c>
      <c r="H1650" t="s">
        <v>34495</v>
      </c>
      <c r="I1650" t="s">
        <v>34496</v>
      </c>
      <c r="J1650" t="s">
        <v>34497</v>
      </c>
      <c r="K1650" t="s">
        <v>34498</v>
      </c>
      <c r="L1650" t="s">
        <v>34499</v>
      </c>
      <c r="M1650" t="s">
        <v>34500</v>
      </c>
      <c r="N1650" t="s">
        <v>34501</v>
      </c>
      <c r="O1650">
        <f>-744.358921694245 -83.7274430388111 -713.2734987731</f>
        <v>-1541.3598635061562</v>
      </c>
      <c r="P1650">
        <f>-686.998828616233 -68.1276385099256 -402.38344873795</f>
        <v>-1157.5099158641087</v>
      </c>
      <c r="Q1650" t="s">
        <v>34502</v>
      </c>
      <c r="R1650" t="s">
        <v>34503</v>
      </c>
      <c r="S1650" t="s">
        <v>34504</v>
      </c>
      <c r="T1650" t="s">
        <v>34505</v>
      </c>
      <c r="U1650" t="s">
        <v>34506</v>
      </c>
      <c r="V1650" t="s">
        <v>34507</v>
      </c>
      <c r="W1650" t="s">
        <v>34508</v>
      </c>
      <c r="X1650" t="s">
        <v>34509</v>
      </c>
      <c r="Y1650" t="s">
        <v>34510</v>
      </c>
    </row>
    <row r="1651" spans="1:25" x14ac:dyDescent="0.3">
      <c r="A1651">
        <v>82500</v>
      </c>
      <c r="B1651" t="s">
        <v>34511</v>
      </c>
      <c r="C1651" t="s">
        <v>34512</v>
      </c>
      <c r="D1651" t="s">
        <v>34513</v>
      </c>
      <c r="E1651" t="s">
        <v>34514</v>
      </c>
      <c r="F1651" t="s">
        <v>34515</v>
      </c>
      <c r="G1651" t="s">
        <v>34516</v>
      </c>
      <c r="H1651" t="s">
        <v>34517</v>
      </c>
      <c r="I1651" t="s">
        <v>34518</v>
      </c>
      <c r="J1651" t="s">
        <v>34519</v>
      </c>
      <c r="K1651" t="s">
        <v>34520</v>
      </c>
      <c r="L1651" t="s">
        <v>34521</v>
      </c>
      <c r="M1651" t="s">
        <v>34522</v>
      </c>
      <c r="N1651" t="s">
        <v>34523</v>
      </c>
      <c r="O1651">
        <f>-743.283280652766 -83.6289903831107 -713.294671885253</f>
        <v>-1540.2069429211297</v>
      </c>
      <c r="P1651">
        <f>-686.101566243012 -68.033744567867 -402.371519895234</f>
        <v>-1156.5068307061129</v>
      </c>
      <c r="Q1651" t="s">
        <v>34524</v>
      </c>
      <c r="R1651" t="s">
        <v>34525</v>
      </c>
      <c r="S1651" t="s">
        <v>34526</v>
      </c>
      <c r="T1651" t="s">
        <v>34527</v>
      </c>
      <c r="U1651" t="s">
        <v>34528</v>
      </c>
      <c r="V1651" t="s">
        <v>34529</v>
      </c>
      <c r="W1651" t="s">
        <v>34530</v>
      </c>
      <c r="X1651" t="s">
        <v>34531</v>
      </c>
      <c r="Y1651" t="s">
        <v>34532</v>
      </c>
    </row>
    <row r="1652" spans="1:25" x14ac:dyDescent="0.3">
      <c r="A1652">
        <v>82550</v>
      </c>
      <c r="B1652" t="s">
        <v>34533</v>
      </c>
      <c r="C1652" t="s">
        <v>34534</v>
      </c>
      <c r="D1652" t="s">
        <v>34535</v>
      </c>
      <c r="E1652" t="s">
        <v>34536</v>
      </c>
      <c r="F1652" t="s">
        <v>34537</v>
      </c>
      <c r="G1652" t="s">
        <v>34538</v>
      </c>
      <c r="H1652" t="s">
        <v>34539</v>
      </c>
      <c r="I1652" t="s">
        <v>34540</v>
      </c>
      <c r="J1652" t="s">
        <v>34541</v>
      </c>
      <c r="K1652" t="s">
        <v>34542</v>
      </c>
      <c r="L1652" t="s">
        <v>34543</v>
      </c>
      <c r="M1652" t="s">
        <v>34544</v>
      </c>
      <c r="N1652" t="s">
        <v>34545</v>
      </c>
      <c r="O1652">
        <f>-741.675612828792 -83.5083871901729 -712.839287113547</f>
        <v>-1538.023287132512</v>
      </c>
      <c r="P1652">
        <f>-684.568143581418 -68.3915411613834 -401.878769780289</f>
        <v>-1154.8384545230904</v>
      </c>
      <c r="Q1652" t="s">
        <v>34546</v>
      </c>
      <c r="R1652" t="s">
        <v>34547</v>
      </c>
      <c r="S1652" t="s">
        <v>34548</v>
      </c>
      <c r="T1652" t="s">
        <v>34549</v>
      </c>
      <c r="U1652" t="s">
        <v>34550</v>
      </c>
      <c r="V1652" t="s">
        <v>34551</v>
      </c>
      <c r="W1652" t="s">
        <v>34552</v>
      </c>
      <c r="X1652" t="s">
        <v>34553</v>
      </c>
      <c r="Y1652" t="s">
        <v>34554</v>
      </c>
    </row>
    <row r="1653" spans="1:25" x14ac:dyDescent="0.3">
      <c r="A1653">
        <v>82600</v>
      </c>
      <c r="B1653" t="s">
        <v>34555</v>
      </c>
      <c r="C1653" t="s">
        <v>34556</v>
      </c>
      <c r="D1653" t="s">
        <v>34557</v>
      </c>
      <c r="E1653" t="s">
        <v>34558</v>
      </c>
      <c r="F1653" t="s">
        <v>34559</v>
      </c>
      <c r="G1653" t="s">
        <v>34560</v>
      </c>
      <c r="H1653" t="s">
        <v>34561</v>
      </c>
      <c r="I1653" t="s">
        <v>34562</v>
      </c>
      <c r="J1653" t="s">
        <v>34563</v>
      </c>
      <c r="K1653" t="s">
        <v>34564</v>
      </c>
      <c r="L1653" t="s">
        <v>34565</v>
      </c>
      <c r="M1653" t="s">
        <v>34566</v>
      </c>
      <c r="N1653" t="s">
        <v>34567</v>
      </c>
      <c r="O1653">
        <f>-741.538559209314 -83.3381829172806 -712.689762205367</f>
        <v>-1537.5665043319616</v>
      </c>
      <c r="P1653">
        <f>-684.415456918195 -68.3690325642499 -401.725085921694</f>
        <v>-1154.509575404139</v>
      </c>
      <c r="Q1653" t="s">
        <v>34568</v>
      </c>
      <c r="R1653" t="s">
        <v>34569</v>
      </c>
      <c r="S1653" t="s">
        <v>34570</v>
      </c>
      <c r="T1653" t="s">
        <v>34571</v>
      </c>
      <c r="U1653" t="s">
        <v>34572</v>
      </c>
      <c r="V1653" t="s">
        <v>34573</v>
      </c>
      <c r="W1653" t="s">
        <v>34574</v>
      </c>
      <c r="X1653" t="s">
        <v>34575</v>
      </c>
      <c r="Y1653" t="s">
        <v>34576</v>
      </c>
    </row>
    <row r="1654" spans="1:25" x14ac:dyDescent="0.3">
      <c r="A1654">
        <v>82650</v>
      </c>
      <c r="B1654" t="s">
        <v>34577</v>
      </c>
      <c r="C1654" t="s">
        <v>34578</v>
      </c>
      <c r="D1654" t="s">
        <v>34579</v>
      </c>
      <c r="E1654" t="s">
        <v>34580</v>
      </c>
      <c r="F1654" t="s">
        <v>34581</v>
      </c>
      <c r="G1654" t="s">
        <v>34582</v>
      </c>
      <c r="H1654" t="s">
        <v>34583</v>
      </c>
      <c r="I1654" t="s">
        <v>34584</v>
      </c>
      <c r="J1654" t="s">
        <v>34585</v>
      </c>
      <c r="K1654" t="s">
        <v>34586</v>
      </c>
      <c r="L1654" t="s">
        <v>34587</v>
      </c>
      <c r="M1654" t="s">
        <v>34588</v>
      </c>
      <c r="N1654" t="s">
        <v>34589</v>
      </c>
      <c r="O1654">
        <f>-741.683049150656 -82.7658118755619 -712.539484158437</f>
        <v>-1536.9883451846549</v>
      </c>
      <c r="P1654">
        <f>-684.83677722428 -67.3969539853802 -401.543491920602</f>
        <v>-1153.7772231302622</v>
      </c>
      <c r="Q1654" t="s">
        <v>34590</v>
      </c>
      <c r="R1654" t="s">
        <v>34591</v>
      </c>
      <c r="S1654" t="s">
        <v>34592</v>
      </c>
      <c r="T1654" t="s">
        <v>34593</v>
      </c>
      <c r="U1654" t="s">
        <v>34594</v>
      </c>
      <c r="V1654" t="s">
        <v>34595</v>
      </c>
      <c r="W1654" t="s">
        <v>34596</v>
      </c>
      <c r="X1654" t="s">
        <v>34597</v>
      </c>
      <c r="Y1654" t="s">
        <v>34598</v>
      </c>
    </row>
    <row r="1655" spans="1:25" x14ac:dyDescent="0.3">
      <c r="A1655">
        <v>82700</v>
      </c>
      <c r="B1655" t="s">
        <v>34599</v>
      </c>
      <c r="C1655" t="s">
        <v>34600</v>
      </c>
      <c r="D1655" t="s">
        <v>34601</v>
      </c>
      <c r="E1655" t="s">
        <v>34602</v>
      </c>
      <c r="F1655" t="s">
        <v>34603</v>
      </c>
      <c r="G1655" t="s">
        <v>34604</v>
      </c>
      <c r="H1655" t="s">
        <v>34605</v>
      </c>
      <c r="I1655" t="s">
        <v>34606</v>
      </c>
      <c r="J1655" t="s">
        <v>34607</v>
      </c>
      <c r="K1655" t="s">
        <v>34608</v>
      </c>
      <c r="L1655" t="s">
        <v>34609</v>
      </c>
      <c r="M1655" t="s">
        <v>34610</v>
      </c>
      <c r="N1655" t="s">
        <v>34611</v>
      </c>
      <c r="O1655">
        <f>-741.659404001291 -82.3553349244573 -712.601158388625</f>
        <v>-1536.6158973143733</v>
      </c>
      <c r="P1655">
        <f>-684.883208069284 -66.8549841538484 -401.598963227098</f>
        <v>-1153.3371554502305</v>
      </c>
      <c r="Q1655" t="s">
        <v>34612</v>
      </c>
      <c r="R1655" t="s">
        <v>34613</v>
      </c>
      <c r="S1655" t="s">
        <v>34614</v>
      </c>
      <c r="T1655" t="s">
        <v>34615</v>
      </c>
      <c r="U1655" t="s">
        <v>34616</v>
      </c>
      <c r="V1655" t="s">
        <v>34617</v>
      </c>
      <c r="W1655" t="s">
        <v>34618</v>
      </c>
      <c r="X1655" t="s">
        <v>34619</v>
      </c>
      <c r="Y1655" t="s">
        <v>34620</v>
      </c>
    </row>
    <row r="1656" spans="1:25" x14ac:dyDescent="0.3">
      <c r="A1656">
        <v>82750</v>
      </c>
      <c r="B1656" t="s">
        <v>34621</v>
      </c>
      <c r="C1656" t="s">
        <v>34622</v>
      </c>
      <c r="D1656" t="s">
        <v>34623</v>
      </c>
      <c r="E1656" t="s">
        <v>34624</v>
      </c>
      <c r="F1656" t="s">
        <v>34625</v>
      </c>
      <c r="G1656" t="s">
        <v>34626</v>
      </c>
      <c r="H1656" t="s">
        <v>34627</v>
      </c>
      <c r="I1656" t="s">
        <v>34628</v>
      </c>
      <c r="J1656" t="s">
        <v>34629</v>
      </c>
      <c r="K1656" t="s">
        <v>34630</v>
      </c>
      <c r="L1656" t="s">
        <v>34631</v>
      </c>
      <c r="M1656" t="s">
        <v>34632</v>
      </c>
      <c r="N1656" t="s">
        <v>34633</v>
      </c>
      <c r="O1656">
        <f>-741.697598100775 -81.2029066403538 -712.919725716492</f>
        <v>-1535.8202304576209</v>
      </c>
      <c r="P1656">
        <f>-685.73212793194 -65.3847349780742 -401.78663090991</f>
        <v>-1152.9034938199243</v>
      </c>
      <c r="Q1656" t="s">
        <v>34634</v>
      </c>
      <c r="R1656" t="s">
        <v>34635</v>
      </c>
      <c r="S1656" t="s">
        <v>34636</v>
      </c>
      <c r="T1656" t="s">
        <v>34637</v>
      </c>
      <c r="U1656" t="s">
        <v>34638</v>
      </c>
      <c r="V1656" t="s">
        <v>34639</v>
      </c>
      <c r="W1656" t="s">
        <v>34640</v>
      </c>
      <c r="X1656" t="s">
        <v>34641</v>
      </c>
      <c r="Y1656" t="s">
        <v>34642</v>
      </c>
    </row>
    <row r="1657" spans="1:25" x14ac:dyDescent="0.3">
      <c r="A1657">
        <v>82800</v>
      </c>
      <c r="B1657" t="s">
        <v>34643</v>
      </c>
      <c r="C1657" t="s">
        <v>34644</v>
      </c>
      <c r="D1657" t="s">
        <v>34645</v>
      </c>
      <c r="E1657" t="s">
        <v>34646</v>
      </c>
      <c r="F1657" t="s">
        <v>34647</v>
      </c>
      <c r="G1657" t="s">
        <v>34648</v>
      </c>
      <c r="H1657" t="s">
        <v>34649</v>
      </c>
      <c r="I1657" t="s">
        <v>34650</v>
      </c>
      <c r="J1657" t="s">
        <v>34651</v>
      </c>
      <c r="K1657" t="s">
        <v>34652</v>
      </c>
      <c r="L1657" t="s">
        <v>34653</v>
      </c>
      <c r="M1657" t="s">
        <v>34654</v>
      </c>
      <c r="N1657" t="s">
        <v>34655</v>
      </c>
      <c r="O1657">
        <f>-741.894819707424 -80.9302174729346 -713.048636733881</f>
        <v>-1535.8736739142396</v>
      </c>
      <c r="P1657">
        <f>-686.356395376012 -65.0753497547021 -401.840913864099</f>
        <v>-1153.2726589948129</v>
      </c>
      <c r="Q1657" t="s">
        <v>34656</v>
      </c>
      <c r="R1657" t="s">
        <v>34657</v>
      </c>
      <c r="S1657" t="s">
        <v>34658</v>
      </c>
      <c r="T1657" t="s">
        <v>34659</v>
      </c>
      <c r="U1657" t="s">
        <v>34660</v>
      </c>
      <c r="V1657" t="s">
        <v>34661</v>
      </c>
      <c r="W1657" t="s">
        <v>34662</v>
      </c>
      <c r="X1657" t="s">
        <v>34663</v>
      </c>
      <c r="Y1657" t="s">
        <v>34664</v>
      </c>
    </row>
    <row r="1658" spans="1:25" x14ac:dyDescent="0.3">
      <c r="A1658">
        <v>82850</v>
      </c>
      <c r="B1658" t="s">
        <v>34665</v>
      </c>
      <c r="C1658" t="s">
        <v>34666</v>
      </c>
      <c r="D1658" t="s">
        <v>34667</v>
      </c>
      <c r="E1658" t="s">
        <v>34668</v>
      </c>
      <c r="F1658" t="s">
        <v>34669</v>
      </c>
      <c r="G1658" t="s">
        <v>34670</v>
      </c>
      <c r="H1658" t="s">
        <v>34671</v>
      </c>
      <c r="I1658" t="s">
        <v>34672</v>
      </c>
      <c r="J1658" t="s">
        <v>34673</v>
      </c>
      <c r="K1658" t="s">
        <v>34674</v>
      </c>
      <c r="L1658" t="s">
        <v>34675</v>
      </c>
      <c r="M1658" t="s">
        <v>34676</v>
      </c>
      <c r="N1658" t="s">
        <v>34677</v>
      </c>
      <c r="O1658">
        <f>-742.87514360521 -80.6565020319883 -713.111233480097</f>
        <v>-1536.6428791172953</v>
      </c>
      <c r="P1658">
        <f>-687.579349928891 -65.5990892275559 -401.820705519734</f>
        <v>-1154.999144676181</v>
      </c>
      <c r="Q1658" t="s">
        <v>34678</v>
      </c>
      <c r="R1658" t="s">
        <v>34679</v>
      </c>
      <c r="S1658" t="s">
        <v>34680</v>
      </c>
      <c r="T1658" t="s">
        <v>34681</v>
      </c>
      <c r="U1658" t="s">
        <v>34682</v>
      </c>
      <c r="V1658" t="s">
        <v>34683</v>
      </c>
      <c r="W1658" t="s">
        <v>34684</v>
      </c>
      <c r="X1658" t="s">
        <v>34685</v>
      </c>
      <c r="Y1658" t="s">
        <v>34686</v>
      </c>
    </row>
    <row r="1659" spans="1:25" x14ac:dyDescent="0.3">
      <c r="A1659">
        <v>82900</v>
      </c>
      <c r="B1659" t="s">
        <v>34687</v>
      </c>
      <c r="C1659" t="s">
        <v>34688</v>
      </c>
      <c r="D1659" t="s">
        <v>34689</v>
      </c>
      <c r="E1659" t="s">
        <v>34690</v>
      </c>
      <c r="F1659" t="s">
        <v>34691</v>
      </c>
      <c r="G1659" t="s">
        <v>34692</v>
      </c>
      <c r="H1659" t="s">
        <v>34693</v>
      </c>
      <c r="I1659" t="s">
        <v>34694</v>
      </c>
      <c r="J1659" t="s">
        <v>34695</v>
      </c>
      <c r="K1659" t="s">
        <v>34696</v>
      </c>
      <c r="L1659" t="s">
        <v>34697</v>
      </c>
      <c r="M1659" t="s">
        <v>34698</v>
      </c>
      <c r="N1659" t="s">
        <v>34699</v>
      </c>
      <c r="O1659">
        <f>-743.555399926139 -80.3646968617518 -713.115846767762</f>
        <v>-1537.0359435556529</v>
      </c>
      <c r="P1659">
        <f>-688.458285115399 -65.3845124441691 -401.786190232669</f>
        <v>-1155.6289877922372</v>
      </c>
      <c r="Q1659" t="s">
        <v>34700</v>
      </c>
      <c r="R1659" t="s">
        <v>34701</v>
      </c>
      <c r="S1659" t="s">
        <v>34702</v>
      </c>
      <c r="T1659" t="s">
        <v>34703</v>
      </c>
      <c r="U1659" t="s">
        <v>34704</v>
      </c>
      <c r="V1659" t="s">
        <v>34705</v>
      </c>
      <c r="W1659" t="s">
        <v>34706</v>
      </c>
      <c r="X1659" t="s">
        <v>34707</v>
      </c>
      <c r="Y1659" t="s">
        <v>34708</v>
      </c>
    </row>
    <row r="1660" spans="1:25" x14ac:dyDescent="0.3">
      <c r="A1660">
        <v>82950</v>
      </c>
      <c r="B1660" t="s">
        <v>34709</v>
      </c>
      <c r="C1660" t="s">
        <v>34710</v>
      </c>
      <c r="D1660" t="s">
        <v>34711</v>
      </c>
      <c r="E1660" t="s">
        <v>34712</v>
      </c>
      <c r="F1660" t="s">
        <v>34713</v>
      </c>
      <c r="G1660" t="s">
        <v>34714</v>
      </c>
      <c r="H1660" t="s">
        <v>34715</v>
      </c>
      <c r="I1660" t="s">
        <v>34716</v>
      </c>
      <c r="J1660" t="s">
        <v>34717</v>
      </c>
      <c r="K1660" t="s">
        <v>34718</v>
      </c>
      <c r="L1660" t="s">
        <v>34719</v>
      </c>
      <c r="M1660" t="s">
        <v>34720</v>
      </c>
      <c r="N1660" t="s">
        <v>34721</v>
      </c>
      <c r="O1660">
        <f>-745.224519098618 -79.5272675972637 -713.180110551449</f>
        <v>-1537.9318972473307</v>
      </c>
      <c r="P1660">
        <f>-689.788540032772 -64.6885513799411 -401.903926070131</f>
        <v>-1156.3810174828441</v>
      </c>
      <c r="Q1660">
        <f>-440.500020416048 -0.96811195010082 -363.996043089093</f>
        <v>-805.46417545524184</v>
      </c>
      <c r="R1660" t="s">
        <v>34722</v>
      </c>
      <c r="S1660" t="s">
        <v>34723</v>
      </c>
      <c r="T1660" t="s">
        <v>34724</v>
      </c>
      <c r="U1660" t="s">
        <v>34725</v>
      </c>
      <c r="V1660" t="s">
        <v>34726</v>
      </c>
      <c r="W1660" t="s">
        <v>34727</v>
      </c>
      <c r="X1660" t="s">
        <v>34728</v>
      </c>
      <c r="Y1660" t="s">
        <v>34729</v>
      </c>
    </row>
    <row r="1661" spans="1:25" x14ac:dyDescent="0.3">
      <c r="A1661">
        <v>83000</v>
      </c>
      <c r="B1661" t="s">
        <v>34730</v>
      </c>
      <c r="C1661" t="s">
        <v>34731</v>
      </c>
      <c r="D1661" t="s">
        <v>34732</v>
      </c>
      <c r="E1661" t="s">
        <v>34733</v>
      </c>
      <c r="F1661" t="s">
        <v>34734</v>
      </c>
      <c r="G1661" t="s">
        <v>34735</v>
      </c>
      <c r="H1661" t="s">
        <v>34736</v>
      </c>
      <c r="I1661" t="s">
        <v>34737</v>
      </c>
      <c r="J1661" t="s">
        <v>34738</v>
      </c>
      <c r="K1661" t="s">
        <v>34739</v>
      </c>
      <c r="L1661" t="s">
        <v>34740</v>
      </c>
      <c r="M1661" t="s">
        <v>34741</v>
      </c>
      <c r="N1661" t="s">
        <v>34742</v>
      </c>
      <c r="O1661">
        <f>-745.887513185193 -79.02474374696 -713.205255052456</f>
        <v>-1538.1175119846089</v>
      </c>
      <c r="P1661">
        <f>-690.19217026673 -64.5428637860234 -401.958623523754</f>
        <v>-1156.6936575765076</v>
      </c>
      <c r="Q1661">
        <f>-440.749162044793 -1.53037361884822 -363.88344172</f>
        <v>-806.16297738364119</v>
      </c>
      <c r="R1661" t="s">
        <v>34743</v>
      </c>
      <c r="S1661" t="s">
        <v>34744</v>
      </c>
      <c r="T1661" t="s">
        <v>34745</v>
      </c>
      <c r="U1661" t="s">
        <v>34746</v>
      </c>
      <c r="V1661" t="s">
        <v>34747</v>
      </c>
      <c r="W1661" t="s">
        <v>34748</v>
      </c>
      <c r="X1661" t="s">
        <v>34749</v>
      </c>
      <c r="Y1661" t="s">
        <v>34750</v>
      </c>
    </row>
    <row r="1662" spans="1:25" x14ac:dyDescent="0.3">
      <c r="A1662">
        <v>83050</v>
      </c>
      <c r="B1662" t="s">
        <v>34751</v>
      </c>
      <c r="C1662" t="s">
        <v>34752</v>
      </c>
      <c r="D1662" t="s">
        <v>34753</v>
      </c>
      <c r="E1662" t="s">
        <v>34754</v>
      </c>
      <c r="F1662" t="s">
        <v>34755</v>
      </c>
      <c r="G1662" t="s">
        <v>34756</v>
      </c>
      <c r="H1662" t="s">
        <v>34757</v>
      </c>
      <c r="I1662" t="s">
        <v>34758</v>
      </c>
      <c r="J1662" t="s">
        <v>34759</v>
      </c>
      <c r="K1662" t="s">
        <v>34760</v>
      </c>
      <c r="L1662" t="s">
        <v>34761</v>
      </c>
      <c r="M1662" t="s">
        <v>34762</v>
      </c>
      <c r="N1662" t="s">
        <v>34763</v>
      </c>
      <c r="O1662">
        <f>-747.37943109372 -78.5446599788081 -713.193434037923</f>
        <v>-1539.117525110451</v>
      </c>
      <c r="P1662">
        <f>-691.30786256789 -63.9672323519378 -402.018851170371</f>
        <v>-1157.2939460901989</v>
      </c>
      <c r="Q1662">
        <f>-441.757843439959 -1.54393692314557 -363.676322434575</f>
        <v>-806.97810279767964</v>
      </c>
      <c r="R1662" t="s">
        <v>34764</v>
      </c>
      <c r="S1662" t="s">
        <v>34765</v>
      </c>
      <c r="T1662" t="s">
        <v>34766</v>
      </c>
      <c r="U1662" t="s">
        <v>34767</v>
      </c>
      <c r="V1662" t="s">
        <v>34768</v>
      </c>
      <c r="W1662" t="s">
        <v>34769</v>
      </c>
      <c r="X1662" t="s">
        <v>34770</v>
      </c>
      <c r="Y1662" t="s">
        <v>34771</v>
      </c>
    </row>
    <row r="1663" spans="1:25" x14ac:dyDescent="0.3">
      <c r="A1663">
        <v>83100</v>
      </c>
      <c r="B1663" t="s">
        <v>34772</v>
      </c>
      <c r="C1663" t="s">
        <v>34773</v>
      </c>
      <c r="D1663" t="s">
        <v>34774</v>
      </c>
      <c r="E1663" t="s">
        <v>34775</v>
      </c>
      <c r="F1663" t="s">
        <v>34776</v>
      </c>
      <c r="G1663" t="s">
        <v>34777</v>
      </c>
      <c r="H1663" t="s">
        <v>34778</v>
      </c>
      <c r="I1663" t="s">
        <v>34779</v>
      </c>
      <c r="J1663" t="s">
        <v>34780</v>
      </c>
      <c r="K1663" t="s">
        <v>34781</v>
      </c>
      <c r="L1663" t="s">
        <v>34782</v>
      </c>
      <c r="M1663" t="s">
        <v>34783</v>
      </c>
      <c r="N1663" t="s">
        <v>34784</v>
      </c>
      <c r="O1663">
        <f>-748.402250832031 -78.3058399112365 -713.137866262417</f>
        <v>-1539.8459570056843</v>
      </c>
      <c r="P1663">
        <f>-691.862428315684 -64.0757770106588 -402.031889446613</f>
        <v>-1157.9700947729559</v>
      </c>
      <c r="Q1663">
        <f>-442.334971973642 -1.56392740652245 -363.687068679168</f>
        <v>-807.58596805933246</v>
      </c>
      <c r="R1663" t="s">
        <v>34785</v>
      </c>
      <c r="S1663" t="s">
        <v>34786</v>
      </c>
      <c r="T1663" t="s">
        <v>34787</v>
      </c>
      <c r="U1663" t="s">
        <v>34788</v>
      </c>
      <c r="V1663" t="s">
        <v>34789</v>
      </c>
      <c r="W1663" t="s">
        <v>34790</v>
      </c>
      <c r="X1663" t="s">
        <v>34791</v>
      </c>
      <c r="Y1663" t="s">
        <v>34792</v>
      </c>
    </row>
    <row r="1664" spans="1:25" x14ac:dyDescent="0.3">
      <c r="A1664">
        <v>83150</v>
      </c>
      <c r="B1664" t="s">
        <v>34793</v>
      </c>
      <c r="C1664" t="s">
        <v>34794</v>
      </c>
      <c r="D1664" t="s">
        <v>34795</v>
      </c>
      <c r="E1664" t="s">
        <v>34796</v>
      </c>
      <c r="F1664" t="s">
        <v>34797</v>
      </c>
      <c r="G1664" t="s">
        <v>34798</v>
      </c>
      <c r="H1664" t="s">
        <v>34799</v>
      </c>
      <c r="I1664" t="s">
        <v>34800</v>
      </c>
      <c r="J1664" t="s">
        <v>34801</v>
      </c>
      <c r="K1664" t="s">
        <v>34802</v>
      </c>
      <c r="L1664" t="s">
        <v>34803</v>
      </c>
      <c r="M1664" t="s">
        <v>34804</v>
      </c>
      <c r="N1664" t="s">
        <v>34805</v>
      </c>
      <c r="O1664">
        <f>-750.271704722254 -77.7903799257879 -712.948772251853</f>
        <v>-1541.0108568998949</v>
      </c>
      <c r="P1664">
        <f>-692.841087244868 -63.7744698811198 -401.996373387366</f>
        <v>-1158.6119305133539</v>
      </c>
      <c r="Q1664">
        <f>-443.24915720525 -1.18498727635711 -364.20099519588</f>
        <v>-808.63513967748713</v>
      </c>
      <c r="R1664" t="s">
        <v>34806</v>
      </c>
      <c r="S1664" t="s">
        <v>34807</v>
      </c>
      <c r="T1664" t="s">
        <v>34808</v>
      </c>
      <c r="U1664" t="s">
        <v>34809</v>
      </c>
      <c r="V1664" t="s">
        <v>34810</v>
      </c>
      <c r="W1664" t="s">
        <v>34811</v>
      </c>
      <c r="X1664" t="s">
        <v>34812</v>
      </c>
      <c r="Y1664" t="s">
        <v>34813</v>
      </c>
    </row>
    <row r="1665" spans="1:25" x14ac:dyDescent="0.3">
      <c r="A1665">
        <v>83200</v>
      </c>
      <c r="B1665" t="s">
        <v>34814</v>
      </c>
      <c r="C1665" t="s">
        <v>34815</v>
      </c>
      <c r="D1665" t="s">
        <v>34816</v>
      </c>
      <c r="E1665" t="s">
        <v>34817</v>
      </c>
      <c r="F1665" t="s">
        <v>34818</v>
      </c>
      <c r="G1665" t="s">
        <v>34819</v>
      </c>
      <c r="H1665" t="s">
        <v>34820</v>
      </c>
      <c r="I1665" t="s">
        <v>34821</v>
      </c>
      <c r="J1665" t="s">
        <v>34822</v>
      </c>
      <c r="K1665" t="s">
        <v>34823</v>
      </c>
      <c r="L1665" t="s">
        <v>34824</v>
      </c>
      <c r="M1665" t="s">
        <v>34825</v>
      </c>
      <c r="N1665" t="s">
        <v>34826</v>
      </c>
      <c r="O1665">
        <f>-751.496583992231 -77.4687083315064 -712.840149408566</f>
        <v>-1541.8054417323033</v>
      </c>
      <c r="P1665">
        <f>-693.638108460936 -63.6601127373547 -401.957508729763</f>
        <v>-1159.2557299280536</v>
      </c>
      <c r="Q1665">
        <f>-444.028703588203 -0.985812507803985 -364.419192910511</f>
        <v>-809.43370900651803</v>
      </c>
      <c r="R1665" t="s">
        <v>34827</v>
      </c>
      <c r="S1665" t="s">
        <v>34828</v>
      </c>
      <c r="T1665" t="s">
        <v>34829</v>
      </c>
      <c r="U1665" t="s">
        <v>34830</v>
      </c>
      <c r="V1665" t="s">
        <v>34831</v>
      </c>
      <c r="W1665" t="s">
        <v>34832</v>
      </c>
      <c r="X1665" t="s">
        <v>34833</v>
      </c>
      <c r="Y1665" t="s">
        <v>34834</v>
      </c>
    </row>
    <row r="1666" spans="1:25" x14ac:dyDescent="0.3">
      <c r="A1666">
        <v>83250</v>
      </c>
      <c r="B1666" t="s">
        <v>34835</v>
      </c>
      <c r="C1666" t="s">
        <v>34836</v>
      </c>
      <c r="D1666" t="s">
        <v>34837</v>
      </c>
      <c r="E1666" t="s">
        <v>34838</v>
      </c>
      <c r="F1666" t="s">
        <v>34839</v>
      </c>
      <c r="G1666" t="s">
        <v>34840</v>
      </c>
      <c r="H1666" t="s">
        <v>34841</v>
      </c>
      <c r="I1666" t="s">
        <v>34842</v>
      </c>
      <c r="J1666" t="s">
        <v>34843</v>
      </c>
      <c r="K1666" t="s">
        <v>34844</v>
      </c>
      <c r="L1666" t="s">
        <v>34845</v>
      </c>
      <c r="M1666" t="s">
        <v>34846</v>
      </c>
      <c r="N1666" t="s">
        <v>34847</v>
      </c>
      <c r="O1666">
        <f>-752.731503143215 -76.4818039729009 -713.044804487178</f>
        <v>-1542.2581116032939</v>
      </c>
      <c r="P1666">
        <f>-694.832889512979 -63.6077605631581 -402.129755548168</f>
        <v>-1160.5704056243051</v>
      </c>
      <c r="Q1666">
        <f>-445.293682521325 -0.698685479245341 -364.516766633693</f>
        <v>-810.50913463426332</v>
      </c>
      <c r="R1666" t="s">
        <v>34848</v>
      </c>
      <c r="S1666" t="s">
        <v>34849</v>
      </c>
      <c r="T1666" t="s">
        <v>34850</v>
      </c>
      <c r="U1666" t="s">
        <v>34851</v>
      </c>
      <c r="V1666" t="s">
        <v>34852</v>
      </c>
      <c r="W1666" t="s">
        <v>34853</v>
      </c>
      <c r="X1666" t="s">
        <v>34854</v>
      </c>
      <c r="Y1666" t="s">
        <v>34855</v>
      </c>
    </row>
    <row r="1667" spans="1:25" x14ac:dyDescent="0.3">
      <c r="A1667">
        <v>83300</v>
      </c>
      <c r="B1667" t="s">
        <v>34856</v>
      </c>
      <c r="C1667" t="s">
        <v>34857</v>
      </c>
      <c r="D1667" t="s">
        <v>34858</v>
      </c>
      <c r="E1667" t="s">
        <v>34859</v>
      </c>
      <c r="F1667" t="s">
        <v>34860</v>
      </c>
      <c r="G1667" t="s">
        <v>34861</v>
      </c>
      <c r="H1667" t="s">
        <v>34862</v>
      </c>
      <c r="I1667" t="s">
        <v>34863</v>
      </c>
      <c r="J1667" t="s">
        <v>34864</v>
      </c>
      <c r="K1667" t="s">
        <v>34865</v>
      </c>
      <c r="L1667" t="s">
        <v>34866</v>
      </c>
      <c r="M1667" t="s">
        <v>34867</v>
      </c>
      <c r="N1667" t="s">
        <v>34868</v>
      </c>
      <c r="O1667">
        <f>-752.985410687072 -75.8430006744165 -713.381660417507</f>
        <v>-1542.2100717789954</v>
      </c>
      <c r="P1667">
        <f>-695.531871060114 -63.1985516953314 -402.374589510897</f>
        <v>-1161.1050122663423</v>
      </c>
      <c r="Q1667">
        <f>-446.063699693971 -0.197295729685266 -364.446385746537</f>
        <v>-810.70738117019323</v>
      </c>
      <c r="R1667" t="s">
        <v>34869</v>
      </c>
      <c r="S1667" t="s">
        <v>34870</v>
      </c>
      <c r="T1667" t="s">
        <v>34871</v>
      </c>
      <c r="U1667" t="s">
        <v>34872</v>
      </c>
      <c r="V1667" t="s">
        <v>34873</v>
      </c>
      <c r="W1667" t="s">
        <v>34874</v>
      </c>
      <c r="X1667" t="s">
        <v>34875</v>
      </c>
      <c r="Y1667" t="s">
        <v>34876</v>
      </c>
    </row>
    <row r="1668" spans="1:25" x14ac:dyDescent="0.3">
      <c r="A1668">
        <v>83350</v>
      </c>
      <c r="B1668" t="s">
        <v>34877</v>
      </c>
      <c r="C1668" t="s">
        <v>34878</v>
      </c>
      <c r="D1668" t="s">
        <v>34879</v>
      </c>
      <c r="E1668" t="s">
        <v>34880</v>
      </c>
      <c r="F1668" t="s">
        <v>34881</v>
      </c>
      <c r="G1668" t="s">
        <v>34882</v>
      </c>
      <c r="H1668" t="s">
        <v>34883</v>
      </c>
      <c r="I1668" t="s">
        <v>34884</v>
      </c>
      <c r="J1668" t="s">
        <v>34885</v>
      </c>
      <c r="K1668" t="s">
        <v>34886</v>
      </c>
      <c r="L1668" t="s">
        <v>34887</v>
      </c>
      <c r="M1668" t="s">
        <v>34888</v>
      </c>
      <c r="N1668" t="s">
        <v>34889</v>
      </c>
      <c r="O1668">
        <f>-752.6489835108 -74.6125659466277 -714.332359284481</f>
        <v>-1541.5939087419088</v>
      </c>
      <c r="P1668">
        <f>-696.38666784067 -62.528405279447 -403.085370455296</f>
        <v>-1162.0004435754131</v>
      </c>
      <c r="Q1668" t="s">
        <v>34890</v>
      </c>
      <c r="R1668" t="s">
        <v>34891</v>
      </c>
      <c r="S1668" t="s">
        <v>34892</v>
      </c>
      <c r="T1668" t="s">
        <v>34893</v>
      </c>
      <c r="U1668" t="s">
        <v>34894</v>
      </c>
      <c r="V1668" t="s">
        <v>34895</v>
      </c>
      <c r="W1668" t="s">
        <v>34896</v>
      </c>
      <c r="X1668" t="s">
        <v>34897</v>
      </c>
      <c r="Y1668" t="s">
        <v>34898</v>
      </c>
    </row>
    <row r="1669" spans="1:25" x14ac:dyDescent="0.3">
      <c r="A1669">
        <v>83400</v>
      </c>
      <c r="B1669" t="s">
        <v>34899</v>
      </c>
      <c r="C1669" t="s">
        <v>34900</v>
      </c>
      <c r="D1669" t="s">
        <v>34901</v>
      </c>
      <c r="E1669" t="s">
        <v>34902</v>
      </c>
      <c r="F1669" t="s">
        <v>34903</v>
      </c>
      <c r="G1669" t="s">
        <v>34904</v>
      </c>
      <c r="H1669" t="s">
        <v>34905</v>
      </c>
      <c r="I1669" t="s">
        <v>34906</v>
      </c>
      <c r="J1669" t="s">
        <v>34907</v>
      </c>
      <c r="K1669" t="s">
        <v>34908</v>
      </c>
      <c r="L1669" t="s">
        <v>34909</v>
      </c>
      <c r="M1669" t="s">
        <v>34910</v>
      </c>
      <c r="N1669" t="s">
        <v>34911</v>
      </c>
      <c r="O1669">
        <f>-752.475869729423 -73.9819138383366 -714.83544204689</f>
        <v>-1541.2932256146496</v>
      </c>
      <c r="P1669">
        <f>-696.664659677178 -62.5040865690978 -403.484213294557</f>
        <v>-1162.6529595408329</v>
      </c>
      <c r="Q1669" t="s">
        <v>34912</v>
      </c>
      <c r="R1669" t="s">
        <v>34913</v>
      </c>
      <c r="S1669" t="s">
        <v>34914</v>
      </c>
      <c r="T1669" t="s">
        <v>34915</v>
      </c>
      <c r="U1669" t="s">
        <v>34916</v>
      </c>
      <c r="V1669" t="s">
        <v>34917</v>
      </c>
      <c r="W1669" t="s">
        <v>34918</v>
      </c>
      <c r="X1669" t="s">
        <v>34919</v>
      </c>
      <c r="Y1669" t="s">
        <v>34920</v>
      </c>
    </row>
    <row r="1670" spans="1:25" x14ac:dyDescent="0.3">
      <c r="A1670">
        <v>83450</v>
      </c>
      <c r="B1670" t="s">
        <v>34921</v>
      </c>
      <c r="C1670" t="s">
        <v>34922</v>
      </c>
      <c r="D1670" t="s">
        <v>34923</v>
      </c>
      <c r="E1670" t="s">
        <v>34924</v>
      </c>
      <c r="F1670" t="s">
        <v>34925</v>
      </c>
      <c r="G1670" t="s">
        <v>34926</v>
      </c>
      <c r="H1670" t="s">
        <v>34927</v>
      </c>
      <c r="I1670" t="s">
        <v>34928</v>
      </c>
      <c r="J1670" t="s">
        <v>34929</v>
      </c>
      <c r="K1670" t="s">
        <v>34930</v>
      </c>
      <c r="L1670" t="s">
        <v>34931</v>
      </c>
      <c r="M1670" t="s">
        <v>34932</v>
      </c>
      <c r="N1670" t="s">
        <v>34933</v>
      </c>
      <c r="O1670">
        <f>-752.463855767002 -72.9099535655637 -715.851575965909</f>
        <v>-1541.2253852984745</v>
      </c>
      <c r="P1670">
        <f>-697.753327099325 -61.8469254394442 -404.290114842357</f>
        <v>-1163.8903673811262</v>
      </c>
      <c r="Q1670" t="s">
        <v>34934</v>
      </c>
      <c r="R1670" t="s">
        <v>34935</v>
      </c>
      <c r="S1670" t="s">
        <v>34936</v>
      </c>
      <c r="T1670" t="s">
        <v>34937</v>
      </c>
      <c r="U1670" t="s">
        <v>34938</v>
      </c>
      <c r="V1670" t="s">
        <v>34939</v>
      </c>
      <c r="W1670" t="s">
        <v>34940</v>
      </c>
      <c r="X1670" t="s">
        <v>34941</v>
      </c>
      <c r="Y1670" t="s">
        <v>34942</v>
      </c>
    </row>
    <row r="1671" spans="1:25" x14ac:dyDescent="0.3">
      <c r="A1671">
        <v>83500</v>
      </c>
      <c r="B1671" t="s">
        <v>34943</v>
      </c>
      <c r="C1671" t="s">
        <v>34944</v>
      </c>
      <c r="D1671" t="s">
        <v>34945</v>
      </c>
      <c r="E1671" t="s">
        <v>34946</v>
      </c>
      <c r="F1671" t="s">
        <v>34947</v>
      </c>
      <c r="G1671" t="s">
        <v>34948</v>
      </c>
      <c r="H1671" t="s">
        <v>34949</v>
      </c>
      <c r="I1671" t="s">
        <v>34950</v>
      </c>
      <c r="J1671" t="s">
        <v>34951</v>
      </c>
      <c r="K1671" t="s">
        <v>34952</v>
      </c>
      <c r="L1671" t="s">
        <v>34953</v>
      </c>
      <c r="M1671" t="s">
        <v>34954</v>
      </c>
      <c r="N1671" t="s">
        <v>34955</v>
      </c>
      <c r="O1671">
        <f>-752.689043261847 -72.3749185661075 -716.316169898989</f>
        <v>-1541.3801317269435</v>
      </c>
      <c r="P1671">
        <f>-698.362884850973 -61.5323030400193 -404.679693835015</f>
        <v>-1164.5748817260073</v>
      </c>
      <c r="Q1671" t="s">
        <v>34956</v>
      </c>
      <c r="R1671" t="s">
        <v>34957</v>
      </c>
      <c r="S1671" t="s">
        <v>34958</v>
      </c>
      <c r="T1671" t="s">
        <v>34959</v>
      </c>
      <c r="U1671" t="s">
        <v>34960</v>
      </c>
      <c r="V1671" t="s">
        <v>34961</v>
      </c>
      <c r="W1671" t="s">
        <v>34962</v>
      </c>
      <c r="X1671" t="s">
        <v>34963</v>
      </c>
      <c r="Y1671" t="s">
        <v>34964</v>
      </c>
    </row>
    <row r="1672" spans="1:25" x14ac:dyDescent="0.3">
      <c r="A1672">
        <v>83550</v>
      </c>
      <c r="B1672" t="s">
        <v>34965</v>
      </c>
      <c r="C1672" t="s">
        <v>34966</v>
      </c>
      <c r="D1672" t="s">
        <v>34967</v>
      </c>
      <c r="E1672" t="s">
        <v>34968</v>
      </c>
      <c r="F1672" t="s">
        <v>34969</v>
      </c>
      <c r="G1672" t="s">
        <v>34970</v>
      </c>
      <c r="H1672" t="s">
        <v>34971</v>
      </c>
      <c r="I1672" t="s">
        <v>34972</v>
      </c>
      <c r="J1672" t="s">
        <v>34973</v>
      </c>
      <c r="K1672" t="s">
        <v>34974</v>
      </c>
      <c r="L1672" t="s">
        <v>34975</v>
      </c>
      <c r="M1672" t="s">
        <v>34976</v>
      </c>
      <c r="N1672" t="s">
        <v>34977</v>
      </c>
      <c r="O1672">
        <f>-753.519538366449 -71.3067731084591 -716.996340988266</f>
        <v>-1541.8226524631741</v>
      </c>
      <c r="P1672">
        <f>-699.965299656226 -61.1975469830243 -405.201604367929</f>
        <v>-1166.3644510071792</v>
      </c>
      <c r="Q1672" t="s">
        <v>34978</v>
      </c>
      <c r="R1672" t="s">
        <v>34979</v>
      </c>
      <c r="S1672" t="s">
        <v>34980</v>
      </c>
      <c r="T1672" t="s">
        <v>34981</v>
      </c>
      <c r="U1672" t="s">
        <v>34982</v>
      </c>
      <c r="V1672" t="s">
        <v>34983</v>
      </c>
      <c r="W1672" t="s">
        <v>34984</v>
      </c>
      <c r="X1672" t="s">
        <v>34985</v>
      </c>
      <c r="Y1672" t="s">
        <v>34986</v>
      </c>
    </row>
    <row r="1673" spans="1:25" x14ac:dyDescent="0.3">
      <c r="A1673">
        <v>83600</v>
      </c>
      <c r="B1673" t="s">
        <v>34987</v>
      </c>
      <c r="C1673" t="s">
        <v>34988</v>
      </c>
      <c r="D1673" t="s">
        <v>34989</v>
      </c>
      <c r="E1673" t="s">
        <v>34990</v>
      </c>
      <c r="F1673" t="s">
        <v>34991</v>
      </c>
      <c r="G1673" t="s">
        <v>34992</v>
      </c>
      <c r="H1673" t="s">
        <v>34993</v>
      </c>
      <c r="I1673" t="s">
        <v>34994</v>
      </c>
      <c r="J1673" t="s">
        <v>34995</v>
      </c>
      <c r="K1673" t="s">
        <v>34996</v>
      </c>
      <c r="L1673" t="s">
        <v>34997</v>
      </c>
      <c r="M1673" t="s">
        <v>34998</v>
      </c>
      <c r="N1673" t="s">
        <v>34999</v>
      </c>
      <c r="O1673">
        <f>-753.718566766745 -70.8139710430667 -717.315300225561</f>
        <v>-1541.8478380353727</v>
      </c>
      <c r="P1673">
        <f>-700.756001906149 -60.7010250160863 -405.419706843958</f>
        <v>-1166.8767337661934</v>
      </c>
      <c r="Q1673" t="s">
        <v>35000</v>
      </c>
      <c r="R1673" t="s">
        <v>35001</v>
      </c>
      <c r="S1673" t="s">
        <v>35002</v>
      </c>
      <c r="T1673" t="s">
        <v>35003</v>
      </c>
      <c r="U1673" t="s">
        <v>35004</v>
      </c>
      <c r="V1673" t="s">
        <v>35005</v>
      </c>
      <c r="W1673" t="s">
        <v>35006</v>
      </c>
      <c r="X1673" t="s">
        <v>35007</v>
      </c>
      <c r="Y1673" t="s">
        <v>35008</v>
      </c>
    </row>
    <row r="1674" spans="1:25" x14ac:dyDescent="0.3">
      <c r="A1674">
        <v>83650</v>
      </c>
      <c r="B1674" t="s">
        <v>35009</v>
      </c>
      <c r="C1674" t="s">
        <v>35010</v>
      </c>
      <c r="D1674" t="s">
        <v>35011</v>
      </c>
      <c r="E1674" t="s">
        <v>35012</v>
      </c>
      <c r="F1674" t="s">
        <v>35013</v>
      </c>
      <c r="G1674" t="s">
        <v>35014</v>
      </c>
      <c r="H1674" t="s">
        <v>35015</v>
      </c>
      <c r="I1674" t="s">
        <v>35016</v>
      </c>
      <c r="J1674" t="s">
        <v>35017</v>
      </c>
      <c r="K1674" t="s">
        <v>35018</v>
      </c>
      <c r="L1674" t="s">
        <v>35019</v>
      </c>
      <c r="M1674" t="s">
        <v>35020</v>
      </c>
      <c r="N1674" t="s">
        <v>35021</v>
      </c>
      <c r="O1674">
        <f>-753.450179037567 -69.9381897594774 -718.051043398353</f>
        <v>-1541.4394121953974</v>
      </c>
      <c r="P1674">
        <f>-701.634648322844 -60.1035447610341 -405.954016692488</f>
        <v>-1167.6922097763661</v>
      </c>
      <c r="Q1674" t="s">
        <v>35022</v>
      </c>
      <c r="R1674" t="s">
        <v>35023</v>
      </c>
      <c r="S1674" t="s">
        <v>35024</v>
      </c>
      <c r="T1674" t="s">
        <v>35025</v>
      </c>
      <c r="U1674" t="s">
        <v>35026</v>
      </c>
      <c r="V1674" t="s">
        <v>35027</v>
      </c>
      <c r="W1674" t="s">
        <v>35028</v>
      </c>
      <c r="X1674" t="s">
        <v>35029</v>
      </c>
      <c r="Y1674" t="s">
        <v>35030</v>
      </c>
    </row>
    <row r="1675" spans="1:25" x14ac:dyDescent="0.3">
      <c r="A1675">
        <v>83700</v>
      </c>
      <c r="B1675" t="s">
        <v>35031</v>
      </c>
      <c r="C1675" t="s">
        <v>35032</v>
      </c>
      <c r="D1675" t="s">
        <v>35033</v>
      </c>
      <c r="E1675" t="s">
        <v>35034</v>
      </c>
      <c r="F1675" t="s">
        <v>35035</v>
      </c>
      <c r="G1675" t="s">
        <v>35036</v>
      </c>
      <c r="H1675" t="s">
        <v>35037</v>
      </c>
      <c r="I1675" t="s">
        <v>35038</v>
      </c>
      <c r="J1675" t="s">
        <v>35039</v>
      </c>
      <c r="K1675" t="s">
        <v>35040</v>
      </c>
      <c r="L1675" t="s">
        <v>35041</v>
      </c>
      <c r="M1675" t="s">
        <v>35042</v>
      </c>
      <c r="N1675" t="s">
        <v>35043</v>
      </c>
      <c r="O1675">
        <f>-753.427362432216 -69.5262723641767 -718.401682282471</f>
        <v>-1541.3553170788637</v>
      </c>
      <c r="P1675">
        <f>-702.161392652161 -60.0770897626408 -406.201878604426</f>
        <v>-1168.4403610192278</v>
      </c>
      <c r="Q1675" t="s">
        <v>35044</v>
      </c>
      <c r="R1675" t="s">
        <v>35045</v>
      </c>
      <c r="S1675" t="s">
        <v>35046</v>
      </c>
      <c r="T1675" t="s">
        <v>35047</v>
      </c>
      <c r="U1675" t="s">
        <v>35048</v>
      </c>
      <c r="V1675" t="s">
        <v>35049</v>
      </c>
      <c r="W1675" t="s">
        <v>35050</v>
      </c>
      <c r="X1675" t="s">
        <v>35051</v>
      </c>
      <c r="Y1675" t="s">
        <v>35052</v>
      </c>
    </row>
    <row r="1676" spans="1:25" x14ac:dyDescent="0.3">
      <c r="A1676">
        <v>83750</v>
      </c>
      <c r="B1676" t="s">
        <v>35053</v>
      </c>
      <c r="C1676" t="s">
        <v>35054</v>
      </c>
      <c r="D1676" t="s">
        <v>35055</v>
      </c>
      <c r="E1676" t="s">
        <v>35056</v>
      </c>
      <c r="F1676" t="s">
        <v>35057</v>
      </c>
      <c r="G1676" t="s">
        <v>35058</v>
      </c>
      <c r="H1676" t="s">
        <v>35059</v>
      </c>
      <c r="I1676" t="s">
        <v>35060</v>
      </c>
      <c r="J1676" t="s">
        <v>35061</v>
      </c>
      <c r="K1676" t="s">
        <v>35062</v>
      </c>
      <c r="L1676" t="s">
        <v>35063</v>
      </c>
      <c r="M1676" t="s">
        <v>35064</v>
      </c>
      <c r="N1676" t="s">
        <v>35065</v>
      </c>
      <c r="O1676">
        <f>-753.147483091749 -69.1171853418552 -719.033209739868</f>
        <v>-1541.2978781734723</v>
      </c>
      <c r="P1676">
        <f>-702.757352228066 -60.4166088575014 -406.669187938321</f>
        <v>-1169.8431490238884</v>
      </c>
      <c r="Q1676" t="s">
        <v>35066</v>
      </c>
      <c r="R1676" t="s">
        <v>35067</v>
      </c>
      <c r="S1676" t="s">
        <v>35068</v>
      </c>
      <c r="T1676" t="s">
        <v>35069</v>
      </c>
      <c r="U1676" t="s">
        <v>35070</v>
      </c>
      <c r="V1676" t="s">
        <v>35071</v>
      </c>
      <c r="W1676" t="s">
        <v>35072</v>
      </c>
      <c r="X1676" t="s">
        <v>35073</v>
      </c>
      <c r="Y1676" t="s">
        <v>35074</v>
      </c>
    </row>
    <row r="1677" spans="1:25" x14ac:dyDescent="0.3">
      <c r="A1677">
        <v>83800</v>
      </c>
      <c r="B1677" t="s">
        <v>35075</v>
      </c>
      <c r="C1677" t="s">
        <v>35076</v>
      </c>
      <c r="D1677" t="s">
        <v>35077</v>
      </c>
      <c r="E1677" t="s">
        <v>35078</v>
      </c>
      <c r="F1677" t="s">
        <v>35079</v>
      </c>
      <c r="G1677" t="s">
        <v>35080</v>
      </c>
      <c r="H1677" t="s">
        <v>35081</v>
      </c>
      <c r="I1677" t="s">
        <v>35082</v>
      </c>
      <c r="J1677" t="s">
        <v>35083</v>
      </c>
      <c r="K1677" t="s">
        <v>35084</v>
      </c>
      <c r="L1677" t="s">
        <v>35085</v>
      </c>
      <c r="M1677" t="s">
        <v>35086</v>
      </c>
      <c r="N1677" t="s">
        <v>35087</v>
      </c>
      <c r="O1677">
        <f>-753.037777060484 -68.8133244569831 -719.391699908782</f>
        <v>-1541.2428014262491</v>
      </c>
      <c r="P1677">
        <f>-702.900719311728 -60.4879432586645 -406.976564666591</f>
        <v>-1170.3652272369836</v>
      </c>
      <c r="Q1677" t="s">
        <v>35088</v>
      </c>
      <c r="R1677" t="s">
        <v>35089</v>
      </c>
      <c r="S1677" t="s">
        <v>35090</v>
      </c>
      <c r="T1677" t="s">
        <v>35091</v>
      </c>
      <c r="U1677" t="s">
        <v>35092</v>
      </c>
      <c r="V1677" t="s">
        <v>35093</v>
      </c>
      <c r="W1677" t="s">
        <v>35094</v>
      </c>
      <c r="X1677" t="s">
        <v>35095</v>
      </c>
      <c r="Y1677" t="s">
        <v>35096</v>
      </c>
    </row>
    <row r="1678" spans="1:25" x14ac:dyDescent="0.3">
      <c r="A1678">
        <v>83850</v>
      </c>
      <c r="B1678" t="s">
        <v>35097</v>
      </c>
      <c r="C1678" t="s">
        <v>35098</v>
      </c>
      <c r="D1678" t="s">
        <v>35099</v>
      </c>
      <c r="E1678" t="s">
        <v>35100</v>
      </c>
      <c r="F1678" t="s">
        <v>35101</v>
      </c>
      <c r="G1678" t="s">
        <v>35102</v>
      </c>
      <c r="H1678" t="s">
        <v>35103</v>
      </c>
      <c r="I1678" t="s">
        <v>35104</v>
      </c>
      <c r="J1678" t="s">
        <v>35105</v>
      </c>
      <c r="K1678" t="s">
        <v>35106</v>
      </c>
      <c r="L1678" t="s">
        <v>35107</v>
      </c>
      <c r="M1678" t="s">
        <v>35108</v>
      </c>
      <c r="N1678" t="s">
        <v>35109</v>
      </c>
      <c r="O1678">
        <f>-752.773012965538 -68.2685635867115 -720.33561835673</f>
        <v>-1541.3771949089796</v>
      </c>
      <c r="P1678">
        <f>-703.256101469779 -59.8008688666464 -407.825435905403</f>
        <v>-1170.8824062418284</v>
      </c>
      <c r="Q1678">
        <f>-453.20628802017 -1.88806823705954 -365.834299643446</f>
        <v>-820.92865590067549</v>
      </c>
      <c r="R1678" t="s">
        <v>35110</v>
      </c>
      <c r="S1678" t="s">
        <v>35111</v>
      </c>
      <c r="T1678" t="s">
        <v>35112</v>
      </c>
      <c r="U1678" t="s">
        <v>35113</v>
      </c>
      <c r="V1678" t="s">
        <v>35114</v>
      </c>
      <c r="W1678" t="s">
        <v>35115</v>
      </c>
      <c r="X1678" t="s">
        <v>35116</v>
      </c>
      <c r="Y1678" t="s">
        <v>35117</v>
      </c>
    </row>
    <row r="1679" spans="1:25" x14ac:dyDescent="0.3">
      <c r="A1679">
        <v>83900</v>
      </c>
      <c r="B1679" t="s">
        <v>35118</v>
      </c>
      <c r="C1679" t="s">
        <v>35119</v>
      </c>
      <c r="D1679" t="s">
        <v>35120</v>
      </c>
      <c r="E1679" t="s">
        <v>35121</v>
      </c>
      <c r="F1679" t="s">
        <v>35122</v>
      </c>
      <c r="G1679" t="s">
        <v>35123</v>
      </c>
      <c r="H1679" t="s">
        <v>35124</v>
      </c>
      <c r="I1679" t="s">
        <v>35125</v>
      </c>
      <c r="J1679" t="s">
        <v>35126</v>
      </c>
      <c r="K1679" t="s">
        <v>35127</v>
      </c>
      <c r="L1679" t="s">
        <v>35128</v>
      </c>
      <c r="M1679" t="s">
        <v>35129</v>
      </c>
      <c r="N1679" t="s">
        <v>35130</v>
      </c>
      <c r="O1679">
        <f>-752.601903275457 -67.8608140437034 -720.76305756262</f>
        <v>-1541.2257748817804</v>
      </c>
      <c r="P1679">
        <f>-703.23393419067 -59.4534256950897 -408.227626946551</f>
        <v>-1170.9149868323107</v>
      </c>
      <c r="Q1679">
        <f>-452.845846420717 -3.10453540986691 -366.124238971369</f>
        <v>-822.07462080195296</v>
      </c>
      <c r="R1679" t="s">
        <v>35131</v>
      </c>
      <c r="S1679" t="s">
        <v>35132</v>
      </c>
      <c r="T1679" t="s">
        <v>35133</v>
      </c>
      <c r="U1679" t="s">
        <v>35134</v>
      </c>
      <c r="V1679" t="s">
        <v>35135</v>
      </c>
      <c r="W1679" t="s">
        <v>35136</v>
      </c>
      <c r="X1679" t="s">
        <v>35137</v>
      </c>
      <c r="Y1679" t="s">
        <v>35138</v>
      </c>
    </row>
    <row r="1680" spans="1:25" x14ac:dyDescent="0.3">
      <c r="A1680">
        <v>83950</v>
      </c>
      <c r="B1680" t="s">
        <v>35139</v>
      </c>
      <c r="C1680" t="s">
        <v>35140</v>
      </c>
      <c r="D1680" t="s">
        <v>35141</v>
      </c>
      <c r="E1680" t="s">
        <v>35142</v>
      </c>
      <c r="F1680" t="s">
        <v>35143</v>
      </c>
      <c r="G1680" t="s">
        <v>35144</v>
      </c>
      <c r="H1680" t="s">
        <v>35145</v>
      </c>
      <c r="I1680" t="s">
        <v>35146</v>
      </c>
      <c r="J1680" t="s">
        <v>35147</v>
      </c>
      <c r="K1680" t="s">
        <v>35148</v>
      </c>
      <c r="L1680" t="s">
        <v>35149</v>
      </c>
      <c r="M1680" t="s">
        <v>35150</v>
      </c>
      <c r="N1680" t="s">
        <v>35151</v>
      </c>
      <c r="O1680">
        <f>-752.334313352427 -66.9306501672506 -721.438276790732</f>
        <v>-1540.7032403104095</v>
      </c>
      <c r="P1680">
        <f>-702.729893753086 -58.8508893280741 -408.93182280377</f>
        <v>-1170.5126058849301</v>
      </c>
      <c r="Q1680">
        <f>-451.588385608995 -5.69931616084318 -367.15937902915</f>
        <v>-824.44708079898817</v>
      </c>
      <c r="R1680" t="s">
        <v>35152</v>
      </c>
      <c r="S1680" t="s">
        <v>35153</v>
      </c>
      <c r="T1680" t="s">
        <v>35154</v>
      </c>
      <c r="U1680" t="s">
        <v>35155</v>
      </c>
      <c r="V1680" t="s">
        <v>35156</v>
      </c>
      <c r="W1680" t="s">
        <v>35157</v>
      </c>
      <c r="X1680" t="s">
        <v>35158</v>
      </c>
      <c r="Y1680" t="s">
        <v>35159</v>
      </c>
    </row>
    <row r="1681" spans="1:25" x14ac:dyDescent="0.3">
      <c r="A1681">
        <v>84000</v>
      </c>
      <c r="B1681" t="s">
        <v>35160</v>
      </c>
      <c r="C1681" t="s">
        <v>35161</v>
      </c>
      <c r="D1681" t="s">
        <v>35162</v>
      </c>
      <c r="E1681" t="s">
        <v>35163</v>
      </c>
      <c r="F1681" t="s">
        <v>35164</v>
      </c>
      <c r="G1681" t="s">
        <v>35165</v>
      </c>
      <c r="H1681" t="s">
        <v>35166</v>
      </c>
      <c r="I1681" t="s">
        <v>35167</v>
      </c>
      <c r="J1681" t="s">
        <v>35168</v>
      </c>
      <c r="K1681" t="s">
        <v>35169</v>
      </c>
      <c r="L1681" t="s">
        <v>35170</v>
      </c>
      <c r="M1681" t="s">
        <v>35171</v>
      </c>
      <c r="N1681" t="s">
        <v>35172</v>
      </c>
      <c r="O1681">
        <f>-752.38839609912 -66.63938341317 -721.600011534153</f>
        <v>-1540.627791046443</v>
      </c>
      <c r="P1681">
        <f>-702.490642244521 -58.8035701215153 -409.134017698366</f>
        <v>-1170.4282300644024</v>
      </c>
      <c r="Q1681">
        <f>-451.01391119095 -6.89604540229993 -367.816613829152</f>
        <v>-825.72657042240189</v>
      </c>
      <c r="R1681" t="s">
        <v>35173</v>
      </c>
      <c r="S1681" t="s">
        <v>35174</v>
      </c>
      <c r="T1681" t="s">
        <v>35175</v>
      </c>
      <c r="U1681" t="s">
        <v>35176</v>
      </c>
      <c r="V1681" t="s">
        <v>35177</v>
      </c>
      <c r="W1681" t="s">
        <v>35178</v>
      </c>
      <c r="X1681" t="s">
        <v>35179</v>
      </c>
      <c r="Y1681" t="s">
        <v>35180</v>
      </c>
    </row>
    <row r="1682" spans="1:25" x14ac:dyDescent="0.3">
      <c r="A1682">
        <v>84050</v>
      </c>
      <c r="B1682" t="s">
        <v>35181</v>
      </c>
      <c r="C1682" t="s">
        <v>35182</v>
      </c>
      <c r="D1682" t="s">
        <v>35183</v>
      </c>
      <c r="E1682" t="s">
        <v>35184</v>
      </c>
      <c r="F1682" t="s">
        <v>35185</v>
      </c>
      <c r="G1682" t="s">
        <v>35186</v>
      </c>
      <c r="H1682" t="s">
        <v>35187</v>
      </c>
      <c r="I1682" t="s">
        <v>35188</v>
      </c>
      <c r="J1682" t="s">
        <v>35189</v>
      </c>
      <c r="K1682" t="s">
        <v>35190</v>
      </c>
      <c r="L1682" t="s">
        <v>35191</v>
      </c>
      <c r="M1682" t="s">
        <v>35192</v>
      </c>
      <c r="N1682" t="s">
        <v>35193</v>
      </c>
      <c r="O1682">
        <f>-752.852770078315 -66.2597937752885 -721.665749566364</f>
        <v>-1540.7783134199674</v>
      </c>
      <c r="P1682">
        <f>-701.684779156327 -59.1904219751889 -409.386953926594</f>
        <v>-1170.2621550581098</v>
      </c>
      <c r="Q1682">
        <f>-449.579541245713 -9.82993389633225 -368.78453460471</f>
        <v>-828.19400974675523</v>
      </c>
      <c r="R1682" t="s">
        <v>35194</v>
      </c>
      <c r="S1682" t="s">
        <v>35195</v>
      </c>
      <c r="T1682" t="s">
        <v>35196</v>
      </c>
      <c r="U1682" t="s">
        <v>35197</v>
      </c>
      <c r="V1682" t="s">
        <v>35198</v>
      </c>
      <c r="W1682" t="s">
        <v>35199</v>
      </c>
      <c r="X1682" t="s">
        <v>35200</v>
      </c>
      <c r="Y1682" t="s">
        <v>35201</v>
      </c>
    </row>
    <row r="1683" spans="1:25" x14ac:dyDescent="0.3">
      <c r="A1683">
        <v>84100</v>
      </c>
      <c r="B1683" t="s">
        <v>35202</v>
      </c>
      <c r="C1683" t="s">
        <v>35203</v>
      </c>
      <c r="D1683" t="s">
        <v>35204</v>
      </c>
      <c r="E1683" t="s">
        <v>35205</v>
      </c>
      <c r="F1683" t="s">
        <v>35206</v>
      </c>
      <c r="G1683" t="s">
        <v>35207</v>
      </c>
      <c r="H1683" t="s">
        <v>35208</v>
      </c>
      <c r="I1683" t="s">
        <v>35209</v>
      </c>
      <c r="J1683" t="s">
        <v>35210</v>
      </c>
      <c r="K1683" t="s">
        <v>35211</v>
      </c>
      <c r="L1683" t="s">
        <v>35212</v>
      </c>
      <c r="M1683" t="s">
        <v>35213</v>
      </c>
      <c r="N1683" t="s">
        <v>35214</v>
      </c>
      <c r="O1683">
        <f>-753.153590688569 -66.092519800394 -721.681314283984</f>
        <v>-1540.927424772947</v>
      </c>
      <c r="P1683">
        <f>-701.184976207363 -59.3403341858343 -409.527582635647</f>
        <v>-1170.0528930288442</v>
      </c>
      <c r="Q1683">
        <f>-448.831071691523 -10.9267369098468 -369.332383827336</f>
        <v>-829.09019242870579</v>
      </c>
      <c r="R1683" t="s">
        <v>35215</v>
      </c>
      <c r="S1683" t="s">
        <v>35216</v>
      </c>
      <c r="T1683" t="s">
        <v>35217</v>
      </c>
      <c r="U1683" t="s">
        <v>35218</v>
      </c>
      <c r="V1683" t="s">
        <v>35219</v>
      </c>
      <c r="W1683" t="s">
        <v>35220</v>
      </c>
      <c r="X1683" t="s">
        <v>35221</v>
      </c>
      <c r="Y1683" t="s">
        <v>35222</v>
      </c>
    </row>
    <row r="1684" spans="1:25" x14ac:dyDescent="0.3">
      <c r="A1684">
        <v>84150</v>
      </c>
      <c r="B1684" t="s">
        <v>35223</v>
      </c>
      <c r="C1684" t="s">
        <v>35224</v>
      </c>
      <c r="D1684" t="s">
        <v>35225</v>
      </c>
      <c r="E1684" t="s">
        <v>35226</v>
      </c>
      <c r="F1684" t="s">
        <v>35227</v>
      </c>
      <c r="G1684" t="s">
        <v>35228</v>
      </c>
      <c r="H1684" t="s">
        <v>35229</v>
      </c>
      <c r="I1684" t="s">
        <v>35230</v>
      </c>
      <c r="J1684" t="s">
        <v>35231</v>
      </c>
      <c r="K1684" t="s">
        <v>35232</v>
      </c>
      <c r="L1684" t="s">
        <v>35233</v>
      </c>
      <c r="M1684" t="s">
        <v>35234</v>
      </c>
      <c r="N1684" t="s">
        <v>35235</v>
      </c>
      <c r="O1684">
        <f>-753.573572983633 -65.8963969207116 -721.78664368666</f>
        <v>-1541.2566135910047</v>
      </c>
      <c r="P1684">
        <f>-700.029039320552 -60.1130997027101 -409.879975602928</f>
        <v>-1170.0221146261902</v>
      </c>
      <c r="Q1684">
        <f>-447.282865395044 -13.090028527437 -370.506854760003</f>
        <v>-830.87974868248398</v>
      </c>
      <c r="R1684" t="s">
        <v>35236</v>
      </c>
      <c r="S1684" t="s">
        <v>35237</v>
      </c>
      <c r="T1684" t="s">
        <v>35238</v>
      </c>
      <c r="U1684" t="s">
        <v>35239</v>
      </c>
      <c r="V1684" t="s">
        <v>35240</v>
      </c>
      <c r="W1684" t="s">
        <v>35241</v>
      </c>
      <c r="X1684" t="s">
        <v>35242</v>
      </c>
      <c r="Y1684" t="s">
        <v>35243</v>
      </c>
    </row>
    <row r="1685" spans="1:25" x14ac:dyDescent="0.3">
      <c r="A1685">
        <v>84200</v>
      </c>
      <c r="B1685" t="s">
        <v>35244</v>
      </c>
      <c r="C1685" t="s">
        <v>35245</v>
      </c>
      <c r="D1685" t="s">
        <v>35246</v>
      </c>
      <c r="E1685" t="s">
        <v>35247</v>
      </c>
      <c r="F1685" t="s">
        <v>35248</v>
      </c>
      <c r="G1685" t="s">
        <v>35249</v>
      </c>
      <c r="H1685" t="s">
        <v>35250</v>
      </c>
      <c r="I1685" t="s">
        <v>35251</v>
      </c>
      <c r="J1685" t="s">
        <v>35252</v>
      </c>
      <c r="K1685" t="s">
        <v>35253</v>
      </c>
      <c r="L1685" t="s">
        <v>35254</v>
      </c>
      <c r="M1685" t="s">
        <v>35255</v>
      </c>
      <c r="N1685" t="s">
        <v>35256</v>
      </c>
      <c r="O1685">
        <f>-753.709934668197 -65.5125871478551 -721.896690854867</f>
        <v>-1541.1192126709191</v>
      </c>
      <c r="P1685">
        <f>-699.270126207125 -60.251827250418 -410.135862370462</f>
        <v>-1169.6578158280051</v>
      </c>
      <c r="Q1685">
        <f>-446.368895744896 -13.7747296529876 -371.111233608358</f>
        <v>-831.25485900624165</v>
      </c>
      <c r="R1685" t="s">
        <v>35257</v>
      </c>
      <c r="S1685" t="s">
        <v>35258</v>
      </c>
      <c r="T1685" t="s">
        <v>35259</v>
      </c>
      <c r="U1685" t="s">
        <v>35260</v>
      </c>
      <c r="V1685" t="s">
        <v>35261</v>
      </c>
      <c r="W1685" t="s">
        <v>35262</v>
      </c>
      <c r="X1685" t="s">
        <v>35263</v>
      </c>
      <c r="Y1685" t="s">
        <v>35264</v>
      </c>
    </row>
    <row r="1686" spans="1:25" x14ac:dyDescent="0.3">
      <c r="A1686">
        <v>84250</v>
      </c>
      <c r="B1686" t="s">
        <v>35265</v>
      </c>
      <c r="C1686" t="s">
        <v>35266</v>
      </c>
      <c r="D1686" t="s">
        <v>35267</v>
      </c>
      <c r="E1686" t="s">
        <v>35268</v>
      </c>
      <c r="F1686" t="s">
        <v>35269</v>
      </c>
      <c r="G1686" t="s">
        <v>35270</v>
      </c>
      <c r="H1686" t="s">
        <v>35271</v>
      </c>
      <c r="I1686" t="s">
        <v>35272</v>
      </c>
      <c r="J1686" t="s">
        <v>35273</v>
      </c>
      <c r="K1686" t="s">
        <v>35274</v>
      </c>
      <c r="L1686" t="s">
        <v>35275</v>
      </c>
      <c r="M1686" t="s">
        <v>35276</v>
      </c>
      <c r="N1686" t="s">
        <v>35277</v>
      </c>
      <c r="O1686">
        <f>-753.678841483047 -65.0917892408486 -722.018012976116</f>
        <v>-1540.7886437000116</v>
      </c>
      <c r="P1686">
        <f>-698.282139216052 -60.4617828810185 -410.415730980475</f>
        <v>-1169.1596530775455</v>
      </c>
      <c r="Q1686">
        <f>-445.283312637289 -14.2578184678093 -371.700750633036</f>
        <v>-831.24188173813423</v>
      </c>
      <c r="R1686" t="s">
        <v>35278</v>
      </c>
      <c r="S1686" t="s">
        <v>35279</v>
      </c>
      <c r="T1686" t="s">
        <v>35280</v>
      </c>
      <c r="U1686" t="s">
        <v>35281</v>
      </c>
      <c r="V1686" t="s">
        <v>35282</v>
      </c>
      <c r="W1686" t="s">
        <v>35283</v>
      </c>
      <c r="X1686" t="s">
        <v>35284</v>
      </c>
      <c r="Y1686" t="s">
        <v>35285</v>
      </c>
    </row>
    <row r="1687" spans="1:25" x14ac:dyDescent="0.3">
      <c r="A1687">
        <v>84300</v>
      </c>
      <c r="B1687" t="s">
        <v>35286</v>
      </c>
      <c r="C1687" t="s">
        <v>35287</v>
      </c>
      <c r="D1687" t="s">
        <v>35288</v>
      </c>
      <c r="E1687" t="s">
        <v>35289</v>
      </c>
      <c r="F1687" t="s">
        <v>35290</v>
      </c>
      <c r="G1687" t="s">
        <v>35291</v>
      </c>
      <c r="H1687" t="s">
        <v>35292</v>
      </c>
      <c r="I1687" t="s">
        <v>35293</v>
      </c>
      <c r="J1687" t="s">
        <v>35294</v>
      </c>
      <c r="K1687" t="s">
        <v>35295</v>
      </c>
      <c r="L1687" t="s">
        <v>35296</v>
      </c>
      <c r="M1687" t="s">
        <v>35297</v>
      </c>
      <c r="N1687" t="s">
        <v>35298</v>
      </c>
      <c r="O1687">
        <f>-753.349793981025 -64.637435383323 -721.932716528107</f>
        <v>-1539.919945892455</v>
      </c>
      <c r="P1687">
        <f>-696.033211751046 -60.7707103779583 -410.667600593853</f>
        <v>-1167.4715227228573</v>
      </c>
      <c r="Q1687">
        <f>-442.851174323393 -14.7853600475451 -372.901444485423</f>
        <v>-830.53797885636118</v>
      </c>
      <c r="R1687" t="s">
        <v>35299</v>
      </c>
      <c r="S1687" t="s">
        <v>35300</v>
      </c>
      <c r="T1687" t="s">
        <v>35301</v>
      </c>
      <c r="U1687" t="s">
        <v>35302</v>
      </c>
      <c r="V1687" t="s">
        <v>35303</v>
      </c>
      <c r="W1687" t="s">
        <v>35304</v>
      </c>
      <c r="X1687" t="s">
        <v>35305</v>
      </c>
      <c r="Y1687" t="s">
        <v>35306</v>
      </c>
    </row>
    <row r="1688" spans="1:25" x14ac:dyDescent="0.3">
      <c r="A1688">
        <v>84350</v>
      </c>
      <c r="B1688" t="s">
        <v>35307</v>
      </c>
      <c r="C1688" t="s">
        <v>35308</v>
      </c>
      <c r="D1688" t="s">
        <v>35309</v>
      </c>
      <c r="E1688" t="s">
        <v>35310</v>
      </c>
      <c r="F1688" t="s">
        <v>35311</v>
      </c>
      <c r="G1688" t="s">
        <v>35312</v>
      </c>
      <c r="H1688" t="s">
        <v>35313</v>
      </c>
      <c r="I1688" t="s">
        <v>35314</v>
      </c>
      <c r="J1688" t="s">
        <v>35315</v>
      </c>
      <c r="K1688" t="s">
        <v>35316</v>
      </c>
      <c r="L1688" t="s">
        <v>35317</v>
      </c>
      <c r="M1688" t="s">
        <v>35318</v>
      </c>
      <c r="N1688" t="s">
        <v>35319</v>
      </c>
      <c r="O1688">
        <f>-752.559208042762 -64.644049611283 -721.362958587568</f>
        <v>-1538.5662162416129</v>
      </c>
      <c r="P1688">
        <f>-692.794816655369 -61.7957779596309 -410.547415108179</f>
        <v>-1165.1380097231788</v>
      </c>
      <c r="Q1688">
        <f>-439.281510664242 -16.0960588912792 -374.706671454883</f>
        <v>-830.08424101040418</v>
      </c>
      <c r="R1688" t="s">
        <v>35320</v>
      </c>
      <c r="S1688" t="s">
        <v>35321</v>
      </c>
      <c r="T1688" t="s">
        <v>35322</v>
      </c>
      <c r="U1688" t="s">
        <v>35323</v>
      </c>
      <c r="V1688" t="s">
        <v>35324</v>
      </c>
      <c r="W1688" t="s">
        <v>35325</v>
      </c>
      <c r="X1688" t="s">
        <v>35326</v>
      </c>
      <c r="Y1688" t="s">
        <v>35327</v>
      </c>
    </row>
    <row r="1689" spans="1:25" x14ac:dyDescent="0.3">
      <c r="A1689">
        <v>84400</v>
      </c>
      <c r="B1689" t="s">
        <v>35328</v>
      </c>
      <c r="C1689" t="s">
        <v>35329</v>
      </c>
      <c r="D1689" t="s">
        <v>35330</v>
      </c>
      <c r="E1689" t="s">
        <v>35331</v>
      </c>
      <c r="F1689" t="s">
        <v>35332</v>
      </c>
      <c r="G1689" t="s">
        <v>35333</v>
      </c>
      <c r="H1689" t="s">
        <v>35334</v>
      </c>
      <c r="I1689" t="s">
        <v>35335</v>
      </c>
      <c r="J1689" t="s">
        <v>35336</v>
      </c>
      <c r="K1689" t="s">
        <v>35337</v>
      </c>
      <c r="L1689" t="s">
        <v>35338</v>
      </c>
      <c r="M1689" t="s">
        <v>35339</v>
      </c>
      <c r="N1689" t="s">
        <v>35340</v>
      </c>
      <c r="O1689">
        <f>-752.283207273529 -64.9331155639957 -721.030280900796</f>
        <v>-1538.2466037383206</v>
      </c>
      <c r="P1689">
        <f>-691.256897482301 -62.089263105395 -410.459956464785</f>
        <v>-1163.8061170524811</v>
      </c>
      <c r="Q1689">
        <f>-437.657462286196 -16.3843608730363 -375.241074300729</f>
        <v>-829.2828974599613</v>
      </c>
      <c r="R1689" t="s">
        <v>35341</v>
      </c>
      <c r="S1689" t="s">
        <v>35342</v>
      </c>
      <c r="T1689" t="s">
        <v>35343</v>
      </c>
      <c r="U1689" t="s">
        <v>35344</v>
      </c>
      <c r="V1689" t="s">
        <v>35345</v>
      </c>
      <c r="W1689" t="s">
        <v>35346</v>
      </c>
      <c r="X1689" t="s">
        <v>35347</v>
      </c>
      <c r="Y1689" t="s">
        <v>35348</v>
      </c>
    </row>
    <row r="1690" spans="1:25" x14ac:dyDescent="0.3">
      <c r="A1690">
        <v>84450</v>
      </c>
      <c r="B1690" t="s">
        <v>35349</v>
      </c>
      <c r="C1690" t="s">
        <v>35350</v>
      </c>
      <c r="D1690" t="s">
        <v>35351</v>
      </c>
      <c r="E1690" t="s">
        <v>35352</v>
      </c>
      <c r="F1690" t="s">
        <v>35353</v>
      </c>
      <c r="G1690" t="s">
        <v>35354</v>
      </c>
      <c r="H1690" t="s">
        <v>35355</v>
      </c>
      <c r="I1690" t="s">
        <v>35356</v>
      </c>
      <c r="J1690" t="s">
        <v>35357</v>
      </c>
      <c r="K1690" t="s">
        <v>35358</v>
      </c>
      <c r="L1690" t="s">
        <v>35359</v>
      </c>
      <c r="M1690" t="s">
        <v>35360</v>
      </c>
      <c r="N1690" t="s">
        <v>35361</v>
      </c>
      <c r="O1690">
        <f>-751.786889633283 -65.8213191982366 -720.004872513871</f>
        <v>-1537.6130813453906</v>
      </c>
      <c r="P1690">
        <f>-688.449227218099 -63.9253863686429 -409.890604417446</f>
        <v>-1162.265218004188</v>
      </c>
      <c r="Q1690">
        <f>-434.701285140932 -18.0171628999776 -376.03051060421</f>
        <v>-828.74895864511961</v>
      </c>
      <c r="R1690" t="s">
        <v>35362</v>
      </c>
      <c r="S1690" t="s">
        <v>35363</v>
      </c>
      <c r="T1690" t="s">
        <v>35364</v>
      </c>
      <c r="U1690" t="s">
        <v>35365</v>
      </c>
      <c r="V1690" t="s">
        <v>35366</v>
      </c>
      <c r="W1690" t="s">
        <v>35367</v>
      </c>
      <c r="X1690" t="s">
        <v>35368</v>
      </c>
      <c r="Y1690" t="s">
        <v>35369</v>
      </c>
    </row>
    <row r="1691" spans="1:25" x14ac:dyDescent="0.3">
      <c r="A1691">
        <v>84500</v>
      </c>
      <c r="B1691" t="s">
        <v>35370</v>
      </c>
      <c r="C1691" t="s">
        <v>35371</v>
      </c>
      <c r="D1691" t="s">
        <v>35372</v>
      </c>
      <c r="E1691" t="s">
        <v>35373</v>
      </c>
      <c r="F1691" t="s">
        <v>35374</v>
      </c>
      <c r="G1691" t="s">
        <v>35375</v>
      </c>
      <c r="H1691" t="s">
        <v>35376</v>
      </c>
      <c r="I1691" t="s">
        <v>35377</v>
      </c>
      <c r="J1691" t="s">
        <v>35378</v>
      </c>
      <c r="K1691" t="s">
        <v>35379</v>
      </c>
      <c r="L1691" t="s">
        <v>35380</v>
      </c>
      <c r="M1691">
        <f>-316.959700197827 -0.165223214926073 -339.18711035772</f>
        <v>-656.31203377047302</v>
      </c>
      <c r="N1691" t="s">
        <v>35381</v>
      </c>
      <c r="O1691">
        <f>-751.775779140054 -66.4338377493589 -719.244025294113</f>
        <v>-1537.453642183526</v>
      </c>
      <c r="P1691">
        <f>-687.436703070395 -64.937943148981 -409.333612111564</f>
        <v>-1161.70825833094</v>
      </c>
      <c r="Q1691">
        <f>-433.663916683164 -18.9501251756578 -375.76956427901</f>
        <v>-828.38360613783175</v>
      </c>
      <c r="R1691" t="s">
        <v>35382</v>
      </c>
      <c r="S1691" t="s">
        <v>35383</v>
      </c>
      <c r="T1691" t="s">
        <v>35384</v>
      </c>
      <c r="U1691" t="s">
        <v>35385</v>
      </c>
      <c r="V1691" t="s">
        <v>35386</v>
      </c>
      <c r="W1691" t="s">
        <v>35387</v>
      </c>
      <c r="X1691" t="s">
        <v>35388</v>
      </c>
      <c r="Y1691" t="s">
        <v>35389</v>
      </c>
    </row>
    <row r="1692" spans="1:25" x14ac:dyDescent="0.3">
      <c r="A1692">
        <v>84550</v>
      </c>
      <c r="B1692" t="s">
        <v>35390</v>
      </c>
      <c r="C1692" t="s">
        <v>35391</v>
      </c>
      <c r="D1692" t="s">
        <v>35392</v>
      </c>
      <c r="E1692" t="s">
        <v>35393</v>
      </c>
      <c r="F1692" t="s">
        <v>35394</v>
      </c>
      <c r="G1692" t="s">
        <v>35395</v>
      </c>
      <c r="H1692" t="s">
        <v>35396</v>
      </c>
      <c r="I1692" t="s">
        <v>35397</v>
      </c>
      <c r="J1692" t="s">
        <v>35398</v>
      </c>
      <c r="K1692" t="s">
        <v>35399</v>
      </c>
      <c r="L1692" t="s">
        <v>35400</v>
      </c>
      <c r="M1692">
        <f>-322.14753984295 -8.87333751046503 -342.906723178584</f>
        <v>-673.92760053199902</v>
      </c>
      <c r="N1692" t="s">
        <v>35401</v>
      </c>
      <c r="O1692">
        <f>-751.401254700893 -67.1596720285925 -717.807063164038</f>
        <v>-1536.3679898935234</v>
      </c>
      <c r="P1692">
        <f>-685.509851401109 -66.9598016529378 -408.219452439537</f>
        <v>-1160.6891054935838</v>
      </c>
      <c r="Q1692">
        <f>-431.940842516498 -19.3738485919798 -375.350130906386</f>
        <v>-826.66482201486383</v>
      </c>
      <c r="R1692" t="s">
        <v>35402</v>
      </c>
      <c r="S1692" t="s">
        <v>35403</v>
      </c>
      <c r="T1692" t="s">
        <v>35404</v>
      </c>
      <c r="U1692" t="s">
        <v>35405</v>
      </c>
      <c r="V1692" t="s">
        <v>35406</v>
      </c>
      <c r="W1692" t="s">
        <v>35407</v>
      </c>
      <c r="X1692" t="s">
        <v>35408</v>
      </c>
      <c r="Y1692" t="s">
        <v>35409</v>
      </c>
    </row>
    <row r="1693" spans="1:25" x14ac:dyDescent="0.3">
      <c r="A1693">
        <v>84600</v>
      </c>
      <c r="B1693" t="s">
        <v>35410</v>
      </c>
      <c r="C1693" t="s">
        <v>35411</v>
      </c>
      <c r="D1693" t="s">
        <v>35412</v>
      </c>
      <c r="E1693" t="s">
        <v>35413</v>
      </c>
      <c r="F1693" t="s">
        <v>35414</v>
      </c>
      <c r="G1693" t="s">
        <v>35415</v>
      </c>
      <c r="H1693" t="s">
        <v>35416</v>
      </c>
      <c r="I1693" t="s">
        <v>35417</v>
      </c>
      <c r="J1693" t="s">
        <v>35418</v>
      </c>
      <c r="K1693" t="s">
        <v>35419</v>
      </c>
      <c r="L1693" t="s">
        <v>35420</v>
      </c>
      <c r="M1693">
        <f>-324.142905405583 -11.9029751097696 -343.644088359584</f>
        <v>-679.68996887493654</v>
      </c>
      <c r="N1693" t="s">
        <v>35421</v>
      </c>
      <c r="O1693">
        <f>-750.92471197789 -67.1309213078391 -717.392139676147</f>
        <v>-1535.4477729618761</v>
      </c>
      <c r="P1693">
        <f>-684.303663386496 -67.424167043559 -407.960816289296</f>
        <v>-1159.688646719351</v>
      </c>
      <c r="Q1693">
        <f>-430.906893626375 -18.8929428218446 -375.144718071693</f>
        <v>-824.94455451991257</v>
      </c>
      <c r="R1693" t="s">
        <v>35422</v>
      </c>
      <c r="S1693" t="s">
        <v>35423</v>
      </c>
      <c r="T1693" t="s">
        <v>35424</v>
      </c>
      <c r="U1693" t="s">
        <v>35425</v>
      </c>
      <c r="V1693" t="s">
        <v>35426</v>
      </c>
      <c r="W1693" t="s">
        <v>35427</v>
      </c>
      <c r="X1693" t="s">
        <v>35428</v>
      </c>
      <c r="Y1693" t="s">
        <v>35429</v>
      </c>
    </row>
    <row r="1694" spans="1:25" x14ac:dyDescent="0.3">
      <c r="A1694">
        <v>84650</v>
      </c>
      <c r="B1694" t="s">
        <v>35430</v>
      </c>
      <c r="C1694" t="s">
        <v>35431</v>
      </c>
      <c r="D1694" t="s">
        <v>35432</v>
      </c>
      <c r="E1694" t="s">
        <v>35433</v>
      </c>
      <c r="F1694" t="s">
        <v>35434</v>
      </c>
      <c r="G1694" t="s">
        <v>35435</v>
      </c>
      <c r="H1694" t="s">
        <v>35436</v>
      </c>
      <c r="I1694" t="s">
        <v>35437</v>
      </c>
      <c r="J1694" t="s">
        <v>35438</v>
      </c>
      <c r="K1694" t="s">
        <v>35439</v>
      </c>
      <c r="L1694" t="s">
        <v>35440</v>
      </c>
      <c r="M1694">
        <f>-324.563376176362 -12.9924918238207 -342.446964798489</f>
        <v>-680.00283279867176</v>
      </c>
      <c r="N1694" t="s">
        <v>35441</v>
      </c>
      <c r="O1694">
        <f>-748.484284987304 -67.5322370665315 -717.157521459696</f>
        <v>-1533.1740435135316</v>
      </c>
      <c r="P1694">
        <f>-681.500582075199 -68.198029727417 -407.804916834113</f>
        <v>-1157.5035286367288</v>
      </c>
      <c r="Q1694">
        <f>-428.496546265458 -17.877204222073 -374.656516498019</f>
        <v>-821.03026698555004</v>
      </c>
      <c r="R1694" t="s">
        <v>35442</v>
      </c>
      <c r="S1694" t="s">
        <v>35443</v>
      </c>
      <c r="T1694" t="s">
        <v>35444</v>
      </c>
      <c r="U1694" t="s">
        <v>35445</v>
      </c>
      <c r="V1694" t="s">
        <v>35446</v>
      </c>
      <c r="W1694" t="s">
        <v>35447</v>
      </c>
      <c r="X1694" t="s">
        <v>35448</v>
      </c>
      <c r="Y1694" t="s">
        <v>35449</v>
      </c>
    </row>
    <row r="1695" spans="1:25" x14ac:dyDescent="0.3">
      <c r="A1695">
        <v>84700</v>
      </c>
      <c r="B1695" t="s">
        <v>35450</v>
      </c>
      <c r="C1695" t="s">
        <v>35451</v>
      </c>
      <c r="D1695" t="s">
        <v>35452</v>
      </c>
      <c r="E1695" t="s">
        <v>35453</v>
      </c>
      <c r="F1695" t="s">
        <v>35454</v>
      </c>
      <c r="G1695" t="s">
        <v>35455</v>
      </c>
      <c r="H1695" t="s">
        <v>35456</v>
      </c>
      <c r="I1695" t="s">
        <v>35457</v>
      </c>
      <c r="J1695" t="s">
        <v>35458</v>
      </c>
      <c r="K1695" t="s">
        <v>35459</v>
      </c>
      <c r="L1695" t="s">
        <v>35460</v>
      </c>
      <c r="M1695">
        <f>-323.998721563744 -12.6269121077826 -341.856772267582</f>
        <v>-678.48240593910862</v>
      </c>
      <c r="N1695" t="s">
        <v>35461</v>
      </c>
      <c r="O1695">
        <f>-747.123981720875 -67.9964370055325 -717.228787675529</f>
        <v>-1532.3492064019365</v>
      </c>
      <c r="P1695">
        <f>-680.184478039447 -68.9523376234856 -407.867556444024</f>
        <v>-1157.0043721069565</v>
      </c>
      <c r="Q1695">
        <f>-427.387762751919 -17.6744966817537 -374.604174289577</f>
        <v>-819.66643372324961</v>
      </c>
      <c r="R1695" t="s">
        <v>35462</v>
      </c>
      <c r="S1695" t="s">
        <v>35463</v>
      </c>
      <c r="T1695" t="s">
        <v>35464</v>
      </c>
      <c r="U1695" t="s">
        <v>35465</v>
      </c>
      <c r="V1695" t="s">
        <v>35466</v>
      </c>
      <c r="W1695" t="s">
        <v>35467</v>
      </c>
      <c r="X1695" t="s">
        <v>35468</v>
      </c>
      <c r="Y1695" t="s">
        <v>35469</v>
      </c>
    </row>
    <row r="1696" spans="1:25" x14ac:dyDescent="0.3">
      <c r="A1696">
        <v>84750</v>
      </c>
      <c r="B1696" t="s">
        <v>35470</v>
      </c>
      <c r="C1696" t="s">
        <v>35471</v>
      </c>
      <c r="D1696" t="s">
        <v>35472</v>
      </c>
      <c r="E1696" t="s">
        <v>35473</v>
      </c>
      <c r="F1696" t="s">
        <v>35474</v>
      </c>
      <c r="G1696" t="s">
        <v>35475</v>
      </c>
      <c r="H1696" t="s">
        <v>35476</v>
      </c>
      <c r="I1696" t="s">
        <v>35477</v>
      </c>
      <c r="J1696" t="s">
        <v>35478</v>
      </c>
      <c r="K1696" t="s">
        <v>35479</v>
      </c>
      <c r="L1696" t="s">
        <v>35480</v>
      </c>
      <c r="M1696">
        <f>-320.424578703412 -8.72780556465727 -338.725173918741</f>
        <v>-667.87755818681035</v>
      </c>
      <c r="N1696" t="s">
        <v>35481</v>
      </c>
      <c r="O1696">
        <f>-744.910633727799 -69.072903768686 -717.520789857386</f>
        <v>-1531.5043273538711</v>
      </c>
      <c r="P1696">
        <f>-677.668263109968 -70.897641646704 -408.229082153308</f>
        <v>-1156.79498690998</v>
      </c>
      <c r="Q1696">
        <f>-425.101658109175 -18.5779026720465 -374.840264629834</f>
        <v>-818.51982541105554</v>
      </c>
      <c r="R1696" t="s">
        <v>35482</v>
      </c>
      <c r="S1696" t="s">
        <v>35483</v>
      </c>
      <c r="T1696" t="s">
        <v>35484</v>
      </c>
      <c r="U1696" t="s">
        <v>35485</v>
      </c>
      <c r="V1696" t="s">
        <v>35486</v>
      </c>
      <c r="W1696" t="s">
        <v>35487</v>
      </c>
      <c r="X1696" t="s">
        <v>35488</v>
      </c>
      <c r="Y1696" t="s">
        <v>35489</v>
      </c>
    </row>
    <row r="1697" spans="1:25" x14ac:dyDescent="0.3">
      <c r="A1697">
        <v>84800</v>
      </c>
      <c r="B1697" t="s">
        <v>35490</v>
      </c>
      <c r="C1697" t="s">
        <v>35491</v>
      </c>
      <c r="D1697" t="s">
        <v>35492</v>
      </c>
      <c r="E1697" t="s">
        <v>35493</v>
      </c>
      <c r="F1697" t="s">
        <v>35494</v>
      </c>
      <c r="G1697" t="s">
        <v>35495</v>
      </c>
      <c r="H1697" t="s">
        <v>35496</v>
      </c>
      <c r="I1697" t="s">
        <v>35497</v>
      </c>
      <c r="J1697" t="s">
        <v>35498</v>
      </c>
      <c r="K1697" t="s">
        <v>35499</v>
      </c>
      <c r="L1697" t="s">
        <v>35500</v>
      </c>
      <c r="M1697">
        <f>-318.420349762001 -5.51144387231966 -336.427780509521</f>
        <v>-660.35957414384166</v>
      </c>
      <c r="N1697" t="s">
        <v>35501</v>
      </c>
      <c r="O1697">
        <f>-743.937377669908 -69.4934263730142 -717.755660994535</f>
        <v>-1531.1864650374573</v>
      </c>
      <c r="P1697">
        <f>-675.944328445074 -71.9736180861651 -408.632773931809</f>
        <v>-1156.550720463048</v>
      </c>
      <c r="Q1697">
        <f>-423.367436586007 -19.5954925189205 -375.414106839212</f>
        <v>-818.37703594413949</v>
      </c>
      <c r="R1697" t="s">
        <v>35502</v>
      </c>
      <c r="S1697" t="s">
        <v>35503</v>
      </c>
      <c r="T1697" t="s">
        <v>35504</v>
      </c>
      <c r="U1697" t="s">
        <v>35505</v>
      </c>
      <c r="V1697" t="s">
        <v>35506</v>
      </c>
      <c r="W1697" t="s">
        <v>35507</v>
      </c>
      <c r="X1697" t="s">
        <v>35508</v>
      </c>
      <c r="Y1697" t="s">
        <v>35509</v>
      </c>
    </row>
    <row r="1698" spans="1:25" x14ac:dyDescent="0.3">
      <c r="A1698">
        <v>84850</v>
      </c>
      <c r="B1698" t="s">
        <v>35510</v>
      </c>
      <c r="C1698" t="s">
        <v>35511</v>
      </c>
      <c r="D1698" t="s">
        <v>35512</v>
      </c>
      <c r="E1698" t="s">
        <v>35513</v>
      </c>
      <c r="F1698" t="s">
        <v>35514</v>
      </c>
      <c r="G1698" t="s">
        <v>35515</v>
      </c>
      <c r="H1698" t="s">
        <v>35516</v>
      </c>
      <c r="I1698" t="s">
        <v>35517</v>
      </c>
      <c r="J1698" t="s">
        <v>35518</v>
      </c>
      <c r="K1698" t="s">
        <v>35519</v>
      </c>
      <c r="L1698" t="s">
        <v>35520</v>
      </c>
      <c r="M1698" t="s">
        <v>35521</v>
      </c>
      <c r="N1698" t="s">
        <v>35522</v>
      </c>
      <c r="O1698">
        <f>-742.202821667368 -70.4505702436441 -718.066957026615</f>
        <v>-1530.720348937627</v>
      </c>
      <c r="P1698">
        <f>-673.238375038691 -73.774053735832 -409.16733361523</f>
        <v>-1156.179762389753</v>
      </c>
      <c r="Q1698">
        <f>-420.567454033664 -21.6063393178852 -376.334862894498</f>
        <v>-818.50865624604717</v>
      </c>
      <c r="R1698" t="s">
        <v>35523</v>
      </c>
      <c r="S1698" t="s">
        <v>35524</v>
      </c>
      <c r="T1698" t="s">
        <v>35525</v>
      </c>
      <c r="U1698" t="s">
        <v>35526</v>
      </c>
      <c r="V1698" t="s">
        <v>35527</v>
      </c>
      <c r="W1698" t="s">
        <v>35528</v>
      </c>
      <c r="X1698" t="s">
        <v>35529</v>
      </c>
      <c r="Y1698" t="s">
        <v>35530</v>
      </c>
    </row>
    <row r="1699" spans="1:25" x14ac:dyDescent="0.3">
      <c r="A1699">
        <v>84900</v>
      </c>
      <c r="B1699" t="s">
        <v>35531</v>
      </c>
      <c r="C1699" t="s">
        <v>35532</v>
      </c>
      <c r="D1699" t="s">
        <v>35533</v>
      </c>
      <c r="E1699" t="s">
        <v>35534</v>
      </c>
      <c r="F1699" t="s">
        <v>35535</v>
      </c>
      <c r="G1699" t="s">
        <v>35536</v>
      </c>
      <c r="H1699" t="s">
        <v>35537</v>
      </c>
      <c r="I1699" t="s">
        <v>35538</v>
      </c>
      <c r="J1699" t="s">
        <v>35539</v>
      </c>
      <c r="K1699" t="s">
        <v>35540</v>
      </c>
      <c r="L1699" t="s">
        <v>35541</v>
      </c>
      <c r="M1699" t="s">
        <v>35542</v>
      </c>
      <c r="N1699" t="s">
        <v>35543</v>
      </c>
      <c r="O1699">
        <f>-741.304779400577 -70.9269731513621 -718.250551737482</f>
        <v>-1530.4823042894211</v>
      </c>
      <c r="P1699">
        <f>-672.090597334089 -74.8111695443069 -409.413288280956</f>
        <v>-1156.3150551593519</v>
      </c>
      <c r="Q1699">
        <f>-419.489357183929 -22.3060196458607 -376.58185521775</f>
        <v>-818.37723204753968</v>
      </c>
      <c r="R1699" t="s">
        <v>35544</v>
      </c>
      <c r="S1699" t="s">
        <v>35545</v>
      </c>
      <c r="T1699" t="s">
        <v>35546</v>
      </c>
      <c r="U1699" t="s">
        <v>35547</v>
      </c>
      <c r="V1699" t="s">
        <v>35548</v>
      </c>
      <c r="W1699" t="s">
        <v>35549</v>
      </c>
      <c r="X1699" t="s">
        <v>35550</v>
      </c>
      <c r="Y1699" t="s">
        <v>35551</v>
      </c>
    </row>
    <row r="1700" spans="1:25" x14ac:dyDescent="0.3">
      <c r="A1700">
        <v>84950</v>
      </c>
      <c r="B1700" t="s">
        <v>35552</v>
      </c>
      <c r="C1700" t="s">
        <v>35553</v>
      </c>
      <c r="D1700" t="s">
        <v>35554</v>
      </c>
      <c r="E1700" t="s">
        <v>35555</v>
      </c>
      <c r="F1700" t="s">
        <v>35556</v>
      </c>
      <c r="G1700" t="s">
        <v>35557</v>
      </c>
      <c r="H1700" t="s">
        <v>35558</v>
      </c>
      <c r="I1700" t="s">
        <v>35559</v>
      </c>
      <c r="J1700" t="s">
        <v>35560</v>
      </c>
      <c r="K1700" t="s">
        <v>35561</v>
      </c>
      <c r="L1700" t="s">
        <v>35562</v>
      </c>
      <c r="M1700" t="s">
        <v>35563</v>
      </c>
      <c r="N1700" t="s">
        <v>35564</v>
      </c>
      <c r="O1700">
        <f>-739.554420847108 -72.1297368079629 -718.439354278752</f>
        <v>-1530.123511933823</v>
      </c>
      <c r="P1700">
        <f>-670.187092954063 -76.2832516040494 -409.639965431485</f>
        <v>-1156.1103099895975</v>
      </c>
      <c r="Q1700">
        <f>-417.571230306947 -23.4319790096347 -377.483624611703</f>
        <v>-818.48683392828468</v>
      </c>
      <c r="R1700" t="s">
        <v>35565</v>
      </c>
      <c r="S1700" t="s">
        <v>35566</v>
      </c>
      <c r="T1700" t="s">
        <v>35567</v>
      </c>
      <c r="U1700" t="s">
        <v>35568</v>
      </c>
      <c r="V1700" t="s">
        <v>35569</v>
      </c>
      <c r="W1700" t="s">
        <v>35570</v>
      </c>
      <c r="X1700" t="s">
        <v>35571</v>
      </c>
      <c r="Y1700" t="s">
        <v>35572</v>
      </c>
    </row>
    <row r="1701" spans="1:25" x14ac:dyDescent="0.3">
      <c r="A1701">
        <v>85000</v>
      </c>
      <c r="B1701" t="s">
        <v>35573</v>
      </c>
      <c r="C1701" t="s">
        <v>35574</v>
      </c>
      <c r="D1701" t="s">
        <v>35575</v>
      </c>
      <c r="E1701" t="s">
        <v>35576</v>
      </c>
      <c r="F1701" t="s">
        <v>35577</v>
      </c>
      <c r="G1701" t="s">
        <v>35578</v>
      </c>
      <c r="H1701" t="s">
        <v>35579</v>
      </c>
      <c r="I1701" t="s">
        <v>35580</v>
      </c>
      <c r="J1701" t="s">
        <v>35581</v>
      </c>
      <c r="K1701" t="s">
        <v>35582</v>
      </c>
      <c r="L1701" t="s">
        <v>35583</v>
      </c>
      <c r="M1701" t="s">
        <v>35584</v>
      </c>
      <c r="N1701" t="s">
        <v>35585</v>
      </c>
      <c r="O1701">
        <f>-738.852031227699 -72.8165435905212 -718.425138435658</f>
        <v>-1530.0937132538781</v>
      </c>
      <c r="P1701">
        <f>-669.388371823477 -77.0293044001505 -409.64807357781</f>
        <v>-1156.0657498014375</v>
      </c>
      <c r="Q1701">
        <f>-416.703689340833 -24.3600150231973 -377.734668105515</f>
        <v>-818.79837246954537</v>
      </c>
      <c r="R1701" t="s">
        <v>35586</v>
      </c>
      <c r="S1701" t="s">
        <v>35587</v>
      </c>
      <c r="T1701" t="s">
        <v>35588</v>
      </c>
      <c r="U1701" t="s">
        <v>35589</v>
      </c>
      <c r="V1701" t="s">
        <v>35590</v>
      </c>
      <c r="W1701" t="s">
        <v>35591</v>
      </c>
      <c r="X1701" t="s">
        <v>35592</v>
      </c>
      <c r="Y1701" t="s">
        <v>35593</v>
      </c>
    </row>
    <row r="1702" spans="1:25" x14ac:dyDescent="0.3">
      <c r="A1702">
        <v>85050</v>
      </c>
      <c r="B1702" t="s">
        <v>35594</v>
      </c>
      <c r="C1702" t="s">
        <v>35595</v>
      </c>
      <c r="D1702" t="s">
        <v>35596</v>
      </c>
      <c r="E1702" t="s">
        <v>35597</v>
      </c>
      <c r="F1702" t="s">
        <v>35598</v>
      </c>
      <c r="G1702" t="s">
        <v>35599</v>
      </c>
      <c r="H1702" t="s">
        <v>35600</v>
      </c>
      <c r="I1702" t="s">
        <v>35601</v>
      </c>
      <c r="J1702" t="s">
        <v>35602</v>
      </c>
      <c r="K1702" t="s">
        <v>35603</v>
      </c>
      <c r="L1702" t="s">
        <v>35604</v>
      </c>
      <c r="M1702" t="s">
        <v>35605</v>
      </c>
      <c r="N1702" t="s">
        <v>35606</v>
      </c>
      <c r="O1702">
        <f>-737.846970107706 -74.3387209364537 -718.352232983039</f>
        <v>-1530.5379240271986</v>
      </c>
      <c r="P1702">
        <f>-667.778502243613 -78.1956072533167 -409.707254943381</f>
        <v>-1155.6813644403107</v>
      </c>
      <c r="Q1702">
        <f>-414.967448973513 -25.6374675954146 -378.621985128838</f>
        <v>-819.22690169776558</v>
      </c>
      <c r="R1702" t="s">
        <v>35607</v>
      </c>
      <c r="S1702" t="s">
        <v>35608</v>
      </c>
      <c r="T1702" t="s">
        <v>35609</v>
      </c>
      <c r="U1702" t="s">
        <v>35610</v>
      </c>
      <c r="V1702" t="s">
        <v>35611</v>
      </c>
      <c r="W1702" t="s">
        <v>35612</v>
      </c>
      <c r="X1702" t="s">
        <v>35613</v>
      </c>
      <c r="Y1702" t="s">
        <v>35614</v>
      </c>
    </row>
    <row r="1703" spans="1:25" x14ac:dyDescent="0.3">
      <c r="A1703">
        <v>85100</v>
      </c>
      <c r="B1703" t="s">
        <v>35615</v>
      </c>
      <c r="C1703" t="s">
        <v>35616</v>
      </c>
      <c r="D1703" t="s">
        <v>35617</v>
      </c>
      <c r="E1703" t="s">
        <v>35618</v>
      </c>
      <c r="F1703" t="s">
        <v>35619</v>
      </c>
      <c r="G1703" t="s">
        <v>35620</v>
      </c>
      <c r="H1703" t="s">
        <v>35621</v>
      </c>
      <c r="I1703" t="s">
        <v>35622</v>
      </c>
      <c r="J1703" t="s">
        <v>35623</v>
      </c>
      <c r="K1703" t="s">
        <v>35624</v>
      </c>
      <c r="L1703" t="s">
        <v>35625</v>
      </c>
      <c r="M1703" t="s">
        <v>35626</v>
      </c>
      <c r="N1703" t="s">
        <v>35627</v>
      </c>
      <c r="O1703">
        <f>-737.292038668051 -74.8931919832369 -718.358087801521</f>
        <v>-1530.5433184528088</v>
      </c>
      <c r="P1703">
        <f>-667.117569130138 -78.2532488215893 -409.731386049906</f>
        <v>-1155.1022040016333</v>
      </c>
      <c r="Q1703">
        <f>-414.225461540499 -25.8644168477147 -379.023210349343</f>
        <v>-819.11308873755672</v>
      </c>
      <c r="R1703" t="s">
        <v>35628</v>
      </c>
      <c r="S1703" t="s">
        <v>35629</v>
      </c>
      <c r="T1703" t="s">
        <v>35630</v>
      </c>
      <c r="U1703" t="s">
        <v>35631</v>
      </c>
      <c r="V1703" t="s">
        <v>35632</v>
      </c>
      <c r="W1703" t="s">
        <v>35633</v>
      </c>
      <c r="X1703" t="s">
        <v>35634</v>
      </c>
      <c r="Y1703" t="s">
        <v>35635</v>
      </c>
    </row>
    <row r="1704" spans="1:25" x14ac:dyDescent="0.3">
      <c r="A1704">
        <v>85150</v>
      </c>
      <c r="B1704" t="s">
        <v>35636</v>
      </c>
      <c r="C1704" t="s">
        <v>35637</v>
      </c>
      <c r="D1704" t="s">
        <v>35638</v>
      </c>
      <c r="E1704" t="s">
        <v>35639</v>
      </c>
      <c r="F1704" t="s">
        <v>35640</v>
      </c>
      <c r="G1704" t="s">
        <v>35641</v>
      </c>
      <c r="H1704" t="s">
        <v>35642</v>
      </c>
      <c r="I1704" t="s">
        <v>35643</v>
      </c>
      <c r="J1704" t="s">
        <v>35644</v>
      </c>
      <c r="K1704" t="s">
        <v>35645</v>
      </c>
      <c r="L1704" t="s">
        <v>35646</v>
      </c>
      <c r="M1704" t="s">
        <v>35647</v>
      </c>
      <c r="N1704" t="s">
        <v>35648</v>
      </c>
      <c r="O1704">
        <f>-736.684091757893 -75.4337224154701 -718.290260933402</f>
        <v>-1530.4080751067652</v>
      </c>
      <c r="P1704">
        <f>-666.748298542276 -78.5683770401024 -409.607084276026</f>
        <v>-1154.9237598584043</v>
      </c>
      <c r="Q1704">
        <f>-413.80922625551 -26.3693082489222 -378.96238365092</f>
        <v>-819.14091815535221</v>
      </c>
      <c r="R1704" t="s">
        <v>35649</v>
      </c>
      <c r="S1704" t="s">
        <v>35650</v>
      </c>
      <c r="T1704" t="s">
        <v>35651</v>
      </c>
      <c r="U1704" t="s">
        <v>35652</v>
      </c>
      <c r="V1704" t="s">
        <v>35653</v>
      </c>
      <c r="W1704" t="s">
        <v>35654</v>
      </c>
      <c r="X1704" t="s">
        <v>35655</v>
      </c>
      <c r="Y1704" t="s">
        <v>35656</v>
      </c>
    </row>
    <row r="1705" spans="1:25" x14ac:dyDescent="0.3">
      <c r="A1705">
        <v>85200</v>
      </c>
      <c r="B1705" t="s">
        <v>35657</v>
      </c>
      <c r="C1705" t="s">
        <v>35658</v>
      </c>
      <c r="D1705" t="s">
        <v>35659</v>
      </c>
      <c r="E1705" t="s">
        <v>35660</v>
      </c>
      <c r="F1705" t="s">
        <v>35661</v>
      </c>
      <c r="G1705" t="s">
        <v>35662</v>
      </c>
      <c r="H1705" t="s">
        <v>35663</v>
      </c>
      <c r="I1705" t="s">
        <v>35664</v>
      </c>
      <c r="J1705" t="s">
        <v>35665</v>
      </c>
      <c r="K1705" t="s">
        <v>35666</v>
      </c>
      <c r="L1705" t="s">
        <v>35667</v>
      </c>
      <c r="M1705" t="s">
        <v>35668</v>
      </c>
      <c r="N1705" t="s">
        <v>35669</v>
      </c>
      <c r="O1705">
        <f>-736.479948776886 -75.4348851591203 -718.29577745495</f>
        <v>-1530.2106113909563</v>
      </c>
      <c r="P1705">
        <f>-667.049314800636 -78.5092071284773 -409.49794412076</f>
        <v>-1155.0564660498733</v>
      </c>
      <c r="Q1705">
        <f>-414.148993058164 -26.1491699997157 -378.806824403091</f>
        <v>-819.10498746097073</v>
      </c>
      <c r="R1705" t="s">
        <v>35670</v>
      </c>
      <c r="S1705" t="s">
        <v>35671</v>
      </c>
      <c r="T1705" t="s">
        <v>35672</v>
      </c>
      <c r="U1705" t="s">
        <v>35673</v>
      </c>
      <c r="V1705" t="s">
        <v>35674</v>
      </c>
      <c r="W1705" t="s">
        <v>35675</v>
      </c>
      <c r="X1705" t="s">
        <v>35676</v>
      </c>
      <c r="Y1705" t="s">
        <v>35677</v>
      </c>
    </row>
    <row r="1706" spans="1:25" x14ac:dyDescent="0.3">
      <c r="A1706">
        <v>85250</v>
      </c>
      <c r="B1706" t="s">
        <v>35678</v>
      </c>
      <c r="C1706" t="s">
        <v>35679</v>
      </c>
      <c r="D1706" t="s">
        <v>35680</v>
      </c>
      <c r="E1706" t="s">
        <v>35681</v>
      </c>
      <c r="F1706" t="s">
        <v>35682</v>
      </c>
      <c r="G1706" t="s">
        <v>35683</v>
      </c>
      <c r="H1706" t="s">
        <v>35684</v>
      </c>
      <c r="I1706" t="s">
        <v>35685</v>
      </c>
      <c r="J1706" t="s">
        <v>35686</v>
      </c>
      <c r="K1706" t="s">
        <v>35687</v>
      </c>
      <c r="L1706" t="s">
        <v>35688</v>
      </c>
      <c r="M1706" t="s">
        <v>35689</v>
      </c>
      <c r="N1706" t="s">
        <v>35690</v>
      </c>
      <c r="O1706">
        <f>-736.990928670806 -75.5428638415015 -718.097024242182</f>
        <v>-1530.6308167544894</v>
      </c>
      <c r="P1706">
        <f>-668.703994430061 -78.2731765148296 -409.040979180441</f>
        <v>-1156.0181501253317</v>
      </c>
      <c r="Q1706">
        <f>-415.966213217008 -25.1126079005905 -378.388769771019</f>
        <v>-819.46759088861745</v>
      </c>
      <c r="R1706" t="s">
        <v>35691</v>
      </c>
      <c r="S1706" t="s">
        <v>35692</v>
      </c>
      <c r="T1706" t="s">
        <v>35693</v>
      </c>
      <c r="U1706" t="s">
        <v>35694</v>
      </c>
      <c r="V1706" t="s">
        <v>35695</v>
      </c>
      <c r="W1706" t="s">
        <v>35696</v>
      </c>
      <c r="X1706" t="s">
        <v>35697</v>
      </c>
      <c r="Y1706" t="s">
        <v>35698</v>
      </c>
    </row>
    <row r="1707" spans="1:25" x14ac:dyDescent="0.3">
      <c r="A1707">
        <v>85300</v>
      </c>
      <c r="B1707" t="s">
        <v>35699</v>
      </c>
      <c r="C1707" t="s">
        <v>35700</v>
      </c>
      <c r="D1707" t="s">
        <v>35701</v>
      </c>
      <c r="E1707" t="s">
        <v>35702</v>
      </c>
      <c r="F1707" t="s">
        <v>35703</v>
      </c>
      <c r="G1707" t="s">
        <v>35704</v>
      </c>
      <c r="H1707" t="s">
        <v>35705</v>
      </c>
      <c r="I1707" t="s">
        <v>35706</v>
      </c>
      <c r="J1707" t="s">
        <v>35707</v>
      </c>
      <c r="K1707" t="s">
        <v>35708</v>
      </c>
      <c r="L1707" t="s">
        <v>35709</v>
      </c>
      <c r="M1707" t="s">
        <v>35710</v>
      </c>
      <c r="N1707" t="s">
        <v>35711</v>
      </c>
      <c r="O1707">
        <f>-737.473486011847 -75.3856598865418 -718.032684101205</f>
        <v>-1530.8918299995937</v>
      </c>
      <c r="P1707">
        <f>-669.558827565499 -78.1041043191949 -408.894521632135</f>
        <v>-1156.5574535168289</v>
      </c>
      <c r="Q1707">
        <f>-416.907348819072 -24.5010158888301 -378.300438123069</f>
        <v>-819.70880283097108</v>
      </c>
      <c r="R1707" t="s">
        <v>35712</v>
      </c>
      <c r="S1707" t="s">
        <v>35713</v>
      </c>
      <c r="T1707" t="s">
        <v>35714</v>
      </c>
      <c r="U1707" t="s">
        <v>35715</v>
      </c>
      <c r="V1707" t="s">
        <v>35716</v>
      </c>
      <c r="W1707" t="s">
        <v>35717</v>
      </c>
      <c r="X1707" t="s">
        <v>35718</v>
      </c>
      <c r="Y1707" t="s">
        <v>35719</v>
      </c>
    </row>
    <row r="1708" spans="1:25" x14ac:dyDescent="0.3">
      <c r="A1708">
        <v>85350</v>
      </c>
      <c r="B1708" t="s">
        <v>35720</v>
      </c>
      <c r="C1708" t="s">
        <v>35721</v>
      </c>
      <c r="D1708" t="s">
        <v>35722</v>
      </c>
      <c r="E1708" t="s">
        <v>35723</v>
      </c>
      <c r="F1708" t="s">
        <v>35724</v>
      </c>
      <c r="G1708" t="s">
        <v>35725</v>
      </c>
      <c r="H1708" t="s">
        <v>35726</v>
      </c>
      <c r="I1708" t="s">
        <v>35727</v>
      </c>
      <c r="J1708" t="s">
        <v>35728</v>
      </c>
      <c r="K1708" t="s">
        <v>35729</v>
      </c>
      <c r="L1708" t="s">
        <v>35730</v>
      </c>
      <c r="M1708" t="s">
        <v>35731</v>
      </c>
      <c r="N1708" t="s">
        <v>35732</v>
      </c>
      <c r="O1708">
        <f>-738.202799823149 -75.5307471179772 -717.961627850864</f>
        <v>-1531.6951747919902</v>
      </c>
      <c r="P1708">
        <f>-670.798660104648 -78.0992813012469 -408.710319493225</f>
        <v>-1157.6082608991198</v>
      </c>
      <c r="Q1708">
        <f>-418.301484047818 -23.7458523835817 -378.167037891643</f>
        <v>-820.21437432304265</v>
      </c>
      <c r="R1708" t="s">
        <v>35733</v>
      </c>
      <c r="S1708" t="s">
        <v>35734</v>
      </c>
      <c r="T1708" t="s">
        <v>35735</v>
      </c>
      <c r="U1708" t="s">
        <v>35736</v>
      </c>
      <c r="V1708" t="s">
        <v>35737</v>
      </c>
      <c r="W1708" t="s">
        <v>35738</v>
      </c>
      <c r="X1708" t="s">
        <v>35739</v>
      </c>
      <c r="Y1708" t="s">
        <v>35740</v>
      </c>
    </row>
    <row r="1709" spans="1:25" x14ac:dyDescent="0.3">
      <c r="A1709">
        <v>85400</v>
      </c>
      <c r="B1709" t="s">
        <v>35741</v>
      </c>
      <c r="C1709" t="s">
        <v>35742</v>
      </c>
      <c r="D1709" t="s">
        <v>35743</v>
      </c>
      <c r="E1709" t="s">
        <v>35744</v>
      </c>
      <c r="F1709" t="s">
        <v>35745</v>
      </c>
      <c r="G1709" t="s">
        <v>35746</v>
      </c>
      <c r="H1709" t="s">
        <v>35747</v>
      </c>
      <c r="I1709" t="s">
        <v>35748</v>
      </c>
      <c r="J1709" t="s">
        <v>35749</v>
      </c>
      <c r="K1709" t="s">
        <v>35750</v>
      </c>
      <c r="L1709" t="s">
        <v>35751</v>
      </c>
      <c r="M1709" t="s">
        <v>35752</v>
      </c>
      <c r="N1709" t="s">
        <v>35753</v>
      </c>
      <c r="O1709">
        <f>-738.383294155321 -75.6563708719707 -718.048777294103</f>
        <v>-1532.0884423213947</v>
      </c>
      <c r="P1709">
        <f>-671.235952218519 -78.2415407730334 -408.741905192815</f>
        <v>-1158.2193981843675</v>
      </c>
      <c r="Q1709">
        <f>-418.839344961091 -23.4386009604193 -378.170528303484</f>
        <v>-820.44847422499424</v>
      </c>
      <c r="R1709" t="s">
        <v>35754</v>
      </c>
      <c r="S1709" t="s">
        <v>35755</v>
      </c>
      <c r="T1709" t="s">
        <v>35756</v>
      </c>
      <c r="U1709" t="s">
        <v>35757</v>
      </c>
      <c r="V1709" t="s">
        <v>35758</v>
      </c>
      <c r="W1709" t="s">
        <v>35759</v>
      </c>
      <c r="X1709" t="s">
        <v>35760</v>
      </c>
      <c r="Y1709" t="s">
        <v>35761</v>
      </c>
    </row>
    <row r="1710" spans="1:25" x14ac:dyDescent="0.3">
      <c r="A1710">
        <v>85450</v>
      </c>
      <c r="B1710" t="s">
        <v>35762</v>
      </c>
      <c r="C1710" t="s">
        <v>35763</v>
      </c>
      <c r="D1710" t="s">
        <v>35764</v>
      </c>
      <c r="E1710" t="s">
        <v>35765</v>
      </c>
      <c r="F1710" t="s">
        <v>35766</v>
      </c>
      <c r="G1710" t="s">
        <v>35767</v>
      </c>
      <c r="H1710" t="s">
        <v>35768</v>
      </c>
      <c r="I1710" t="s">
        <v>35769</v>
      </c>
      <c r="J1710" t="s">
        <v>35770</v>
      </c>
      <c r="K1710" t="s">
        <v>35771</v>
      </c>
      <c r="L1710" t="s">
        <v>35772</v>
      </c>
      <c r="M1710" t="s">
        <v>35773</v>
      </c>
      <c r="N1710" t="s">
        <v>35774</v>
      </c>
      <c r="O1710">
        <f>-739.235760728041 -76.2110857397436 -718.132638771863</f>
        <v>-1533.5794852396475</v>
      </c>
      <c r="P1710">
        <f>-672.98698037375 -79.1031615126551 -408.634883090554</f>
        <v>-1160.725024976959</v>
      </c>
      <c r="Q1710">
        <f>-420.836735515749 -23.3281564376689 -377.789302961538</f>
        <v>-821.95419491495591</v>
      </c>
      <c r="R1710" t="s">
        <v>35775</v>
      </c>
      <c r="S1710" t="s">
        <v>35776</v>
      </c>
      <c r="T1710" t="s">
        <v>35777</v>
      </c>
      <c r="U1710" t="s">
        <v>35778</v>
      </c>
      <c r="V1710" t="s">
        <v>35779</v>
      </c>
      <c r="W1710" t="s">
        <v>35780</v>
      </c>
      <c r="X1710" t="s">
        <v>35781</v>
      </c>
      <c r="Y1710" t="s">
        <v>35782</v>
      </c>
    </row>
    <row r="1711" spans="1:25" x14ac:dyDescent="0.3">
      <c r="A1711">
        <v>85500</v>
      </c>
      <c r="B1711" t="s">
        <v>35783</v>
      </c>
      <c r="C1711" t="s">
        <v>35784</v>
      </c>
      <c r="D1711" t="s">
        <v>35785</v>
      </c>
      <c r="E1711" t="s">
        <v>35786</v>
      </c>
      <c r="F1711" t="s">
        <v>35787</v>
      </c>
      <c r="G1711" t="s">
        <v>35788</v>
      </c>
      <c r="H1711" t="s">
        <v>35789</v>
      </c>
      <c r="I1711" t="s">
        <v>35790</v>
      </c>
      <c r="J1711" t="s">
        <v>35791</v>
      </c>
      <c r="K1711" t="s">
        <v>35792</v>
      </c>
      <c r="L1711" t="s">
        <v>35793</v>
      </c>
      <c r="M1711" t="s">
        <v>35794</v>
      </c>
      <c r="N1711" t="s">
        <v>35795</v>
      </c>
      <c r="O1711">
        <f>-740.167240098727 -76.5426422382548 -718.21674351155</f>
        <v>-1534.9266258485318</v>
      </c>
      <c r="P1711">
        <f>-674.137422563042 -79.3341933868896 -408.671027348853</f>
        <v>-1162.1426432987846</v>
      </c>
      <c r="Q1711">
        <f>-422.092726957194 -23.1862082064972 -377.639406458508</f>
        <v>-822.91834162219925</v>
      </c>
      <c r="R1711" t="s">
        <v>35796</v>
      </c>
      <c r="S1711" t="s">
        <v>35797</v>
      </c>
      <c r="T1711" t="s">
        <v>35798</v>
      </c>
      <c r="U1711" t="s">
        <v>35799</v>
      </c>
      <c r="V1711" t="s">
        <v>35800</v>
      </c>
      <c r="W1711" t="s">
        <v>35801</v>
      </c>
      <c r="X1711" t="s">
        <v>35802</v>
      </c>
      <c r="Y1711" t="s">
        <v>35803</v>
      </c>
    </row>
    <row r="1712" spans="1:25" x14ac:dyDescent="0.3">
      <c r="A1712">
        <v>85550</v>
      </c>
      <c r="B1712" t="s">
        <v>35804</v>
      </c>
      <c r="C1712" t="s">
        <v>35805</v>
      </c>
      <c r="D1712" t="s">
        <v>35806</v>
      </c>
      <c r="E1712" t="s">
        <v>35807</v>
      </c>
      <c r="F1712" t="s">
        <v>35808</v>
      </c>
      <c r="G1712" t="s">
        <v>35809</v>
      </c>
      <c r="H1712" t="s">
        <v>35810</v>
      </c>
      <c r="I1712" t="s">
        <v>35811</v>
      </c>
      <c r="J1712" t="s">
        <v>35812</v>
      </c>
      <c r="K1712" t="s">
        <v>35813</v>
      </c>
      <c r="L1712" t="s">
        <v>35814</v>
      </c>
      <c r="M1712" t="s">
        <v>35815</v>
      </c>
      <c r="N1712" t="s">
        <v>35816</v>
      </c>
      <c r="O1712">
        <f>-742.729234640125 -77.1315636838447 -718.114432555382</f>
        <v>-1537.9752308793518</v>
      </c>
      <c r="P1712">
        <f>-676.262021449208 -80.1377264778459 -408.664532110869</f>
        <v>-1165.0642800379228</v>
      </c>
      <c r="Q1712">
        <f>-424.228295418665 -23.961060524498 -377.595596280362</f>
        <v>-825.78495222352501</v>
      </c>
      <c r="R1712" t="s">
        <v>35817</v>
      </c>
      <c r="S1712" t="s">
        <v>35818</v>
      </c>
      <c r="T1712" t="s">
        <v>35819</v>
      </c>
      <c r="U1712" t="s">
        <v>35820</v>
      </c>
      <c r="V1712" t="s">
        <v>35821</v>
      </c>
      <c r="W1712" t="s">
        <v>35822</v>
      </c>
      <c r="X1712" t="s">
        <v>35823</v>
      </c>
      <c r="Y1712" t="s">
        <v>35824</v>
      </c>
    </row>
    <row r="1713" spans="1:25" x14ac:dyDescent="0.3">
      <c r="A1713">
        <v>85600</v>
      </c>
      <c r="B1713" t="s">
        <v>35825</v>
      </c>
      <c r="C1713" t="s">
        <v>35826</v>
      </c>
      <c r="D1713" t="s">
        <v>35827</v>
      </c>
      <c r="E1713" t="s">
        <v>35828</v>
      </c>
      <c r="F1713" t="s">
        <v>35829</v>
      </c>
      <c r="G1713" t="s">
        <v>35830</v>
      </c>
      <c r="H1713" t="s">
        <v>35831</v>
      </c>
      <c r="I1713" t="s">
        <v>35832</v>
      </c>
      <c r="J1713" t="s">
        <v>35833</v>
      </c>
      <c r="K1713" t="s">
        <v>35834</v>
      </c>
      <c r="L1713" t="s">
        <v>35835</v>
      </c>
      <c r="M1713" t="s">
        <v>35836</v>
      </c>
      <c r="N1713" t="s">
        <v>35837</v>
      </c>
      <c r="O1713">
        <f>-744.116040620485 -77.3858591127819 -717.992200023728</f>
        <v>-1539.4940997569947</v>
      </c>
      <c r="P1713">
        <f>-677.262401057887 -80.078559010178 -408.622590276223</f>
        <v>-1165.963550344288</v>
      </c>
      <c r="Q1713">
        <f>-425.180820376836 -24.0173497158769 -377.734802343196</f>
        <v>-826.93297243590882</v>
      </c>
      <c r="R1713" t="s">
        <v>35838</v>
      </c>
      <c r="S1713" t="s">
        <v>35839</v>
      </c>
      <c r="T1713" t="s">
        <v>35840</v>
      </c>
      <c r="U1713" t="s">
        <v>35841</v>
      </c>
      <c r="V1713" t="s">
        <v>35842</v>
      </c>
      <c r="W1713" t="s">
        <v>35843</v>
      </c>
      <c r="X1713" t="s">
        <v>35844</v>
      </c>
      <c r="Y1713" t="s">
        <v>35845</v>
      </c>
    </row>
    <row r="1714" spans="1:25" x14ac:dyDescent="0.3">
      <c r="A1714">
        <v>85650</v>
      </c>
      <c r="B1714" t="s">
        <v>35846</v>
      </c>
      <c r="C1714" t="s">
        <v>35847</v>
      </c>
      <c r="D1714" t="s">
        <v>35848</v>
      </c>
      <c r="E1714" t="s">
        <v>35849</v>
      </c>
      <c r="F1714" t="s">
        <v>35850</v>
      </c>
      <c r="G1714" t="s">
        <v>35851</v>
      </c>
      <c r="H1714" t="s">
        <v>35852</v>
      </c>
      <c r="I1714" t="s">
        <v>35853</v>
      </c>
      <c r="J1714" t="s">
        <v>35854</v>
      </c>
      <c r="K1714" t="s">
        <v>35855</v>
      </c>
      <c r="L1714" t="s">
        <v>35856</v>
      </c>
      <c r="M1714" t="s">
        <v>35857</v>
      </c>
      <c r="N1714" t="s">
        <v>35858</v>
      </c>
      <c r="O1714">
        <f>-746.27925535525 -77.0825682220921 -717.783507606051</f>
        <v>-1541.1453311833932</v>
      </c>
      <c r="P1714">
        <f>-679.097575843318 -79.9357801316944 -408.486442311692</f>
        <v>-1167.5197982867044</v>
      </c>
      <c r="Q1714">
        <f>-426.957075576752 -24.1211275336616 -377.632325979083</f>
        <v>-828.71052908949662</v>
      </c>
      <c r="R1714" t="s">
        <v>35859</v>
      </c>
      <c r="S1714" t="s">
        <v>35860</v>
      </c>
      <c r="T1714" t="s">
        <v>35861</v>
      </c>
      <c r="U1714" t="s">
        <v>35862</v>
      </c>
      <c r="V1714" t="s">
        <v>35863</v>
      </c>
      <c r="W1714" t="s">
        <v>35864</v>
      </c>
      <c r="X1714" t="s">
        <v>35865</v>
      </c>
      <c r="Y1714" t="s">
        <v>35866</v>
      </c>
    </row>
    <row r="1715" spans="1:25" x14ac:dyDescent="0.3">
      <c r="A1715">
        <v>85700</v>
      </c>
      <c r="B1715" t="s">
        <v>35867</v>
      </c>
      <c r="C1715" t="s">
        <v>35868</v>
      </c>
      <c r="D1715" t="s">
        <v>35869</v>
      </c>
      <c r="E1715" t="s">
        <v>35870</v>
      </c>
      <c r="F1715" t="s">
        <v>35871</v>
      </c>
      <c r="G1715" t="s">
        <v>35872</v>
      </c>
      <c r="H1715" t="s">
        <v>35873</v>
      </c>
      <c r="I1715" t="s">
        <v>35874</v>
      </c>
      <c r="J1715" t="s">
        <v>35875</v>
      </c>
      <c r="K1715" t="s">
        <v>35876</v>
      </c>
      <c r="L1715" t="s">
        <v>35877</v>
      </c>
      <c r="M1715" t="s">
        <v>35878</v>
      </c>
      <c r="N1715" t="s">
        <v>35879</v>
      </c>
      <c r="O1715">
        <f>-747.559360442469 -76.7522832869424 -717.721671226577</f>
        <v>-1542.0333149559883</v>
      </c>
      <c r="P1715">
        <f>-680.429382009014 -79.5293319576012 -408.412684927501</f>
        <v>-1168.3713988941163</v>
      </c>
      <c r="Q1715">
        <f>-428.2978712646 -23.7061593563044 -377.501159507239</f>
        <v>-829.50519012814334</v>
      </c>
      <c r="R1715" t="s">
        <v>35880</v>
      </c>
      <c r="S1715" t="s">
        <v>35881</v>
      </c>
      <c r="T1715" t="s">
        <v>35882</v>
      </c>
      <c r="U1715" t="s">
        <v>35883</v>
      </c>
      <c r="V1715" t="s">
        <v>35884</v>
      </c>
      <c r="W1715" t="s">
        <v>35885</v>
      </c>
      <c r="X1715" t="s">
        <v>35886</v>
      </c>
      <c r="Y1715" t="s">
        <v>35887</v>
      </c>
    </row>
    <row r="1716" spans="1:25" x14ac:dyDescent="0.3">
      <c r="A1716">
        <v>85750</v>
      </c>
      <c r="B1716" t="s">
        <v>35888</v>
      </c>
      <c r="C1716" t="s">
        <v>35889</v>
      </c>
      <c r="D1716" t="s">
        <v>35890</v>
      </c>
      <c r="E1716" t="s">
        <v>35891</v>
      </c>
      <c r="F1716" t="s">
        <v>35892</v>
      </c>
      <c r="G1716" t="s">
        <v>35893</v>
      </c>
      <c r="H1716" t="s">
        <v>35894</v>
      </c>
      <c r="I1716" t="s">
        <v>35895</v>
      </c>
      <c r="J1716" t="s">
        <v>35896</v>
      </c>
      <c r="K1716" t="s">
        <v>35897</v>
      </c>
      <c r="L1716" t="s">
        <v>35898</v>
      </c>
      <c r="M1716" t="s">
        <v>35899</v>
      </c>
      <c r="N1716" t="s">
        <v>35900</v>
      </c>
      <c r="O1716">
        <f>-750.198323132089 -75.9969625431197 -717.812476395979</f>
        <v>-1544.0077620711877</v>
      </c>
      <c r="P1716">
        <f>-682.924171727735 -79.1431410711959 -408.538370192231</f>
        <v>-1170.605682991162</v>
      </c>
      <c r="Q1716">
        <f>-430.9425307185 -22.8115446622674 -377.327711533285</f>
        <v>-831.08178691405237</v>
      </c>
      <c r="R1716" t="s">
        <v>35901</v>
      </c>
      <c r="S1716" t="s">
        <v>35902</v>
      </c>
      <c r="T1716" t="s">
        <v>35903</v>
      </c>
      <c r="U1716" t="s">
        <v>35904</v>
      </c>
      <c r="V1716" t="s">
        <v>35905</v>
      </c>
      <c r="W1716" t="s">
        <v>35906</v>
      </c>
      <c r="X1716" t="s">
        <v>35907</v>
      </c>
      <c r="Y1716" t="s">
        <v>35908</v>
      </c>
    </row>
    <row r="1717" spans="1:25" x14ac:dyDescent="0.3">
      <c r="A1717">
        <v>85800</v>
      </c>
      <c r="B1717" t="s">
        <v>35909</v>
      </c>
      <c r="C1717" t="s">
        <v>35910</v>
      </c>
      <c r="D1717" t="s">
        <v>35911</v>
      </c>
      <c r="E1717" t="s">
        <v>35912</v>
      </c>
      <c r="F1717" t="s">
        <v>35913</v>
      </c>
      <c r="G1717" t="s">
        <v>35914</v>
      </c>
      <c r="H1717" t="s">
        <v>35915</v>
      </c>
      <c r="I1717" t="s">
        <v>35916</v>
      </c>
      <c r="J1717" t="s">
        <v>35917</v>
      </c>
      <c r="K1717" t="s">
        <v>35918</v>
      </c>
      <c r="L1717" t="s">
        <v>35919</v>
      </c>
      <c r="M1717" t="s">
        <v>35920</v>
      </c>
      <c r="N1717" t="s">
        <v>35921</v>
      </c>
      <c r="O1717">
        <f>-751.547794976641 -75.6657170268816 -718.035854068116</f>
        <v>-1545.2493660716386</v>
      </c>
      <c r="P1717">
        <f>-684.263127522994 -78.7279380670363 -408.763187459425</f>
        <v>-1171.7542530494552</v>
      </c>
      <c r="Q1717">
        <f>-432.327025566409 -22.2891433592688 -377.379446348585</f>
        <v>-831.99561527426283</v>
      </c>
      <c r="R1717" t="s">
        <v>35922</v>
      </c>
      <c r="S1717" t="s">
        <v>35923</v>
      </c>
      <c r="T1717" t="s">
        <v>35924</v>
      </c>
      <c r="U1717" t="s">
        <v>35925</v>
      </c>
      <c r="V1717" t="s">
        <v>35926</v>
      </c>
      <c r="W1717" t="s">
        <v>35927</v>
      </c>
      <c r="X1717" t="s">
        <v>35928</v>
      </c>
      <c r="Y1717" t="s">
        <v>35929</v>
      </c>
    </row>
    <row r="1718" spans="1:25" x14ac:dyDescent="0.3">
      <c r="A1718">
        <v>85850</v>
      </c>
      <c r="B1718" t="s">
        <v>35930</v>
      </c>
      <c r="C1718" t="s">
        <v>35931</v>
      </c>
      <c r="D1718" t="s">
        <v>35932</v>
      </c>
      <c r="E1718" t="s">
        <v>35933</v>
      </c>
      <c r="F1718" t="s">
        <v>35934</v>
      </c>
      <c r="G1718" t="s">
        <v>35935</v>
      </c>
      <c r="H1718" t="s">
        <v>35936</v>
      </c>
      <c r="I1718" t="s">
        <v>35937</v>
      </c>
      <c r="J1718" t="s">
        <v>35938</v>
      </c>
      <c r="K1718" t="s">
        <v>35939</v>
      </c>
      <c r="L1718" t="s">
        <v>35940</v>
      </c>
      <c r="M1718" t="s">
        <v>35941</v>
      </c>
      <c r="N1718" t="s">
        <v>35942</v>
      </c>
      <c r="O1718">
        <f>-754.167843043769 -75.0215684109476 -718.782918288772</f>
        <v>-1547.9723297434884</v>
      </c>
      <c r="P1718">
        <f>-687.092910723485 -77.8747641394473 -409.462574392536</f>
        <v>-1174.4302492554684</v>
      </c>
      <c r="Q1718">
        <f>-435.253071971686 -21.1807927596331 -377.768548721878</f>
        <v>-834.2024134531971</v>
      </c>
      <c r="R1718" t="s">
        <v>35943</v>
      </c>
      <c r="S1718" t="s">
        <v>35944</v>
      </c>
      <c r="T1718" t="s">
        <v>35945</v>
      </c>
      <c r="U1718" t="s">
        <v>35946</v>
      </c>
      <c r="V1718" t="s">
        <v>35947</v>
      </c>
      <c r="W1718" t="s">
        <v>35948</v>
      </c>
      <c r="X1718" t="s">
        <v>35949</v>
      </c>
      <c r="Y1718" t="s">
        <v>35950</v>
      </c>
    </row>
    <row r="1719" spans="1:25" x14ac:dyDescent="0.3">
      <c r="A1719">
        <v>85900</v>
      </c>
      <c r="B1719" t="s">
        <v>35951</v>
      </c>
      <c r="C1719" t="s">
        <v>35952</v>
      </c>
      <c r="D1719" t="s">
        <v>35953</v>
      </c>
      <c r="E1719" t="s">
        <v>35954</v>
      </c>
      <c r="F1719" t="s">
        <v>35955</v>
      </c>
      <c r="G1719" t="s">
        <v>35956</v>
      </c>
      <c r="H1719" t="s">
        <v>35957</v>
      </c>
      <c r="I1719" t="s">
        <v>35958</v>
      </c>
      <c r="J1719" t="s">
        <v>35959</v>
      </c>
      <c r="K1719" t="s">
        <v>35960</v>
      </c>
      <c r="L1719" t="s">
        <v>35961</v>
      </c>
      <c r="M1719" t="s">
        <v>35962</v>
      </c>
      <c r="N1719" t="s">
        <v>35963</v>
      </c>
      <c r="O1719">
        <f>-755.501602226342 -74.5031306018359 -719.136406102699</f>
        <v>-1549.1411389308769</v>
      </c>
      <c r="P1719">
        <f>-688.438791685585 -77.3656471568381 -409.813578382119</f>
        <v>-1175.6180172245422</v>
      </c>
      <c r="Q1719">
        <f>-436.648948950846 -20.4916679350438 -378.044737260479</f>
        <v>-835.18535414636881</v>
      </c>
      <c r="R1719" t="s">
        <v>35964</v>
      </c>
      <c r="S1719" t="s">
        <v>35965</v>
      </c>
      <c r="T1719" t="s">
        <v>35966</v>
      </c>
      <c r="U1719" t="s">
        <v>35967</v>
      </c>
      <c r="V1719" t="s">
        <v>35968</v>
      </c>
      <c r="W1719" t="s">
        <v>35969</v>
      </c>
      <c r="X1719" t="s">
        <v>35970</v>
      </c>
      <c r="Y1719" t="s">
        <v>35971</v>
      </c>
    </row>
    <row r="1720" spans="1:25" x14ac:dyDescent="0.3">
      <c r="A1720">
        <v>85950</v>
      </c>
      <c r="B1720" t="s">
        <v>35972</v>
      </c>
      <c r="C1720" t="s">
        <v>35973</v>
      </c>
      <c r="D1720" t="s">
        <v>35974</v>
      </c>
      <c r="E1720" t="s">
        <v>35975</v>
      </c>
      <c r="F1720" t="s">
        <v>35976</v>
      </c>
      <c r="G1720" t="s">
        <v>35977</v>
      </c>
      <c r="H1720" t="s">
        <v>35978</v>
      </c>
      <c r="I1720" t="s">
        <v>35979</v>
      </c>
      <c r="J1720" t="s">
        <v>35980</v>
      </c>
      <c r="K1720" t="s">
        <v>35981</v>
      </c>
      <c r="L1720" t="s">
        <v>35982</v>
      </c>
      <c r="M1720" t="s">
        <v>35983</v>
      </c>
      <c r="N1720" t="s">
        <v>35984</v>
      </c>
      <c r="O1720">
        <f>-758.162329202946 -73.6045342321304 -719.548963454071</f>
        <v>-1551.3158268891475</v>
      </c>
      <c r="P1720">
        <f>-691.067919072682 -76.5969016619854 -410.23421099134</f>
        <v>-1177.8990317260073</v>
      </c>
      <c r="Q1720">
        <f>-439.241967752587 -20.0184622979393 -378.22397371997</f>
        <v>-837.48440377049633</v>
      </c>
      <c r="R1720" t="s">
        <v>35985</v>
      </c>
      <c r="S1720" t="s">
        <v>35986</v>
      </c>
      <c r="T1720" t="s">
        <v>35987</v>
      </c>
      <c r="U1720" t="s">
        <v>35988</v>
      </c>
      <c r="V1720" t="s">
        <v>35989</v>
      </c>
      <c r="W1720" t="s">
        <v>35990</v>
      </c>
      <c r="X1720" t="s">
        <v>35991</v>
      </c>
      <c r="Y1720" t="s">
        <v>35992</v>
      </c>
    </row>
    <row r="1721" spans="1:25" x14ac:dyDescent="0.3">
      <c r="A1721">
        <v>86000</v>
      </c>
      <c r="B1721" t="s">
        <v>35993</v>
      </c>
      <c r="C1721" t="s">
        <v>35994</v>
      </c>
      <c r="D1721" t="s">
        <v>35995</v>
      </c>
      <c r="E1721" t="s">
        <v>35996</v>
      </c>
      <c r="F1721" t="s">
        <v>35997</v>
      </c>
      <c r="G1721" t="s">
        <v>35998</v>
      </c>
      <c r="H1721" t="s">
        <v>35999</v>
      </c>
      <c r="I1721" t="s">
        <v>36000</v>
      </c>
      <c r="J1721" t="s">
        <v>36001</v>
      </c>
      <c r="K1721" t="s">
        <v>36002</v>
      </c>
      <c r="L1721" t="s">
        <v>36003</v>
      </c>
      <c r="M1721" t="s">
        <v>36004</v>
      </c>
      <c r="N1721" t="s">
        <v>36005</v>
      </c>
      <c r="O1721">
        <f>-759.653410406213 -73.0490247553303 -719.530826846392</f>
        <v>-1552.2332620079351</v>
      </c>
      <c r="P1721">
        <f>-692.442057868237 -76.1806812283676 -410.243029237581</f>
        <v>-1178.8657683341858</v>
      </c>
      <c r="Q1721">
        <f>-440.592707324624 -19.7148077182624 -378.218521315195</f>
        <v>-838.52603635808146</v>
      </c>
      <c r="R1721" t="s">
        <v>36006</v>
      </c>
      <c r="S1721" t="s">
        <v>36007</v>
      </c>
      <c r="T1721" t="s">
        <v>36008</v>
      </c>
      <c r="U1721" t="s">
        <v>36009</v>
      </c>
      <c r="V1721" t="s">
        <v>36010</v>
      </c>
      <c r="W1721" t="s">
        <v>36011</v>
      </c>
      <c r="X1721" t="s">
        <v>36012</v>
      </c>
      <c r="Y1721" t="s">
        <v>36013</v>
      </c>
    </row>
    <row r="1722" spans="1:25" x14ac:dyDescent="0.3">
      <c r="A1722">
        <v>86050</v>
      </c>
      <c r="B1722" t="s">
        <v>36014</v>
      </c>
      <c r="C1722" t="s">
        <v>36015</v>
      </c>
      <c r="D1722" t="s">
        <v>36016</v>
      </c>
      <c r="E1722" t="s">
        <v>36017</v>
      </c>
      <c r="F1722" t="s">
        <v>36018</v>
      </c>
      <c r="G1722" t="s">
        <v>36019</v>
      </c>
      <c r="H1722" t="s">
        <v>36020</v>
      </c>
      <c r="I1722" t="s">
        <v>36021</v>
      </c>
      <c r="J1722" t="s">
        <v>36022</v>
      </c>
      <c r="K1722" t="s">
        <v>36023</v>
      </c>
      <c r="L1722" t="s">
        <v>36024</v>
      </c>
      <c r="M1722" t="s">
        <v>36025</v>
      </c>
      <c r="N1722" t="s">
        <v>36026</v>
      </c>
      <c r="O1722">
        <f>-762.234232566839 -72.0295567673325 -719.413118268684</f>
        <v>-1553.6769076028554</v>
      </c>
      <c r="P1722">
        <f>-694.473496681878 -75.7066487596412 -410.251061908325</f>
        <v>-1180.4312073498443</v>
      </c>
      <c r="Q1722">
        <f>-442.496511790273 -19.7825512286008 -378.27973374712</f>
        <v>-840.55879676599386</v>
      </c>
      <c r="R1722" t="s">
        <v>36027</v>
      </c>
      <c r="S1722" t="s">
        <v>36028</v>
      </c>
      <c r="T1722" t="s">
        <v>36029</v>
      </c>
      <c r="U1722" t="s">
        <v>36030</v>
      </c>
      <c r="V1722" t="s">
        <v>36031</v>
      </c>
      <c r="W1722" t="s">
        <v>36032</v>
      </c>
      <c r="X1722" t="s">
        <v>36033</v>
      </c>
      <c r="Y1722" t="s">
        <v>36034</v>
      </c>
    </row>
    <row r="1723" spans="1:25" x14ac:dyDescent="0.3">
      <c r="A1723">
        <v>86100</v>
      </c>
      <c r="B1723" t="s">
        <v>36035</v>
      </c>
      <c r="C1723" t="s">
        <v>36036</v>
      </c>
      <c r="D1723" t="s">
        <v>36037</v>
      </c>
      <c r="E1723" t="s">
        <v>36038</v>
      </c>
      <c r="F1723" t="s">
        <v>36039</v>
      </c>
      <c r="G1723" t="s">
        <v>36040</v>
      </c>
      <c r="H1723" t="s">
        <v>36041</v>
      </c>
      <c r="I1723" t="s">
        <v>36042</v>
      </c>
      <c r="J1723" t="s">
        <v>36043</v>
      </c>
      <c r="K1723" t="s">
        <v>36044</v>
      </c>
      <c r="L1723" t="s">
        <v>36045</v>
      </c>
      <c r="M1723" t="s">
        <v>36046</v>
      </c>
      <c r="N1723" t="s">
        <v>36047</v>
      </c>
      <c r="O1723">
        <f>-763.325518443734 -71.6720895744579 -719.325310004078</f>
        <v>-1554.32291802227</v>
      </c>
      <c r="P1723">
        <f>-695.422255766514 -75.4654179188517 -410.195941587059</f>
        <v>-1181.0836152724246</v>
      </c>
      <c r="Q1723">
        <f>-443.385491126459 -19.7426050614856 -378.344824902543</f>
        <v>-841.4729210904876</v>
      </c>
      <c r="R1723" t="s">
        <v>36048</v>
      </c>
      <c r="S1723" t="s">
        <v>36049</v>
      </c>
      <c r="T1723" t="s">
        <v>36050</v>
      </c>
      <c r="U1723" t="s">
        <v>36051</v>
      </c>
      <c r="V1723" t="s">
        <v>36052</v>
      </c>
      <c r="W1723" t="s">
        <v>36053</v>
      </c>
      <c r="X1723" t="s">
        <v>36054</v>
      </c>
      <c r="Y1723" t="s">
        <v>36055</v>
      </c>
    </row>
    <row r="1724" spans="1:25" x14ac:dyDescent="0.3">
      <c r="A1724">
        <v>86150</v>
      </c>
      <c r="B1724" t="s">
        <v>36056</v>
      </c>
      <c r="C1724" t="s">
        <v>36057</v>
      </c>
      <c r="D1724" t="s">
        <v>36058</v>
      </c>
      <c r="E1724" t="s">
        <v>36059</v>
      </c>
      <c r="F1724" t="s">
        <v>36060</v>
      </c>
      <c r="G1724" t="s">
        <v>36061</v>
      </c>
      <c r="H1724" t="s">
        <v>36062</v>
      </c>
      <c r="I1724" t="s">
        <v>36063</v>
      </c>
      <c r="J1724" t="s">
        <v>36064</v>
      </c>
      <c r="K1724" t="s">
        <v>36065</v>
      </c>
      <c r="L1724" t="s">
        <v>36066</v>
      </c>
      <c r="M1724" t="s">
        <v>36067</v>
      </c>
      <c r="N1724" t="s">
        <v>36068</v>
      </c>
      <c r="O1724">
        <f>-765.337401857534 -70.965043961452 -719.282411390331</f>
        <v>-1555.5848572093171</v>
      </c>
      <c r="P1724">
        <f>-697.128910208483 -75.4368981733696 -410.229372036758</f>
        <v>-1182.7951804186107</v>
      </c>
      <c r="Q1724">
        <f>-444.984112721979 -20.1038644355315 -378.553831759323</f>
        <v>-843.6418089168335</v>
      </c>
      <c r="R1724" t="s">
        <v>36069</v>
      </c>
      <c r="S1724" t="s">
        <v>36070</v>
      </c>
      <c r="T1724" t="s">
        <v>36071</v>
      </c>
      <c r="U1724" t="s">
        <v>36072</v>
      </c>
      <c r="V1724" t="s">
        <v>36073</v>
      </c>
      <c r="W1724" t="s">
        <v>36074</v>
      </c>
      <c r="X1724" t="s">
        <v>36075</v>
      </c>
      <c r="Y1724" t="s">
        <v>36076</v>
      </c>
    </row>
    <row r="1725" spans="1:25" x14ac:dyDescent="0.3">
      <c r="A1725">
        <v>86200</v>
      </c>
      <c r="B1725" t="s">
        <v>36077</v>
      </c>
      <c r="C1725" t="s">
        <v>36078</v>
      </c>
      <c r="D1725" t="s">
        <v>36079</v>
      </c>
      <c r="E1725" t="s">
        <v>36080</v>
      </c>
      <c r="F1725" t="s">
        <v>36081</v>
      </c>
      <c r="G1725" t="s">
        <v>36082</v>
      </c>
      <c r="H1725" t="s">
        <v>36083</v>
      </c>
      <c r="I1725" t="s">
        <v>36084</v>
      </c>
      <c r="J1725" t="s">
        <v>36085</v>
      </c>
      <c r="K1725" t="s">
        <v>36086</v>
      </c>
      <c r="L1725" t="s">
        <v>36087</v>
      </c>
      <c r="M1725" t="s">
        <v>36088</v>
      </c>
      <c r="N1725" t="s">
        <v>36089</v>
      </c>
      <c r="O1725">
        <f>-766.185372914979 -70.4837450805983 -719.355555710679</f>
        <v>-1556.0246737062562</v>
      </c>
      <c r="P1725">
        <f>-697.819549996871 -75.132062350026 -410.339871672124</f>
        <v>-1183.291484019021</v>
      </c>
      <c r="Q1725">
        <f>-445.659552017874 -19.8032043428123 -378.778511257749</f>
        <v>-844.24126761843536</v>
      </c>
      <c r="R1725" t="s">
        <v>36090</v>
      </c>
      <c r="S1725" t="s">
        <v>36091</v>
      </c>
      <c r="T1725" t="s">
        <v>36092</v>
      </c>
      <c r="U1725" t="s">
        <v>36093</v>
      </c>
      <c r="V1725" t="s">
        <v>36094</v>
      </c>
      <c r="W1725" t="s">
        <v>36095</v>
      </c>
      <c r="X1725" t="s">
        <v>36096</v>
      </c>
      <c r="Y1725" t="s">
        <v>36097</v>
      </c>
    </row>
    <row r="1726" spans="1:25" x14ac:dyDescent="0.3">
      <c r="A1726">
        <v>86250</v>
      </c>
      <c r="B1726" t="s">
        <v>36098</v>
      </c>
      <c r="C1726" t="s">
        <v>36099</v>
      </c>
      <c r="D1726" t="s">
        <v>36100</v>
      </c>
      <c r="E1726" t="s">
        <v>36101</v>
      </c>
      <c r="F1726" t="s">
        <v>36102</v>
      </c>
      <c r="G1726" t="s">
        <v>36103</v>
      </c>
      <c r="H1726" t="s">
        <v>36104</v>
      </c>
      <c r="I1726" t="s">
        <v>36105</v>
      </c>
      <c r="J1726" t="s">
        <v>36106</v>
      </c>
      <c r="K1726" t="s">
        <v>36107</v>
      </c>
      <c r="L1726" t="s">
        <v>36108</v>
      </c>
      <c r="M1726">
        <f>-327.701537813664 -5.68897752340399 -334.471930131542</f>
        <v>-667.86244546861008</v>
      </c>
      <c r="N1726" t="s">
        <v>36109</v>
      </c>
      <c r="O1726">
        <f>-767.776845564454 -69.3223261455619 -719.436306654588</f>
        <v>-1556.5354783646039</v>
      </c>
      <c r="P1726">
        <f>-699.116111011291 -74.4042092099121 -410.492796689231</f>
        <v>-1184.0131169104341</v>
      </c>
      <c r="Q1726">
        <f>-446.901242917512 -19.1656143263187 -379.213388527839</f>
        <v>-845.28024577166968</v>
      </c>
      <c r="R1726" t="s">
        <v>36110</v>
      </c>
      <c r="S1726" t="s">
        <v>36111</v>
      </c>
      <c r="T1726" t="s">
        <v>36112</v>
      </c>
      <c r="U1726" t="s">
        <v>36113</v>
      </c>
      <c r="V1726" t="s">
        <v>36114</v>
      </c>
      <c r="W1726" t="s">
        <v>36115</v>
      </c>
      <c r="X1726" t="s">
        <v>36116</v>
      </c>
      <c r="Y1726" t="s">
        <v>36117</v>
      </c>
    </row>
    <row r="1727" spans="1:25" x14ac:dyDescent="0.3">
      <c r="A1727">
        <v>86300</v>
      </c>
      <c r="B1727" t="s">
        <v>36118</v>
      </c>
      <c r="C1727" t="s">
        <v>36119</v>
      </c>
      <c r="D1727" t="s">
        <v>36120</v>
      </c>
      <c r="E1727" t="s">
        <v>36121</v>
      </c>
      <c r="F1727" t="s">
        <v>36122</v>
      </c>
      <c r="G1727" t="s">
        <v>36123</v>
      </c>
      <c r="H1727" t="s">
        <v>36124</v>
      </c>
      <c r="I1727" t="s">
        <v>36125</v>
      </c>
      <c r="J1727" t="s">
        <v>36126</v>
      </c>
      <c r="K1727" t="s">
        <v>36127</v>
      </c>
      <c r="L1727" t="s">
        <v>36128</v>
      </c>
      <c r="M1727">
        <f>-329.102957763295 -8.37163271062968 -336.837749039953</f>
        <v>-674.31233951387776</v>
      </c>
      <c r="N1727" t="s">
        <v>36129</v>
      </c>
      <c r="O1727">
        <f>-768.315224400713 -68.4886448541488 -719.601080391486</f>
        <v>-1556.4049496463476</v>
      </c>
      <c r="P1727">
        <f>-699.54185479306 -73.8858401116829 -410.68801943236</f>
        <v>-1184.1157143371029</v>
      </c>
      <c r="Q1727">
        <f>-447.326557434166 -18.582337835014 -379.527626896955</f>
        <v>-845.43652216613498</v>
      </c>
      <c r="R1727" t="s">
        <v>36130</v>
      </c>
      <c r="S1727" t="s">
        <v>36131</v>
      </c>
      <c r="T1727" t="s">
        <v>36132</v>
      </c>
      <c r="U1727" t="s">
        <v>36133</v>
      </c>
      <c r="V1727" t="s">
        <v>36134</v>
      </c>
      <c r="W1727" t="s">
        <v>36135</v>
      </c>
      <c r="X1727" t="s">
        <v>36136</v>
      </c>
      <c r="Y1727" t="s">
        <v>36137</v>
      </c>
    </row>
    <row r="1728" spans="1:25" x14ac:dyDescent="0.3">
      <c r="A1728">
        <v>86350</v>
      </c>
      <c r="B1728" t="s">
        <v>36138</v>
      </c>
      <c r="C1728" t="s">
        <v>36139</v>
      </c>
      <c r="D1728" t="s">
        <v>36140</v>
      </c>
      <c r="E1728" t="s">
        <v>36141</v>
      </c>
      <c r="F1728" t="s">
        <v>36142</v>
      </c>
      <c r="G1728" t="s">
        <v>36143</v>
      </c>
      <c r="H1728" t="s">
        <v>36144</v>
      </c>
      <c r="I1728" t="s">
        <v>36145</v>
      </c>
      <c r="J1728" t="s">
        <v>36146</v>
      </c>
      <c r="K1728" t="s">
        <v>36147</v>
      </c>
      <c r="L1728" t="s">
        <v>36148</v>
      </c>
      <c r="M1728">
        <f>-331.161264933497 -14.2192981781525 -342.75106829745</f>
        <v>-688.13163140909955</v>
      </c>
      <c r="N1728" t="s">
        <v>36149</v>
      </c>
      <c r="O1728">
        <f>-769.170250503636 -66.7684480910571 -720.011996760905</f>
        <v>-1555.9506953555981</v>
      </c>
      <c r="P1728">
        <f>-700.500811997897 -72.7410925627732 -411.086387815312</f>
        <v>-1184.3282923759823</v>
      </c>
      <c r="Q1728">
        <f>-448.271685273784 -17.4568030549069 -380.0034723409</f>
        <v>-845.73196066959088</v>
      </c>
      <c r="R1728" t="s">
        <v>36150</v>
      </c>
      <c r="S1728" t="s">
        <v>36151</v>
      </c>
      <c r="T1728" t="s">
        <v>36152</v>
      </c>
      <c r="U1728" t="s">
        <v>36153</v>
      </c>
      <c r="V1728" t="s">
        <v>36154</v>
      </c>
      <c r="W1728" t="s">
        <v>36155</v>
      </c>
      <c r="X1728" t="s">
        <v>36156</v>
      </c>
      <c r="Y1728" t="s">
        <v>36157</v>
      </c>
    </row>
    <row r="1729" spans="1:25" x14ac:dyDescent="0.3">
      <c r="A1729">
        <v>86400</v>
      </c>
      <c r="B1729" t="s">
        <v>36158</v>
      </c>
      <c r="C1729" t="s">
        <v>36159</v>
      </c>
      <c r="D1729" t="s">
        <v>36160</v>
      </c>
      <c r="E1729" t="s">
        <v>36161</v>
      </c>
      <c r="F1729" t="s">
        <v>36162</v>
      </c>
      <c r="G1729" t="s">
        <v>36163</v>
      </c>
      <c r="H1729" t="s">
        <v>36164</v>
      </c>
      <c r="I1729" t="s">
        <v>36165</v>
      </c>
      <c r="J1729" t="s">
        <v>36166</v>
      </c>
      <c r="K1729" t="s">
        <v>36167</v>
      </c>
      <c r="L1729" t="s">
        <v>36168</v>
      </c>
      <c r="M1729">
        <f>-331.72606794925 -16.4453206710175 -345.978081112408</f>
        <v>-694.14946973267547</v>
      </c>
      <c r="N1729" t="s">
        <v>36169</v>
      </c>
      <c r="O1729">
        <f>-769.467151027958 -66.0899868634681 -720.213919272641</f>
        <v>-1555.7710571640671</v>
      </c>
      <c r="P1729">
        <f>-700.594684789236 -72.6368841218584 -411.345286587993</f>
        <v>-1184.5768554990873</v>
      </c>
      <c r="Q1729">
        <f>-448.363421237667 -17.3864639215233 -380.219344274118</f>
        <v>-845.96922943330833</v>
      </c>
      <c r="R1729" t="s">
        <v>36170</v>
      </c>
      <c r="S1729" t="s">
        <v>36171</v>
      </c>
      <c r="T1729" t="s">
        <v>36172</v>
      </c>
      <c r="U1729" t="s">
        <v>36173</v>
      </c>
      <c r="V1729" t="s">
        <v>36174</v>
      </c>
      <c r="W1729" t="s">
        <v>36175</v>
      </c>
      <c r="X1729" t="s">
        <v>36176</v>
      </c>
      <c r="Y1729" t="s">
        <v>36177</v>
      </c>
    </row>
    <row r="1730" spans="1:25" x14ac:dyDescent="0.3">
      <c r="A1730">
        <v>86450</v>
      </c>
      <c r="B1730" t="s">
        <v>36178</v>
      </c>
      <c r="C1730" t="s">
        <v>36179</v>
      </c>
      <c r="D1730" t="s">
        <v>36180</v>
      </c>
      <c r="E1730" t="s">
        <v>36181</v>
      </c>
      <c r="F1730" t="s">
        <v>36182</v>
      </c>
      <c r="G1730" t="s">
        <v>36183</v>
      </c>
      <c r="H1730" t="s">
        <v>36184</v>
      </c>
      <c r="I1730" t="s">
        <v>36185</v>
      </c>
      <c r="J1730" t="s">
        <v>36186</v>
      </c>
      <c r="K1730" t="s">
        <v>36187</v>
      </c>
      <c r="L1730" t="s">
        <v>36188</v>
      </c>
      <c r="M1730">
        <f>-334.73987462596 -23.9968846302488 -352.517492417603</f>
        <v>-711.25425167381184</v>
      </c>
      <c r="N1730" t="s">
        <v>36189</v>
      </c>
      <c r="O1730">
        <f>-769.697774079464 -65.3934070501412 -720.390131788171</f>
        <v>-1555.4813129177762</v>
      </c>
      <c r="P1730">
        <f>-700.594936298249 -72.774553994356 -411.591777444369</f>
        <v>-1184.9612677369739</v>
      </c>
      <c r="Q1730">
        <f>-448.33175844311 -17.5979185539115 -380.593317082325</f>
        <v>-846.52299407934652</v>
      </c>
      <c r="R1730" t="s">
        <v>36190</v>
      </c>
      <c r="S1730" t="s">
        <v>36191</v>
      </c>
      <c r="T1730" t="s">
        <v>36192</v>
      </c>
      <c r="U1730" t="s">
        <v>36193</v>
      </c>
      <c r="V1730" t="s">
        <v>36194</v>
      </c>
      <c r="W1730" t="s">
        <v>36195</v>
      </c>
      <c r="X1730" t="s">
        <v>36196</v>
      </c>
      <c r="Y1730" t="s">
        <v>36197</v>
      </c>
    </row>
    <row r="1731" spans="1:25" x14ac:dyDescent="0.3">
      <c r="A1731">
        <v>86500</v>
      </c>
      <c r="B1731" t="s">
        <v>36198</v>
      </c>
      <c r="C1731" t="s">
        <v>36199</v>
      </c>
      <c r="D1731" t="s">
        <v>36200</v>
      </c>
      <c r="E1731" t="s">
        <v>36201</v>
      </c>
      <c r="F1731" t="s">
        <v>36202</v>
      </c>
      <c r="G1731" t="s">
        <v>36203</v>
      </c>
      <c r="H1731" t="s">
        <v>36204</v>
      </c>
      <c r="I1731" t="s">
        <v>36205</v>
      </c>
      <c r="J1731" t="s">
        <v>36206</v>
      </c>
      <c r="K1731" t="s">
        <v>36207</v>
      </c>
      <c r="L1731" t="s">
        <v>36208</v>
      </c>
      <c r="M1731">
        <f>-336.65265598538 -28.4093398739597 -355.799320134097</f>
        <v>-720.86131599343673</v>
      </c>
      <c r="N1731" t="s">
        <v>36209</v>
      </c>
      <c r="O1731">
        <f>-769.534911250323 -64.8824235843924 -720.60342016362</f>
        <v>-1555.0207549983354</v>
      </c>
      <c r="P1731">
        <f>-700.184049811961 -72.8903495848679 -411.876138538721</f>
        <v>-1184.9505379355498</v>
      </c>
      <c r="Q1731">
        <f>-447.895673438992 -17.6714267212378 -381.160241126722</f>
        <v>-846.72734128695174</v>
      </c>
      <c r="R1731" t="s">
        <v>36210</v>
      </c>
      <c r="S1731" t="s">
        <v>36211</v>
      </c>
      <c r="T1731" t="s">
        <v>36212</v>
      </c>
      <c r="U1731" t="s">
        <v>36213</v>
      </c>
      <c r="V1731" t="s">
        <v>36214</v>
      </c>
      <c r="W1731" t="s">
        <v>36215</v>
      </c>
      <c r="X1731" t="s">
        <v>36216</v>
      </c>
      <c r="Y1731" t="s">
        <v>36217</v>
      </c>
    </row>
    <row r="1732" spans="1:25" x14ac:dyDescent="0.3">
      <c r="A1732">
        <v>86550</v>
      </c>
      <c r="B1732" t="s">
        <v>36218</v>
      </c>
      <c r="C1732" t="s">
        <v>36219</v>
      </c>
      <c r="D1732" t="s">
        <v>36220</v>
      </c>
      <c r="E1732" t="s">
        <v>36221</v>
      </c>
      <c r="F1732" t="s">
        <v>36222</v>
      </c>
      <c r="G1732" t="s">
        <v>36223</v>
      </c>
      <c r="H1732" t="s">
        <v>36224</v>
      </c>
      <c r="I1732" t="s">
        <v>36225</v>
      </c>
      <c r="J1732" t="s">
        <v>36226</v>
      </c>
      <c r="K1732" t="s">
        <v>36227</v>
      </c>
      <c r="L1732" t="s">
        <v>36228</v>
      </c>
      <c r="M1732">
        <f>-339.495754606267 -34.3671851237766 -358.858676156143</f>
        <v>-732.72161588618656</v>
      </c>
      <c r="N1732" t="s">
        <v>36229</v>
      </c>
      <c r="O1732">
        <f>-769.718527357822 -63.8580596045788 -721.440502730071</f>
        <v>-1555.0170896924719</v>
      </c>
      <c r="P1732">
        <f>-700.693845269917 -73.6418240994369 -412.69146036772</f>
        <v>-1187.0271297370739</v>
      </c>
      <c r="Q1732">
        <f>-448.576711573206 -17.7357742177044 -381.812367628242</f>
        <v>-848.12485341915237</v>
      </c>
      <c r="R1732" t="s">
        <v>36230</v>
      </c>
      <c r="S1732" t="s">
        <v>36231</v>
      </c>
      <c r="T1732" t="s">
        <v>36232</v>
      </c>
      <c r="U1732" t="s">
        <v>36233</v>
      </c>
      <c r="V1732" t="s">
        <v>36234</v>
      </c>
      <c r="W1732" t="s">
        <v>36235</v>
      </c>
      <c r="X1732" t="s">
        <v>36236</v>
      </c>
      <c r="Y1732" t="s">
        <v>36237</v>
      </c>
    </row>
    <row r="1733" spans="1:25" x14ac:dyDescent="0.3">
      <c r="A1733">
        <v>86600</v>
      </c>
      <c r="B1733" t="s">
        <v>36238</v>
      </c>
      <c r="C1733" t="s">
        <v>36239</v>
      </c>
      <c r="D1733" t="s">
        <v>36240</v>
      </c>
      <c r="E1733" t="s">
        <v>36241</v>
      </c>
      <c r="F1733" t="s">
        <v>36242</v>
      </c>
      <c r="G1733" t="s">
        <v>36243</v>
      </c>
      <c r="H1733" t="s">
        <v>36244</v>
      </c>
      <c r="I1733" t="s">
        <v>36245</v>
      </c>
      <c r="J1733" t="s">
        <v>36246</v>
      </c>
      <c r="K1733" t="s">
        <v>36247</v>
      </c>
      <c r="L1733" t="s">
        <v>36248</v>
      </c>
      <c r="M1733">
        <f>-341.98834692169 -37.5830552715206 -359.511075176586</f>
        <v>-739.08247736979661</v>
      </c>
      <c r="N1733" t="s">
        <v>36249</v>
      </c>
      <c r="O1733">
        <f>-769.527483967456 -63.6090997444737 -722.003682040101</f>
        <v>-1555.1402657520307</v>
      </c>
      <c r="P1733">
        <f>-700.726945162432 -75.0451705984369 -413.261330452808</f>
        <v>-1189.0334462136771</v>
      </c>
      <c r="Q1733">
        <f>-448.761163329742 -18.8335630933643 -381.708746630809</f>
        <v>-849.30347305391524</v>
      </c>
      <c r="R1733" t="s">
        <v>36250</v>
      </c>
      <c r="S1733" t="s">
        <v>36251</v>
      </c>
      <c r="T1733" t="s">
        <v>36252</v>
      </c>
      <c r="U1733" t="s">
        <v>36253</v>
      </c>
      <c r="V1733" t="s">
        <v>36254</v>
      </c>
      <c r="W1733" t="s">
        <v>36255</v>
      </c>
      <c r="X1733" t="s">
        <v>36256</v>
      </c>
      <c r="Y1733" t="s">
        <v>36257</v>
      </c>
    </row>
    <row r="1734" spans="1:25" x14ac:dyDescent="0.3">
      <c r="A1734">
        <v>86650</v>
      </c>
      <c r="B1734" t="s">
        <v>36258</v>
      </c>
      <c r="C1734" t="s">
        <v>36259</v>
      </c>
      <c r="D1734" t="s">
        <v>36260</v>
      </c>
      <c r="E1734" t="s">
        <v>36261</v>
      </c>
      <c r="F1734" t="s">
        <v>36262</v>
      </c>
      <c r="G1734" t="s">
        <v>36263</v>
      </c>
      <c r="H1734" t="s">
        <v>36264</v>
      </c>
      <c r="I1734" t="s">
        <v>36265</v>
      </c>
      <c r="J1734" t="s">
        <v>36266</v>
      </c>
      <c r="K1734" t="s">
        <v>36267</v>
      </c>
      <c r="L1734" t="s">
        <v>36268</v>
      </c>
      <c r="M1734">
        <f>-344.68245983918 -40.8262487784084 -356.07198248784</f>
        <v>-741.5806911054284</v>
      </c>
      <c r="N1734" t="s">
        <v>36269</v>
      </c>
      <c r="O1734">
        <f>-769.019094071075 -63.1621004701062 -723.177318322036</f>
        <v>-1555.3585128632171</v>
      </c>
      <c r="P1734">
        <f>-700.945950374788 -76.5719082208602 -414.353058155917</f>
        <v>-1191.8709167515653</v>
      </c>
      <c r="Q1734">
        <f>-449.146405644023 -20.4649860681739 -381.321537568144</f>
        <v>-850.93292928034089</v>
      </c>
      <c r="R1734" t="s">
        <v>36270</v>
      </c>
      <c r="S1734" t="s">
        <v>36271</v>
      </c>
      <c r="T1734" t="s">
        <v>36272</v>
      </c>
      <c r="U1734" t="s">
        <v>36273</v>
      </c>
      <c r="V1734" t="s">
        <v>36274</v>
      </c>
      <c r="W1734" t="s">
        <v>36275</v>
      </c>
      <c r="X1734" t="s">
        <v>36276</v>
      </c>
      <c r="Y1734" t="s">
        <v>36277</v>
      </c>
    </row>
    <row r="1735" spans="1:25" x14ac:dyDescent="0.3">
      <c r="A1735">
        <v>86700</v>
      </c>
      <c r="B1735" t="s">
        <v>36278</v>
      </c>
      <c r="C1735" t="s">
        <v>36279</v>
      </c>
      <c r="D1735" t="s">
        <v>36280</v>
      </c>
      <c r="E1735" t="s">
        <v>36281</v>
      </c>
      <c r="F1735" t="s">
        <v>36282</v>
      </c>
      <c r="G1735" t="s">
        <v>36283</v>
      </c>
      <c r="H1735" t="s">
        <v>36284</v>
      </c>
      <c r="I1735" t="s">
        <v>36285</v>
      </c>
      <c r="J1735" t="s">
        <v>36286</v>
      </c>
      <c r="K1735" t="s">
        <v>36287</v>
      </c>
      <c r="L1735" t="s">
        <v>36288</v>
      </c>
      <c r="M1735">
        <f>-345.139497173582 -42.2587468804231 -355.573125902928</f>
        <v>-742.97136995693313</v>
      </c>
      <c r="N1735" t="s">
        <v>36289</v>
      </c>
      <c r="O1735">
        <f>-768.227219872629 -62.6717974811663 -723.89701807758</f>
        <v>-1554.7960354313755</v>
      </c>
      <c r="P1735">
        <f>-700.662770310268 -76.5762644250276 -414.982916206332</f>
        <v>-1192.2219509416277</v>
      </c>
      <c r="Q1735">
        <f>-448.906168153743 -20.6792026941755 -381.275707916348</f>
        <v>-850.86107876426649</v>
      </c>
      <c r="R1735" t="s">
        <v>36290</v>
      </c>
      <c r="S1735" t="s">
        <v>36291</v>
      </c>
      <c r="T1735" t="s">
        <v>36292</v>
      </c>
      <c r="U1735" t="s">
        <v>36293</v>
      </c>
      <c r="V1735" t="s">
        <v>36294</v>
      </c>
      <c r="W1735" t="s">
        <v>36295</v>
      </c>
      <c r="X1735" t="s">
        <v>36296</v>
      </c>
      <c r="Y1735" t="s">
        <v>36297</v>
      </c>
    </row>
    <row r="1736" spans="1:25" x14ac:dyDescent="0.3">
      <c r="A1736">
        <v>86750</v>
      </c>
      <c r="B1736" t="s">
        <v>36298</v>
      </c>
      <c r="C1736" t="s">
        <v>36299</v>
      </c>
      <c r="D1736" t="s">
        <v>36300</v>
      </c>
      <c r="E1736" t="s">
        <v>36301</v>
      </c>
      <c r="F1736" t="s">
        <v>36302</v>
      </c>
      <c r="G1736" t="s">
        <v>36303</v>
      </c>
      <c r="H1736" t="s">
        <v>36304</v>
      </c>
      <c r="I1736" t="s">
        <v>36305</v>
      </c>
      <c r="J1736" t="s">
        <v>36306</v>
      </c>
      <c r="K1736" t="s">
        <v>36307</v>
      </c>
      <c r="L1736" t="s">
        <v>36308</v>
      </c>
      <c r="M1736">
        <f>-343.431799888723 -43.9701587205609 -353.289979973887</f>
        <v>-740.6919385831709</v>
      </c>
      <c r="N1736" t="s">
        <v>36309</v>
      </c>
      <c r="O1736">
        <f>-766.003021024263 -62.2258119969729 -725.468415132763</f>
        <v>-1553.6972481539988</v>
      </c>
      <c r="P1736">
        <f>-700.416603680186 -76.5915103598741 -416.149300897222</f>
        <v>-1193.1574149372821</v>
      </c>
      <c r="Q1736">
        <f>-448.827710092763 -20.868102143676 -380.93612925986</f>
        <v>-850.63194149629908</v>
      </c>
      <c r="R1736" t="s">
        <v>36310</v>
      </c>
      <c r="S1736" t="s">
        <v>36311</v>
      </c>
      <c r="T1736" t="s">
        <v>36312</v>
      </c>
      <c r="U1736" t="s">
        <v>36313</v>
      </c>
      <c r="V1736" t="s">
        <v>36314</v>
      </c>
      <c r="W1736" t="s">
        <v>36315</v>
      </c>
      <c r="X1736" t="s">
        <v>36316</v>
      </c>
      <c r="Y1736" t="s">
        <v>36317</v>
      </c>
    </row>
    <row r="1737" spans="1:25" x14ac:dyDescent="0.3">
      <c r="A1737">
        <v>86800</v>
      </c>
      <c r="B1737" t="s">
        <v>36318</v>
      </c>
      <c r="C1737" t="s">
        <v>36319</v>
      </c>
      <c r="D1737" t="s">
        <v>36320</v>
      </c>
      <c r="E1737" t="s">
        <v>36321</v>
      </c>
      <c r="F1737" t="s">
        <v>36322</v>
      </c>
      <c r="G1737" t="s">
        <v>36323</v>
      </c>
      <c r="H1737" t="s">
        <v>36324</v>
      </c>
      <c r="I1737" t="s">
        <v>36325</v>
      </c>
      <c r="J1737" t="s">
        <v>36326</v>
      </c>
      <c r="K1737" t="s">
        <v>36327</v>
      </c>
      <c r="L1737" t="s">
        <v>36328</v>
      </c>
      <c r="M1737">
        <f>-342.328343462065 -44.9677138709501 -352.544462508249</f>
        <v>-739.84051984126404</v>
      </c>
      <c r="N1737" t="s">
        <v>36329</v>
      </c>
      <c r="O1737">
        <f>-765.084230737687 -62.1136772166897 -726.117095542597</f>
        <v>-1553.3150034969735</v>
      </c>
      <c r="P1737">
        <f>-700.482914671689 -76.7915783817175 -416.605532860885</f>
        <v>-1193.8800259142913</v>
      </c>
      <c r="Q1737">
        <f>-448.977131083597 -21.2541844771883 -380.514864101621</f>
        <v>-850.74617966240635</v>
      </c>
      <c r="R1737" t="s">
        <v>36330</v>
      </c>
      <c r="S1737" t="s">
        <v>36331</v>
      </c>
      <c r="T1737" t="s">
        <v>36332</v>
      </c>
      <c r="U1737" t="s">
        <v>36333</v>
      </c>
      <c r="V1737" t="s">
        <v>36334</v>
      </c>
      <c r="W1737" t="s">
        <v>36335</v>
      </c>
      <c r="X1737" t="s">
        <v>36336</v>
      </c>
      <c r="Y1737" t="s">
        <v>36337</v>
      </c>
    </row>
    <row r="1738" spans="1:25" x14ac:dyDescent="0.3">
      <c r="A1738">
        <v>86850</v>
      </c>
      <c r="B1738" t="s">
        <v>36338</v>
      </c>
      <c r="C1738" t="s">
        <v>36339</v>
      </c>
      <c r="D1738" t="s">
        <v>36340</v>
      </c>
      <c r="E1738" t="s">
        <v>36341</v>
      </c>
      <c r="F1738" t="s">
        <v>36342</v>
      </c>
      <c r="G1738" t="s">
        <v>36343</v>
      </c>
      <c r="H1738" t="s">
        <v>36344</v>
      </c>
      <c r="I1738" t="s">
        <v>36345</v>
      </c>
      <c r="J1738" t="s">
        <v>36346</v>
      </c>
      <c r="K1738" t="s">
        <v>36347</v>
      </c>
      <c r="L1738" t="s">
        <v>36348</v>
      </c>
      <c r="M1738">
        <f>-340.142221693267 -45.6608699901944 -352.588168181866</f>
        <v>-738.39125986532736</v>
      </c>
      <c r="N1738" t="s">
        <v>36349</v>
      </c>
      <c r="O1738">
        <f>-763.115485829293 -62.3152854756406 -727.053462323092</f>
        <v>-1552.4842336280258</v>
      </c>
      <c r="P1738">
        <f>-700.05716855717 -77.3176112361257 -417.239244454634</f>
        <v>-1194.6140242479296</v>
      </c>
      <c r="Q1738">
        <f>-448.507361865542 -23.1997469172088 -379.345177311</f>
        <v>-851.05228609375081</v>
      </c>
      <c r="R1738" t="s">
        <v>36350</v>
      </c>
      <c r="S1738" t="s">
        <v>36351</v>
      </c>
      <c r="T1738" t="s">
        <v>36352</v>
      </c>
      <c r="U1738" t="s">
        <v>36353</v>
      </c>
      <c r="V1738" t="s">
        <v>36354</v>
      </c>
      <c r="W1738" t="s">
        <v>36355</v>
      </c>
      <c r="X1738" t="s">
        <v>36356</v>
      </c>
      <c r="Y1738" t="s">
        <v>36357</v>
      </c>
    </row>
    <row r="1739" spans="1:25" x14ac:dyDescent="0.3">
      <c r="A1739">
        <v>86900</v>
      </c>
      <c r="B1739" t="s">
        <v>36358</v>
      </c>
      <c r="C1739" t="s">
        <v>36359</v>
      </c>
      <c r="D1739" t="s">
        <v>36360</v>
      </c>
      <c r="E1739" t="s">
        <v>36361</v>
      </c>
      <c r="F1739" t="s">
        <v>36362</v>
      </c>
      <c r="G1739" t="s">
        <v>36363</v>
      </c>
      <c r="H1739" t="s">
        <v>36364</v>
      </c>
      <c r="I1739" t="s">
        <v>36365</v>
      </c>
      <c r="J1739" t="s">
        <v>36366</v>
      </c>
      <c r="K1739" t="s">
        <v>36367</v>
      </c>
      <c r="L1739" t="s">
        <v>36368</v>
      </c>
      <c r="M1739">
        <f>-339.710257936553 -45.5848637503918 -351.374875456839</f>
        <v>-736.6699971437838</v>
      </c>
      <c r="N1739" t="s">
        <v>36369</v>
      </c>
      <c r="O1739">
        <f>-762.702705549358 -62.5128255122704 -727.469926760376</f>
        <v>-1552.6854578220045</v>
      </c>
      <c r="P1739">
        <f>-700.463875443979 -76.7973683285306 -417.456193297216</f>
        <v>-1194.7174370697255</v>
      </c>
      <c r="Q1739">
        <f>-448.809479681652 -23.9687090465231 -378.452394253434</f>
        <v>-851.23058298160913</v>
      </c>
      <c r="R1739" t="s">
        <v>36370</v>
      </c>
      <c r="S1739" t="s">
        <v>36371</v>
      </c>
      <c r="T1739" t="s">
        <v>36372</v>
      </c>
      <c r="U1739" t="s">
        <v>36373</v>
      </c>
      <c r="V1739" t="s">
        <v>36374</v>
      </c>
      <c r="W1739" t="s">
        <v>36375</v>
      </c>
      <c r="X1739" t="s">
        <v>36376</v>
      </c>
      <c r="Y1739" t="s">
        <v>36377</v>
      </c>
    </row>
    <row r="1740" spans="1:25" x14ac:dyDescent="0.3">
      <c r="A1740">
        <v>86950</v>
      </c>
      <c r="B1740" t="s">
        <v>36378</v>
      </c>
      <c r="C1740" t="s">
        <v>36379</v>
      </c>
      <c r="D1740" t="s">
        <v>36380</v>
      </c>
      <c r="E1740" t="s">
        <v>36381</v>
      </c>
      <c r="F1740" t="s">
        <v>36382</v>
      </c>
      <c r="G1740" t="s">
        <v>36383</v>
      </c>
      <c r="H1740" t="s">
        <v>36384</v>
      </c>
      <c r="I1740" t="s">
        <v>36385</v>
      </c>
      <c r="J1740" t="s">
        <v>36386</v>
      </c>
      <c r="K1740" t="s">
        <v>36387</v>
      </c>
      <c r="L1740" t="s">
        <v>36388</v>
      </c>
      <c r="M1740">
        <f>-337.274931045485 -45.3028828533336 -351.969142334867</f>
        <v>-734.54695623368559</v>
      </c>
      <c r="N1740" t="s">
        <v>36389</v>
      </c>
      <c r="O1740">
        <f>-760.163298670602 -63.0669271647889 -728.328558678323</f>
        <v>-1551.5587845137138</v>
      </c>
      <c r="P1740">
        <f>-699.287880207439 -77.6260022403565 -418.056928484097</f>
        <v>-1194.9708109318924</v>
      </c>
      <c r="Q1740">
        <f>-447.56090401701 -26.5347580346156 -377.248833329153</f>
        <v>-851.34449538077865</v>
      </c>
      <c r="R1740" t="s">
        <v>36390</v>
      </c>
      <c r="S1740" t="s">
        <v>36391</v>
      </c>
      <c r="T1740" t="s">
        <v>36392</v>
      </c>
      <c r="U1740" t="s">
        <v>36393</v>
      </c>
      <c r="V1740" t="s">
        <v>36394</v>
      </c>
      <c r="W1740" t="s">
        <v>36395</v>
      </c>
      <c r="X1740" t="s">
        <v>36396</v>
      </c>
      <c r="Y1740" t="s">
        <v>36397</v>
      </c>
    </row>
    <row r="1741" spans="1:25" x14ac:dyDescent="0.3">
      <c r="A1741">
        <v>87000</v>
      </c>
      <c r="B1741" t="s">
        <v>36398</v>
      </c>
      <c r="C1741" t="s">
        <v>36399</v>
      </c>
      <c r="D1741" t="s">
        <v>36400</v>
      </c>
      <c r="E1741" t="s">
        <v>36401</v>
      </c>
      <c r="F1741" t="s">
        <v>36402</v>
      </c>
      <c r="G1741" t="s">
        <v>36403</v>
      </c>
      <c r="H1741" t="s">
        <v>36404</v>
      </c>
      <c r="I1741" t="s">
        <v>36405</v>
      </c>
      <c r="J1741" t="s">
        <v>36406</v>
      </c>
      <c r="K1741" t="s">
        <v>36407</v>
      </c>
      <c r="L1741" t="s">
        <v>36408</v>
      </c>
      <c r="M1741">
        <f>-335.952228766765 -44.6563875785162 -351.949159649237</f>
        <v>-732.55777599451824</v>
      </c>
      <c r="N1741" t="s">
        <v>36409</v>
      </c>
      <c r="O1741">
        <f>-758.981707701095 -63.6086903481828 -728.566527992072</f>
        <v>-1551.1569260413498</v>
      </c>
      <c r="P1741">
        <f>-698.952933499367 -77.9683877160592 -418.12075364115</f>
        <v>-1195.0420748565762</v>
      </c>
      <c r="Q1741">
        <f>-447.216690087508 -27.4805772533384 -376.624910790057</f>
        <v>-851.32217813090347</v>
      </c>
      <c r="R1741" t="s">
        <v>36410</v>
      </c>
      <c r="S1741" t="s">
        <v>36411</v>
      </c>
      <c r="T1741" t="s">
        <v>36412</v>
      </c>
      <c r="U1741" t="s">
        <v>36413</v>
      </c>
      <c r="V1741" t="s">
        <v>36414</v>
      </c>
      <c r="W1741" t="s">
        <v>36415</v>
      </c>
      <c r="X1741" t="s">
        <v>36416</v>
      </c>
      <c r="Y1741" t="s">
        <v>36417</v>
      </c>
    </row>
    <row r="1742" spans="1:25" x14ac:dyDescent="0.3">
      <c r="A1742">
        <v>87050</v>
      </c>
      <c r="B1742" t="s">
        <v>36418</v>
      </c>
      <c r="C1742" t="s">
        <v>36419</v>
      </c>
      <c r="D1742" t="s">
        <v>36420</v>
      </c>
      <c r="E1742" t="s">
        <v>36421</v>
      </c>
      <c r="F1742" t="s">
        <v>36422</v>
      </c>
      <c r="G1742" t="s">
        <v>36423</v>
      </c>
      <c r="H1742" t="s">
        <v>36424</v>
      </c>
      <c r="I1742" t="s">
        <v>36425</v>
      </c>
      <c r="J1742" t="s">
        <v>36426</v>
      </c>
      <c r="K1742" t="s">
        <v>36427</v>
      </c>
      <c r="L1742" t="s">
        <v>36428</v>
      </c>
      <c r="M1742">
        <f>-333.994761507844 -43.9858469334763 -352.39961599225</f>
        <v>-730.38022443357022</v>
      </c>
      <c r="N1742" t="s">
        <v>36429</v>
      </c>
      <c r="O1742">
        <f>-756.679033623095 -64.4242343296578 -728.838819852486</f>
        <v>-1549.9420878052388</v>
      </c>
      <c r="P1742">
        <f>-697.449310222521 -78.6312698380048 -418.232619506589</f>
        <v>-1194.3131995671147</v>
      </c>
      <c r="Q1742">
        <f>-445.810775471821 -28.1062216975402 -376.193131173615</f>
        <v>-850.11012834297617</v>
      </c>
      <c r="R1742" t="s">
        <v>36430</v>
      </c>
      <c r="S1742" t="s">
        <v>36431</v>
      </c>
      <c r="T1742" t="s">
        <v>36432</v>
      </c>
      <c r="U1742" t="s">
        <v>36433</v>
      </c>
      <c r="V1742" t="s">
        <v>36434</v>
      </c>
      <c r="W1742" t="s">
        <v>36435</v>
      </c>
      <c r="X1742" t="s">
        <v>36436</v>
      </c>
      <c r="Y1742" t="s">
        <v>36437</v>
      </c>
    </row>
    <row r="1743" spans="1:25" x14ac:dyDescent="0.3">
      <c r="A1743">
        <v>87100</v>
      </c>
      <c r="B1743" t="s">
        <v>36438</v>
      </c>
      <c r="C1743" t="s">
        <v>36439</v>
      </c>
      <c r="D1743" t="s">
        <v>36440</v>
      </c>
      <c r="E1743" t="s">
        <v>36441</v>
      </c>
      <c r="F1743" t="s">
        <v>36442</v>
      </c>
      <c r="G1743" t="s">
        <v>36443</v>
      </c>
      <c r="H1743" t="s">
        <v>36444</v>
      </c>
      <c r="I1743" t="s">
        <v>36445</v>
      </c>
      <c r="J1743" t="s">
        <v>36446</v>
      </c>
      <c r="K1743" t="s">
        <v>36447</v>
      </c>
      <c r="L1743" t="s">
        <v>36448</v>
      </c>
      <c r="M1743">
        <f>-333.336044305419 -43.4845375273112 -352.423630605955</f>
        <v>-729.24421243868528</v>
      </c>
      <c r="N1743" t="s">
        <v>36449</v>
      </c>
      <c r="O1743">
        <f>-755.784032851222 -64.6868369342887 -728.963382514609</f>
        <v>-1549.4342523001196</v>
      </c>
      <c r="P1743">
        <f>-696.836152070779 -78.9016426967735 -418.303892069671</f>
        <v>-1194.0416868372236</v>
      </c>
      <c r="Q1743">
        <f>-445.483654145719 -27.272998864689 -375.895502006611</f>
        <v>-848.65215501701903</v>
      </c>
      <c r="R1743" t="s">
        <v>36450</v>
      </c>
      <c r="S1743" t="s">
        <v>36451</v>
      </c>
      <c r="T1743" t="s">
        <v>36452</v>
      </c>
      <c r="U1743" t="s">
        <v>36453</v>
      </c>
      <c r="V1743" t="s">
        <v>36454</v>
      </c>
      <c r="W1743" t="s">
        <v>36455</v>
      </c>
      <c r="X1743" t="s">
        <v>36456</v>
      </c>
      <c r="Y1743" t="s">
        <v>36457</v>
      </c>
    </row>
    <row r="1744" spans="1:25" x14ac:dyDescent="0.3">
      <c r="A1744">
        <v>87150</v>
      </c>
      <c r="B1744" t="s">
        <v>36458</v>
      </c>
      <c r="C1744" t="s">
        <v>36459</v>
      </c>
      <c r="D1744" t="s">
        <v>36460</v>
      </c>
      <c r="E1744" t="s">
        <v>36461</v>
      </c>
      <c r="F1744" t="s">
        <v>36462</v>
      </c>
      <c r="G1744" t="s">
        <v>36463</v>
      </c>
      <c r="H1744" t="s">
        <v>36464</v>
      </c>
      <c r="I1744" t="s">
        <v>36465</v>
      </c>
      <c r="J1744" t="s">
        <v>36466</v>
      </c>
      <c r="K1744" t="s">
        <v>36467</v>
      </c>
      <c r="L1744" t="s">
        <v>36468</v>
      </c>
      <c r="M1744">
        <f>-333.32677759123 -43.1049940777189 -352.25886738704</f>
        <v>-728.69063905598887</v>
      </c>
      <c r="N1744" t="s">
        <v>36469</v>
      </c>
      <c r="O1744">
        <f>-753.656985772472 -65.3684660079855 -729.101095401352</f>
        <v>-1548.1265471818097</v>
      </c>
      <c r="P1744">
        <f>-695.833599638668 -78.482560314073 -418.181888455529</f>
        <v>-1192.4980484082701</v>
      </c>
      <c r="Q1744">
        <f>-445.214103335387 -24.5245280872521 -374.358981354895</f>
        <v>-844.0976127775341</v>
      </c>
      <c r="R1744" t="s">
        <v>36470</v>
      </c>
      <c r="S1744" t="s">
        <v>36471</v>
      </c>
      <c r="T1744" t="s">
        <v>36472</v>
      </c>
      <c r="U1744" t="s">
        <v>36473</v>
      </c>
      <c r="V1744" t="s">
        <v>36474</v>
      </c>
      <c r="W1744" t="s">
        <v>36475</v>
      </c>
      <c r="X1744" t="s">
        <v>36476</v>
      </c>
      <c r="Y1744" t="s">
        <v>36477</v>
      </c>
    </row>
    <row r="1745" spans="1:25" x14ac:dyDescent="0.3">
      <c r="A1745">
        <v>87200</v>
      </c>
      <c r="B1745" t="s">
        <v>36478</v>
      </c>
      <c r="C1745" t="s">
        <v>36479</v>
      </c>
      <c r="D1745" t="s">
        <v>36480</v>
      </c>
      <c r="E1745" t="s">
        <v>36481</v>
      </c>
      <c r="F1745" t="s">
        <v>36482</v>
      </c>
      <c r="G1745" t="s">
        <v>36483</v>
      </c>
      <c r="H1745" t="s">
        <v>36484</v>
      </c>
      <c r="I1745" t="s">
        <v>36485</v>
      </c>
      <c r="J1745" t="s">
        <v>36486</v>
      </c>
      <c r="K1745" t="s">
        <v>36487</v>
      </c>
      <c r="L1745" t="s">
        <v>36488</v>
      </c>
      <c r="M1745">
        <f>-333.708048116122 -42.6741371276414 -352.015243954282</f>
        <v>-728.39742919804542</v>
      </c>
      <c r="N1745" t="s">
        <v>36489</v>
      </c>
      <c r="O1745">
        <f>-752.44793044875 -65.6539516740813 -729.152623550372</f>
        <v>-1547.2545056732033</v>
      </c>
      <c r="P1745">
        <f>-695.112620477448 -78.6955927696629 -418.140179176979</f>
        <v>-1191.9483924240899</v>
      </c>
      <c r="Q1745">
        <f>-444.903062237449 -23.3249258110986 -373.741311480127</f>
        <v>-841.96929952867458</v>
      </c>
      <c r="R1745" t="s">
        <v>36490</v>
      </c>
      <c r="S1745" t="s">
        <v>36491</v>
      </c>
      <c r="T1745" t="s">
        <v>36492</v>
      </c>
      <c r="U1745" t="s">
        <v>36493</v>
      </c>
      <c r="V1745" t="s">
        <v>36494</v>
      </c>
      <c r="W1745" t="s">
        <v>36495</v>
      </c>
      <c r="X1745" t="s">
        <v>36496</v>
      </c>
      <c r="Y1745" t="s">
        <v>36497</v>
      </c>
    </row>
    <row r="1746" spans="1:25" x14ac:dyDescent="0.3">
      <c r="A1746">
        <v>87250</v>
      </c>
      <c r="B1746" t="s">
        <v>36498</v>
      </c>
      <c r="C1746" t="s">
        <v>36499</v>
      </c>
      <c r="D1746" t="s">
        <v>36500</v>
      </c>
      <c r="E1746" t="s">
        <v>36501</v>
      </c>
      <c r="F1746" t="s">
        <v>36502</v>
      </c>
      <c r="G1746" t="s">
        <v>36503</v>
      </c>
      <c r="H1746" t="s">
        <v>36504</v>
      </c>
      <c r="I1746" t="s">
        <v>36505</v>
      </c>
      <c r="J1746" t="s">
        <v>36506</v>
      </c>
      <c r="K1746" t="s">
        <v>36507</v>
      </c>
      <c r="L1746" t="s">
        <v>36508</v>
      </c>
      <c r="M1746">
        <f>-334.326589803995 -42.3924937342406 -352.20076103065</f>
        <v>-728.91984456888554</v>
      </c>
      <c r="N1746" t="s">
        <v>36509</v>
      </c>
      <c r="O1746">
        <f>-749.962515428979 -66.0976080488128 -729.440135066835</f>
        <v>-1545.5002585446268</v>
      </c>
      <c r="P1746">
        <f>-693.400331611609 -78.6004810117463 -418.263911986024</f>
        <v>-1190.2647246093793</v>
      </c>
      <c r="Q1746">
        <f>-444.128762371956 -19.7300721001393 -373.098236017539</f>
        <v>-836.95707048963436</v>
      </c>
      <c r="R1746" t="s">
        <v>36510</v>
      </c>
      <c r="S1746" t="s">
        <v>36511</v>
      </c>
      <c r="T1746" t="s">
        <v>36512</v>
      </c>
      <c r="U1746" t="s">
        <v>36513</v>
      </c>
      <c r="V1746" t="s">
        <v>36514</v>
      </c>
      <c r="W1746" t="s">
        <v>36515</v>
      </c>
      <c r="X1746" t="s">
        <v>36516</v>
      </c>
      <c r="Y1746" t="s">
        <v>36517</v>
      </c>
    </row>
    <row r="1747" spans="1:25" x14ac:dyDescent="0.3">
      <c r="A1747">
        <v>87300</v>
      </c>
      <c r="B1747" t="s">
        <v>36518</v>
      </c>
      <c r="C1747" t="s">
        <v>36519</v>
      </c>
      <c r="D1747" t="s">
        <v>36520</v>
      </c>
      <c r="E1747" t="s">
        <v>36521</v>
      </c>
      <c r="F1747" t="s">
        <v>36522</v>
      </c>
      <c r="G1747" t="s">
        <v>36523</v>
      </c>
      <c r="H1747" t="s">
        <v>36524</v>
      </c>
      <c r="I1747" t="s">
        <v>36525</v>
      </c>
      <c r="J1747" t="s">
        <v>36526</v>
      </c>
      <c r="K1747" t="s">
        <v>36527</v>
      </c>
      <c r="L1747" t="s">
        <v>36528</v>
      </c>
      <c r="M1747">
        <f>-334.333965288687 -42.2747535684191 -352.670598361915</f>
        <v>-729.2793172190211</v>
      </c>
      <c r="N1747" t="s">
        <v>36529</v>
      </c>
      <c r="O1747">
        <f>-748.698356988876 -66.0954709565463 -729.679605559233</f>
        <v>-1544.4734335046551</v>
      </c>
      <c r="P1747">
        <f>-692.522000923558 -78.3745610037217 -418.424620844085</f>
        <v>-1189.3211827713649</v>
      </c>
      <c r="Q1747">
        <f>-443.762344235645 -18.0428600933399 -372.372956711023</f>
        <v>-834.17816104000792</v>
      </c>
      <c r="R1747" t="s">
        <v>36530</v>
      </c>
      <c r="S1747" t="s">
        <v>36531</v>
      </c>
      <c r="T1747" t="s">
        <v>36532</v>
      </c>
      <c r="U1747" t="s">
        <v>36533</v>
      </c>
      <c r="V1747" t="s">
        <v>36534</v>
      </c>
      <c r="W1747" t="s">
        <v>36535</v>
      </c>
      <c r="X1747" t="s">
        <v>36536</v>
      </c>
      <c r="Y1747" t="s">
        <v>36537</v>
      </c>
    </row>
    <row r="1748" spans="1:25" x14ac:dyDescent="0.3">
      <c r="A1748">
        <v>87350</v>
      </c>
      <c r="B1748" t="s">
        <v>36538</v>
      </c>
      <c r="C1748" t="s">
        <v>36539</v>
      </c>
      <c r="D1748" t="s">
        <v>36540</v>
      </c>
      <c r="E1748" t="s">
        <v>36541</v>
      </c>
      <c r="F1748" t="s">
        <v>36542</v>
      </c>
      <c r="G1748" t="s">
        <v>36543</v>
      </c>
      <c r="H1748" t="s">
        <v>36544</v>
      </c>
      <c r="I1748" t="s">
        <v>36545</v>
      </c>
      <c r="J1748" t="s">
        <v>36546</v>
      </c>
      <c r="K1748" t="s">
        <v>36547</v>
      </c>
      <c r="L1748" t="s">
        <v>36548</v>
      </c>
      <c r="M1748">
        <f>-334.033861021143 -41.8335166742008 -354.136404157023</f>
        <v>-730.00378185236673</v>
      </c>
      <c r="N1748" t="s">
        <v>36549</v>
      </c>
      <c r="O1748">
        <f>-746.294495280673 -65.9686861279763 -730.199341026771</f>
        <v>-1542.4625224354204</v>
      </c>
      <c r="P1748">
        <f>-691.173726567138 -77.6090032615618 -418.731240909646</f>
        <v>-1187.513970738346</v>
      </c>
      <c r="Q1748">
        <f>-443.316438252743 -14.5328835962607 -371.506182718794</f>
        <v>-829.35550456779765</v>
      </c>
      <c r="R1748" t="s">
        <v>36550</v>
      </c>
      <c r="S1748" t="s">
        <v>36551</v>
      </c>
      <c r="T1748" t="s">
        <v>36552</v>
      </c>
      <c r="U1748" t="s">
        <v>36553</v>
      </c>
      <c r="V1748" t="s">
        <v>36554</v>
      </c>
      <c r="W1748" t="s">
        <v>36555</v>
      </c>
      <c r="X1748" t="s">
        <v>36556</v>
      </c>
      <c r="Y1748" t="s">
        <v>36557</v>
      </c>
    </row>
    <row r="1749" spans="1:25" x14ac:dyDescent="0.3">
      <c r="A1749">
        <v>87400</v>
      </c>
      <c r="B1749" t="s">
        <v>36558</v>
      </c>
      <c r="C1749" t="s">
        <v>36559</v>
      </c>
      <c r="D1749" t="s">
        <v>36560</v>
      </c>
      <c r="E1749" t="s">
        <v>36561</v>
      </c>
      <c r="F1749" t="s">
        <v>36562</v>
      </c>
      <c r="G1749" t="s">
        <v>36563</v>
      </c>
      <c r="H1749" t="s">
        <v>36564</v>
      </c>
      <c r="I1749" t="s">
        <v>36565</v>
      </c>
      <c r="J1749" t="s">
        <v>36566</v>
      </c>
      <c r="K1749" t="s">
        <v>36567</v>
      </c>
      <c r="L1749" t="s">
        <v>36568</v>
      </c>
      <c r="M1749">
        <f>-333.612736348894 -41.5353846379592 -354.484498870815</f>
        <v>-729.63261985766826</v>
      </c>
      <c r="N1749" t="s">
        <v>36569</v>
      </c>
      <c r="O1749">
        <f>-744.980173564412 -65.8202340352207 -730.485555633206</f>
        <v>-1541.2859632328386</v>
      </c>
      <c r="P1749">
        <f>-690.379924210717 -77.5245542331936 -418.928183744038</f>
        <v>-1186.8326621879487</v>
      </c>
      <c r="Q1749">
        <f>-442.968854743822 -13.3314579671355 -370.875905586391</f>
        <v>-827.17621829734856</v>
      </c>
      <c r="R1749" t="s">
        <v>36570</v>
      </c>
      <c r="S1749" t="s">
        <v>36571</v>
      </c>
      <c r="T1749" t="s">
        <v>36572</v>
      </c>
      <c r="U1749" t="s">
        <v>36573</v>
      </c>
      <c r="V1749" t="s">
        <v>36574</v>
      </c>
      <c r="W1749" t="s">
        <v>36575</v>
      </c>
      <c r="X1749" t="s">
        <v>36576</v>
      </c>
      <c r="Y1749" t="s">
        <v>36577</v>
      </c>
    </row>
    <row r="1750" spans="1:25" x14ac:dyDescent="0.3">
      <c r="A1750">
        <v>87450</v>
      </c>
      <c r="B1750" t="s">
        <v>36578</v>
      </c>
      <c r="C1750" t="s">
        <v>36579</v>
      </c>
      <c r="D1750" t="s">
        <v>36580</v>
      </c>
      <c r="E1750" t="s">
        <v>36581</v>
      </c>
      <c r="F1750" t="s">
        <v>36582</v>
      </c>
      <c r="G1750" t="s">
        <v>36583</v>
      </c>
      <c r="H1750" t="s">
        <v>36584</v>
      </c>
      <c r="I1750" t="s">
        <v>36585</v>
      </c>
      <c r="J1750" t="s">
        <v>36586</v>
      </c>
      <c r="K1750" t="s">
        <v>36587</v>
      </c>
      <c r="L1750" t="s">
        <v>36588</v>
      </c>
      <c r="M1750">
        <f>-332.61417309848 -41.247660468827 -354.888071358038</f>
        <v>-728.74990492534505</v>
      </c>
      <c r="N1750" t="s">
        <v>36589</v>
      </c>
      <c r="O1750">
        <f>-742.799283559454 -65.7693363380695 -730.990149192321</f>
        <v>-1539.5587690898446</v>
      </c>
      <c r="P1750">
        <f>-689.5082334745 -77.8172015411358 -419.219197531789</f>
        <v>-1186.5446325474247</v>
      </c>
      <c r="Q1750">
        <f>-442.702807249354 -11.7222660006912 -370.634183437634</f>
        <v>-825.05925668767918</v>
      </c>
      <c r="R1750" t="s">
        <v>36590</v>
      </c>
      <c r="S1750" t="s">
        <v>36591</v>
      </c>
      <c r="T1750" t="s">
        <v>36592</v>
      </c>
      <c r="U1750" t="s">
        <v>36593</v>
      </c>
      <c r="V1750" t="s">
        <v>36594</v>
      </c>
      <c r="W1750" t="s">
        <v>36595</v>
      </c>
      <c r="X1750" t="s">
        <v>36596</v>
      </c>
      <c r="Y1750" t="s">
        <v>36597</v>
      </c>
    </row>
    <row r="1751" spans="1:25" x14ac:dyDescent="0.3">
      <c r="A1751">
        <v>87500</v>
      </c>
      <c r="B1751" t="s">
        <v>36598</v>
      </c>
      <c r="C1751" t="s">
        <v>36599</v>
      </c>
      <c r="D1751" t="s">
        <v>36600</v>
      </c>
      <c r="E1751" t="s">
        <v>36601</v>
      </c>
      <c r="F1751" t="s">
        <v>36602</v>
      </c>
      <c r="G1751" t="s">
        <v>36603</v>
      </c>
      <c r="H1751" t="s">
        <v>36604</v>
      </c>
      <c r="I1751" t="s">
        <v>36605</v>
      </c>
      <c r="J1751" t="s">
        <v>36606</v>
      </c>
      <c r="K1751" t="s">
        <v>36607</v>
      </c>
      <c r="L1751" t="s">
        <v>36608</v>
      </c>
      <c r="M1751">
        <f>-332.524769946123 -41.3350260390739 -355.026149799798</f>
        <v>-728.88594578499487</v>
      </c>
      <c r="N1751" t="s">
        <v>36609</v>
      </c>
      <c r="O1751">
        <f>-742.139178049493 -65.5749120516732 -731.219682334161</f>
        <v>-1538.9337724353272</v>
      </c>
      <c r="P1751">
        <f>-689.150931637319 -78.0529867408447 -419.414085491466</f>
        <v>-1186.6180038696298</v>
      </c>
      <c r="Q1751">
        <f>-442.527173247277 -11.150048667942 -371.011913864692</f>
        <v>-824.689135779911</v>
      </c>
      <c r="R1751" t="s">
        <v>36610</v>
      </c>
      <c r="S1751" t="s">
        <v>36611</v>
      </c>
      <c r="T1751" t="s">
        <v>36612</v>
      </c>
      <c r="U1751" t="s">
        <v>36613</v>
      </c>
      <c r="V1751" t="s">
        <v>36614</v>
      </c>
      <c r="W1751" t="s">
        <v>36615</v>
      </c>
      <c r="X1751" t="s">
        <v>36616</v>
      </c>
      <c r="Y1751" t="s">
        <v>36617</v>
      </c>
    </row>
    <row r="1752" spans="1:25" x14ac:dyDescent="0.3">
      <c r="A1752">
        <v>87550</v>
      </c>
      <c r="B1752" t="s">
        <v>36618</v>
      </c>
      <c r="C1752" t="s">
        <v>36619</v>
      </c>
      <c r="D1752" t="s">
        <v>36620</v>
      </c>
      <c r="E1752" t="s">
        <v>36621</v>
      </c>
      <c r="F1752" t="s">
        <v>36622</v>
      </c>
      <c r="G1752" t="s">
        <v>36623</v>
      </c>
      <c r="H1752" t="s">
        <v>36624</v>
      </c>
      <c r="I1752" t="s">
        <v>36625</v>
      </c>
      <c r="J1752" t="s">
        <v>36626</v>
      </c>
      <c r="K1752" t="s">
        <v>36627</v>
      </c>
      <c r="L1752" t="s">
        <v>36628</v>
      </c>
      <c r="M1752">
        <f>-332.762123053257 -42.6598218968009 -355.134698099426</f>
        <v>-730.55664304948391</v>
      </c>
      <c r="N1752" t="s">
        <v>36629</v>
      </c>
      <c r="O1752">
        <f>-741.320050632824 -65.0604570580338 -731.815443938188</f>
        <v>-1538.1959516290458</v>
      </c>
      <c r="P1752">
        <f>-688.45482407994 -78.2445028844099 -420.018004185386</f>
        <v>-1186.7173311497359</v>
      </c>
      <c r="Q1752">
        <f>-441.789824465918 -10.8707258814445 -372.486846125445</f>
        <v>-825.14739647280749</v>
      </c>
      <c r="R1752" t="s">
        <v>36630</v>
      </c>
      <c r="S1752" t="s">
        <v>36631</v>
      </c>
      <c r="T1752" t="s">
        <v>36632</v>
      </c>
      <c r="U1752" t="s">
        <v>36633</v>
      </c>
      <c r="V1752" t="s">
        <v>36634</v>
      </c>
      <c r="W1752" t="s">
        <v>36635</v>
      </c>
      <c r="X1752" t="s">
        <v>36636</v>
      </c>
      <c r="Y1752" t="s">
        <v>36637</v>
      </c>
    </row>
    <row r="1753" spans="1:25" x14ac:dyDescent="0.3">
      <c r="A1753">
        <v>87600</v>
      </c>
      <c r="B1753" t="s">
        <v>36638</v>
      </c>
      <c r="C1753" t="s">
        <v>36639</v>
      </c>
      <c r="D1753" t="s">
        <v>36640</v>
      </c>
      <c r="E1753" t="s">
        <v>36641</v>
      </c>
      <c r="F1753" t="s">
        <v>36642</v>
      </c>
      <c r="G1753" t="s">
        <v>36643</v>
      </c>
      <c r="H1753" t="s">
        <v>36644</v>
      </c>
      <c r="I1753" t="s">
        <v>36645</v>
      </c>
      <c r="J1753" t="s">
        <v>36646</v>
      </c>
      <c r="K1753" t="s">
        <v>36647</v>
      </c>
      <c r="L1753" t="s">
        <v>36648</v>
      </c>
      <c r="M1753">
        <f>-332.887383811652 -43.8499387487534 -355.708874703545</f>
        <v>-732.44619726395035</v>
      </c>
      <c r="N1753" t="s">
        <v>36649</v>
      </c>
      <c r="O1753">
        <f>-740.97583034323 -64.6186271073827 -732.148964579314</f>
        <v>-1537.7434220299267</v>
      </c>
      <c r="P1753">
        <f>-687.921773264038 -78.4770596600229 -420.412769199869</f>
        <v>-1186.8116021239298</v>
      </c>
      <c r="Q1753">
        <f>-441.14197012213 -11.4193004139897 -373.031000961275</f>
        <v>-825.59227149739468</v>
      </c>
      <c r="R1753" t="s">
        <v>36650</v>
      </c>
      <c r="S1753" t="s">
        <v>36651</v>
      </c>
      <c r="T1753" t="s">
        <v>36652</v>
      </c>
      <c r="U1753" t="s">
        <v>36653</v>
      </c>
      <c r="V1753" t="s">
        <v>36654</v>
      </c>
      <c r="W1753" t="s">
        <v>36655</v>
      </c>
      <c r="X1753" t="s">
        <v>36656</v>
      </c>
      <c r="Y1753" t="s">
        <v>36657</v>
      </c>
    </row>
    <row r="1754" spans="1:25" x14ac:dyDescent="0.3">
      <c r="A1754">
        <v>87650</v>
      </c>
      <c r="B1754" t="s">
        <v>36658</v>
      </c>
      <c r="C1754" t="s">
        <v>36659</v>
      </c>
      <c r="D1754" t="s">
        <v>36660</v>
      </c>
      <c r="E1754" t="s">
        <v>36661</v>
      </c>
      <c r="F1754" t="s">
        <v>36662</v>
      </c>
      <c r="G1754" t="s">
        <v>36663</v>
      </c>
      <c r="H1754" t="s">
        <v>36664</v>
      </c>
      <c r="I1754" t="s">
        <v>36665</v>
      </c>
      <c r="J1754" t="s">
        <v>36666</v>
      </c>
      <c r="K1754" t="s">
        <v>36667</v>
      </c>
      <c r="L1754" t="s">
        <v>36668</v>
      </c>
      <c r="M1754">
        <f>-331.324874353465 -45.3113473639708 -356.210778569822</f>
        <v>-732.84700028725786</v>
      </c>
      <c r="N1754" t="s">
        <v>36669</v>
      </c>
      <c r="O1754">
        <f>-740.267841834835 -63.9605918563523 -732.731396622405</f>
        <v>-1536.9598303135922</v>
      </c>
      <c r="P1754">
        <f>-687.442776711319 -79.5494687966889 -421.03817995562</f>
        <v>-1188.0304254636278</v>
      </c>
      <c r="Q1754">
        <f>-440.276130258221 -12.3983748889711 -375.855340434085</f>
        <v>-828.52984558127707</v>
      </c>
      <c r="R1754" t="s">
        <v>36670</v>
      </c>
      <c r="S1754" t="s">
        <v>36671</v>
      </c>
      <c r="T1754" t="s">
        <v>36672</v>
      </c>
      <c r="U1754" t="s">
        <v>36673</v>
      </c>
      <c r="V1754" t="s">
        <v>36674</v>
      </c>
      <c r="W1754" t="s">
        <v>36675</v>
      </c>
      <c r="X1754" t="s">
        <v>36676</v>
      </c>
      <c r="Y1754" t="s">
        <v>36677</v>
      </c>
    </row>
    <row r="1755" spans="1:25" x14ac:dyDescent="0.3">
      <c r="A1755">
        <v>87700</v>
      </c>
      <c r="B1755" t="s">
        <v>36678</v>
      </c>
      <c r="C1755" t="s">
        <v>36679</v>
      </c>
      <c r="D1755" t="s">
        <v>36680</v>
      </c>
      <c r="E1755" t="s">
        <v>36681</v>
      </c>
      <c r="F1755" t="s">
        <v>36682</v>
      </c>
      <c r="G1755" t="s">
        <v>36683</v>
      </c>
      <c r="H1755" t="s">
        <v>36684</v>
      </c>
      <c r="I1755" t="s">
        <v>36685</v>
      </c>
      <c r="J1755" t="s">
        <v>36686</v>
      </c>
      <c r="K1755" t="s">
        <v>36687</v>
      </c>
      <c r="L1755" t="s">
        <v>36688</v>
      </c>
      <c r="M1755">
        <f>-330.066731569752 -45.5641327560413 -356.291944459478</f>
        <v>-731.92280878527129</v>
      </c>
      <c r="N1755" t="s">
        <v>36689</v>
      </c>
      <c r="O1755">
        <f>-739.846596842943 -63.5073741226984 -733.009117561001</f>
        <v>-1536.3630885266423</v>
      </c>
      <c r="P1755">
        <f>-686.817270410556 -80.0365781588198 -421.398927389323</f>
        <v>-1188.2527759586987</v>
      </c>
      <c r="Q1755">
        <f>-439.329553997095 -13.3164920616155 -377.350381789138</f>
        <v>-829.99642784784851</v>
      </c>
      <c r="R1755" t="s">
        <v>36690</v>
      </c>
      <c r="S1755" t="s">
        <v>36691</v>
      </c>
      <c r="T1755" t="s">
        <v>36692</v>
      </c>
      <c r="U1755" t="s">
        <v>36693</v>
      </c>
      <c r="V1755" t="s">
        <v>36694</v>
      </c>
      <c r="W1755" t="s">
        <v>36695</v>
      </c>
      <c r="X1755" t="s">
        <v>36696</v>
      </c>
      <c r="Y1755" t="s">
        <v>36697</v>
      </c>
    </row>
    <row r="1756" spans="1:25" x14ac:dyDescent="0.3">
      <c r="A1756">
        <v>87750</v>
      </c>
      <c r="B1756" t="s">
        <v>36698</v>
      </c>
      <c r="C1756" t="s">
        <v>36699</v>
      </c>
      <c r="D1756" t="s">
        <v>36700</v>
      </c>
      <c r="E1756" t="s">
        <v>36701</v>
      </c>
      <c r="F1756" t="s">
        <v>36702</v>
      </c>
      <c r="G1756" t="s">
        <v>36703</v>
      </c>
      <c r="H1756" t="s">
        <v>36704</v>
      </c>
      <c r="I1756" t="s">
        <v>36705</v>
      </c>
      <c r="J1756" t="s">
        <v>36706</v>
      </c>
      <c r="K1756" t="s">
        <v>36707</v>
      </c>
      <c r="L1756" t="s">
        <v>36708</v>
      </c>
      <c r="M1756">
        <f>-329.30214307752 -46.3390403528049 -356.120015387742</f>
        <v>-731.76119881806687</v>
      </c>
      <c r="N1756" t="s">
        <v>36709</v>
      </c>
      <c r="O1756">
        <f>-739.594766136865 -62.9343205660934 -733.300216476646</f>
        <v>-1535.8293031796045</v>
      </c>
      <c r="P1756">
        <f>-686.623949069065 -79.8216035239855 -421.699278056362</f>
        <v>-1188.1448306494126</v>
      </c>
      <c r="Q1756">
        <f>-438.355627691028 -15.528417759992 -378.440431031136</f>
        <v>-832.324476482156</v>
      </c>
      <c r="R1756" t="s">
        <v>36710</v>
      </c>
      <c r="S1756" t="s">
        <v>36711</v>
      </c>
      <c r="T1756" t="s">
        <v>36712</v>
      </c>
      <c r="U1756" t="s">
        <v>36713</v>
      </c>
      <c r="V1756" t="s">
        <v>36714</v>
      </c>
      <c r="W1756" t="s">
        <v>36715</v>
      </c>
      <c r="X1756" t="s">
        <v>36716</v>
      </c>
      <c r="Y1756" t="s">
        <v>36717</v>
      </c>
    </row>
    <row r="1757" spans="1:25" x14ac:dyDescent="0.3">
      <c r="A1757">
        <v>87800</v>
      </c>
      <c r="B1757" t="s">
        <v>36718</v>
      </c>
      <c r="C1757" t="s">
        <v>36719</v>
      </c>
      <c r="D1757" t="s">
        <v>36720</v>
      </c>
      <c r="E1757" t="s">
        <v>36721</v>
      </c>
      <c r="F1757" t="s">
        <v>36722</v>
      </c>
      <c r="G1757" t="s">
        <v>36723</v>
      </c>
      <c r="H1757" t="s">
        <v>36724</v>
      </c>
      <c r="I1757" t="s">
        <v>36725</v>
      </c>
      <c r="J1757" t="s">
        <v>36726</v>
      </c>
      <c r="K1757" t="s">
        <v>36727</v>
      </c>
      <c r="L1757" t="s">
        <v>36728</v>
      </c>
      <c r="M1757">
        <f>-329.193952438784 -46.371797934657 -355.564383893314</f>
        <v>-731.13013426675502</v>
      </c>
      <c r="N1757" t="s">
        <v>36729</v>
      </c>
      <c r="O1757">
        <f>-739.370785763556 -62.712530588901 -733.381634375383</f>
        <v>-1535.46495072784</v>
      </c>
      <c r="P1757">
        <f>-686.524691783091 -79.9773474022029 -421.780194770992</f>
        <v>-1188.2822339562858</v>
      </c>
      <c r="Q1757">
        <f>-438.049353201088 -16.5438718044843 -378.44161619237</f>
        <v>-833.03484119794234</v>
      </c>
      <c r="R1757" t="s">
        <v>36730</v>
      </c>
      <c r="S1757" t="s">
        <v>36731</v>
      </c>
      <c r="T1757" t="s">
        <v>36732</v>
      </c>
      <c r="U1757" t="s">
        <v>36733</v>
      </c>
      <c r="V1757" t="s">
        <v>36734</v>
      </c>
      <c r="W1757" t="s">
        <v>36735</v>
      </c>
      <c r="X1757" t="s">
        <v>36736</v>
      </c>
      <c r="Y1757" t="s">
        <v>36737</v>
      </c>
    </row>
    <row r="1758" spans="1:25" x14ac:dyDescent="0.3">
      <c r="A1758">
        <v>87850</v>
      </c>
      <c r="B1758" t="s">
        <v>36738</v>
      </c>
      <c r="C1758" t="s">
        <v>36739</v>
      </c>
      <c r="D1758" t="s">
        <v>36740</v>
      </c>
      <c r="E1758" t="s">
        <v>36741</v>
      </c>
      <c r="F1758" t="s">
        <v>36742</v>
      </c>
      <c r="G1758" t="s">
        <v>36743</v>
      </c>
      <c r="H1758" t="s">
        <v>36744</v>
      </c>
      <c r="I1758" t="s">
        <v>36745</v>
      </c>
      <c r="J1758" t="s">
        <v>36746</v>
      </c>
      <c r="K1758" t="s">
        <v>36747</v>
      </c>
      <c r="L1758" t="s">
        <v>36748</v>
      </c>
      <c r="M1758">
        <f>-329.605238707761 -46.8981925708292 -355.151069615036</f>
        <v>-731.65450089362616</v>
      </c>
      <c r="N1758" t="s">
        <v>36749</v>
      </c>
      <c r="O1758">
        <f>-739.282438166662 -62.2304660736474 -733.463444992814</f>
        <v>-1534.9763492331235</v>
      </c>
      <c r="P1758">
        <f>-686.450154307737 -79.7445302493627 -421.873765324397</f>
        <v>-1188.0684498814967</v>
      </c>
      <c r="Q1758">
        <f>-437.65586044212 -17.1543626378582 -379.142881859365</f>
        <v>-833.95310493934312</v>
      </c>
      <c r="R1758" t="s">
        <v>36750</v>
      </c>
      <c r="S1758" t="s">
        <v>36751</v>
      </c>
      <c r="T1758" t="s">
        <v>36752</v>
      </c>
      <c r="U1758" t="s">
        <v>36753</v>
      </c>
      <c r="V1758" t="s">
        <v>36754</v>
      </c>
      <c r="W1758" t="s">
        <v>36755</v>
      </c>
      <c r="X1758" t="s">
        <v>36756</v>
      </c>
      <c r="Y1758" t="s">
        <v>36757</v>
      </c>
    </row>
    <row r="1759" spans="1:25" x14ac:dyDescent="0.3">
      <c r="A1759">
        <v>87900</v>
      </c>
      <c r="B1759" t="s">
        <v>36758</v>
      </c>
      <c r="C1759" t="s">
        <v>36759</v>
      </c>
      <c r="D1759" t="s">
        <v>36760</v>
      </c>
      <c r="E1759" t="s">
        <v>36761</v>
      </c>
      <c r="F1759" t="s">
        <v>36762</v>
      </c>
      <c r="G1759" t="s">
        <v>36763</v>
      </c>
      <c r="H1759" t="s">
        <v>36764</v>
      </c>
      <c r="I1759" t="s">
        <v>36765</v>
      </c>
      <c r="J1759" t="s">
        <v>36766</v>
      </c>
      <c r="K1759" t="s">
        <v>36767</v>
      </c>
      <c r="L1759" t="s">
        <v>36768</v>
      </c>
      <c r="M1759">
        <f>-329.51906751886 -47.2407777469855 -355.185059723203</f>
        <v>-731.9449049890485</v>
      </c>
      <c r="N1759" t="s">
        <v>36769</v>
      </c>
      <c r="O1759">
        <f>-739.160750657236 -61.9240204313105 -733.471146091956</f>
        <v>-1534.5559171805025</v>
      </c>
      <c r="P1759">
        <f>-686.326365453101 -79.6366086697224 -421.892943533547</f>
        <v>-1187.8559176563704</v>
      </c>
      <c r="Q1759">
        <f>-437.482656949224 -17.0444503862848 -379.453526862995</f>
        <v>-833.98063419850382</v>
      </c>
      <c r="R1759" t="s">
        <v>36770</v>
      </c>
      <c r="S1759" t="s">
        <v>36771</v>
      </c>
      <c r="T1759" t="s">
        <v>36772</v>
      </c>
      <c r="U1759" t="s">
        <v>36773</v>
      </c>
      <c r="V1759" t="s">
        <v>36774</v>
      </c>
      <c r="W1759" t="s">
        <v>36775</v>
      </c>
      <c r="X1759" t="s">
        <v>36776</v>
      </c>
      <c r="Y1759" t="s">
        <v>36777</v>
      </c>
    </row>
    <row r="1760" spans="1:25" x14ac:dyDescent="0.3">
      <c r="A1760">
        <v>87950</v>
      </c>
      <c r="B1760" t="s">
        <v>36778</v>
      </c>
      <c r="C1760" t="s">
        <v>36779</v>
      </c>
      <c r="D1760" t="s">
        <v>36780</v>
      </c>
      <c r="E1760" t="s">
        <v>36781</v>
      </c>
      <c r="F1760" t="s">
        <v>36782</v>
      </c>
      <c r="G1760" t="s">
        <v>36783</v>
      </c>
      <c r="H1760" t="s">
        <v>36784</v>
      </c>
      <c r="I1760" t="s">
        <v>36785</v>
      </c>
      <c r="J1760" t="s">
        <v>36786</v>
      </c>
      <c r="K1760" t="s">
        <v>36787</v>
      </c>
      <c r="L1760" t="s">
        <v>36788</v>
      </c>
      <c r="M1760">
        <f>-329.150094223184 -47.4416680905467 -355.084673700245</f>
        <v>-731.67643601397572</v>
      </c>
      <c r="N1760" t="s">
        <v>36789</v>
      </c>
      <c r="O1760">
        <f>-738.727058341485 -61.5759407752219 -733.419289812521</f>
        <v>-1533.7222889292279</v>
      </c>
      <c r="P1760">
        <f>-686.077021736887 -79.3134333194373 -421.811311992503</f>
        <v>-1187.2017670488274</v>
      </c>
      <c r="Q1760">
        <f>-437.04874868399 -16.5982242128855 -380.65618661919</f>
        <v>-834.30315951606553</v>
      </c>
      <c r="R1760" t="s">
        <v>36790</v>
      </c>
      <c r="S1760" t="s">
        <v>36791</v>
      </c>
      <c r="T1760" t="s">
        <v>36792</v>
      </c>
      <c r="U1760" t="s">
        <v>36793</v>
      </c>
      <c r="V1760" t="s">
        <v>36794</v>
      </c>
      <c r="W1760" t="s">
        <v>36795</v>
      </c>
      <c r="X1760" t="s">
        <v>36796</v>
      </c>
      <c r="Y1760" t="s">
        <v>36797</v>
      </c>
    </row>
    <row r="1761" spans="1:25" x14ac:dyDescent="0.3">
      <c r="A1761">
        <v>88000</v>
      </c>
      <c r="B1761" t="s">
        <v>36798</v>
      </c>
      <c r="C1761" t="s">
        <v>36799</v>
      </c>
      <c r="D1761" t="s">
        <v>36800</v>
      </c>
      <c r="E1761" t="s">
        <v>36801</v>
      </c>
      <c r="F1761" t="s">
        <v>36802</v>
      </c>
      <c r="G1761" t="s">
        <v>36803</v>
      </c>
      <c r="H1761" t="s">
        <v>36804</v>
      </c>
      <c r="I1761" t="s">
        <v>36805</v>
      </c>
      <c r="J1761" t="s">
        <v>36806</v>
      </c>
      <c r="K1761" t="s">
        <v>36807</v>
      </c>
      <c r="L1761" t="s">
        <v>36808</v>
      </c>
      <c r="M1761">
        <f>-328.735717694348 -46.7085645568718 -354.448107872638</f>
        <v>-729.89239012385781</v>
      </c>
      <c r="N1761" t="s">
        <v>36809</v>
      </c>
      <c r="O1761">
        <f>-738.600808349609 -61.2447428065543 -733.39904202265</f>
        <v>-1533.2445931788134</v>
      </c>
      <c r="P1761">
        <f>-685.961440204172 -79.0086573559784 -421.790901668901</f>
        <v>-1186.7609992290513</v>
      </c>
      <c r="Q1761">
        <f>-436.865972981226 -16.1864126841101 -381.209123952108</f>
        <v>-834.26150961744406</v>
      </c>
      <c r="R1761" t="s">
        <v>36810</v>
      </c>
      <c r="S1761" t="s">
        <v>36811</v>
      </c>
      <c r="T1761" t="s">
        <v>36812</v>
      </c>
      <c r="U1761" t="s">
        <v>36813</v>
      </c>
      <c r="V1761" t="s">
        <v>36814</v>
      </c>
      <c r="W1761" t="s">
        <v>36815</v>
      </c>
      <c r="X1761" t="s">
        <v>36816</v>
      </c>
      <c r="Y1761" t="s">
        <v>36817</v>
      </c>
    </row>
    <row r="1762" spans="1:25" x14ac:dyDescent="0.3">
      <c r="A1762">
        <v>88050</v>
      </c>
      <c r="B1762" t="s">
        <v>36818</v>
      </c>
      <c r="C1762" t="s">
        <v>36819</v>
      </c>
      <c r="D1762" t="s">
        <v>36820</v>
      </c>
      <c r="E1762" t="s">
        <v>36821</v>
      </c>
      <c r="F1762" t="s">
        <v>36822</v>
      </c>
      <c r="G1762" t="s">
        <v>36823</v>
      </c>
      <c r="H1762" t="s">
        <v>36824</v>
      </c>
      <c r="I1762" t="s">
        <v>36825</v>
      </c>
      <c r="J1762" t="s">
        <v>36826</v>
      </c>
      <c r="K1762" t="s">
        <v>36827</v>
      </c>
      <c r="L1762" t="s">
        <v>36828</v>
      </c>
      <c r="M1762">
        <f>-326.832073978216 -42.7888721118463 -352.116352426185</f>
        <v>-721.73729851624728</v>
      </c>
      <c r="N1762" t="s">
        <v>36829</v>
      </c>
      <c r="O1762">
        <f>-737.724824817555 -60.6809824182944 -733.415434207908</f>
        <v>-1531.8212414437576</v>
      </c>
      <c r="P1762">
        <f>-685.448851742209 -78.1916241414929 -421.731624342171</f>
        <v>-1185.3721002258728</v>
      </c>
      <c r="Q1762">
        <f>-436.199231012105 -15.7472013276633 -381.514996765924</f>
        <v>-833.46142910569233</v>
      </c>
      <c r="R1762" t="s">
        <v>36830</v>
      </c>
      <c r="S1762" t="s">
        <v>36831</v>
      </c>
      <c r="T1762" t="s">
        <v>36832</v>
      </c>
      <c r="U1762" t="s">
        <v>36833</v>
      </c>
      <c r="V1762" t="s">
        <v>36834</v>
      </c>
      <c r="W1762" t="s">
        <v>36835</v>
      </c>
      <c r="X1762" t="s">
        <v>36836</v>
      </c>
      <c r="Y1762" t="s">
        <v>36837</v>
      </c>
    </row>
    <row r="1763" spans="1:25" x14ac:dyDescent="0.3">
      <c r="A1763">
        <v>88100</v>
      </c>
      <c r="B1763" t="s">
        <v>36838</v>
      </c>
      <c r="C1763" t="s">
        <v>36839</v>
      </c>
      <c r="D1763" t="s">
        <v>36840</v>
      </c>
      <c r="E1763" t="s">
        <v>36841</v>
      </c>
      <c r="F1763" t="s">
        <v>36842</v>
      </c>
      <c r="G1763" t="s">
        <v>36843</v>
      </c>
      <c r="H1763" t="s">
        <v>36844</v>
      </c>
      <c r="I1763" t="s">
        <v>36845</v>
      </c>
      <c r="J1763" t="s">
        <v>36846</v>
      </c>
      <c r="K1763" t="s">
        <v>36847</v>
      </c>
      <c r="L1763" t="s">
        <v>36848</v>
      </c>
      <c r="M1763">
        <f>-326.025213128974 -39.1605817840841 -350.181699056969</f>
        <v>-715.36749397002711</v>
      </c>
      <c r="N1763" t="s">
        <v>36849</v>
      </c>
      <c r="O1763">
        <f>-737.526848687328 -60.6510749841846 -733.228569686023</f>
        <v>-1531.4064933575355</v>
      </c>
      <c r="P1763">
        <f>-685.336700992393 -77.7063925611803 -421.505103502534</f>
        <v>-1184.5481970561073</v>
      </c>
      <c r="Q1763">
        <f>-435.93567494525 -15.6767397935669 -381.586772406804</f>
        <v>-833.19918714562095</v>
      </c>
      <c r="R1763" t="s">
        <v>36850</v>
      </c>
      <c r="S1763" t="s">
        <v>36851</v>
      </c>
      <c r="T1763" t="s">
        <v>36852</v>
      </c>
      <c r="U1763" t="s">
        <v>36853</v>
      </c>
      <c r="V1763" t="s">
        <v>36854</v>
      </c>
      <c r="W1763" t="s">
        <v>36855</v>
      </c>
      <c r="X1763" t="s">
        <v>36856</v>
      </c>
      <c r="Y1763" t="s">
        <v>36857</v>
      </c>
    </row>
    <row r="1764" spans="1:25" x14ac:dyDescent="0.3">
      <c r="A1764">
        <v>88150</v>
      </c>
      <c r="B1764" t="s">
        <v>36858</v>
      </c>
      <c r="C1764" t="s">
        <v>36859</v>
      </c>
      <c r="D1764" t="s">
        <v>36860</v>
      </c>
      <c r="E1764" t="s">
        <v>36861</v>
      </c>
      <c r="F1764" t="s">
        <v>36862</v>
      </c>
      <c r="G1764" t="s">
        <v>36863</v>
      </c>
      <c r="H1764" t="s">
        <v>36864</v>
      </c>
      <c r="I1764" t="s">
        <v>36865</v>
      </c>
      <c r="J1764" t="s">
        <v>36866</v>
      </c>
      <c r="K1764" t="s">
        <v>36867</v>
      </c>
      <c r="L1764" t="s">
        <v>36868</v>
      </c>
      <c r="M1764">
        <f>-324.866094984322 -28.7152951923872 -343.886986656502</f>
        <v>-697.46837683321121</v>
      </c>
      <c r="N1764" t="s">
        <v>36869</v>
      </c>
      <c r="O1764">
        <f>-737.332710899136 -60.6512573388623 -732.641181913937</f>
        <v>-1530.6251501519353</v>
      </c>
      <c r="P1764">
        <f>-685.125322803084 -77.120966148527 -420.889239843314</f>
        <v>-1183.135528794925</v>
      </c>
      <c r="Q1764">
        <f>-435.570571546742 -15.6919225381209 -381.002060056478</f>
        <v>-832.2645541413408</v>
      </c>
      <c r="R1764" t="s">
        <v>36870</v>
      </c>
      <c r="S1764" t="s">
        <v>36871</v>
      </c>
      <c r="T1764" t="s">
        <v>36872</v>
      </c>
      <c r="U1764" t="s">
        <v>36873</v>
      </c>
      <c r="V1764" t="s">
        <v>36874</v>
      </c>
      <c r="W1764" t="s">
        <v>36875</v>
      </c>
      <c r="X1764" t="s">
        <v>36876</v>
      </c>
      <c r="Y1764" t="s">
        <v>36877</v>
      </c>
    </row>
    <row r="1765" spans="1:25" x14ac:dyDescent="0.3">
      <c r="A1765">
        <v>88200</v>
      </c>
      <c r="B1765" t="s">
        <v>36878</v>
      </c>
      <c r="C1765" t="s">
        <v>36879</v>
      </c>
      <c r="D1765" t="s">
        <v>36880</v>
      </c>
      <c r="E1765" t="s">
        <v>36881</v>
      </c>
      <c r="F1765" t="s">
        <v>36882</v>
      </c>
      <c r="G1765" t="s">
        <v>36883</v>
      </c>
      <c r="H1765" t="s">
        <v>36884</v>
      </c>
      <c r="I1765" t="s">
        <v>36885</v>
      </c>
      <c r="J1765" t="s">
        <v>36886</v>
      </c>
      <c r="K1765" t="s">
        <v>36887</v>
      </c>
      <c r="L1765" t="s">
        <v>36888</v>
      </c>
      <c r="M1765">
        <f>-323.997031380822 -21.3322217006869 -339.063971618893</f>
        <v>-684.3932247004019</v>
      </c>
      <c r="N1765" t="s">
        <v>36889</v>
      </c>
      <c r="O1765">
        <f>-737.413132824671 -60.9087483525132 -732.303662893592</f>
        <v>-1530.6255440707762</v>
      </c>
      <c r="P1765">
        <f>-685.392818339411 -76.4785727505168 -420.474050127963</f>
        <v>-1182.3454412178908</v>
      </c>
      <c r="Q1765">
        <f>-435.795827052786 -15.2550027069976 -380.535923959745</f>
        <v>-831.58675371952859</v>
      </c>
      <c r="R1765" t="s">
        <v>36890</v>
      </c>
      <c r="S1765" t="s">
        <v>36891</v>
      </c>
      <c r="T1765" t="s">
        <v>36892</v>
      </c>
      <c r="U1765" t="s">
        <v>36893</v>
      </c>
      <c r="V1765" t="s">
        <v>36894</v>
      </c>
      <c r="W1765" t="s">
        <v>36895</v>
      </c>
      <c r="X1765" t="s">
        <v>36896</v>
      </c>
      <c r="Y1765" t="s">
        <v>36897</v>
      </c>
    </row>
    <row r="1766" spans="1:25" x14ac:dyDescent="0.3">
      <c r="A1766">
        <v>88250</v>
      </c>
      <c r="B1766" t="s">
        <v>36898</v>
      </c>
      <c r="C1766" t="s">
        <v>36899</v>
      </c>
      <c r="D1766" t="s">
        <v>36900</v>
      </c>
      <c r="E1766" t="s">
        <v>36901</v>
      </c>
      <c r="F1766" t="s">
        <v>36902</v>
      </c>
      <c r="G1766" t="s">
        <v>36903</v>
      </c>
      <c r="H1766" t="s">
        <v>36904</v>
      </c>
      <c r="I1766" t="s">
        <v>36905</v>
      </c>
      <c r="J1766" t="s">
        <v>36906</v>
      </c>
      <c r="K1766" t="s">
        <v>36907</v>
      </c>
      <c r="L1766" t="s">
        <v>36908</v>
      </c>
      <c r="M1766">
        <f>-322.587052917107 -4.93122197739854 -329.427080952198</f>
        <v>-656.94535584670348</v>
      </c>
      <c r="N1766" t="s">
        <v>36909</v>
      </c>
      <c r="O1766">
        <f>-737.388323803821 -61.4593177004642 -731.688369512813</f>
        <v>-1530.5360110170982</v>
      </c>
      <c r="P1766">
        <f>-685.582719768852 -76.0075307863494 -419.773684025453</f>
        <v>-1181.3639345806546</v>
      </c>
      <c r="Q1766">
        <f>-435.959579055573 -15.0815858852438 -379.544768158679</f>
        <v>-830.58593309949583</v>
      </c>
      <c r="R1766" t="s">
        <v>36910</v>
      </c>
      <c r="S1766" t="s">
        <v>36911</v>
      </c>
      <c r="T1766" t="s">
        <v>36912</v>
      </c>
      <c r="U1766" t="s">
        <v>36913</v>
      </c>
      <c r="V1766" t="s">
        <v>36914</v>
      </c>
      <c r="W1766" t="s">
        <v>36915</v>
      </c>
      <c r="X1766" t="s">
        <v>36916</v>
      </c>
      <c r="Y1766" t="s">
        <v>36917</v>
      </c>
    </row>
    <row r="1767" spans="1:25" x14ac:dyDescent="0.3">
      <c r="A1767">
        <v>88300</v>
      </c>
      <c r="B1767" t="s">
        <v>36918</v>
      </c>
      <c r="C1767" t="s">
        <v>36919</v>
      </c>
      <c r="D1767" t="s">
        <v>36920</v>
      </c>
      <c r="E1767" t="s">
        <v>36921</v>
      </c>
      <c r="F1767" t="s">
        <v>36922</v>
      </c>
      <c r="G1767" t="s">
        <v>36923</v>
      </c>
      <c r="H1767" t="s">
        <v>36924</v>
      </c>
      <c r="I1767" t="s">
        <v>36925</v>
      </c>
      <c r="J1767" t="s">
        <v>36926</v>
      </c>
      <c r="K1767" t="s">
        <v>36927</v>
      </c>
      <c r="L1767" t="s">
        <v>36928</v>
      </c>
      <c r="M1767" t="s">
        <v>36929</v>
      </c>
      <c r="N1767" t="s">
        <v>36930</v>
      </c>
      <c r="O1767">
        <f>-737.393484756382 -61.9528237851878 -731.357859685034</f>
        <v>-1530.7041682266038</v>
      </c>
      <c r="P1767">
        <f>-685.909328879557 -75.5538093961268 -419.347424313626</f>
        <v>-1180.8105625893099</v>
      </c>
      <c r="Q1767">
        <f>-436.213876549082 -14.8280991111637 -379.264352771059</f>
        <v>-830.30632843130468</v>
      </c>
      <c r="R1767" t="s">
        <v>36931</v>
      </c>
      <c r="S1767" t="s">
        <v>36932</v>
      </c>
      <c r="T1767" t="s">
        <v>36933</v>
      </c>
      <c r="U1767" t="s">
        <v>36934</v>
      </c>
      <c r="V1767" t="s">
        <v>36935</v>
      </c>
      <c r="W1767" t="s">
        <v>36936</v>
      </c>
      <c r="X1767" t="s">
        <v>36937</v>
      </c>
      <c r="Y1767" t="s">
        <v>36938</v>
      </c>
    </row>
    <row r="1768" spans="1:25" x14ac:dyDescent="0.3">
      <c r="A1768">
        <v>88350</v>
      </c>
      <c r="B1768" t="s">
        <v>36939</v>
      </c>
      <c r="C1768" t="s">
        <v>36940</v>
      </c>
      <c r="D1768" t="s">
        <v>36941</v>
      </c>
      <c r="E1768" t="s">
        <v>36942</v>
      </c>
      <c r="F1768" t="s">
        <v>36943</v>
      </c>
      <c r="G1768" t="s">
        <v>36944</v>
      </c>
      <c r="H1768" t="s">
        <v>36945</v>
      </c>
      <c r="I1768" t="s">
        <v>36946</v>
      </c>
      <c r="J1768" t="s">
        <v>36947</v>
      </c>
      <c r="K1768" t="s">
        <v>36948</v>
      </c>
      <c r="L1768" t="s">
        <v>36949</v>
      </c>
      <c r="M1768" t="s">
        <v>36950</v>
      </c>
      <c r="N1768" t="s">
        <v>36951</v>
      </c>
      <c r="O1768">
        <f>-737.429614846313 -62.7982282553005 -730.598962271227</f>
        <v>-1530.8268053728407</v>
      </c>
      <c r="P1768">
        <f>-686.418609425812 -75.0384862768217 -418.454440662384</f>
        <v>-1179.9115363650176</v>
      </c>
      <c r="Q1768">
        <f>-436.651937764551 -14.8632751977 -377.987644083749</f>
        <v>-829.50285704599992</v>
      </c>
      <c r="R1768" t="s">
        <v>36952</v>
      </c>
      <c r="S1768" t="s">
        <v>36953</v>
      </c>
      <c r="T1768" t="s">
        <v>36954</v>
      </c>
      <c r="U1768" t="s">
        <v>36955</v>
      </c>
      <c r="V1768" t="s">
        <v>36956</v>
      </c>
      <c r="W1768" t="s">
        <v>36957</v>
      </c>
      <c r="X1768" t="s">
        <v>36958</v>
      </c>
      <c r="Y1768" t="s">
        <v>36959</v>
      </c>
    </row>
    <row r="1769" spans="1:25" x14ac:dyDescent="0.3">
      <c r="A1769">
        <v>88400</v>
      </c>
      <c r="B1769" t="s">
        <v>36960</v>
      </c>
      <c r="C1769" t="s">
        <v>36961</v>
      </c>
      <c r="D1769" t="s">
        <v>36962</v>
      </c>
      <c r="E1769" t="s">
        <v>36963</v>
      </c>
      <c r="F1769" t="s">
        <v>36964</v>
      </c>
      <c r="G1769" t="s">
        <v>36965</v>
      </c>
      <c r="H1769" t="s">
        <v>36966</v>
      </c>
      <c r="I1769" t="s">
        <v>36967</v>
      </c>
      <c r="J1769" t="s">
        <v>36968</v>
      </c>
      <c r="K1769" t="s">
        <v>36969</v>
      </c>
      <c r="L1769" t="s">
        <v>36970</v>
      </c>
      <c r="M1769" t="s">
        <v>36971</v>
      </c>
      <c r="N1769" t="s">
        <v>36972</v>
      </c>
      <c r="O1769">
        <f>-737.696147614674 -63.0505807073334 -730.233317274069</f>
        <v>-1530.9800455960765</v>
      </c>
      <c r="P1769">
        <f>-687.083853959299 -74.5024721263205 -417.993920905572</f>
        <v>-1179.5802469911914</v>
      </c>
      <c r="Q1769">
        <f>-437.36218804767 -14.0755909375257 -377.623697949769</f>
        <v>-829.06147693496473</v>
      </c>
      <c r="R1769" t="s">
        <v>36973</v>
      </c>
      <c r="S1769" t="s">
        <v>36974</v>
      </c>
      <c r="T1769" t="s">
        <v>36975</v>
      </c>
      <c r="U1769" t="s">
        <v>36976</v>
      </c>
      <c r="V1769" t="s">
        <v>36977</v>
      </c>
      <c r="W1769" t="s">
        <v>36978</v>
      </c>
      <c r="X1769" t="s">
        <v>36979</v>
      </c>
      <c r="Y1769" t="s">
        <v>36980</v>
      </c>
    </row>
    <row r="1770" spans="1:25" x14ac:dyDescent="0.3">
      <c r="A1770">
        <v>88450</v>
      </c>
      <c r="B1770" t="s">
        <v>36981</v>
      </c>
      <c r="C1770" t="s">
        <v>36982</v>
      </c>
      <c r="D1770" t="s">
        <v>36983</v>
      </c>
      <c r="E1770" t="s">
        <v>36984</v>
      </c>
      <c r="F1770" t="s">
        <v>36985</v>
      </c>
      <c r="G1770" t="s">
        <v>36986</v>
      </c>
      <c r="H1770" t="s">
        <v>36987</v>
      </c>
      <c r="I1770" t="s">
        <v>36988</v>
      </c>
      <c r="J1770" t="s">
        <v>36989</v>
      </c>
      <c r="K1770" t="s">
        <v>36990</v>
      </c>
      <c r="L1770" t="s">
        <v>36991</v>
      </c>
      <c r="M1770" t="s">
        <v>36992</v>
      </c>
      <c r="N1770" t="s">
        <v>36993</v>
      </c>
      <c r="O1770">
        <f>-738.1105838151 -63.1659991279525 -729.663392845835</f>
        <v>-1530.9399757888875</v>
      </c>
      <c r="P1770">
        <f>-687.9285603391 -73.5035926949602 -417.315815798092</f>
        <v>-1178.7479688321523</v>
      </c>
      <c r="Q1770">
        <f>-438.193813755938 -13.2845701783674 -376.716528835651</f>
        <v>-828.19491276995632</v>
      </c>
      <c r="R1770" t="s">
        <v>36994</v>
      </c>
      <c r="S1770" t="s">
        <v>36995</v>
      </c>
      <c r="T1770" t="s">
        <v>36996</v>
      </c>
      <c r="U1770" t="s">
        <v>36997</v>
      </c>
      <c r="V1770" t="s">
        <v>36998</v>
      </c>
      <c r="W1770" t="s">
        <v>36999</v>
      </c>
      <c r="X1770" t="s">
        <v>37000</v>
      </c>
      <c r="Y1770" t="s">
        <v>37001</v>
      </c>
    </row>
    <row r="1771" spans="1:25" x14ac:dyDescent="0.3">
      <c r="A1771">
        <v>88500</v>
      </c>
      <c r="B1771" t="s">
        <v>37002</v>
      </c>
      <c r="C1771" t="s">
        <v>37003</v>
      </c>
      <c r="D1771" t="s">
        <v>37004</v>
      </c>
      <c r="E1771" t="s">
        <v>37005</v>
      </c>
      <c r="F1771" t="s">
        <v>37006</v>
      </c>
      <c r="G1771" t="s">
        <v>37007</v>
      </c>
      <c r="H1771" t="s">
        <v>37008</v>
      </c>
      <c r="I1771" t="s">
        <v>37009</v>
      </c>
      <c r="J1771" t="s">
        <v>37010</v>
      </c>
      <c r="K1771" t="s">
        <v>37011</v>
      </c>
      <c r="L1771" t="s">
        <v>37012</v>
      </c>
      <c r="M1771" t="s">
        <v>37013</v>
      </c>
      <c r="N1771" t="s">
        <v>37014</v>
      </c>
      <c r="O1771">
        <f>-738.22081765964 -63.176294064592 -729.518536984865</f>
        <v>-1530.915648709097</v>
      </c>
      <c r="P1771">
        <f>-688.322021722895 -72.9170997515298 -417.106233275353</f>
        <v>-1178.3453547497779</v>
      </c>
      <c r="Q1771">
        <f>-438.712376937495 -12.2717715523904 -376.373451124707</f>
        <v>-827.35759961459235</v>
      </c>
      <c r="R1771" t="s">
        <v>37015</v>
      </c>
      <c r="S1771" t="s">
        <v>37016</v>
      </c>
      <c r="T1771" t="s">
        <v>37017</v>
      </c>
      <c r="U1771" t="s">
        <v>37018</v>
      </c>
      <c r="V1771" t="s">
        <v>37019</v>
      </c>
      <c r="W1771" t="s">
        <v>37020</v>
      </c>
      <c r="X1771" t="s">
        <v>37021</v>
      </c>
      <c r="Y1771" t="s">
        <v>37022</v>
      </c>
    </row>
    <row r="1772" spans="1:25" x14ac:dyDescent="0.3">
      <c r="A1772">
        <v>88550</v>
      </c>
      <c r="B1772" t="s">
        <v>37023</v>
      </c>
      <c r="C1772" t="s">
        <v>37024</v>
      </c>
      <c r="D1772" t="s">
        <v>37025</v>
      </c>
      <c r="E1772" t="s">
        <v>37026</v>
      </c>
      <c r="F1772" t="s">
        <v>37027</v>
      </c>
      <c r="G1772" t="s">
        <v>37028</v>
      </c>
      <c r="H1772" t="s">
        <v>37029</v>
      </c>
      <c r="I1772" t="s">
        <v>37030</v>
      </c>
      <c r="J1772" t="s">
        <v>37031</v>
      </c>
      <c r="K1772" t="s">
        <v>37032</v>
      </c>
      <c r="L1772" t="s">
        <v>37033</v>
      </c>
      <c r="M1772" t="s">
        <v>37034</v>
      </c>
      <c r="N1772" t="s">
        <v>37035</v>
      </c>
      <c r="O1772">
        <f>-738.930831429775 -63.018639785892 -729.53728490928</f>
        <v>-1531.4867561249471</v>
      </c>
      <c r="P1772">
        <f>-689.321738312145 -71.3848798904662 -417.039184487452</f>
        <v>-1177.7458026900633</v>
      </c>
      <c r="Q1772">
        <f>-439.830387442872 -10.3244200252325 -376.200973917022</f>
        <v>-826.35578138512642</v>
      </c>
      <c r="R1772" t="s">
        <v>37036</v>
      </c>
      <c r="S1772" t="s">
        <v>37037</v>
      </c>
      <c r="T1772" t="s">
        <v>37038</v>
      </c>
      <c r="U1772" t="s">
        <v>37039</v>
      </c>
      <c r="V1772" t="s">
        <v>37040</v>
      </c>
      <c r="W1772" t="s">
        <v>37041</v>
      </c>
      <c r="X1772" t="s">
        <v>37042</v>
      </c>
      <c r="Y1772" t="s">
        <v>37043</v>
      </c>
    </row>
    <row r="1773" spans="1:25" x14ac:dyDescent="0.3">
      <c r="A1773">
        <v>88600</v>
      </c>
      <c r="B1773" t="s">
        <v>37044</v>
      </c>
      <c r="C1773" t="s">
        <v>37045</v>
      </c>
      <c r="D1773" t="s">
        <v>37046</v>
      </c>
      <c r="E1773" t="s">
        <v>37047</v>
      </c>
      <c r="F1773" t="s">
        <v>37048</v>
      </c>
      <c r="G1773" t="s">
        <v>37049</v>
      </c>
      <c r="H1773" t="s">
        <v>37050</v>
      </c>
      <c r="I1773" t="s">
        <v>37051</v>
      </c>
      <c r="J1773" t="s">
        <v>37052</v>
      </c>
      <c r="K1773" t="s">
        <v>37053</v>
      </c>
      <c r="L1773" t="s">
        <v>37054</v>
      </c>
      <c r="M1773" t="s">
        <v>37055</v>
      </c>
      <c r="N1773" t="s">
        <v>37056</v>
      </c>
      <c r="O1773">
        <f>-738.942059469003 -62.7586283739331 -729.667498264586</f>
        <v>-1531.368186107522</v>
      </c>
      <c r="P1773">
        <f>-689.513077942953 -71.0360587160721 -417.13827030342</f>
        <v>-1177.687406962445</v>
      </c>
      <c r="Q1773">
        <f>-440.193423611871 -9.34893865120262 -376.193775011986</f>
        <v>-825.73613727505972</v>
      </c>
      <c r="R1773" t="s">
        <v>37057</v>
      </c>
      <c r="S1773" t="s">
        <v>37058</v>
      </c>
      <c r="T1773" t="s">
        <v>37059</v>
      </c>
      <c r="U1773" t="s">
        <v>37060</v>
      </c>
      <c r="V1773" t="s">
        <v>37061</v>
      </c>
      <c r="W1773" t="s">
        <v>37062</v>
      </c>
      <c r="X1773" t="s">
        <v>37063</v>
      </c>
      <c r="Y1773" t="s">
        <v>37064</v>
      </c>
    </row>
    <row r="1774" spans="1:25" x14ac:dyDescent="0.3">
      <c r="A1774">
        <v>88650</v>
      </c>
      <c r="B1774" t="s">
        <v>37065</v>
      </c>
      <c r="C1774" t="s">
        <v>37066</v>
      </c>
      <c r="D1774" t="s">
        <v>37067</v>
      </c>
      <c r="E1774" t="s">
        <v>37068</v>
      </c>
      <c r="F1774" t="s">
        <v>37069</v>
      </c>
      <c r="G1774" t="s">
        <v>37070</v>
      </c>
      <c r="H1774" t="s">
        <v>37071</v>
      </c>
      <c r="I1774" t="s">
        <v>37072</v>
      </c>
      <c r="J1774" t="s">
        <v>37073</v>
      </c>
      <c r="K1774" t="s">
        <v>37074</v>
      </c>
      <c r="L1774" t="s">
        <v>37075</v>
      </c>
      <c r="M1774" t="s">
        <v>37076</v>
      </c>
      <c r="N1774" t="s">
        <v>37077</v>
      </c>
      <c r="O1774">
        <f>-740.400631703732 -63.2650211033233 -729.575090855925</f>
        <v>-1533.2407436629803</v>
      </c>
      <c r="P1774">
        <f>-691.259136177966 -70.4041367880768 -416.972581229988</f>
        <v>-1178.6358541960308</v>
      </c>
      <c r="Q1774">
        <f>-442.332282862623 -6.91412045144943 -376.396204077345</f>
        <v>-825.64260739141741</v>
      </c>
      <c r="R1774" t="s">
        <v>37078</v>
      </c>
      <c r="S1774" t="s">
        <v>37079</v>
      </c>
      <c r="T1774" t="s">
        <v>37080</v>
      </c>
      <c r="U1774" t="s">
        <v>37081</v>
      </c>
      <c r="V1774" t="s">
        <v>37082</v>
      </c>
      <c r="W1774" t="s">
        <v>37083</v>
      </c>
      <c r="X1774" t="s">
        <v>37084</v>
      </c>
      <c r="Y1774" t="s">
        <v>37085</v>
      </c>
    </row>
    <row r="1775" spans="1:25" x14ac:dyDescent="0.3">
      <c r="A1775">
        <v>88700</v>
      </c>
      <c r="B1775" t="s">
        <v>37086</v>
      </c>
      <c r="C1775" t="s">
        <v>37087</v>
      </c>
      <c r="D1775" t="s">
        <v>37088</v>
      </c>
      <c r="E1775" t="s">
        <v>37089</v>
      </c>
      <c r="F1775" t="s">
        <v>37090</v>
      </c>
      <c r="G1775" t="s">
        <v>37091</v>
      </c>
      <c r="H1775" t="s">
        <v>37092</v>
      </c>
      <c r="I1775" t="s">
        <v>37093</v>
      </c>
      <c r="J1775" t="s">
        <v>37094</v>
      </c>
      <c r="K1775" t="s">
        <v>37095</v>
      </c>
      <c r="L1775" t="s">
        <v>37096</v>
      </c>
      <c r="M1775" t="s">
        <v>37097</v>
      </c>
      <c r="N1775" t="s">
        <v>37098</v>
      </c>
      <c r="O1775">
        <f>-741.145809618218 -63.6092844300651 -729.296896853193</f>
        <v>-1534.0519909014761</v>
      </c>
      <c r="P1775">
        <f>-691.348139393182 -70.8673095333461 -416.801039198114</f>
        <v>-1179.0164881246421</v>
      </c>
      <c r="Q1775">
        <f>-442.612475916041 -5.82017644245138 -377.538774041516</f>
        <v>-825.97142640000834</v>
      </c>
      <c r="R1775" t="s">
        <v>37099</v>
      </c>
      <c r="S1775" t="s">
        <v>37100</v>
      </c>
      <c r="T1775" t="s">
        <v>37101</v>
      </c>
      <c r="U1775" t="s">
        <v>37102</v>
      </c>
      <c r="V1775" t="s">
        <v>37103</v>
      </c>
      <c r="W1775" t="s">
        <v>37104</v>
      </c>
      <c r="X1775" t="s">
        <v>37105</v>
      </c>
      <c r="Y1775" t="s">
        <v>37106</v>
      </c>
    </row>
    <row r="1776" spans="1:25" x14ac:dyDescent="0.3">
      <c r="A1776">
        <v>88750</v>
      </c>
      <c r="B1776" t="s">
        <v>37107</v>
      </c>
      <c r="C1776" t="s">
        <v>37108</v>
      </c>
      <c r="D1776" t="s">
        <v>37109</v>
      </c>
      <c r="E1776" t="s">
        <v>37110</v>
      </c>
      <c r="F1776" t="s">
        <v>37111</v>
      </c>
      <c r="G1776" t="s">
        <v>37112</v>
      </c>
      <c r="H1776" t="s">
        <v>37113</v>
      </c>
      <c r="I1776" t="s">
        <v>37114</v>
      </c>
      <c r="J1776" t="s">
        <v>37115</v>
      </c>
      <c r="K1776" t="s">
        <v>37116</v>
      </c>
      <c r="L1776" t="s">
        <v>37117</v>
      </c>
      <c r="M1776" t="s">
        <v>37118</v>
      </c>
      <c r="N1776" t="s">
        <v>37119</v>
      </c>
      <c r="O1776">
        <f>-743.4173703387 -64.9702436816619 -728.151257174646</f>
        <v>-1536.5388711950081</v>
      </c>
      <c r="P1776">
        <f>-691.641542269404 -72.2197652202958 -415.976788579427</f>
        <v>-1179.8380960691268</v>
      </c>
      <c r="Q1776">
        <f>-443.149219677453 -5.0931794511198 -378.726589160992</f>
        <v>-826.96898828956478</v>
      </c>
      <c r="R1776" t="s">
        <v>37120</v>
      </c>
      <c r="S1776" t="s">
        <v>37121</v>
      </c>
      <c r="T1776" t="s">
        <v>37122</v>
      </c>
      <c r="U1776" t="s">
        <v>37123</v>
      </c>
      <c r="V1776" t="s">
        <v>37124</v>
      </c>
      <c r="W1776" t="s">
        <v>37125</v>
      </c>
      <c r="X1776" t="s">
        <v>37126</v>
      </c>
      <c r="Y1776" t="s">
        <v>37127</v>
      </c>
    </row>
    <row r="1777" spans="1:25" x14ac:dyDescent="0.3">
      <c r="A1777">
        <v>88800</v>
      </c>
      <c r="B1777" t="s">
        <v>37128</v>
      </c>
      <c r="C1777" t="s">
        <v>37129</v>
      </c>
      <c r="D1777" t="s">
        <v>37130</v>
      </c>
      <c r="E1777" t="s">
        <v>37131</v>
      </c>
      <c r="F1777" t="s">
        <v>37132</v>
      </c>
      <c r="G1777" t="s">
        <v>37133</v>
      </c>
      <c r="H1777" t="s">
        <v>37134</v>
      </c>
      <c r="I1777" t="s">
        <v>37135</v>
      </c>
      <c r="J1777" t="s">
        <v>37136</v>
      </c>
      <c r="K1777" t="s">
        <v>37137</v>
      </c>
      <c r="L1777" t="s">
        <v>37138</v>
      </c>
      <c r="M1777" t="s">
        <v>37139</v>
      </c>
      <c r="N1777" t="s">
        <v>37140</v>
      </c>
      <c r="O1777">
        <f>-744.440287269783 -65.9409811465439 -727.512188660542</f>
        <v>-1537.8934570768688</v>
      </c>
      <c r="P1777">
        <f>-691.694565620283 -73.414200678405 -415.505558291849</f>
        <v>-1180.6143245905371</v>
      </c>
      <c r="Q1777">
        <f>-443.38571511438 -5.37719197903243 -378.685245283853</f>
        <v>-827.44815237726539</v>
      </c>
      <c r="R1777" t="s">
        <v>37141</v>
      </c>
      <c r="S1777" t="s">
        <v>37142</v>
      </c>
      <c r="T1777" t="s">
        <v>37143</v>
      </c>
      <c r="U1777" t="s">
        <v>37144</v>
      </c>
      <c r="V1777" t="s">
        <v>37145</v>
      </c>
      <c r="W1777" t="s">
        <v>37146</v>
      </c>
      <c r="X1777" t="s">
        <v>37147</v>
      </c>
      <c r="Y1777" t="s">
        <v>37148</v>
      </c>
    </row>
    <row r="1778" spans="1:25" x14ac:dyDescent="0.3">
      <c r="A1778">
        <v>88850</v>
      </c>
      <c r="B1778" t="s">
        <v>37149</v>
      </c>
      <c r="C1778" t="s">
        <v>37150</v>
      </c>
      <c r="D1778" t="s">
        <v>37151</v>
      </c>
      <c r="E1778" t="s">
        <v>37152</v>
      </c>
      <c r="F1778" t="s">
        <v>37153</v>
      </c>
      <c r="G1778" t="s">
        <v>37154</v>
      </c>
      <c r="H1778" t="s">
        <v>37155</v>
      </c>
      <c r="I1778" t="s">
        <v>37156</v>
      </c>
      <c r="J1778" t="s">
        <v>37157</v>
      </c>
      <c r="K1778" t="s">
        <v>37158</v>
      </c>
      <c r="L1778" t="s">
        <v>37159</v>
      </c>
      <c r="M1778" t="s">
        <v>37160</v>
      </c>
      <c r="N1778" t="s">
        <v>37161</v>
      </c>
      <c r="O1778">
        <f>-745.598046574436 -68.0860795346712 -726.483092875805</f>
        <v>-1540.1672189849123</v>
      </c>
      <c r="P1778">
        <f>-691.516421903969 -75.6199535949725 -414.706521652496</f>
        <v>-1181.8428971514375</v>
      </c>
      <c r="Q1778">
        <f>-443.478786881193 -6.06857083313594 -378.901779947393</f>
        <v>-828.44913766172192</v>
      </c>
      <c r="R1778" t="s">
        <v>37162</v>
      </c>
      <c r="S1778" t="s">
        <v>37163</v>
      </c>
      <c r="T1778" t="s">
        <v>37164</v>
      </c>
      <c r="U1778" t="s">
        <v>37165</v>
      </c>
      <c r="V1778" t="s">
        <v>37166</v>
      </c>
      <c r="W1778" t="s">
        <v>37167</v>
      </c>
      <c r="X1778" t="s">
        <v>37168</v>
      </c>
      <c r="Y1778" t="s">
        <v>37169</v>
      </c>
    </row>
    <row r="1779" spans="1:25" x14ac:dyDescent="0.3">
      <c r="A1779">
        <v>88900</v>
      </c>
      <c r="B1779" t="s">
        <v>37170</v>
      </c>
      <c r="C1779" t="s">
        <v>37171</v>
      </c>
      <c r="D1779" t="s">
        <v>37172</v>
      </c>
      <c r="E1779" t="s">
        <v>37173</v>
      </c>
      <c r="F1779" t="s">
        <v>37174</v>
      </c>
      <c r="G1779" t="s">
        <v>37175</v>
      </c>
      <c r="H1779" t="s">
        <v>37176</v>
      </c>
      <c r="I1779" t="s">
        <v>37177</v>
      </c>
      <c r="J1779" t="s">
        <v>37178</v>
      </c>
      <c r="K1779" t="s">
        <v>37179</v>
      </c>
      <c r="L1779" t="s">
        <v>37180</v>
      </c>
      <c r="M1779" t="s">
        <v>37181</v>
      </c>
      <c r="N1779" t="s">
        <v>37182</v>
      </c>
      <c r="O1779">
        <f>-745.525969028298 -69.1890457004795 -726.082856361626</f>
        <v>-1540.7978710904035</v>
      </c>
      <c r="P1779">
        <f>-690.90383927884 -76.8550175153762 -414.403808304363</f>
        <v>-1182.1626650985791</v>
      </c>
      <c r="Q1779">
        <f>-442.927155240689 -6.76637834012536 -379.230121816709</f>
        <v>-828.92365539752336</v>
      </c>
      <c r="R1779" t="s">
        <v>37183</v>
      </c>
      <c r="S1779" t="s">
        <v>37184</v>
      </c>
      <c r="T1779" t="s">
        <v>37185</v>
      </c>
      <c r="U1779" t="s">
        <v>37186</v>
      </c>
      <c r="V1779" t="s">
        <v>37187</v>
      </c>
      <c r="W1779" t="s">
        <v>37188</v>
      </c>
      <c r="X1779" t="s">
        <v>37189</v>
      </c>
      <c r="Y1779" t="s">
        <v>37190</v>
      </c>
    </row>
    <row r="1780" spans="1:25" x14ac:dyDescent="0.3">
      <c r="A1780">
        <v>88950</v>
      </c>
      <c r="B1780" t="s">
        <v>37191</v>
      </c>
      <c r="C1780" t="s">
        <v>37192</v>
      </c>
      <c r="D1780" t="s">
        <v>37193</v>
      </c>
      <c r="E1780" t="s">
        <v>37194</v>
      </c>
      <c r="F1780" t="s">
        <v>37195</v>
      </c>
      <c r="G1780" t="s">
        <v>37196</v>
      </c>
      <c r="H1780" t="s">
        <v>37197</v>
      </c>
      <c r="I1780" t="s">
        <v>37198</v>
      </c>
      <c r="J1780" t="s">
        <v>37199</v>
      </c>
      <c r="K1780" t="s">
        <v>37200</v>
      </c>
      <c r="L1780" t="s">
        <v>37201</v>
      </c>
      <c r="M1780" t="s">
        <v>37202</v>
      </c>
      <c r="N1780" t="s">
        <v>37203</v>
      </c>
      <c r="O1780">
        <f>-744.70538337138 -71.4831364476315 -725.426292873662</f>
        <v>-1541.6148126926735</v>
      </c>
      <c r="P1780">
        <f>-689.234072863077 -79.1541147849071 -413.897265699374</f>
        <v>-1182.285453347358</v>
      </c>
      <c r="Q1780">
        <f>-441.45696839325 -8.02494526136093 -379.412903792005</f>
        <v>-828.89481744661589</v>
      </c>
      <c r="R1780" t="s">
        <v>37204</v>
      </c>
      <c r="S1780" t="s">
        <v>37205</v>
      </c>
      <c r="T1780" t="s">
        <v>37206</v>
      </c>
      <c r="U1780" t="s">
        <v>37207</v>
      </c>
      <c r="V1780" t="s">
        <v>37208</v>
      </c>
      <c r="W1780" t="s">
        <v>37209</v>
      </c>
      <c r="X1780" t="s">
        <v>37210</v>
      </c>
      <c r="Y1780" t="s">
        <v>37211</v>
      </c>
    </row>
    <row r="1781" spans="1:25" x14ac:dyDescent="0.3">
      <c r="A1781">
        <v>89000</v>
      </c>
      <c r="B1781" t="s">
        <v>37212</v>
      </c>
      <c r="C1781" t="s">
        <v>37213</v>
      </c>
      <c r="D1781" t="s">
        <v>37214</v>
      </c>
      <c r="E1781" t="s">
        <v>37215</v>
      </c>
      <c r="F1781" t="s">
        <v>37216</v>
      </c>
      <c r="G1781" t="s">
        <v>37217</v>
      </c>
      <c r="H1781" t="s">
        <v>37218</v>
      </c>
      <c r="I1781" t="s">
        <v>37219</v>
      </c>
      <c r="J1781" t="s">
        <v>37220</v>
      </c>
      <c r="K1781" t="s">
        <v>37221</v>
      </c>
      <c r="L1781" t="s">
        <v>37222</v>
      </c>
      <c r="M1781" t="s">
        <v>37223</v>
      </c>
      <c r="N1781" t="s">
        <v>37224</v>
      </c>
      <c r="O1781">
        <f>-743.966163749813 -72.608739883045 -725.209239193191</f>
        <v>-1541.784142826049</v>
      </c>
      <c r="P1781">
        <f>-688.263876950367 -80.2244288775039 -413.720177927589</f>
        <v>-1182.2084837554598</v>
      </c>
      <c r="Q1781">
        <f>-440.706246718407 -8.31008373933287 -379.28739033544</f>
        <v>-828.30372079317988</v>
      </c>
      <c r="R1781" t="s">
        <v>37225</v>
      </c>
      <c r="S1781" t="s">
        <v>37226</v>
      </c>
      <c r="T1781" t="s">
        <v>37227</v>
      </c>
      <c r="U1781" t="s">
        <v>37228</v>
      </c>
      <c r="V1781" t="s">
        <v>37229</v>
      </c>
      <c r="W1781" t="s">
        <v>37230</v>
      </c>
      <c r="X1781" t="s">
        <v>37231</v>
      </c>
      <c r="Y1781" t="s">
        <v>37232</v>
      </c>
    </row>
    <row r="1782" spans="1:25" x14ac:dyDescent="0.3">
      <c r="A1782">
        <v>89050</v>
      </c>
      <c r="B1782" t="s">
        <v>37233</v>
      </c>
      <c r="C1782" t="s">
        <v>37234</v>
      </c>
      <c r="D1782" t="s">
        <v>37235</v>
      </c>
      <c r="E1782" t="s">
        <v>37236</v>
      </c>
      <c r="F1782" t="s">
        <v>37237</v>
      </c>
      <c r="G1782" t="s">
        <v>37238</v>
      </c>
      <c r="H1782" t="s">
        <v>37239</v>
      </c>
      <c r="I1782" t="s">
        <v>37240</v>
      </c>
      <c r="J1782" t="s">
        <v>37241</v>
      </c>
      <c r="K1782" t="s">
        <v>37242</v>
      </c>
      <c r="L1782" t="s">
        <v>37243</v>
      </c>
      <c r="M1782" t="s">
        <v>37244</v>
      </c>
      <c r="N1782" t="s">
        <v>37245</v>
      </c>
      <c r="O1782">
        <f>-742.004831410595 -74.3181939344827 -725.009395412027</f>
        <v>-1541.3324207571045</v>
      </c>
      <c r="P1782">
        <f>-685.958851147989 -81.6430489579434 -413.575120445177</f>
        <v>-1181.1770205511093</v>
      </c>
      <c r="Q1782">
        <f>-438.838327479422 -8.79608407531123 -377.982752141537</f>
        <v>-825.61716369627015</v>
      </c>
      <c r="R1782" t="s">
        <v>37246</v>
      </c>
      <c r="S1782" t="s">
        <v>37247</v>
      </c>
      <c r="T1782" t="s">
        <v>37248</v>
      </c>
      <c r="U1782" t="s">
        <v>37249</v>
      </c>
      <c r="V1782" t="s">
        <v>37250</v>
      </c>
      <c r="W1782" t="s">
        <v>37251</v>
      </c>
      <c r="X1782" t="s">
        <v>37252</v>
      </c>
      <c r="Y1782" t="s">
        <v>37253</v>
      </c>
    </row>
    <row r="1783" spans="1:25" x14ac:dyDescent="0.3">
      <c r="A1783">
        <v>89100</v>
      </c>
      <c r="B1783" t="s">
        <v>37254</v>
      </c>
      <c r="C1783" t="s">
        <v>37255</v>
      </c>
      <c r="D1783" t="s">
        <v>37256</v>
      </c>
      <c r="E1783" t="s">
        <v>37257</v>
      </c>
      <c r="F1783" t="s">
        <v>37258</v>
      </c>
      <c r="G1783" t="s">
        <v>37259</v>
      </c>
      <c r="H1783" t="s">
        <v>37260</v>
      </c>
      <c r="I1783" t="s">
        <v>37261</v>
      </c>
      <c r="J1783" t="s">
        <v>37262</v>
      </c>
      <c r="K1783" t="s">
        <v>37263</v>
      </c>
      <c r="L1783" t="s">
        <v>37264</v>
      </c>
      <c r="M1783" t="s">
        <v>37265</v>
      </c>
      <c r="N1783" t="s">
        <v>37266</v>
      </c>
      <c r="O1783">
        <f>-740.69641113899 -75.0888752097064 -725.019073285841</f>
        <v>-1540.8043596345374</v>
      </c>
      <c r="P1783">
        <f>-684.627787708971 -82.0911111486434 -413.581369436243</f>
        <v>-1180.3002682938575</v>
      </c>
      <c r="Q1783">
        <f>-437.800173480059 -8.58714608897048 -377.314378100387</f>
        <v>-823.70169766941649</v>
      </c>
      <c r="R1783" t="s">
        <v>37267</v>
      </c>
      <c r="S1783" t="s">
        <v>37268</v>
      </c>
      <c r="T1783" t="s">
        <v>37269</v>
      </c>
      <c r="U1783" t="s">
        <v>37270</v>
      </c>
      <c r="V1783" t="s">
        <v>37271</v>
      </c>
      <c r="W1783" t="s">
        <v>37272</v>
      </c>
      <c r="X1783" t="s">
        <v>37273</v>
      </c>
      <c r="Y1783" t="s">
        <v>37274</v>
      </c>
    </row>
    <row r="1784" spans="1:25" x14ac:dyDescent="0.3">
      <c r="A1784">
        <v>89150</v>
      </c>
      <c r="B1784" t="s">
        <v>37275</v>
      </c>
      <c r="C1784" t="s">
        <v>37276</v>
      </c>
      <c r="D1784" t="s">
        <v>37277</v>
      </c>
      <c r="E1784" t="s">
        <v>37278</v>
      </c>
      <c r="F1784" t="s">
        <v>37279</v>
      </c>
      <c r="G1784" t="s">
        <v>37280</v>
      </c>
      <c r="H1784" t="s">
        <v>37281</v>
      </c>
      <c r="I1784" t="s">
        <v>37282</v>
      </c>
      <c r="J1784" t="s">
        <v>37283</v>
      </c>
      <c r="K1784" t="s">
        <v>37284</v>
      </c>
      <c r="L1784" t="s">
        <v>37285</v>
      </c>
      <c r="M1784" t="s">
        <v>37286</v>
      </c>
      <c r="N1784" t="s">
        <v>37287</v>
      </c>
      <c r="O1784">
        <f>-738.019876617884 -76.4342874237291 -725.183851903257</f>
        <v>-1539.6380159448702</v>
      </c>
      <c r="P1784">
        <f>-682.100120492976 -83.2090000996845 -413.714366961026</f>
        <v>-1179.0234875536864</v>
      </c>
      <c r="Q1784">
        <f>-435.970886423293 -7.78960771686366 -376.642565852009</f>
        <v>-820.40305999216571</v>
      </c>
      <c r="R1784" t="s">
        <v>37288</v>
      </c>
      <c r="S1784" t="s">
        <v>37289</v>
      </c>
      <c r="T1784" t="s">
        <v>37290</v>
      </c>
      <c r="U1784" t="s">
        <v>37291</v>
      </c>
      <c r="V1784" t="s">
        <v>37292</v>
      </c>
      <c r="W1784" t="s">
        <v>37293</v>
      </c>
      <c r="X1784" t="s">
        <v>37294</v>
      </c>
      <c r="Y1784" t="s">
        <v>37295</v>
      </c>
    </row>
    <row r="1785" spans="1:25" x14ac:dyDescent="0.3">
      <c r="A1785">
        <v>89200</v>
      </c>
      <c r="B1785" t="s">
        <v>37296</v>
      </c>
      <c r="C1785" t="s">
        <v>37297</v>
      </c>
      <c r="D1785" t="s">
        <v>37298</v>
      </c>
      <c r="E1785" t="s">
        <v>37299</v>
      </c>
      <c r="F1785" t="s">
        <v>37300</v>
      </c>
      <c r="G1785" t="s">
        <v>37301</v>
      </c>
      <c r="H1785" t="s">
        <v>37302</v>
      </c>
      <c r="I1785" t="s">
        <v>37303</v>
      </c>
      <c r="J1785" t="s">
        <v>37304</v>
      </c>
      <c r="K1785" t="s">
        <v>37305</v>
      </c>
      <c r="L1785" t="s">
        <v>37306</v>
      </c>
      <c r="M1785">
        <f>-314.691355293777 -4.90816050854642 -327.804233063281</f>
        <v>-647.40374886560448</v>
      </c>
      <c r="N1785" t="s">
        <v>37307</v>
      </c>
      <c r="O1785">
        <f>-736.799509159172 -76.8750684061085 -725.312623789939</f>
        <v>-1538.9872013552194</v>
      </c>
      <c r="P1785">
        <f>-680.826410844569 -83.8885982191191 -413.85798860133</f>
        <v>-1178.5729976650182</v>
      </c>
      <c r="Q1785">
        <f>-435.105213786129 -7.25393985018763 -376.571529869246</f>
        <v>-818.93068350556268</v>
      </c>
      <c r="R1785" t="s">
        <v>37308</v>
      </c>
      <c r="S1785" t="s">
        <v>37309</v>
      </c>
      <c r="T1785" t="s">
        <v>37310</v>
      </c>
      <c r="U1785" t="s">
        <v>37311</v>
      </c>
      <c r="V1785" t="s">
        <v>37312</v>
      </c>
      <c r="W1785" t="s">
        <v>37313</v>
      </c>
      <c r="X1785" t="s">
        <v>37314</v>
      </c>
      <c r="Y1785" t="s">
        <v>37315</v>
      </c>
    </row>
    <row r="1786" spans="1:25" x14ac:dyDescent="0.3">
      <c r="A1786">
        <v>89250</v>
      </c>
      <c r="B1786" t="s">
        <v>37316</v>
      </c>
      <c r="C1786" t="s">
        <v>37317</v>
      </c>
      <c r="D1786" t="s">
        <v>37318</v>
      </c>
      <c r="E1786" t="s">
        <v>37319</v>
      </c>
      <c r="F1786" t="s">
        <v>37320</v>
      </c>
      <c r="G1786" t="s">
        <v>37321</v>
      </c>
      <c r="H1786" t="s">
        <v>37322</v>
      </c>
      <c r="I1786" t="s">
        <v>37323</v>
      </c>
      <c r="J1786" t="s">
        <v>37324</v>
      </c>
      <c r="K1786" t="s">
        <v>37325</v>
      </c>
      <c r="L1786" t="s">
        <v>37326</v>
      </c>
      <c r="M1786">
        <f>-316.507483057833 -13.4510064095409 -333.622098847605</f>
        <v>-663.58058831497897</v>
      </c>
      <c r="N1786" t="s">
        <v>37327</v>
      </c>
      <c r="O1786">
        <f>-734.180302757273 -77.3984898499577 -725.75986585684</f>
        <v>-1537.3386584640707</v>
      </c>
      <c r="P1786">
        <f>-678.202046401567 -85.0980460976239 -414.322263302945</f>
        <v>-1177.6223558021359</v>
      </c>
      <c r="Q1786">
        <f>-433.27276747198 -5.91670982268056 -377.146177514264</f>
        <v>-816.33565480892457</v>
      </c>
      <c r="R1786" t="s">
        <v>37328</v>
      </c>
      <c r="S1786" t="s">
        <v>37329</v>
      </c>
      <c r="T1786" t="s">
        <v>37330</v>
      </c>
      <c r="U1786" t="s">
        <v>37331</v>
      </c>
      <c r="V1786" t="s">
        <v>37332</v>
      </c>
      <c r="W1786" t="s">
        <v>37333</v>
      </c>
      <c r="X1786" t="s">
        <v>37334</v>
      </c>
      <c r="Y1786" t="s">
        <v>37335</v>
      </c>
    </row>
    <row r="1787" spans="1:25" x14ac:dyDescent="0.3">
      <c r="A1787">
        <v>89300</v>
      </c>
      <c r="B1787" t="s">
        <v>37336</v>
      </c>
      <c r="C1787" t="s">
        <v>37337</v>
      </c>
      <c r="D1787" t="s">
        <v>37338</v>
      </c>
      <c r="E1787" t="s">
        <v>37339</v>
      </c>
      <c r="F1787" t="s">
        <v>37340</v>
      </c>
      <c r="G1787" t="s">
        <v>37341</v>
      </c>
      <c r="H1787" t="s">
        <v>37342</v>
      </c>
      <c r="I1787" t="s">
        <v>37343</v>
      </c>
      <c r="J1787" t="s">
        <v>37344</v>
      </c>
      <c r="K1787" t="s">
        <v>37345</v>
      </c>
      <c r="L1787" t="s">
        <v>37346</v>
      </c>
      <c r="M1787">
        <f>-317.039821394551 -16.1411800945691 -335.782536804149</f>
        <v>-668.96353829326904</v>
      </c>
      <c r="N1787" t="s">
        <v>37347</v>
      </c>
      <c r="O1787">
        <f>-732.891268740402 -77.5064607499394 -726.046878772755</f>
        <v>-1536.4446082630964</v>
      </c>
      <c r="P1787">
        <f>-677.026519001164 -85.2645949355904 -414.59044007216</f>
        <v>-1176.8815540089145</v>
      </c>
      <c r="Q1787">
        <f>-432.302288341776 -5.42549709430068 -377.470530908133</f>
        <v>-815.19831634420962</v>
      </c>
      <c r="R1787" t="s">
        <v>37348</v>
      </c>
      <c r="S1787" t="s">
        <v>37349</v>
      </c>
      <c r="T1787" t="s">
        <v>37350</v>
      </c>
      <c r="U1787" t="s">
        <v>37351</v>
      </c>
      <c r="V1787" t="s">
        <v>37352</v>
      </c>
      <c r="W1787" t="s">
        <v>37353</v>
      </c>
      <c r="X1787" t="s">
        <v>37354</v>
      </c>
      <c r="Y1787" t="s">
        <v>37355</v>
      </c>
    </row>
    <row r="1788" spans="1:25" x14ac:dyDescent="0.3">
      <c r="A1788">
        <v>89350</v>
      </c>
      <c r="B1788" t="s">
        <v>37356</v>
      </c>
      <c r="C1788" t="s">
        <v>37357</v>
      </c>
      <c r="D1788" t="s">
        <v>37358</v>
      </c>
      <c r="E1788" t="s">
        <v>37359</v>
      </c>
      <c r="F1788" t="s">
        <v>37360</v>
      </c>
      <c r="G1788" t="s">
        <v>37361</v>
      </c>
      <c r="H1788" t="s">
        <v>37362</v>
      </c>
      <c r="I1788" t="s">
        <v>37363</v>
      </c>
      <c r="J1788" t="s">
        <v>37364</v>
      </c>
      <c r="K1788" t="s">
        <v>37365</v>
      </c>
      <c r="L1788" t="s">
        <v>37366</v>
      </c>
      <c r="M1788">
        <f>-315.937732704789 -16.1546215541184 -335.753152198063</f>
        <v>-667.8455064569705</v>
      </c>
      <c r="N1788" t="s">
        <v>37367</v>
      </c>
      <c r="O1788">
        <f>-730.488002352693 -77.7769277930615 -726.478088796225</f>
        <v>-1534.7430189419797</v>
      </c>
      <c r="P1788">
        <f>-674.484509847447 -85.8670947666578 -415.055046806586</f>
        <v>-1175.4066514206909</v>
      </c>
      <c r="Q1788">
        <f>-429.975447103327 -5.47912085981989 -377.703253882636</f>
        <v>-813.15782184578279</v>
      </c>
      <c r="R1788" t="s">
        <v>37368</v>
      </c>
      <c r="S1788" t="s">
        <v>37369</v>
      </c>
      <c r="T1788" t="s">
        <v>37370</v>
      </c>
      <c r="U1788" t="s">
        <v>37371</v>
      </c>
      <c r="V1788" t="s">
        <v>37372</v>
      </c>
      <c r="W1788" t="s">
        <v>37373</v>
      </c>
      <c r="X1788" t="s">
        <v>37374</v>
      </c>
      <c r="Y1788" t="s">
        <v>37375</v>
      </c>
    </row>
    <row r="1789" spans="1:25" x14ac:dyDescent="0.3">
      <c r="A1789">
        <v>89400</v>
      </c>
      <c r="B1789" t="s">
        <v>37376</v>
      </c>
      <c r="C1789" t="s">
        <v>37377</v>
      </c>
      <c r="D1789" t="s">
        <v>37378</v>
      </c>
      <c r="E1789" t="s">
        <v>37379</v>
      </c>
      <c r="F1789" t="s">
        <v>37380</v>
      </c>
      <c r="G1789" t="s">
        <v>37381</v>
      </c>
      <c r="H1789" t="s">
        <v>37382</v>
      </c>
      <c r="I1789" t="s">
        <v>37383</v>
      </c>
      <c r="J1789" t="s">
        <v>37384</v>
      </c>
      <c r="K1789" t="s">
        <v>37385</v>
      </c>
      <c r="L1789" t="s">
        <v>37386</v>
      </c>
      <c r="M1789">
        <f>-315.204859764995 -15.7404222775031 -335.426482795806</f>
        <v>-666.3717648383041</v>
      </c>
      <c r="N1789" t="s">
        <v>37387</v>
      </c>
      <c r="O1789">
        <f>-729.45899676804 -78.0081973722238 -726.578530986468</f>
        <v>-1534.0457251267317</v>
      </c>
      <c r="P1789">
        <f>-673.501270232391 -85.9918592883519 -415.144393909096</f>
        <v>-1174.6375234298389</v>
      </c>
      <c r="Q1789">
        <f>-428.974323975458 -5.72770438575685 -377.643585793629</f>
        <v>-812.34561415484382</v>
      </c>
      <c r="R1789" t="s">
        <v>37388</v>
      </c>
      <c r="S1789" t="s">
        <v>37389</v>
      </c>
      <c r="T1789" t="s">
        <v>37390</v>
      </c>
      <c r="U1789" t="s">
        <v>37391</v>
      </c>
      <c r="V1789" t="s">
        <v>37392</v>
      </c>
      <c r="W1789" t="s">
        <v>37393</v>
      </c>
      <c r="X1789" t="s">
        <v>37394</v>
      </c>
      <c r="Y1789" t="s">
        <v>37395</v>
      </c>
    </row>
    <row r="1790" spans="1:25" x14ac:dyDescent="0.3">
      <c r="A1790">
        <v>89450</v>
      </c>
      <c r="B1790" t="s">
        <v>37396</v>
      </c>
      <c r="C1790" t="s">
        <v>37397</v>
      </c>
      <c r="D1790" t="s">
        <v>37398</v>
      </c>
      <c r="E1790" t="s">
        <v>37399</v>
      </c>
      <c r="F1790" t="s">
        <v>37400</v>
      </c>
      <c r="G1790" t="s">
        <v>37401</v>
      </c>
      <c r="H1790" t="s">
        <v>37402</v>
      </c>
      <c r="I1790" t="s">
        <v>37403</v>
      </c>
      <c r="J1790" t="s">
        <v>37404</v>
      </c>
      <c r="K1790" t="s">
        <v>37405</v>
      </c>
      <c r="L1790" t="s">
        <v>37406</v>
      </c>
      <c r="M1790">
        <f>-313.328255851867 -12.7019074284237 -332.142716765294</f>
        <v>-658.17288004558463</v>
      </c>
      <c r="N1790" t="s">
        <v>37407</v>
      </c>
      <c r="O1790">
        <f>-727.702357396042 -78.5763141944485 -726.449369379384</f>
        <v>-1532.7280409698747</v>
      </c>
      <c r="P1790">
        <f>-671.86551652853 -86.1290847923822 -414.982918018593</f>
        <v>-1172.9775193395051</v>
      </c>
      <c r="Q1790">
        <f>-427.113713900478 -6.8380145483834 -376.884018576453</f>
        <v>-810.83574702531439</v>
      </c>
      <c r="R1790" t="s">
        <v>37408</v>
      </c>
      <c r="S1790" t="s">
        <v>37409</v>
      </c>
      <c r="T1790" t="s">
        <v>37410</v>
      </c>
      <c r="U1790" t="s">
        <v>37411</v>
      </c>
      <c r="V1790" t="s">
        <v>37412</v>
      </c>
      <c r="W1790" t="s">
        <v>37413</v>
      </c>
      <c r="X1790" t="s">
        <v>37414</v>
      </c>
      <c r="Y1790" t="s">
        <v>37415</v>
      </c>
    </row>
    <row r="1791" spans="1:25" x14ac:dyDescent="0.3">
      <c r="A1791">
        <v>89500</v>
      </c>
      <c r="B1791" t="s">
        <v>37416</v>
      </c>
      <c r="C1791" t="s">
        <v>37417</v>
      </c>
      <c r="D1791" t="s">
        <v>37418</v>
      </c>
      <c r="E1791" t="s">
        <v>37419</v>
      </c>
      <c r="F1791" t="s">
        <v>37420</v>
      </c>
      <c r="G1791" t="s">
        <v>37421</v>
      </c>
      <c r="H1791" t="s">
        <v>37422</v>
      </c>
      <c r="I1791" t="s">
        <v>37423</v>
      </c>
      <c r="J1791" t="s">
        <v>37424</v>
      </c>
      <c r="K1791" t="s">
        <v>37425</v>
      </c>
      <c r="L1791" t="s">
        <v>37426</v>
      </c>
      <c r="M1791">
        <f>-311.509928162499 -7.95981139845799 -327.98874168457</f>
        <v>-647.45848124552708</v>
      </c>
      <c r="N1791" t="s">
        <v>37427</v>
      </c>
      <c r="O1791">
        <f>-727.00637600678 -78.8624283697843 -726.292473683331</f>
        <v>-1532.1612780598953</v>
      </c>
      <c r="P1791">
        <f>-671.275068647405 -86.1438252635655 -414.800613522118</f>
        <v>-1172.2195074330884</v>
      </c>
      <c r="Q1791">
        <f>-426.272679689659 -7.68664840634142 -376.586869930894</f>
        <v>-810.54619802689444</v>
      </c>
      <c r="R1791" t="s">
        <v>37428</v>
      </c>
      <c r="S1791" t="s">
        <v>37429</v>
      </c>
      <c r="T1791" t="s">
        <v>37430</v>
      </c>
      <c r="U1791" t="s">
        <v>37431</v>
      </c>
      <c r="V1791" t="s">
        <v>37432</v>
      </c>
      <c r="W1791" t="s">
        <v>37433</v>
      </c>
      <c r="X1791" t="s">
        <v>37434</v>
      </c>
      <c r="Y1791" t="s">
        <v>37435</v>
      </c>
    </row>
    <row r="1792" spans="1:25" x14ac:dyDescent="0.3">
      <c r="A1792">
        <v>89550</v>
      </c>
      <c r="B1792" t="s">
        <v>37436</v>
      </c>
      <c r="C1792" t="s">
        <v>37437</v>
      </c>
      <c r="D1792" t="s">
        <v>37438</v>
      </c>
      <c r="E1792" t="s">
        <v>37439</v>
      </c>
      <c r="F1792" t="s">
        <v>37440</v>
      </c>
      <c r="G1792" t="s">
        <v>37441</v>
      </c>
      <c r="H1792" t="s">
        <v>37442</v>
      </c>
      <c r="I1792" t="s">
        <v>37443</v>
      </c>
      <c r="J1792" t="s">
        <v>37444</v>
      </c>
      <c r="K1792" t="s">
        <v>37445</v>
      </c>
      <c r="L1792" t="s">
        <v>37446</v>
      </c>
      <c r="M1792">
        <f>-306.299478078171 -0.473351945279546 -322.918828585892</f>
        <v>-629.69165860934254</v>
      </c>
      <c r="N1792" t="s">
        <v>37447</v>
      </c>
      <c r="O1792">
        <f>-725.456840672769 -79.2718777917974 -725.855717683348</f>
        <v>-1530.5844361479144</v>
      </c>
      <c r="P1792">
        <f>-669.835687494773 -86.4517657287217 -414.341837903725</f>
        <v>-1170.6292911272196</v>
      </c>
      <c r="Q1792">
        <f>-424.225774873817 -9.56724410091351 -376.837786426011</f>
        <v>-810.63080540074156</v>
      </c>
      <c r="R1792" t="s">
        <v>37448</v>
      </c>
      <c r="S1792" t="s">
        <v>37449</v>
      </c>
      <c r="T1792" t="s">
        <v>37450</v>
      </c>
      <c r="U1792" t="s">
        <v>37451</v>
      </c>
      <c r="V1792" t="s">
        <v>37452</v>
      </c>
      <c r="W1792" t="s">
        <v>37453</v>
      </c>
      <c r="X1792" t="s">
        <v>37454</v>
      </c>
      <c r="Y1792" t="s">
        <v>37455</v>
      </c>
    </row>
    <row r="1793" spans="1:25" x14ac:dyDescent="0.3">
      <c r="A1793">
        <v>89600</v>
      </c>
      <c r="B1793" t="s">
        <v>37456</v>
      </c>
      <c r="C1793" t="s">
        <v>37457</v>
      </c>
      <c r="D1793" t="s">
        <v>37458</v>
      </c>
      <c r="E1793" t="s">
        <v>37459</v>
      </c>
      <c r="F1793" t="s">
        <v>37460</v>
      </c>
      <c r="G1793" t="s">
        <v>37461</v>
      </c>
      <c r="H1793" t="s">
        <v>37462</v>
      </c>
      <c r="I1793" t="s">
        <v>37463</v>
      </c>
      <c r="J1793" t="s">
        <v>37464</v>
      </c>
      <c r="K1793" t="s">
        <v>37465</v>
      </c>
      <c r="L1793" t="s">
        <v>37466</v>
      </c>
      <c r="M1793">
        <f>-305.887988611923 -1.94684941106084 -323.836686654984</f>
        <v>-631.67152467796791</v>
      </c>
      <c r="N1793" t="s">
        <v>37467</v>
      </c>
      <c r="O1793">
        <f>-725.147618640432 -79.5623237919322 -725.47346195889</f>
        <v>-1530.183404391254</v>
      </c>
      <c r="P1793">
        <f>-669.183655459337 -86.5242831357841 -414.01597889907</f>
        <v>-1169.723917494191</v>
      </c>
      <c r="Q1793">
        <f>-423.303743993567 -10.308277847935 -376.918014208741</f>
        <v>-810.5300360502431</v>
      </c>
      <c r="R1793" t="s">
        <v>37468</v>
      </c>
      <c r="S1793" t="s">
        <v>37469</v>
      </c>
      <c r="T1793" t="s">
        <v>37470</v>
      </c>
      <c r="U1793" t="s">
        <v>37471</v>
      </c>
      <c r="V1793" t="s">
        <v>37472</v>
      </c>
      <c r="W1793" t="s">
        <v>37473</v>
      </c>
      <c r="X1793" t="s">
        <v>37474</v>
      </c>
      <c r="Y1793" t="s">
        <v>37475</v>
      </c>
    </row>
    <row r="1794" spans="1:25" x14ac:dyDescent="0.3">
      <c r="A1794">
        <v>89650</v>
      </c>
      <c r="B1794" t="s">
        <v>37476</v>
      </c>
      <c r="C1794" t="s">
        <v>37477</v>
      </c>
      <c r="D1794" t="s">
        <v>37478</v>
      </c>
      <c r="E1794" t="s">
        <v>37479</v>
      </c>
      <c r="F1794" t="s">
        <v>37480</v>
      </c>
      <c r="G1794" t="s">
        <v>37481</v>
      </c>
      <c r="H1794" t="s">
        <v>37482</v>
      </c>
      <c r="I1794" t="s">
        <v>37483</v>
      </c>
      <c r="J1794" t="s">
        <v>37484</v>
      </c>
      <c r="K1794" t="s">
        <v>37485</v>
      </c>
      <c r="L1794" t="s">
        <v>37486</v>
      </c>
      <c r="M1794">
        <f>-305.452633827319 -2.57141570479212 -323.399609983609</f>
        <v>-631.42365951572015</v>
      </c>
      <c r="N1794" t="s">
        <v>37487</v>
      </c>
      <c r="O1794">
        <f>-724.420618709538 -80.2687873933114 -724.432571372724</f>
        <v>-1529.1219774755734</v>
      </c>
      <c r="P1794">
        <f>-668.135086324202 -86.3989096183238 -413.015550941768</f>
        <v>-1167.5495468842939</v>
      </c>
      <c r="Q1794">
        <f>-421.56351065802 -12.2275812927389 -376.366146896503</f>
        <v>-810.15723884726185</v>
      </c>
      <c r="R1794" t="s">
        <v>37488</v>
      </c>
      <c r="S1794" t="s">
        <v>37489</v>
      </c>
      <c r="T1794" t="s">
        <v>37490</v>
      </c>
      <c r="U1794" t="s">
        <v>37491</v>
      </c>
      <c r="V1794" t="s">
        <v>37492</v>
      </c>
      <c r="W1794" t="s">
        <v>37493</v>
      </c>
      <c r="X1794" t="s">
        <v>37494</v>
      </c>
      <c r="Y1794" t="s">
        <v>37495</v>
      </c>
    </row>
    <row r="1795" spans="1:25" x14ac:dyDescent="0.3">
      <c r="A1795">
        <v>89700</v>
      </c>
      <c r="B1795" t="s">
        <v>37496</v>
      </c>
      <c r="C1795" t="s">
        <v>37497</v>
      </c>
      <c r="D1795" t="s">
        <v>37498</v>
      </c>
      <c r="E1795" t="s">
        <v>37499</v>
      </c>
      <c r="F1795" t="s">
        <v>37500</v>
      </c>
      <c r="G1795" t="s">
        <v>37501</v>
      </c>
      <c r="H1795" t="s">
        <v>37502</v>
      </c>
      <c r="I1795" t="s">
        <v>37503</v>
      </c>
      <c r="J1795" t="s">
        <v>37504</v>
      </c>
      <c r="K1795" t="s">
        <v>37505</v>
      </c>
      <c r="L1795" t="s">
        <v>37506</v>
      </c>
      <c r="M1795" t="s">
        <v>37507</v>
      </c>
      <c r="N1795" t="s">
        <v>37508</v>
      </c>
      <c r="O1795">
        <f>-723.998624469708 -80.48078214304 -723.855427712675</f>
        <v>-1528.3348343254229</v>
      </c>
      <c r="P1795">
        <f>-667.611748166493 -85.9029790266939 -412.44359132042</f>
        <v>-1165.9583185136069</v>
      </c>
      <c r="Q1795">
        <f>-420.79322290317 -12.9697454920522 -374.980857771001</f>
        <v>-808.74382616622324</v>
      </c>
      <c r="R1795" t="s">
        <v>37509</v>
      </c>
      <c r="S1795" t="s">
        <v>37510</v>
      </c>
      <c r="T1795" t="s">
        <v>37511</v>
      </c>
      <c r="U1795" t="s">
        <v>37512</v>
      </c>
      <c r="V1795" t="s">
        <v>37513</v>
      </c>
      <c r="W1795" t="s">
        <v>37514</v>
      </c>
      <c r="X1795" t="s">
        <v>37515</v>
      </c>
      <c r="Y1795" t="s">
        <v>37516</v>
      </c>
    </row>
    <row r="1796" spans="1:25" x14ac:dyDescent="0.3">
      <c r="A1796">
        <v>89750</v>
      </c>
      <c r="B1796" t="s">
        <v>37517</v>
      </c>
      <c r="C1796" t="s">
        <v>37518</v>
      </c>
      <c r="D1796" t="s">
        <v>37519</v>
      </c>
      <c r="E1796" t="s">
        <v>37520</v>
      </c>
      <c r="F1796" t="s">
        <v>37521</v>
      </c>
      <c r="G1796" t="s">
        <v>37522</v>
      </c>
      <c r="H1796" t="s">
        <v>37523</v>
      </c>
      <c r="I1796" t="s">
        <v>37524</v>
      </c>
      <c r="J1796" t="s">
        <v>37525</v>
      </c>
      <c r="K1796" t="s">
        <v>37526</v>
      </c>
      <c r="L1796" t="s">
        <v>37527</v>
      </c>
      <c r="M1796" t="s">
        <v>37528</v>
      </c>
      <c r="N1796" t="s">
        <v>37529</v>
      </c>
      <c r="O1796">
        <f>-723.120116623603 -80.765548338336 -722.675566586544</f>
        <v>-1526.5612315484832</v>
      </c>
      <c r="P1796">
        <f>-667.473105608842 -84.2543506773657 -411.103025966599</f>
        <v>-1162.8304822528066</v>
      </c>
      <c r="Q1796">
        <f>-420.474436631459 -12.3518037870238 -372.844597941705</f>
        <v>-805.67083836018787</v>
      </c>
      <c r="R1796" t="s">
        <v>37530</v>
      </c>
      <c r="S1796" t="s">
        <v>37531</v>
      </c>
      <c r="T1796" t="s">
        <v>37532</v>
      </c>
      <c r="U1796" t="s">
        <v>37533</v>
      </c>
      <c r="V1796" t="s">
        <v>37534</v>
      </c>
      <c r="W1796" t="s">
        <v>37535</v>
      </c>
      <c r="X1796" t="s">
        <v>37536</v>
      </c>
      <c r="Y1796" t="s">
        <v>37537</v>
      </c>
    </row>
    <row r="1797" spans="1:25" x14ac:dyDescent="0.3">
      <c r="A1797">
        <v>89800</v>
      </c>
      <c r="B1797" t="s">
        <v>37538</v>
      </c>
      <c r="C1797" t="s">
        <v>37539</v>
      </c>
      <c r="D1797" t="s">
        <v>37540</v>
      </c>
      <c r="E1797" t="s">
        <v>37541</v>
      </c>
      <c r="F1797" t="s">
        <v>37542</v>
      </c>
      <c r="G1797" t="s">
        <v>37543</v>
      </c>
      <c r="H1797" t="s">
        <v>37544</v>
      </c>
      <c r="I1797" t="s">
        <v>37545</v>
      </c>
      <c r="J1797" t="s">
        <v>37546</v>
      </c>
      <c r="K1797" t="s">
        <v>37547</v>
      </c>
      <c r="L1797" t="s">
        <v>37548</v>
      </c>
      <c r="M1797" t="s">
        <v>37549</v>
      </c>
      <c r="N1797" t="s">
        <v>37550</v>
      </c>
      <c r="O1797">
        <f>-723.052743035551 -80.6900727033583 -722.15389560539</f>
        <v>-1525.8967113442991</v>
      </c>
      <c r="P1797">
        <f>-667.017977728819 -83.5159504693336 -410.644198626906</f>
        <v>-1161.1781268250586</v>
      </c>
      <c r="Q1797">
        <f>-419.863525794195 -12.0106197296618 -372.647749867445</f>
        <v>-804.52189539130177</v>
      </c>
      <c r="R1797" t="s">
        <v>37551</v>
      </c>
      <c r="S1797" t="s">
        <v>37552</v>
      </c>
      <c r="T1797" t="s">
        <v>37553</v>
      </c>
      <c r="U1797" t="s">
        <v>37554</v>
      </c>
      <c r="V1797" t="s">
        <v>37555</v>
      </c>
      <c r="W1797" t="s">
        <v>37556</v>
      </c>
      <c r="X1797" t="s">
        <v>37557</v>
      </c>
      <c r="Y1797" t="s">
        <v>37558</v>
      </c>
    </row>
    <row r="1798" spans="1:25" x14ac:dyDescent="0.3">
      <c r="A1798">
        <v>89850</v>
      </c>
      <c r="B1798" t="s">
        <v>37559</v>
      </c>
      <c r="C1798" t="s">
        <v>37560</v>
      </c>
      <c r="D1798" t="s">
        <v>37561</v>
      </c>
      <c r="E1798" t="s">
        <v>37562</v>
      </c>
      <c r="F1798" t="s">
        <v>37563</v>
      </c>
      <c r="G1798" t="s">
        <v>37564</v>
      </c>
      <c r="H1798" t="s">
        <v>37565</v>
      </c>
      <c r="I1798" t="s">
        <v>37566</v>
      </c>
      <c r="J1798" t="s">
        <v>37567</v>
      </c>
      <c r="K1798" t="s">
        <v>37568</v>
      </c>
      <c r="L1798" t="s">
        <v>37569</v>
      </c>
      <c r="M1798" t="s">
        <v>37570</v>
      </c>
      <c r="N1798" t="s">
        <v>37571</v>
      </c>
      <c r="O1798">
        <f>-723.030378586969 -80.4374907071492 -721.340763219614</f>
        <v>-1524.8086325137324</v>
      </c>
      <c r="P1798">
        <f>-665.955314158957 -82.67205097325 -410.015274061201</f>
        <v>-1158.6426391934078</v>
      </c>
      <c r="Q1798">
        <f>-418.61509933605 -11.3308100207028 -372.929483078181</f>
        <v>-802.87539243493381</v>
      </c>
      <c r="R1798" t="s">
        <v>37572</v>
      </c>
      <c r="S1798" t="s">
        <v>37573</v>
      </c>
      <c r="T1798" t="s">
        <v>37574</v>
      </c>
      <c r="U1798" t="s">
        <v>37575</v>
      </c>
      <c r="V1798" t="s">
        <v>37576</v>
      </c>
      <c r="W1798" t="s">
        <v>37577</v>
      </c>
      <c r="X1798" t="s">
        <v>37578</v>
      </c>
      <c r="Y1798" t="s">
        <v>37579</v>
      </c>
    </row>
    <row r="1799" spans="1:25" x14ac:dyDescent="0.3">
      <c r="A1799">
        <v>89900</v>
      </c>
      <c r="B1799" t="s">
        <v>37580</v>
      </c>
      <c r="C1799" t="s">
        <v>37581</v>
      </c>
      <c r="D1799" t="s">
        <v>37582</v>
      </c>
      <c r="E1799" t="s">
        <v>37583</v>
      </c>
      <c r="F1799" t="s">
        <v>37584</v>
      </c>
      <c r="G1799" t="s">
        <v>37585</v>
      </c>
      <c r="H1799" t="s">
        <v>37586</v>
      </c>
      <c r="I1799" t="s">
        <v>37587</v>
      </c>
      <c r="J1799" t="s">
        <v>37588</v>
      </c>
      <c r="K1799" t="s">
        <v>37589</v>
      </c>
      <c r="L1799" t="s">
        <v>37590</v>
      </c>
      <c r="M1799" t="s">
        <v>37591</v>
      </c>
      <c r="N1799" t="s">
        <v>37592</v>
      </c>
      <c r="O1799">
        <f>-722.819245164423 -80.5439490609615 -720.971056609293</f>
        <v>-1524.3342508346775</v>
      </c>
      <c r="P1799">
        <f>-665.589617498202 -82.1140118090243 -409.66987810941</f>
        <v>-1157.3735074166361</v>
      </c>
      <c r="Q1799">
        <f>-418.16935909166 -10.7937667184872 -373.082304816422</f>
        <v>-802.04543062656921</v>
      </c>
      <c r="R1799" t="s">
        <v>37593</v>
      </c>
      <c r="S1799" t="s">
        <v>37594</v>
      </c>
      <c r="T1799" t="s">
        <v>37595</v>
      </c>
      <c r="U1799" t="s">
        <v>37596</v>
      </c>
      <c r="V1799" t="s">
        <v>37597</v>
      </c>
      <c r="W1799" t="s">
        <v>37598</v>
      </c>
      <c r="X1799" t="s">
        <v>37599</v>
      </c>
      <c r="Y1799" t="s">
        <v>37600</v>
      </c>
    </row>
    <row r="1800" spans="1:25" x14ac:dyDescent="0.3">
      <c r="A1800">
        <v>89950</v>
      </c>
      <c r="B1800" t="s">
        <v>37601</v>
      </c>
      <c r="C1800" t="s">
        <v>37602</v>
      </c>
      <c r="D1800" t="s">
        <v>37603</v>
      </c>
      <c r="E1800" t="s">
        <v>37604</v>
      </c>
      <c r="F1800" t="s">
        <v>37605</v>
      </c>
      <c r="G1800" t="s">
        <v>37606</v>
      </c>
      <c r="H1800" t="s">
        <v>37607</v>
      </c>
      <c r="I1800" t="s">
        <v>37608</v>
      </c>
      <c r="J1800" t="s">
        <v>37609</v>
      </c>
      <c r="K1800" t="s">
        <v>37610</v>
      </c>
      <c r="L1800" t="s">
        <v>37611</v>
      </c>
      <c r="M1800" t="s">
        <v>37612</v>
      </c>
      <c r="N1800" t="s">
        <v>37613</v>
      </c>
      <c r="O1800">
        <f>-722.167779309134 -80.8079130549695 -720.070284718588</f>
        <v>-1523.0459770826915</v>
      </c>
      <c r="P1800">
        <f>-664.556248536007 -81.1656845953419 -408.835626526386</f>
        <v>-1154.5575596577351</v>
      </c>
      <c r="Q1800">
        <f>-416.942726501498 -10.3220346551732 -372.631341146486</f>
        <v>-799.89610230315725</v>
      </c>
      <c r="R1800" t="s">
        <v>37614</v>
      </c>
      <c r="S1800" t="s">
        <v>37615</v>
      </c>
      <c r="T1800" t="s">
        <v>37616</v>
      </c>
      <c r="U1800" t="s">
        <v>37617</v>
      </c>
      <c r="V1800" t="s">
        <v>37618</v>
      </c>
      <c r="W1800" t="s">
        <v>37619</v>
      </c>
      <c r="X1800" t="s">
        <v>37620</v>
      </c>
      <c r="Y1800" t="s">
        <v>37621</v>
      </c>
    </row>
    <row r="1801" spans="1:25" x14ac:dyDescent="0.3">
      <c r="A1801">
        <v>90000</v>
      </c>
      <c r="B1801" t="s">
        <v>37622</v>
      </c>
      <c r="C1801" t="s">
        <v>37623</v>
      </c>
      <c r="D1801" t="s">
        <v>37624</v>
      </c>
      <c r="E1801" t="s">
        <v>37625</v>
      </c>
      <c r="F1801" t="s">
        <v>37626</v>
      </c>
      <c r="G1801" t="s">
        <v>37627</v>
      </c>
      <c r="H1801" t="s">
        <v>37628</v>
      </c>
      <c r="I1801" t="s">
        <v>37629</v>
      </c>
      <c r="J1801" t="s">
        <v>37630</v>
      </c>
      <c r="K1801" t="s">
        <v>37631</v>
      </c>
      <c r="L1801" t="s">
        <v>37632</v>
      </c>
      <c r="M1801" t="s">
        <v>37633</v>
      </c>
      <c r="N1801" t="s">
        <v>37634</v>
      </c>
      <c r="O1801">
        <f>-721.905299295802 -80.8286721202367 -719.534999126667</f>
        <v>-1522.2689705427056</v>
      </c>
      <c r="P1801">
        <f>-664.090718471873 -80.8698214176734 -408.337891149549</f>
        <v>-1153.2984310390952</v>
      </c>
      <c r="Q1801">
        <f>-416.438760516936 -9.96404512648428 -372.519869934015</f>
        <v>-798.92267557743526</v>
      </c>
      <c r="R1801" t="s">
        <v>37635</v>
      </c>
      <c r="S1801" t="s">
        <v>37636</v>
      </c>
      <c r="T1801" t="s">
        <v>37637</v>
      </c>
      <c r="U1801" t="s">
        <v>37638</v>
      </c>
      <c r="V1801" t="s">
        <v>37639</v>
      </c>
      <c r="W1801" t="s">
        <v>37640</v>
      </c>
      <c r="X1801" t="s">
        <v>37641</v>
      </c>
      <c r="Y1801" t="s">
        <v>37642</v>
      </c>
    </row>
    <row r="1802" spans="1:25" x14ac:dyDescent="0.3">
      <c r="A1802">
        <v>90050</v>
      </c>
      <c r="B1802" t="s">
        <v>37643</v>
      </c>
      <c r="C1802" t="s">
        <v>37644</v>
      </c>
      <c r="D1802" t="s">
        <v>37645</v>
      </c>
      <c r="E1802" t="s">
        <v>37646</v>
      </c>
      <c r="F1802" t="s">
        <v>37647</v>
      </c>
      <c r="G1802" t="s">
        <v>37648</v>
      </c>
      <c r="H1802" t="s">
        <v>37649</v>
      </c>
      <c r="I1802" t="s">
        <v>37650</v>
      </c>
      <c r="J1802" t="s">
        <v>37651</v>
      </c>
      <c r="K1802" t="s">
        <v>37652</v>
      </c>
      <c r="L1802" t="s">
        <v>37653</v>
      </c>
      <c r="M1802" t="s">
        <v>37654</v>
      </c>
      <c r="N1802" t="s">
        <v>37655</v>
      </c>
      <c r="O1802">
        <f>-721.243913189611 -80.6491121827883 -718.640880568876</f>
        <v>-1520.5339059412754</v>
      </c>
      <c r="P1802">
        <f>-662.679763937975 -79.8926869609559 -407.584736228067</f>
        <v>-1150.157187126998</v>
      </c>
      <c r="Q1802">
        <f>-414.772535583867 -9.55057212605743 -372.427395346082</f>
        <v>-796.75050305600644</v>
      </c>
      <c r="R1802" t="s">
        <v>37656</v>
      </c>
      <c r="S1802" t="s">
        <v>37657</v>
      </c>
      <c r="T1802" t="s">
        <v>37658</v>
      </c>
      <c r="U1802" t="s">
        <v>37659</v>
      </c>
      <c r="V1802" t="s">
        <v>37660</v>
      </c>
      <c r="W1802" t="s">
        <v>37661</v>
      </c>
      <c r="X1802" t="s">
        <v>37662</v>
      </c>
      <c r="Y1802" t="s">
        <v>37663</v>
      </c>
    </row>
    <row r="1803" spans="1:25" x14ac:dyDescent="0.3">
      <c r="A1803">
        <v>90100</v>
      </c>
      <c r="B1803" t="s">
        <v>37664</v>
      </c>
      <c r="C1803" t="s">
        <v>37665</v>
      </c>
      <c r="D1803" t="s">
        <v>37666</v>
      </c>
      <c r="E1803" t="s">
        <v>37667</v>
      </c>
      <c r="F1803" t="s">
        <v>37668</v>
      </c>
      <c r="G1803" t="s">
        <v>37669</v>
      </c>
      <c r="H1803" t="s">
        <v>37670</v>
      </c>
      <c r="I1803" t="s">
        <v>37671</v>
      </c>
      <c r="J1803" t="s">
        <v>37672</v>
      </c>
      <c r="K1803" t="s">
        <v>37673</v>
      </c>
      <c r="L1803" t="s">
        <v>37674</v>
      </c>
      <c r="M1803" t="s">
        <v>37675</v>
      </c>
      <c r="N1803" t="s">
        <v>37676</v>
      </c>
      <c r="O1803">
        <f>-721.212627181875 -80.5526246985269 -718.084861725105</f>
        <v>-1519.850113605507</v>
      </c>
      <c r="P1803">
        <f>-662.422723454361 -79.1338734195131 -407.073789804818</f>
        <v>-1148.630386678692</v>
      </c>
      <c r="Q1803">
        <f>-414.406101762374 -9.13191047113401 -372.009345922908</f>
        <v>-795.54735815641607</v>
      </c>
      <c r="R1803" t="s">
        <v>37677</v>
      </c>
      <c r="S1803" t="s">
        <v>37678</v>
      </c>
      <c r="T1803" t="s">
        <v>37679</v>
      </c>
      <c r="U1803" t="s">
        <v>37680</v>
      </c>
      <c r="V1803" t="s">
        <v>37681</v>
      </c>
      <c r="W1803" t="s">
        <v>37682</v>
      </c>
      <c r="X1803" t="s">
        <v>37683</v>
      </c>
      <c r="Y1803" t="s">
        <v>37684</v>
      </c>
    </row>
    <row r="1804" spans="1:25" x14ac:dyDescent="0.3">
      <c r="A1804">
        <v>90150</v>
      </c>
      <c r="B1804" t="s">
        <v>37685</v>
      </c>
      <c r="C1804" t="s">
        <v>37686</v>
      </c>
      <c r="D1804" t="s">
        <v>37687</v>
      </c>
      <c r="E1804" t="s">
        <v>37688</v>
      </c>
      <c r="F1804" t="s">
        <v>37689</v>
      </c>
      <c r="G1804" t="s">
        <v>37690</v>
      </c>
      <c r="H1804" t="s">
        <v>37691</v>
      </c>
      <c r="I1804" t="s">
        <v>37692</v>
      </c>
      <c r="J1804" t="s">
        <v>37693</v>
      </c>
      <c r="K1804" t="s">
        <v>37694</v>
      </c>
      <c r="L1804" t="s">
        <v>37695</v>
      </c>
      <c r="M1804" t="s">
        <v>37696</v>
      </c>
      <c r="N1804" t="s">
        <v>37697</v>
      </c>
      <c r="O1804">
        <f>-720.862482130254 -80.3904031597554 -717.052498140716</f>
        <v>-1518.3053834307252</v>
      </c>
      <c r="P1804">
        <f>-661.7115266976 -78.4519631746139 -406.112546944341</f>
        <v>-1146.2760368165548</v>
      </c>
      <c r="Q1804">
        <f>-413.490507293872 -9.022251157033 -371.358213243711</f>
        <v>-793.87097169461595</v>
      </c>
      <c r="R1804" t="s">
        <v>37698</v>
      </c>
      <c r="S1804" t="s">
        <v>37699</v>
      </c>
      <c r="T1804" t="s">
        <v>37700</v>
      </c>
      <c r="U1804" t="s">
        <v>37701</v>
      </c>
      <c r="V1804" t="s">
        <v>37702</v>
      </c>
      <c r="W1804" t="s">
        <v>37703</v>
      </c>
      <c r="X1804" t="s">
        <v>37704</v>
      </c>
      <c r="Y1804" t="s">
        <v>37705</v>
      </c>
    </row>
    <row r="1805" spans="1:25" x14ac:dyDescent="0.3">
      <c r="A1805">
        <v>90200</v>
      </c>
      <c r="B1805" t="s">
        <v>37706</v>
      </c>
      <c r="C1805" t="s">
        <v>37707</v>
      </c>
      <c r="D1805" t="s">
        <v>37708</v>
      </c>
      <c r="E1805" t="s">
        <v>37709</v>
      </c>
      <c r="F1805" t="s">
        <v>37710</v>
      </c>
      <c r="G1805" t="s">
        <v>37711</v>
      </c>
      <c r="H1805" t="s">
        <v>37712</v>
      </c>
      <c r="I1805" t="s">
        <v>37713</v>
      </c>
      <c r="J1805" t="s">
        <v>37714</v>
      </c>
      <c r="K1805" t="s">
        <v>37715</v>
      </c>
      <c r="L1805" t="s">
        <v>37716</v>
      </c>
      <c r="M1805" t="s">
        <v>37717</v>
      </c>
      <c r="N1805" t="s">
        <v>37718</v>
      </c>
      <c r="O1805">
        <f>-720.737549285106 -80.0150484077858 -716.680545285113</f>
        <v>-1517.4331429780048</v>
      </c>
      <c r="P1805">
        <f>-661.488914130206 -77.4590806320698 -405.763603178942</f>
        <v>-1144.7115979412179</v>
      </c>
      <c r="Q1805">
        <f>-413.19605116803 -8.2619004542953 -371.058030247661</f>
        <v>-792.51598186998626</v>
      </c>
      <c r="R1805" t="s">
        <v>37719</v>
      </c>
      <c r="S1805" t="s">
        <v>37720</v>
      </c>
      <c r="T1805" t="s">
        <v>37721</v>
      </c>
      <c r="U1805" t="s">
        <v>37722</v>
      </c>
      <c r="V1805" t="s">
        <v>37723</v>
      </c>
      <c r="W1805" t="s">
        <v>37724</v>
      </c>
      <c r="X1805" t="s">
        <v>37725</v>
      </c>
      <c r="Y1805" t="s">
        <v>37726</v>
      </c>
    </row>
    <row r="1806" spans="1:25" x14ac:dyDescent="0.3">
      <c r="A1806">
        <v>90250</v>
      </c>
      <c r="B1806" t="s">
        <v>37727</v>
      </c>
      <c r="C1806" t="s">
        <v>37728</v>
      </c>
      <c r="D1806" t="s">
        <v>37729</v>
      </c>
      <c r="E1806" t="s">
        <v>37730</v>
      </c>
      <c r="F1806" t="s">
        <v>37731</v>
      </c>
      <c r="G1806" t="s">
        <v>37732</v>
      </c>
      <c r="H1806" t="s">
        <v>37733</v>
      </c>
      <c r="I1806" t="s">
        <v>37734</v>
      </c>
      <c r="J1806" t="s">
        <v>37735</v>
      </c>
      <c r="K1806" t="s">
        <v>37736</v>
      </c>
      <c r="L1806" t="s">
        <v>37737</v>
      </c>
      <c r="M1806" t="s">
        <v>37738</v>
      </c>
      <c r="N1806" t="s">
        <v>37739</v>
      </c>
      <c r="O1806">
        <f>-720.403857570939 -79.2231431682058 -716.083037573067</f>
        <v>-1515.7100383122117</v>
      </c>
      <c r="P1806">
        <f>-660.832133812339 -76.227397672528 -405.23173960162</f>
        <v>-1142.2912710864871</v>
      </c>
      <c r="Q1806">
        <f>-412.403231158497 -7.43338047817997 -370.698973903916</f>
        <v>-790.53558554059305</v>
      </c>
      <c r="R1806" t="s">
        <v>37740</v>
      </c>
      <c r="S1806" t="s">
        <v>37741</v>
      </c>
      <c r="T1806" t="s">
        <v>37742</v>
      </c>
      <c r="U1806" t="s">
        <v>37743</v>
      </c>
      <c r="V1806" t="s">
        <v>37744</v>
      </c>
      <c r="W1806" t="s">
        <v>37745</v>
      </c>
      <c r="X1806" t="s">
        <v>37746</v>
      </c>
      <c r="Y1806" t="s">
        <v>37747</v>
      </c>
    </row>
    <row r="1807" spans="1:25" x14ac:dyDescent="0.3">
      <c r="A1807">
        <v>90300</v>
      </c>
      <c r="B1807" t="s">
        <v>37748</v>
      </c>
      <c r="C1807" t="s">
        <v>37749</v>
      </c>
      <c r="D1807" t="s">
        <v>37750</v>
      </c>
      <c r="E1807" t="s">
        <v>37751</v>
      </c>
      <c r="F1807" t="s">
        <v>37752</v>
      </c>
      <c r="G1807" t="s">
        <v>37753</v>
      </c>
      <c r="H1807" t="s">
        <v>37754</v>
      </c>
      <c r="I1807" t="s">
        <v>37755</v>
      </c>
      <c r="J1807" t="s">
        <v>37756</v>
      </c>
      <c r="K1807" t="s">
        <v>37757</v>
      </c>
      <c r="L1807" t="s">
        <v>37758</v>
      </c>
      <c r="M1807" t="s">
        <v>37759</v>
      </c>
      <c r="N1807" t="s">
        <v>37760</v>
      </c>
      <c r="O1807">
        <f>-720.241042377548 -78.9662019759826 -715.850392560635</f>
        <v>-1515.0576369141654</v>
      </c>
      <c r="P1807">
        <f>-660.764318560891 -75.7146309408483 -404.983693147709</f>
        <v>-1141.4626426494483</v>
      </c>
      <c r="Q1807">
        <f>-412.291884021835 -7.08056186138469 -370.445367165491</f>
        <v>-789.81781304871072</v>
      </c>
      <c r="R1807" t="s">
        <v>37761</v>
      </c>
      <c r="S1807" t="s">
        <v>37762</v>
      </c>
      <c r="T1807" t="s">
        <v>37763</v>
      </c>
      <c r="U1807" t="s">
        <v>37764</v>
      </c>
      <c r="V1807" t="s">
        <v>37765</v>
      </c>
      <c r="W1807" t="s">
        <v>37766</v>
      </c>
      <c r="X1807" t="s">
        <v>37767</v>
      </c>
      <c r="Y1807" t="s">
        <v>37768</v>
      </c>
    </row>
    <row r="1808" spans="1:25" x14ac:dyDescent="0.3">
      <c r="A1808">
        <v>90350</v>
      </c>
      <c r="B1808" t="s">
        <v>37769</v>
      </c>
      <c r="C1808" t="s">
        <v>37770</v>
      </c>
      <c r="D1808" t="s">
        <v>37771</v>
      </c>
      <c r="E1808" t="s">
        <v>37772</v>
      </c>
      <c r="F1808" t="s">
        <v>37773</v>
      </c>
      <c r="G1808" t="s">
        <v>37774</v>
      </c>
      <c r="H1808" t="s">
        <v>37775</v>
      </c>
      <c r="I1808" t="s">
        <v>37776</v>
      </c>
      <c r="J1808" t="s">
        <v>37777</v>
      </c>
      <c r="K1808" t="s">
        <v>37778</v>
      </c>
      <c r="L1808" t="s">
        <v>37779</v>
      </c>
      <c r="M1808" t="s">
        <v>37780</v>
      </c>
      <c r="N1808" t="s">
        <v>37781</v>
      </c>
      <c r="O1808">
        <f>-720.259067002697 -78.4670965010403 -715.502367850535</f>
        <v>-1514.2285313542723</v>
      </c>
      <c r="P1808">
        <f>-660.591756382259 -75.1346238187671 -404.673015572964</f>
        <v>-1140.3993957739899</v>
      </c>
      <c r="Q1808">
        <f>-412.302596391812 -5.6246103257331 -370.572049525785</f>
        <v>-788.49925624333014</v>
      </c>
      <c r="R1808" t="s">
        <v>37782</v>
      </c>
      <c r="S1808" t="s">
        <v>37783</v>
      </c>
      <c r="T1808" t="s">
        <v>37784</v>
      </c>
      <c r="U1808" t="s">
        <v>37785</v>
      </c>
      <c r="V1808" t="s">
        <v>37786</v>
      </c>
      <c r="W1808" t="s">
        <v>37787</v>
      </c>
      <c r="X1808" t="s">
        <v>37788</v>
      </c>
      <c r="Y1808" t="s">
        <v>37789</v>
      </c>
    </row>
    <row r="1809" spans="1:25" x14ac:dyDescent="0.3">
      <c r="A1809">
        <v>90400</v>
      </c>
      <c r="B1809" t="s">
        <v>37790</v>
      </c>
      <c r="C1809" t="s">
        <v>37791</v>
      </c>
      <c r="D1809" t="s">
        <v>37792</v>
      </c>
      <c r="E1809" t="s">
        <v>37793</v>
      </c>
      <c r="F1809" t="s">
        <v>37794</v>
      </c>
      <c r="G1809" t="s">
        <v>37795</v>
      </c>
      <c r="H1809" t="s">
        <v>37796</v>
      </c>
      <c r="I1809" t="s">
        <v>37797</v>
      </c>
      <c r="J1809" t="s">
        <v>37798</v>
      </c>
      <c r="K1809" t="s">
        <v>37799</v>
      </c>
      <c r="L1809" t="s">
        <v>37800</v>
      </c>
      <c r="M1809" t="s">
        <v>37801</v>
      </c>
      <c r="N1809" t="s">
        <v>37802</v>
      </c>
      <c r="O1809">
        <f>-720.087258369586 -78.2574000787424 -715.43761592261</f>
        <v>-1513.7822743709385</v>
      </c>
      <c r="P1809">
        <f>-660.364090684135 -74.8959278764644 -404.619231690408</f>
        <v>-1139.8792502510073</v>
      </c>
      <c r="Q1809">
        <f>-412.149926726738 -4.89169939904582 -370.98613368236</f>
        <v>-788.02775980814386</v>
      </c>
      <c r="R1809" t="s">
        <v>37803</v>
      </c>
      <c r="S1809" t="s">
        <v>37804</v>
      </c>
      <c r="T1809" t="s">
        <v>37805</v>
      </c>
      <c r="U1809" t="s">
        <v>37806</v>
      </c>
      <c r="V1809" t="s">
        <v>37807</v>
      </c>
      <c r="W1809" t="s">
        <v>37808</v>
      </c>
      <c r="X1809" t="s">
        <v>37809</v>
      </c>
      <c r="Y1809" t="s">
        <v>37810</v>
      </c>
    </row>
    <row r="1810" spans="1:25" x14ac:dyDescent="0.3">
      <c r="A1810">
        <v>90450</v>
      </c>
      <c r="B1810" t="s">
        <v>37811</v>
      </c>
      <c r="C1810" t="s">
        <v>37812</v>
      </c>
      <c r="D1810" t="s">
        <v>37813</v>
      </c>
      <c r="E1810" t="s">
        <v>37814</v>
      </c>
      <c r="F1810" t="s">
        <v>37815</v>
      </c>
      <c r="G1810" t="s">
        <v>37816</v>
      </c>
      <c r="H1810" t="s">
        <v>37817</v>
      </c>
      <c r="I1810" t="s">
        <v>37818</v>
      </c>
      <c r="J1810" t="s">
        <v>37819</v>
      </c>
      <c r="K1810" t="s">
        <v>37820</v>
      </c>
      <c r="L1810" t="s">
        <v>37821</v>
      </c>
      <c r="M1810" t="s">
        <v>37822</v>
      </c>
      <c r="N1810" t="s">
        <v>37823</v>
      </c>
      <c r="O1810">
        <f>-719.454375405344 -77.0644733842616 -715.808111762738</f>
        <v>-1512.3269605523437</v>
      </c>
      <c r="P1810">
        <f>-659.718045589979 -74.4295983314912 -404.985400811437</f>
        <v>-1139.1330447329074</v>
      </c>
      <c r="Q1810">
        <f>-412.085076475028 -1.74791239045044 -372.777148886441</f>
        <v>-786.61013775191941</v>
      </c>
      <c r="R1810" t="s">
        <v>37824</v>
      </c>
      <c r="S1810" t="s">
        <v>37825</v>
      </c>
      <c r="T1810" t="s">
        <v>37826</v>
      </c>
      <c r="U1810" t="s">
        <v>37827</v>
      </c>
      <c r="V1810" t="s">
        <v>37828</v>
      </c>
      <c r="W1810" t="s">
        <v>37829</v>
      </c>
      <c r="X1810" t="s">
        <v>37830</v>
      </c>
      <c r="Y1810" t="s">
        <v>37831</v>
      </c>
    </row>
    <row r="1811" spans="1:25" x14ac:dyDescent="0.3">
      <c r="A1811">
        <v>90500</v>
      </c>
      <c r="B1811" t="s">
        <v>37832</v>
      </c>
      <c r="C1811" t="s">
        <v>37833</v>
      </c>
      <c r="D1811" t="s">
        <v>37834</v>
      </c>
      <c r="E1811" t="s">
        <v>37835</v>
      </c>
      <c r="F1811" t="s">
        <v>37836</v>
      </c>
      <c r="G1811" t="s">
        <v>37837</v>
      </c>
      <c r="H1811" t="s">
        <v>37838</v>
      </c>
      <c r="I1811" t="s">
        <v>37839</v>
      </c>
      <c r="J1811" t="s">
        <v>37840</v>
      </c>
      <c r="K1811" t="s">
        <v>37841</v>
      </c>
      <c r="L1811" t="s">
        <v>37842</v>
      </c>
      <c r="M1811" t="s">
        <v>37843</v>
      </c>
      <c r="N1811" t="s">
        <v>37844</v>
      </c>
      <c r="O1811">
        <f>-719.216705257224 -76.6053566059577 -716.09605660643</f>
        <v>-1511.9181184696117</v>
      </c>
      <c r="P1811">
        <f>-659.902180465748 -73.7912788910144 -405.194071300783</f>
        <v>-1138.8875306575453</v>
      </c>
      <c r="Q1811">
        <f>-412.424357282244 -0.316310775054717 -373.600039994237</f>
        <v>-786.34070805153578</v>
      </c>
      <c r="R1811" t="s">
        <v>37845</v>
      </c>
      <c r="S1811" t="s">
        <v>37846</v>
      </c>
      <c r="T1811" t="s">
        <v>37847</v>
      </c>
      <c r="U1811" t="s">
        <v>37848</v>
      </c>
      <c r="V1811" t="s">
        <v>37849</v>
      </c>
      <c r="W1811" t="s">
        <v>37850</v>
      </c>
      <c r="X1811" t="s">
        <v>37851</v>
      </c>
      <c r="Y1811" t="s">
        <v>37852</v>
      </c>
    </row>
    <row r="1812" spans="1:25" x14ac:dyDescent="0.3">
      <c r="A1812">
        <v>90550</v>
      </c>
      <c r="B1812" t="s">
        <v>37853</v>
      </c>
      <c r="C1812" t="s">
        <v>37854</v>
      </c>
      <c r="D1812" t="s">
        <v>37855</v>
      </c>
      <c r="E1812" t="s">
        <v>37856</v>
      </c>
      <c r="F1812" t="s">
        <v>37857</v>
      </c>
      <c r="G1812" t="s">
        <v>37858</v>
      </c>
      <c r="H1812" t="s">
        <v>37859</v>
      </c>
      <c r="I1812" t="s">
        <v>37860</v>
      </c>
      <c r="J1812" t="s">
        <v>37861</v>
      </c>
      <c r="K1812" t="s">
        <v>37862</v>
      </c>
      <c r="L1812" t="s">
        <v>37863</v>
      </c>
      <c r="M1812">
        <f>-303.523075034427 -3.99513286828505 -320.346103579978</f>
        <v>-627.86431148269003</v>
      </c>
      <c r="N1812" t="s">
        <v>37864</v>
      </c>
      <c r="O1812">
        <f>-719.252473887527 -74.8436059156948 -717.30623340577</f>
        <v>-1511.4023132089917</v>
      </c>
      <c r="P1812">
        <f>-660.738353848394 -73.7260203878798 -406.241762814084</f>
        <v>-1140.7061370503577</v>
      </c>
      <c r="Q1812" t="s">
        <v>37865</v>
      </c>
      <c r="R1812" t="s">
        <v>37866</v>
      </c>
      <c r="S1812" t="s">
        <v>37867</v>
      </c>
      <c r="T1812" t="s">
        <v>37868</v>
      </c>
      <c r="U1812" t="s">
        <v>37869</v>
      </c>
      <c r="V1812" t="s">
        <v>37870</v>
      </c>
      <c r="W1812" t="s">
        <v>37871</v>
      </c>
      <c r="X1812" t="s">
        <v>37872</v>
      </c>
      <c r="Y1812" t="s">
        <v>37873</v>
      </c>
    </row>
    <row r="1813" spans="1:25" x14ac:dyDescent="0.3">
      <c r="A1813">
        <v>90600</v>
      </c>
      <c r="B1813" t="s">
        <v>37874</v>
      </c>
      <c r="C1813" t="s">
        <v>37875</v>
      </c>
      <c r="D1813" t="s">
        <v>37876</v>
      </c>
      <c r="E1813" t="s">
        <v>37877</v>
      </c>
      <c r="F1813" t="s">
        <v>37878</v>
      </c>
      <c r="G1813" t="s">
        <v>37879</v>
      </c>
      <c r="H1813" t="s">
        <v>37880</v>
      </c>
      <c r="I1813" t="s">
        <v>37881</v>
      </c>
      <c r="J1813" t="s">
        <v>37882</v>
      </c>
      <c r="K1813" t="s">
        <v>37883</v>
      </c>
      <c r="L1813" t="s">
        <v>37884</v>
      </c>
      <c r="M1813">
        <f>-304.051649827585 -5.43621055183667 -320.810502095002</f>
        <v>-630.29836247442358</v>
      </c>
      <c r="N1813" t="s">
        <v>37885</v>
      </c>
      <c r="O1813">
        <f>-719.230073749133 -74.5867275104411 -717.627048306863</f>
        <v>-1511.4438495664372</v>
      </c>
      <c r="P1813">
        <f>-660.977626263277 -73.7504400255914 -406.512600759581</f>
        <v>-1141.2406670484493</v>
      </c>
      <c r="Q1813">
        <f>-413.577352331332 -0.0200103455190401 -374.905235070399</f>
        <v>-788.50259774725009</v>
      </c>
      <c r="R1813" t="s">
        <v>37886</v>
      </c>
      <c r="S1813" t="s">
        <v>37887</v>
      </c>
      <c r="T1813" t="s">
        <v>37888</v>
      </c>
      <c r="U1813" t="s">
        <v>37889</v>
      </c>
      <c r="V1813" t="s">
        <v>37890</v>
      </c>
      <c r="W1813" t="s">
        <v>37891</v>
      </c>
      <c r="X1813" t="s">
        <v>37892</v>
      </c>
      <c r="Y1813" t="s">
        <v>37893</v>
      </c>
    </row>
    <row r="1814" spans="1:25" x14ac:dyDescent="0.3">
      <c r="A1814">
        <v>90650</v>
      </c>
      <c r="B1814" t="s">
        <v>37894</v>
      </c>
      <c r="C1814" t="s">
        <v>37895</v>
      </c>
      <c r="D1814" t="s">
        <v>37896</v>
      </c>
      <c r="E1814" t="s">
        <v>37897</v>
      </c>
      <c r="F1814" t="s">
        <v>37898</v>
      </c>
      <c r="G1814" t="s">
        <v>37899</v>
      </c>
      <c r="H1814" t="s">
        <v>37900</v>
      </c>
      <c r="I1814" t="s">
        <v>37901</v>
      </c>
      <c r="J1814" t="s">
        <v>37902</v>
      </c>
      <c r="K1814" t="s">
        <v>37903</v>
      </c>
      <c r="L1814" t="s">
        <v>37904</v>
      </c>
      <c r="M1814">
        <f>-305.433095201279 -9.25923293849974 -321.571454780084</f>
        <v>-636.26378291986271</v>
      </c>
      <c r="N1814" t="s">
        <v>37905</v>
      </c>
      <c r="O1814">
        <f>-719.409972756156 -72.8718421245546 -719.047549761765</f>
        <v>-1511.3293646424756</v>
      </c>
      <c r="P1814">
        <f>-662.262136178948 -73.9913243165408 -407.729343625175</f>
        <v>-1143.9828041206638</v>
      </c>
      <c r="Q1814">
        <f>-414.673279723161 -1.08690495002202 -375.686144657466</f>
        <v>-791.44632933064895</v>
      </c>
      <c r="R1814" t="s">
        <v>37906</v>
      </c>
      <c r="S1814" t="s">
        <v>37907</v>
      </c>
      <c r="T1814" t="s">
        <v>37908</v>
      </c>
      <c r="U1814" t="s">
        <v>37909</v>
      </c>
      <c r="V1814" t="s">
        <v>37910</v>
      </c>
      <c r="W1814" t="s">
        <v>37911</v>
      </c>
      <c r="X1814" t="s">
        <v>37912</v>
      </c>
      <c r="Y1814" t="s">
        <v>37913</v>
      </c>
    </row>
    <row r="1815" spans="1:25" x14ac:dyDescent="0.3">
      <c r="A1815">
        <v>90700</v>
      </c>
      <c r="B1815" t="s">
        <v>37914</v>
      </c>
      <c r="C1815" t="s">
        <v>37915</v>
      </c>
      <c r="D1815" t="s">
        <v>37916</v>
      </c>
      <c r="E1815" t="s">
        <v>37917</v>
      </c>
      <c r="F1815" t="s">
        <v>37918</v>
      </c>
      <c r="G1815" t="s">
        <v>37919</v>
      </c>
      <c r="H1815" t="s">
        <v>37920</v>
      </c>
      <c r="I1815" t="s">
        <v>37921</v>
      </c>
      <c r="J1815" t="s">
        <v>37922</v>
      </c>
      <c r="K1815" t="s">
        <v>37923</v>
      </c>
      <c r="L1815" t="s">
        <v>37924</v>
      </c>
      <c r="M1815">
        <f>-305.268397162893 -10.5152348856125 -321.628775879301</f>
        <v>-637.4124079278065</v>
      </c>
      <c r="N1815" t="s">
        <v>37925</v>
      </c>
      <c r="O1815">
        <f>-719.288666651874 -71.8025993902918 -719.937313343734</f>
        <v>-1511.0285793858998</v>
      </c>
      <c r="P1815">
        <f>-662.668697803352 -74.0607963268103 -408.528756262869</f>
        <v>-1145.2582503930312</v>
      </c>
      <c r="Q1815">
        <f>-414.895237221327 -1.8550421674413 -376.331999905882</f>
        <v>-793.08227929465033</v>
      </c>
      <c r="R1815" t="s">
        <v>37926</v>
      </c>
      <c r="S1815" t="s">
        <v>37927</v>
      </c>
      <c r="T1815" t="s">
        <v>37928</v>
      </c>
      <c r="U1815" t="s">
        <v>37929</v>
      </c>
      <c r="V1815" t="s">
        <v>37930</v>
      </c>
      <c r="W1815" t="s">
        <v>37931</v>
      </c>
      <c r="X1815" t="s">
        <v>37932</v>
      </c>
      <c r="Y1815" t="s">
        <v>37933</v>
      </c>
    </row>
    <row r="1816" spans="1:25" x14ac:dyDescent="0.3">
      <c r="A1816">
        <v>90750</v>
      </c>
      <c r="B1816" t="s">
        <v>37934</v>
      </c>
      <c r="C1816" t="s">
        <v>37935</v>
      </c>
      <c r="D1816" t="s">
        <v>37936</v>
      </c>
      <c r="E1816" t="s">
        <v>37937</v>
      </c>
      <c r="F1816" t="s">
        <v>37938</v>
      </c>
      <c r="G1816" t="s">
        <v>37939</v>
      </c>
      <c r="H1816" t="s">
        <v>37940</v>
      </c>
      <c r="I1816" t="s">
        <v>37941</v>
      </c>
      <c r="J1816" t="s">
        <v>37942</v>
      </c>
      <c r="K1816" t="s">
        <v>37943</v>
      </c>
      <c r="L1816" t="s">
        <v>37944</v>
      </c>
      <c r="M1816">
        <f>-303.156817513872 -10.9844213384426 -321.186986367875</f>
        <v>-635.32822522018955</v>
      </c>
      <c r="N1816" t="s">
        <v>37945</v>
      </c>
      <c r="O1816">
        <f>-718.816612336406 -69.5111368056851 -721.894880849797</f>
        <v>-1510.222629991888</v>
      </c>
      <c r="P1816">
        <f>-663.627920021246 -74.3908989592699 -410.259540019083</f>
        <v>-1148.2783589995988</v>
      </c>
      <c r="Q1816">
        <f>-415.625608143164 -3.20426649390674 -377.55729883015</f>
        <v>-796.38717346722069</v>
      </c>
      <c r="R1816" t="s">
        <v>37946</v>
      </c>
      <c r="S1816" t="s">
        <v>37947</v>
      </c>
      <c r="T1816" t="s">
        <v>37948</v>
      </c>
      <c r="U1816" t="s">
        <v>37949</v>
      </c>
      <c r="V1816" t="s">
        <v>37950</v>
      </c>
      <c r="W1816" t="s">
        <v>37951</v>
      </c>
      <c r="X1816" t="s">
        <v>37952</v>
      </c>
      <c r="Y1816" t="s">
        <v>37953</v>
      </c>
    </row>
    <row r="1817" spans="1:25" x14ac:dyDescent="0.3">
      <c r="A1817">
        <v>90800</v>
      </c>
      <c r="B1817" t="s">
        <v>37954</v>
      </c>
      <c r="C1817" t="s">
        <v>37955</v>
      </c>
      <c r="D1817" t="s">
        <v>37956</v>
      </c>
      <c r="E1817" t="s">
        <v>37957</v>
      </c>
      <c r="F1817" t="s">
        <v>37958</v>
      </c>
      <c r="G1817" t="s">
        <v>37959</v>
      </c>
      <c r="H1817" t="s">
        <v>37960</v>
      </c>
      <c r="I1817" t="s">
        <v>37961</v>
      </c>
      <c r="J1817" t="s">
        <v>37962</v>
      </c>
      <c r="K1817" t="s">
        <v>37963</v>
      </c>
      <c r="L1817" t="s">
        <v>37964</v>
      </c>
      <c r="M1817">
        <f>-301.969351826811 -11.8430243834262 -321.793744168337</f>
        <v>-635.60612037857425</v>
      </c>
      <c r="N1817" t="s">
        <v>37965</v>
      </c>
      <c r="O1817">
        <f>-718.600284275085 -68.7756184524069 -722.904442568207</f>
        <v>-1510.2803452956987</v>
      </c>
      <c r="P1817">
        <f>-664.330300345528 -74.6996652300397 -411.125979686602</f>
        <v>-1150.1559452621698</v>
      </c>
      <c r="Q1817">
        <f>-416.211309009573 -4.07708889246874 -378.089166011051</f>
        <v>-798.37756391309267</v>
      </c>
      <c r="R1817" t="s">
        <v>37966</v>
      </c>
      <c r="S1817" t="s">
        <v>37967</v>
      </c>
      <c r="T1817" t="s">
        <v>37968</v>
      </c>
      <c r="U1817" t="s">
        <v>37969</v>
      </c>
      <c r="V1817" t="s">
        <v>37970</v>
      </c>
      <c r="W1817" t="s">
        <v>37971</v>
      </c>
      <c r="X1817" t="s">
        <v>37972</v>
      </c>
      <c r="Y1817" t="s">
        <v>37973</v>
      </c>
    </row>
    <row r="1818" spans="1:25" x14ac:dyDescent="0.3">
      <c r="A1818">
        <v>90850</v>
      </c>
      <c r="B1818" t="s">
        <v>37974</v>
      </c>
      <c r="C1818" t="s">
        <v>37975</v>
      </c>
      <c r="D1818" t="s">
        <v>37976</v>
      </c>
      <c r="E1818" t="s">
        <v>37977</v>
      </c>
      <c r="F1818" t="s">
        <v>37978</v>
      </c>
      <c r="G1818" t="s">
        <v>37979</v>
      </c>
      <c r="H1818" t="s">
        <v>37980</v>
      </c>
      <c r="I1818" t="s">
        <v>37981</v>
      </c>
      <c r="J1818" t="s">
        <v>37982</v>
      </c>
      <c r="K1818" t="s">
        <v>37983</v>
      </c>
      <c r="L1818" t="s">
        <v>37984</v>
      </c>
      <c r="M1818">
        <f>-299.473290917175 -11.5494359912543 -321.512911524572</f>
        <v>-632.5356384330014</v>
      </c>
      <c r="N1818" t="s">
        <v>37985</v>
      </c>
      <c r="O1818">
        <f>-718.199695089566 -67.9908177254017 -724.666462263371</f>
        <v>-1510.8569750783388</v>
      </c>
      <c r="P1818">
        <f>-665.441447456705 -75.5895702760579 -412.664902458666</f>
        <v>-1153.6959201914287</v>
      </c>
      <c r="Q1818">
        <f>-417.176055076206 -5.8931109791929 -378.770966914155</f>
        <v>-801.84013296955391</v>
      </c>
      <c r="R1818" t="s">
        <v>37986</v>
      </c>
      <c r="S1818" t="s">
        <v>37987</v>
      </c>
      <c r="T1818" t="s">
        <v>37988</v>
      </c>
      <c r="U1818" t="s">
        <v>37989</v>
      </c>
      <c r="V1818" t="s">
        <v>37990</v>
      </c>
      <c r="W1818" t="s">
        <v>37991</v>
      </c>
      <c r="X1818" t="s">
        <v>37992</v>
      </c>
      <c r="Y1818" t="s">
        <v>37993</v>
      </c>
    </row>
    <row r="1819" spans="1:25" x14ac:dyDescent="0.3">
      <c r="A1819">
        <v>90900</v>
      </c>
      <c r="B1819" t="s">
        <v>37994</v>
      </c>
      <c r="C1819" t="s">
        <v>37995</v>
      </c>
      <c r="D1819" t="s">
        <v>37996</v>
      </c>
      <c r="E1819" t="s">
        <v>37997</v>
      </c>
      <c r="F1819" t="s">
        <v>37998</v>
      </c>
      <c r="G1819" t="s">
        <v>37999</v>
      </c>
      <c r="H1819" t="s">
        <v>38000</v>
      </c>
      <c r="I1819" t="s">
        <v>38001</v>
      </c>
      <c r="J1819" t="s">
        <v>38002</v>
      </c>
      <c r="K1819" t="s">
        <v>38003</v>
      </c>
      <c r="L1819" t="s">
        <v>38004</v>
      </c>
      <c r="M1819">
        <f>-299.015988574855 -12.4213726571745 -321.947457076453</f>
        <v>-633.38481830848252</v>
      </c>
      <c r="N1819" t="s">
        <v>38005</v>
      </c>
      <c r="O1819">
        <f>-717.995800137059 -67.8361224633413 -725.406662648724</f>
        <v>-1511.2385852491243</v>
      </c>
      <c r="P1819">
        <f>-665.90200370896 -75.9072649327184 -413.305230634212</f>
        <v>-1155.1144992758905</v>
      </c>
      <c r="Q1819">
        <f>-417.556721687023 -6.77049615906139 -378.855984107134</f>
        <v>-803.18320195321849</v>
      </c>
      <c r="R1819" t="s">
        <v>38006</v>
      </c>
      <c r="S1819" t="s">
        <v>38007</v>
      </c>
      <c r="T1819" t="s">
        <v>38008</v>
      </c>
      <c r="U1819" t="s">
        <v>38009</v>
      </c>
      <c r="V1819" t="s">
        <v>38010</v>
      </c>
      <c r="W1819" t="s">
        <v>38011</v>
      </c>
      <c r="X1819" t="s">
        <v>38012</v>
      </c>
      <c r="Y1819" t="s">
        <v>38013</v>
      </c>
    </row>
    <row r="1820" spans="1:25" x14ac:dyDescent="0.3">
      <c r="A1820">
        <v>90950</v>
      </c>
      <c r="B1820" t="s">
        <v>38014</v>
      </c>
      <c r="C1820" t="s">
        <v>38015</v>
      </c>
      <c r="D1820" t="s">
        <v>38016</v>
      </c>
      <c r="E1820" t="s">
        <v>38017</v>
      </c>
      <c r="F1820" t="s">
        <v>38018</v>
      </c>
      <c r="G1820" t="s">
        <v>38019</v>
      </c>
      <c r="H1820" t="s">
        <v>38020</v>
      </c>
      <c r="I1820" t="s">
        <v>38021</v>
      </c>
      <c r="J1820" t="s">
        <v>38022</v>
      </c>
      <c r="K1820" t="s">
        <v>38023</v>
      </c>
      <c r="L1820" t="s">
        <v>38024</v>
      </c>
      <c r="M1820">
        <f>-298.491772191798 -12.9308894637281 -321.55197095979</f>
        <v>-632.97463261531607</v>
      </c>
      <c r="N1820" t="s">
        <v>38025</v>
      </c>
      <c r="O1820">
        <f>-717.256529119594 -68.0653168774404 -726.575158000881</f>
        <v>-1511.8970039979154</v>
      </c>
      <c r="P1820">
        <f>-666.579441022851 -77.1478227809121 -414.26818832729</f>
        <v>-1157.9954521310531</v>
      </c>
      <c r="Q1820">
        <f>-418.128596407925 -9.06500547023393 -378.505201926188</f>
        <v>-805.69880380434688</v>
      </c>
      <c r="R1820" t="s">
        <v>38026</v>
      </c>
      <c r="S1820" t="s">
        <v>38027</v>
      </c>
      <c r="T1820" t="s">
        <v>38028</v>
      </c>
      <c r="U1820" t="s">
        <v>38029</v>
      </c>
      <c r="V1820" t="s">
        <v>38030</v>
      </c>
      <c r="W1820" t="s">
        <v>38031</v>
      </c>
      <c r="X1820" t="s">
        <v>38032</v>
      </c>
      <c r="Y1820" t="s">
        <v>38033</v>
      </c>
    </row>
    <row r="1821" spans="1:25" x14ac:dyDescent="0.3">
      <c r="A1821">
        <v>91000</v>
      </c>
      <c r="B1821" t="s">
        <v>38034</v>
      </c>
      <c r="C1821" t="s">
        <v>38035</v>
      </c>
      <c r="D1821" t="s">
        <v>38036</v>
      </c>
      <c r="E1821" t="s">
        <v>38037</v>
      </c>
      <c r="F1821" t="s">
        <v>38038</v>
      </c>
      <c r="G1821" t="s">
        <v>38039</v>
      </c>
      <c r="H1821" t="s">
        <v>38040</v>
      </c>
      <c r="I1821" t="s">
        <v>38041</v>
      </c>
      <c r="J1821" t="s">
        <v>38042</v>
      </c>
      <c r="K1821" t="s">
        <v>38043</v>
      </c>
      <c r="L1821" t="s">
        <v>38044</v>
      </c>
      <c r="M1821">
        <f>-299.483802038486 -14.3057552180371 -322.139856295377</f>
        <v>-635.9294135519001</v>
      </c>
      <c r="N1821" t="s">
        <v>38045</v>
      </c>
      <c r="O1821">
        <f>-716.905860535967 -68.3273071610593 -727.023677808398</f>
        <v>-1512.2568455054243</v>
      </c>
      <c r="P1821">
        <f>-667.008943846573 -77.7014819223266 -414.599854449516</f>
        <v>-1159.3102802184155</v>
      </c>
      <c r="Q1821">
        <f>-418.567423008617 -9.8984116352176 -378.245809251962</f>
        <v>-806.71164389579667</v>
      </c>
      <c r="R1821" t="s">
        <v>38046</v>
      </c>
      <c r="S1821" t="s">
        <v>38047</v>
      </c>
      <c r="T1821" t="s">
        <v>38048</v>
      </c>
      <c r="U1821" t="s">
        <v>38049</v>
      </c>
      <c r="V1821" t="s">
        <v>38050</v>
      </c>
      <c r="W1821" t="s">
        <v>38051</v>
      </c>
      <c r="X1821" t="s">
        <v>38052</v>
      </c>
      <c r="Y1821" t="s">
        <v>38053</v>
      </c>
    </row>
    <row r="1822" spans="1:25" x14ac:dyDescent="0.3">
      <c r="A1822">
        <v>91050</v>
      </c>
      <c r="B1822" t="s">
        <v>38054</v>
      </c>
      <c r="C1822" t="s">
        <v>38055</v>
      </c>
      <c r="D1822" t="s">
        <v>38056</v>
      </c>
      <c r="E1822" t="s">
        <v>38057</v>
      </c>
      <c r="F1822" t="s">
        <v>38058</v>
      </c>
      <c r="G1822" t="s">
        <v>38059</v>
      </c>
      <c r="H1822" t="s">
        <v>38060</v>
      </c>
      <c r="I1822" t="s">
        <v>38061</v>
      </c>
      <c r="J1822" t="s">
        <v>38062</v>
      </c>
      <c r="K1822" t="s">
        <v>38063</v>
      </c>
      <c r="L1822" t="s">
        <v>38064</v>
      </c>
      <c r="M1822">
        <f>-302.677099193451 -17.4532813775631 -323.865526556311</f>
        <v>-643.99590712732515</v>
      </c>
      <c r="N1822" t="s">
        <v>38065</v>
      </c>
      <c r="O1822">
        <f>-715.652986187373 -69.2780003146352 -727.764383577101</f>
        <v>-1512.6953700791091</v>
      </c>
      <c r="P1822">
        <f>-667.311966518764 -78.8066381389142 -415.100861333504</f>
        <v>-1161.2194659911822</v>
      </c>
      <c r="Q1822">
        <f>-418.928666565317 -11.5404715448149 -377.377052241152</f>
        <v>-807.84619035128389</v>
      </c>
      <c r="R1822" t="s">
        <v>38066</v>
      </c>
      <c r="S1822" t="s">
        <v>38067</v>
      </c>
      <c r="T1822" t="s">
        <v>38068</v>
      </c>
      <c r="U1822" t="s">
        <v>38069</v>
      </c>
      <c r="V1822" t="s">
        <v>38070</v>
      </c>
      <c r="W1822" t="s">
        <v>38071</v>
      </c>
      <c r="X1822" t="s">
        <v>38072</v>
      </c>
      <c r="Y1822" t="s">
        <v>38073</v>
      </c>
    </row>
    <row r="1823" spans="1:25" x14ac:dyDescent="0.3">
      <c r="A1823">
        <v>91100</v>
      </c>
      <c r="B1823" t="s">
        <v>38074</v>
      </c>
      <c r="C1823" t="s">
        <v>38075</v>
      </c>
      <c r="D1823" t="s">
        <v>38076</v>
      </c>
      <c r="E1823" t="s">
        <v>38077</v>
      </c>
      <c r="F1823" t="s">
        <v>38078</v>
      </c>
      <c r="G1823" t="s">
        <v>38079</v>
      </c>
      <c r="H1823" t="s">
        <v>38080</v>
      </c>
      <c r="I1823" t="s">
        <v>38081</v>
      </c>
      <c r="J1823" t="s">
        <v>38082</v>
      </c>
      <c r="K1823" t="s">
        <v>38083</v>
      </c>
      <c r="L1823" t="s">
        <v>38084</v>
      </c>
      <c r="M1823">
        <f>-304.613208832146 -18.6959027476305 -324.683286743856</f>
        <v>-647.99239832363241</v>
      </c>
      <c r="N1823" t="s">
        <v>38085</v>
      </c>
      <c r="O1823">
        <f>-714.960247640181 -69.5959377469014 -728.132831943752</f>
        <v>-1512.6890173308343</v>
      </c>
      <c r="P1823">
        <f>-667.243264224649 -79.2050250227458 -415.375897117528</f>
        <v>-1161.8241863649228</v>
      </c>
      <c r="Q1823">
        <f>-418.988133080682 -11.8626554679947 -376.951448810654</f>
        <v>-807.80223735933077</v>
      </c>
      <c r="R1823" t="s">
        <v>38086</v>
      </c>
      <c r="S1823" t="s">
        <v>38087</v>
      </c>
      <c r="T1823" t="s">
        <v>38088</v>
      </c>
      <c r="U1823" t="s">
        <v>38089</v>
      </c>
      <c r="V1823" t="s">
        <v>38090</v>
      </c>
      <c r="W1823" t="s">
        <v>38091</v>
      </c>
      <c r="X1823" t="s">
        <v>38092</v>
      </c>
      <c r="Y1823" t="s">
        <v>38093</v>
      </c>
    </row>
    <row r="1824" spans="1:25" x14ac:dyDescent="0.3">
      <c r="A1824">
        <v>91150</v>
      </c>
      <c r="B1824" t="s">
        <v>38094</v>
      </c>
      <c r="C1824" t="s">
        <v>38095</v>
      </c>
      <c r="D1824" t="s">
        <v>38096</v>
      </c>
      <c r="E1824" t="s">
        <v>38097</v>
      </c>
      <c r="F1824" t="s">
        <v>38098</v>
      </c>
      <c r="G1824" t="s">
        <v>38099</v>
      </c>
      <c r="H1824" t="s">
        <v>38100</v>
      </c>
      <c r="I1824" t="s">
        <v>38101</v>
      </c>
      <c r="J1824" t="s">
        <v>38102</v>
      </c>
      <c r="K1824" t="s">
        <v>38103</v>
      </c>
      <c r="L1824" t="s">
        <v>38104</v>
      </c>
      <c r="M1824">
        <f>-308.229609957372 -20.965598504541 -326.712380515153</f>
        <v>-655.90758897706598</v>
      </c>
      <c r="N1824" t="s">
        <v>38105</v>
      </c>
      <c r="O1824">
        <f>-713.028087690044 -70.5321976781556 -728.867935960245</f>
        <v>-1512.4282213284446</v>
      </c>
      <c r="P1824">
        <f>-666.86987004741 -79.9078238911784 -415.870042330894</f>
        <v>-1162.6477362694825</v>
      </c>
      <c r="Q1824">
        <f>-419.048688406729 -11.6874008058987 -376.212215937961</f>
        <v>-806.94830515058868</v>
      </c>
      <c r="R1824" t="s">
        <v>38106</v>
      </c>
      <c r="S1824" t="s">
        <v>38107</v>
      </c>
      <c r="T1824" t="s">
        <v>38108</v>
      </c>
      <c r="U1824" t="s">
        <v>38109</v>
      </c>
      <c r="V1824" t="s">
        <v>38110</v>
      </c>
      <c r="W1824" t="s">
        <v>38111</v>
      </c>
      <c r="X1824" t="s">
        <v>38112</v>
      </c>
      <c r="Y1824" t="s">
        <v>38113</v>
      </c>
    </row>
    <row r="1825" spans="1:25" x14ac:dyDescent="0.3">
      <c r="A1825">
        <v>91200</v>
      </c>
      <c r="B1825" t="s">
        <v>38114</v>
      </c>
      <c r="C1825" t="s">
        <v>38115</v>
      </c>
      <c r="D1825" t="s">
        <v>38116</v>
      </c>
      <c r="E1825" t="s">
        <v>38117</v>
      </c>
      <c r="F1825" t="s">
        <v>38118</v>
      </c>
      <c r="G1825" t="s">
        <v>38119</v>
      </c>
      <c r="H1825" t="s">
        <v>38120</v>
      </c>
      <c r="I1825" t="s">
        <v>38121</v>
      </c>
      <c r="J1825" t="s">
        <v>38122</v>
      </c>
      <c r="K1825" t="s">
        <v>38123</v>
      </c>
      <c r="L1825" t="s">
        <v>38124</v>
      </c>
      <c r="M1825">
        <f>-309.714654066822 -21.1314095728899 -327.444998778909</f>
        <v>-658.29106241862087</v>
      </c>
      <c r="N1825" t="s">
        <v>38125</v>
      </c>
      <c r="O1825">
        <f>-712.150225965584 -70.8912470443372 -729.250035494204</f>
        <v>-1512.2915085041252</v>
      </c>
      <c r="P1825">
        <f>-666.649749045698 -80.2470054399698 -416.155235465164</f>
        <v>-1163.0519899508317</v>
      </c>
      <c r="Q1825">
        <f>-419.145429150054 -11.1993181237697 -375.954395825164</f>
        <v>-806.29914309898777</v>
      </c>
      <c r="R1825" t="s">
        <v>38126</v>
      </c>
      <c r="S1825" t="s">
        <v>38127</v>
      </c>
      <c r="T1825" t="s">
        <v>38128</v>
      </c>
      <c r="U1825" t="s">
        <v>38129</v>
      </c>
      <c r="V1825" t="s">
        <v>38130</v>
      </c>
      <c r="W1825" t="s">
        <v>38131</v>
      </c>
      <c r="X1825" t="s">
        <v>38132</v>
      </c>
      <c r="Y1825" t="s">
        <v>38133</v>
      </c>
    </row>
    <row r="1826" spans="1:25" x14ac:dyDescent="0.3">
      <c r="A1826">
        <v>91250</v>
      </c>
      <c r="B1826" t="s">
        <v>38134</v>
      </c>
      <c r="C1826" t="s">
        <v>38135</v>
      </c>
      <c r="D1826" t="s">
        <v>38136</v>
      </c>
      <c r="E1826" t="s">
        <v>38137</v>
      </c>
      <c r="F1826" t="s">
        <v>38138</v>
      </c>
      <c r="G1826" t="s">
        <v>38139</v>
      </c>
      <c r="H1826" t="s">
        <v>38140</v>
      </c>
      <c r="I1826" t="s">
        <v>38141</v>
      </c>
      <c r="J1826" t="s">
        <v>38142</v>
      </c>
      <c r="K1826" t="s">
        <v>38143</v>
      </c>
      <c r="L1826" t="s">
        <v>38144</v>
      </c>
      <c r="M1826">
        <f>-311.942049309821 -20.4158164222638 -328.436861416518</f>
        <v>-660.79472714860276</v>
      </c>
      <c r="N1826" t="s">
        <v>38145</v>
      </c>
      <c r="O1826">
        <f>-710.038994539886 -71.9231880832949 -729.943853896174</f>
        <v>-1511.906036519355</v>
      </c>
      <c r="P1826">
        <f>-665.829430259634 -81.1053454103021 -416.65900096982</f>
        <v>-1163.593776639756</v>
      </c>
      <c r="Q1826">
        <f>-419.118127644889 -9.8505723608821 -375.447990582181</f>
        <v>-804.41669058795208</v>
      </c>
      <c r="R1826" t="s">
        <v>38146</v>
      </c>
      <c r="S1826" t="s">
        <v>38147</v>
      </c>
      <c r="T1826" t="s">
        <v>38148</v>
      </c>
      <c r="U1826" t="s">
        <v>38149</v>
      </c>
      <c r="V1826" t="s">
        <v>38150</v>
      </c>
      <c r="W1826" t="s">
        <v>38151</v>
      </c>
      <c r="X1826" t="s">
        <v>38152</v>
      </c>
      <c r="Y1826" t="s">
        <v>38153</v>
      </c>
    </row>
    <row r="1827" spans="1:25" x14ac:dyDescent="0.3">
      <c r="A1827">
        <v>91300</v>
      </c>
      <c r="B1827" t="s">
        <v>38154</v>
      </c>
      <c r="C1827" t="s">
        <v>38155</v>
      </c>
      <c r="D1827" t="s">
        <v>38156</v>
      </c>
      <c r="E1827" t="s">
        <v>38157</v>
      </c>
      <c r="F1827" t="s">
        <v>38158</v>
      </c>
      <c r="G1827" t="s">
        <v>38159</v>
      </c>
      <c r="H1827" t="s">
        <v>38160</v>
      </c>
      <c r="I1827" t="s">
        <v>38161</v>
      </c>
      <c r="J1827" t="s">
        <v>38162</v>
      </c>
      <c r="K1827" t="s">
        <v>38163</v>
      </c>
      <c r="L1827" t="s">
        <v>38164</v>
      </c>
      <c r="M1827">
        <f>-313.341913673807 -19.8876363823329 -328.961896607755</f>
        <v>-662.19144666389502</v>
      </c>
      <c r="N1827" t="s">
        <v>38165</v>
      </c>
      <c r="O1827">
        <f>-709.235635468034 -72.3572409201086 -730.287674941575</f>
        <v>-1511.8805513297175</v>
      </c>
      <c r="P1827">
        <f>-665.618699010298 -81.3465449169039 -416.91412431588</f>
        <v>-1163.8793682430819</v>
      </c>
      <c r="Q1827">
        <f>-419.34150619357 -8.89058858276735 -375.204229903465</f>
        <v>-803.43632467980228</v>
      </c>
      <c r="R1827" t="s">
        <v>38166</v>
      </c>
      <c r="S1827" t="s">
        <v>38167</v>
      </c>
      <c r="T1827" t="s">
        <v>38168</v>
      </c>
      <c r="U1827" t="s">
        <v>38169</v>
      </c>
      <c r="V1827" t="s">
        <v>38170</v>
      </c>
      <c r="W1827" t="s">
        <v>38171</v>
      </c>
      <c r="X1827" t="s">
        <v>38172</v>
      </c>
      <c r="Y1827" t="s">
        <v>38173</v>
      </c>
    </row>
    <row r="1828" spans="1:25" x14ac:dyDescent="0.3">
      <c r="A1828">
        <v>91350</v>
      </c>
      <c r="B1828" t="s">
        <v>38174</v>
      </c>
      <c r="C1828" t="s">
        <v>38175</v>
      </c>
      <c r="D1828" t="s">
        <v>38176</v>
      </c>
      <c r="E1828" t="s">
        <v>38177</v>
      </c>
      <c r="F1828" t="s">
        <v>38178</v>
      </c>
      <c r="G1828" t="s">
        <v>38179</v>
      </c>
      <c r="H1828" t="s">
        <v>38180</v>
      </c>
      <c r="I1828" t="s">
        <v>38181</v>
      </c>
      <c r="J1828" t="s">
        <v>38182</v>
      </c>
      <c r="K1828" t="s">
        <v>38183</v>
      </c>
      <c r="L1828" t="s">
        <v>38184</v>
      </c>
      <c r="M1828">
        <f>-315.808262459238 -18.3089889942164 -329.895735783238</f>
        <v>-664.01298723669242</v>
      </c>
      <c r="N1828" t="s">
        <v>38185</v>
      </c>
      <c r="O1828">
        <f>-707.803067569227 -72.8391537623997 -730.890444813417</f>
        <v>-1511.5326661450438</v>
      </c>
      <c r="P1828">
        <f>-665.181405987863 -81.6680757847982 -417.375458145604</f>
        <v>-1164.2249399182651</v>
      </c>
      <c r="Q1828">
        <f>-419.74301168068 -6.83551776654258 -374.924408641929</f>
        <v>-801.5029380891516</v>
      </c>
      <c r="R1828" t="s">
        <v>38186</v>
      </c>
      <c r="S1828" t="s">
        <v>38187</v>
      </c>
      <c r="T1828" t="s">
        <v>38188</v>
      </c>
      <c r="U1828" t="s">
        <v>38189</v>
      </c>
      <c r="V1828" t="s">
        <v>38190</v>
      </c>
      <c r="W1828" t="s">
        <v>38191</v>
      </c>
      <c r="X1828" t="s">
        <v>38192</v>
      </c>
      <c r="Y1828" t="s">
        <v>38193</v>
      </c>
    </row>
    <row r="1829" spans="1:25" x14ac:dyDescent="0.3">
      <c r="A1829">
        <v>91400</v>
      </c>
      <c r="B1829" t="s">
        <v>38194</v>
      </c>
      <c r="C1829" t="s">
        <v>38195</v>
      </c>
      <c r="D1829" t="s">
        <v>38196</v>
      </c>
      <c r="E1829" t="s">
        <v>38197</v>
      </c>
      <c r="F1829" t="s">
        <v>38198</v>
      </c>
      <c r="G1829" t="s">
        <v>38199</v>
      </c>
      <c r="H1829" t="s">
        <v>38200</v>
      </c>
      <c r="I1829" t="s">
        <v>38201</v>
      </c>
      <c r="J1829" t="s">
        <v>38202</v>
      </c>
      <c r="K1829" t="s">
        <v>38203</v>
      </c>
      <c r="L1829" t="s">
        <v>38204</v>
      </c>
      <c r="M1829">
        <f>-316.998172746578 -17.7702708086115 -330.414435897577</f>
        <v>-665.18287945276643</v>
      </c>
      <c r="N1829" t="s">
        <v>38205</v>
      </c>
      <c r="O1829">
        <f>-706.974587230261 -73.1704524189026 -731.091034723661</f>
        <v>-1511.2360743728245</v>
      </c>
      <c r="P1829">
        <f>-664.932303425757 -81.9671275115288 -417.496843792238</f>
        <v>-1164.3962747295238</v>
      </c>
      <c r="Q1829">
        <f>-419.869449114824 -6.14142244313393 -374.639668243001</f>
        <v>-800.650539800959</v>
      </c>
      <c r="R1829" t="s">
        <v>38206</v>
      </c>
      <c r="S1829" t="s">
        <v>38207</v>
      </c>
      <c r="T1829" t="s">
        <v>38208</v>
      </c>
      <c r="U1829" t="s">
        <v>38209</v>
      </c>
      <c r="V1829" t="s">
        <v>38210</v>
      </c>
      <c r="W1829" t="s">
        <v>38211</v>
      </c>
      <c r="X1829" t="s">
        <v>38212</v>
      </c>
      <c r="Y1829" t="s">
        <v>38213</v>
      </c>
    </row>
    <row r="1830" spans="1:25" x14ac:dyDescent="0.3">
      <c r="A1830">
        <v>91450</v>
      </c>
      <c r="B1830" t="s">
        <v>38214</v>
      </c>
      <c r="C1830" t="s">
        <v>38215</v>
      </c>
      <c r="D1830" t="s">
        <v>38216</v>
      </c>
      <c r="E1830" t="s">
        <v>38217</v>
      </c>
      <c r="F1830" t="s">
        <v>38218</v>
      </c>
      <c r="G1830" t="s">
        <v>38219</v>
      </c>
      <c r="H1830" t="s">
        <v>38220</v>
      </c>
      <c r="I1830" t="s">
        <v>38221</v>
      </c>
      <c r="J1830" t="s">
        <v>38222</v>
      </c>
      <c r="K1830" t="s">
        <v>38223</v>
      </c>
      <c r="L1830" t="s">
        <v>38224</v>
      </c>
      <c r="M1830">
        <f>-319.570401153246 -15.7966862098967 -330.440057234069</f>
        <v>-665.80714459721162</v>
      </c>
      <c r="N1830" t="s">
        <v>38225</v>
      </c>
      <c r="O1830">
        <f>-705.989645597283 -73.6602156062168 -731.327556216198</f>
        <v>-1510.9774174196978</v>
      </c>
      <c r="P1830">
        <f>-665.37579565924 -82.0400126594996 -417.53381622166</f>
        <v>-1164.9496245403996</v>
      </c>
      <c r="Q1830">
        <f>-420.963143639709 -4.5294824696191 -373.983223858936</f>
        <v>-799.47584996826413</v>
      </c>
      <c r="R1830" t="s">
        <v>38226</v>
      </c>
      <c r="S1830" t="s">
        <v>38227</v>
      </c>
      <c r="T1830" t="s">
        <v>38228</v>
      </c>
      <c r="U1830" t="s">
        <v>38229</v>
      </c>
      <c r="V1830" t="s">
        <v>38230</v>
      </c>
      <c r="W1830" t="s">
        <v>38231</v>
      </c>
      <c r="X1830" t="s">
        <v>38232</v>
      </c>
      <c r="Y1830" t="s">
        <v>38233</v>
      </c>
    </row>
    <row r="1831" spans="1:25" x14ac:dyDescent="0.3">
      <c r="A1831">
        <v>91500</v>
      </c>
      <c r="B1831" t="s">
        <v>38234</v>
      </c>
      <c r="C1831" t="s">
        <v>38235</v>
      </c>
      <c r="D1831" t="s">
        <v>38236</v>
      </c>
      <c r="E1831" t="s">
        <v>38237</v>
      </c>
      <c r="F1831" t="s">
        <v>38238</v>
      </c>
      <c r="G1831" t="s">
        <v>38239</v>
      </c>
      <c r="H1831" t="s">
        <v>38240</v>
      </c>
      <c r="I1831" t="s">
        <v>38241</v>
      </c>
      <c r="J1831" t="s">
        <v>38242</v>
      </c>
      <c r="K1831" t="s">
        <v>38243</v>
      </c>
      <c r="L1831" t="s">
        <v>38244</v>
      </c>
      <c r="M1831">
        <f>-320.967200691812 -15.1428898895135 -330.920371074131</f>
        <v>-667.03046165545652</v>
      </c>
      <c r="N1831" t="s">
        <v>38245</v>
      </c>
      <c r="O1831">
        <f>-705.730418757853 -73.7983653474216 -731.387367957945</f>
        <v>-1510.9161520632197</v>
      </c>
      <c r="P1831">
        <f>-665.687451184627 -81.9473030859083 -417.5143153272</f>
        <v>-1165.1490695977352</v>
      </c>
      <c r="Q1831">
        <f>-421.482362148381 -3.97076692163273 -373.632581333146</f>
        <v>-799.08571040315974</v>
      </c>
      <c r="R1831" t="s">
        <v>38246</v>
      </c>
      <c r="S1831" t="s">
        <v>38247</v>
      </c>
      <c r="T1831" t="s">
        <v>38248</v>
      </c>
      <c r="U1831" t="s">
        <v>38249</v>
      </c>
      <c r="V1831" t="s">
        <v>38250</v>
      </c>
      <c r="W1831" t="s">
        <v>38251</v>
      </c>
      <c r="X1831" t="s">
        <v>38252</v>
      </c>
      <c r="Y1831" t="s">
        <v>38253</v>
      </c>
    </row>
    <row r="1832" spans="1:25" x14ac:dyDescent="0.3">
      <c r="A1832">
        <v>91550</v>
      </c>
      <c r="B1832" t="s">
        <v>38254</v>
      </c>
      <c r="C1832" t="s">
        <v>38255</v>
      </c>
      <c r="D1832" t="s">
        <v>38256</v>
      </c>
      <c r="E1832" t="s">
        <v>38257</v>
      </c>
      <c r="F1832" t="s">
        <v>38258</v>
      </c>
      <c r="G1832" t="s">
        <v>38259</v>
      </c>
      <c r="H1832" t="s">
        <v>38260</v>
      </c>
      <c r="I1832" t="s">
        <v>38261</v>
      </c>
      <c r="J1832" t="s">
        <v>38262</v>
      </c>
      <c r="K1832" t="s">
        <v>38263</v>
      </c>
      <c r="L1832" t="s">
        <v>38264</v>
      </c>
      <c r="M1832">
        <f>-323.678336526885 -13.1202217933096 -331.096773862133</f>
        <v>-667.89533218232759</v>
      </c>
      <c r="N1832" t="s">
        <v>38265</v>
      </c>
      <c r="O1832">
        <f>-706.118379566945 -73.9624897283243 -731.271693536819</f>
        <v>-1511.3525628320883</v>
      </c>
      <c r="P1832">
        <f>-666.901974429695 -81.4907200084403 -417.278858358282</f>
        <v>-1165.6715527964172</v>
      </c>
      <c r="Q1832">
        <f>-422.925564267531 -3.07897100643368 -372.903336214294</f>
        <v>-798.90787148825871</v>
      </c>
      <c r="R1832" t="s">
        <v>38266</v>
      </c>
      <c r="S1832" t="s">
        <v>38267</v>
      </c>
      <c r="T1832" t="s">
        <v>38268</v>
      </c>
      <c r="U1832" t="s">
        <v>38269</v>
      </c>
      <c r="V1832" t="s">
        <v>38270</v>
      </c>
      <c r="W1832" t="s">
        <v>38271</v>
      </c>
      <c r="X1832" t="s">
        <v>38272</v>
      </c>
      <c r="Y1832" t="s">
        <v>38273</v>
      </c>
    </row>
    <row r="1833" spans="1:25" x14ac:dyDescent="0.3">
      <c r="A1833">
        <v>91600</v>
      </c>
      <c r="B1833" t="s">
        <v>38274</v>
      </c>
      <c r="C1833" t="s">
        <v>38275</v>
      </c>
      <c r="D1833" t="s">
        <v>38276</v>
      </c>
      <c r="E1833" t="s">
        <v>38277</v>
      </c>
      <c r="F1833" t="s">
        <v>38278</v>
      </c>
      <c r="G1833" t="s">
        <v>38279</v>
      </c>
      <c r="H1833" t="s">
        <v>38280</v>
      </c>
      <c r="I1833" t="s">
        <v>38281</v>
      </c>
      <c r="J1833" t="s">
        <v>38282</v>
      </c>
      <c r="K1833" t="s">
        <v>38283</v>
      </c>
      <c r="L1833" t="s">
        <v>38284</v>
      </c>
      <c r="M1833">
        <f>-324.852952476133 -12.365424663777 -330.818308785726</f>
        <v>-668.03668592563599</v>
      </c>
      <c r="N1833" t="s">
        <v>38285</v>
      </c>
      <c r="O1833">
        <f>-706.584740697547 -73.9281868651995 -731.150670610222</f>
        <v>-1511.6635981729685</v>
      </c>
      <c r="P1833">
        <f>-667.649663609909 -81.0382158402047 -417.113007319982</f>
        <v>-1165.8008867700955</v>
      </c>
      <c r="Q1833">
        <f>-423.690482659348 -2.72521830277424 -372.46921710747</f>
        <v>-798.88491806959223</v>
      </c>
      <c r="R1833" t="s">
        <v>38286</v>
      </c>
      <c r="S1833" t="s">
        <v>38287</v>
      </c>
      <c r="T1833" t="s">
        <v>38288</v>
      </c>
      <c r="U1833" t="s">
        <v>38289</v>
      </c>
      <c r="V1833" t="s">
        <v>38290</v>
      </c>
      <c r="W1833" t="s">
        <v>38291</v>
      </c>
      <c r="X1833" t="s">
        <v>38292</v>
      </c>
      <c r="Y1833" t="s">
        <v>38293</v>
      </c>
    </row>
    <row r="1834" spans="1:25" x14ac:dyDescent="0.3">
      <c r="A1834">
        <v>91650</v>
      </c>
      <c r="B1834" t="s">
        <v>38294</v>
      </c>
      <c r="C1834" t="s">
        <v>38295</v>
      </c>
      <c r="D1834" t="s">
        <v>38296</v>
      </c>
      <c r="E1834" t="s">
        <v>38297</v>
      </c>
      <c r="F1834" t="s">
        <v>38298</v>
      </c>
      <c r="G1834" t="s">
        <v>38299</v>
      </c>
      <c r="H1834" t="s">
        <v>38300</v>
      </c>
      <c r="I1834" t="s">
        <v>38301</v>
      </c>
      <c r="J1834" t="s">
        <v>38302</v>
      </c>
      <c r="K1834" t="s">
        <v>38303</v>
      </c>
      <c r="L1834" t="s">
        <v>38304</v>
      </c>
      <c r="M1834">
        <f>-326.507727639472 -11.8335087280834 -330.949657312604</f>
        <v>-669.29089368015946</v>
      </c>
      <c r="N1834" t="s">
        <v>38305</v>
      </c>
      <c r="O1834">
        <f>-708.170966937896 -73.3326318800291 -730.864809521107</f>
        <v>-1512.3684083390322</v>
      </c>
      <c r="P1834">
        <f>-669.225372156787 -80.4531200807367 -416.828602405121</f>
        <v>-1166.5070946426447</v>
      </c>
      <c r="Q1834">
        <f>-425.081949462622 -2.58661385043661 -372.411516970684</f>
        <v>-800.08008028374252</v>
      </c>
      <c r="R1834" t="s">
        <v>38306</v>
      </c>
      <c r="S1834" t="s">
        <v>38307</v>
      </c>
      <c r="T1834" t="s">
        <v>38308</v>
      </c>
      <c r="U1834" t="s">
        <v>38309</v>
      </c>
      <c r="V1834" t="s">
        <v>38310</v>
      </c>
      <c r="W1834" t="s">
        <v>38311</v>
      </c>
      <c r="X1834" t="s">
        <v>38312</v>
      </c>
      <c r="Y1834" t="s">
        <v>38313</v>
      </c>
    </row>
    <row r="1835" spans="1:25" x14ac:dyDescent="0.3">
      <c r="A1835">
        <v>91700</v>
      </c>
      <c r="B1835" t="s">
        <v>38314</v>
      </c>
      <c r="C1835" t="s">
        <v>38315</v>
      </c>
      <c r="D1835" t="s">
        <v>38316</v>
      </c>
      <c r="E1835" t="s">
        <v>38317</v>
      </c>
      <c r="F1835" t="s">
        <v>38318</v>
      </c>
      <c r="G1835" t="s">
        <v>38319</v>
      </c>
      <c r="H1835" t="s">
        <v>38320</v>
      </c>
      <c r="I1835" t="s">
        <v>38321</v>
      </c>
      <c r="J1835" t="s">
        <v>38322</v>
      </c>
      <c r="K1835" t="s">
        <v>38323</v>
      </c>
      <c r="L1835" t="s">
        <v>38324</v>
      </c>
      <c r="M1835">
        <f>-327.484829227608 -11.5361831592609 -331.278931412625</f>
        <v>-670.2999437994938</v>
      </c>
      <c r="N1835" t="s">
        <v>38325</v>
      </c>
      <c r="O1835">
        <f>-709.529714702277 -73.0546917887852 -730.661982239276</f>
        <v>-1513.2463887303384</v>
      </c>
      <c r="P1835">
        <f>-670.502180387699 -79.9624543312518 -416.631265591968</f>
        <v>-1167.0959003109188</v>
      </c>
      <c r="Q1835">
        <f>-426.185358779457 -2.65807116281121 -372.185990046621</f>
        <v>-801.02941998888923</v>
      </c>
      <c r="R1835" t="s">
        <v>38326</v>
      </c>
      <c r="S1835" t="s">
        <v>38327</v>
      </c>
      <c r="T1835" t="s">
        <v>38328</v>
      </c>
      <c r="U1835" t="s">
        <v>38329</v>
      </c>
      <c r="V1835" t="s">
        <v>38330</v>
      </c>
      <c r="W1835" t="s">
        <v>38331</v>
      </c>
      <c r="X1835" t="s">
        <v>38332</v>
      </c>
      <c r="Y1835" t="s">
        <v>38333</v>
      </c>
    </row>
    <row r="1836" spans="1:25" x14ac:dyDescent="0.3">
      <c r="A1836">
        <v>91750</v>
      </c>
      <c r="B1836" t="s">
        <v>38334</v>
      </c>
      <c r="C1836" t="s">
        <v>38335</v>
      </c>
      <c r="D1836" t="s">
        <v>38336</v>
      </c>
      <c r="E1836" t="s">
        <v>38337</v>
      </c>
      <c r="F1836" t="s">
        <v>38338</v>
      </c>
      <c r="G1836" t="s">
        <v>38339</v>
      </c>
      <c r="H1836" t="s">
        <v>38340</v>
      </c>
      <c r="I1836" t="s">
        <v>38341</v>
      </c>
      <c r="J1836" t="s">
        <v>38342</v>
      </c>
      <c r="K1836" t="s">
        <v>38343</v>
      </c>
      <c r="L1836" t="s">
        <v>38344</v>
      </c>
      <c r="M1836">
        <f>-329.175862417765 -11.084758779323 -331.139593460806</f>
        <v>-671.40021465789403</v>
      </c>
      <c r="N1836" t="s">
        <v>38345</v>
      </c>
      <c r="O1836">
        <f>-712.364243643453 -72.8315170159365 -730.199642223208</f>
        <v>-1515.3954028825974</v>
      </c>
      <c r="P1836">
        <f>-672.928106087057 -79.7888082483666 -416.220969871057</f>
        <v>-1168.9378842064807</v>
      </c>
      <c r="Q1836">
        <f>-428.182688425792 -3.65243578700597 -372.118925800088</f>
        <v>-803.954050012886</v>
      </c>
      <c r="R1836" t="s">
        <v>38346</v>
      </c>
      <c r="S1836" t="s">
        <v>38347</v>
      </c>
      <c r="T1836" t="s">
        <v>38348</v>
      </c>
      <c r="U1836" t="s">
        <v>38349</v>
      </c>
      <c r="V1836" t="s">
        <v>38350</v>
      </c>
      <c r="W1836" t="s">
        <v>38351</v>
      </c>
      <c r="X1836" t="s">
        <v>38352</v>
      </c>
      <c r="Y1836" t="s">
        <v>38353</v>
      </c>
    </row>
    <row r="1837" spans="1:25" x14ac:dyDescent="0.3">
      <c r="A1837">
        <v>91800</v>
      </c>
      <c r="B1837" t="s">
        <v>38354</v>
      </c>
      <c r="C1837" t="s">
        <v>38355</v>
      </c>
      <c r="D1837" t="s">
        <v>38356</v>
      </c>
      <c r="E1837" t="s">
        <v>38357</v>
      </c>
      <c r="F1837" t="s">
        <v>38358</v>
      </c>
      <c r="G1837" t="s">
        <v>38359</v>
      </c>
      <c r="H1837" t="s">
        <v>38360</v>
      </c>
      <c r="I1837" t="s">
        <v>38361</v>
      </c>
      <c r="J1837" t="s">
        <v>38362</v>
      </c>
      <c r="K1837" t="s">
        <v>38363</v>
      </c>
      <c r="L1837" t="s">
        <v>38364</v>
      </c>
      <c r="M1837">
        <f>-328.522561444846 -9.51738171483498 -329.621248706471</f>
        <v>-667.66119186615197</v>
      </c>
      <c r="N1837" t="s">
        <v>38365</v>
      </c>
      <c r="O1837">
        <f>-713.718070184795 -72.2664581662466 -730.227954167759</f>
        <v>-1516.2124825188007</v>
      </c>
      <c r="P1837">
        <f>-674.008100800448 -79.2855793544795 -416.285320258175</f>
        <v>-1169.5790004131024</v>
      </c>
      <c r="Q1837">
        <f>-429.045786807171 -3.64701091795951 -372.531439594041</f>
        <v>-805.22423731917149</v>
      </c>
      <c r="R1837" t="s">
        <v>38366</v>
      </c>
      <c r="S1837" t="s">
        <v>38367</v>
      </c>
      <c r="T1837" t="s">
        <v>38368</v>
      </c>
      <c r="U1837" t="s">
        <v>38369</v>
      </c>
      <c r="V1837" t="s">
        <v>38370</v>
      </c>
      <c r="W1837" t="s">
        <v>38371</v>
      </c>
      <c r="X1837" t="s">
        <v>38372</v>
      </c>
      <c r="Y1837" t="s">
        <v>38373</v>
      </c>
    </row>
    <row r="1838" spans="1:25" x14ac:dyDescent="0.3">
      <c r="A1838">
        <v>91850</v>
      </c>
      <c r="B1838" t="s">
        <v>38374</v>
      </c>
      <c r="C1838" t="s">
        <v>38375</v>
      </c>
      <c r="D1838" t="s">
        <v>38376</v>
      </c>
      <c r="E1838" t="s">
        <v>38377</v>
      </c>
      <c r="F1838" t="s">
        <v>38378</v>
      </c>
      <c r="G1838" t="s">
        <v>38379</v>
      </c>
      <c r="H1838" t="s">
        <v>38380</v>
      </c>
      <c r="I1838" t="s">
        <v>38381</v>
      </c>
      <c r="J1838" t="s">
        <v>38382</v>
      </c>
      <c r="K1838" t="s">
        <v>38383</v>
      </c>
      <c r="L1838" t="s">
        <v>38384</v>
      </c>
      <c r="M1838">
        <f>-326.86994428036 -10.1976203082072 -329.323336405605</f>
        <v>-666.39090099417217</v>
      </c>
      <c r="N1838" t="s">
        <v>38385</v>
      </c>
      <c r="O1838">
        <f>-716.912077216364 -71.0113108097717 -730.407356611012</f>
        <v>-1518.3307446371477</v>
      </c>
      <c r="P1838">
        <f>-676.340285749876 -78.2729543677788 -416.580430083078</f>
        <v>-1171.1936702007329</v>
      </c>
      <c r="Q1838">
        <f>-430.927060059902 -3.74119645654832 -373.459302593343</f>
        <v>-808.12755910979331</v>
      </c>
      <c r="R1838" t="s">
        <v>38386</v>
      </c>
      <c r="S1838" t="s">
        <v>38387</v>
      </c>
      <c r="T1838" t="s">
        <v>38388</v>
      </c>
      <c r="U1838" t="s">
        <v>38389</v>
      </c>
      <c r="V1838" t="s">
        <v>38390</v>
      </c>
      <c r="W1838" t="s">
        <v>38391</v>
      </c>
      <c r="X1838" t="s">
        <v>38392</v>
      </c>
      <c r="Y1838" t="s">
        <v>38393</v>
      </c>
    </row>
    <row r="1839" spans="1:25" x14ac:dyDescent="0.3">
      <c r="A1839">
        <v>91900</v>
      </c>
      <c r="B1839" t="s">
        <v>38394</v>
      </c>
      <c r="C1839" t="s">
        <v>38395</v>
      </c>
      <c r="D1839" t="s">
        <v>38396</v>
      </c>
      <c r="E1839" t="s">
        <v>38397</v>
      </c>
      <c r="F1839" t="s">
        <v>38398</v>
      </c>
      <c r="G1839" t="s">
        <v>38399</v>
      </c>
      <c r="H1839" t="s">
        <v>38400</v>
      </c>
      <c r="I1839" t="s">
        <v>38401</v>
      </c>
      <c r="J1839" t="s">
        <v>38402</v>
      </c>
      <c r="K1839" t="s">
        <v>38403</v>
      </c>
      <c r="L1839" t="s">
        <v>38404</v>
      </c>
      <c r="M1839">
        <f>-325.889447581919 -11.0389495857089 -329.653263526122</f>
        <v>-666.58166069374988</v>
      </c>
      <c r="N1839" t="s">
        <v>38405</v>
      </c>
      <c r="O1839">
        <f>-718.934556727485 -70.4497658627374 -730.368844069918</f>
        <v>-1519.7531666601403</v>
      </c>
      <c r="P1839">
        <f>-677.834242140575 -77.8155158833692 -416.61294768408</f>
        <v>-1172.2627057080242</v>
      </c>
      <c r="Q1839">
        <f>-432.190389829808 -3.74078283685503 -374.02057645977</f>
        <v>-809.95174912643301</v>
      </c>
      <c r="R1839" t="s">
        <v>38406</v>
      </c>
      <c r="S1839" t="s">
        <v>38407</v>
      </c>
      <c r="T1839" t="s">
        <v>38408</v>
      </c>
      <c r="U1839" t="s">
        <v>38409</v>
      </c>
      <c r="V1839" t="s">
        <v>38410</v>
      </c>
      <c r="W1839" t="s">
        <v>38411</v>
      </c>
      <c r="X1839" t="s">
        <v>38412</v>
      </c>
      <c r="Y1839" t="s">
        <v>38413</v>
      </c>
    </row>
    <row r="1840" spans="1:25" x14ac:dyDescent="0.3">
      <c r="A1840">
        <v>91950</v>
      </c>
      <c r="B1840" t="s">
        <v>38414</v>
      </c>
      <c r="C1840" t="s">
        <v>38415</v>
      </c>
      <c r="D1840" t="s">
        <v>38416</v>
      </c>
      <c r="E1840" t="s">
        <v>38417</v>
      </c>
      <c r="F1840" t="s">
        <v>38418</v>
      </c>
      <c r="G1840" t="s">
        <v>38419</v>
      </c>
      <c r="H1840" t="s">
        <v>38420</v>
      </c>
      <c r="I1840" t="s">
        <v>38421</v>
      </c>
      <c r="J1840" t="s">
        <v>38422</v>
      </c>
      <c r="K1840" t="s">
        <v>38423</v>
      </c>
      <c r="L1840" t="s">
        <v>38424</v>
      </c>
      <c r="M1840">
        <f>-322.537738321089 -12.1673199203176 -329.41160142425</f>
        <v>-664.1166596656567</v>
      </c>
      <c r="N1840" t="s">
        <v>38425</v>
      </c>
      <c r="O1840">
        <f>-723.122129583315 -69.8185871004771 -730.090211339792</f>
        <v>-1523.030928023584</v>
      </c>
      <c r="P1840">
        <f>-680.162912865086 -77.8801268623786 -416.600621570385</f>
        <v>-1174.6436612978496</v>
      </c>
      <c r="Q1840">
        <f>-434.000220803051 -4.77646785788306 -375.347644030913</f>
        <v>-814.12433269184703</v>
      </c>
      <c r="R1840" t="s">
        <v>38426</v>
      </c>
      <c r="S1840" t="s">
        <v>38427</v>
      </c>
      <c r="T1840" t="s">
        <v>38428</v>
      </c>
      <c r="U1840" t="s">
        <v>38429</v>
      </c>
      <c r="V1840" t="s">
        <v>38430</v>
      </c>
      <c r="W1840" t="s">
        <v>38431</v>
      </c>
      <c r="X1840" t="s">
        <v>38432</v>
      </c>
      <c r="Y1840" t="s">
        <v>38433</v>
      </c>
    </row>
    <row r="1841" spans="1:25" x14ac:dyDescent="0.3">
      <c r="A1841">
        <v>92000</v>
      </c>
      <c r="B1841" t="s">
        <v>38434</v>
      </c>
      <c r="C1841" t="s">
        <v>38435</v>
      </c>
      <c r="D1841" t="s">
        <v>38436</v>
      </c>
      <c r="E1841" t="s">
        <v>38437</v>
      </c>
      <c r="F1841" t="s">
        <v>38438</v>
      </c>
      <c r="G1841" t="s">
        <v>38439</v>
      </c>
      <c r="H1841" t="s">
        <v>38440</v>
      </c>
      <c r="I1841" t="s">
        <v>38441</v>
      </c>
      <c r="J1841" t="s">
        <v>38442</v>
      </c>
      <c r="K1841" t="s">
        <v>38443</v>
      </c>
      <c r="L1841" t="s">
        <v>38444</v>
      </c>
      <c r="M1841">
        <f>-321.107498452511 -13.128010855213 -329.77778858701</f>
        <v>-664.01329789473402</v>
      </c>
      <c r="N1841" t="s">
        <v>38445</v>
      </c>
      <c r="O1841">
        <f>-725.404745983892 -69.6759353821737 -729.85961870441</f>
        <v>-1524.9403000704756</v>
      </c>
      <c r="P1841">
        <f>-681.374470093381 -78.1112806127185 -416.528451915356</f>
        <v>-1176.0142026214555</v>
      </c>
      <c r="Q1841">
        <f>-434.908349719776 -5.60961065158608 -376.031103478844</f>
        <v>-816.54906385020604</v>
      </c>
      <c r="R1841" t="s">
        <v>38446</v>
      </c>
      <c r="S1841" t="s">
        <v>38447</v>
      </c>
      <c r="T1841" t="s">
        <v>38448</v>
      </c>
      <c r="U1841" t="s">
        <v>38449</v>
      </c>
      <c r="V1841" t="s">
        <v>38450</v>
      </c>
      <c r="W1841" t="s">
        <v>38451</v>
      </c>
      <c r="X1841" t="s">
        <v>38452</v>
      </c>
      <c r="Y1841" t="s">
        <v>38453</v>
      </c>
    </row>
    <row r="1842" spans="1:25" x14ac:dyDescent="0.3">
      <c r="A1842">
        <v>92050</v>
      </c>
      <c r="B1842" t="s">
        <v>38454</v>
      </c>
      <c r="C1842" t="s">
        <v>38455</v>
      </c>
      <c r="D1842" t="s">
        <v>38456</v>
      </c>
      <c r="E1842" t="s">
        <v>38457</v>
      </c>
      <c r="F1842" t="s">
        <v>38458</v>
      </c>
      <c r="G1842" t="s">
        <v>38459</v>
      </c>
      <c r="H1842" t="s">
        <v>38460</v>
      </c>
      <c r="I1842" t="s">
        <v>38461</v>
      </c>
      <c r="J1842" t="s">
        <v>38462</v>
      </c>
      <c r="K1842" t="s">
        <v>38463</v>
      </c>
      <c r="L1842" t="s">
        <v>38464</v>
      </c>
      <c r="M1842">
        <f>-320.460307094804 -17.6661556209522 -332.413401507943</f>
        <v>-670.53986422369917</v>
      </c>
      <c r="N1842" t="s">
        <v>38465</v>
      </c>
      <c r="O1842">
        <f>-729.572929084095 -69.8790944207949 -729.401482518133</f>
        <v>-1528.8535060230229</v>
      </c>
      <c r="P1842">
        <f>-683.499070955947 -79.0724583916774 -416.385785958562</f>
        <v>-1178.9573153061865</v>
      </c>
      <c r="Q1842">
        <f>-436.471459461546 -7.77513045159731 -377.192959494574</f>
        <v>-821.43954940771732</v>
      </c>
      <c r="R1842" t="s">
        <v>38466</v>
      </c>
      <c r="S1842" t="s">
        <v>38467</v>
      </c>
      <c r="T1842" t="s">
        <v>38468</v>
      </c>
      <c r="U1842" t="s">
        <v>38469</v>
      </c>
      <c r="V1842" t="s">
        <v>38470</v>
      </c>
      <c r="W1842" t="s">
        <v>38471</v>
      </c>
      <c r="X1842" t="s">
        <v>38472</v>
      </c>
      <c r="Y1842" t="s">
        <v>38473</v>
      </c>
    </row>
    <row r="1843" spans="1:25" x14ac:dyDescent="0.3">
      <c r="A1843">
        <v>92100</v>
      </c>
      <c r="B1843" t="s">
        <v>38474</v>
      </c>
      <c r="C1843" t="s">
        <v>38475</v>
      </c>
      <c r="D1843" t="s">
        <v>38476</v>
      </c>
      <c r="E1843" t="s">
        <v>38477</v>
      </c>
      <c r="F1843" t="s">
        <v>38478</v>
      </c>
      <c r="G1843" t="s">
        <v>38479</v>
      </c>
      <c r="H1843" t="s">
        <v>38480</v>
      </c>
      <c r="I1843" t="s">
        <v>38481</v>
      </c>
      <c r="J1843" t="s">
        <v>38482</v>
      </c>
      <c r="K1843" t="s">
        <v>38483</v>
      </c>
      <c r="L1843" t="s">
        <v>38484</v>
      </c>
      <c r="M1843">
        <f>-321.297430769324 -19.1655666341296 -333.399892723048</f>
        <v>-673.86289012650172</v>
      </c>
      <c r="N1843" t="s">
        <v>38485</v>
      </c>
      <c r="O1843">
        <f>-731.622072265398 -69.9795329539859 -729.210745443351</f>
        <v>-1530.8123506627348</v>
      </c>
      <c r="P1843">
        <f>-684.601515504048 -79.4936168662143 -416.345412905973</f>
        <v>-1180.4405452762353</v>
      </c>
      <c r="Q1843">
        <f>-437.336361404463 -8.71568282910675 -377.712317629188</f>
        <v>-823.76436186275782</v>
      </c>
      <c r="R1843" t="s">
        <v>38486</v>
      </c>
      <c r="S1843" t="s">
        <v>38487</v>
      </c>
      <c r="T1843" t="s">
        <v>38488</v>
      </c>
      <c r="U1843" t="s">
        <v>38489</v>
      </c>
      <c r="V1843" t="s">
        <v>38490</v>
      </c>
      <c r="W1843" t="s">
        <v>38491</v>
      </c>
      <c r="X1843" t="s">
        <v>38492</v>
      </c>
      <c r="Y1843" t="s">
        <v>38493</v>
      </c>
    </row>
    <row r="1844" spans="1:25" x14ac:dyDescent="0.3">
      <c r="A1844">
        <v>92150</v>
      </c>
      <c r="B1844" t="s">
        <v>38494</v>
      </c>
      <c r="C1844" t="s">
        <v>38495</v>
      </c>
      <c r="D1844" t="s">
        <v>38496</v>
      </c>
      <c r="E1844" t="s">
        <v>38497</v>
      </c>
      <c r="F1844" t="s">
        <v>38498</v>
      </c>
      <c r="G1844" t="s">
        <v>38499</v>
      </c>
      <c r="H1844" t="s">
        <v>38500</v>
      </c>
      <c r="I1844" t="s">
        <v>38501</v>
      </c>
      <c r="J1844" t="s">
        <v>38502</v>
      </c>
      <c r="K1844" t="s">
        <v>38503</v>
      </c>
      <c r="L1844" t="s">
        <v>38504</v>
      </c>
      <c r="M1844">
        <f>-323.189655684239 -19.2498257060645 -333.083811173078</f>
        <v>-675.52329256338157</v>
      </c>
      <c r="N1844" t="s">
        <v>38505</v>
      </c>
      <c r="O1844">
        <f>-734.660593150726 -70.5244268974966 -728.798157328688</f>
        <v>-1533.9831773769106</v>
      </c>
      <c r="P1844">
        <f>-686.244032957108 -80.7366738748026 -416.167748178064</f>
        <v>-1183.1484550099744</v>
      </c>
      <c r="Q1844">
        <f>-438.633928597375 -10.7304545756529 -378.346969548642</f>
        <v>-827.71135272166998</v>
      </c>
      <c r="R1844" t="s">
        <v>38506</v>
      </c>
      <c r="S1844" t="s">
        <v>38507</v>
      </c>
      <c r="T1844" t="s">
        <v>38508</v>
      </c>
      <c r="U1844" t="s">
        <v>38509</v>
      </c>
      <c r="V1844" t="s">
        <v>38510</v>
      </c>
      <c r="W1844" t="s">
        <v>38511</v>
      </c>
      <c r="X1844" t="s">
        <v>38512</v>
      </c>
      <c r="Y1844" t="s">
        <v>38513</v>
      </c>
    </row>
    <row r="1845" spans="1:25" x14ac:dyDescent="0.3">
      <c r="A1845">
        <v>92200</v>
      </c>
      <c r="B1845" t="s">
        <v>38514</v>
      </c>
      <c r="C1845" t="s">
        <v>38515</v>
      </c>
      <c r="D1845" t="s">
        <v>38516</v>
      </c>
      <c r="E1845" t="s">
        <v>38517</v>
      </c>
      <c r="F1845" t="s">
        <v>38518</v>
      </c>
      <c r="G1845" t="s">
        <v>38519</v>
      </c>
      <c r="H1845" t="s">
        <v>38520</v>
      </c>
      <c r="I1845" t="s">
        <v>38521</v>
      </c>
      <c r="J1845" t="s">
        <v>38522</v>
      </c>
      <c r="K1845" t="s">
        <v>38523</v>
      </c>
      <c r="L1845" t="s">
        <v>38524</v>
      </c>
      <c r="M1845">
        <f>-324.183749423705 -18.6969642487929 -332.591074549344</f>
        <v>-675.47178822184196</v>
      </c>
      <c r="N1845" t="s">
        <v>38525</v>
      </c>
      <c r="O1845">
        <f>-736.009715814457 -70.8863949756305 -728.641746286859</f>
        <v>-1535.5378570769465</v>
      </c>
      <c r="P1845">
        <f>-687.012325158363 -80.8624369140875 -416.09433549842</f>
        <v>-1183.9690975708704</v>
      </c>
      <c r="Q1845">
        <f>-439.256767227034 -11.1839887911267 -378.621786410589</f>
        <v>-829.06254242874968</v>
      </c>
      <c r="R1845" t="s">
        <v>38526</v>
      </c>
      <c r="S1845" t="s">
        <v>38527</v>
      </c>
      <c r="T1845" t="s">
        <v>38528</v>
      </c>
      <c r="U1845" t="s">
        <v>38529</v>
      </c>
      <c r="V1845" t="s">
        <v>38530</v>
      </c>
      <c r="W1845" t="s">
        <v>38531</v>
      </c>
      <c r="X1845" t="s">
        <v>38532</v>
      </c>
      <c r="Y1845" t="s">
        <v>38533</v>
      </c>
    </row>
    <row r="1846" spans="1:25" x14ac:dyDescent="0.3">
      <c r="A1846">
        <v>92250</v>
      </c>
      <c r="B1846" t="s">
        <v>38534</v>
      </c>
      <c r="C1846" t="s">
        <v>38535</v>
      </c>
      <c r="D1846" t="s">
        <v>38536</v>
      </c>
      <c r="E1846" t="s">
        <v>38537</v>
      </c>
      <c r="F1846" t="s">
        <v>38538</v>
      </c>
      <c r="G1846" t="s">
        <v>38539</v>
      </c>
      <c r="H1846" t="s">
        <v>38540</v>
      </c>
      <c r="I1846" t="s">
        <v>38541</v>
      </c>
      <c r="J1846" t="s">
        <v>38542</v>
      </c>
      <c r="K1846" t="s">
        <v>38543</v>
      </c>
      <c r="L1846" t="s">
        <v>38544</v>
      </c>
      <c r="M1846">
        <f>-324.456175472897 -15.4060274689805 -330.752935907716</f>
        <v>-670.61513884959345</v>
      </c>
      <c r="N1846" t="s">
        <v>38545</v>
      </c>
      <c r="O1846">
        <f>-738.257349556979 -71.5362728751845 -728.387774846026</f>
        <v>-1538.1813972781895</v>
      </c>
      <c r="P1846">
        <f>-688.025708776295 -81.5410143815307 -416.03722818132</f>
        <v>-1185.6039513391456</v>
      </c>
      <c r="Q1846">
        <f>-440.153696940165 -12.0001035624462 -379.083316625298</f>
        <v>-831.23711712790919</v>
      </c>
      <c r="R1846" t="s">
        <v>38546</v>
      </c>
      <c r="S1846" t="s">
        <v>38547</v>
      </c>
      <c r="T1846" t="s">
        <v>38548</v>
      </c>
      <c r="U1846" t="s">
        <v>38549</v>
      </c>
      <c r="V1846" t="s">
        <v>38550</v>
      </c>
      <c r="W1846" t="s">
        <v>38551</v>
      </c>
      <c r="X1846" t="s">
        <v>38552</v>
      </c>
      <c r="Y1846" t="s">
        <v>38553</v>
      </c>
    </row>
    <row r="1847" spans="1:25" x14ac:dyDescent="0.3">
      <c r="A1847">
        <v>92300</v>
      </c>
      <c r="B1847" t="s">
        <v>38554</v>
      </c>
      <c r="C1847" t="s">
        <v>38555</v>
      </c>
      <c r="D1847" t="s">
        <v>38556</v>
      </c>
      <c r="E1847" t="s">
        <v>38557</v>
      </c>
      <c r="F1847" t="s">
        <v>38558</v>
      </c>
      <c r="G1847" t="s">
        <v>38559</v>
      </c>
      <c r="H1847" t="s">
        <v>38560</v>
      </c>
      <c r="I1847" t="s">
        <v>38561</v>
      </c>
      <c r="J1847" t="s">
        <v>38562</v>
      </c>
      <c r="K1847" t="s">
        <v>38563</v>
      </c>
      <c r="L1847" t="s">
        <v>38564</v>
      </c>
      <c r="M1847">
        <f>-324.114004620921 -12.4068124954381 -329.162883789355</f>
        <v>-665.68370090571409</v>
      </c>
      <c r="N1847" t="s">
        <v>38565</v>
      </c>
      <c r="O1847">
        <f>-739.527359057044 -71.8278872516482 -728.242932210513</f>
        <v>-1539.5981785192052</v>
      </c>
      <c r="P1847">
        <f>-688.673492411117 -81.7311379289374 -415.98979178905</f>
        <v>-1186.3944221291044</v>
      </c>
      <c r="Q1847">
        <f>-440.827125584184 -12.000125248373 -379.221797046649</f>
        <v>-832.049047879206</v>
      </c>
      <c r="R1847" t="s">
        <v>38566</v>
      </c>
      <c r="S1847" t="s">
        <v>38567</v>
      </c>
      <c r="T1847" t="s">
        <v>38568</v>
      </c>
      <c r="U1847" t="s">
        <v>38569</v>
      </c>
      <c r="V1847" t="s">
        <v>38570</v>
      </c>
      <c r="W1847" t="s">
        <v>38571</v>
      </c>
      <c r="X1847" t="s">
        <v>38572</v>
      </c>
      <c r="Y1847" t="s">
        <v>38573</v>
      </c>
    </row>
    <row r="1848" spans="1:25" x14ac:dyDescent="0.3">
      <c r="A1848">
        <v>92350</v>
      </c>
      <c r="B1848" t="s">
        <v>38574</v>
      </c>
      <c r="C1848" t="s">
        <v>38575</v>
      </c>
      <c r="D1848" t="s">
        <v>38576</v>
      </c>
      <c r="E1848" t="s">
        <v>38577</v>
      </c>
      <c r="F1848" t="s">
        <v>38578</v>
      </c>
      <c r="G1848" t="s">
        <v>38579</v>
      </c>
      <c r="H1848" t="s">
        <v>38580</v>
      </c>
      <c r="I1848" t="s">
        <v>38581</v>
      </c>
      <c r="J1848" t="s">
        <v>38582</v>
      </c>
      <c r="K1848" t="s">
        <v>38583</v>
      </c>
      <c r="L1848" t="s">
        <v>38584</v>
      </c>
      <c r="M1848">
        <f>-322.057700094872 -5.23772833709313 -325.4143032481</f>
        <v>-652.70973168006515</v>
      </c>
      <c r="N1848" t="s">
        <v>38585</v>
      </c>
      <c r="O1848">
        <f>-741.628721397795 -72.001942879916 -728.406930652336</f>
        <v>-1542.0375949300469</v>
      </c>
      <c r="P1848">
        <f>-689.581866422644 -82.0931695653967 -416.356442761373</f>
        <v>-1188.0314787494137</v>
      </c>
      <c r="Q1848">
        <f>-441.848565087605 -11.6117076103344 -380.265527958906</f>
        <v>-833.72580065684542</v>
      </c>
      <c r="R1848" t="s">
        <v>38586</v>
      </c>
      <c r="S1848" t="s">
        <v>38587</v>
      </c>
      <c r="T1848" t="s">
        <v>38588</v>
      </c>
      <c r="U1848" t="s">
        <v>38589</v>
      </c>
      <c r="V1848" t="s">
        <v>38590</v>
      </c>
      <c r="W1848" t="s">
        <v>38591</v>
      </c>
      <c r="X1848" t="s">
        <v>38592</v>
      </c>
      <c r="Y1848" t="s">
        <v>38593</v>
      </c>
    </row>
    <row r="1849" spans="1:25" x14ac:dyDescent="0.3">
      <c r="A1849">
        <v>92400</v>
      </c>
      <c r="B1849" t="s">
        <v>38594</v>
      </c>
      <c r="C1849" t="s">
        <v>38595</v>
      </c>
      <c r="D1849" t="s">
        <v>38596</v>
      </c>
      <c r="E1849" t="s">
        <v>38597</v>
      </c>
      <c r="F1849" t="s">
        <v>38598</v>
      </c>
      <c r="G1849" t="s">
        <v>38599</v>
      </c>
      <c r="H1849" t="s">
        <v>38600</v>
      </c>
      <c r="I1849" t="s">
        <v>38601</v>
      </c>
      <c r="J1849" t="s">
        <v>38602</v>
      </c>
      <c r="K1849" t="s">
        <v>38603</v>
      </c>
      <c r="L1849" t="s">
        <v>38604</v>
      </c>
      <c r="M1849">
        <f>-320.514193243948 -1.42262211352886 -324.134052064073</f>
        <v>-646.07086742154979</v>
      </c>
      <c r="N1849" t="s">
        <v>38605</v>
      </c>
      <c r="O1849">
        <f>-742.487484062102 -71.7046278307007 -728.840039376562</f>
        <v>-1543.0321512693647</v>
      </c>
      <c r="P1849">
        <f>-689.960797516553 -82.0002398366273 -416.876592087326</f>
        <v>-1188.8376294405064</v>
      </c>
      <c r="Q1849">
        <f>-442.282002766428 -11.1099275623367 -381.213812452383</f>
        <v>-834.60574278114768</v>
      </c>
      <c r="R1849" t="s">
        <v>38606</v>
      </c>
      <c r="S1849" t="s">
        <v>38607</v>
      </c>
      <c r="T1849" t="s">
        <v>38608</v>
      </c>
      <c r="U1849" t="s">
        <v>38609</v>
      </c>
      <c r="V1849" t="s">
        <v>38610</v>
      </c>
      <c r="W1849" t="s">
        <v>38611</v>
      </c>
      <c r="X1849" t="s">
        <v>38612</v>
      </c>
      <c r="Y1849" t="s">
        <v>38613</v>
      </c>
    </row>
    <row r="1850" spans="1:25" x14ac:dyDescent="0.3">
      <c r="A1850">
        <v>92450</v>
      </c>
      <c r="B1850" t="s">
        <v>38614</v>
      </c>
      <c r="C1850" t="s">
        <v>38615</v>
      </c>
      <c r="D1850" t="s">
        <v>38616</v>
      </c>
      <c r="E1850" t="s">
        <v>38617</v>
      </c>
      <c r="F1850" t="s">
        <v>38618</v>
      </c>
      <c r="G1850" t="s">
        <v>38619</v>
      </c>
      <c r="H1850" t="s">
        <v>38620</v>
      </c>
      <c r="I1850" t="s">
        <v>38621</v>
      </c>
      <c r="J1850" t="s">
        <v>38622</v>
      </c>
      <c r="K1850" t="s">
        <v>38623</v>
      </c>
      <c r="L1850" t="s">
        <v>38624</v>
      </c>
      <c r="M1850" t="s">
        <v>38625</v>
      </c>
      <c r="N1850" t="s">
        <v>38626</v>
      </c>
      <c r="O1850">
        <f>-744.871176089452 -71.5303160066555 -729.374596385212</f>
        <v>-1545.7760884813197</v>
      </c>
      <c r="P1850">
        <f>-691.632931317368 -82.2108473886985 -417.544765153639</f>
        <v>-1191.3885438597056</v>
      </c>
      <c r="Q1850">
        <f>-444.029313632597 -10.7222145562823 -382.560951917144</f>
        <v>-837.31248010602326</v>
      </c>
      <c r="R1850" t="s">
        <v>38627</v>
      </c>
      <c r="S1850" t="s">
        <v>38628</v>
      </c>
      <c r="T1850" t="s">
        <v>38629</v>
      </c>
      <c r="U1850" t="s">
        <v>38630</v>
      </c>
      <c r="V1850" t="s">
        <v>38631</v>
      </c>
      <c r="W1850" t="s">
        <v>38632</v>
      </c>
      <c r="X1850" t="s">
        <v>38633</v>
      </c>
      <c r="Y1850" t="s">
        <v>38634</v>
      </c>
    </row>
    <row r="1851" spans="1:25" x14ac:dyDescent="0.3">
      <c r="A1851">
        <v>92500</v>
      </c>
      <c r="B1851" t="s">
        <v>38635</v>
      </c>
      <c r="C1851" t="s">
        <v>38636</v>
      </c>
      <c r="D1851" t="s">
        <v>38637</v>
      </c>
      <c r="E1851" t="s">
        <v>38638</v>
      </c>
      <c r="F1851" t="s">
        <v>38639</v>
      </c>
      <c r="G1851" t="s">
        <v>38640</v>
      </c>
      <c r="H1851" t="s">
        <v>38641</v>
      </c>
      <c r="I1851" t="s">
        <v>38642</v>
      </c>
      <c r="J1851" t="s">
        <v>38643</v>
      </c>
      <c r="K1851" t="s">
        <v>38644</v>
      </c>
      <c r="L1851" t="s">
        <v>38645</v>
      </c>
      <c r="M1851" t="s">
        <v>38646</v>
      </c>
      <c r="N1851" t="s">
        <v>38647</v>
      </c>
      <c r="O1851">
        <f>-746.05961168029 -71.4394619103368 -729.55240336834</f>
        <v>-1547.0514769589668</v>
      </c>
      <c r="P1851">
        <f>-692.307542451261 -82.317871189787 -417.8176793585</f>
        <v>-1192.4430929995481</v>
      </c>
      <c r="Q1851">
        <f>-444.704217940303 -10.6672851189483 -383.164521932629</f>
        <v>-838.53602499188037</v>
      </c>
      <c r="R1851" t="s">
        <v>38648</v>
      </c>
      <c r="S1851" t="s">
        <v>38649</v>
      </c>
      <c r="T1851" t="s">
        <v>38650</v>
      </c>
      <c r="U1851" t="s">
        <v>38651</v>
      </c>
      <c r="V1851" t="s">
        <v>38652</v>
      </c>
      <c r="W1851" t="s">
        <v>38653</v>
      </c>
      <c r="X1851" t="s">
        <v>38654</v>
      </c>
      <c r="Y1851" t="s">
        <v>38655</v>
      </c>
    </row>
    <row r="1852" spans="1:25" x14ac:dyDescent="0.3">
      <c r="A1852">
        <v>92550</v>
      </c>
      <c r="B1852" t="s">
        <v>38656</v>
      </c>
      <c r="C1852" t="s">
        <v>38657</v>
      </c>
      <c r="D1852" t="s">
        <v>38658</v>
      </c>
      <c r="E1852" t="s">
        <v>38659</v>
      </c>
      <c r="F1852" t="s">
        <v>38660</v>
      </c>
      <c r="G1852" t="s">
        <v>38661</v>
      </c>
      <c r="H1852" t="s">
        <v>38662</v>
      </c>
      <c r="I1852" t="s">
        <v>38663</v>
      </c>
      <c r="J1852" t="s">
        <v>38664</v>
      </c>
      <c r="K1852" t="s">
        <v>38665</v>
      </c>
      <c r="L1852" t="s">
        <v>38666</v>
      </c>
      <c r="M1852" t="s">
        <v>38667</v>
      </c>
      <c r="N1852" t="s">
        <v>38668</v>
      </c>
      <c r="O1852">
        <f>-748.942280469041 -71.4101580882696 -729.44444937141</f>
        <v>-1549.7968879287205</v>
      </c>
      <c r="P1852">
        <f>-693.933834861112 -82.4333904380851 -417.933973459896</f>
        <v>-1194.301198759093</v>
      </c>
      <c r="Q1852">
        <f>-446.100715362555 -11.1435559961783 -384.191754705344</f>
        <v>-841.43602606407728</v>
      </c>
      <c r="R1852" t="s">
        <v>38669</v>
      </c>
      <c r="S1852" t="s">
        <v>38670</v>
      </c>
      <c r="T1852" t="s">
        <v>38671</v>
      </c>
      <c r="U1852" t="s">
        <v>38672</v>
      </c>
      <c r="V1852" t="s">
        <v>38673</v>
      </c>
      <c r="W1852" t="s">
        <v>38674</v>
      </c>
      <c r="X1852" t="s">
        <v>38675</v>
      </c>
      <c r="Y1852" t="s">
        <v>38676</v>
      </c>
    </row>
    <row r="1853" spans="1:25" x14ac:dyDescent="0.3">
      <c r="A1853">
        <v>92600</v>
      </c>
      <c r="B1853" t="s">
        <v>38677</v>
      </c>
      <c r="C1853" t="s">
        <v>38678</v>
      </c>
      <c r="D1853" t="s">
        <v>38679</v>
      </c>
      <c r="E1853" t="s">
        <v>38680</v>
      </c>
      <c r="F1853" t="s">
        <v>38681</v>
      </c>
      <c r="G1853" t="s">
        <v>38682</v>
      </c>
      <c r="H1853" t="s">
        <v>38683</v>
      </c>
      <c r="I1853" t="s">
        <v>38684</v>
      </c>
      <c r="J1853" t="s">
        <v>38685</v>
      </c>
      <c r="K1853" t="s">
        <v>38686</v>
      </c>
      <c r="L1853" t="s">
        <v>38687</v>
      </c>
      <c r="M1853" t="s">
        <v>38688</v>
      </c>
      <c r="N1853" t="s">
        <v>38689</v>
      </c>
      <c r="O1853">
        <f>-750.352134121041 -71.5324660166095 -729.209294589015</f>
        <v>-1551.0938947266654</v>
      </c>
      <c r="P1853">
        <f>-694.53289190002 -82.7188941088914 -417.84889036527</f>
        <v>-1195.1006763741814</v>
      </c>
      <c r="Q1853">
        <f>-446.523932978855 -11.8390274107735 -384.537406041261</f>
        <v>-842.90036643088956</v>
      </c>
      <c r="R1853" t="s">
        <v>38690</v>
      </c>
      <c r="S1853" t="s">
        <v>38691</v>
      </c>
      <c r="T1853" t="s">
        <v>38692</v>
      </c>
      <c r="U1853" t="s">
        <v>38693</v>
      </c>
      <c r="V1853" t="s">
        <v>38694</v>
      </c>
      <c r="W1853" t="s">
        <v>38695</v>
      </c>
      <c r="X1853" t="s">
        <v>38696</v>
      </c>
      <c r="Y1853" t="s">
        <v>38697</v>
      </c>
    </row>
    <row r="1854" spans="1:25" x14ac:dyDescent="0.3">
      <c r="A1854">
        <v>92650</v>
      </c>
      <c r="B1854" t="s">
        <v>38698</v>
      </c>
      <c r="C1854" t="s">
        <v>38699</v>
      </c>
      <c r="D1854" t="s">
        <v>38700</v>
      </c>
      <c r="E1854" t="s">
        <v>38701</v>
      </c>
      <c r="F1854" t="s">
        <v>38702</v>
      </c>
      <c r="G1854" t="s">
        <v>38703</v>
      </c>
      <c r="H1854" t="s">
        <v>38704</v>
      </c>
      <c r="I1854" t="s">
        <v>38705</v>
      </c>
      <c r="J1854" t="s">
        <v>38706</v>
      </c>
      <c r="K1854" t="s">
        <v>38707</v>
      </c>
      <c r="L1854" t="s">
        <v>38708</v>
      </c>
      <c r="M1854" t="s">
        <v>38709</v>
      </c>
      <c r="N1854" t="s">
        <v>38710</v>
      </c>
      <c r="O1854">
        <f>-752.298103147044 -71.6963082880593 -728.976140907967</f>
        <v>-1552.9705523430703</v>
      </c>
      <c r="P1854">
        <f>-695.548678204644 -82.9238466360073 -417.785422872809</f>
        <v>-1196.2579477134605</v>
      </c>
      <c r="Q1854">
        <f>-447.08759725526 -13.3262228466747 -385.14680308437</f>
        <v>-845.56062318630461</v>
      </c>
      <c r="R1854" t="s">
        <v>38711</v>
      </c>
      <c r="S1854" t="s">
        <v>38712</v>
      </c>
      <c r="T1854" t="s">
        <v>38713</v>
      </c>
      <c r="U1854" t="s">
        <v>38714</v>
      </c>
      <c r="V1854" t="s">
        <v>38715</v>
      </c>
      <c r="W1854" t="s">
        <v>38716</v>
      </c>
      <c r="X1854" t="s">
        <v>38717</v>
      </c>
      <c r="Y1854" t="s">
        <v>38718</v>
      </c>
    </row>
    <row r="1855" spans="1:25" x14ac:dyDescent="0.3">
      <c r="A1855">
        <v>92700</v>
      </c>
      <c r="B1855" t="s">
        <v>38719</v>
      </c>
      <c r="C1855" t="s">
        <v>38720</v>
      </c>
      <c r="D1855" t="s">
        <v>38721</v>
      </c>
      <c r="E1855" t="s">
        <v>38722</v>
      </c>
      <c r="F1855" t="s">
        <v>38723</v>
      </c>
      <c r="G1855" t="s">
        <v>38724</v>
      </c>
      <c r="H1855" t="s">
        <v>38725</v>
      </c>
      <c r="I1855" t="s">
        <v>38726</v>
      </c>
      <c r="J1855" t="s">
        <v>38727</v>
      </c>
      <c r="K1855" t="s">
        <v>38728</v>
      </c>
      <c r="L1855" t="s">
        <v>38729</v>
      </c>
      <c r="M1855">
        <f>-324.313451486957 -0.087165745402217 -327.21867208916</f>
        <v>-651.6192893215192</v>
      </c>
      <c r="N1855" t="s">
        <v>38730</v>
      </c>
      <c r="O1855">
        <f>-753.062176541653 -71.5343353974661 -728.964026166126</f>
        <v>-1553.5605381052451</v>
      </c>
      <c r="P1855">
        <f>-695.960746425601 -82.9833347289973 -417.845935176553</f>
        <v>-1196.7900163311513</v>
      </c>
      <c r="Q1855">
        <f>-447.286970793106 -14.0797212027051 -385.354685754012</f>
        <v>-846.72137774982309</v>
      </c>
      <c r="R1855" t="s">
        <v>38731</v>
      </c>
      <c r="S1855" t="s">
        <v>38732</v>
      </c>
      <c r="T1855" t="s">
        <v>38733</v>
      </c>
      <c r="U1855" t="s">
        <v>38734</v>
      </c>
      <c r="V1855" t="s">
        <v>38735</v>
      </c>
      <c r="W1855" t="s">
        <v>38736</v>
      </c>
      <c r="X1855" t="s">
        <v>38737</v>
      </c>
      <c r="Y1855" t="s">
        <v>38738</v>
      </c>
    </row>
    <row r="1856" spans="1:25" x14ac:dyDescent="0.3">
      <c r="A1856">
        <v>92750</v>
      </c>
      <c r="B1856" t="s">
        <v>38739</v>
      </c>
      <c r="C1856" t="s">
        <v>38740</v>
      </c>
      <c r="D1856" t="s">
        <v>38741</v>
      </c>
      <c r="E1856" t="s">
        <v>38742</v>
      </c>
      <c r="F1856" t="s">
        <v>38743</v>
      </c>
      <c r="G1856" t="s">
        <v>38744</v>
      </c>
      <c r="H1856" t="s">
        <v>38745</v>
      </c>
      <c r="I1856" t="s">
        <v>38746</v>
      </c>
      <c r="J1856" t="s">
        <v>38747</v>
      </c>
      <c r="K1856" t="s">
        <v>38748</v>
      </c>
      <c r="L1856" t="s">
        <v>38749</v>
      </c>
      <c r="M1856">
        <f>-328.512128891898 -2.17955612459491 -329.014509998832</f>
        <v>-659.70619501532497</v>
      </c>
      <c r="N1856" t="s">
        <v>38750</v>
      </c>
      <c r="O1856">
        <f>-754.046390894972 -71.8487773605082 -728.713395816792</f>
        <v>-1554.6085640722722</v>
      </c>
      <c r="P1856">
        <f>-696.454011879424 -83.2962067764699 -417.685562456795</f>
        <v>-1197.435781112689</v>
      </c>
      <c r="Q1856">
        <f>-447.458753424751 -15.5237134101719 -385.277633128084</f>
        <v>-848.26009996300695</v>
      </c>
      <c r="R1856" t="s">
        <v>38751</v>
      </c>
      <c r="S1856" t="s">
        <v>38752</v>
      </c>
      <c r="T1856" t="s">
        <v>38753</v>
      </c>
      <c r="U1856" t="s">
        <v>38754</v>
      </c>
      <c r="V1856" t="s">
        <v>38755</v>
      </c>
      <c r="W1856" t="s">
        <v>38756</v>
      </c>
      <c r="X1856" t="s">
        <v>38757</v>
      </c>
      <c r="Y1856" t="s">
        <v>38758</v>
      </c>
    </row>
    <row r="1857" spans="1:25" x14ac:dyDescent="0.3">
      <c r="A1857">
        <v>92800</v>
      </c>
      <c r="B1857" t="s">
        <v>38759</v>
      </c>
      <c r="C1857" t="s">
        <v>38760</v>
      </c>
      <c r="D1857" t="s">
        <v>38761</v>
      </c>
      <c r="E1857" t="s">
        <v>38762</v>
      </c>
      <c r="F1857" t="s">
        <v>38763</v>
      </c>
      <c r="G1857" t="s">
        <v>38764</v>
      </c>
      <c r="H1857" t="s">
        <v>38765</v>
      </c>
      <c r="I1857" t="s">
        <v>38766</v>
      </c>
      <c r="J1857" t="s">
        <v>38767</v>
      </c>
      <c r="K1857" t="s">
        <v>38768</v>
      </c>
      <c r="L1857" t="s">
        <v>38769</v>
      </c>
      <c r="M1857">
        <f>-330.921441518464 -3.5169692005818 -330.096514971684</f>
        <v>-664.53492569072978</v>
      </c>
      <c r="N1857" t="s">
        <v>38770</v>
      </c>
      <c r="O1857">
        <f>-754.365554511097 -71.9192836543339 -728.523237373157</f>
        <v>-1554.8080755385879</v>
      </c>
      <c r="P1857">
        <f>-696.376519908806 -83.3333243160241 -417.567993105012</f>
        <v>-1197.2778373298422</v>
      </c>
      <c r="Q1857">
        <f>-447.276139554412 -15.9433321768199 -385.171015934849</f>
        <v>-848.39048766608084</v>
      </c>
      <c r="R1857" t="s">
        <v>38771</v>
      </c>
      <c r="S1857" t="s">
        <v>38772</v>
      </c>
      <c r="T1857" t="s">
        <v>38773</v>
      </c>
      <c r="U1857" t="s">
        <v>38774</v>
      </c>
      <c r="V1857" t="s">
        <v>38775</v>
      </c>
      <c r="W1857" t="s">
        <v>38776</v>
      </c>
      <c r="X1857" t="s">
        <v>38777</v>
      </c>
      <c r="Y1857" t="s">
        <v>38778</v>
      </c>
    </row>
    <row r="1858" spans="1:25" x14ac:dyDescent="0.3">
      <c r="A1858">
        <v>92850</v>
      </c>
      <c r="B1858" t="s">
        <v>38779</v>
      </c>
      <c r="C1858" t="s">
        <v>38780</v>
      </c>
      <c r="D1858" t="s">
        <v>38781</v>
      </c>
      <c r="E1858" t="s">
        <v>38782</v>
      </c>
      <c r="F1858" t="s">
        <v>38783</v>
      </c>
      <c r="G1858" t="s">
        <v>38784</v>
      </c>
      <c r="H1858" t="s">
        <v>38785</v>
      </c>
      <c r="I1858" t="s">
        <v>38786</v>
      </c>
      <c r="J1858" t="s">
        <v>38787</v>
      </c>
      <c r="K1858" t="s">
        <v>38788</v>
      </c>
      <c r="L1858" t="s">
        <v>38789</v>
      </c>
      <c r="M1858">
        <f>-333.736134704798 -2.09718445867156 -329.100213906776</f>
        <v>-664.93353307024563</v>
      </c>
      <c r="N1858" t="s">
        <v>38790</v>
      </c>
      <c r="O1858">
        <f>-754.633485118097 -72.327240690953 -728.183312721321</f>
        <v>-1555.1440385303711</v>
      </c>
      <c r="P1858">
        <f>-696.021057933194 -83.5108060090975 -417.336606036302</f>
        <v>-1196.8684699785936</v>
      </c>
      <c r="Q1858">
        <f>-446.883698887159 -16.1437047993991 -385.176293993103</f>
        <v>-848.2036976796611</v>
      </c>
      <c r="R1858" t="s">
        <v>38791</v>
      </c>
      <c r="S1858" t="s">
        <v>38792</v>
      </c>
      <c r="T1858" t="s">
        <v>38793</v>
      </c>
      <c r="U1858" t="s">
        <v>38794</v>
      </c>
      <c r="V1858" t="s">
        <v>38795</v>
      </c>
      <c r="W1858" t="s">
        <v>38796</v>
      </c>
      <c r="X1858" t="s">
        <v>38797</v>
      </c>
      <c r="Y1858" t="s">
        <v>38798</v>
      </c>
    </row>
    <row r="1859" spans="1:25" x14ac:dyDescent="0.3">
      <c r="A1859">
        <v>92900</v>
      </c>
      <c r="B1859" t="s">
        <v>38799</v>
      </c>
      <c r="C1859" t="s">
        <v>38800</v>
      </c>
      <c r="D1859" t="s">
        <v>38801</v>
      </c>
      <c r="E1859" t="s">
        <v>38802</v>
      </c>
      <c r="F1859" t="s">
        <v>38803</v>
      </c>
      <c r="G1859" t="s">
        <v>38804</v>
      </c>
      <c r="H1859" t="s">
        <v>38805</v>
      </c>
      <c r="I1859" t="s">
        <v>38806</v>
      </c>
      <c r="J1859" t="s">
        <v>38807</v>
      </c>
      <c r="K1859" t="s">
        <v>38808</v>
      </c>
      <c r="L1859" t="s">
        <v>38809</v>
      </c>
      <c r="M1859">
        <f>-334.64842931431 -0.91525235672475 -328.071723175012</f>
        <v>-663.63540484604675</v>
      </c>
      <c r="N1859" t="s">
        <v>38810</v>
      </c>
      <c r="O1859">
        <f>-754.541155788205 -72.5624341074692 -728.063381253052</f>
        <v>-1555.1669711487261</v>
      </c>
      <c r="P1859">
        <f>-695.66706342289 -83.7444038304268 -417.266054351296</f>
        <v>-1196.6775216046128</v>
      </c>
      <c r="Q1859">
        <f>-446.59723733417 -16.0828346363146 -385.200618666453</f>
        <v>-847.88069063693763</v>
      </c>
      <c r="R1859" t="s">
        <v>38811</v>
      </c>
      <c r="S1859" t="s">
        <v>38812</v>
      </c>
      <c r="T1859" t="s">
        <v>38813</v>
      </c>
      <c r="U1859" t="s">
        <v>38814</v>
      </c>
      <c r="V1859" t="s">
        <v>38815</v>
      </c>
      <c r="W1859" t="s">
        <v>38816</v>
      </c>
      <c r="X1859" t="s">
        <v>38817</v>
      </c>
      <c r="Y1859" t="s">
        <v>38818</v>
      </c>
    </row>
    <row r="1860" spans="1:25" x14ac:dyDescent="0.3">
      <c r="A1860">
        <v>92950</v>
      </c>
      <c r="B1860" t="s">
        <v>38819</v>
      </c>
      <c r="C1860" t="s">
        <v>38820</v>
      </c>
      <c r="D1860" t="s">
        <v>38821</v>
      </c>
      <c r="E1860" t="s">
        <v>38822</v>
      </c>
      <c r="F1860" t="s">
        <v>38823</v>
      </c>
      <c r="G1860" t="s">
        <v>38824</v>
      </c>
      <c r="H1860" t="s">
        <v>38825</v>
      </c>
      <c r="I1860" t="s">
        <v>38826</v>
      </c>
      <c r="J1860" t="s">
        <v>38827</v>
      </c>
      <c r="K1860" t="s">
        <v>38828</v>
      </c>
      <c r="L1860" t="s">
        <v>38829</v>
      </c>
      <c r="M1860">
        <f>-334.560401377857 -0.847673137299807 -327.954512050514</f>
        <v>-663.36258656567077</v>
      </c>
      <c r="N1860" t="s">
        <v>38830</v>
      </c>
      <c r="O1860">
        <f>-754.652027030309 -72.6080420889771 -727.99021665891</f>
        <v>-1555.250285778196</v>
      </c>
      <c r="P1860">
        <f>-695.446673130977 -83.719788807367 -417.253218900882</f>
        <v>-1196.419680839226</v>
      </c>
      <c r="Q1860">
        <f>-446.639275969487 -14.9987218271692 -385.404121990915</f>
        <v>-847.04211978757121</v>
      </c>
      <c r="R1860" t="s">
        <v>38831</v>
      </c>
      <c r="S1860" t="s">
        <v>38832</v>
      </c>
      <c r="T1860" t="s">
        <v>38833</v>
      </c>
      <c r="U1860" t="s">
        <v>38834</v>
      </c>
      <c r="V1860" t="s">
        <v>38835</v>
      </c>
      <c r="W1860" t="s">
        <v>38836</v>
      </c>
      <c r="X1860" t="s">
        <v>38837</v>
      </c>
      <c r="Y1860" t="s">
        <v>38838</v>
      </c>
    </row>
    <row r="1861" spans="1:25" x14ac:dyDescent="0.3">
      <c r="A1861">
        <v>93000</v>
      </c>
      <c r="B1861" t="s">
        <v>38839</v>
      </c>
      <c r="C1861" t="s">
        <v>38840</v>
      </c>
      <c r="D1861" t="s">
        <v>38841</v>
      </c>
      <c r="E1861" t="s">
        <v>38842</v>
      </c>
      <c r="F1861" t="s">
        <v>38843</v>
      </c>
      <c r="G1861" t="s">
        <v>38844</v>
      </c>
      <c r="H1861" t="s">
        <v>38845</v>
      </c>
      <c r="I1861" t="s">
        <v>38846</v>
      </c>
      <c r="J1861" t="s">
        <v>38847</v>
      </c>
      <c r="K1861" t="s">
        <v>38848</v>
      </c>
      <c r="L1861" t="s">
        <v>38849</v>
      </c>
      <c r="M1861">
        <f>-333.730402509819 -1.61409400047796 -328.490549771041</f>
        <v>-663.83504628133801</v>
      </c>
      <c r="N1861" t="s">
        <v>38850</v>
      </c>
      <c r="O1861">
        <f>-754.97872144138 -72.3153117798668 -727.954791143551</f>
        <v>-1555.2488243647977</v>
      </c>
      <c r="P1861">
        <f>-695.532507510179 -83.66326555398 -417.272492470413</f>
        <v>-1196.4682655345719</v>
      </c>
      <c r="Q1861">
        <f>-446.910230028526 -14.2208521644307 -385.542056097094</f>
        <v>-846.6731382900507</v>
      </c>
      <c r="R1861" t="s">
        <v>38851</v>
      </c>
      <c r="S1861" t="s">
        <v>38852</v>
      </c>
      <c r="T1861" t="s">
        <v>38853</v>
      </c>
      <c r="U1861" t="s">
        <v>38854</v>
      </c>
      <c r="V1861" t="s">
        <v>38855</v>
      </c>
      <c r="W1861" t="s">
        <v>38856</v>
      </c>
      <c r="X1861" t="s">
        <v>38857</v>
      </c>
      <c r="Y1861" t="s">
        <v>38858</v>
      </c>
    </row>
    <row r="1862" spans="1:25" x14ac:dyDescent="0.3">
      <c r="A1862">
        <v>93050</v>
      </c>
      <c r="B1862" t="s">
        <v>38859</v>
      </c>
      <c r="C1862" t="s">
        <v>38860</v>
      </c>
      <c r="D1862" t="s">
        <v>38861</v>
      </c>
      <c r="E1862" t="s">
        <v>38862</v>
      </c>
      <c r="F1862" t="s">
        <v>38863</v>
      </c>
      <c r="G1862" t="s">
        <v>38864</v>
      </c>
      <c r="H1862" t="s">
        <v>38865</v>
      </c>
      <c r="I1862" t="s">
        <v>38866</v>
      </c>
      <c r="J1862" t="s">
        <v>38867</v>
      </c>
      <c r="K1862" t="s">
        <v>38868</v>
      </c>
      <c r="L1862" t="s">
        <v>38869</v>
      </c>
      <c r="M1862">
        <f>-330.919561561709 -3.57742330439032 -329.674312932603</f>
        <v>-664.17129779870231</v>
      </c>
      <c r="N1862" t="s">
        <v>38870</v>
      </c>
      <c r="O1862">
        <f>-756.530615442499 -71.1121160248554 -727.672867624965</f>
        <v>-1555.3155990923192</v>
      </c>
      <c r="P1862">
        <f>-696.794693144481 -82.7423148586415 -417.056480790201</f>
        <v>-1196.5934887933236</v>
      </c>
      <c r="Q1862">
        <f>-448.498423414469 -11.9709421166381 -385.712417392872</f>
        <v>-846.18178292397909</v>
      </c>
      <c r="R1862" t="s">
        <v>38871</v>
      </c>
      <c r="S1862" t="s">
        <v>38872</v>
      </c>
      <c r="T1862" t="s">
        <v>38873</v>
      </c>
      <c r="U1862" t="s">
        <v>38874</v>
      </c>
      <c r="V1862" t="s">
        <v>38875</v>
      </c>
      <c r="W1862" t="s">
        <v>38876</v>
      </c>
      <c r="X1862" t="s">
        <v>38877</v>
      </c>
      <c r="Y1862" t="s">
        <v>38878</v>
      </c>
    </row>
    <row r="1863" spans="1:25" x14ac:dyDescent="0.3">
      <c r="A1863">
        <v>93100</v>
      </c>
      <c r="B1863" t="s">
        <v>38879</v>
      </c>
      <c r="C1863" t="s">
        <v>38880</v>
      </c>
      <c r="D1863" t="s">
        <v>38881</v>
      </c>
      <c r="E1863" t="s">
        <v>38882</v>
      </c>
      <c r="F1863" t="s">
        <v>38883</v>
      </c>
      <c r="G1863" t="s">
        <v>38884</v>
      </c>
      <c r="H1863" t="s">
        <v>38885</v>
      </c>
      <c r="I1863" t="s">
        <v>38886</v>
      </c>
      <c r="J1863" t="s">
        <v>38887</v>
      </c>
      <c r="K1863" t="s">
        <v>38888</v>
      </c>
      <c r="L1863" t="s">
        <v>38889</v>
      </c>
      <c r="M1863">
        <f>-329.530082145341 -5.32284642489253 -330.292016221215</f>
        <v>-665.14494479144855</v>
      </c>
      <c r="N1863" t="s">
        <v>38890</v>
      </c>
      <c r="O1863">
        <f>-757.71424455885 -70.0872564759275 -727.454073592066</f>
        <v>-1555.2555746268436</v>
      </c>
      <c r="P1863">
        <f>-697.764253104913 -81.9349740109967 -416.887140861345</f>
        <v>-1196.5863679772547</v>
      </c>
      <c r="Q1863">
        <f>-449.543328133538 -10.8015461138175 -385.767132302864</f>
        <v>-846.11200655021958</v>
      </c>
      <c r="R1863" t="s">
        <v>38891</v>
      </c>
      <c r="S1863" t="s">
        <v>38892</v>
      </c>
      <c r="T1863" t="s">
        <v>38893</v>
      </c>
      <c r="U1863" t="s">
        <v>38894</v>
      </c>
      <c r="V1863" t="s">
        <v>38895</v>
      </c>
      <c r="W1863" t="s">
        <v>38896</v>
      </c>
      <c r="X1863" t="s">
        <v>38897</v>
      </c>
      <c r="Y1863" t="s">
        <v>38898</v>
      </c>
    </row>
    <row r="1864" spans="1:25" x14ac:dyDescent="0.3">
      <c r="A1864">
        <v>93150</v>
      </c>
      <c r="B1864" t="s">
        <v>38899</v>
      </c>
      <c r="C1864" t="s">
        <v>38900</v>
      </c>
      <c r="D1864" t="s">
        <v>38901</v>
      </c>
      <c r="E1864" t="s">
        <v>38902</v>
      </c>
      <c r="F1864" t="s">
        <v>38903</v>
      </c>
      <c r="G1864" t="s">
        <v>38904</v>
      </c>
      <c r="H1864" t="s">
        <v>38905</v>
      </c>
      <c r="I1864" t="s">
        <v>38906</v>
      </c>
      <c r="J1864" t="s">
        <v>38907</v>
      </c>
      <c r="K1864" t="s">
        <v>38908</v>
      </c>
      <c r="L1864" t="s">
        <v>38909</v>
      </c>
      <c r="M1864">
        <f>-326.453303022491 -10.5791927099292 -331.413601337025</f>
        <v>-668.44609706944516</v>
      </c>
      <c r="N1864" t="s">
        <v>38910</v>
      </c>
      <c r="O1864">
        <f>-759.615727071448 -68.7114430575684 -727.280953750315</f>
        <v>-1555.6081238793313</v>
      </c>
      <c r="P1864">
        <f>-699.074409592572 -80.9543955653321 -416.844161488923</f>
        <v>-1196.8729666468271</v>
      </c>
      <c r="Q1864">
        <f>-450.745683232823 -10.0233106947576 -386.125322694864</f>
        <v>-846.89431662244465</v>
      </c>
      <c r="R1864" t="s">
        <v>38911</v>
      </c>
      <c r="S1864" t="s">
        <v>38912</v>
      </c>
      <c r="T1864" t="s">
        <v>38913</v>
      </c>
      <c r="U1864" t="s">
        <v>38914</v>
      </c>
      <c r="V1864" t="s">
        <v>38915</v>
      </c>
      <c r="W1864" t="s">
        <v>38916</v>
      </c>
      <c r="X1864" t="s">
        <v>38917</v>
      </c>
      <c r="Y1864" t="s">
        <v>38918</v>
      </c>
    </row>
    <row r="1865" spans="1:25" x14ac:dyDescent="0.3">
      <c r="A1865">
        <v>93200</v>
      </c>
      <c r="B1865" t="s">
        <v>38919</v>
      </c>
      <c r="C1865" t="s">
        <v>38920</v>
      </c>
      <c r="D1865" t="s">
        <v>38921</v>
      </c>
      <c r="E1865" t="s">
        <v>38922</v>
      </c>
      <c r="F1865" t="s">
        <v>38923</v>
      </c>
      <c r="G1865" t="s">
        <v>38924</v>
      </c>
      <c r="H1865" t="s">
        <v>38925</v>
      </c>
      <c r="I1865" t="s">
        <v>38926</v>
      </c>
      <c r="J1865" t="s">
        <v>38927</v>
      </c>
      <c r="K1865" t="s">
        <v>38928</v>
      </c>
      <c r="L1865" t="s">
        <v>38929</v>
      </c>
      <c r="M1865">
        <f>-323.206587228192 -18.1193539379271 -334.558541405066</f>
        <v>-675.88448257118512</v>
      </c>
      <c r="N1865" t="s">
        <v>38930</v>
      </c>
      <c r="O1865">
        <f>-761.581171220975 -67.2887653053804 -727.064346130058</f>
        <v>-1555.9342826564134</v>
      </c>
      <c r="P1865">
        <f>-699.990443226013 -80.6771573461438 -416.881355572037</f>
        <v>-1197.5489561441937</v>
      </c>
      <c r="Q1865">
        <f>-451.579312514675 -10.1829127437727 -385.824598464143</f>
        <v>-847.58682372259068</v>
      </c>
      <c r="R1865" t="s">
        <v>38931</v>
      </c>
      <c r="S1865" t="s">
        <v>38932</v>
      </c>
      <c r="T1865" t="s">
        <v>38933</v>
      </c>
      <c r="U1865" t="s">
        <v>38934</v>
      </c>
      <c r="V1865" t="s">
        <v>38935</v>
      </c>
      <c r="W1865" t="s">
        <v>38936</v>
      </c>
      <c r="X1865" t="s">
        <v>38937</v>
      </c>
      <c r="Y1865" t="s">
        <v>38938</v>
      </c>
    </row>
    <row r="1866" spans="1:25" x14ac:dyDescent="0.3">
      <c r="A1866">
        <v>93250</v>
      </c>
      <c r="B1866" t="s">
        <v>38939</v>
      </c>
      <c r="C1866" t="s">
        <v>38940</v>
      </c>
      <c r="D1866" t="s">
        <v>38941</v>
      </c>
      <c r="E1866" t="s">
        <v>38942</v>
      </c>
      <c r="F1866" t="s">
        <v>38943</v>
      </c>
      <c r="G1866" t="s">
        <v>38944</v>
      </c>
      <c r="H1866" t="s">
        <v>38945</v>
      </c>
      <c r="I1866" t="s">
        <v>38946</v>
      </c>
      <c r="J1866" t="s">
        <v>38947</v>
      </c>
      <c r="K1866" t="s">
        <v>38948</v>
      </c>
      <c r="L1866" t="s">
        <v>38949</v>
      </c>
      <c r="M1866">
        <f>-321.511465088479 -21.4072271131213 -336.134538865007</f>
        <v>-679.05323106660728</v>
      </c>
      <c r="N1866" t="s">
        <v>38950</v>
      </c>
      <c r="O1866">
        <f>-762.683797931344 -66.6871859844782 -726.873481853913</f>
        <v>-1556.2444657697351</v>
      </c>
      <c r="P1866">
        <f>-700.196853876804 -80.6630665853984 -416.895746580494</f>
        <v>-1197.7556670426964</v>
      </c>
      <c r="Q1866">
        <f>-451.807800931664 -10.314373396234 -385.337265291584</f>
        <v>-847.45943961948205</v>
      </c>
      <c r="R1866" t="s">
        <v>38951</v>
      </c>
      <c r="S1866" t="s">
        <v>38952</v>
      </c>
      <c r="T1866" t="s">
        <v>38953</v>
      </c>
      <c r="U1866" t="s">
        <v>38954</v>
      </c>
      <c r="V1866" t="s">
        <v>38955</v>
      </c>
      <c r="W1866" t="s">
        <v>38956</v>
      </c>
      <c r="X1866" t="s">
        <v>38957</v>
      </c>
      <c r="Y1866" t="s">
        <v>38958</v>
      </c>
    </row>
    <row r="1867" spans="1:25" x14ac:dyDescent="0.3">
      <c r="A1867">
        <v>93300</v>
      </c>
      <c r="B1867" t="s">
        <v>38959</v>
      </c>
      <c r="C1867" t="s">
        <v>38960</v>
      </c>
      <c r="D1867" t="s">
        <v>38961</v>
      </c>
      <c r="E1867" t="s">
        <v>38962</v>
      </c>
      <c r="F1867" t="s">
        <v>38963</v>
      </c>
      <c r="G1867" t="s">
        <v>38964</v>
      </c>
      <c r="H1867" t="s">
        <v>38965</v>
      </c>
      <c r="I1867" t="s">
        <v>38966</v>
      </c>
      <c r="J1867" t="s">
        <v>38967</v>
      </c>
      <c r="K1867" t="s">
        <v>38968</v>
      </c>
      <c r="L1867" t="s">
        <v>38969</v>
      </c>
      <c r="M1867">
        <f>-320.035438639645 -24.9423581801454 -338.128999226997</f>
        <v>-683.10679604678739</v>
      </c>
      <c r="N1867" t="s">
        <v>38970</v>
      </c>
      <c r="O1867">
        <f>-763.845041523839 -66.0467511331888 -726.619083335616</f>
        <v>-1556.5108759926438</v>
      </c>
      <c r="P1867">
        <f>-700.159604519906 -80.4518811697874 -416.904891652746</f>
        <v>-1197.5163773424395</v>
      </c>
      <c r="Q1867">
        <f>-451.834007546221 -10.1947913902495 -384.649678367042</f>
        <v>-846.67847730351252</v>
      </c>
      <c r="R1867" t="s">
        <v>38971</v>
      </c>
      <c r="S1867" t="s">
        <v>38972</v>
      </c>
      <c r="T1867" t="s">
        <v>38973</v>
      </c>
      <c r="U1867" t="s">
        <v>38974</v>
      </c>
      <c r="V1867" t="s">
        <v>38975</v>
      </c>
      <c r="W1867" t="s">
        <v>38976</v>
      </c>
      <c r="X1867" t="s">
        <v>38977</v>
      </c>
      <c r="Y1867" t="s">
        <v>38978</v>
      </c>
    </row>
    <row r="1868" spans="1:25" x14ac:dyDescent="0.3">
      <c r="A1868">
        <v>93350</v>
      </c>
      <c r="B1868" t="s">
        <v>38979</v>
      </c>
      <c r="C1868" t="s">
        <v>38980</v>
      </c>
      <c r="D1868" t="s">
        <v>38981</v>
      </c>
      <c r="E1868" t="s">
        <v>38982</v>
      </c>
      <c r="F1868" t="s">
        <v>38983</v>
      </c>
      <c r="G1868" t="s">
        <v>38984</v>
      </c>
      <c r="H1868" t="s">
        <v>38985</v>
      </c>
      <c r="I1868" t="s">
        <v>38986</v>
      </c>
      <c r="J1868" t="s">
        <v>38987</v>
      </c>
      <c r="K1868" t="s">
        <v>38988</v>
      </c>
      <c r="L1868" t="s">
        <v>38989</v>
      </c>
      <c r="M1868">
        <f>-318.716662198943 -31.5498334059193 -341.792962924508</f>
        <v>-692.05945852937032</v>
      </c>
      <c r="N1868" t="s">
        <v>38990</v>
      </c>
      <c r="O1868">
        <f>-765.527890197352 -65.1167646959491 -726.248940163874</f>
        <v>-1556.8935950571749</v>
      </c>
      <c r="P1868">
        <f>-699.925934893776 -79.8993342032502 -416.95281448828</f>
        <v>-1196.7780835853061</v>
      </c>
      <c r="Q1868">
        <f>-451.940351565721 -9.21532255605803 -383.055738147749</f>
        <v>-844.21141226952807</v>
      </c>
      <c r="R1868" t="s">
        <v>38991</v>
      </c>
      <c r="S1868" t="s">
        <v>38992</v>
      </c>
      <c r="T1868" t="s">
        <v>38993</v>
      </c>
      <c r="U1868" t="s">
        <v>38994</v>
      </c>
      <c r="V1868" t="s">
        <v>38995</v>
      </c>
      <c r="W1868" t="s">
        <v>38996</v>
      </c>
      <c r="X1868" t="s">
        <v>38997</v>
      </c>
      <c r="Y1868" t="s">
        <v>38998</v>
      </c>
    </row>
    <row r="1869" spans="1:25" x14ac:dyDescent="0.3">
      <c r="A1869">
        <v>93400</v>
      </c>
      <c r="B1869" t="s">
        <v>38999</v>
      </c>
      <c r="C1869" t="s">
        <v>39000</v>
      </c>
      <c r="D1869" t="s">
        <v>39001</v>
      </c>
      <c r="E1869" t="s">
        <v>39002</v>
      </c>
      <c r="F1869" t="s">
        <v>39003</v>
      </c>
      <c r="G1869" t="s">
        <v>39004</v>
      </c>
      <c r="H1869" t="s">
        <v>39005</v>
      </c>
      <c r="I1869" t="s">
        <v>39006</v>
      </c>
      <c r="J1869" t="s">
        <v>39007</v>
      </c>
      <c r="K1869" t="s">
        <v>39008</v>
      </c>
      <c r="L1869" t="s">
        <v>39009</v>
      </c>
      <c r="M1869">
        <f>-319.248636918546 -35.5571566703763 -344.196533210784</f>
        <v>-699.00232679970634</v>
      </c>
      <c r="N1869" t="s">
        <v>39010</v>
      </c>
      <c r="O1869">
        <f>-765.951105963209 -64.5643142265828 -726.205608172082</f>
        <v>-1556.7210283618738</v>
      </c>
      <c r="P1869">
        <f>-699.750837547087 -79.6197188262902 -417.050186032622</f>
        <v>-1196.4207424059991</v>
      </c>
      <c r="Q1869">
        <f>-452.002494408858 -8.49764291261749 -382.344597695122</f>
        <v>-842.8447350165975</v>
      </c>
      <c r="R1869" t="s">
        <v>39011</v>
      </c>
      <c r="S1869" t="s">
        <v>39012</v>
      </c>
      <c r="T1869" t="s">
        <v>39013</v>
      </c>
      <c r="U1869" t="s">
        <v>39014</v>
      </c>
      <c r="V1869" t="s">
        <v>39015</v>
      </c>
      <c r="W1869" t="s">
        <v>39016</v>
      </c>
      <c r="X1869" t="s">
        <v>39017</v>
      </c>
      <c r="Y1869" t="s">
        <v>39018</v>
      </c>
    </row>
    <row r="1870" spans="1:25" x14ac:dyDescent="0.3">
      <c r="A1870">
        <v>93450</v>
      </c>
      <c r="B1870" t="s">
        <v>39019</v>
      </c>
      <c r="C1870" t="s">
        <v>39020</v>
      </c>
      <c r="D1870" t="s">
        <v>39021</v>
      </c>
      <c r="E1870" t="s">
        <v>39022</v>
      </c>
      <c r="F1870" t="s">
        <v>39023</v>
      </c>
      <c r="G1870" t="s">
        <v>39024</v>
      </c>
      <c r="H1870" t="s">
        <v>39025</v>
      </c>
      <c r="I1870" t="s">
        <v>39026</v>
      </c>
      <c r="J1870" t="s">
        <v>39027</v>
      </c>
      <c r="K1870" t="s">
        <v>39028</v>
      </c>
      <c r="L1870" t="s">
        <v>39029</v>
      </c>
      <c r="M1870">
        <f>-324.325717988142 -46.6919293412302 -350.918848353421</f>
        <v>-721.93649568279329</v>
      </c>
      <c r="N1870" t="s">
        <v>39030</v>
      </c>
      <c r="O1870">
        <f>-765.843613188248 -63.3654212537131 -726.653436893057</f>
        <v>-1555.8624713350182</v>
      </c>
      <c r="P1870">
        <f>-699.829357920529 -78.7791026522693 -417.475926521168</f>
        <v>-1196.0843870939664</v>
      </c>
      <c r="Q1870">
        <f>-452.63624506117 -6.23849833580107 -381.762421444333</f>
        <v>-840.63716484130396</v>
      </c>
      <c r="R1870" t="s">
        <v>39031</v>
      </c>
      <c r="S1870" t="s">
        <v>39032</v>
      </c>
      <c r="T1870" t="s">
        <v>39033</v>
      </c>
      <c r="U1870" t="s">
        <v>39034</v>
      </c>
      <c r="V1870" t="s">
        <v>39035</v>
      </c>
      <c r="W1870" t="s">
        <v>39036</v>
      </c>
      <c r="X1870" t="s">
        <v>39037</v>
      </c>
      <c r="Y1870" t="s">
        <v>39038</v>
      </c>
    </row>
    <row r="1871" spans="1:25" x14ac:dyDescent="0.3">
      <c r="A1871">
        <v>93500</v>
      </c>
      <c r="B1871" t="s">
        <v>39039</v>
      </c>
      <c r="C1871" t="s">
        <v>39040</v>
      </c>
      <c r="D1871" t="s">
        <v>39041</v>
      </c>
      <c r="E1871" t="s">
        <v>39042</v>
      </c>
      <c r="F1871" t="s">
        <v>39043</v>
      </c>
      <c r="G1871" t="s">
        <v>39044</v>
      </c>
      <c r="H1871" t="s">
        <v>39045</v>
      </c>
      <c r="I1871" t="s">
        <v>39046</v>
      </c>
      <c r="J1871" t="s">
        <v>39047</v>
      </c>
      <c r="K1871" t="s">
        <v>39048</v>
      </c>
      <c r="L1871" t="s">
        <v>39049</v>
      </c>
      <c r="M1871">
        <f>-327.721129002986 -53.4422241925558 -355.127649357947</f>
        <v>-736.29100255348885</v>
      </c>
      <c r="N1871" t="s">
        <v>39050</v>
      </c>
      <c r="O1871">
        <f>-765.017878719621 -62.9080650722722 -727.246080557339</f>
        <v>-1555.1720243492323</v>
      </c>
      <c r="P1871">
        <f>-699.816211169611 -78.3972676056319 -417.899901465902</f>
        <v>-1196.113380241145</v>
      </c>
      <c r="Q1871">
        <f>-452.978804773914 -4.76447873172879 -381.961032505434</f>
        <v>-839.7043160110768</v>
      </c>
      <c r="R1871" t="s">
        <v>39051</v>
      </c>
      <c r="S1871" t="s">
        <v>39052</v>
      </c>
      <c r="T1871" t="s">
        <v>39053</v>
      </c>
      <c r="U1871" t="s">
        <v>39054</v>
      </c>
      <c r="V1871" t="s">
        <v>39055</v>
      </c>
      <c r="W1871" t="s">
        <v>39056</v>
      </c>
      <c r="X1871" t="s">
        <v>39057</v>
      </c>
      <c r="Y1871" t="s">
        <v>39058</v>
      </c>
    </row>
    <row r="1872" spans="1:25" x14ac:dyDescent="0.3">
      <c r="A1872">
        <v>93550</v>
      </c>
      <c r="B1872" t="s">
        <v>39059</v>
      </c>
      <c r="C1872" t="s">
        <v>39060</v>
      </c>
      <c r="D1872" t="s">
        <v>39061</v>
      </c>
      <c r="E1872" t="s">
        <v>39062</v>
      </c>
      <c r="F1872" t="s">
        <v>39063</v>
      </c>
      <c r="G1872" t="s">
        <v>39064</v>
      </c>
      <c r="H1872" t="s">
        <v>39065</v>
      </c>
      <c r="I1872" t="s">
        <v>39066</v>
      </c>
      <c r="J1872" t="s">
        <v>39067</v>
      </c>
      <c r="K1872" t="s">
        <v>39068</v>
      </c>
      <c r="L1872" t="s">
        <v>39069</v>
      </c>
      <c r="M1872">
        <f>-331.068817931158 -58.9846059150248 -358.964774433736</f>
        <v>-749.01819827991881</v>
      </c>
      <c r="N1872" t="s">
        <v>39070</v>
      </c>
      <c r="O1872">
        <f>-763.9292805207 -62.2012310832922 -728.154809648871</f>
        <v>-1554.2853212528632</v>
      </c>
      <c r="P1872">
        <f>-700.005057347166 -77.9242544461806 -418.553998504574</f>
        <v>-1196.4833102979205</v>
      </c>
      <c r="Q1872">
        <f>-453.518903161595 -3.22836775058386 -382.399596630254</f>
        <v>-839.1468675424328</v>
      </c>
      <c r="R1872" t="s">
        <v>39071</v>
      </c>
      <c r="S1872" t="s">
        <v>39072</v>
      </c>
      <c r="T1872" t="s">
        <v>39073</v>
      </c>
      <c r="U1872" t="s">
        <v>39074</v>
      </c>
      <c r="V1872" t="s">
        <v>39075</v>
      </c>
      <c r="W1872" t="s">
        <v>39076</v>
      </c>
      <c r="X1872" t="s">
        <v>39077</v>
      </c>
      <c r="Y1872" t="s">
        <v>39078</v>
      </c>
    </row>
    <row r="1873" spans="1:25" x14ac:dyDescent="0.3">
      <c r="A1873">
        <v>93600</v>
      </c>
      <c r="B1873" t="s">
        <v>39079</v>
      </c>
      <c r="C1873" t="s">
        <v>39080</v>
      </c>
      <c r="D1873" t="s">
        <v>39081</v>
      </c>
      <c r="E1873" t="s">
        <v>39082</v>
      </c>
      <c r="F1873" t="s">
        <v>39083</v>
      </c>
      <c r="G1873" t="s">
        <v>39084</v>
      </c>
      <c r="H1873" t="s">
        <v>39085</v>
      </c>
      <c r="I1873" t="s">
        <v>39086</v>
      </c>
      <c r="J1873" t="s">
        <v>39087</v>
      </c>
      <c r="K1873" t="s">
        <v>39088</v>
      </c>
      <c r="L1873" t="s">
        <v>39089</v>
      </c>
      <c r="M1873">
        <f>-335.310987667826 -67.023542045391 -366.428281304475</f>
        <v>-768.762811017692</v>
      </c>
      <c r="N1873" t="s">
        <v>39090</v>
      </c>
      <c r="O1873">
        <f>-761.390968971069 -60.7152938829288 -730.835809396189</f>
        <v>-1552.9420722501868</v>
      </c>
      <c r="P1873">
        <f>-701.379387459584 -78.8498585300028 -420.584529356577</f>
        <v>-1200.8137753461638</v>
      </c>
      <c r="Q1873">
        <f>-455.956316445073 -1.45214158148542 -382.912247067332</f>
        <v>-840.32070509389041</v>
      </c>
      <c r="R1873" t="s">
        <v>39091</v>
      </c>
      <c r="S1873" t="s">
        <v>39092</v>
      </c>
      <c r="T1873" t="s">
        <v>39093</v>
      </c>
      <c r="U1873" t="s">
        <v>39094</v>
      </c>
      <c r="V1873" t="s">
        <v>39095</v>
      </c>
      <c r="W1873" t="s">
        <v>39096</v>
      </c>
      <c r="X1873" t="s">
        <v>39097</v>
      </c>
      <c r="Y1873" t="s">
        <v>39098</v>
      </c>
    </row>
    <row r="1874" spans="1:25" x14ac:dyDescent="0.3">
      <c r="A1874">
        <v>93650</v>
      </c>
      <c r="B1874" t="s">
        <v>39099</v>
      </c>
      <c r="C1874" t="s">
        <v>39100</v>
      </c>
      <c r="D1874" t="s">
        <v>39101</v>
      </c>
      <c r="E1874" t="s">
        <v>39102</v>
      </c>
      <c r="F1874" t="s">
        <v>39103</v>
      </c>
      <c r="G1874" t="s">
        <v>39104</v>
      </c>
      <c r="H1874" t="s">
        <v>39105</v>
      </c>
      <c r="I1874" t="s">
        <v>39106</v>
      </c>
      <c r="J1874" t="s">
        <v>39107</v>
      </c>
      <c r="K1874" t="s">
        <v>39108</v>
      </c>
      <c r="L1874" t="s">
        <v>39109</v>
      </c>
      <c r="M1874">
        <f>-337.250100045127 -74.2213610436913 -374.279311050297</f>
        <v>-785.75077213911527</v>
      </c>
      <c r="N1874" t="s">
        <v>39110</v>
      </c>
      <c r="O1874">
        <f>-758.210685003602 -59.6943842429807 -734.477114326133</f>
        <v>-1552.3821835727158</v>
      </c>
      <c r="P1874">
        <f>-703.865452180149 -81.2483200548443 -423.401146192225</f>
        <v>-1208.5149184272182</v>
      </c>
      <c r="Q1874">
        <f>-459.694819934934 -1.78094060912736 -382.076788629966</f>
        <v>-843.55254917402738</v>
      </c>
      <c r="R1874" t="s">
        <v>39111</v>
      </c>
      <c r="S1874" t="s">
        <v>39112</v>
      </c>
      <c r="T1874" t="s">
        <v>39113</v>
      </c>
      <c r="U1874" t="s">
        <v>39114</v>
      </c>
      <c r="V1874" t="s">
        <v>39115</v>
      </c>
      <c r="W1874" t="s">
        <v>39116</v>
      </c>
      <c r="X1874" t="s">
        <v>39117</v>
      </c>
      <c r="Y1874" t="s">
        <v>39118</v>
      </c>
    </row>
    <row r="1875" spans="1:25" x14ac:dyDescent="0.3">
      <c r="A1875">
        <v>93700</v>
      </c>
      <c r="B1875" t="s">
        <v>39119</v>
      </c>
      <c r="C1875" t="s">
        <v>39120</v>
      </c>
      <c r="D1875" t="s">
        <v>39121</v>
      </c>
      <c r="E1875" t="s">
        <v>39122</v>
      </c>
      <c r="F1875" t="s">
        <v>39123</v>
      </c>
      <c r="G1875" t="s">
        <v>39124</v>
      </c>
      <c r="H1875" t="s">
        <v>39125</v>
      </c>
      <c r="I1875" t="s">
        <v>39126</v>
      </c>
      <c r="J1875" t="s">
        <v>39127</v>
      </c>
      <c r="K1875" t="s">
        <v>39128</v>
      </c>
      <c r="L1875" t="s">
        <v>39129</v>
      </c>
      <c r="M1875">
        <f>-337.798335180972 -76.4409606159682 -377.255977304086</f>
        <v>-791.49527310102621</v>
      </c>
      <c r="N1875" t="s">
        <v>39130</v>
      </c>
      <c r="O1875">
        <f>-756.077085503413 -58.4717795347367 -736.594082109272</f>
        <v>-1551.1429471474216</v>
      </c>
      <c r="P1875">
        <f>-705.086129876513 -81.1652541412852 -425.031592220923</f>
        <v>-1211.2829762387214</v>
      </c>
      <c r="Q1875">
        <f>-461.59975290439 -0.71713680272137 -381.620901588965</f>
        <v>-843.9377912960764</v>
      </c>
      <c r="R1875" t="s">
        <v>39131</v>
      </c>
      <c r="S1875" t="s">
        <v>39132</v>
      </c>
      <c r="T1875" t="s">
        <v>39133</v>
      </c>
      <c r="U1875" t="s">
        <v>39134</v>
      </c>
      <c r="V1875" t="s">
        <v>39135</v>
      </c>
      <c r="W1875" t="s">
        <v>39136</v>
      </c>
      <c r="X1875" t="s">
        <v>39137</v>
      </c>
      <c r="Y1875" t="s">
        <v>39138</v>
      </c>
    </row>
    <row r="1876" spans="1:25" x14ac:dyDescent="0.3">
      <c r="A1876">
        <v>93750</v>
      </c>
      <c r="B1876" t="s">
        <v>39139</v>
      </c>
      <c r="C1876" t="s">
        <v>39140</v>
      </c>
      <c r="D1876" t="s">
        <v>39141</v>
      </c>
      <c r="E1876" t="s">
        <v>39142</v>
      </c>
      <c r="F1876" t="s">
        <v>39143</v>
      </c>
      <c r="G1876" t="s">
        <v>39144</v>
      </c>
      <c r="H1876" t="s">
        <v>39145</v>
      </c>
      <c r="I1876" t="s">
        <v>39146</v>
      </c>
      <c r="J1876" t="s">
        <v>39147</v>
      </c>
      <c r="K1876" t="s">
        <v>39148</v>
      </c>
      <c r="L1876" t="s">
        <v>39149</v>
      </c>
      <c r="M1876">
        <f>-337.634820118512 -78.9729022168221 -381.510065389281</f>
        <v>-798.11778772461503</v>
      </c>
      <c r="N1876" t="s">
        <v>39150</v>
      </c>
      <c r="O1876">
        <f>-750.028466806095 -55.8588686326614 -741.207875712313</f>
        <v>-1547.0952111510694</v>
      </c>
      <c r="P1876">
        <f>-706.257958924933 -80.7987151834573 -428.720620829528</f>
        <v>-1215.7772949379182</v>
      </c>
      <c r="Q1876" t="s">
        <v>39151</v>
      </c>
      <c r="R1876" t="s">
        <v>39152</v>
      </c>
      <c r="S1876" t="s">
        <v>39153</v>
      </c>
      <c r="T1876" t="s">
        <v>39154</v>
      </c>
      <c r="U1876" t="s">
        <v>39155</v>
      </c>
      <c r="V1876" t="s">
        <v>39156</v>
      </c>
      <c r="W1876" t="s">
        <v>39157</v>
      </c>
      <c r="X1876" t="s">
        <v>39158</v>
      </c>
      <c r="Y1876" t="s">
        <v>39159</v>
      </c>
    </row>
    <row r="1877" spans="1:25" x14ac:dyDescent="0.3">
      <c r="A1877">
        <v>93800</v>
      </c>
      <c r="B1877" t="s">
        <v>39160</v>
      </c>
      <c r="C1877" t="s">
        <v>39161</v>
      </c>
      <c r="D1877" t="s">
        <v>39162</v>
      </c>
      <c r="E1877" t="s">
        <v>39163</v>
      </c>
      <c r="F1877" t="s">
        <v>39164</v>
      </c>
      <c r="G1877" t="s">
        <v>39165</v>
      </c>
      <c r="H1877" t="s">
        <v>39166</v>
      </c>
      <c r="I1877" t="s">
        <v>39167</v>
      </c>
      <c r="J1877" t="s">
        <v>39168</v>
      </c>
      <c r="K1877" t="s">
        <v>39169</v>
      </c>
      <c r="L1877" t="s">
        <v>39170</v>
      </c>
      <c r="M1877">
        <f>-337.103411194669 -79.530954280686 -383.122426179232</f>
        <v>-799.756791654587</v>
      </c>
      <c r="N1877" t="s">
        <v>39171</v>
      </c>
      <c r="O1877">
        <f>-747.447203321679 -54.3877725091172 -743.264568650658</f>
        <v>-1545.0995444814544</v>
      </c>
      <c r="P1877">
        <f>-706.832677264175 -80.4094888911145 -430.439392742347</f>
        <v>-1217.6815588976365</v>
      </c>
      <c r="Q1877" t="s">
        <v>39172</v>
      </c>
      <c r="R1877" t="s">
        <v>39173</v>
      </c>
      <c r="S1877" t="s">
        <v>39174</v>
      </c>
      <c r="T1877" t="s">
        <v>39175</v>
      </c>
      <c r="U1877" t="s">
        <v>39176</v>
      </c>
      <c r="V1877" t="s">
        <v>39177</v>
      </c>
      <c r="W1877" t="s">
        <v>39178</v>
      </c>
      <c r="X1877" t="s">
        <v>39179</v>
      </c>
      <c r="Y1877" t="s">
        <v>39180</v>
      </c>
    </row>
    <row r="1878" spans="1:25" x14ac:dyDescent="0.3">
      <c r="A1878">
        <v>93850</v>
      </c>
      <c r="B1878" t="s">
        <v>39181</v>
      </c>
      <c r="C1878" t="s">
        <v>39182</v>
      </c>
      <c r="D1878" t="s">
        <v>39183</v>
      </c>
      <c r="E1878" t="s">
        <v>39184</v>
      </c>
      <c r="F1878" t="s">
        <v>39185</v>
      </c>
      <c r="G1878" t="s">
        <v>39186</v>
      </c>
      <c r="H1878" t="s">
        <v>39187</v>
      </c>
      <c r="I1878" t="s">
        <v>39188</v>
      </c>
      <c r="J1878" t="s">
        <v>39189</v>
      </c>
      <c r="K1878" t="s">
        <v>39190</v>
      </c>
      <c r="L1878" t="s">
        <v>39191</v>
      </c>
      <c r="M1878">
        <f>-333.762650213443 -79.2186216930015 -387.577985279168</f>
        <v>-800.55925718561252</v>
      </c>
      <c r="N1878" t="s">
        <v>39192</v>
      </c>
      <c r="O1878">
        <f>-742.142215413888 -50.8397174380607 -746.828480894314</f>
        <v>-1539.8104137462628</v>
      </c>
      <c r="P1878">
        <f>-707.117934136866 -77.9925878472382 -433.424195933645</f>
        <v>-1218.5347179177493</v>
      </c>
      <c r="Q1878" t="s">
        <v>39193</v>
      </c>
      <c r="R1878" t="s">
        <v>39194</v>
      </c>
      <c r="S1878" t="s">
        <v>39195</v>
      </c>
      <c r="T1878" t="s">
        <v>39196</v>
      </c>
      <c r="U1878" t="s">
        <v>39197</v>
      </c>
      <c r="V1878" t="s">
        <v>39198</v>
      </c>
      <c r="W1878" t="s">
        <v>39199</v>
      </c>
      <c r="X1878" t="s">
        <v>39200</v>
      </c>
      <c r="Y1878" t="s">
        <v>39201</v>
      </c>
    </row>
    <row r="1879" spans="1:25" x14ac:dyDescent="0.3">
      <c r="A1879">
        <v>93900</v>
      </c>
      <c r="B1879" t="s">
        <v>39202</v>
      </c>
      <c r="C1879" t="s">
        <v>39203</v>
      </c>
      <c r="D1879" t="s">
        <v>39204</v>
      </c>
      <c r="E1879" t="s">
        <v>39205</v>
      </c>
      <c r="F1879" t="s">
        <v>39206</v>
      </c>
      <c r="G1879" t="s">
        <v>39207</v>
      </c>
      <c r="H1879" t="s">
        <v>39208</v>
      </c>
      <c r="I1879" t="s">
        <v>39209</v>
      </c>
      <c r="J1879" t="s">
        <v>39210</v>
      </c>
      <c r="K1879" t="s">
        <v>39211</v>
      </c>
      <c r="L1879" t="s">
        <v>39212</v>
      </c>
      <c r="M1879">
        <f>-332.029645289618 -79.4630495081233 -389.518806476177</f>
        <v>-801.01150127391827</v>
      </c>
      <c r="N1879" t="s">
        <v>39213</v>
      </c>
      <c r="O1879">
        <f>-739.942274253171 -49.5065987717387 -747.952611183977</f>
        <v>-1537.4014842088868</v>
      </c>
      <c r="P1879">
        <f>-707.136987232339 -77.3445737679099 -434.368415157119</f>
        <v>-1218.849976157368</v>
      </c>
      <c r="Q1879" t="s">
        <v>39214</v>
      </c>
      <c r="R1879" t="s">
        <v>39215</v>
      </c>
      <c r="S1879" t="s">
        <v>39216</v>
      </c>
      <c r="T1879" t="s">
        <v>39217</v>
      </c>
      <c r="U1879" t="s">
        <v>39218</v>
      </c>
      <c r="V1879" t="s">
        <v>39219</v>
      </c>
      <c r="W1879" t="s">
        <v>39220</v>
      </c>
      <c r="X1879" t="s">
        <v>39221</v>
      </c>
      <c r="Y1879" t="s">
        <v>39222</v>
      </c>
    </row>
    <row r="1880" spans="1:25" x14ac:dyDescent="0.3">
      <c r="A1880">
        <v>93950</v>
      </c>
      <c r="B1880" t="s">
        <v>39223</v>
      </c>
      <c r="C1880" t="s">
        <v>39224</v>
      </c>
      <c r="D1880" t="s">
        <v>39225</v>
      </c>
      <c r="E1880" t="s">
        <v>39226</v>
      </c>
      <c r="F1880" t="s">
        <v>39227</v>
      </c>
      <c r="G1880" t="s">
        <v>39228</v>
      </c>
      <c r="H1880" t="s">
        <v>39229</v>
      </c>
      <c r="I1880" t="s">
        <v>39230</v>
      </c>
      <c r="J1880" t="s">
        <v>39231</v>
      </c>
      <c r="K1880" t="s">
        <v>39232</v>
      </c>
      <c r="L1880" t="s">
        <v>39233</v>
      </c>
      <c r="M1880">
        <f>-329.6466747402 -77.902718184369 -390.525000456621</f>
        <v>-798.07439338119002</v>
      </c>
      <c r="N1880" t="s">
        <v>39234</v>
      </c>
      <c r="O1880">
        <f>-735.582711540807 -47.1797146887029 -749.298156444059</f>
        <v>-1532.0605826735691</v>
      </c>
      <c r="P1880">
        <f>-706.878034461989 -75.8690717272366 -435.388611698222</f>
        <v>-1218.1357178874478</v>
      </c>
      <c r="Q1880" t="s">
        <v>39235</v>
      </c>
      <c r="R1880" t="s">
        <v>39236</v>
      </c>
      <c r="S1880" t="s">
        <v>39237</v>
      </c>
      <c r="T1880" t="s">
        <v>39238</v>
      </c>
      <c r="U1880" t="s">
        <v>39239</v>
      </c>
      <c r="V1880" t="s">
        <v>39240</v>
      </c>
      <c r="W1880" t="s">
        <v>39241</v>
      </c>
      <c r="X1880" t="s">
        <v>39242</v>
      </c>
      <c r="Y1880" t="s">
        <v>39243</v>
      </c>
    </row>
    <row r="1881" spans="1:25" x14ac:dyDescent="0.3">
      <c r="A1881">
        <v>94000</v>
      </c>
      <c r="B1881" t="s">
        <v>39244</v>
      </c>
      <c r="C1881" t="s">
        <v>39245</v>
      </c>
      <c r="D1881" t="s">
        <v>39246</v>
      </c>
      <c r="E1881" t="s">
        <v>39247</v>
      </c>
      <c r="F1881" t="s">
        <v>39248</v>
      </c>
      <c r="G1881" t="s">
        <v>39249</v>
      </c>
      <c r="H1881" t="s">
        <v>39250</v>
      </c>
      <c r="I1881" t="s">
        <v>39251</v>
      </c>
      <c r="J1881" t="s">
        <v>39252</v>
      </c>
      <c r="K1881" t="s">
        <v>39253</v>
      </c>
      <c r="L1881" t="s">
        <v>39254</v>
      </c>
      <c r="M1881">
        <f>-329.28855775702 -77.267246388031 -389.750297005906</f>
        <v>-796.30610115095692</v>
      </c>
      <c r="N1881" t="s">
        <v>39255</v>
      </c>
      <c r="O1881">
        <f>-733.495012420316 -46.6455328446596 -749.466252122056</f>
        <v>-1529.6067973870315</v>
      </c>
      <c r="P1881">
        <f>-706.68900690193 -75.5243898456586 -435.406441401499</f>
        <v>-1217.6198381490876</v>
      </c>
      <c r="Q1881" t="s">
        <v>39256</v>
      </c>
      <c r="R1881" t="s">
        <v>39257</v>
      </c>
      <c r="S1881" t="s">
        <v>39258</v>
      </c>
      <c r="T1881" t="s">
        <v>39259</v>
      </c>
      <c r="U1881" t="s">
        <v>39260</v>
      </c>
      <c r="V1881" t="s">
        <v>39261</v>
      </c>
      <c r="W1881" t="s">
        <v>39262</v>
      </c>
      <c r="X1881" t="s">
        <v>39263</v>
      </c>
      <c r="Y1881" t="s">
        <v>39264</v>
      </c>
    </row>
    <row r="1882" spans="1:25" x14ac:dyDescent="0.3">
      <c r="A1882">
        <v>94050</v>
      </c>
      <c r="B1882" t="s">
        <v>39265</v>
      </c>
      <c r="C1882" t="s">
        <v>39266</v>
      </c>
      <c r="D1882" t="s">
        <v>39267</v>
      </c>
      <c r="E1882" t="s">
        <v>39268</v>
      </c>
      <c r="F1882" t="s">
        <v>39269</v>
      </c>
      <c r="G1882" t="s">
        <v>39270</v>
      </c>
      <c r="H1882" t="s">
        <v>39271</v>
      </c>
      <c r="I1882" t="s">
        <v>39272</v>
      </c>
      <c r="J1882" t="s">
        <v>39273</v>
      </c>
      <c r="K1882" t="s">
        <v>39274</v>
      </c>
      <c r="L1882" t="s">
        <v>39275</v>
      </c>
      <c r="M1882">
        <f>-333.666057298477 -74.3616364287896 -382.194324997533</f>
        <v>-790.22201872479968</v>
      </c>
      <c r="N1882" t="s">
        <v>39276</v>
      </c>
      <c r="O1882">
        <f>-733.836751081167 -46.5581500534313 -749.204262220864</f>
        <v>-1529.5991633554622</v>
      </c>
      <c r="P1882">
        <f>-708.338768491293 -74.9428012653707 -434.990462149121</f>
        <v>-1218.2720319057846</v>
      </c>
      <c r="Q1882" t="s">
        <v>39277</v>
      </c>
      <c r="R1882" t="s">
        <v>39278</v>
      </c>
      <c r="S1882" t="s">
        <v>39279</v>
      </c>
      <c r="T1882" t="s">
        <v>39280</v>
      </c>
      <c r="U1882" t="s">
        <v>39281</v>
      </c>
      <c r="V1882" t="s">
        <v>39282</v>
      </c>
      <c r="W1882" t="s">
        <v>39283</v>
      </c>
      <c r="X1882" t="s">
        <v>39284</v>
      </c>
      <c r="Y1882" t="s">
        <v>39285</v>
      </c>
    </row>
    <row r="1883" spans="1:25" x14ac:dyDescent="0.3">
      <c r="A1883">
        <v>94100</v>
      </c>
      <c r="B1883" t="s">
        <v>39286</v>
      </c>
      <c r="C1883" t="s">
        <v>39287</v>
      </c>
      <c r="D1883" t="s">
        <v>39288</v>
      </c>
      <c r="E1883" t="s">
        <v>39289</v>
      </c>
      <c r="F1883" t="s">
        <v>39290</v>
      </c>
      <c r="G1883" t="s">
        <v>39291</v>
      </c>
      <c r="H1883" t="s">
        <v>39292</v>
      </c>
      <c r="I1883" t="s">
        <v>39293</v>
      </c>
      <c r="J1883" t="s">
        <v>39294</v>
      </c>
      <c r="K1883" t="s">
        <v>39295</v>
      </c>
      <c r="L1883" t="s">
        <v>39296</v>
      </c>
      <c r="M1883">
        <f>-337.730600558684 -70.1978339454911 -372.02781729549</f>
        <v>-779.9562517996651</v>
      </c>
      <c r="N1883" t="s">
        <v>39297</v>
      </c>
      <c r="O1883">
        <f>-735.158578748304 -47.6050749423737 -748.747401526684</f>
        <v>-1531.5110552173617</v>
      </c>
      <c r="P1883">
        <f>-709.332866110359 -75.4781099279826 -434.514412886814</f>
        <v>-1219.3253889251555</v>
      </c>
      <c r="Q1883" t="s">
        <v>39298</v>
      </c>
      <c r="R1883" t="s">
        <v>39299</v>
      </c>
      <c r="S1883" t="s">
        <v>39300</v>
      </c>
      <c r="T1883" t="s">
        <v>39301</v>
      </c>
      <c r="U1883" t="s">
        <v>39302</v>
      </c>
      <c r="V1883" t="s">
        <v>39303</v>
      </c>
      <c r="W1883" t="s">
        <v>39304</v>
      </c>
      <c r="X1883" t="s">
        <v>39305</v>
      </c>
      <c r="Y1883" t="s">
        <v>39306</v>
      </c>
    </row>
    <row r="1884" spans="1:25" x14ac:dyDescent="0.3">
      <c r="A1884">
        <v>94150</v>
      </c>
      <c r="B1884" t="s">
        <v>39307</v>
      </c>
      <c r="C1884" t="s">
        <v>39308</v>
      </c>
      <c r="D1884" t="s">
        <v>39309</v>
      </c>
      <c r="E1884" t="s">
        <v>39310</v>
      </c>
      <c r="F1884" t="s">
        <v>39311</v>
      </c>
      <c r="G1884" t="s">
        <v>39312</v>
      </c>
      <c r="H1884" t="s">
        <v>39313</v>
      </c>
      <c r="I1884" t="s">
        <v>39314</v>
      </c>
      <c r="J1884" t="s">
        <v>39315</v>
      </c>
      <c r="K1884" t="s">
        <v>39316</v>
      </c>
      <c r="L1884" t="s">
        <v>39317</v>
      </c>
      <c r="M1884">
        <f>-339.756184550899 -61.206559665146 -358.582781648852</f>
        <v>-759.54552586489694</v>
      </c>
      <c r="N1884" t="s">
        <v>39318</v>
      </c>
      <c r="O1884">
        <f>-735.946277699136 -51.9716346961836 -747.175818681208</f>
        <v>-1535.0937310765275</v>
      </c>
      <c r="P1884">
        <f>-709.356449038122 -77.795895701795 -432.831630619415</f>
        <v>-1219.9839753593319</v>
      </c>
      <c r="Q1884" t="s">
        <v>39319</v>
      </c>
      <c r="R1884" t="s">
        <v>39320</v>
      </c>
      <c r="S1884" t="s">
        <v>39321</v>
      </c>
      <c r="T1884" t="s">
        <v>39322</v>
      </c>
      <c r="U1884" t="s">
        <v>39323</v>
      </c>
      <c r="V1884" t="s">
        <v>39324</v>
      </c>
      <c r="W1884" t="s">
        <v>39325</v>
      </c>
      <c r="X1884" t="s">
        <v>39326</v>
      </c>
      <c r="Y1884" t="s">
        <v>39327</v>
      </c>
    </row>
    <row r="1885" spans="1:25" x14ac:dyDescent="0.3">
      <c r="A1885">
        <v>94200</v>
      </c>
      <c r="B1885" t="s">
        <v>39328</v>
      </c>
      <c r="C1885" t="s">
        <v>39329</v>
      </c>
      <c r="D1885" t="s">
        <v>39330</v>
      </c>
      <c r="E1885" t="s">
        <v>39331</v>
      </c>
      <c r="F1885" t="s">
        <v>39332</v>
      </c>
      <c r="G1885" t="s">
        <v>39333</v>
      </c>
      <c r="H1885" t="s">
        <v>39334</v>
      </c>
      <c r="I1885" t="s">
        <v>39335</v>
      </c>
      <c r="J1885" t="s">
        <v>39336</v>
      </c>
      <c r="K1885" t="s">
        <v>39337</v>
      </c>
      <c r="L1885" t="s">
        <v>39338</v>
      </c>
      <c r="M1885">
        <f>-340.154609120826 -54.1830658691549 -350.694567187852</f>
        <v>-745.03224217783293</v>
      </c>
      <c r="N1885" t="s">
        <v>39339</v>
      </c>
      <c r="O1885">
        <f>-735.701799680072 -54.0066438452582 -746.354311224191</f>
        <v>-1536.062754749521</v>
      </c>
      <c r="P1885">
        <f>-708.704150914338 -77.8690500924463 -431.889850140161</f>
        <v>-1218.4630511469454</v>
      </c>
      <c r="Q1885" t="s">
        <v>39340</v>
      </c>
      <c r="R1885" t="s">
        <v>39341</v>
      </c>
      <c r="S1885" t="s">
        <v>39342</v>
      </c>
      <c r="T1885" t="s">
        <v>39343</v>
      </c>
      <c r="U1885" t="s">
        <v>39344</v>
      </c>
      <c r="V1885" t="s">
        <v>39345</v>
      </c>
      <c r="W1885" t="s">
        <v>39346</v>
      </c>
      <c r="X1885" t="s">
        <v>39347</v>
      </c>
      <c r="Y1885" t="s">
        <v>39348</v>
      </c>
    </row>
    <row r="1886" spans="1:25" x14ac:dyDescent="0.3">
      <c r="A1886">
        <v>94250</v>
      </c>
      <c r="B1886" t="s">
        <v>39349</v>
      </c>
      <c r="C1886" t="s">
        <v>39350</v>
      </c>
      <c r="D1886" t="s">
        <v>39351</v>
      </c>
      <c r="E1886" t="s">
        <v>39352</v>
      </c>
      <c r="F1886" t="s">
        <v>39353</v>
      </c>
      <c r="G1886" t="s">
        <v>39354</v>
      </c>
      <c r="H1886" t="s">
        <v>39355</v>
      </c>
      <c r="I1886" t="s">
        <v>39356</v>
      </c>
      <c r="J1886" t="s">
        <v>39357</v>
      </c>
      <c r="K1886" t="s">
        <v>39358</v>
      </c>
      <c r="L1886" t="s">
        <v>39359</v>
      </c>
      <c r="M1886">
        <f>-341.160014616617 -48.1903167642909 -345.932536529966</f>
        <v>-735.28286791087385</v>
      </c>
      <c r="N1886" t="s">
        <v>39360</v>
      </c>
      <c r="O1886">
        <f>-735.194750028333 -56.3680839889146 -745.274863531998</f>
        <v>-1536.8376975492456</v>
      </c>
      <c r="P1886">
        <f>-706.295425235683 -78.1757638714157 -430.830244647579</f>
        <v>-1215.3014337546776</v>
      </c>
      <c r="Q1886" t="s">
        <v>39361</v>
      </c>
      <c r="R1886" t="s">
        <v>39362</v>
      </c>
      <c r="S1886" t="s">
        <v>39363</v>
      </c>
      <c r="T1886" t="s">
        <v>39364</v>
      </c>
      <c r="U1886" t="s">
        <v>39365</v>
      </c>
      <c r="V1886" t="s">
        <v>39366</v>
      </c>
      <c r="W1886" t="s">
        <v>39367</v>
      </c>
      <c r="X1886" t="s">
        <v>39368</v>
      </c>
      <c r="Y1886" t="s">
        <v>39369</v>
      </c>
    </row>
    <row r="1887" spans="1:25" x14ac:dyDescent="0.3">
      <c r="A1887">
        <v>94300</v>
      </c>
      <c r="B1887" t="s">
        <v>39370</v>
      </c>
      <c r="C1887" t="s">
        <v>39371</v>
      </c>
      <c r="D1887" t="s">
        <v>39372</v>
      </c>
      <c r="E1887" t="s">
        <v>39373</v>
      </c>
      <c r="F1887" t="s">
        <v>39374</v>
      </c>
      <c r="G1887" t="s">
        <v>39375</v>
      </c>
      <c r="H1887" t="s">
        <v>39376</v>
      </c>
      <c r="I1887" t="s">
        <v>39377</v>
      </c>
      <c r="J1887" t="s">
        <v>39378</v>
      </c>
      <c r="K1887" t="s">
        <v>39379</v>
      </c>
      <c r="L1887" t="s">
        <v>39380</v>
      </c>
      <c r="M1887">
        <f>-341.640232252799 -45.1002659327519 -342.191723993807</f>
        <v>-728.93222217935795</v>
      </c>
      <c r="N1887" t="s">
        <v>39381</v>
      </c>
      <c r="O1887">
        <f>-735.189422422233 -57.3111384561144 -744.785417805724</f>
        <v>-1537.2859786840713</v>
      </c>
      <c r="P1887">
        <f>-705.652886814095 -78.3603098547987 -430.348348236836</f>
        <v>-1214.3615449057297</v>
      </c>
      <c r="Q1887" t="s">
        <v>39382</v>
      </c>
      <c r="R1887" t="s">
        <v>39383</v>
      </c>
      <c r="S1887" t="s">
        <v>39384</v>
      </c>
      <c r="T1887" t="s">
        <v>39385</v>
      </c>
      <c r="U1887" t="s">
        <v>39386</v>
      </c>
      <c r="V1887" t="s">
        <v>39387</v>
      </c>
      <c r="W1887" t="s">
        <v>39388</v>
      </c>
      <c r="X1887" t="s">
        <v>39389</v>
      </c>
      <c r="Y1887" t="s">
        <v>39390</v>
      </c>
    </row>
    <row r="1888" spans="1:25" x14ac:dyDescent="0.3">
      <c r="A1888">
        <v>94350</v>
      </c>
      <c r="B1888" t="s">
        <v>39391</v>
      </c>
      <c r="C1888" t="s">
        <v>39392</v>
      </c>
      <c r="D1888" t="s">
        <v>39393</v>
      </c>
      <c r="E1888" t="s">
        <v>39394</v>
      </c>
      <c r="F1888" t="s">
        <v>39395</v>
      </c>
      <c r="G1888" t="s">
        <v>39396</v>
      </c>
      <c r="H1888" t="s">
        <v>39397</v>
      </c>
      <c r="I1888" t="s">
        <v>39398</v>
      </c>
      <c r="J1888" t="s">
        <v>39399</v>
      </c>
      <c r="K1888" t="s">
        <v>39400</v>
      </c>
      <c r="L1888" t="s">
        <v>39401</v>
      </c>
      <c r="M1888">
        <f>-348.999490720009 -45.2821523079581 -337.830588588526</f>
        <v>-732.11223161649309</v>
      </c>
      <c r="N1888" t="s">
        <v>39402</v>
      </c>
      <c r="O1888">
        <f>-736.470463078698 -59.3295424319604 -743.483987163409</f>
        <v>-1539.2839926740673</v>
      </c>
      <c r="P1888">
        <f>-705.204973997061 -79.0308508588537 -429.126795895541</f>
        <v>-1213.3626207514558</v>
      </c>
      <c r="Q1888" t="s">
        <v>39403</v>
      </c>
      <c r="R1888" t="s">
        <v>39404</v>
      </c>
      <c r="S1888" t="s">
        <v>39405</v>
      </c>
      <c r="T1888" t="s">
        <v>39406</v>
      </c>
      <c r="U1888" t="s">
        <v>39407</v>
      </c>
      <c r="V1888" t="s">
        <v>39408</v>
      </c>
      <c r="W1888" t="s">
        <v>39409</v>
      </c>
      <c r="X1888" t="s">
        <v>39410</v>
      </c>
      <c r="Y1888" t="s">
        <v>39411</v>
      </c>
    </row>
    <row r="1889" spans="1:25" x14ac:dyDescent="0.3">
      <c r="A1889">
        <v>94400</v>
      </c>
      <c r="B1889" t="s">
        <v>39412</v>
      </c>
      <c r="C1889" t="s">
        <v>39413</v>
      </c>
      <c r="D1889" t="s">
        <v>39414</v>
      </c>
      <c r="E1889" t="s">
        <v>39415</v>
      </c>
      <c r="F1889" t="s">
        <v>39416</v>
      </c>
      <c r="G1889" t="s">
        <v>39417</v>
      </c>
      <c r="H1889" t="s">
        <v>39418</v>
      </c>
      <c r="I1889" t="s">
        <v>39419</v>
      </c>
      <c r="J1889" t="s">
        <v>39420</v>
      </c>
      <c r="K1889" t="s">
        <v>39421</v>
      </c>
      <c r="L1889" t="s">
        <v>39422</v>
      </c>
      <c r="M1889">
        <f>-355.178212670164 -46.2864442524699 -335.421578356853</f>
        <v>-736.88623527948687</v>
      </c>
      <c r="N1889" t="s">
        <v>39423</v>
      </c>
      <c r="O1889">
        <f>-737.613331263331 -59.6733932482146 -743.029650368132</f>
        <v>-1540.3163748796776</v>
      </c>
      <c r="P1889">
        <f>-704.807913595707 -79.1175232155897 -428.813185880436</f>
        <v>-1212.7386226917326</v>
      </c>
      <c r="Q1889" t="s">
        <v>39424</v>
      </c>
      <c r="R1889" t="s">
        <v>39425</v>
      </c>
      <c r="S1889" t="s">
        <v>39426</v>
      </c>
      <c r="T1889" t="s">
        <v>39427</v>
      </c>
      <c r="U1889" t="s">
        <v>39428</v>
      </c>
      <c r="V1889" t="s">
        <v>39429</v>
      </c>
      <c r="W1889" t="s">
        <v>39430</v>
      </c>
      <c r="X1889" t="s">
        <v>39431</v>
      </c>
      <c r="Y1889" t="s">
        <v>39432</v>
      </c>
    </row>
    <row r="1890" spans="1:25" x14ac:dyDescent="0.3">
      <c r="A1890">
        <v>94450</v>
      </c>
      <c r="B1890" t="s">
        <v>39433</v>
      </c>
      <c r="C1890" t="s">
        <v>39434</v>
      </c>
      <c r="D1890" t="s">
        <v>39435</v>
      </c>
      <c r="E1890" t="s">
        <v>39436</v>
      </c>
      <c r="F1890" t="s">
        <v>39437</v>
      </c>
      <c r="G1890" t="s">
        <v>39438</v>
      </c>
      <c r="H1890" t="s">
        <v>39439</v>
      </c>
      <c r="I1890" t="s">
        <v>39440</v>
      </c>
      <c r="J1890" t="s">
        <v>39441</v>
      </c>
      <c r="K1890" t="s">
        <v>39442</v>
      </c>
      <c r="L1890" t="s">
        <v>39443</v>
      </c>
      <c r="M1890">
        <f>-370.955329247713 -41.4866050113674 -322.254596346457</f>
        <v>-734.69653060553742</v>
      </c>
      <c r="N1890" t="s">
        <v>39444</v>
      </c>
      <c r="O1890">
        <f>-740.000484171225 -61.6701399930269 -741.874958216373</f>
        <v>-1543.5455823806249</v>
      </c>
      <c r="P1890">
        <f>-704.865972650352 -80.3168928030088 -427.862098131068</f>
        <v>-1213.0449635844288</v>
      </c>
      <c r="Q1890" t="s">
        <v>39445</v>
      </c>
      <c r="R1890" t="s">
        <v>39446</v>
      </c>
      <c r="S1890" t="s">
        <v>39447</v>
      </c>
      <c r="T1890" t="s">
        <v>39448</v>
      </c>
      <c r="U1890" t="s">
        <v>39449</v>
      </c>
      <c r="V1890" t="s">
        <v>39450</v>
      </c>
      <c r="W1890" t="s">
        <v>39451</v>
      </c>
      <c r="X1890" t="s">
        <v>39452</v>
      </c>
      <c r="Y1890" t="s">
        <v>39453</v>
      </c>
    </row>
    <row r="1891" spans="1:25" x14ac:dyDescent="0.3">
      <c r="A1891">
        <v>94500</v>
      </c>
      <c r="B1891" t="s">
        <v>39454</v>
      </c>
      <c r="C1891" t="s">
        <v>39455</v>
      </c>
      <c r="D1891" t="s">
        <v>39456</v>
      </c>
      <c r="E1891" t="s">
        <v>39457</v>
      </c>
      <c r="F1891" t="s">
        <v>39458</v>
      </c>
      <c r="G1891" t="s">
        <v>39459</v>
      </c>
      <c r="H1891" t="s">
        <v>39460</v>
      </c>
      <c r="I1891" t="s">
        <v>39461</v>
      </c>
      <c r="J1891" t="s">
        <v>39462</v>
      </c>
      <c r="K1891" t="s">
        <v>39463</v>
      </c>
      <c r="L1891" t="s">
        <v>39464</v>
      </c>
      <c r="M1891">
        <f>-380.484808826793 -38.1743488109098 -314.232727931798</f>
        <v>-732.8918855695008</v>
      </c>
      <c r="N1891" t="s">
        <v>39465</v>
      </c>
      <c r="O1891">
        <f>-740.947407247195 -62.7544579965258 -741.463151501192</f>
        <v>-1545.1650167449129</v>
      </c>
      <c r="P1891">
        <f>-705.184572071759 -80.8499825875219 -427.489124371116</f>
        <v>-1213.523679030397</v>
      </c>
      <c r="Q1891" t="s">
        <v>39466</v>
      </c>
      <c r="R1891" t="s">
        <v>39467</v>
      </c>
      <c r="S1891" t="s">
        <v>39468</v>
      </c>
      <c r="T1891" t="s">
        <v>39469</v>
      </c>
      <c r="U1891" t="s">
        <v>39470</v>
      </c>
      <c r="V1891" t="s">
        <v>39471</v>
      </c>
      <c r="W1891" t="s">
        <v>39472</v>
      </c>
      <c r="X1891" t="s">
        <v>39473</v>
      </c>
      <c r="Y1891" t="s">
        <v>39474</v>
      </c>
    </row>
    <row r="1892" spans="1:25" x14ac:dyDescent="0.3">
      <c r="A1892">
        <v>94550</v>
      </c>
      <c r="B1892" t="s">
        <v>39475</v>
      </c>
      <c r="C1892" t="s">
        <v>39476</v>
      </c>
      <c r="D1892" t="s">
        <v>39477</v>
      </c>
      <c r="E1892" t="s">
        <v>39478</v>
      </c>
      <c r="F1892" t="s">
        <v>39479</v>
      </c>
      <c r="G1892" t="s">
        <v>39480</v>
      </c>
      <c r="H1892" t="s">
        <v>39481</v>
      </c>
      <c r="I1892" t="s">
        <v>39482</v>
      </c>
      <c r="J1892" t="s">
        <v>39483</v>
      </c>
      <c r="K1892" t="s">
        <v>39484</v>
      </c>
      <c r="L1892" t="s">
        <v>39485</v>
      </c>
      <c r="M1892">
        <f>-394.27161178111 -24.9008456034589 -298.162144220385</f>
        <v>-717.33460160495383</v>
      </c>
      <c r="N1892" t="s">
        <v>39486</v>
      </c>
      <c r="O1892">
        <f>-742.237607519294 -64.3529488974373 -740.733929497184</f>
        <v>-1547.3244859139154</v>
      </c>
      <c r="P1892">
        <f>-704.927385215247 -81.9593176426968 -426.91205099917</f>
        <v>-1213.7987538571138</v>
      </c>
      <c r="Q1892" t="s">
        <v>39487</v>
      </c>
      <c r="R1892" t="s">
        <v>39488</v>
      </c>
      <c r="S1892" t="s">
        <v>39489</v>
      </c>
      <c r="T1892" t="s">
        <v>39490</v>
      </c>
      <c r="U1892" t="s">
        <v>39491</v>
      </c>
      <c r="V1892" t="s">
        <v>39492</v>
      </c>
      <c r="W1892" t="s">
        <v>39493</v>
      </c>
      <c r="X1892" t="s">
        <v>39494</v>
      </c>
      <c r="Y1892" t="s">
        <v>39495</v>
      </c>
    </row>
    <row r="1893" spans="1:25" x14ac:dyDescent="0.3">
      <c r="A1893">
        <v>94600</v>
      </c>
      <c r="B1893" t="s">
        <v>39496</v>
      </c>
      <c r="C1893" t="s">
        <v>39497</v>
      </c>
      <c r="D1893" t="s">
        <v>39498</v>
      </c>
      <c r="E1893" t="s">
        <v>39499</v>
      </c>
      <c r="F1893" t="s">
        <v>39500</v>
      </c>
      <c r="G1893" t="s">
        <v>39501</v>
      </c>
      <c r="H1893" t="s">
        <v>39502</v>
      </c>
      <c r="I1893" t="s">
        <v>39503</v>
      </c>
      <c r="J1893" t="s">
        <v>39504</v>
      </c>
      <c r="K1893" t="s">
        <v>39505</v>
      </c>
      <c r="L1893" t="s">
        <v>39506</v>
      </c>
      <c r="M1893">
        <f>-395.803580737904 -23.1950910632593 -298.156241536088</f>
        <v>-717.15491333725129</v>
      </c>
      <c r="N1893" t="s">
        <v>39507</v>
      </c>
      <c r="O1893">
        <f>-742.504354876967 -64.8185270582633 -740.336680561456</f>
        <v>-1547.6595624966862</v>
      </c>
      <c r="P1893">
        <f>-704.725494981088 -81.9756184047721 -426.546055072034</f>
        <v>-1213.2471684578941</v>
      </c>
      <c r="Q1893" t="s">
        <v>39508</v>
      </c>
      <c r="R1893" t="s">
        <v>39509</v>
      </c>
      <c r="S1893" t="s">
        <v>39510</v>
      </c>
      <c r="T1893" t="s">
        <v>39511</v>
      </c>
      <c r="U1893" t="s">
        <v>39512</v>
      </c>
      <c r="V1893" t="s">
        <v>39513</v>
      </c>
      <c r="W1893" t="s">
        <v>39514</v>
      </c>
      <c r="X1893" t="s">
        <v>39515</v>
      </c>
      <c r="Y1893" t="s">
        <v>39516</v>
      </c>
    </row>
    <row r="1894" spans="1:25" x14ac:dyDescent="0.3">
      <c r="A1894">
        <v>94650</v>
      </c>
      <c r="B1894" t="s">
        <v>39517</v>
      </c>
      <c r="C1894" t="s">
        <v>39518</v>
      </c>
      <c r="D1894" t="s">
        <v>39519</v>
      </c>
      <c r="E1894" t="s">
        <v>39520</v>
      </c>
      <c r="F1894" t="s">
        <v>39521</v>
      </c>
      <c r="G1894" t="s">
        <v>39522</v>
      </c>
      <c r="H1894" t="s">
        <v>39523</v>
      </c>
      <c r="I1894" t="s">
        <v>39524</v>
      </c>
      <c r="J1894" t="s">
        <v>39525</v>
      </c>
      <c r="K1894" t="s">
        <v>39526</v>
      </c>
      <c r="L1894" t="s">
        <v>39527</v>
      </c>
      <c r="M1894">
        <f>-384.153027582169 -22.9724827493733 -307.575970137781</f>
        <v>-714.70148046932331</v>
      </c>
      <c r="N1894" t="s">
        <v>39528</v>
      </c>
      <c r="O1894">
        <f>-742.608034808165 -65.0324659649777 -739.789871364176</f>
        <v>-1547.4303721373187</v>
      </c>
      <c r="P1894">
        <f>-704.280100369637 -81.7774658863514 -426.043520243592</f>
        <v>-1212.1010864995803</v>
      </c>
      <c r="Q1894" t="s">
        <v>39529</v>
      </c>
      <c r="R1894" t="s">
        <v>39530</v>
      </c>
      <c r="S1894" t="s">
        <v>39531</v>
      </c>
      <c r="T1894" t="s">
        <v>39532</v>
      </c>
      <c r="U1894" t="s">
        <v>39533</v>
      </c>
      <c r="V1894" t="s">
        <v>39534</v>
      </c>
      <c r="W1894" t="s">
        <v>39535</v>
      </c>
      <c r="X1894" t="s">
        <v>39536</v>
      </c>
      <c r="Y1894" t="s">
        <v>39537</v>
      </c>
    </row>
    <row r="1895" spans="1:25" x14ac:dyDescent="0.3">
      <c r="A1895">
        <v>94700</v>
      </c>
      <c r="B1895" t="s">
        <v>39538</v>
      </c>
      <c r="C1895" t="s">
        <v>39539</v>
      </c>
      <c r="D1895" t="s">
        <v>39540</v>
      </c>
      <c r="E1895" t="s">
        <v>39541</v>
      </c>
      <c r="F1895" t="s">
        <v>39542</v>
      </c>
      <c r="G1895" t="s">
        <v>39543</v>
      </c>
      <c r="H1895" t="s">
        <v>39544</v>
      </c>
      <c r="I1895" t="s">
        <v>39545</v>
      </c>
      <c r="J1895" t="s">
        <v>39546</v>
      </c>
      <c r="K1895" t="s">
        <v>39547</v>
      </c>
      <c r="L1895" t="s">
        <v>39548</v>
      </c>
      <c r="M1895">
        <f>-378.869967966543 -21.6023930805393 -310.458302598737</f>
        <v>-710.93066364581932</v>
      </c>
      <c r="N1895" t="s">
        <v>39549</v>
      </c>
      <c r="O1895">
        <f>-742.60582436038 -65.1450908634019 -739.465496188978</f>
        <v>-1547.21641141276</v>
      </c>
      <c r="P1895">
        <f>-704.070659368045 -81.7595085057014 -425.737515794436</f>
        <v>-1211.5676836681823</v>
      </c>
      <c r="Q1895" t="s">
        <v>39550</v>
      </c>
      <c r="R1895" t="s">
        <v>39551</v>
      </c>
      <c r="S1895" t="s">
        <v>39552</v>
      </c>
      <c r="T1895" t="s">
        <v>39553</v>
      </c>
      <c r="U1895" t="s">
        <v>39554</v>
      </c>
      <c r="V1895" t="s">
        <v>39555</v>
      </c>
      <c r="W1895" t="s">
        <v>39556</v>
      </c>
      <c r="X1895" t="s">
        <v>39557</v>
      </c>
      <c r="Y1895" t="s">
        <v>39558</v>
      </c>
    </row>
    <row r="1896" spans="1:25" x14ac:dyDescent="0.3">
      <c r="A1896">
        <v>94750</v>
      </c>
      <c r="B1896" t="s">
        <v>39559</v>
      </c>
      <c r="C1896" t="s">
        <v>39560</v>
      </c>
      <c r="D1896" t="s">
        <v>39561</v>
      </c>
      <c r="E1896" t="s">
        <v>39562</v>
      </c>
      <c r="F1896" t="s">
        <v>39563</v>
      </c>
      <c r="G1896" t="s">
        <v>39564</v>
      </c>
      <c r="H1896" t="s">
        <v>39565</v>
      </c>
      <c r="I1896" t="s">
        <v>39566</v>
      </c>
      <c r="J1896" t="s">
        <v>39567</v>
      </c>
      <c r="K1896" t="s">
        <v>39568</v>
      </c>
      <c r="L1896" t="s">
        <v>39569</v>
      </c>
      <c r="M1896">
        <f>-374.00770724369 -17.8290004689854 -311.095048492851</f>
        <v>-702.93175620552643</v>
      </c>
      <c r="N1896" t="s">
        <v>39570</v>
      </c>
      <c r="O1896">
        <f>-742.764065479186 -65.2049842450278 -739.075588970372</f>
        <v>-1547.044638694586</v>
      </c>
      <c r="P1896">
        <f>-703.795552849949 -81.4888152703743 -425.383894549016</f>
        <v>-1210.6682626693394</v>
      </c>
      <c r="Q1896" t="s">
        <v>39571</v>
      </c>
      <c r="R1896" t="s">
        <v>39572</v>
      </c>
      <c r="S1896" t="s">
        <v>39573</v>
      </c>
      <c r="T1896" t="s">
        <v>39574</v>
      </c>
      <c r="U1896" t="s">
        <v>39575</v>
      </c>
      <c r="V1896" t="s">
        <v>39576</v>
      </c>
      <c r="W1896" t="s">
        <v>39577</v>
      </c>
      <c r="X1896" t="s">
        <v>39578</v>
      </c>
      <c r="Y1896" t="s">
        <v>39579</v>
      </c>
    </row>
    <row r="1897" spans="1:25" x14ac:dyDescent="0.3">
      <c r="A1897">
        <v>94800</v>
      </c>
      <c r="B1897" t="s">
        <v>39580</v>
      </c>
      <c r="C1897" t="s">
        <v>39581</v>
      </c>
      <c r="D1897" t="s">
        <v>39582</v>
      </c>
      <c r="E1897" t="s">
        <v>39583</v>
      </c>
      <c r="F1897" t="s">
        <v>39584</v>
      </c>
      <c r="G1897" t="s">
        <v>39585</v>
      </c>
      <c r="H1897" t="s">
        <v>39586</v>
      </c>
      <c r="I1897" t="s">
        <v>39587</v>
      </c>
      <c r="J1897" t="s">
        <v>39588</v>
      </c>
      <c r="K1897" t="s">
        <v>39589</v>
      </c>
      <c r="L1897" t="s">
        <v>39590</v>
      </c>
      <c r="M1897">
        <f>-367.90866519372 -5.18521329184637 -306.945718990804</f>
        <v>-680.03959747637032</v>
      </c>
      <c r="N1897" t="s">
        <v>39591</v>
      </c>
      <c r="O1897">
        <f>-742.048393998315 -65.1570279928578 -738.204224230144</f>
        <v>-1545.4096462213167</v>
      </c>
      <c r="P1897">
        <f>-701.601015258103 -81.2312107092062 -424.688938388601</f>
        <v>-1207.5211643559101</v>
      </c>
      <c r="Q1897" t="s">
        <v>39592</v>
      </c>
      <c r="R1897" t="s">
        <v>39593</v>
      </c>
      <c r="S1897" t="s">
        <v>39594</v>
      </c>
      <c r="T1897" t="s">
        <v>39595</v>
      </c>
      <c r="U1897" t="s">
        <v>39596</v>
      </c>
      <c r="V1897" t="s">
        <v>39597</v>
      </c>
      <c r="W1897" t="s">
        <v>39598</v>
      </c>
      <c r="X1897" t="s">
        <v>39599</v>
      </c>
      <c r="Y1897" t="s">
        <v>39600</v>
      </c>
    </row>
    <row r="1898" spans="1:25" x14ac:dyDescent="0.3">
      <c r="A1898">
        <v>94850</v>
      </c>
      <c r="B1898" t="s">
        <v>39601</v>
      </c>
      <c r="C1898" t="s">
        <v>39602</v>
      </c>
      <c r="D1898" t="s">
        <v>39603</v>
      </c>
      <c r="E1898" t="s">
        <v>39604</v>
      </c>
      <c r="F1898" t="s">
        <v>39605</v>
      </c>
      <c r="G1898" t="s">
        <v>39606</v>
      </c>
      <c r="H1898" t="s">
        <v>39607</v>
      </c>
      <c r="I1898" t="s">
        <v>39608</v>
      </c>
      <c r="J1898" t="s">
        <v>39609</v>
      </c>
      <c r="K1898" t="s">
        <v>39610</v>
      </c>
      <c r="L1898" t="s">
        <v>39611</v>
      </c>
      <c r="M1898" t="s">
        <v>39612</v>
      </c>
      <c r="N1898" t="s">
        <v>39613</v>
      </c>
      <c r="O1898">
        <f>-743.096033318478 -65.901507704375 -737.293930248518</f>
        <v>-1546.2914712713709</v>
      </c>
      <c r="P1898">
        <f>-701.167421400494 -80.4987351925233 -423.901157550251</f>
        <v>-1205.5673141432685</v>
      </c>
      <c r="Q1898" t="s">
        <v>39614</v>
      </c>
      <c r="R1898" t="s">
        <v>39615</v>
      </c>
      <c r="S1898" t="s">
        <v>39616</v>
      </c>
      <c r="T1898" t="s">
        <v>39617</v>
      </c>
      <c r="U1898" t="s">
        <v>39618</v>
      </c>
      <c r="V1898" t="s">
        <v>39619</v>
      </c>
      <c r="W1898" t="s">
        <v>39620</v>
      </c>
      <c r="X1898" t="s">
        <v>39621</v>
      </c>
      <c r="Y1898" t="s">
        <v>39622</v>
      </c>
    </row>
    <row r="1899" spans="1:25" x14ac:dyDescent="0.3">
      <c r="A1899">
        <v>94900</v>
      </c>
      <c r="B1899" t="s">
        <v>39623</v>
      </c>
      <c r="C1899" t="s">
        <v>39624</v>
      </c>
      <c r="D1899" t="s">
        <v>39625</v>
      </c>
      <c r="E1899" t="s">
        <v>39626</v>
      </c>
      <c r="F1899" t="s">
        <v>39627</v>
      </c>
      <c r="G1899" t="s">
        <v>39628</v>
      </c>
      <c r="H1899" t="s">
        <v>39629</v>
      </c>
      <c r="I1899" t="s">
        <v>39630</v>
      </c>
      <c r="J1899" t="s">
        <v>39631</v>
      </c>
      <c r="K1899" t="s">
        <v>39632</v>
      </c>
      <c r="L1899" t="s">
        <v>39633</v>
      </c>
      <c r="M1899" t="s">
        <v>39634</v>
      </c>
      <c r="N1899" t="s">
        <v>39635</v>
      </c>
      <c r="O1899">
        <f>-743.531353722233 -66.2781719295181 -736.87976597289</f>
        <v>-1546.6892916246411</v>
      </c>
      <c r="P1899">
        <f>-700.220191308556 -80.6424640626574 -423.664148089885</f>
        <v>-1204.5268034610983</v>
      </c>
      <c r="Q1899" t="s">
        <v>39636</v>
      </c>
      <c r="R1899" t="s">
        <v>39637</v>
      </c>
      <c r="S1899" t="s">
        <v>39638</v>
      </c>
      <c r="T1899" t="s">
        <v>39639</v>
      </c>
      <c r="U1899" t="s">
        <v>39640</v>
      </c>
      <c r="V1899" t="s">
        <v>39641</v>
      </c>
      <c r="W1899" t="s">
        <v>39642</v>
      </c>
      <c r="X1899" t="s">
        <v>39643</v>
      </c>
      <c r="Y1899" t="s">
        <v>39644</v>
      </c>
    </row>
    <row r="1900" spans="1:25" x14ac:dyDescent="0.3">
      <c r="A1900">
        <v>94950</v>
      </c>
      <c r="B1900" t="s">
        <v>39645</v>
      </c>
      <c r="C1900" t="s">
        <v>39646</v>
      </c>
      <c r="D1900" t="s">
        <v>39647</v>
      </c>
      <c r="E1900" t="s">
        <v>39648</v>
      </c>
      <c r="F1900" t="s">
        <v>39649</v>
      </c>
      <c r="G1900" t="s">
        <v>39650</v>
      </c>
      <c r="H1900" t="s">
        <v>39651</v>
      </c>
      <c r="I1900" t="s">
        <v>39652</v>
      </c>
      <c r="J1900" t="s">
        <v>39653</v>
      </c>
      <c r="K1900" t="s">
        <v>39654</v>
      </c>
      <c r="L1900" t="s">
        <v>39655</v>
      </c>
      <c r="M1900" t="s">
        <v>39656</v>
      </c>
      <c r="N1900" t="s">
        <v>39657</v>
      </c>
      <c r="O1900">
        <f>-743.61350919864 -66.9321436111784 -736.160099237739</f>
        <v>-1546.7057520475573</v>
      </c>
      <c r="P1900">
        <f>-698.552274205993 -80.3239385007168 -423.148378480404</f>
        <v>-1202.0245911871139</v>
      </c>
      <c r="Q1900" t="s">
        <v>39658</v>
      </c>
      <c r="R1900" t="s">
        <v>39659</v>
      </c>
      <c r="S1900" t="s">
        <v>39660</v>
      </c>
      <c r="T1900" t="s">
        <v>39661</v>
      </c>
      <c r="U1900" t="s">
        <v>39662</v>
      </c>
      <c r="V1900" t="s">
        <v>39663</v>
      </c>
      <c r="W1900" t="s">
        <v>39664</v>
      </c>
      <c r="X1900" t="s">
        <v>39665</v>
      </c>
      <c r="Y1900" t="s">
        <v>39666</v>
      </c>
    </row>
    <row r="1901" spans="1:25" x14ac:dyDescent="0.3">
      <c r="A1901">
        <v>95000</v>
      </c>
      <c r="B1901" t="s">
        <v>39667</v>
      </c>
      <c r="C1901" t="s">
        <v>39668</v>
      </c>
      <c r="D1901" t="s">
        <v>39669</v>
      </c>
      <c r="E1901" t="s">
        <v>39670</v>
      </c>
      <c r="F1901" t="s">
        <v>39671</v>
      </c>
      <c r="G1901" t="s">
        <v>39672</v>
      </c>
      <c r="H1901" t="s">
        <v>39673</v>
      </c>
      <c r="I1901" t="s">
        <v>39674</v>
      </c>
      <c r="J1901" t="s">
        <v>39675</v>
      </c>
      <c r="K1901" t="s">
        <v>39676</v>
      </c>
      <c r="L1901" t="s">
        <v>39677</v>
      </c>
      <c r="M1901" t="s">
        <v>39678</v>
      </c>
      <c r="N1901" t="s">
        <v>39679</v>
      </c>
      <c r="O1901">
        <f>-743.498375875906 -67.5387750974674 -735.75283520776</f>
        <v>-1546.7899861811334</v>
      </c>
      <c r="P1901">
        <f>-697.835858162558 -80.3395485286042 -422.803677113999</f>
        <v>-1200.9790838051613</v>
      </c>
      <c r="Q1901" t="s">
        <v>39680</v>
      </c>
      <c r="R1901" t="s">
        <v>39681</v>
      </c>
      <c r="S1901" t="s">
        <v>39682</v>
      </c>
      <c r="T1901" t="s">
        <v>39683</v>
      </c>
      <c r="U1901" t="s">
        <v>39684</v>
      </c>
      <c r="V1901" t="s">
        <v>39685</v>
      </c>
      <c r="W1901" t="s">
        <v>39686</v>
      </c>
      <c r="X1901" t="s">
        <v>39687</v>
      </c>
      <c r="Y1901" t="s">
        <v>39688</v>
      </c>
    </row>
    <row r="1902" spans="1:25" x14ac:dyDescent="0.3">
      <c r="A1902">
        <v>95050</v>
      </c>
      <c r="B1902" t="s">
        <v>39689</v>
      </c>
      <c r="C1902" t="s">
        <v>39690</v>
      </c>
      <c r="D1902" t="s">
        <v>39691</v>
      </c>
      <c r="E1902" t="s">
        <v>39692</v>
      </c>
      <c r="F1902" t="s">
        <v>39693</v>
      </c>
      <c r="G1902" t="s">
        <v>39694</v>
      </c>
      <c r="H1902" t="s">
        <v>39695</v>
      </c>
      <c r="I1902" t="s">
        <v>39696</v>
      </c>
      <c r="J1902" t="s">
        <v>39697</v>
      </c>
      <c r="K1902" t="s">
        <v>39698</v>
      </c>
      <c r="L1902" t="s">
        <v>39699</v>
      </c>
      <c r="M1902" t="s">
        <v>39700</v>
      </c>
      <c r="N1902" t="s">
        <v>39701</v>
      </c>
      <c r="O1902">
        <f>-743.510842797719 -68.351818287819 -735.04308312476</f>
        <v>-1546.9057442102981</v>
      </c>
      <c r="P1902">
        <f>-696.273172108814 -80.3959652157764 -422.297558636615</f>
        <v>-1198.9666959612055</v>
      </c>
      <c r="Q1902" t="s">
        <v>39702</v>
      </c>
      <c r="R1902" t="s">
        <v>39703</v>
      </c>
      <c r="S1902" t="s">
        <v>39704</v>
      </c>
      <c r="T1902" t="s">
        <v>39705</v>
      </c>
      <c r="U1902" t="s">
        <v>39706</v>
      </c>
      <c r="V1902" t="s">
        <v>39707</v>
      </c>
      <c r="W1902" t="s">
        <v>39708</v>
      </c>
      <c r="X1902" t="s">
        <v>39709</v>
      </c>
      <c r="Y1902" t="s">
        <v>39710</v>
      </c>
    </row>
    <row r="1903" spans="1:25" x14ac:dyDescent="0.3">
      <c r="A1903">
        <v>95100</v>
      </c>
      <c r="B1903" t="s">
        <v>39711</v>
      </c>
      <c r="C1903" t="s">
        <v>39712</v>
      </c>
      <c r="D1903" t="s">
        <v>39713</v>
      </c>
      <c r="E1903" t="s">
        <v>39714</v>
      </c>
      <c r="F1903" t="s">
        <v>39715</v>
      </c>
      <c r="G1903" t="s">
        <v>39716</v>
      </c>
      <c r="H1903" t="s">
        <v>39717</v>
      </c>
      <c r="I1903" t="s">
        <v>39718</v>
      </c>
      <c r="J1903" t="s">
        <v>39719</v>
      </c>
      <c r="K1903" t="s">
        <v>39720</v>
      </c>
      <c r="L1903" t="s">
        <v>39721</v>
      </c>
      <c r="M1903" t="s">
        <v>39722</v>
      </c>
      <c r="N1903" t="s">
        <v>39723</v>
      </c>
      <c r="O1903">
        <f>-743.938839705909 -68.7086544643012 -734.729969528119</f>
        <v>-1547.3774636983292</v>
      </c>
      <c r="P1903">
        <f>-695.89572339284 -79.9876262027096 -422.078553029448</f>
        <v>-1197.9619026249975</v>
      </c>
      <c r="Q1903" t="s">
        <v>39724</v>
      </c>
      <c r="R1903" t="s">
        <v>39725</v>
      </c>
      <c r="S1903" t="s">
        <v>39726</v>
      </c>
      <c r="T1903" t="s">
        <v>39727</v>
      </c>
      <c r="U1903" t="s">
        <v>39728</v>
      </c>
      <c r="V1903" t="s">
        <v>39729</v>
      </c>
      <c r="W1903" t="s">
        <v>39730</v>
      </c>
      <c r="X1903" t="s">
        <v>39731</v>
      </c>
      <c r="Y1903" t="s">
        <v>39732</v>
      </c>
    </row>
    <row r="1904" spans="1:25" x14ac:dyDescent="0.3">
      <c r="A1904">
        <v>95150</v>
      </c>
      <c r="B1904" t="s">
        <v>39733</v>
      </c>
      <c r="C1904" t="s">
        <v>39734</v>
      </c>
      <c r="D1904" t="s">
        <v>39735</v>
      </c>
      <c r="E1904" t="s">
        <v>39736</v>
      </c>
      <c r="F1904" t="s">
        <v>39737</v>
      </c>
      <c r="G1904" t="s">
        <v>39738</v>
      </c>
      <c r="H1904" t="s">
        <v>39739</v>
      </c>
      <c r="I1904" t="s">
        <v>39740</v>
      </c>
      <c r="J1904" t="s">
        <v>39741</v>
      </c>
      <c r="K1904" t="s">
        <v>39742</v>
      </c>
      <c r="L1904" t="s">
        <v>39743</v>
      </c>
      <c r="M1904" t="s">
        <v>39744</v>
      </c>
      <c r="N1904" t="s">
        <v>39745</v>
      </c>
      <c r="O1904">
        <f>-744.428002713536 -69.0270778086165 -734.211247299429</f>
        <v>-1547.6663278215815</v>
      </c>
      <c r="P1904">
        <f>-694.762789303825 -79.4775367425343 -421.784575921574</f>
        <v>-1196.0249019679334</v>
      </c>
      <c r="Q1904" t="s">
        <v>39746</v>
      </c>
      <c r="R1904" t="s">
        <v>39747</v>
      </c>
      <c r="S1904" t="s">
        <v>39748</v>
      </c>
      <c r="T1904" t="s">
        <v>39749</v>
      </c>
      <c r="U1904" t="s">
        <v>39750</v>
      </c>
      <c r="V1904" t="s">
        <v>39751</v>
      </c>
      <c r="W1904" t="s">
        <v>39752</v>
      </c>
      <c r="X1904" t="s">
        <v>39753</v>
      </c>
      <c r="Y1904" t="s">
        <v>39754</v>
      </c>
    </row>
    <row r="1905" spans="1:25" x14ac:dyDescent="0.3">
      <c r="A1905">
        <v>95200</v>
      </c>
      <c r="B1905" t="s">
        <v>39755</v>
      </c>
      <c r="C1905" t="s">
        <v>39756</v>
      </c>
      <c r="D1905" t="s">
        <v>39757</v>
      </c>
      <c r="E1905" t="s">
        <v>39758</v>
      </c>
      <c r="F1905" t="s">
        <v>39759</v>
      </c>
      <c r="G1905" t="s">
        <v>39760</v>
      </c>
      <c r="H1905" t="s">
        <v>39761</v>
      </c>
      <c r="I1905" t="s">
        <v>39762</v>
      </c>
      <c r="J1905" t="s">
        <v>39763</v>
      </c>
      <c r="K1905" t="s">
        <v>39764</v>
      </c>
      <c r="L1905" t="s">
        <v>39765</v>
      </c>
      <c r="M1905" t="s">
        <v>39766</v>
      </c>
      <c r="N1905" t="s">
        <v>39767</v>
      </c>
      <c r="O1905">
        <f>-744.73361846407 -68.957778700757 -733.987832137765</f>
        <v>-1547.6792293025919</v>
      </c>
      <c r="P1905">
        <f>-694.489848403813 -79.1817166045162 -421.646409065792</f>
        <v>-1195.3179740741211</v>
      </c>
      <c r="Q1905" t="s">
        <v>39768</v>
      </c>
      <c r="R1905" t="s">
        <v>39769</v>
      </c>
      <c r="S1905" t="s">
        <v>39770</v>
      </c>
      <c r="T1905" t="s">
        <v>39771</v>
      </c>
      <c r="U1905" t="s">
        <v>39772</v>
      </c>
      <c r="V1905" t="s">
        <v>39773</v>
      </c>
      <c r="W1905" t="s">
        <v>39774</v>
      </c>
      <c r="X1905" t="s">
        <v>39775</v>
      </c>
      <c r="Y1905" t="s">
        <v>39776</v>
      </c>
    </row>
    <row r="1906" spans="1:25" x14ac:dyDescent="0.3">
      <c r="A1906">
        <v>95250</v>
      </c>
      <c r="B1906" t="s">
        <v>39777</v>
      </c>
      <c r="C1906" t="s">
        <v>39778</v>
      </c>
      <c r="D1906" t="s">
        <v>39779</v>
      </c>
      <c r="E1906" t="s">
        <v>39780</v>
      </c>
      <c r="F1906" t="s">
        <v>39781</v>
      </c>
      <c r="G1906" t="s">
        <v>39782</v>
      </c>
      <c r="H1906" t="s">
        <v>39783</v>
      </c>
      <c r="I1906" t="s">
        <v>39784</v>
      </c>
      <c r="J1906" t="s">
        <v>39785</v>
      </c>
      <c r="K1906" t="s">
        <v>39786</v>
      </c>
      <c r="L1906" t="s">
        <v>39787</v>
      </c>
      <c r="M1906" t="s">
        <v>39788</v>
      </c>
      <c r="N1906" t="s">
        <v>39789</v>
      </c>
      <c r="O1906">
        <f>-745.693353835943 -68.2733603207573 -733.522966457788</f>
        <v>-1547.4896806144884</v>
      </c>
      <c r="P1906">
        <f>-694.552640456524 -78.2876636554763 -421.32026808092</f>
        <v>-1194.1605721929204</v>
      </c>
      <c r="Q1906" t="s">
        <v>39790</v>
      </c>
      <c r="R1906" t="s">
        <v>39791</v>
      </c>
      <c r="S1906" t="s">
        <v>39792</v>
      </c>
      <c r="T1906" t="s">
        <v>39793</v>
      </c>
      <c r="U1906" t="s">
        <v>39794</v>
      </c>
      <c r="V1906" t="s">
        <v>39795</v>
      </c>
      <c r="W1906" t="s">
        <v>39796</v>
      </c>
      <c r="X1906" t="s">
        <v>39797</v>
      </c>
      <c r="Y1906" t="s">
        <v>39798</v>
      </c>
    </row>
    <row r="1907" spans="1:25" x14ac:dyDescent="0.3">
      <c r="A1907">
        <v>95300</v>
      </c>
      <c r="B1907" t="s">
        <v>39799</v>
      </c>
      <c r="C1907" t="s">
        <v>39800</v>
      </c>
      <c r="D1907" t="s">
        <v>39801</v>
      </c>
      <c r="E1907" t="s">
        <v>39802</v>
      </c>
      <c r="F1907" t="s">
        <v>39803</v>
      </c>
      <c r="G1907" t="s">
        <v>39804</v>
      </c>
      <c r="H1907" t="s">
        <v>39805</v>
      </c>
      <c r="I1907" t="s">
        <v>39806</v>
      </c>
      <c r="J1907" t="s">
        <v>39807</v>
      </c>
      <c r="K1907" t="s">
        <v>39808</v>
      </c>
      <c r="L1907" t="s">
        <v>39809</v>
      </c>
      <c r="M1907" t="s">
        <v>39810</v>
      </c>
      <c r="N1907" t="s">
        <v>39811</v>
      </c>
      <c r="O1907">
        <f>-746.340756693799 -67.9297115195341 -733.304691287208</f>
        <v>-1547.5751595005411</v>
      </c>
      <c r="P1907">
        <f>-694.830607282059 -77.9625787432954 -421.163199017935</f>
        <v>-1193.9563850432894</v>
      </c>
      <c r="Q1907" t="s">
        <v>39812</v>
      </c>
      <c r="R1907" t="s">
        <v>39813</v>
      </c>
      <c r="S1907" t="s">
        <v>39814</v>
      </c>
      <c r="T1907" t="s">
        <v>39815</v>
      </c>
      <c r="U1907" t="s">
        <v>39816</v>
      </c>
      <c r="V1907" t="s">
        <v>39817</v>
      </c>
      <c r="W1907" t="s">
        <v>39818</v>
      </c>
      <c r="X1907" t="s">
        <v>39819</v>
      </c>
      <c r="Y1907" t="s">
        <v>39820</v>
      </c>
    </row>
    <row r="1908" spans="1:25" x14ac:dyDescent="0.3">
      <c r="A1908">
        <v>95350</v>
      </c>
      <c r="B1908" t="s">
        <v>39821</v>
      </c>
      <c r="C1908" t="s">
        <v>39822</v>
      </c>
      <c r="D1908" t="s">
        <v>39823</v>
      </c>
      <c r="E1908" t="s">
        <v>39824</v>
      </c>
      <c r="F1908" t="s">
        <v>39825</v>
      </c>
      <c r="G1908" t="s">
        <v>39826</v>
      </c>
      <c r="H1908" t="s">
        <v>39827</v>
      </c>
      <c r="I1908" t="s">
        <v>39828</v>
      </c>
      <c r="J1908" t="s">
        <v>39829</v>
      </c>
      <c r="K1908" t="s">
        <v>39830</v>
      </c>
      <c r="L1908" t="s">
        <v>39831</v>
      </c>
      <c r="M1908" t="s">
        <v>39832</v>
      </c>
      <c r="N1908" t="s">
        <v>39833</v>
      </c>
      <c r="O1908">
        <f>-747.294403259057 -66.9484035929684 -732.772511224765</f>
        <v>-1547.0153180767904</v>
      </c>
      <c r="P1908">
        <f>-694.677961823248 -77.1660522966479 -420.821678681923</f>
        <v>-1192.6656928018188</v>
      </c>
      <c r="Q1908" t="s">
        <v>39834</v>
      </c>
      <c r="R1908" t="s">
        <v>39835</v>
      </c>
      <c r="S1908" t="s">
        <v>39836</v>
      </c>
      <c r="T1908" t="s">
        <v>39837</v>
      </c>
      <c r="U1908" t="s">
        <v>39838</v>
      </c>
      <c r="V1908" t="s">
        <v>39839</v>
      </c>
      <c r="W1908" t="s">
        <v>39840</v>
      </c>
      <c r="X1908" t="s">
        <v>39841</v>
      </c>
      <c r="Y1908" t="s">
        <v>39842</v>
      </c>
    </row>
    <row r="1909" spans="1:25" x14ac:dyDescent="0.3">
      <c r="A1909">
        <v>95400</v>
      </c>
      <c r="B1909" t="s">
        <v>39843</v>
      </c>
      <c r="C1909" t="s">
        <v>39844</v>
      </c>
      <c r="D1909" t="s">
        <v>39845</v>
      </c>
      <c r="E1909" t="s">
        <v>39846</v>
      </c>
      <c r="F1909" t="s">
        <v>39847</v>
      </c>
      <c r="G1909" t="s">
        <v>39848</v>
      </c>
      <c r="H1909" t="s">
        <v>39849</v>
      </c>
      <c r="I1909" t="s">
        <v>39850</v>
      </c>
      <c r="J1909" t="s">
        <v>39851</v>
      </c>
      <c r="K1909" t="s">
        <v>39852</v>
      </c>
      <c r="L1909" t="s">
        <v>39853</v>
      </c>
      <c r="M1909" t="s">
        <v>39854</v>
      </c>
      <c r="N1909" t="s">
        <v>39855</v>
      </c>
      <c r="O1909">
        <f>-747.559545443637 -66.3561571306102 -732.531387325946</f>
        <v>-1546.4470899001931</v>
      </c>
      <c r="P1909">
        <f>-694.651964219749 -76.5345150649157 -420.628585813288</f>
        <v>-1191.8150650979526</v>
      </c>
      <c r="Q1909" t="s">
        <v>39856</v>
      </c>
      <c r="R1909" t="s">
        <v>39857</v>
      </c>
      <c r="S1909" t="s">
        <v>39858</v>
      </c>
      <c r="T1909" t="s">
        <v>39859</v>
      </c>
      <c r="U1909" t="s">
        <v>39860</v>
      </c>
      <c r="V1909" t="s">
        <v>39861</v>
      </c>
      <c r="W1909" t="s">
        <v>39862</v>
      </c>
      <c r="X1909" t="s">
        <v>39863</v>
      </c>
      <c r="Y1909" t="s">
        <v>39864</v>
      </c>
    </row>
    <row r="1910" spans="1:25" x14ac:dyDescent="0.3">
      <c r="A1910">
        <v>95450</v>
      </c>
      <c r="B1910" t="s">
        <v>39865</v>
      </c>
      <c r="C1910" t="s">
        <v>39866</v>
      </c>
      <c r="D1910" t="s">
        <v>39867</v>
      </c>
      <c r="E1910" t="s">
        <v>39868</v>
      </c>
      <c r="F1910" t="s">
        <v>39869</v>
      </c>
      <c r="G1910" t="s">
        <v>39870</v>
      </c>
      <c r="H1910" t="s">
        <v>39871</v>
      </c>
      <c r="I1910" t="s">
        <v>39872</v>
      </c>
      <c r="J1910" t="s">
        <v>39873</v>
      </c>
      <c r="K1910" t="s">
        <v>39874</v>
      </c>
      <c r="L1910" t="s">
        <v>39875</v>
      </c>
      <c r="M1910" t="s">
        <v>39876</v>
      </c>
      <c r="N1910" t="s">
        <v>39877</v>
      </c>
      <c r="O1910">
        <f>-749.0503594717 -64.4358359470859 -732.054310229382</f>
        <v>-1545.5405056481679</v>
      </c>
      <c r="P1910">
        <f>-695.514897107553 -74.8050343673101 -420.264946174853</f>
        <v>-1190.584877649716</v>
      </c>
      <c r="Q1910" t="s">
        <v>39878</v>
      </c>
      <c r="R1910" t="s">
        <v>39879</v>
      </c>
      <c r="S1910" t="s">
        <v>39880</v>
      </c>
      <c r="T1910" t="s">
        <v>39881</v>
      </c>
      <c r="U1910" t="s">
        <v>39882</v>
      </c>
      <c r="V1910" t="s">
        <v>39883</v>
      </c>
      <c r="W1910" t="s">
        <v>39884</v>
      </c>
      <c r="X1910" t="s">
        <v>39885</v>
      </c>
      <c r="Y1910" t="s">
        <v>39886</v>
      </c>
    </row>
    <row r="1911" spans="1:25" x14ac:dyDescent="0.3">
      <c r="A1911">
        <v>95500</v>
      </c>
      <c r="B1911" t="s">
        <v>39887</v>
      </c>
      <c r="C1911" t="s">
        <v>39888</v>
      </c>
      <c r="D1911" t="s">
        <v>39889</v>
      </c>
      <c r="E1911" t="s">
        <v>39890</v>
      </c>
      <c r="F1911" t="s">
        <v>39891</v>
      </c>
      <c r="G1911" t="s">
        <v>39892</v>
      </c>
      <c r="H1911" t="s">
        <v>39893</v>
      </c>
      <c r="I1911" t="s">
        <v>39894</v>
      </c>
      <c r="J1911" t="s">
        <v>39895</v>
      </c>
      <c r="K1911" t="s">
        <v>39896</v>
      </c>
      <c r="L1911" t="s">
        <v>39897</v>
      </c>
      <c r="M1911" t="s">
        <v>39898</v>
      </c>
      <c r="N1911" t="s">
        <v>39899</v>
      </c>
      <c r="O1911">
        <f>-749.572021553827 -63.6372090013863 -731.932297519478</f>
        <v>-1545.1415280746912</v>
      </c>
      <c r="P1911">
        <f>-695.579474672962 -74.3457597701431 -420.233215254865</f>
        <v>-1190.1584496979701</v>
      </c>
      <c r="Q1911" t="s">
        <v>39900</v>
      </c>
      <c r="R1911" t="s">
        <v>39901</v>
      </c>
      <c r="S1911" t="s">
        <v>39902</v>
      </c>
      <c r="T1911" t="s">
        <v>39903</v>
      </c>
      <c r="U1911" t="s">
        <v>39904</v>
      </c>
      <c r="V1911" t="s">
        <v>39905</v>
      </c>
      <c r="W1911" t="s">
        <v>39906</v>
      </c>
      <c r="X1911" t="s">
        <v>39907</v>
      </c>
      <c r="Y1911" t="s">
        <v>39908</v>
      </c>
    </row>
    <row r="1912" spans="1:25" x14ac:dyDescent="0.3">
      <c r="A1912">
        <v>95550</v>
      </c>
      <c r="B1912" t="s">
        <v>39909</v>
      </c>
      <c r="C1912" t="s">
        <v>39910</v>
      </c>
      <c r="D1912" t="s">
        <v>39911</v>
      </c>
      <c r="E1912" t="s">
        <v>39912</v>
      </c>
      <c r="F1912" t="s">
        <v>39913</v>
      </c>
      <c r="G1912" t="s">
        <v>39914</v>
      </c>
      <c r="H1912" t="s">
        <v>39915</v>
      </c>
      <c r="I1912" t="s">
        <v>39916</v>
      </c>
      <c r="J1912" t="s">
        <v>39917</v>
      </c>
      <c r="K1912" t="s">
        <v>39918</v>
      </c>
      <c r="L1912" t="s">
        <v>39919</v>
      </c>
      <c r="M1912" t="s">
        <v>39920</v>
      </c>
      <c r="N1912" t="s">
        <v>39921</v>
      </c>
      <c r="O1912">
        <f>-750.87894761726 -62.1574092926585 -731.501841366417</f>
        <v>-1544.5381982763356</v>
      </c>
      <c r="P1912">
        <f>-695.887252316193 -73.0940432242287 -419.985441165406</f>
        <v>-1188.9667367058278</v>
      </c>
      <c r="Q1912" t="s">
        <v>39922</v>
      </c>
      <c r="R1912" t="s">
        <v>39923</v>
      </c>
      <c r="S1912" t="s">
        <v>39924</v>
      </c>
      <c r="T1912" t="s">
        <v>39925</v>
      </c>
      <c r="U1912" t="s">
        <v>39926</v>
      </c>
      <c r="V1912" t="s">
        <v>39927</v>
      </c>
      <c r="W1912" t="s">
        <v>39928</v>
      </c>
      <c r="X1912" t="s">
        <v>39929</v>
      </c>
      <c r="Y1912" t="s">
        <v>39930</v>
      </c>
    </row>
    <row r="1913" spans="1:25" x14ac:dyDescent="0.3">
      <c r="A1913">
        <v>95600</v>
      </c>
      <c r="B1913" t="s">
        <v>39931</v>
      </c>
      <c r="C1913" t="s">
        <v>39932</v>
      </c>
      <c r="D1913" t="s">
        <v>39933</v>
      </c>
      <c r="E1913" t="s">
        <v>39934</v>
      </c>
      <c r="F1913" t="s">
        <v>39935</v>
      </c>
      <c r="G1913" t="s">
        <v>39936</v>
      </c>
      <c r="H1913" t="s">
        <v>39937</v>
      </c>
      <c r="I1913" t="s">
        <v>39938</v>
      </c>
      <c r="J1913" t="s">
        <v>39939</v>
      </c>
      <c r="K1913" t="s">
        <v>39940</v>
      </c>
      <c r="L1913" t="s">
        <v>39941</v>
      </c>
      <c r="M1913" t="s">
        <v>39942</v>
      </c>
      <c r="N1913" t="s">
        <v>39943</v>
      </c>
      <c r="O1913">
        <f>-751.235597080278 -61.7155528887677 -731.284027369627</f>
        <v>-1544.2351773386727</v>
      </c>
      <c r="P1913">
        <f>-695.682125085882 -72.5832806377273 -419.864813690352</f>
        <v>-1188.1302194139612</v>
      </c>
      <c r="Q1913" t="s">
        <v>39944</v>
      </c>
      <c r="R1913" t="s">
        <v>39945</v>
      </c>
      <c r="S1913" t="s">
        <v>39946</v>
      </c>
      <c r="T1913" t="s">
        <v>39947</v>
      </c>
      <c r="U1913" t="s">
        <v>39948</v>
      </c>
      <c r="V1913" t="s">
        <v>39949</v>
      </c>
      <c r="W1913" t="s">
        <v>39950</v>
      </c>
      <c r="X1913" t="s">
        <v>39951</v>
      </c>
      <c r="Y1913" t="s">
        <v>39952</v>
      </c>
    </row>
    <row r="1914" spans="1:25" x14ac:dyDescent="0.3">
      <c r="A1914">
        <v>95650</v>
      </c>
      <c r="B1914" t="s">
        <v>39953</v>
      </c>
      <c r="C1914" t="s">
        <v>39954</v>
      </c>
      <c r="D1914" t="s">
        <v>39955</v>
      </c>
      <c r="E1914" t="s">
        <v>39956</v>
      </c>
      <c r="F1914" t="s">
        <v>39957</v>
      </c>
      <c r="G1914" t="s">
        <v>39958</v>
      </c>
      <c r="H1914" t="s">
        <v>39959</v>
      </c>
      <c r="I1914" t="s">
        <v>39960</v>
      </c>
      <c r="J1914" t="s">
        <v>39961</v>
      </c>
      <c r="K1914" t="s">
        <v>39962</v>
      </c>
      <c r="L1914" t="s">
        <v>39963</v>
      </c>
      <c r="M1914" t="s">
        <v>39964</v>
      </c>
      <c r="N1914" t="s">
        <v>39965</v>
      </c>
      <c r="O1914">
        <f>-751.25291323039 -61.0136118162513 -730.910189427767</f>
        <v>-1543.1767144744085</v>
      </c>
      <c r="P1914">
        <f>-694.72469233283 -71.4168598602334 -419.65049206796</f>
        <v>-1185.7920442610234</v>
      </c>
      <c r="Q1914" t="s">
        <v>39966</v>
      </c>
      <c r="R1914" t="s">
        <v>39967</v>
      </c>
      <c r="S1914" t="s">
        <v>39968</v>
      </c>
      <c r="T1914" t="s">
        <v>39969</v>
      </c>
      <c r="U1914" t="s">
        <v>39970</v>
      </c>
      <c r="V1914" t="s">
        <v>39971</v>
      </c>
      <c r="W1914" t="s">
        <v>39972</v>
      </c>
      <c r="X1914" t="s">
        <v>39973</v>
      </c>
      <c r="Y1914" t="s">
        <v>39974</v>
      </c>
    </row>
    <row r="1915" spans="1:25" x14ac:dyDescent="0.3">
      <c r="A1915">
        <v>95700</v>
      </c>
      <c r="B1915" t="s">
        <v>39975</v>
      </c>
      <c r="C1915" t="s">
        <v>39976</v>
      </c>
      <c r="D1915" t="s">
        <v>39977</v>
      </c>
      <c r="E1915" t="s">
        <v>39978</v>
      </c>
      <c r="F1915" t="s">
        <v>39979</v>
      </c>
      <c r="G1915" t="s">
        <v>39980</v>
      </c>
      <c r="H1915" t="s">
        <v>39981</v>
      </c>
      <c r="I1915" t="s">
        <v>39982</v>
      </c>
      <c r="J1915" t="s">
        <v>39983</v>
      </c>
      <c r="K1915" t="s">
        <v>39984</v>
      </c>
      <c r="L1915" t="s">
        <v>39985</v>
      </c>
      <c r="M1915" t="s">
        <v>39986</v>
      </c>
      <c r="N1915" t="s">
        <v>39987</v>
      </c>
      <c r="O1915">
        <f>-751.297818044872 -60.9662038564052 -730.779288197388</f>
        <v>-1543.0433100986652</v>
      </c>
      <c r="P1915">
        <f>-694.373627617374 -70.9784676161546 -419.579137406406</f>
        <v>-1184.9312326399347</v>
      </c>
      <c r="Q1915">
        <f>-447.066396241366 -0.0394857758922171 -381.515187813467</f>
        <v>-828.62106983072522</v>
      </c>
      <c r="R1915" t="s">
        <v>39988</v>
      </c>
      <c r="S1915" t="s">
        <v>39989</v>
      </c>
      <c r="T1915" t="s">
        <v>39990</v>
      </c>
      <c r="U1915" t="s">
        <v>39991</v>
      </c>
      <c r="V1915" t="s">
        <v>39992</v>
      </c>
      <c r="W1915" t="s">
        <v>39993</v>
      </c>
      <c r="X1915" t="s">
        <v>39994</v>
      </c>
      <c r="Y1915" t="s">
        <v>39995</v>
      </c>
    </row>
    <row r="1916" spans="1:25" x14ac:dyDescent="0.3">
      <c r="A1916">
        <v>95750</v>
      </c>
      <c r="B1916" t="s">
        <v>39996</v>
      </c>
      <c r="C1916" t="s">
        <v>39997</v>
      </c>
      <c r="D1916" t="s">
        <v>39998</v>
      </c>
      <c r="E1916" t="s">
        <v>39999</v>
      </c>
      <c r="F1916" t="s">
        <v>40000</v>
      </c>
      <c r="G1916" t="s">
        <v>40001</v>
      </c>
      <c r="H1916" t="s">
        <v>40002</v>
      </c>
      <c r="I1916" t="s">
        <v>40003</v>
      </c>
      <c r="J1916" t="s">
        <v>40004</v>
      </c>
      <c r="K1916" t="s">
        <v>40005</v>
      </c>
      <c r="L1916" t="s">
        <v>40006</v>
      </c>
      <c r="M1916" t="s">
        <v>40007</v>
      </c>
      <c r="N1916" t="s">
        <v>40008</v>
      </c>
      <c r="O1916">
        <f>-751.798924970114 -61.1461886992201 -730.424440794169</f>
        <v>-1543.3695544635029</v>
      </c>
      <c r="P1916">
        <f>-693.851175818716 -70.6688023638658 -419.397855714784</f>
        <v>-1183.9178338973657</v>
      </c>
      <c r="Q1916">
        <f>-446.178862783257 -0.84173420419279 -381.653439821336</f>
        <v>-828.67403680878579</v>
      </c>
      <c r="R1916" t="s">
        <v>40009</v>
      </c>
      <c r="S1916" t="s">
        <v>40010</v>
      </c>
      <c r="T1916" t="s">
        <v>40011</v>
      </c>
      <c r="U1916" t="s">
        <v>40012</v>
      </c>
      <c r="V1916" t="s">
        <v>40013</v>
      </c>
      <c r="W1916" t="s">
        <v>40014</v>
      </c>
      <c r="X1916" t="s">
        <v>40015</v>
      </c>
      <c r="Y1916" t="s">
        <v>40016</v>
      </c>
    </row>
    <row r="1917" spans="1:25" x14ac:dyDescent="0.3">
      <c r="A1917">
        <v>95800</v>
      </c>
      <c r="B1917" t="s">
        <v>40017</v>
      </c>
      <c r="C1917" t="s">
        <v>40018</v>
      </c>
      <c r="D1917" t="s">
        <v>40019</v>
      </c>
      <c r="E1917" t="s">
        <v>40020</v>
      </c>
      <c r="F1917" t="s">
        <v>40021</v>
      </c>
      <c r="G1917" t="s">
        <v>40022</v>
      </c>
      <c r="H1917" t="s">
        <v>40023</v>
      </c>
      <c r="I1917" t="s">
        <v>40024</v>
      </c>
      <c r="J1917" t="s">
        <v>40025</v>
      </c>
      <c r="K1917" t="s">
        <v>40026</v>
      </c>
      <c r="L1917" t="s">
        <v>40027</v>
      </c>
      <c r="M1917" t="s">
        <v>40028</v>
      </c>
      <c r="N1917" t="s">
        <v>40029</v>
      </c>
      <c r="O1917">
        <f>-751.974477578269 -61.5992365176371 -730.198439053552</f>
        <v>-1543.7721531494581</v>
      </c>
      <c r="P1917">
        <f>-693.3803418528 -70.9142605966467 -419.286501028138</f>
        <v>-1183.5811034775847</v>
      </c>
      <c r="Q1917">
        <f>-445.52980096951 -1.54675348439946 -381.865761275979</f>
        <v>-828.94231572988849</v>
      </c>
      <c r="R1917" t="s">
        <v>40030</v>
      </c>
      <c r="S1917" t="s">
        <v>40031</v>
      </c>
      <c r="T1917" t="s">
        <v>40032</v>
      </c>
      <c r="U1917" t="s">
        <v>40033</v>
      </c>
      <c r="V1917" t="s">
        <v>40034</v>
      </c>
      <c r="W1917" t="s">
        <v>40035</v>
      </c>
      <c r="X1917" t="s">
        <v>40036</v>
      </c>
      <c r="Y1917" t="s">
        <v>40037</v>
      </c>
    </row>
    <row r="1918" spans="1:25" x14ac:dyDescent="0.3">
      <c r="A1918">
        <v>95850</v>
      </c>
      <c r="B1918" t="s">
        <v>40038</v>
      </c>
      <c r="C1918" t="s">
        <v>40039</v>
      </c>
      <c r="D1918" t="s">
        <v>40040</v>
      </c>
      <c r="E1918" t="s">
        <v>40041</v>
      </c>
      <c r="F1918" t="s">
        <v>40042</v>
      </c>
      <c r="G1918" t="s">
        <v>40043</v>
      </c>
      <c r="H1918" t="s">
        <v>40044</v>
      </c>
      <c r="I1918" t="s">
        <v>40045</v>
      </c>
      <c r="J1918" t="s">
        <v>40046</v>
      </c>
      <c r="K1918" t="s">
        <v>40047</v>
      </c>
      <c r="L1918" t="s">
        <v>40048</v>
      </c>
      <c r="M1918" t="s">
        <v>40049</v>
      </c>
      <c r="N1918" t="s">
        <v>40050</v>
      </c>
      <c r="O1918">
        <f>-751.851997189585 -62.3205344896505 -729.828707906515</f>
        <v>-1544.0012395857505</v>
      </c>
      <c r="P1918">
        <f>-692.218364989094 -71.3179616829516 -419.105141653811</f>
        <v>-1182.6414683258565</v>
      </c>
      <c r="Q1918">
        <f>-443.989879177624 -2.92203573650954 -382.408076378599</f>
        <v>-829.31999129273254</v>
      </c>
      <c r="R1918" t="s">
        <v>40051</v>
      </c>
      <c r="S1918" t="s">
        <v>40052</v>
      </c>
      <c r="T1918" t="s">
        <v>40053</v>
      </c>
      <c r="U1918" t="s">
        <v>40054</v>
      </c>
      <c r="V1918" t="s">
        <v>40055</v>
      </c>
      <c r="W1918" t="s">
        <v>40056</v>
      </c>
      <c r="X1918" t="s">
        <v>40057</v>
      </c>
      <c r="Y1918" t="s">
        <v>40058</v>
      </c>
    </row>
    <row r="1919" spans="1:25" x14ac:dyDescent="0.3">
      <c r="A1919">
        <v>95900</v>
      </c>
      <c r="B1919" t="s">
        <v>40059</v>
      </c>
      <c r="C1919" t="s">
        <v>40060</v>
      </c>
      <c r="D1919" t="s">
        <v>40061</v>
      </c>
      <c r="E1919" t="s">
        <v>40062</v>
      </c>
      <c r="F1919" t="s">
        <v>40063</v>
      </c>
      <c r="G1919" t="s">
        <v>40064</v>
      </c>
      <c r="H1919" t="s">
        <v>40065</v>
      </c>
      <c r="I1919" t="s">
        <v>40066</v>
      </c>
      <c r="J1919" t="s">
        <v>40067</v>
      </c>
      <c r="K1919" t="s">
        <v>40068</v>
      </c>
      <c r="L1919" t="s">
        <v>40069</v>
      </c>
      <c r="M1919" t="s">
        <v>40070</v>
      </c>
      <c r="N1919" t="s">
        <v>40071</v>
      </c>
      <c r="O1919">
        <f>-751.067510355829 -62.6803069056953 -729.835485410139</f>
        <v>-1543.5833026716632</v>
      </c>
      <c r="P1919">
        <f>-690.951735856517 -71.6477353113889 -419.204151429107</f>
        <v>-1181.8036225970129</v>
      </c>
      <c r="Q1919">
        <f>-442.521300775443 -3.84487854302438 -382.774450061359</f>
        <v>-829.14062937982635</v>
      </c>
      <c r="R1919" t="s">
        <v>40072</v>
      </c>
      <c r="S1919" t="s">
        <v>40073</v>
      </c>
      <c r="T1919" t="s">
        <v>40074</v>
      </c>
      <c r="U1919" t="s">
        <v>40075</v>
      </c>
      <c r="V1919" t="s">
        <v>40076</v>
      </c>
      <c r="W1919" t="s">
        <v>40077</v>
      </c>
      <c r="X1919" t="s">
        <v>40078</v>
      </c>
      <c r="Y1919" t="s">
        <v>40079</v>
      </c>
    </row>
    <row r="1920" spans="1:25" x14ac:dyDescent="0.3">
      <c r="A1920">
        <v>95950</v>
      </c>
      <c r="B1920" t="s">
        <v>40080</v>
      </c>
      <c r="C1920" t="s">
        <v>40081</v>
      </c>
      <c r="D1920" t="s">
        <v>40082</v>
      </c>
      <c r="E1920" t="s">
        <v>40083</v>
      </c>
      <c r="F1920" t="s">
        <v>40084</v>
      </c>
      <c r="G1920" t="s">
        <v>40085</v>
      </c>
      <c r="H1920" t="s">
        <v>40086</v>
      </c>
      <c r="I1920" t="s">
        <v>40087</v>
      </c>
      <c r="J1920" t="s">
        <v>40088</v>
      </c>
      <c r="K1920" t="s">
        <v>40089</v>
      </c>
      <c r="L1920" t="s">
        <v>40090</v>
      </c>
      <c r="M1920" t="s">
        <v>40091</v>
      </c>
      <c r="N1920" t="s">
        <v>40092</v>
      </c>
      <c r="O1920">
        <f>-748.736925042952 -63.0442326618204 -730.202738562412</f>
        <v>-1541.9838962671843</v>
      </c>
      <c r="P1920">
        <f>-688.750152984588 -71.8857720012086 -419.542845928895</f>
        <v>-1180.1787709146915</v>
      </c>
      <c r="Q1920">
        <f>-440.070514730854 -5.03727548173038 -383.048460023397</f>
        <v>-828.15625023598136</v>
      </c>
      <c r="R1920" t="s">
        <v>40093</v>
      </c>
      <c r="S1920" t="s">
        <v>40094</v>
      </c>
      <c r="T1920" t="s">
        <v>40095</v>
      </c>
      <c r="U1920" t="s">
        <v>40096</v>
      </c>
      <c r="V1920" t="s">
        <v>40097</v>
      </c>
      <c r="W1920" t="s">
        <v>40098</v>
      </c>
      <c r="X1920" t="s">
        <v>40099</v>
      </c>
      <c r="Y1920" t="s">
        <v>40100</v>
      </c>
    </row>
    <row r="1921" spans="1:25" x14ac:dyDescent="0.3">
      <c r="A1921">
        <v>96000</v>
      </c>
      <c r="B1921" t="s">
        <v>40101</v>
      </c>
      <c r="C1921" t="s">
        <v>40102</v>
      </c>
      <c r="D1921" t="s">
        <v>40103</v>
      </c>
      <c r="E1921" t="s">
        <v>40104</v>
      </c>
      <c r="F1921" t="s">
        <v>40105</v>
      </c>
      <c r="G1921" t="s">
        <v>40106</v>
      </c>
      <c r="H1921" t="s">
        <v>40107</v>
      </c>
      <c r="I1921" t="s">
        <v>40108</v>
      </c>
      <c r="J1921" t="s">
        <v>40109</v>
      </c>
      <c r="K1921" t="s">
        <v>40110</v>
      </c>
      <c r="L1921" t="s">
        <v>40111</v>
      </c>
      <c r="M1921" t="s">
        <v>40112</v>
      </c>
      <c r="N1921" t="s">
        <v>40113</v>
      </c>
      <c r="O1921">
        <f>-747.662281721832 -63.6513230145338 -730.308918580417</f>
        <v>-1541.6225233167827</v>
      </c>
      <c r="P1921">
        <f>-687.968782058349 -72.5129108010306 -419.593081826879</f>
        <v>-1180.0747746862585</v>
      </c>
      <c r="Q1921">
        <f>-439.29050452799 -5.86680032305867 -382.722399142554</f>
        <v>-827.87970399360267</v>
      </c>
      <c r="R1921" t="s">
        <v>40114</v>
      </c>
      <c r="S1921" t="s">
        <v>40115</v>
      </c>
      <c r="T1921" t="s">
        <v>40116</v>
      </c>
      <c r="U1921" t="s">
        <v>40117</v>
      </c>
      <c r="V1921" t="s">
        <v>40118</v>
      </c>
      <c r="W1921" t="s">
        <v>40119</v>
      </c>
      <c r="X1921" t="s">
        <v>40120</v>
      </c>
      <c r="Y1921" t="s">
        <v>40121</v>
      </c>
    </row>
    <row r="1922" spans="1:25" x14ac:dyDescent="0.3">
      <c r="A1922">
        <v>96050</v>
      </c>
      <c r="B1922" t="s">
        <v>40122</v>
      </c>
      <c r="C1922" t="s">
        <v>40123</v>
      </c>
      <c r="D1922" t="s">
        <v>40124</v>
      </c>
      <c r="E1922" t="s">
        <v>40125</v>
      </c>
      <c r="F1922" t="s">
        <v>40126</v>
      </c>
      <c r="G1922" t="s">
        <v>40127</v>
      </c>
      <c r="H1922" t="s">
        <v>40128</v>
      </c>
      <c r="I1922" t="s">
        <v>40129</v>
      </c>
      <c r="J1922" t="s">
        <v>40130</v>
      </c>
      <c r="K1922" t="s">
        <v>40131</v>
      </c>
      <c r="L1922" t="s">
        <v>40132</v>
      </c>
      <c r="M1922" t="s">
        <v>40133</v>
      </c>
      <c r="N1922" t="s">
        <v>40134</v>
      </c>
      <c r="O1922">
        <f>-746.279116087516 -65.4796366793287 -730.097333443922</f>
        <v>-1541.8560862107665</v>
      </c>
      <c r="P1922">
        <f>-686.778750595027 -74.7229633729457 -419.355654522137</f>
        <v>-1180.8573684901098</v>
      </c>
      <c r="Q1922">
        <f>-438.236438109705 -7.99532995162599 -381.723466040017</f>
        <v>-827.95523410134797</v>
      </c>
      <c r="R1922" t="s">
        <v>40135</v>
      </c>
      <c r="S1922" t="s">
        <v>40136</v>
      </c>
      <c r="T1922" t="s">
        <v>40137</v>
      </c>
      <c r="U1922" t="s">
        <v>40138</v>
      </c>
      <c r="V1922" t="s">
        <v>40139</v>
      </c>
      <c r="W1922" t="s">
        <v>40140</v>
      </c>
      <c r="X1922" t="s">
        <v>40141</v>
      </c>
      <c r="Y1922" t="s">
        <v>40142</v>
      </c>
    </row>
    <row r="1923" spans="1:25" x14ac:dyDescent="0.3">
      <c r="A1923">
        <v>96100</v>
      </c>
      <c r="B1923" t="s">
        <v>40143</v>
      </c>
      <c r="C1923" t="s">
        <v>40144</v>
      </c>
      <c r="D1923" t="s">
        <v>40145</v>
      </c>
      <c r="E1923" t="s">
        <v>40146</v>
      </c>
      <c r="F1923" t="s">
        <v>40147</v>
      </c>
      <c r="G1923" t="s">
        <v>40148</v>
      </c>
      <c r="H1923" t="s">
        <v>40149</v>
      </c>
      <c r="I1923" t="s">
        <v>40150</v>
      </c>
      <c r="J1923" t="s">
        <v>40151</v>
      </c>
      <c r="K1923" t="s">
        <v>40152</v>
      </c>
      <c r="L1923" t="s">
        <v>40153</v>
      </c>
      <c r="M1923" t="s">
        <v>40154</v>
      </c>
      <c r="N1923" t="s">
        <v>40155</v>
      </c>
      <c r="O1923">
        <f>-745.735261476802 -66.2810451477269 -729.92828510513</f>
        <v>-1541.9445917296589</v>
      </c>
      <c r="P1923">
        <f>-686.102542460701 -75.7156038269093 -419.217596563235</f>
        <v>-1181.0357428508453</v>
      </c>
      <c r="Q1923">
        <f>-437.656530151179 -8.66782177720688 -381.518993576404</f>
        <v>-827.84334550478991</v>
      </c>
      <c r="R1923" t="s">
        <v>40156</v>
      </c>
      <c r="S1923" t="s">
        <v>40157</v>
      </c>
      <c r="T1923" t="s">
        <v>40158</v>
      </c>
      <c r="U1923" t="s">
        <v>40159</v>
      </c>
      <c r="V1923" t="s">
        <v>40160</v>
      </c>
      <c r="W1923" t="s">
        <v>40161</v>
      </c>
      <c r="X1923" t="s">
        <v>40162</v>
      </c>
      <c r="Y1923" t="s">
        <v>40163</v>
      </c>
    </row>
    <row r="1924" spans="1:25" x14ac:dyDescent="0.3">
      <c r="A1924">
        <v>96150</v>
      </c>
      <c r="B1924" t="s">
        <v>40164</v>
      </c>
      <c r="C1924" t="s">
        <v>40165</v>
      </c>
      <c r="D1924" t="s">
        <v>40166</v>
      </c>
      <c r="E1924" t="s">
        <v>40167</v>
      </c>
      <c r="F1924" t="s">
        <v>40168</v>
      </c>
      <c r="G1924" t="s">
        <v>40169</v>
      </c>
      <c r="H1924" t="s">
        <v>40170</v>
      </c>
      <c r="I1924" t="s">
        <v>40171</v>
      </c>
      <c r="J1924" t="s">
        <v>40172</v>
      </c>
      <c r="K1924" t="s">
        <v>40173</v>
      </c>
      <c r="L1924" t="s">
        <v>40174</v>
      </c>
      <c r="M1924" t="s">
        <v>40175</v>
      </c>
      <c r="N1924" t="s">
        <v>40176</v>
      </c>
      <c r="O1924">
        <f>-743.781626990236 -67.3115211283091 -729.938893556094</f>
        <v>-1541.032041674639</v>
      </c>
      <c r="P1924">
        <f>-684.481632865697 -75.791265455852 -419.13701137073</f>
        <v>-1179.4099096922789</v>
      </c>
      <c r="Q1924">
        <f>-436.254202252663 -7.75325499062183 -381.773348358036</f>
        <v>-825.78080560132082</v>
      </c>
      <c r="R1924" t="s">
        <v>40177</v>
      </c>
      <c r="S1924" t="s">
        <v>40178</v>
      </c>
      <c r="T1924" t="s">
        <v>40179</v>
      </c>
      <c r="U1924" t="s">
        <v>40180</v>
      </c>
      <c r="V1924" t="s">
        <v>40181</v>
      </c>
      <c r="W1924" t="s">
        <v>40182</v>
      </c>
      <c r="X1924" t="s">
        <v>40183</v>
      </c>
      <c r="Y1924" t="s">
        <v>40184</v>
      </c>
    </row>
    <row r="1925" spans="1:25" x14ac:dyDescent="0.3">
      <c r="A1925">
        <v>96200</v>
      </c>
      <c r="B1925" t="s">
        <v>40185</v>
      </c>
      <c r="C1925" t="s">
        <v>40186</v>
      </c>
      <c r="D1925" t="s">
        <v>40187</v>
      </c>
      <c r="E1925" t="s">
        <v>40188</v>
      </c>
      <c r="F1925" t="s">
        <v>40189</v>
      </c>
      <c r="G1925" t="s">
        <v>40190</v>
      </c>
      <c r="H1925" t="s">
        <v>40191</v>
      </c>
      <c r="I1925" t="s">
        <v>40192</v>
      </c>
      <c r="J1925" t="s">
        <v>40193</v>
      </c>
      <c r="K1925" t="s">
        <v>40194</v>
      </c>
      <c r="L1925" t="s">
        <v>40195</v>
      </c>
      <c r="M1925" t="s">
        <v>40196</v>
      </c>
      <c r="N1925" t="s">
        <v>40197</v>
      </c>
      <c r="O1925">
        <f>-741.917420196989 -67.2110687801635 -730.166909687242</f>
        <v>-1539.2953986643945</v>
      </c>
      <c r="P1925">
        <f>-682.924312180255 -74.450864488512 -419.27534406581</f>
        <v>-1176.650520734577</v>
      </c>
      <c r="Q1925">
        <f>-435.058402732908 -5.04586259625353 -382.026377195233</f>
        <v>-822.13064252439449</v>
      </c>
      <c r="R1925" t="s">
        <v>40198</v>
      </c>
      <c r="S1925" t="s">
        <v>40199</v>
      </c>
      <c r="T1925" t="s">
        <v>40200</v>
      </c>
      <c r="U1925" t="s">
        <v>40201</v>
      </c>
      <c r="V1925" t="s">
        <v>40202</v>
      </c>
      <c r="W1925" t="s">
        <v>40203</v>
      </c>
      <c r="X1925" t="s">
        <v>40204</v>
      </c>
      <c r="Y1925" t="s">
        <v>40205</v>
      </c>
    </row>
    <row r="1926" spans="1:25" x14ac:dyDescent="0.3">
      <c r="A1926">
        <v>96250</v>
      </c>
      <c r="B1926" t="s">
        <v>40206</v>
      </c>
      <c r="C1926" t="s">
        <v>40207</v>
      </c>
      <c r="D1926" t="s">
        <v>40208</v>
      </c>
      <c r="E1926" t="s">
        <v>40209</v>
      </c>
      <c r="F1926" t="s">
        <v>40210</v>
      </c>
      <c r="G1926" t="s">
        <v>40211</v>
      </c>
      <c r="H1926" t="s">
        <v>40212</v>
      </c>
      <c r="I1926" t="s">
        <v>40213</v>
      </c>
      <c r="J1926" t="s">
        <v>40214</v>
      </c>
      <c r="K1926" t="s">
        <v>40215</v>
      </c>
      <c r="L1926" t="s">
        <v>40216</v>
      </c>
      <c r="M1926" t="s">
        <v>40217</v>
      </c>
      <c r="N1926" t="s">
        <v>40218</v>
      </c>
      <c r="O1926">
        <f>-741.190024091436 -67.1709205524878 -730.19391772272</f>
        <v>-1538.5548623666439</v>
      </c>
      <c r="P1926">
        <f>-682.132398902277 -74.2243202086715 -419.310256460484</f>
        <v>-1175.6669755714327</v>
      </c>
      <c r="Q1926">
        <f>-434.395224060109 -4.35679790398422 -382.069182057796</f>
        <v>-820.82120402188923</v>
      </c>
      <c r="R1926" t="s">
        <v>40219</v>
      </c>
      <c r="S1926" t="s">
        <v>40220</v>
      </c>
      <c r="T1926" t="s">
        <v>40221</v>
      </c>
      <c r="U1926" t="s">
        <v>40222</v>
      </c>
      <c r="V1926" t="s">
        <v>40223</v>
      </c>
      <c r="W1926" t="s">
        <v>40224</v>
      </c>
      <c r="X1926" t="s">
        <v>40225</v>
      </c>
      <c r="Y1926" t="s">
        <v>40226</v>
      </c>
    </row>
    <row r="1927" spans="1:25" x14ac:dyDescent="0.3">
      <c r="A1927">
        <v>96300</v>
      </c>
      <c r="B1927" t="s">
        <v>40227</v>
      </c>
      <c r="C1927" t="s">
        <v>40228</v>
      </c>
      <c r="D1927" t="s">
        <v>40229</v>
      </c>
      <c r="E1927" t="s">
        <v>40230</v>
      </c>
      <c r="F1927" t="s">
        <v>40231</v>
      </c>
      <c r="G1927" t="s">
        <v>40232</v>
      </c>
      <c r="H1927" t="s">
        <v>40233</v>
      </c>
      <c r="I1927" t="s">
        <v>40234</v>
      </c>
      <c r="J1927" t="s">
        <v>40235</v>
      </c>
      <c r="K1927" t="s">
        <v>40236</v>
      </c>
      <c r="L1927" t="s">
        <v>40237</v>
      </c>
      <c r="M1927" t="s">
        <v>40238</v>
      </c>
      <c r="N1927" t="s">
        <v>40239</v>
      </c>
      <c r="O1927">
        <f>-740.150927584248 -67.13968358842 -730.241740835407</f>
        <v>-1537.5323520080751</v>
      </c>
      <c r="P1927">
        <f>-681.101845818009 -74.4686500152566 -419.362905424408</f>
        <v>-1174.9334012576735</v>
      </c>
      <c r="Q1927">
        <f>-433.419108472348 -4.38714162299289 -382.162540147776</f>
        <v>-819.96879024311693</v>
      </c>
      <c r="R1927" t="s">
        <v>40240</v>
      </c>
      <c r="S1927" t="s">
        <v>40241</v>
      </c>
      <c r="T1927" t="s">
        <v>40242</v>
      </c>
      <c r="U1927" t="s">
        <v>40243</v>
      </c>
      <c r="V1927" t="s">
        <v>40244</v>
      </c>
      <c r="W1927" t="s">
        <v>40245</v>
      </c>
      <c r="X1927" t="s">
        <v>40246</v>
      </c>
      <c r="Y1927" t="s">
        <v>40247</v>
      </c>
    </row>
    <row r="1928" spans="1:25" x14ac:dyDescent="0.3">
      <c r="A1928">
        <v>96350</v>
      </c>
      <c r="B1928" t="s">
        <v>40248</v>
      </c>
      <c r="C1928" t="s">
        <v>40249</v>
      </c>
      <c r="D1928" t="s">
        <v>40250</v>
      </c>
      <c r="E1928" t="s">
        <v>40251</v>
      </c>
      <c r="F1928" t="s">
        <v>40252</v>
      </c>
      <c r="G1928" t="s">
        <v>40253</v>
      </c>
      <c r="H1928" t="s">
        <v>40254</v>
      </c>
      <c r="I1928" t="s">
        <v>40255</v>
      </c>
      <c r="J1928" t="s">
        <v>40256</v>
      </c>
      <c r="K1928" t="s">
        <v>40257</v>
      </c>
      <c r="L1928" t="s">
        <v>40258</v>
      </c>
      <c r="M1928" t="s">
        <v>40259</v>
      </c>
      <c r="N1928" t="s">
        <v>40260</v>
      </c>
      <c r="O1928">
        <f>-738.558572862403 -67.4509966127857 -730.469876846798</f>
        <v>-1536.4794463219869</v>
      </c>
      <c r="P1928">
        <f>-680.011523210833 -75.6740559519533 -419.518439133651</f>
        <v>-1175.2040182964374</v>
      </c>
      <c r="Q1928">
        <f>-432.285161199169 -5.7816723677156 -382.252424503804</f>
        <v>-820.31925807068865</v>
      </c>
      <c r="R1928" t="s">
        <v>40261</v>
      </c>
      <c r="S1928" t="s">
        <v>40262</v>
      </c>
      <c r="T1928" t="s">
        <v>40263</v>
      </c>
      <c r="U1928" t="s">
        <v>40264</v>
      </c>
      <c r="V1928" t="s">
        <v>40265</v>
      </c>
      <c r="W1928" t="s">
        <v>40266</v>
      </c>
      <c r="X1928" t="s">
        <v>40267</v>
      </c>
      <c r="Y1928" t="s">
        <v>40268</v>
      </c>
    </row>
    <row r="1929" spans="1:25" x14ac:dyDescent="0.3">
      <c r="A1929">
        <v>96400</v>
      </c>
      <c r="B1929" t="s">
        <v>40269</v>
      </c>
      <c r="C1929" t="s">
        <v>40270</v>
      </c>
      <c r="D1929" t="s">
        <v>40271</v>
      </c>
      <c r="E1929" t="s">
        <v>40272</v>
      </c>
      <c r="F1929" t="s">
        <v>40273</v>
      </c>
      <c r="G1929" t="s">
        <v>40274</v>
      </c>
      <c r="H1929" t="s">
        <v>40275</v>
      </c>
      <c r="I1929" t="s">
        <v>40276</v>
      </c>
      <c r="J1929" t="s">
        <v>40277</v>
      </c>
      <c r="K1929" t="s">
        <v>40278</v>
      </c>
      <c r="L1929" t="s">
        <v>40279</v>
      </c>
      <c r="M1929" t="s">
        <v>40280</v>
      </c>
      <c r="N1929" t="s">
        <v>40281</v>
      </c>
      <c r="O1929">
        <f>-738.051220300692 -67.139231155262 -730.799569152374</f>
        <v>-1535.990020608328</v>
      </c>
      <c r="P1929">
        <f>-679.907598489807 -75.8325167584228 -419.785167975405</f>
        <v>-1175.5252832236347</v>
      </c>
      <c r="Q1929">
        <f>-432.124052565412 -6.2009104679089 -382.411542264854</f>
        <v>-820.73650529817496</v>
      </c>
      <c r="R1929" t="s">
        <v>40282</v>
      </c>
      <c r="S1929" t="s">
        <v>40283</v>
      </c>
      <c r="T1929" t="s">
        <v>40284</v>
      </c>
      <c r="U1929" t="s">
        <v>40285</v>
      </c>
      <c r="V1929" t="s">
        <v>40286</v>
      </c>
      <c r="W1929" t="s">
        <v>40287</v>
      </c>
      <c r="X1929" t="s">
        <v>40288</v>
      </c>
      <c r="Y1929" t="s">
        <v>40289</v>
      </c>
    </row>
    <row r="1930" spans="1:25" x14ac:dyDescent="0.3">
      <c r="A1930">
        <v>96450</v>
      </c>
      <c r="B1930" t="s">
        <v>40290</v>
      </c>
      <c r="C1930" t="s">
        <v>40291</v>
      </c>
      <c r="D1930" t="s">
        <v>40292</v>
      </c>
      <c r="E1930" t="s">
        <v>40293</v>
      </c>
      <c r="F1930" t="s">
        <v>40294</v>
      </c>
      <c r="G1930" t="s">
        <v>40295</v>
      </c>
      <c r="H1930" t="s">
        <v>40296</v>
      </c>
      <c r="I1930" t="s">
        <v>40297</v>
      </c>
      <c r="J1930" t="s">
        <v>40298</v>
      </c>
      <c r="K1930" t="s">
        <v>40299</v>
      </c>
      <c r="L1930" t="s">
        <v>40300</v>
      </c>
      <c r="M1930" t="s">
        <v>40301</v>
      </c>
      <c r="N1930" t="s">
        <v>40302</v>
      </c>
      <c r="O1930">
        <f>-736.269704756278 -65.5615756851687 -731.97186253565</f>
        <v>-1533.8031429770967</v>
      </c>
      <c r="P1930">
        <f>-678.674764498478 -74.5753572186943 -420.864609407854</f>
        <v>-1174.1147311250263</v>
      </c>
      <c r="Q1930">
        <f>-430.87962302411 -5.08661233038697 -383.302185950972</f>
        <v>-819.26842130546902</v>
      </c>
      <c r="R1930" t="s">
        <v>40303</v>
      </c>
      <c r="S1930" t="s">
        <v>40304</v>
      </c>
      <c r="T1930" t="s">
        <v>40305</v>
      </c>
      <c r="U1930" t="s">
        <v>40306</v>
      </c>
      <c r="V1930" t="s">
        <v>40307</v>
      </c>
      <c r="W1930" t="s">
        <v>40308</v>
      </c>
      <c r="X1930" t="s">
        <v>40309</v>
      </c>
      <c r="Y1930" t="s">
        <v>40310</v>
      </c>
    </row>
    <row r="1931" spans="1:25" x14ac:dyDescent="0.3">
      <c r="A1931">
        <v>96500</v>
      </c>
      <c r="B1931" t="s">
        <v>40311</v>
      </c>
      <c r="C1931" t="s">
        <v>40312</v>
      </c>
      <c r="D1931" t="s">
        <v>40313</v>
      </c>
      <c r="E1931" t="s">
        <v>40314</v>
      </c>
      <c r="F1931" t="s">
        <v>40315</v>
      </c>
      <c r="G1931" t="s">
        <v>40316</v>
      </c>
      <c r="H1931" t="s">
        <v>40317</v>
      </c>
      <c r="I1931" t="s">
        <v>40318</v>
      </c>
      <c r="J1931" t="s">
        <v>40319</v>
      </c>
      <c r="K1931" t="s">
        <v>40320</v>
      </c>
      <c r="L1931" t="s">
        <v>40321</v>
      </c>
      <c r="M1931" t="s">
        <v>40322</v>
      </c>
      <c r="N1931" t="s">
        <v>40323</v>
      </c>
      <c r="O1931">
        <f>-735.837065536153 -64.7018746672347 -732.636100558922</f>
        <v>-1533.1750407623097</v>
      </c>
      <c r="P1931">
        <f>-678.391679380034 -74.7621045194821 -421.533263701834</f>
        <v>-1174.6870476013501</v>
      </c>
      <c r="Q1931">
        <f>-430.691237283211 -5.02899604322079 -383.79926633561</f>
        <v>-819.51949966204188</v>
      </c>
      <c r="R1931" t="s">
        <v>40324</v>
      </c>
      <c r="S1931" t="s">
        <v>40325</v>
      </c>
      <c r="T1931" t="s">
        <v>40326</v>
      </c>
      <c r="U1931" t="s">
        <v>40327</v>
      </c>
      <c r="V1931" t="s">
        <v>40328</v>
      </c>
      <c r="W1931" t="s">
        <v>40329</v>
      </c>
      <c r="X1931" t="s">
        <v>40330</v>
      </c>
      <c r="Y1931" t="s">
        <v>40331</v>
      </c>
    </row>
    <row r="1932" spans="1:25" x14ac:dyDescent="0.3">
      <c r="A1932">
        <v>96550</v>
      </c>
      <c r="B1932" t="s">
        <v>40332</v>
      </c>
      <c r="C1932" t="s">
        <v>40333</v>
      </c>
      <c r="D1932" t="s">
        <v>40334</v>
      </c>
      <c r="E1932" t="s">
        <v>40335</v>
      </c>
      <c r="F1932" t="s">
        <v>40336</v>
      </c>
      <c r="G1932" t="s">
        <v>40337</v>
      </c>
      <c r="H1932" t="s">
        <v>40338</v>
      </c>
      <c r="I1932" t="s">
        <v>40339</v>
      </c>
      <c r="J1932" t="s">
        <v>40340</v>
      </c>
      <c r="K1932" t="s">
        <v>40341</v>
      </c>
      <c r="L1932" t="s">
        <v>40342</v>
      </c>
      <c r="M1932" t="s">
        <v>40343</v>
      </c>
      <c r="N1932" t="s">
        <v>40344</v>
      </c>
      <c r="O1932">
        <f>-735.386536582615 -63.8420656237331 -733.696588923609</f>
        <v>-1532.9251911299571</v>
      </c>
      <c r="P1932">
        <f>-678.106756780745 -76.3166234684243 -422.650596550547</f>
        <v>-1177.0739767997161</v>
      </c>
      <c r="Q1932">
        <f>-430.459629204694 -6.3279245241788 -385.039858037658</f>
        <v>-821.82741176653076</v>
      </c>
      <c r="R1932" t="s">
        <v>40345</v>
      </c>
      <c r="S1932" t="s">
        <v>40346</v>
      </c>
      <c r="T1932" t="s">
        <v>40347</v>
      </c>
      <c r="U1932" t="s">
        <v>40348</v>
      </c>
      <c r="V1932" t="s">
        <v>40349</v>
      </c>
      <c r="W1932" t="s">
        <v>40350</v>
      </c>
      <c r="X1932" t="s">
        <v>40351</v>
      </c>
      <c r="Y1932" t="s">
        <v>40352</v>
      </c>
    </row>
    <row r="1933" spans="1:25" x14ac:dyDescent="0.3">
      <c r="A1933">
        <v>96600</v>
      </c>
      <c r="B1933" t="s">
        <v>40353</v>
      </c>
      <c r="C1933" t="s">
        <v>40354</v>
      </c>
      <c r="D1933" t="s">
        <v>40355</v>
      </c>
      <c r="E1933" t="s">
        <v>40356</v>
      </c>
      <c r="F1933" t="s">
        <v>40357</v>
      </c>
      <c r="G1933" t="s">
        <v>40358</v>
      </c>
      <c r="H1933" t="s">
        <v>40359</v>
      </c>
      <c r="I1933" t="s">
        <v>40360</v>
      </c>
      <c r="J1933" t="s">
        <v>40361</v>
      </c>
      <c r="K1933" t="s">
        <v>40362</v>
      </c>
      <c r="L1933" t="s">
        <v>40363</v>
      </c>
      <c r="M1933" t="s">
        <v>40364</v>
      </c>
      <c r="N1933" t="s">
        <v>40365</v>
      </c>
      <c r="O1933">
        <f>-734.937218836891 -63.6681303656906 -734.211246855254</f>
        <v>-1532.8165960578356</v>
      </c>
      <c r="P1933">
        <f>-677.990786203456 -77.4246899321918 -423.158109095156</f>
        <v>-1178.5735852308037</v>
      </c>
      <c r="Q1933">
        <f>-430.254492349914 -7.67158681566548 -385.698072213572</f>
        <v>-823.6241513791515</v>
      </c>
      <c r="R1933" t="s">
        <v>40366</v>
      </c>
      <c r="S1933" t="s">
        <v>40367</v>
      </c>
      <c r="T1933" t="s">
        <v>40368</v>
      </c>
      <c r="U1933" t="s">
        <v>40369</v>
      </c>
      <c r="V1933" t="s">
        <v>40370</v>
      </c>
      <c r="W1933" t="s">
        <v>40371</v>
      </c>
      <c r="X1933" t="s">
        <v>40372</v>
      </c>
      <c r="Y1933" t="s">
        <v>40373</v>
      </c>
    </row>
    <row r="1934" spans="1:25" x14ac:dyDescent="0.3">
      <c r="A1934">
        <v>96650</v>
      </c>
      <c r="B1934" t="s">
        <v>40374</v>
      </c>
      <c r="C1934" t="s">
        <v>40375</v>
      </c>
      <c r="D1934" t="s">
        <v>40376</v>
      </c>
      <c r="E1934" t="s">
        <v>40377</v>
      </c>
      <c r="F1934" t="s">
        <v>40378</v>
      </c>
      <c r="G1934" t="s">
        <v>40379</v>
      </c>
      <c r="H1934" t="s">
        <v>40380</v>
      </c>
      <c r="I1934" t="s">
        <v>40381</v>
      </c>
      <c r="J1934" t="s">
        <v>40382</v>
      </c>
      <c r="K1934" t="s">
        <v>40383</v>
      </c>
      <c r="L1934" t="s">
        <v>40384</v>
      </c>
      <c r="M1934" t="s">
        <v>40385</v>
      </c>
      <c r="N1934" t="s">
        <v>40386</v>
      </c>
      <c r="O1934">
        <f>-733.420803237387 -63.5295531196994 -735.22307381413</f>
        <v>-1532.1734301712163</v>
      </c>
      <c r="P1934">
        <f>-677.777486104047 -78.8233944332028 -424.00598960241</f>
        <v>-1180.6068701396598</v>
      </c>
      <c r="Q1934">
        <f>-429.815660258509 -9.79564241271146 -386.694717091463</f>
        <v>-826.30601976268349</v>
      </c>
      <c r="R1934" t="s">
        <v>40387</v>
      </c>
      <c r="S1934" t="s">
        <v>40388</v>
      </c>
      <c r="T1934" t="s">
        <v>40389</v>
      </c>
      <c r="U1934" t="s">
        <v>40390</v>
      </c>
      <c r="V1934" t="s">
        <v>40391</v>
      </c>
      <c r="W1934" t="s">
        <v>40392</v>
      </c>
      <c r="X1934" t="s">
        <v>40393</v>
      </c>
      <c r="Y1934" t="s">
        <v>40394</v>
      </c>
    </row>
    <row r="1935" spans="1:25" x14ac:dyDescent="0.3">
      <c r="A1935">
        <v>96700</v>
      </c>
      <c r="B1935" t="s">
        <v>40395</v>
      </c>
      <c r="C1935" t="s">
        <v>40396</v>
      </c>
      <c r="D1935" t="s">
        <v>40397</v>
      </c>
      <c r="E1935" t="s">
        <v>40398</v>
      </c>
      <c r="F1935" t="s">
        <v>40399</v>
      </c>
      <c r="G1935" t="s">
        <v>40400</v>
      </c>
      <c r="H1935" t="s">
        <v>40401</v>
      </c>
      <c r="I1935" t="s">
        <v>40402</v>
      </c>
      <c r="J1935" t="s">
        <v>40403</v>
      </c>
      <c r="K1935" t="s">
        <v>40404</v>
      </c>
      <c r="L1935" t="s">
        <v>40405</v>
      </c>
      <c r="M1935" t="s">
        <v>40406</v>
      </c>
      <c r="N1935" t="s">
        <v>40407</v>
      </c>
      <c r="O1935">
        <f>-732.577830264022 -63.6364905715056 -735.711030493955</f>
        <v>-1531.9253513294827</v>
      </c>
      <c r="P1935">
        <f>-677.542131172035 -79.4433499419308 -424.411562597998</f>
        <v>-1181.3970437119638</v>
      </c>
      <c r="Q1935">
        <f>-429.517499100773 -10.7671238269384 -386.869334199255</f>
        <v>-827.15395712696636</v>
      </c>
      <c r="R1935" t="s">
        <v>40408</v>
      </c>
      <c r="S1935" t="s">
        <v>40409</v>
      </c>
      <c r="T1935" t="s">
        <v>40410</v>
      </c>
      <c r="U1935" t="s">
        <v>40411</v>
      </c>
      <c r="V1935" t="s">
        <v>40412</v>
      </c>
      <c r="W1935" t="s">
        <v>40413</v>
      </c>
      <c r="X1935" t="s">
        <v>40414</v>
      </c>
      <c r="Y1935" t="s">
        <v>40415</v>
      </c>
    </row>
    <row r="1936" spans="1:25" x14ac:dyDescent="0.3">
      <c r="A1936">
        <v>96750</v>
      </c>
      <c r="B1936" t="s">
        <v>40416</v>
      </c>
      <c r="C1936" t="s">
        <v>40417</v>
      </c>
      <c r="D1936" t="s">
        <v>40418</v>
      </c>
      <c r="E1936" t="s">
        <v>40419</v>
      </c>
      <c r="F1936" t="s">
        <v>40420</v>
      </c>
      <c r="G1936" t="s">
        <v>40421</v>
      </c>
      <c r="H1936" t="s">
        <v>40422</v>
      </c>
      <c r="I1936" t="s">
        <v>40423</v>
      </c>
      <c r="J1936" t="s">
        <v>40424</v>
      </c>
      <c r="K1936" t="s">
        <v>40425</v>
      </c>
      <c r="L1936" t="s">
        <v>40426</v>
      </c>
      <c r="M1936" t="s">
        <v>40427</v>
      </c>
      <c r="N1936" t="s">
        <v>40428</v>
      </c>
      <c r="O1936">
        <f>-731.388214374084 -64.4319889175226 -736.244629083483</f>
        <v>-1532.0648323750897</v>
      </c>
      <c r="P1936">
        <f>-677.355928737478 -81.1761250763998 -424.818308266501</f>
        <v>-1183.3503620803788</v>
      </c>
      <c r="Q1936">
        <f>-429.216669523047 -12.9615103755004 -387.191964322292</f>
        <v>-829.37014422083939</v>
      </c>
      <c r="R1936" t="s">
        <v>40429</v>
      </c>
      <c r="S1936" t="s">
        <v>40430</v>
      </c>
      <c r="T1936" t="s">
        <v>40431</v>
      </c>
      <c r="U1936" t="s">
        <v>40432</v>
      </c>
      <c r="V1936" t="s">
        <v>40433</v>
      </c>
      <c r="W1936" t="s">
        <v>40434</v>
      </c>
      <c r="X1936" t="s">
        <v>40435</v>
      </c>
      <c r="Y1936" t="s">
        <v>40436</v>
      </c>
    </row>
    <row r="1937" spans="1:25" x14ac:dyDescent="0.3">
      <c r="A1937">
        <v>96800</v>
      </c>
      <c r="B1937" t="s">
        <v>40437</v>
      </c>
      <c r="C1937" t="s">
        <v>40438</v>
      </c>
      <c r="D1937" t="s">
        <v>40439</v>
      </c>
      <c r="E1937" t="s">
        <v>40440</v>
      </c>
      <c r="F1937" t="s">
        <v>40441</v>
      </c>
      <c r="G1937" t="s">
        <v>40442</v>
      </c>
      <c r="H1937" t="s">
        <v>40443</v>
      </c>
      <c r="I1937" t="s">
        <v>40444</v>
      </c>
      <c r="J1937" t="s">
        <v>40445</v>
      </c>
      <c r="K1937" t="s">
        <v>40446</v>
      </c>
      <c r="L1937" t="s">
        <v>40447</v>
      </c>
      <c r="M1937" t="s">
        <v>40448</v>
      </c>
      <c r="N1937" t="s">
        <v>40449</v>
      </c>
      <c r="O1937">
        <f>-731.316046385062 -64.5164534293365 -736.50814488202</f>
        <v>-1532.3406446964186</v>
      </c>
      <c r="P1937">
        <f>-677.468791239101 -81.1231235021821 -425.042426687296</f>
        <v>-1183.6343414285791</v>
      </c>
      <c r="Q1937">
        <f>-429.236147948182 -13.1993039923941 -387.506081992102</f>
        <v>-829.94153393267811</v>
      </c>
      <c r="R1937" t="s">
        <v>40450</v>
      </c>
      <c r="S1937" t="s">
        <v>40451</v>
      </c>
      <c r="T1937" t="s">
        <v>40452</v>
      </c>
      <c r="U1937" t="s">
        <v>40453</v>
      </c>
      <c r="V1937" t="s">
        <v>40454</v>
      </c>
      <c r="W1937" t="s">
        <v>40455</v>
      </c>
      <c r="X1937" t="s">
        <v>40456</v>
      </c>
      <c r="Y1937" t="s">
        <v>40457</v>
      </c>
    </row>
    <row r="1938" spans="1:25" x14ac:dyDescent="0.3">
      <c r="A1938">
        <v>96850</v>
      </c>
      <c r="B1938" t="s">
        <v>40458</v>
      </c>
      <c r="C1938" t="s">
        <v>40459</v>
      </c>
      <c r="D1938" t="s">
        <v>40460</v>
      </c>
      <c r="E1938" t="s">
        <v>40461</v>
      </c>
      <c r="F1938" t="s">
        <v>40462</v>
      </c>
      <c r="G1938" t="s">
        <v>40463</v>
      </c>
      <c r="H1938" t="s">
        <v>40464</v>
      </c>
      <c r="I1938" t="s">
        <v>40465</v>
      </c>
      <c r="J1938" t="s">
        <v>40466</v>
      </c>
      <c r="K1938" t="s">
        <v>40467</v>
      </c>
      <c r="L1938" t="s">
        <v>40468</v>
      </c>
      <c r="M1938" t="s">
        <v>40469</v>
      </c>
      <c r="N1938" t="s">
        <v>40470</v>
      </c>
      <c r="O1938">
        <f>-729.80422577471 -65.0131887580887 -737.075690393494</f>
        <v>-1531.8931049262928</v>
      </c>
      <c r="P1938">
        <f>-676.97239098135 -81.7701189137154 -425.444243034025</f>
        <v>-1184.1867529290903</v>
      </c>
      <c r="Q1938">
        <f>-428.78517698889 -14.0201869538714 -387.297880116872</f>
        <v>-830.10324405963343</v>
      </c>
      <c r="R1938" t="s">
        <v>40471</v>
      </c>
      <c r="S1938" t="s">
        <v>40472</v>
      </c>
      <c r="T1938" t="s">
        <v>40473</v>
      </c>
      <c r="U1938" t="s">
        <v>40474</v>
      </c>
      <c r="V1938" t="s">
        <v>40475</v>
      </c>
      <c r="W1938" t="s">
        <v>40476</v>
      </c>
      <c r="X1938" t="s">
        <v>40477</v>
      </c>
      <c r="Y1938" t="s">
        <v>40478</v>
      </c>
    </row>
    <row r="1939" spans="1:25" x14ac:dyDescent="0.3">
      <c r="A1939">
        <v>96900</v>
      </c>
      <c r="B1939" t="s">
        <v>40479</v>
      </c>
      <c r="C1939" t="s">
        <v>40480</v>
      </c>
      <c r="D1939" t="s">
        <v>40481</v>
      </c>
      <c r="E1939" t="s">
        <v>40482</v>
      </c>
      <c r="F1939" t="s">
        <v>40483</v>
      </c>
      <c r="G1939" t="s">
        <v>40484</v>
      </c>
      <c r="H1939" t="s">
        <v>40485</v>
      </c>
      <c r="I1939" t="s">
        <v>40486</v>
      </c>
      <c r="J1939" t="s">
        <v>40487</v>
      </c>
      <c r="K1939" t="s">
        <v>40488</v>
      </c>
      <c r="L1939" t="s">
        <v>40489</v>
      </c>
      <c r="M1939" t="s">
        <v>40490</v>
      </c>
      <c r="N1939" t="s">
        <v>40491</v>
      </c>
      <c r="O1939">
        <f>-729.744574719976 -65.5368323571797 -737.090038591301</f>
        <v>-1532.3714456684565</v>
      </c>
      <c r="P1939">
        <f>-677.627499748114 -81.9848016791284 -425.321664994161</f>
        <v>-1184.9339664214035</v>
      </c>
      <c r="Q1939">
        <f>-429.441600355908 -14.4838378586021 -386.728715202104</f>
        <v>-830.65415341661412</v>
      </c>
      <c r="R1939" t="s">
        <v>40492</v>
      </c>
      <c r="S1939" t="s">
        <v>40493</v>
      </c>
      <c r="T1939" t="s">
        <v>40494</v>
      </c>
      <c r="U1939" t="s">
        <v>40495</v>
      </c>
      <c r="V1939" t="s">
        <v>40496</v>
      </c>
      <c r="W1939" t="s">
        <v>40497</v>
      </c>
      <c r="X1939" t="s">
        <v>40498</v>
      </c>
      <c r="Y1939" t="s">
        <v>40499</v>
      </c>
    </row>
    <row r="1940" spans="1:25" x14ac:dyDescent="0.3">
      <c r="A1940">
        <v>96950</v>
      </c>
      <c r="B1940" t="s">
        <v>40500</v>
      </c>
      <c r="C1940" t="s">
        <v>40501</v>
      </c>
      <c r="D1940" t="s">
        <v>40502</v>
      </c>
      <c r="E1940" t="s">
        <v>40503</v>
      </c>
      <c r="F1940" t="s">
        <v>40504</v>
      </c>
      <c r="G1940" t="s">
        <v>40505</v>
      </c>
      <c r="H1940" t="s">
        <v>40506</v>
      </c>
      <c r="I1940" t="s">
        <v>40507</v>
      </c>
      <c r="J1940" t="s">
        <v>40508</v>
      </c>
      <c r="K1940" t="s">
        <v>40509</v>
      </c>
      <c r="L1940" t="s">
        <v>40510</v>
      </c>
      <c r="M1940" t="s">
        <v>40511</v>
      </c>
      <c r="N1940" t="s">
        <v>40512</v>
      </c>
      <c r="O1940">
        <f>-728.634682700796 -66.4225604152136 -736.970722038996</f>
        <v>-1532.0279651550056</v>
      </c>
      <c r="P1940">
        <f>-677.388627668933 -82.7510855546095 -425.05191449633</f>
        <v>-1185.1916277198725</v>
      </c>
      <c r="Q1940">
        <f>-428.900762537486 -17.2685236880257 -384.954312946152</f>
        <v>-831.12359917166373</v>
      </c>
      <c r="R1940" t="s">
        <v>40513</v>
      </c>
      <c r="S1940" t="s">
        <v>40514</v>
      </c>
      <c r="T1940" t="s">
        <v>40515</v>
      </c>
      <c r="U1940" t="s">
        <v>40516</v>
      </c>
      <c r="V1940" t="s">
        <v>40517</v>
      </c>
      <c r="W1940" t="s">
        <v>40518</v>
      </c>
      <c r="X1940" t="s">
        <v>40519</v>
      </c>
      <c r="Y1940" t="s">
        <v>40520</v>
      </c>
    </row>
    <row r="1941" spans="1:25" x14ac:dyDescent="0.3">
      <c r="A1941">
        <v>97000</v>
      </c>
      <c r="B1941" t="s">
        <v>40521</v>
      </c>
      <c r="C1941" t="s">
        <v>40522</v>
      </c>
      <c r="D1941" t="s">
        <v>40523</v>
      </c>
      <c r="E1941" t="s">
        <v>40524</v>
      </c>
      <c r="F1941" t="s">
        <v>40525</v>
      </c>
      <c r="G1941" t="s">
        <v>40526</v>
      </c>
      <c r="H1941" t="s">
        <v>40527</v>
      </c>
      <c r="I1941" t="s">
        <v>40528</v>
      </c>
      <c r="J1941" t="s">
        <v>40529</v>
      </c>
      <c r="K1941" t="s">
        <v>40530</v>
      </c>
      <c r="L1941" t="s">
        <v>40531</v>
      </c>
      <c r="M1941" t="s">
        <v>40532</v>
      </c>
      <c r="N1941" t="s">
        <v>40533</v>
      </c>
      <c r="O1941">
        <f>-728.081033842423 -67.4991774243781 -736.692176589721</f>
        <v>-1532.2723878565221</v>
      </c>
      <c r="P1941">
        <f>-677.473498843492 -82.6159241253299 -424.607997781897</f>
        <v>-1184.6974207507189</v>
      </c>
      <c r="Q1941">
        <f>-428.734210513645 -18.6058463207487 -383.699076318935</f>
        <v>-831.03913315332875</v>
      </c>
      <c r="R1941" t="s">
        <v>40534</v>
      </c>
      <c r="S1941" t="s">
        <v>40535</v>
      </c>
      <c r="T1941" t="s">
        <v>40536</v>
      </c>
      <c r="U1941" t="s">
        <v>40537</v>
      </c>
      <c r="V1941" t="s">
        <v>40538</v>
      </c>
      <c r="W1941" t="s">
        <v>40539</v>
      </c>
      <c r="X1941" t="s">
        <v>40540</v>
      </c>
      <c r="Y1941" t="s">
        <v>40541</v>
      </c>
    </row>
    <row r="1942" spans="1:25" x14ac:dyDescent="0.3">
      <c r="A1942">
        <v>97050</v>
      </c>
      <c r="B1942" t="s">
        <v>40542</v>
      </c>
      <c r="C1942" t="s">
        <v>40543</v>
      </c>
      <c r="D1942" t="s">
        <v>40544</v>
      </c>
      <c r="E1942" t="s">
        <v>40545</v>
      </c>
      <c r="F1942" t="s">
        <v>40546</v>
      </c>
      <c r="G1942" t="s">
        <v>40547</v>
      </c>
      <c r="H1942" t="s">
        <v>40548</v>
      </c>
      <c r="I1942" t="s">
        <v>40549</v>
      </c>
      <c r="J1942" t="s">
        <v>40550</v>
      </c>
      <c r="K1942" t="s">
        <v>40551</v>
      </c>
      <c r="L1942" t="s">
        <v>40552</v>
      </c>
      <c r="M1942" t="s">
        <v>40553</v>
      </c>
      <c r="N1942" t="s">
        <v>40554</v>
      </c>
      <c r="O1942">
        <f>-727.506059122904 -70.0529584762885 -735.59061355411</f>
        <v>-1533.1496311533024</v>
      </c>
      <c r="P1942">
        <f>-677.492756588231 -83.2913211496095 -423.325406674052</f>
        <v>-1184.1094844118925</v>
      </c>
      <c r="Q1942">
        <f>-427.916396370341 -23.8839214858251 -380.611473977183</f>
        <v>-832.41179183334907</v>
      </c>
      <c r="R1942" t="s">
        <v>40555</v>
      </c>
      <c r="S1942" t="s">
        <v>40556</v>
      </c>
      <c r="T1942" t="s">
        <v>40557</v>
      </c>
      <c r="U1942" t="s">
        <v>40558</v>
      </c>
      <c r="V1942" t="s">
        <v>40559</v>
      </c>
      <c r="W1942" t="s">
        <v>40560</v>
      </c>
      <c r="X1942" t="s">
        <v>40561</v>
      </c>
      <c r="Y1942" t="s">
        <v>40562</v>
      </c>
    </row>
    <row r="1943" spans="1:25" x14ac:dyDescent="0.3">
      <c r="A1943">
        <v>97100</v>
      </c>
      <c r="B1943" t="s">
        <v>40563</v>
      </c>
      <c r="C1943" t="s">
        <v>40564</v>
      </c>
      <c r="D1943" t="s">
        <v>40565</v>
      </c>
      <c r="E1943" t="s">
        <v>40566</v>
      </c>
      <c r="F1943" t="s">
        <v>40567</v>
      </c>
      <c r="G1943" t="s">
        <v>40568</v>
      </c>
      <c r="H1943" t="s">
        <v>40569</v>
      </c>
      <c r="I1943" t="s">
        <v>40570</v>
      </c>
      <c r="J1943" t="s">
        <v>40571</v>
      </c>
      <c r="K1943" t="s">
        <v>40572</v>
      </c>
      <c r="L1943" t="s">
        <v>40573</v>
      </c>
      <c r="M1943" t="s">
        <v>40574</v>
      </c>
      <c r="N1943" t="s">
        <v>40575</v>
      </c>
      <c r="O1943">
        <f>-727.574634159232 -71.6921850865995 -734.790554867877</f>
        <v>-1534.0573741137084</v>
      </c>
      <c r="P1943">
        <f>-678.035511041586 -83.1337869788999 -422.378655907903</f>
        <v>-1183.547953928389</v>
      </c>
      <c r="Q1943">
        <f>-427.893439855877 -26.5172711100979 -379.186281244474</f>
        <v>-833.59699221044889</v>
      </c>
      <c r="R1943" t="s">
        <v>40576</v>
      </c>
      <c r="S1943" t="s">
        <v>40577</v>
      </c>
      <c r="T1943" t="s">
        <v>40578</v>
      </c>
      <c r="U1943" t="s">
        <v>40579</v>
      </c>
      <c r="V1943" t="s">
        <v>40580</v>
      </c>
      <c r="W1943" t="s">
        <v>40581</v>
      </c>
      <c r="X1943" t="s">
        <v>40582</v>
      </c>
      <c r="Y1943" t="s">
        <v>40583</v>
      </c>
    </row>
    <row r="1944" spans="1:25" x14ac:dyDescent="0.3">
      <c r="A1944">
        <v>97150</v>
      </c>
      <c r="B1944" t="s">
        <v>40584</v>
      </c>
      <c r="C1944" t="s">
        <v>40585</v>
      </c>
      <c r="D1944" t="s">
        <v>40586</v>
      </c>
      <c r="E1944" t="s">
        <v>40587</v>
      </c>
      <c r="F1944" t="s">
        <v>40588</v>
      </c>
      <c r="G1944" t="s">
        <v>40589</v>
      </c>
      <c r="H1944" t="s">
        <v>40590</v>
      </c>
      <c r="I1944" t="s">
        <v>40591</v>
      </c>
      <c r="J1944" t="s">
        <v>40592</v>
      </c>
      <c r="K1944" t="s">
        <v>40593</v>
      </c>
      <c r="L1944" t="s">
        <v>40594</v>
      </c>
      <c r="M1944" t="s">
        <v>40595</v>
      </c>
      <c r="N1944" t="s">
        <v>40596</v>
      </c>
      <c r="O1944">
        <f>-728.925188470467 -74.4203969130394 -733.20704432236</f>
        <v>-1536.5526297058664</v>
      </c>
      <c r="P1944">
        <f>-679.530945740286 -82.2858267199233 -420.66185756829</f>
        <v>-1182.4786300284993</v>
      </c>
      <c r="Q1944">
        <f>-428.029310461507 -33.3575936051357 -375.99654941902</f>
        <v>-837.38345348566281</v>
      </c>
      <c r="R1944" t="s">
        <v>40597</v>
      </c>
      <c r="S1944" t="s">
        <v>40598</v>
      </c>
      <c r="T1944" t="s">
        <v>40599</v>
      </c>
      <c r="U1944" t="s">
        <v>40600</v>
      </c>
      <c r="V1944" t="s">
        <v>40601</v>
      </c>
      <c r="W1944" t="s">
        <v>40602</v>
      </c>
      <c r="X1944" t="s">
        <v>40603</v>
      </c>
      <c r="Y1944" t="s">
        <v>40604</v>
      </c>
    </row>
    <row r="1945" spans="1:25" x14ac:dyDescent="0.3">
      <c r="A1945">
        <v>97200</v>
      </c>
      <c r="B1945" t="s">
        <v>40605</v>
      </c>
      <c r="C1945" t="s">
        <v>40606</v>
      </c>
      <c r="D1945" t="s">
        <v>40607</v>
      </c>
      <c r="E1945" t="s">
        <v>40608</v>
      </c>
      <c r="F1945" t="s">
        <v>40609</v>
      </c>
      <c r="G1945" t="s">
        <v>40610</v>
      </c>
      <c r="H1945" t="s">
        <v>40611</v>
      </c>
      <c r="I1945" t="s">
        <v>40612</v>
      </c>
      <c r="J1945" t="s">
        <v>40613</v>
      </c>
      <c r="K1945" t="s">
        <v>40614</v>
      </c>
      <c r="L1945" t="s">
        <v>40615</v>
      </c>
      <c r="M1945" t="s">
        <v>40616</v>
      </c>
      <c r="N1945" t="s">
        <v>40617</v>
      </c>
      <c r="O1945">
        <f>-730.347897199292 -75.2861688936441 -732.458212698</f>
        <v>-1538.0922787909362</v>
      </c>
      <c r="P1945">
        <f>-680.554620089431 -81.6003291637442 -419.941013779921</f>
        <v>-1182.095963033096</v>
      </c>
      <c r="Q1945">
        <f>-428.378758336901 -37.4463996884624 -374.117049421945</f>
        <v>-839.94220744730842</v>
      </c>
      <c r="R1945" t="s">
        <v>40618</v>
      </c>
      <c r="S1945" t="s">
        <v>40619</v>
      </c>
      <c r="T1945" t="s">
        <v>40620</v>
      </c>
      <c r="U1945" t="s">
        <v>40621</v>
      </c>
      <c r="V1945" t="s">
        <v>40622</v>
      </c>
      <c r="W1945" t="s">
        <v>40623</v>
      </c>
      <c r="X1945" t="s">
        <v>40624</v>
      </c>
      <c r="Y1945" t="s">
        <v>40625</v>
      </c>
    </row>
    <row r="1946" spans="1:25" x14ac:dyDescent="0.3">
      <c r="A1946">
        <v>97250</v>
      </c>
      <c r="B1946" t="s">
        <v>40626</v>
      </c>
      <c r="C1946" t="s">
        <v>40627</v>
      </c>
      <c r="D1946" t="s">
        <v>40628</v>
      </c>
      <c r="E1946" t="s">
        <v>40629</v>
      </c>
      <c r="F1946" t="s">
        <v>40630</v>
      </c>
      <c r="G1946" t="s">
        <v>40631</v>
      </c>
      <c r="H1946" t="s">
        <v>40632</v>
      </c>
      <c r="I1946" t="s">
        <v>40633</v>
      </c>
      <c r="J1946" t="s">
        <v>40634</v>
      </c>
      <c r="K1946" t="s">
        <v>40635</v>
      </c>
      <c r="L1946" t="s">
        <v>40636</v>
      </c>
      <c r="M1946" t="s">
        <v>40637</v>
      </c>
      <c r="N1946" t="s">
        <v>40638</v>
      </c>
      <c r="O1946">
        <f>-734.097877966504 -77.1485749760407 -731.178906493413</f>
        <v>-1542.4253594359577</v>
      </c>
      <c r="P1946">
        <f>-684.24462048586 -81.5064339194837 -418.638008011722</f>
        <v>-1184.3890624170656</v>
      </c>
      <c r="Q1946">
        <f>-431.100021667037 -47.3814932979669 -369.695274583185</f>
        <v>-848.17678954818894</v>
      </c>
      <c r="R1946" t="s">
        <v>40639</v>
      </c>
      <c r="S1946" t="s">
        <v>40640</v>
      </c>
      <c r="T1946" t="s">
        <v>40641</v>
      </c>
      <c r="U1946" t="s">
        <v>40642</v>
      </c>
      <c r="V1946" t="s">
        <v>40643</v>
      </c>
      <c r="W1946" t="s">
        <v>40644</v>
      </c>
      <c r="X1946" t="s">
        <v>40645</v>
      </c>
      <c r="Y1946" t="s">
        <v>40646</v>
      </c>
    </row>
    <row r="1947" spans="1:25" x14ac:dyDescent="0.3">
      <c r="A1947">
        <v>97300</v>
      </c>
      <c r="B1947" t="s">
        <v>40647</v>
      </c>
      <c r="C1947" t="s">
        <v>40648</v>
      </c>
      <c r="D1947" t="s">
        <v>40649</v>
      </c>
      <c r="E1947" t="s">
        <v>40650</v>
      </c>
      <c r="F1947" t="s">
        <v>40651</v>
      </c>
      <c r="G1947" t="s">
        <v>40652</v>
      </c>
      <c r="H1947" t="s">
        <v>40653</v>
      </c>
      <c r="I1947" t="s">
        <v>40654</v>
      </c>
      <c r="J1947" t="s">
        <v>40655</v>
      </c>
      <c r="K1947" t="s">
        <v>40656</v>
      </c>
      <c r="L1947" t="s">
        <v>40657</v>
      </c>
      <c r="M1947" t="s">
        <v>40658</v>
      </c>
      <c r="N1947" t="s">
        <v>40659</v>
      </c>
      <c r="O1947">
        <f>-735.411676349313 -78.1512284389908 -730.751142248585</f>
        <v>-1544.3140470368887</v>
      </c>
      <c r="P1947">
        <f>-685.818233648736 -81.5467004347072 -418.156970820989</f>
        <v>-1185.5219049044322</v>
      </c>
      <c r="Q1947">
        <f>-432.283910038237 -52.2906501704358 -368.092081201766</f>
        <v>-852.66664141043884</v>
      </c>
      <c r="R1947" t="s">
        <v>40660</v>
      </c>
      <c r="S1947" t="s">
        <v>40661</v>
      </c>
      <c r="T1947" t="s">
        <v>40662</v>
      </c>
      <c r="U1947" t="s">
        <v>40663</v>
      </c>
      <c r="V1947" t="s">
        <v>40664</v>
      </c>
      <c r="W1947" t="s">
        <v>40665</v>
      </c>
      <c r="X1947" t="s">
        <v>40666</v>
      </c>
      <c r="Y1947" t="s">
        <v>40667</v>
      </c>
    </row>
    <row r="1948" spans="1:25" x14ac:dyDescent="0.3">
      <c r="A1948">
        <v>97350</v>
      </c>
      <c r="B1948" t="s">
        <v>40668</v>
      </c>
      <c r="C1948" t="s">
        <v>40669</v>
      </c>
      <c r="D1948" t="s">
        <v>40670</v>
      </c>
      <c r="E1948" t="s">
        <v>40671</v>
      </c>
      <c r="F1948" t="s">
        <v>40672</v>
      </c>
      <c r="G1948" t="s">
        <v>40673</v>
      </c>
      <c r="H1948" t="s">
        <v>40674</v>
      </c>
      <c r="I1948" t="s">
        <v>40675</v>
      </c>
      <c r="J1948" t="s">
        <v>40676</v>
      </c>
      <c r="K1948" t="s">
        <v>40677</v>
      </c>
      <c r="L1948" t="s">
        <v>40678</v>
      </c>
      <c r="M1948" t="s">
        <v>40679</v>
      </c>
      <c r="N1948" t="s">
        <v>40680</v>
      </c>
      <c r="O1948">
        <f>-737.480397603419 -78.0507368892845 -730.013222643722</f>
        <v>-1545.5443571364253</v>
      </c>
      <c r="P1948">
        <f>-687.793632880137 -81.5774354079711 -417.435114321802</f>
        <v>-1186.8061826099101</v>
      </c>
      <c r="Q1948">
        <f>-433.769500670976 -62.2817841443186 -365.076634943932</f>
        <v>-861.12791975922664</v>
      </c>
      <c r="R1948" t="s">
        <v>40681</v>
      </c>
      <c r="S1948" t="s">
        <v>40682</v>
      </c>
      <c r="T1948" t="s">
        <v>40683</v>
      </c>
      <c r="U1948" t="s">
        <v>40684</v>
      </c>
      <c r="V1948" t="s">
        <v>40685</v>
      </c>
      <c r="W1948" t="s">
        <v>40686</v>
      </c>
      <c r="X1948" t="s">
        <v>40687</v>
      </c>
      <c r="Y1948" t="s">
        <v>40688</v>
      </c>
    </row>
    <row r="1949" spans="1:25" x14ac:dyDescent="0.3">
      <c r="A1949">
        <v>97400</v>
      </c>
      <c r="B1949" t="s">
        <v>40689</v>
      </c>
      <c r="C1949" t="s">
        <v>40690</v>
      </c>
      <c r="D1949" t="s">
        <v>40691</v>
      </c>
      <c r="E1949" t="s">
        <v>40692</v>
      </c>
      <c r="F1949" t="s">
        <v>40693</v>
      </c>
      <c r="G1949" t="s">
        <v>40694</v>
      </c>
      <c r="H1949" t="s">
        <v>40695</v>
      </c>
      <c r="I1949" t="s">
        <v>40696</v>
      </c>
      <c r="J1949" t="s">
        <v>40697</v>
      </c>
      <c r="K1949" t="s">
        <v>40698</v>
      </c>
      <c r="L1949" t="s">
        <v>40699</v>
      </c>
      <c r="M1949" t="s">
        <v>40700</v>
      </c>
      <c r="N1949" t="s">
        <v>40701</v>
      </c>
      <c r="O1949">
        <f>-739.896392116981 -76.8344610134909 -729.823605784992</f>
        <v>-1546.5544589154638</v>
      </c>
      <c r="P1949">
        <f>-690.232488927593 -80.2252391297798 -417.240441509438</f>
        <v>-1187.6981695668107</v>
      </c>
      <c r="Q1949">
        <f>-435.98791009849 -64.316671896458 -364.812599222648</f>
        <v>-865.117181217596</v>
      </c>
      <c r="R1949" t="s">
        <v>40702</v>
      </c>
      <c r="S1949" t="s">
        <v>40703</v>
      </c>
      <c r="T1949" t="s">
        <v>40704</v>
      </c>
      <c r="U1949" t="s">
        <v>40705</v>
      </c>
      <c r="V1949" t="s">
        <v>40706</v>
      </c>
      <c r="W1949" t="s">
        <v>40707</v>
      </c>
      <c r="X1949" t="s">
        <v>40708</v>
      </c>
      <c r="Y1949" t="s">
        <v>40709</v>
      </c>
    </row>
    <row r="1950" spans="1:25" x14ac:dyDescent="0.3">
      <c r="A1950">
        <v>97450</v>
      </c>
      <c r="B1950" t="s">
        <v>40710</v>
      </c>
      <c r="C1950" t="s">
        <v>40711</v>
      </c>
      <c r="D1950" t="s">
        <v>40712</v>
      </c>
      <c r="E1950" t="s">
        <v>40713</v>
      </c>
      <c r="F1950" t="s">
        <v>40714</v>
      </c>
      <c r="G1950" t="s">
        <v>40715</v>
      </c>
      <c r="H1950" t="s">
        <v>40716</v>
      </c>
      <c r="I1950" t="s">
        <v>40717</v>
      </c>
      <c r="J1950" t="s">
        <v>40718</v>
      </c>
      <c r="K1950" t="s">
        <v>40719</v>
      </c>
      <c r="L1950" t="s">
        <v>40720</v>
      </c>
      <c r="M1950" t="s">
        <v>40721</v>
      </c>
      <c r="N1950" t="s">
        <v>40722</v>
      </c>
      <c r="O1950">
        <f>-743.546146464308 -76.9266976113445 -730.637549894517</f>
        <v>-1551.1103939701693</v>
      </c>
      <c r="P1950">
        <f>-693.65208535675 -79.5844427117745 -418.083988294954</f>
        <v>-1191.3205163634784</v>
      </c>
      <c r="Q1950">
        <f>-438.955244948085 -67.6511067106953 -366.808445965123</f>
        <v>-873.41479762390327</v>
      </c>
      <c r="R1950" t="s">
        <v>40723</v>
      </c>
      <c r="S1950" t="s">
        <v>40724</v>
      </c>
      <c r="T1950" t="s">
        <v>40725</v>
      </c>
      <c r="U1950" t="s">
        <v>40726</v>
      </c>
      <c r="V1950" t="s">
        <v>40727</v>
      </c>
      <c r="W1950" t="s">
        <v>40728</v>
      </c>
      <c r="X1950" t="s">
        <v>40729</v>
      </c>
      <c r="Y1950" t="s">
        <v>40730</v>
      </c>
    </row>
    <row r="1951" spans="1:25" x14ac:dyDescent="0.3">
      <c r="A1951">
        <v>97500</v>
      </c>
      <c r="B1951" t="s">
        <v>40731</v>
      </c>
      <c r="C1951" t="s">
        <v>40732</v>
      </c>
      <c r="D1951" t="s">
        <v>40733</v>
      </c>
      <c r="E1951" t="s">
        <v>40734</v>
      </c>
      <c r="F1951" t="s">
        <v>40735</v>
      </c>
      <c r="G1951" t="s">
        <v>40736</v>
      </c>
      <c r="H1951" t="s">
        <v>40737</v>
      </c>
      <c r="I1951" t="s">
        <v>40738</v>
      </c>
      <c r="J1951" t="s">
        <v>40739</v>
      </c>
      <c r="K1951" t="s">
        <v>40740</v>
      </c>
      <c r="L1951" t="s">
        <v>40741</v>
      </c>
      <c r="M1951" t="s">
        <v>40742</v>
      </c>
      <c r="N1951" t="s">
        <v>40743</v>
      </c>
      <c r="O1951">
        <f>-745.259444223375 -77.907799674545 -731.499903053207</f>
        <v>-1554.6671469511271</v>
      </c>
      <c r="P1951">
        <f>-695.324475029471 -80.4836579225203 -418.952213545477</f>
        <v>-1194.7603464974682</v>
      </c>
      <c r="Q1951">
        <f>-440.586987144952 -68.4022973249912 -367.914093710467</f>
        <v>-876.90337818041019</v>
      </c>
      <c r="R1951" t="s">
        <v>40744</v>
      </c>
      <c r="S1951" t="s">
        <v>40745</v>
      </c>
      <c r="T1951" t="s">
        <v>40746</v>
      </c>
      <c r="U1951" t="s">
        <v>40747</v>
      </c>
      <c r="V1951" t="s">
        <v>40748</v>
      </c>
      <c r="W1951" t="s">
        <v>40749</v>
      </c>
      <c r="X1951" t="s">
        <v>40750</v>
      </c>
      <c r="Y1951" t="s">
        <v>40751</v>
      </c>
    </row>
    <row r="1952" spans="1:25" x14ac:dyDescent="0.3">
      <c r="A1952">
        <v>97550</v>
      </c>
      <c r="B1952" t="s">
        <v>40752</v>
      </c>
      <c r="C1952" t="s">
        <v>40753</v>
      </c>
      <c r="D1952" t="s">
        <v>40754</v>
      </c>
      <c r="E1952" t="s">
        <v>40755</v>
      </c>
      <c r="F1952" t="s">
        <v>40756</v>
      </c>
      <c r="G1952" t="s">
        <v>40757</v>
      </c>
      <c r="H1952" t="s">
        <v>40758</v>
      </c>
      <c r="I1952" t="s">
        <v>40759</v>
      </c>
      <c r="J1952" t="s">
        <v>40760</v>
      </c>
      <c r="K1952" t="s">
        <v>40761</v>
      </c>
      <c r="L1952" t="s">
        <v>40762</v>
      </c>
      <c r="M1952" t="s">
        <v>40763</v>
      </c>
      <c r="N1952" t="s">
        <v>40764</v>
      </c>
      <c r="O1952">
        <f>-748.613694975409 -82.370998402288 -733.193695422205</f>
        <v>-1564.178388799902</v>
      </c>
      <c r="P1952">
        <f>-700.02363991911 -85.3437902886826 -420.437694436919</f>
        <v>-1205.8051246447117</v>
      </c>
      <c r="Q1952">
        <f>-445.511699116413 -69.7742839387458 -369.219533240226</f>
        <v>-884.50551629538472</v>
      </c>
      <c r="R1952" t="s">
        <v>40765</v>
      </c>
      <c r="S1952" t="s">
        <v>40766</v>
      </c>
      <c r="T1952" t="s">
        <v>40767</v>
      </c>
      <c r="U1952" t="s">
        <v>40768</v>
      </c>
      <c r="V1952" t="s">
        <v>40769</v>
      </c>
      <c r="W1952" t="s">
        <v>40770</v>
      </c>
      <c r="X1952" t="s">
        <v>40771</v>
      </c>
      <c r="Y1952" t="s">
        <v>40772</v>
      </c>
    </row>
    <row r="1953" spans="1:25" x14ac:dyDescent="0.3">
      <c r="A1953">
        <v>97600</v>
      </c>
      <c r="B1953" t="s">
        <v>40773</v>
      </c>
      <c r="C1953" t="s">
        <v>40774</v>
      </c>
      <c r="D1953" t="s">
        <v>40775</v>
      </c>
      <c r="E1953" t="s">
        <v>40776</v>
      </c>
      <c r="F1953" t="s">
        <v>40777</v>
      </c>
      <c r="G1953" t="s">
        <v>40778</v>
      </c>
      <c r="H1953" t="s">
        <v>40779</v>
      </c>
      <c r="I1953" t="s">
        <v>40780</v>
      </c>
      <c r="J1953" t="s">
        <v>40781</v>
      </c>
      <c r="K1953" t="s">
        <v>40782</v>
      </c>
      <c r="L1953" t="s">
        <v>40783</v>
      </c>
      <c r="M1953" t="s">
        <v>40784</v>
      </c>
      <c r="N1953" t="s">
        <v>40785</v>
      </c>
      <c r="O1953">
        <f>-750.411294710484 -85.2122444530055 -733.995718888863</f>
        <v>-1569.6192580523525</v>
      </c>
      <c r="P1953">
        <f>-702.771576074271 -88.8854845237636 -421.100829967836</f>
        <v>-1212.7578905658706</v>
      </c>
      <c r="Q1953">
        <f>-448.545567916917 -70.1319810049433 -369.531080233528</f>
        <v>-888.20862915538828</v>
      </c>
      <c r="R1953" t="s">
        <v>40786</v>
      </c>
      <c r="S1953" t="s">
        <v>40787</v>
      </c>
      <c r="T1953" t="s">
        <v>40788</v>
      </c>
      <c r="U1953" t="s">
        <v>40789</v>
      </c>
      <c r="V1953" t="s">
        <v>40790</v>
      </c>
      <c r="W1953" t="s">
        <v>40791</v>
      </c>
      <c r="X1953" t="s">
        <v>40792</v>
      </c>
      <c r="Y1953" t="s">
        <v>40793</v>
      </c>
    </row>
    <row r="1954" spans="1:25" x14ac:dyDescent="0.3">
      <c r="A1954">
        <v>97650</v>
      </c>
      <c r="B1954" t="s">
        <v>40794</v>
      </c>
      <c r="C1954" t="s">
        <v>40795</v>
      </c>
      <c r="D1954" t="s">
        <v>40796</v>
      </c>
      <c r="E1954" t="s">
        <v>40797</v>
      </c>
      <c r="F1954" t="s">
        <v>40798</v>
      </c>
      <c r="G1954" t="s">
        <v>40799</v>
      </c>
      <c r="H1954" t="s">
        <v>40800</v>
      </c>
      <c r="I1954" t="s">
        <v>40801</v>
      </c>
      <c r="J1954" t="s">
        <v>40802</v>
      </c>
      <c r="K1954" t="s">
        <v>40803</v>
      </c>
      <c r="L1954" t="s">
        <v>40804</v>
      </c>
      <c r="M1954" t="s">
        <v>40805</v>
      </c>
      <c r="N1954" t="s">
        <v>40806</v>
      </c>
      <c r="O1954">
        <f>-754.360116701747 -89.976443662229 -736.304671181056</f>
        <v>-1580.641231545032</v>
      </c>
      <c r="P1954">
        <f>-707.938533828371 -95.0172464069319 -423.245861920837</f>
        <v>-1226.2016421561398</v>
      </c>
      <c r="Q1954">
        <f>-454.534154175734 -68.2107141304632 -371.191180715877</f>
        <v>-893.93604902207426</v>
      </c>
      <c r="R1954" t="s">
        <v>40807</v>
      </c>
      <c r="S1954" t="s">
        <v>40808</v>
      </c>
      <c r="T1954" t="s">
        <v>40809</v>
      </c>
      <c r="U1954" t="s">
        <v>40810</v>
      </c>
      <c r="V1954" t="s">
        <v>40811</v>
      </c>
      <c r="W1954" t="s">
        <v>40812</v>
      </c>
      <c r="X1954" t="s">
        <v>40813</v>
      </c>
      <c r="Y1954" t="s">
        <v>40814</v>
      </c>
    </row>
    <row r="1955" spans="1:25" x14ac:dyDescent="0.3">
      <c r="A1955">
        <v>97700</v>
      </c>
      <c r="B1955" t="s">
        <v>40815</v>
      </c>
      <c r="C1955" t="s">
        <v>40816</v>
      </c>
      <c r="D1955" t="s">
        <v>40817</v>
      </c>
      <c r="E1955" t="s">
        <v>40818</v>
      </c>
      <c r="F1955" t="s">
        <v>40819</v>
      </c>
      <c r="G1955" t="s">
        <v>40820</v>
      </c>
      <c r="H1955" t="s">
        <v>40821</v>
      </c>
      <c r="I1955" t="s">
        <v>40822</v>
      </c>
      <c r="J1955" t="s">
        <v>40823</v>
      </c>
      <c r="K1955" t="s">
        <v>40824</v>
      </c>
      <c r="L1955" t="s">
        <v>40825</v>
      </c>
      <c r="M1955" t="s">
        <v>40826</v>
      </c>
      <c r="N1955" t="s">
        <v>40827</v>
      </c>
      <c r="O1955">
        <f>-756.239926202041 -93.1207189038828 -737.581117081188</f>
        <v>-1586.9417621871119</v>
      </c>
      <c r="P1955">
        <f>-710.309588483498 -98.6592500901954 -424.458292399192</f>
        <v>-1233.4271309728854</v>
      </c>
      <c r="Q1955">
        <f>-457.290817985463 -67.7683954180245 -372.792609286677</f>
        <v>-897.85182269016445</v>
      </c>
      <c r="R1955" t="s">
        <v>40828</v>
      </c>
      <c r="S1955" t="s">
        <v>40829</v>
      </c>
      <c r="T1955" t="s">
        <v>40830</v>
      </c>
      <c r="U1955" t="s">
        <v>40831</v>
      </c>
      <c r="V1955" t="s">
        <v>40832</v>
      </c>
      <c r="W1955" t="s">
        <v>40833</v>
      </c>
      <c r="X1955" t="s">
        <v>40834</v>
      </c>
      <c r="Y1955" t="s">
        <v>40835</v>
      </c>
    </row>
    <row r="1956" spans="1:25" x14ac:dyDescent="0.3">
      <c r="A1956">
        <v>97750</v>
      </c>
      <c r="B1956" t="s">
        <v>40836</v>
      </c>
      <c r="C1956" t="s">
        <v>40837</v>
      </c>
      <c r="D1956" t="s">
        <v>40838</v>
      </c>
      <c r="E1956" t="s">
        <v>40839</v>
      </c>
      <c r="F1956" t="s">
        <v>40840</v>
      </c>
      <c r="G1956" t="s">
        <v>40841</v>
      </c>
      <c r="H1956" t="s">
        <v>40842</v>
      </c>
      <c r="I1956" t="s">
        <v>40843</v>
      </c>
      <c r="J1956" t="s">
        <v>40844</v>
      </c>
      <c r="K1956" t="s">
        <v>40845</v>
      </c>
      <c r="L1956" t="s">
        <v>40846</v>
      </c>
      <c r="M1956" t="s">
        <v>40847</v>
      </c>
      <c r="N1956" t="s">
        <v>40848</v>
      </c>
      <c r="O1956">
        <f>-760.981790542343 -99.1965312579152 -740.434402787386</f>
        <v>-1600.6127245876442</v>
      </c>
      <c r="P1956">
        <f>-715.25391410512 -107.061698603737 -427.331765922221</f>
        <v>-1249.647378631078</v>
      </c>
      <c r="Q1956">
        <f>-463.688278256585 -66.9831329530914 -374.886341575525</f>
        <v>-905.5577527852015</v>
      </c>
      <c r="R1956" t="s">
        <v>40849</v>
      </c>
      <c r="S1956" t="s">
        <v>40850</v>
      </c>
      <c r="T1956" t="s">
        <v>40851</v>
      </c>
      <c r="U1956" t="s">
        <v>40852</v>
      </c>
      <c r="V1956">
        <f>-670.444247058405 -1.73404533970029 -222.62846196075</f>
        <v>-894.8067543588553</v>
      </c>
      <c r="W1956" t="s">
        <v>40853</v>
      </c>
      <c r="X1956" t="s">
        <v>40854</v>
      </c>
      <c r="Y1956" t="s">
        <v>40855</v>
      </c>
    </row>
    <row r="1957" spans="1:25" x14ac:dyDescent="0.3">
      <c r="A1957">
        <v>97800</v>
      </c>
      <c r="B1957" t="s">
        <v>40856</v>
      </c>
      <c r="C1957" t="s">
        <v>40857</v>
      </c>
      <c r="D1957" t="s">
        <v>40858</v>
      </c>
      <c r="E1957" t="s">
        <v>40859</v>
      </c>
      <c r="F1957" t="s">
        <v>40860</v>
      </c>
      <c r="G1957" t="s">
        <v>40861</v>
      </c>
      <c r="H1957" t="s">
        <v>40862</v>
      </c>
      <c r="I1957" t="s">
        <v>40863</v>
      </c>
      <c r="J1957" t="s">
        <v>40864</v>
      </c>
      <c r="K1957" t="s">
        <v>40865</v>
      </c>
      <c r="L1957" t="s">
        <v>40866</v>
      </c>
      <c r="M1957" t="s">
        <v>40867</v>
      </c>
      <c r="N1957" t="s">
        <v>40868</v>
      </c>
      <c r="O1957">
        <f>-764.030906345057 -100.984968976776 -742.130601087253</f>
        <v>-1607.1464764090861</v>
      </c>
      <c r="P1957">
        <f>-718.069501258779 -110.534789741745 -429.109115387836</f>
        <v>-1257.71340638836</v>
      </c>
      <c r="Q1957">
        <f>-467.604552431329 -65.821185391133 -375.164321957994</f>
        <v>-908.59005978045593</v>
      </c>
      <c r="R1957" t="s">
        <v>40869</v>
      </c>
      <c r="S1957" t="s">
        <v>40870</v>
      </c>
      <c r="T1957" t="s">
        <v>40871</v>
      </c>
      <c r="U1957" t="s">
        <v>40872</v>
      </c>
      <c r="V1957">
        <f>-677.106080996793 -5.80114170628713 -223.321494099367</f>
        <v>-906.22871680244714</v>
      </c>
      <c r="W1957" t="s">
        <v>40873</v>
      </c>
      <c r="X1957" t="s">
        <v>40874</v>
      </c>
      <c r="Y1957" t="s">
        <v>40875</v>
      </c>
    </row>
    <row r="1958" spans="1:25" x14ac:dyDescent="0.3">
      <c r="A1958">
        <v>97850</v>
      </c>
      <c r="B1958" t="s">
        <v>40876</v>
      </c>
      <c r="C1958" t="s">
        <v>40877</v>
      </c>
      <c r="D1958" t="s">
        <v>40878</v>
      </c>
      <c r="E1958" t="s">
        <v>40879</v>
      </c>
      <c r="F1958" t="s">
        <v>40880</v>
      </c>
      <c r="G1958" t="s">
        <v>40881</v>
      </c>
      <c r="H1958" t="s">
        <v>40882</v>
      </c>
      <c r="I1958" t="s">
        <v>40883</v>
      </c>
      <c r="J1958" t="s">
        <v>40884</v>
      </c>
      <c r="K1958" t="s">
        <v>40885</v>
      </c>
      <c r="L1958" t="s">
        <v>40886</v>
      </c>
      <c r="M1958" t="s">
        <v>40887</v>
      </c>
      <c r="N1958" t="s">
        <v>40888</v>
      </c>
      <c r="O1958">
        <f>-772.427814203668 -104.997825445635 -744.768467108136</f>
        <v>-1622.1941067574389</v>
      </c>
      <c r="P1958">
        <f>-727.743189071686 -116.535930907071 -431.628904180168</f>
        <v>-1275.9080241589249</v>
      </c>
      <c r="Q1958">
        <f>-479.974243217956 -62.1747773418701 -374.204951582454</f>
        <v>-916.3539721422801</v>
      </c>
      <c r="R1958" t="s">
        <v>40889</v>
      </c>
      <c r="S1958" t="s">
        <v>40890</v>
      </c>
      <c r="T1958" t="s">
        <v>40891</v>
      </c>
      <c r="U1958" t="s">
        <v>40892</v>
      </c>
      <c r="V1958">
        <f>-691.988616495782 -12.6312270871535 -225.895067104243</f>
        <v>-930.5149106871786</v>
      </c>
      <c r="W1958" t="s">
        <v>40893</v>
      </c>
      <c r="X1958" t="s">
        <v>40894</v>
      </c>
      <c r="Y1958" t="s">
        <v>40895</v>
      </c>
    </row>
    <row r="1959" spans="1:25" x14ac:dyDescent="0.3">
      <c r="A1959">
        <v>97900</v>
      </c>
      <c r="B1959" t="s">
        <v>40896</v>
      </c>
      <c r="C1959" t="s">
        <v>40897</v>
      </c>
      <c r="D1959" t="s">
        <v>40898</v>
      </c>
      <c r="E1959" t="s">
        <v>40899</v>
      </c>
      <c r="F1959" t="s">
        <v>40900</v>
      </c>
      <c r="G1959" t="s">
        <v>40901</v>
      </c>
      <c r="H1959" t="s">
        <v>40902</v>
      </c>
      <c r="I1959" t="s">
        <v>40903</v>
      </c>
      <c r="J1959" t="s">
        <v>40904</v>
      </c>
      <c r="K1959" t="s">
        <v>40905</v>
      </c>
      <c r="L1959" t="s">
        <v>40906</v>
      </c>
      <c r="M1959" t="s">
        <v>40907</v>
      </c>
      <c r="N1959" t="s">
        <v>40908</v>
      </c>
      <c r="O1959">
        <f>-777.418030730429 -106.889508198023 -745.43812834854</f>
        <v>-1629.745667276992</v>
      </c>
      <c r="P1959">
        <f>-733.20254967237 -117.873162342147 -432.212135830929</f>
        <v>-1283.2878478454459</v>
      </c>
      <c r="Q1959">
        <f>-486.600271336902 -60.403546701677 -372.826861258264</f>
        <v>-919.83067929684296</v>
      </c>
      <c r="R1959" t="s">
        <v>40909</v>
      </c>
      <c r="S1959" t="s">
        <v>40910</v>
      </c>
      <c r="T1959" t="s">
        <v>40911</v>
      </c>
      <c r="U1959" t="s">
        <v>40912</v>
      </c>
      <c r="V1959">
        <f>-699.585681890039 -15.6254191075716 -227.722111927878</f>
        <v>-942.93321292548865</v>
      </c>
      <c r="W1959" t="s">
        <v>40913</v>
      </c>
      <c r="X1959" t="s">
        <v>40914</v>
      </c>
      <c r="Y1959" t="s">
        <v>40915</v>
      </c>
    </row>
    <row r="1960" spans="1:25" x14ac:dyDescent="0.3">
      <c r="A1960">
        <v>97950</v>
      </c>
      <c r="B1960" t="s">
        <v>40916</v>
      </c>
      <c r="C1960" t="s">
        <v>40917</v>
      </c>
      <c r="D1960" t="s">
        <v>40918</v>
      </c>
      <c r="E1960" t="s">
        <v>40919</v>
      </c>
      <c r="F1960" t="s">
        <v>40920</v>
      </c>
      <c r="G1960" t="s">
        <v>40921</v>
      </c>
      <c r="H1960" t="s">
        <v>40922</v>
      </c>
      <c r="I1960" t="s">
        <v>40923</v>
      </c>
      <c r="J1960" t="s">
        <v>40924</v>
      </c>
      <c r="K1960" t="s">
        <v>40925</v>
      </c>
      <c r="L1960" t="s">
        <v>40926</v>
      </c>
      <c r="M1960" t="s">
        <v>40927</v>
      </c>
      <c r="N1960" t="s">
        <v>40928</v>
      </c>
      <c r="O1960">
        <f>-788.271805914485 -112.413442012166 -744.965682905395</f>
        <v>-1645.650930832046</v>
      </c>
      <c r="P1960">
        <f>-743.113247393001 -119.834472277401 -431.769567846263</f>
        <v>-1294.717287516665</v>
      </c>
      <c r="Q1960">
        <f>-498.20424050298 -59.3574320145196 -368.491068398082</f>
        <v>-926.05274091558158</v>
      </c>
      <c r="R1960" t="s">
        <v>40929</v>
      </c>
      <c r="S1960" t="s">
        <v>40930</v>
      </c>
      <c r="T1960" t="s">
        <v>40931</v>
      </c>
      <c r="U1960" t="s">
        <v>40932</v>
      </c>
      <c r="V1960">
        <f>-714.938162157991 -20.2491945162856 -231.076963687163</f>
        <v>-966.26432036143956</v>
      </c>
      <c r="W1960" t="s">
        <v>40933</v>
      </c>
      <c r="X1960" t="s">
        <v>40934</v>
      </c>
      <c r="Y1960" t="s">
        <v>40935</v>
      </c>
    </row>
    <row r="1961" spans="1:25" x14ac:dyDescent="0.3">
      <c r="A1961">
        <v>98000</v>
      </c>
      <c r="B1961" t="s">
        <v>40936</v>
      </c>
      <c r="C1961" t="s">
        <v>40937</v>
      </c>
      <c r="D1961" t="s">
        <v>40938</v>
      </c>
      <c r="E1961" t="s">
        <v>40939</v>
      </c>
      <c r="F1961" t="s">
        <v>40940</v>
      </c>
      <c r="G1961" t="s">
        <v>40941</v>
      </c>
      <c r="H1961" t="s">
        <v>40942</v>
      </c>
      <c r="I1961" t="s">
        <v>40943</v>
      </c>
      <c r="J1961" t="s">
        <v>40944</v>
      </c>
      <c r="K1961" t="s">
        <v>40945</v>
      </c>
      <c r="L1961" t="s">
        <v>40946</v>
      </c>
      <c r="M1961" t="s">
        <v>40947</v>
      </c>
      <c r="N1961" t="s">
        <v>40948</v>
      </c>
      <c r="O1961">
        <f>-792.242937910299 -115.535203251349 -744.852000812392</f>
        <v>-1652.63014197404</v>
      </c>
      <c r="P1961">
        <f>-747.506236779596 -118.526670880711 -431.521779088599</f>
        <v>-1297.5546867489059</v>
      </c>
      <c r="Q1961">
        <f>-503.377164246026 -56.5088898333354 -366.738715492779</f>
        <v>-926.62476957214039</v>
      </c>
      <c r="R1961" t="s">
        <v>40949</v>
      </c>
      <c r="S1961" t="s">
        <v>40950</v>
      </c>
      <c r="T1961" t="s">
        <v>40951</v>
      </c>
      <c r="U1961" t="s">
        <v>40952</v>
      </c>
      <c r="V1961">
        <f>-721.360475472063 -22.5178191843306 -232.839122627177</f>
        <v>-976.71741728357051</v>
      </c>
      <c r="W1961" t="s">
        <v>40953</v>
      </c>
      <c r="X1961" t="s">
        <v>40954</v>
      </c>
      <c r="Y1961" t="s">
        <v>40955</v>
      </c>
    </row>
    <row r="1962" spans="1:25" x14ac:dyDescent="0.3">
      <c r="A1962">
        <v>98050</v>
      </c>
      <c r="B1962" t="s">
        <v>40956</v>
      </c>
      <c r="C1962" t="s">
        <v>40957</v>
      </c>
      <c r="D1962" t="s">
        <v>40958</v>
      </c>
      <c r="E1962" t="s">
        <v>40959</v>
      </c>
      <c r="F1962" t="s">
        <v>40960</v>
      </c>
      <c r="G1962" t="s">
        <v>40961</v>
      </c>
      <c r="H1962" t="s">
        <v>40962</v>
      </c>
      <c r="I1962" t="s">
        <v>40963</v>
      </c>
      <c r="J1962" t="s">
        <v>40964</v>
      </c>
      <c r="K1962" t="s">
        <v>40965</v>
      </c>
      <c r="L1962" t="s">
        <v>40966</v>
      </c>
      <c r="M1962" t="s">
        <v>40967</v>
      </c>
      <c r="N1962" t="s">
        <v>40968</v>
      </c>
      <c r="O1962">
        <f>-799.37158415573 -120.431730900372 -744.866655496599</f>
        <v>-1664.6699705527012</v>
      </c>
      <c r="P1962">
        <f>-758.506896439391 -118.098076104294 -431.00233395727</f>
        <v>-1307.607306500955</v>
      </c>
      <c r="Q1962">
        <f>-516.3071808978 -53.0280529741992 -362.102140788892</f>
        <v>-931.43737466089124</v>
      </c>
      <c r="R1962" t="s">
        <v>40969</v>
      </c>
      <c r="S1962" t="s">
        <v>40970</v>
      </c>
      <c r="T1962" t="s">
        <v>40971</v>
      </c>
      <c r="U1962" t="s">
        <v>40972</v>
      </c>
      <c r="V1962">
        <f>-733.503723025436 -25.8405150227395 -234.368986868946</f>
        <v>-993.71322491712147</v>
      </c>
      <c r="W1962" t="s">
        <v>40973</v>
      </c>
      <c r="X1962" t="s">
        <v>40974</v>
      </c>
      <c r="Y1962" t="s">
        <v>40975</v>
      </c>
    </row>
    <row r="1963" spans="1:25" x14ac:dyDescent="0.3">
      <c r="A1963">
        <v>98100</v>
      </c>
      <c r="B1963" t="s">
        <v>40976</v>
      </c>
      <c r="C1963" t="s">
        <v>40977</v>
      </c>
      <c r="D1963" t="s">
        <v>40978</v>
      </c>
      <c r="E1963" t="s">
        <v>40979</v>
      </c>
      <c r="F1963" t="s">
        <v>40980</v>
      </c>
      <c r="G1963" t="s">
        <v>40981</v>
      </c>
      <c r="H1963" t="s">
        <v>40982</v>
      </c>
      <c r="I1963" t="s">
        <v>40983</v>
      </c>
      <c r="J1963" t="s">
        <v>40984</v>
      </c>
      <c r="K1963" t="s">
        <v>40985</v>
      </c>
      <c r="L1963" t="s">
        <v>40986</v>
      </c>
      <c r="M1963" t="s">
        <v>40987</v>
      </c>
      <c r="N1963" t="s">
        <v>40988</v>
      </c>
      <c r="O1963">
        <f>-802.634276111353 -122.248350290457 -744.287875897743</f>
        <v>-1669.1705022995529</v>
      </c>
      <c r="P1963">
        <f>-764.118188732223 -118.513114838622 -430.14013884277</f>
        <v>-1312.771442413615</v>
      </c>
      <c r="Q1963">
        <f>-522.680451460829 -52.3055193101648 -359.667031046237</f>
        <v>-934.65300181723069</v>
      </c>
      <c r="R1963" t="s">
        <v>40989</v>
      </c>
      <c r="S1963" t="s">
        <v>40990</v>
      </c>
      <c r="T1963" t="s">
        <v>40991</v>
      </c>
      <c r="U1963" t="s">
        <v>40992</v>
      </c>
      <c r="V1963">
        <f>-738.322113766776 -26.7457384370032 -234.35678416375</f>
        <v>-999.42463636752927</v>
      </c>
      <c r="W1963" t="s">
        <v>40993</v>
      </c>
      <c r="X1963" t="s">
        <v>40994</v>
      </c>
      <c r="Y1963" t="s">
        <v>40995</v>
      </c>
    </row>
    <row r="1964" spans="1:25" x14ac:dyDescent="0.3">
      <c r="A1964">
        <v>98150</v>
      </c>
      <c r="B1964" t="s">
        <v>40996</v>
      </c>
      <c r="C1964" t="s">
        <v>40997</v>
      </c>
      <c r="D1964" t="s">
        <v>40998</v>
      </c>
      <c r="E1964" t="s">
        <v>40999</v>
      </c>
      <c r="F1964" t="s">
        <v>41000</v>
      </c>
      <c r="G1964" t="s">
        <v>41001</v>
      </c>
      <c r="H1964" t="s">
        <v>41002</v>
      </c>
      <c r="I1964" t="s">
        <v>41003</v>
      </c>
      <c r="J1964" t="s">
        <v>41004</v>
      </c>
      <c r="K1964" t="s">
        <v>41005</v>
      </c>
      <c r="L1964" t="s">
        <v>41006</v>
      </c>
      <c r="M1964" t="s">
        <v>41007</v>
      </c>
      <c r="N1964" t="s">
        <v>41008</v>
      </c>
      <c r="O1964">
        <f>-809.21555272513 -125.183765065711 -742.701026218858</f>
        <v>-1677.100344009699</v>
      </c>
      <c r="P1964">
        <f>-773.158953556424 -119.747873326665 -428.286373431072</f>
        <v>-1321.193200314161</v>
      </c>
      <c r="Q1964">
        <f>-532.033868058439 -52.6969712381008 -357.540933665375</f>
        <v>-942.27177296191485</v>
      </c>
      <c r="R1964" t="s">
        <v>41009</v>
      </c>
      <c r="S1964" t="s">
        <v>41010</v>
      </c>
      <c r="T1964" t="s">
        <v>41011</v>
      </c>
      <c r="U1964" t="s">
        <v>41012</v>
      </c>
      <c r="V1964">
        <f>-746.813887253605 -27.9288000995637 -233.717418188838</f>
        <v>-1008.4601055420067</v>
      </c>
      <c r="W1964" t="s">
        <v>41013</v>
      </c>
      <c r="X1964" t="s">
        <v>41014</v>
      </c>
      <c r="Y1964" t="s">
        <v>41015</v>
      </c>
    </row>
    <row r="1965" spans="1:25" x14ac:dyDescent="0.3">
      <c r="A1965">
        <v>98200</v>
      </c>
      <c r="B1965" t="s">
        <v>41016</v>
      </c>
      <c r="C1965" t="s">
        <v>41017</v>
      </c>
      <c r="D1965" t="s">
        <v>41018</v>
      </c>
      <c r="E1965" t="s">
        <v>41019</v>
      </c>
      <c r="F1965" t="s">
        <v>41020</v>
      </c>
      <c r="G1965" t="s">
        <v>41021</v>
      </c>
      <c r="H1965" t="s">
        <v>41022</v>
      </c>
      <c r="I1965" t="s">
        <v>41023</v>
      </c>
      <c r="J1965" t="s">
        <v>41024</v>
      </c>
      <c r="K1965" t="s">
        <v>41025</v>
      </c>
      <c r="L1965" t="s">
        <v>41026</v>
      </c>
      <c r="M1965" t="s">
        <v>41027</v>
      </c>
      <c r="N1965" t="s">
        <v>41028</v>
      </c>
      <c r="O1965">
        <f>-812.983687200185 -126.305819834026 -741.802648235456</f>
        <v>-1681.092155269667</v>
      </c>
      <c r="P1965">
        <f>-776.958965897673 -119.562133273704 -427.409644125848</f>
        <v>-1323.930743297225</v>
      </c>
      <c r="Q1965">
        <f>-535.244586744765 -53.7475291276855 -357.519657586169</f>
        <v>-946.51177345861947</v>
      </c>
      <c r="R1965" t="s">
        <v>41029</v>
      </c>
      <c r="S1965" t="s">
        <v>41030</v>
      </c>
      <c r="T1965" t="s">
        <v>41031</v>
      </c>
      <c r="U1965" t="s">
        <v>41032</v>
      </c>
      <c r="V1965">
        <f>-750.694215769544 -28.2044949460292 -233.270501943942</f>
        <v>-1012.1692126595152</v>
      </c>
      <c r="W1965" t="s">
        <v>41033</v>
      </c>
      <c r="X1965" t="s">
        <v>41034</v>
      </c>
      <c r="Y1965" t="s">
        <v>41035</v>
      </c>
    </row>
    <row r="1966" spans="1:25" x14ac:dyDescent="0.3">
      <c r="A1966">
        <v>98250</v>
      </c>
      <c r="B1966" t="s">
        <v>41036</v>
      </c>
      <c r="C1966" t="s">
        <v>41037</v>
      </c>
      <c r="D1966" t="s">
        <v>41038</v>
      </c>
      <c r="E1966" t="s">
        <v>41039</v>
      </c>
      <c r="F1966" t="s">
        <v>41040</v>
      </c>
      <c r="G1966" t="s">
        <v>41041</v>
      </c>
      <c r="H1966" t="s">
        <v>41042</v>
      </c>
      <c r="I1966" t="s">
        <v>41043</v>
      </c>
      <c r="J1966" t="s">
        <v>41044</v>
      </c>
      <c r="K1966" t="s">
        <v>41045</v>
      </c>
      <c r="L1966" t="s">
        <v>41046</v>
      </c>
      <c r="M1966" t="s">
        <v>41047</v>
      </c>
      <c r="N1966" t="s">
        <v>41048</v>
      </c>
      <c r="O1966">
        <f>-821.039298470482 -127.512065040867 -740.050835696799</f>
        <v>-1688.602199208148</v>
      </c>
      <c r="P1966">
        <f>-782.89451662458 -120.944014737759 -425.90429804473</f>
        <v>-1329.7428294070689</v>
      </c>
      <c r="Q1966">
        <f>-539.50525761467 -58.8371736402412 -358.476771823728</f>
        <v>-956.81920307863913</v>
      </c>
      <c r="R1966" t="s">
        <v>41049</v>
      </c>
      <c r="S1966" t="s">
        <v>41050</v>
      </c>
      <c r="T1966" t="s">
        <v>41051</v>
      </c>
      <c r="U1966" t="s">
        <v>41052</v>
      </c>
      <c r="V1966">
        <f>-757.816937753626 -29.0005224569932 -232.365741938637</f>
        <v>-1019.1832021492562</v>
      </c>
      <c r="W1966" t="s">
        <v>41053</v>
      </c>
      <c r="X1966" t="s">
        <v>41054</v>
      </c>
      <c r="Y1966" t="s">
        <v>41055</v>
      </c>
    </row>
    <row r="1967" spans="1:25" x14ac:dyDescent="0.3">
      <c r="A1967">
        <v>98300</v>
      </c>
      <c r="B1967" t="s">
        <v>41056</v>
      </c>
      <c r="C1967" t="s">
        <v>41057</v>
      </c>
      <c r="D1967" t="s">
        <v>41058</v>
      </c>
      <c r="E1967" t="s">
        <v>41059</v>
      </c>
      <c r="F1967" t="s">
        <v>41060</v>
      </c>
      <c r="G1967" t="s">
        <v>41061</v>
      </c>
      <c r="H1967" t="s">
        <v>41062</v>
      </c>
      <c r="I1967" t="s">
        <v>41063</v>
      </c>
      <c r="J1967" t="s">
        <v>41064</v>
      </c>
      <c r="K1967" t="s">
        <v>41065</v>
      </c>
      <c r="L1967" t="s">
        <v>41066</v>
      </c>
      <c r="M1967" t="s">
        <v>41067</v>
      </c>
      <c r="N1967" t="s">
        <v>41068</v>
      </c>
      <c r="O1967">
        <f>-824.561119194163 -128.08572062913 -739.454857919983</f>
        <v>-1692.101697743276</v>
      </c>
      <c r="P1967">
        <f>-785.662081919544 -121.688458311999 -425.397339604533</f>
        <v>-1332.747879836076</v>
      </c>
      <c r="Q1967">
        <f>-541.518222291938 -60.3827095351419 -359.995179495458</f>
        <v>-961.89611132253776</v>
      </c>
      <c r="R1967" t="s">
        <v>41069</v>
      </c>
      <c r="S1967" t="s">
        <v>41070</v>
      </c>
      <c r="T1967" t="s">
        <v>41071</v>
      </c>
      <c r="U1967" t="s">
        <v>41072</v>
      </c>
      <c r="V1967">
        <f>-761.028206325999 -29.2880443606243 -232.013025016465</f>
        <v>-1022.3292757030883</v>
      </c>
      <c r="W1967" t="s">
        <v>41073</v>
      </c>
      <c r="X1967" t="s">
        <v>41074</v>
      </c>
      <c r="Y1967" t="s">
        <v>41075</v>
      </c>
    </row>
    <row r="1968" spans="1:25" x14ac:dyDescent="0.3">
      <c r="A1968">
        <v>98350</v>
      </c>
      <c r="B1968" t="s">
        <v>41076</v>
      </c>
      <c r="C1968" t="s">
        <v>41077</v>
      </c>
      <c r="D1968" t="s">
        <v>41078</v>
      </c>
      <c r="E1968" t="s">
        <v>41079</v>
      </c>
      <c r="F1968" t="s">
        <v>41080</v>
      </c>
      <c r="G1968" t="s">
        <v>41081</v>
      </c>
      <c r="H1968" t="s">
        <v>41082</v>
      </c>
      <c r="I1968" t="s">
        <v>41083</v>
      </c>
      <c r="J1968" t="s">
        <v>41084</v>
      </c>
      <c r="K1968" t="s">
        <v>41085</v>
      </c>
      <c r="L1968" t="s">
        <v>41086</v>
      </c>
      <c r="M1968" t="s">
        <v>41087</v>
      </c>
      <c r="N1968">
        <f>-770.066916666133 -0.579894795283735 -775.757548669721</f>
        <v>-1546.4043601311378</v>
      </c>
      <c r="O1968">
        <f>-829.882318924622 -129.61065460343 -738.362498244911</f>
        <v>-1697.855471772963</v>
      </c>
      <c r="P1968">
        <f>-790.130078770585 -123.767833558322 -424.400919933848</f>
        <v>-1338.298832262755</v>
      </c>
      <c r="Q1968">
        <f>-544.493620880662 -62.7985276551581 -364.505421211039</f>
        <v>-971.79756974685904</v>
      </c>
      <c r="R1968" t="s">
        <v>41088</v>
      </c>
      <c r="S1968" t="s">
        <v>41089</v>
      </c>
      <c r="T1968" t="s">
        <v>41090</v>
      </c>
      <c r="U1968" t="s">
        <v>41091</v>
      </c>
      <c r="V1968">
        <f>-766.290725857626 -30.1713566374524 -231.321905832034</f>
        <v>-1027.7839883271124</v>
      </c>
      <c r="W1968" t="s">
        <v>41092</v>
      </c>
      <c r="X1968" t="s">
        <v>41093</v>
      </c>
      <c r="Y1968" t="s">
        <v>41094</v>
      </c>
    </row>
    <row r="1969" spans="1:25" x14ac:dyDescent="0.3">
      <c r="A1969">
        <v>98400</v>
      </c>
      <c r="B1969" t="s">
        <v>41095</v>
      </c>
      <c r="C1969" t="s">
        <v>41096</v>
      </c>
      <c r="D1969" t="s">
        <v>41097</v>
      </c>
      <c r="E1969" t="s">
        <v>41098</v>
      </c>
      <c r="F1969" t="s">
        <v>41099</v>
      </c>
      <c r="G1969" t="s">
        <v>41100</v>
      </c>
      <c r="H1969" t="s">
        <v>41101</v>
      </c>
      <c r="I1969" t="s">
        <v>41102</v>
      </c>
      <c r="J1969" t="s">
        <v>41103</v>
      </c>
      <c r="K1969" t="s">
        <v>41104</v>
      </c>
      <c r="L1969" t="s">
        <v>41105</v>
      </c>
      <c r="M1969" t="s">
        <v>41106</v>
      </c>
      <c r="N1969">
        <f>-771.47531886664 -1.35684330300319 -775.543362093872</f>
        <v>-1548.3755242635152</v>
      </c>
      <c r="O1969">
        <f>-831.58798842425 -130.228813140254 -737.999459776152</f>
        <v>-1699.8162613406562</v>
      </c>
      <c r="P1969">
        <f>-791.298849338776 -124.775374728274 -424.099429891448</f>
        <v>-1340.1736539584979</v>
      </c>
      <c r="Q1969">
        <f>-545.031886604751 -63.4169663838472 -367.268486509188</f>
        <v>-975.71733949778627</v>
      </c>
      <c r="R1969" t="s">
        <v>41107</v>
      </c>
      <c r="S1969" t="s">
        <v>41108</v>
      </c>
      <c r="T1969" t="s">
        <v>41109</v>
      </c>
      <c r="U1969" t="s">
        <v>41110</v>
      </c>
      <c r="V1969">
        <f>-768.405325265816 -30.5920635540747 -230.985930734862</f>
        <v>-1029.9833195547526</v>
      </c>
      <c r="W1969" t="s">
        <v>41111</v>
      </c>
      <c r="X1969" t="s">
        <v>41112</v>
      </c>
      <c r="Y1969" t="s">
        <v>41113</v>
      </c>
    </row>
    <row r="1970" spans="1:25" x14ac:dyDescent="0.3">
      <c r="A1970">
        <v>98450</v>
      </c>
      <c r="B1970" t="s">
        <v>41114</v>
      </c>
      <c r="C1970" t="s">
        <v>41115</v>
      </c>
      <c r="D1970" t="s">
        <v>41116</v>
      </c>
      <c r="E1970" t="s">
        <v>41117</v>
      </c>
      <c r="F1970" t="s">
        <v>41118</v>
      </c>
      <c r="G1970" t="s">
        <v>41119</v>
      </c>
      <c r="H1970" t="s">
        <v>41120</v>
      </c>
      <c r="I1970" t="s">
        <v>41121</v>
      </c>
      <c r="J1970" t="s">
        <v>41122</v>
      </c>
      <c r="K1970" t="s">
        <v>41123</v>
      </c>
      <c r="L1970" t="s">
        <v>41124</v>
      </c>
      <c r="M1970" t="s">
        <v>41125</v>
      </c>
      <c r="N1970">
        <f>-774.007964027122 -2.30681153625756 -775.151879520178</f>
        <v>-1551.4666550835575</v>
      </c>
      <c r="O1970">
        <f>-834.781410076984 -130.800513947211 -737.466198702974</f>
        <v>-1703.0481227271689</v>
      </c>
      <c r="P1970">
        <f>-793.890439772623 -126.342586374625 -423.628262596988</f>
        <v>-1343.8612887442359</v>
      </c>
      <c r="Q1970">
        <f>-546.88681546051 -63.4269122546464 -371.928295493976</f>
        <v>-982.24202320913241</v>
      </c>
      <c r="R1970" t="s">
        <v>41126</v>
      </c>
      <c r="S1970" t="s">
        <v>41127</v>
      </c>
      <c r="T1970" t="s">
        <v>41128</v>
      </c>
      <c r="U1970" t="s">
        <v>41129</v>
      </c>
      <c r="V1970">
        <f>-771.236799752336 -30.9154323961902 -230.350481067149</f>
        <v>-1032.5027132156752</v>
      </c>
      <c r="W1970" t="s">
        <v>41130</v>
      </c>
      <c r="X1970" t="s">
        <v>41131</v>
      </c>
      <c r="Y1970" t="s">
        <v>41132</v>
      </c>
    </row>
    <row r="1971" spans="1:25" x14ac:dyDescent="0.3">
      <c r="A1971">
        <v>98500</v>
      </c>
      <c r="B1971" t="s">
        <v>41133</v>
      </c>
      <c r="C1971" t="s">
        <v>41134</v>
      </c>
      <c r="D1971" t="s">
        <v>41135</v>
      </c>
      <c r="E1971" t="s">
        <v>41136</v>
      </c>
      <c r="F1971" t="s">
        <v>41137</v>
      </c>
      <c r="G1971" t="s">
        <v>41138</v>
      </c>
      <c r="H1971" t="s">
        <v>41139</v>
      </c>
      <c r="I1971" t="s">
        <v>41140</v>
      </c>
      <c r="J1971" t="s">
        <v>41141</v>
      </c>
      <c r="K1971" t="s">
        <v>41142</v>
      </c>
      <c r="L1971" t="s">
        <v>41143</v>
      </c>
      <c r="M1971" t="s">
        <v>41144</v>
      </c>
      <c r="N1971">
        <f>-774.655689205882 -2.57118043701166 -774.976786083929</f>
        <v>-1552.2036557268227</v>
      </c>
      <c r="O1971">
        <f>-835.881873366962 -130.843221817788 -737.273243659015</f>
        <v>-1703.9983388437649</v>
      </c>
      <c r="P1971">
        <f>-794.554851274688 -127.358366406309 -423.480060430427</f>
        <v>-1345.393278111424</v>
      </c>
      <c r="Q1971">
        <f>-547.373924839142 -63.6174680122485 -373.672873632113</f>
        <v>-984.66426648350352</v>
      </c>
      <c r="R1971" t="s">
        <v>41145</v>
      </c>
      <c r="S1971" t="s">
        <v>41146</v>
      </c>
      <c r="T1971" t="s">
        <v>41147</v>
      </c>
      <c r="U1971" t="s">
        <v>41148</v>
      </c>
      <c r="V1971">
        <f>-772.058271042068 -31.0369064840445 -230.025148958181</f>
        <v>-1033.1203264842934</v>
      </c>
      <c r="W1971" t="s">
        <v>41149</v>
      </c>
      <c r="X1971" t="s">
        <v>41150</v>
      </c>
      <c r="Y1971" t="s">
        <v>41151</v>
      </c>
    </row>
    <row r="1972" spans="1:25" x14ac:dyDescent="0.3">
      <c r="A1972">
        <v>98550</v>
      </c>
      <c r="B1972" t="s">
        <v>41152</v>
      </c>
      <c r="C1972" t="s">
        <v>41153</v>
      </c>
      <c r="D1972" t="s">
        <v>41154</v>
      </c>
      <c r="E1972" t="s">
        <v>41155</v>
      </c>
      <c r="F1972" t="s">
        <v>41156</v>
      </c>
      <c r="G1972" t="s">
        <v>41157</v>
      </c>
      <c r="H1972" t="s">
        <v>41158</v>
      </c>
      <c r="I1972" t="s">
        <v>41159</v>
      </c>
      <c r="J1972" t="s">
        <v>41160</v>
      </c>
      <c r="K1972" t="s">
        <v>41161</v>
      </c>
      <c r="L1972" t="s">
        <v>41162</v>
      </c>
      <c r="M1972" t="s">
        <v>41163</v>
      </c>
      <c r="N1972">
        <f>-775.116135897016 -3.89115175446364 -774.59711822033</f>
        <v>-1553.6044058718096</v>
      </c>
      <c r="O1972">
        <f>-837.144668117474 -131.702713466421 -736.632052228739</f>
        <v>-1705.4794338126339</v>
      </c>
      <c r="P1972">
        <f>-795.338828464218 -128.681942949655 -422.897541721727</f>
        <v>-1346.9183131355999</v>
      </c>
      <c r="Q1972">
        <f>-547.832095412243 -64.5341016145783 -375.279289729845</f>
        <v>-987.64548675666629</v>
      </c>
      <c r="R1972" t="s">
        <v>41164</v>
      </c>
      <c r="S1972" t="s">
        <v>41165</v>
      </c>
      <c r="T1972" t="s">
        <v>41166</v>
      </c>
      <c r="U1972" t="s">
        <v>41167</v>
      </c>
      <c r="V1972">
        <f>-773.589983023079 -31.359616509885 -229.473008456468</f>
        <v>-1034.422607989432</v>
      </c>
      <c r="W1972" t="s">
        <v>41168</v>
      </c>
      <c r="X1972" t="s">
        <v>41169</v>
      </c>
      <c r="Y1972" t="s">
        <v>41170</v>
      </c>
    </row>
    <row r="1973" spans="1:25" x14ac:dyDescent="0.3">
      <c r="A1973">
        <v>98600</v>
      </c>
      <c r="B1973" t="s">
        <v>41171</v>
      </c>
      <c r="C1973" t="s">
        <v>41172</v>
      </c>
      <c r="D1973" t="s">
        <v>41173</v>
      </c>
      <c r="E1973" t="s">
        <v>41174</v>
      </c>
      <c r="F1973" t="s">
        <v>41175</v>
      </c>
      <c r="G1973" t="s">
        <v>41176</v>
      </c>
      <c r="H1973" t="s">
        <v>41177</v>
      </c>
      <c r="I1973">
        <f>-722.223686995557 -0.321137482872928 -937.834807629836</f>
        <v>-1660.3796321082659</v>
      </c>
      <c r="J1973" t="s">
        <v>41178</v>
      </c>
      <c r="K1973" t="s">
        <v>41179</v>
      </c>
      <c r="L1973" t="s">
        <v>41180</v>
      </c>
      <c r="M1973" t="s">
        <v>41181</v>
      </c>
      <c r="N1973">
        <f>-775.113091226732 -4.28385499920228 -774.47095484931</f>
        <v>-1553.8679010752444</v>
      </c>
      <c r="O1973">
        <f>-837.362651845393 -131.969048535471 -736.40008450399</f>
        <v>-1705.7317848848538</v>
      </c>
      <c r="P1973">
        <f>-795.502758245711 -129.274209290601 -422.669769291802</f>
        <v>-1347.4467368281139</v>
      </c>
      <c r="Q1973">
        <f>-548.023275617301 -63.970990662538 -376.50169218822</f>
        <v>-988.49595846805903</v>
      </c>
      <c r="R1973" t="s">
        <v>41182</v>
      </c>
      <c r="S1973" t="s">
        <v>41183</v>
      </c>
      <c r="T1973" t="s">
        <v>41184</v>
      </c>
      <c r="U1973" t="s">
        <v>41185</v>
      </c>
      <c r="V1973">
        <f>-773.902892563793 -31.3942147445771 -229.249123510373</f>
        <v>-1034.546230818743</v>
      </c>
      <c r="W1973" t="s">
        <v>41186</v>
      </c>
      <c r="X1973" t="s">
        <v>41187</v>
      </c>
      <c r="Y1973" t="s">
        <v>41188</v>
      </c>
    </row>
    <row r="1974" spans="1:25" x14ac:dyDescent="0.3">
      <c r="A1974">
        <v>98650</v>
      </c>
      <c r="B1974" t="s">
        <v>41189</v>
      </c>
      <c r="C1974" t="s">
        <v>41190</v>
      </c>
      <c r="D1974" t="s">
        <v>41191</v>
      </c>
      <c r="E1974" t="s">
        <v>41192</v>
      </c>
      <c r="F1974" t="s">
        <v>41193</v>
      </c>
      <c r="G1974" t="s">
        <v>41194</v>
      </c>
      <c r="H1974" t="s">
        <v>41195</v>
      </c>
      <c r="I1974">
        <f>-722.108001438291 -1.82580128541122 -937.78831133608</f>
        <v>-1661.7221140597821</v>
      </c>
      <c r="J1974" t="s">
        <v>41196</v>
      </c>
      <c r="K1974" t="s">
        <v>41197</v>
      </c>
      <c r="L1974" t="s">
        <v>41198</v>
      </c>
      <c r="M1974" t="s">
        <v>41199</v>
      </c>
      <c r="N1974">
        <f>-774.578196027019 -5.45674336116508 -774.320382106992</f>
        <v>-1554.3553214951762</v>
      </c>
      <c r="O1974">
        <f>-836.798444088126 -133.106500456661 -736.108693503145</f>
        <v>-1706.0136380479321</v>
      </c>
      <c r="P1974">
        <f>-795.09947086886 -130.175054884854 -422.359104612157</f>
        <v>-1347.6336303658709</v>
      </c>
      <c r="Q1974">
        <f>-547.766197195062 -62.60259941199 -378.744196723791</f>
        <v>-989.11299333084298</v>
      </c>
      <c r="R1974" t="s">
        <v>41200</v>
      </c>
      <c r="S1974" t="s">
        <v>41201</v>
      </c>
      <c r="T1974" t="s">
        <v>41202</v>
      </c>
      <c r="U1974" t="s">
        <v>41203</v>
      </c>
      <c r="V1974">
        <f>-773.764166226732 -32.0057666105463 -229.035121267959</f>
        <v>-1034.8050541052373</v>
      </c>
      <c r="W1974" t="s">
        <v>41204</v>
      </c>
      <c r="X1974" t="s">
        <v>41205</v>
      </c>
      <c r="Y1974" t="s">
        <v>41206</v>
      </c>
    </row>
    <row r="1975" spans="1:25" x14ac:dyDescent="0.3">
      <c r="A1975">
        <v>98700</v>
      </c>
      <c r="B1975" t="s">
        <v>41207</v>
      </c>
      <c r="C1975" t="s">
        <v>41208</v>
      </c>
      <c r="D1975" t="s">
        <v>41209</v>
      </c>
      <c r="E1975" t="s">
        <v>41210</v>
      </c>
      <c r="F1975" t="s">
        <v>41211</v>
      </c>
      <c r="G1975" t="s">
        <v>41212</v>
      </c>
      <c r="H1975" t="s">
        <v>41213</v>
      </c>
      <c r="I1975">
        <f>-721.747381038676 -2.41094757560359 -937.911496739269</f>
        <v>-1662.0698253535486</v>
      </c>
      <c r="J1975" t="s">
        <v>41214</v>
      </c>
      <c r="K1975" t="s">
        <v>41215</v>
      </c>
      <c r="L1975" t="s">
        <v>41216</v>
      </c>
      <c r="M1975" t="s">
        <v>41217</v>
      </c>
      <c r="N1975">
        <f>-773.953960519309 -5.99991871812722 -774.380616964331</f>
        <v>-1554.3344962017673</v>
      </c>
      <c r="O1975">
        <f>-836.165067768886 -133.635369659211 -736.095188682091</f>
        <v>-1705.895626110188</v>
      </c>
      <c r="P1975">
        <f>-794.059744228066 -131.114350526769 -422.396330285245</f>
        <v>-1347.5704250400802</v>
      </c>
      <c r="Q1975">
        <f>-546.867734496044 -62.4748261150023 -379.65560464322</f>
        <v>-988.99816525426627</v>
      </c>
      <c r="R1975" t="s">
        <v>41218</v>
      </c>
      <c r="S1975" t="s">
        <v>41219</v>
      </c>
      <c r="T1975" t="s">
        <v>41220</v>
      </c>
      <c r="U1975" t="s">
        <v>41221</v>
      </c>
      <c r="V1975">
        <f>-773.37894485391 -32.3762583814339 -228.976186405155</f>
        <v>-1034.7313896404989</v>
      </c>
      <c r="W1975" t="s">
        <v>41222</v>
      </c>
      <c r="X1975" t="s">
        <v>41223</v>
      </c>
      <c r="Y1975" t="s">
        <v>41224</v>
      </c>
    </row>
    <row r="1976" spans="1:25" x14ac:dyDescent="0.3">
      <c r="A1976">
        <v>98750</v>
      </c>
      <c r="B1976" t="s">
        <v>41225</v>
      </c>
      <c r="C1976" t="s">
        <v>41226</v>
      </c>
      <c r="D1976" t="s">
        <v>41227</v>
      </c>
      <c r="E1976" t="s">
        <v>41228</v>
      </c>
      <c r="F1976" t="s">
        <v>41229</v>
      </c>
      <c r="G1976" t="s">
        <v>41230</v>
      </c>
      <c r="H1976" t="s">
        <v>41231</v>
      </c>
      <c r="I1976">
        <f>-721.549791823707 -3.46478453036138 -938.154753097144</f>
        <v>-1663.1693294512124</v>
      </c>
      <c r="J1976" t="s">
        <v>41232</v>
      </c>
      <c r="K1976" t="s">
        <v>41233</v>
      </c>
      <c r="L1976" t="s">
        <v>41234</v>
      </c>
      <c r="M1976" t="s">
        <v>41235</v>
      </c>
      <c r="N1976">
        <f>-773.018007456046 -7.06435116400985 -774.422646694891</f>
        <v>-1554.5050053149469</v>
      </c>
      <c r="O1976">
        <f>-834.967176743887 -134.781085078154 -736.029536588185</f>
        <v>-1705.7777984102258</v>
      </c>
      <c r="P1976">
        <f>-791.825441387489 -132.936489829608 -422.466940815396</f>
        <v>-1347.2288720324932</v>
      </c>
      <c r="Q1976">
        <f>-545.103256606467 -62.0927943748468 -380.616798035788</f>
        <v>-987.81284901710183</v>
      </c>
      <c r="R1976" t="s">
        <v>41236</v>
      </c>
      <c r="S1976" t="s">
        <v>41237</v>
      </c>
      <c r="T1976" t="s">
        <v>41238</v>
      </c>
      <c r="U1976" t="s">
        <v>41239</v>
      </c>
      <c r="V1976">
        <f>-772.19201890145 -33.1839184798166 -228.93514265938</f>
        <v>-1034.3110800406466</v>
      </c>
      <c r="W1976" t="s">
        <v>41240</v>
      </c>
      <c r="X1976" t="s">
        <v>41241</v>
      </c>
      <c r="Y1976" t="s">
        <v>41242</v>
      </c>
    </row>
    <row r="1977" spans="1:25" x14ac:dyDescent="0.3">
      <c r="A1977">
        <v>98800</v>
      </c>
      <c r="B1977" t="s">
        <v>41243</v>
      </c>
      <c r="C1977" t="s">
        <v>41244</v>
      </c>
      <c r="D1977" t="s">
        <v>41245</v>
      </c>
      <c r="E1977" t="s">
        <v>41246</v>
      </c>
      <c r="F1977" t="s">
        <v>41247</v>
      </c>
      <c r="G1977" t="s">
        <v>41248</v>
      </c>
      <c r="H1977" t="s">
        <v>41249</v>
      </c>
      <c r="I1977">
        <f>-721.653905259778 -3.95804110889344 -938.269074387469</f>
        <v>-1663.8810207561405</v>
      </c>
      <c r="J1977" t="s">
        <v>41250</v>
      </c>
      <c r="K1977" t="s">
        <v>41251</v>
      </c>
      <c r="L1977" t="s">
        <v>41252</v>
      </c>
      <c r="M1977" t="s">
        <v>41253</v>
      </c>
      <c r="N1977">
        <f>-772.730626895266 -7.54049611808159 -774.420453829431</f>
        <v>-1554.6915768427787</v>
      </c>
      <c r="O1977">
        <f>-834.428677943898 -135.358497706333 -735.982941068138</f>
        <v>-1705.7701167183691</v>
      </c>
      <c r="P1977">
        <f>-790.625733930694 -133.622166261259 -422.51130513513</f>
        <v>-1346.759205327083</v>
      </c>
      <c r="Q1977">
        <f>-544.192571297225 -61.5972779904844 -380.976188038241</f>
        <v>-986.76603732595026</v>
      </c>
      <c r="R1977" t="s">
        <v>41254</v>
      </c>
      <c r="S1977" t="s">
        <v>41255</v>
      </c>
      <c r="T1977" t="s">
        <v>41256</v>
      </c>
      <c r="U1977" t="s">
        <v>41257</v>
      </c>
      <c r="V1977">
        <f>-771.41022753367 -33.3633284566699 -228.898334007482</f>
        <v>-1033.6718899978218</v>
      </c>
      <c r="W1977" t="s">
        <v>41258</v>
      </c>
      <c r="X1977" t="s">
        <v>41259</v>
      </c>
      <c r="Y1977" t="s">
        <v>41260</v>
      </c>
    </row>
    <row r="1978" spans="1:25" x14ac:dyDescent="0.3">
      <c r="A1978">
        <v>98850</v>
      </c>
      <c r="B1978" t="s">
        <v>41261</v>
      </c>
      <c r="C1978" t="s">
        <v>41262</v>
      </c>
      <c r="D1978" t="s">
        <v>41263</v>
      </c>
      <c r="E1978" t="s">
        <v>41264</v>
      </c>
      <c r="F1978" t="s">
        <v>41265</v>
      </c>
      <c r="G1978" t="s">
        <v>41266</v>
      </c>
      <c r="H1978" t="s">
        <v>41267</v>
      </c>
      <c r="I1978">
        <f>-722.609702452239 -4.3578215666389 -938.374367049667</f>
        <v>-1665.341891068545</v>
      </c>
      <c r="J1978" t="s">
        <v>41268</v>
      </c>
      <c r="K1978" t="s">
        <v>41269</v>
      </c>
      <c r="L1978" t="s">
        <v>41270</v>
      </c>
      <c r="M1978" t="s">
        <v>41271</v>
      </c>
      <c r="N1978">
        <f>-772.835975552127 -7.85991308175471 -774.266389600999</f>
        <v>-1554.9622782348806</v>
      </c>
      <c r="O1978">
        <f>-833.984616532754 -135.841367860242 -735.475585960931</f>
        <v>-1705.301570353927</v>
      </c>
      <c r="P1978">
        <f>-788.591399317465 -133.875968747295 -422.23176526322</f>
        <v>-1344.69913332798</v>
      </c>
      <c r="Q1978">
        <f>-542.570996432724 -59.7688859229431 -381.930553819046</f>
        <v>-984.27043617471304</v>
      </c>
      <c r="R1978" t="s">
        <v>41272</v>
      </c>
      <c r="S1978" t="s">
        <v>41273</v>
      </c>
      <c r="T1978" t="s">
        <v>41274</v>
      </c>
      <c r="U1978" t="s">
        <v>41275</v>
      </c>
      <c r="V1978">
        <f>-769.888146560915 -33.3084383076796 -228.849616199672</f>
        <v>-1032.0462010682666</v>
      </c>
      <c r="W1978" t="s">
        <v>41276</v>
      </c>
      <c r="X1978" t="s">
        <v>41277</v>
      </c>
      <c r="Y1978" t="s">
        <v>41278</v>
      </c>
    </row>
    <row r="1979" spans="1:25" x14ac:dyDescent="0.3">
      <c r="A1979">
        <v>98900</v>
      </c>
      <c r="B1979" t="s">
        <v>41279</v>
      </c>
      <c r="C1979" t="s">
        <v>41280</v>
      </c>
      <c r="D1979" t="s">
        <v>41281</v>
      </c>
      <c r="E1979" t="s">
        <v>41282</v>
      </c>
      <c r="F1979" t="s">
        <v>41283</v>
      </c>
      <c r="G1979" t="s">
        <v>41284</v>
      </c>
      <c r="H1979" t="s">
        <v>41285</v>
      </c>
      <c r="I1979">
        <f>-723.048228254981 -4.46510358170553 -938.538963531965</f>
        <v>-1666.0522953686516</v>
      </c>
      <c r="J1979" t="s">
        <v>41286</v>
      </c>
      <c r="K1979" t="s">
        <v>41287</v>
      </c>
      <c r="L1979" t="s">
        <v>41288</v>
      </c>
      <c r="M1979" t="s">
        <v>41289</v>
      </c>
      <c r="N1979">
        <f>-772.811927081307 -7.94921537833966 -774.304025637806</f>
        <v>-1555.0651680974527</v>
      </c>
      <c r="O1979">
        <f>-833.526029679302 -136.089284137739 -735.303996736804</f>
        <v>-1704.9193105538452</v>
      </c>
      <c r="P1979">
        <f>-787.216521470032 -134.131729311494 -422.194145470096</f>
        <v>-1343.542396251622</v>
      </c>
      <c r="Q1979">
        <f>-541.418110083001 -58.6940194009292 -383.023522305031</f>
        <v>-983.13565178896124</v>
      </c>
      <c r="R1979" t="s">
        <v>41290</v>
      </c>
      <c r="S1979" t="s">
        <v>41291</v>
      </c>
      <c r="T1979" t="s">
        <v>41292</v>
      </c>
      <c r="U1979" t="s">
        <v>41293</v>
      </c>
      <c r="V1979">
        <f>-768.98472122064 -33.1866356892476 -228.877376536625</f>
        <v>-1031.0487334465126</v>
      </c>
      <c r="W1979" t="s">
        <v>41294</v>
      </c>
      <c r="X1979" t="s">
        <v>41295</v>
      </c>
      <c r="Y1979" t="s">
        <v>41296</v>
      </c>
    </row>
    <row r="1980" spans="1:25" x14ac:dyDescent="0.3">
      <c r="A1980">
        <v>98950</v>
      </c>
      <c r="B1980" t="s">
        <v>41297</v>
      </c>
      <c r="C1980" t="s">
        <v>41298</v>
      </c>
      <c r="D1980" t="s">
        <v>41299</v>
      </c>
      <c r="E1980" t="s">
        <v>41300</v>
      </c>
      <c r="F1980" t="s">
        <v>41301</v>
      </c>
      <c r="G1980" t="s">
        <v>41302</v>
      </c>
      <c r="H1980" t="s">
        <v>41303</v>
      </c>
      <c r="I1980">
        <f>-723.119926224878 -4.18117531367329 -938.675589556563</f>
        <v>-1665.9766910951143</v>
      </c>
      <c r="J1980" t="s">
        <v>41304</v>
      </c>
      <c r="K1980" t="s">
        <v>41305</v>
      </c>
      <c r="L1980" t="s">
        <v>41306</v>
      </c>
      <c r="M1980" t="s">
        <v>41307</v>
      </c>
      <c r="N1980">
        <f>-772.516623822978 -7.74956203837496 -774.348908265712</f>
        <v>-1554.6150941270648</v>
      </c>
      <c r="O1980">
        <f>-832.850031256654 -136.047273599383 -735.245071454448</f>
        <v>-1704.1423763104849</v>
      </c>
      <c r="P1980">
        <f>-785.612792645531 -133.892975176253 -422.275072506231</f>
        <v>-1341.7808403280151</v>
      </c>
      <c r="Q1980">
        <f>-539.984636972924 -57.3910515557554 -384.112559021301</f>
        <v>-981.48824754998054</v>
      </c>
      <c r="R1980" t="s">
        <v>41308</v>
      </c>
      <c r="S1980" t="s">
        <v>41309</v>
      </c>
      <c r="T1980" t="s">
        <v>41310</v>
      </c>
      <c r="U1980" t="s">
        <v>41311</v>
      </c>
      <c r="V1980">
        <f>-768.038825350003 -32.9465461943018 -228.866989499478</f>
        <v>-1029.8523610437828</v>
      </c>
      <c r="W1980" t="s">
        <v>41312</v>
      </c>
      <c r="X1980" t="s">
        <v>41313</v>
      </c>
      <c r="Y1980" t="s">
        <v>41314</v>
      </c>
    </row>
    <row r="1981" spans="1:25" x14ac:dyDescent="0.3">
      <c r="A1981">
        <v>99000</v>
      </c>
      <c r="B1981" t="s">
        <v>41315</v>
      </c>
      <c r="C1981" t="s">
        <v>41316</v>
      </c>
      <c r="D1981" t="s">
        <v>41317</v>
      </c>
      <c r="E1981" t="s">
        <v>41318</v>
      </c>
      <c r="F1981" t="s">
        <v>41319</v>
      </c>
      <c r="G1981" t="s">
        <v>41320</v>
      </c>
      <c r="H1981" t="s">
        <v>41321</v>
      </c>
      <c r="I1981">
        <f>-723.258385232957 -3.04836112382486 -938.936048303282</f>
        <v>-1665.2427946600637</v>
      </c>
      <c r="J1981" t="s">
        <v>41322</v>
      </c>
      <c r="K1981" t="s">
        <v>41323</v>
      </c>
      <c r="L1981" t="s">
        <v>41324</v>
      </c>
      <c r="M1981" t="s">
        <v>41325</v>
      </c>
      <c r="N1981">
        <f>-772.000239979892 -6.8195246623925 -774.453923550848</f>
        <v>-1553.2736881931323</v>
      </c>
      <c r="O1981">
        <f>-831.450138717106 -135.441055666911 -735.126614178744</f>
        <v>-1702.017808562761</v>
      </c>
      <c r="P1981">
        <f>-782.164747781313 -133.353306398767 -422.472142267138</f>
        <v>-1337.9901964472181</v>
      </c>
      <c r="Q1981">
        <f>-536.915169247084 -54.7747213479206 -386.138516397913</f>
        <v>-977.82840699291762</v>
      </c>
      <c r="R1981" t="s">
        <v>41326</v>
      </c>
      <c r="S1981" t="s">
        <v>41327</v>
      </c>
      <c r="T1981" t="s">
        <v>41328</v>
      </c>
      <c r="U1981" t="s">
        <v>41329</v>
      </c>
      <c r="V1981">
        <f>-765.975151070886 -32.1045120061688 -228.879260103462</f>
        <v>-1026.9589231805166</v>
      </c>
      <c r="W1981" t="s">
        <v>41330</v>
      </c>
      <c r="X1981" t="s">
        <v>41331</v>
      </c>
      <c r="Y1981" t="s">
        <v>41332</v>
      </c>
    </row>
    <row r="1982" spans="1:25" x14ac:dyDescent="0.3">
      <c r="A1982">
        <v>99050</v>
      </c>
      <c r="B1982" t="s">
        <v>41333</v>
      </c>
      <c r="C1982" t="s">
        <v>41334</v>
      </c>
      <c r="D1982" t="s">
        <v>41335</v>
      </c>
      <c r="E1982" t="s">
        <v>41336</v>
      </c>
      <c r="F1982" t="s">
        <v>41337</v>
      </c>
      <c r="G1982" t="s">
        <v>41338</v>
      </c>
      <c r="H1982" t="s">
        <v>41339</v>
      </c>
      <c r="I1982">
        <f>-722.602968341109 -1.66794760658695 -939.084285002554</f>
        <v>-1663.35520095025</v>
      </c>
      <c r="J1982" t="s">
        <v>41340</v>
      </c>
      <c r="K1982" t="s">
        <v>41341</v>
      </c>
      <c r="L1982" t="s">
        <v>41342</v>
      </c>
      <c r="M1982" t="s">
        <v>41343</v>
      </c>
      <c r="N1982">
        <f>-770.965502447525 -5.59010951301843 -774.511662081042</f>
        <v>-1551.0672740415853</v>
      </c>
      <c r="O1982">
        <f>-829.803512520349 -134.439214204554 -735.050261757739</f>
        <v>-1699.2929884826422</v>
      </c>
      <c r="P1982">
        <f>-778.404587713911 -133.162996970543 -422.731946966929</f>
        <v>-1334.2995316513829</v>
      </c>
      <c r="Q1982">
        <f>-533.527905163039 -52.9080792848417 -387.566653103142</f>
        <v>-974.00263755102276</v>
      </c>
      <c r="R1982" t="s">
        <v>41344</v>
      </c>
      <c r="S1982" t="s">
        <v>41345</v>
      </c>
      <c r="T1982" t="s">
        <v>41346</v>
      </c>
      <c r="U1982" t="s">
        <v>41347</v>
      </c>
      <c r="V1982">
        <f>-763.870934945024 -31.0706143478781 -228.859327357315</f>
        <v>-1023.8008766502171</v>
      </c>
      <c r="W1982" t="s">
        <v>41348</v>
      </c>
      <c r="X1982" t="s">
        <v>41349</v>
      </c>
      <c r="Y1982" t="s">
        <v>41350</v>
      </c>
    </row>
    <row r="1983" spans="1:25" x14ac:dyDescent="0.3">
      <c r="A1983">
        <v>99100</v>
      </c>
      <c r="B1983" t="s">
        <v>41351</v>
      </c>
      <c r="C1983" t="s">
        <v>41352</v>
      </c>
      <c r="D1983" t="s">
        <v>41353</v>
      </c>
      <c r="E1983" t="s">
        <v>41354</v>
      </c>
      <c r="F1983" t="s">
        <v>41355</v>
      </c>
      <c r="G1983" t="s">
        <v>41356</v>
      </c>
      <c r="H1983" t="s">
        <v>41357</v>
      </c>
      <c r="I1983">
        <f>-722.338554007518 -1.34758450241088 -939.14985098499</f>
        <v>-1662.835989494919</v>
      </c>
      <c r="J1983" t="s">
        <v>41358</v>
      </c>
      <c r="K1983" t="s">
        <v>41359</v>
      </c>
      <c r="L1983" t="s">
        <v>41360</v>
      </c>
      <c r="M1983" t="s">
        <v>41361</v>
      </c>
      <c r="N1983">
        <f>-770.501244137122 -5.22374783276382 -774.51251406336</f>
        <v>-1550.2375060332456</v>
      </c>
      <c r="O1983">
        <f>-829.166599395121 -134.130805085016 -734.967394999464</f>
        <v>-1698.2647994796009</v>
      </c>
      <c r="P1983">
        <f>-777.021027423986 -133.315830186403 -422.771429388146</f>
        <v>-1333.1082869985348</v>
      </c>
      <c r="Q1983">
        <f>-532.328385643843 -52.3900694667075 -387.863009564306</f>
        <v>-972.58146467485653</v>
      </c>
      <c r="R1983" t="s">
        <v>41362</v>
      </c>
      <c r="S1983" t="s">
        <v>41363</v>
      </c>
      <c r="T1983" t="s">
        <v>41364</v>
      </c>
      <c r="U1983" t="s">
        <v>41365</v>
      </c>
      <c r="V1983">
        <f>-762.932220999983 -30.5319530113109 -228.859093782783</f>
        <v>-1022.3232677940769</v>
      </c>
      <c r="W1983" t="s">
        <v>41366</v>
      </c>
      <c r="X1983" t="s">
        <v>41367</v>
      </c>
      <c r="Y1983" t="s">
        <v>41368</v>
      </c>
    </row>
    <row r="1984" spans="1:25" x14ac:dyDescent="0.3">
      <c r="A1984">
        <v>99150</v>
      </c>
      <c r="B1984" t="s">
        <v>41369</v>
      </c>
      <c r="C1984" t="s">
        <v>41370</v>
      </c>
      <c r="D1984" t="s">
        <v>41371</v>
      </c>
      <c r="E1984" t="s">
        <v>41372</v>
      </c>
      <c r="F1984" t="s">
        <v>41373</v>
      </c>
      <c r="G1984" t="s">
        <v>41374</v>
      </c>
      <c r="H1984" t="s">
        <v>41375</v>
      </c>
      <c r="I1984" t="s">
        <v>41376</v>
      </c>
      <c r="J1984" t="s">
        <v>41377</v>
      </c>
      <c r="K1984" t="s">
        <v>41378</v>
      </c>
      <c r="L1984" t="s">
        <v>41379</v>
      </c>
      <c r="M1984" t="s">
        <v>41380</v>
      </c>
      <c r="N1984">
        <f>-769.52165163012 -3.87429866100706 -774.684640100476</f>
        <v>-1548.080590391603</v>
      </c>
      <c r="O1984">
        <f>-827.765440590621 -132.965279663805 -735.07596420341</f>
        <v>-1695.8066844578359</v>
      </c>
      <c r="P1984">
        <f>-774.737099760945 -133.414629119954 -423.027818979615</f>
        <v>-1331.1795478605138</v>
      </c>
      <c r="Q1984">
        <f>-530.415832879802 -51.422463500505 -388.007342185784</f>
        <v>-969.84563856609111</v>
      </c>
      <c r="R1984" t="s">
        <v>41381</v>
      </c>
      <c r="S1984" t="s">
        <v>41382</v>
      </c>
      <c r="T1984" t="s">
        <v>41383</v>
      </c>
      <c r="U1984" t="s">
        <v>41384</v>
      </c>
      <c r="V1984">
        <f>-761.465418701815 -29.3830774008297 -228.908398604443</f>
        <v>-1019.7568947070877</v>
      </c>
      <c r="W1984" t="s">
        <v>41385</v>
      </c>
      <c r="X1984" t="s">
        <v>41386</v>
      </c>
      <c r="Y1984" t="s">
        <v>41387</v>
      </c>
    </row>
    <row r="1985" spans="1:25" x14ac:dyDescent="0.3">
      <c r="A1985">
        <v>99200</v>
      </c>
      <c r="B1985" t="s">
        <v>41388</v>
      </c>
      <c r="C1985" t="s">
        <v>41389</v>
      </c>
      <c r="D1985" t="s">
        <v>41390</v>
      </c>
      <c r="E1985" t="s">
        <v>41391</v>
      </c>
      <c r="F1985" t="s">
        <v>41392</v>
      </c>
      <c r="G1985" t="s">
        <v>41393</v>
      </c>
      <c r="H1985" t="s">
        <v>41394</v>
      </c>
      <c r="I1985" t="s">
        <v>41395</v>
      </c>
      <c r="J1985" t="s">
        <v>41396</v>
      </c>
      <c r="K1985" t="s">
        <v>41397</v>
      </c>
      <c r="L1985" t="s">
        <v>41398</v>
      </c>
      <c r="M1985" t="s">
        <v>41399</v>
      </c>
      <c r="N1985">
        <f>-769.138587282504 -3.1449883439127 -774.758348435363</f>
        <v>-1547.0419240617798</v>
      </c>
      <c r="O1985">
        <f>-827.176860345942 -132.321688629104 -735.178586502339</f>
        <v>-1694.677135477385</v>
      </c>
      <c r="P1985">
        <f>-774.00980391971 -133.151451111405 -423.154958558771</f>
        <v>-1330.316213589886</v>
      </c>
      <c r="Q1985">
        <f>-529.849420871858 -50.8191934296467 -387.811794056307</f>
        <v>-968.48040835781171</v>
      </c>
      <c r="R1985" t="s">
        <v>41400</v>
      </c>
      <c r="S1985" t="s">
        <v>41401</v>
      </c>
      <c r="T1985" t="s">
        <v>41402</v>
      </c>
      <c r="U1985" t="s">
        <v>41403</v>
      </c>
      <c r="V1985">
        <f>-761.009862694488 -28.7887490930557 -228.923675261945</f>
        <v>-1018.7222870494886</v>
      </c>
      <c r="W1985" t="s">
        <v>41404</v>
      </c>
      <c r="X1985" t="s">
        <v>41405</v>
      </c>
      <c r="Y1985" t="s">
        <v>41406</v>
      </c>
    </row>
    <row r="1986" spans="1:25" x14ac:dyDescent="0.3">
      <c r="A1986">
        <v>99250</v>
      </c>
      <c r="B1986" t="s">
        <v>41407</v>
      </c>
      <c r="C1986" t="s">
        <v>41408</v>
      </c>
      <c r="D1986" t="s">
        <v>41409</v>
      </c>
      <c r="E1986" t="s">
        <v>41410</v>
      </c>
      <c r="F1986" t="s">
        <v>41411</v>
      </c>
      <c r="G1986" t="s">
        <v>41412</v>
      </c>
      <c r="H1986" t="s">
        <v>41413</v>
      </c>
      <c r="I1986" t="s">
        <v>41414</v>
      </c>
      <c r="J1986" t="s">
        <v>41415</v>
      </c>
      <c r="K1986" t="s">
        <v>41416</v>
      </c>
      <c r="L1986" t="s">
        <v>41417</v>
      </c>
      <c r="M1986" t="s">
        <v>41418</v>
      </c>
      <c r="N1986">
        <f>-768.333381583524 -1.22521345954169 -774.904215330682</f>
        <v>-1544.4628103737477</v>
      </c>
      <c r="O1986">
        <f>-826.090543132104 -130.541173133921 -735.301430842539</f>
        <v>-1691.9331471085641</v>
      </c>
      <c r="P1986">
        <f>-772.808136760136 -131.979098022166 -423.299609295405</f>
        <v>-1328.0868440777069</v>
      </c>
      <c r="Q1986">
        <f>-529.077301929887 -48.5273605807758 -387.618593082663</f>
        <v>-965.2232555933258</v>
      </c>
      <c r="R1986" t="s">
        <v>41419</v>
      </c>
      <c r="S1986" t="s">
        <v>41420</v>
      </c>
      <c r="T1986" t="s">
        <v>41421</v>
      </c>
      <c r="U1986" t="s">
        <v>41422</v>
      </c>
      <c r="V1986">
        <f>-760.133430510549 -27.457842679938 -228.908411123043</f>
        <v>-1016.4996843135301</v>
      </c>
      <c r="W1986" t="s">
        <v>41423</v>
      </c>
      <c r="X1986" t="s">
        <v>41424</v>
      </c>
      <c r="Y1986" t="s">
        <v>41425</v>
      </c>
    </row>
    <row r="1987" spans="1:25" x14ac:dyDescent="0.3">
      <c r="A1987">
        <v>99300</v>
      </c>
      <c r="B1987" t="s">
        <v>41426</v>
      </c>
      <c r="C1987" t="s">
        <v>41427</v>
      </c>
      <c r="D1987" t="s">
        <v>41428</v>
      </c>
      <c r="E1987" t="s">
        <v>41429</v>
      </c>
      <c r="F1987" t="s">
        <v>41430</v>
      </c>
      <c r="G1987" t="s">
        <v>41431</v>
      </c>
      <c r="H1987" t="s">
        <v>41432</v>
      </c>
      <c r="I1987" t="s">
        <v>41433</v>
      </c>
      <c r="J1987" t="s">
        <v>41434</v>
      </c>
      <c r="K1987" t="s">
        <v>41435</v>
      </c>
      <c r="L1987" t="s">
        <v>41436</v>
      </c>
      <c r="M1987" t="s">
        <v>41437</v>
      </c>
      <c r="N1987">
        <f>-767.636573130665 -0.150899082784463 -775.03555167523</f>
        <v>-1542.8230238886795</v>
      </c>
      <c r="O1987">
        <f>-825.325976413523 -129.504884099618 -735.480879749056</f>
        <v>-1690.311740262197</v>
      </c>
      <c r="P1987">
        <f>-772.214415381117 -131.130345452002 -423.451038357747</f>
        <v>-1326.7957991908659</v>
      </c>
      <c r="Q1987">
        <f>-528.825956066856 -46.7180575226255 -387.69255996866</f>
        <v>-963.23657355814146</v>
      </c>
      <c r="R1987" t="s">
        <v>41438</v>
      </c>
      <c r="S1987" t="s">
        <v>41439</v>
      </c>
      <c r="T1987" t="s">
        <v>41440</v>
      </c>
      <c r="U1987" t="s">
        <v>41441</v>
      </c>
      <c r="V1987">
        <f>-759.558068275891 -26.7747175890404 -228.942931944724</f>
        <v>-1015.2757178096554</v>
      </c>
      <c r="W1987" t="s">
        <v>41442</v>
      </c>
      <c r="X1987" t="s">
        <v>41443</v>
      </c>
      <c r="Y1987" t="s">
        <v>41444</v>
      </c>
    </row>
    <row r="1988" spans="1:25" x14ac:dyDescent="0.3">
      <c r="A1988">
        <v>99350</v>
      </c>
      <c r="B1988" t="s">
        <v>41445</v>
      </c>
      <c r="C1988" t="s">
        <v>41446</v>
      </c>
      <c r="D1988" t="s">
        <v>41447</v>
      </c>
      <c r="E1988" t="s">
        <v>41448</v>
      </c>
      <c r="F1988" t="s">
        <v>41449</v>
      </c>
      <c r="G1988" t="s">
        <v>41450</v>
      </c>
      <c r="H1988" t="s">
        <v>41451</v>
      </c>
      <c r="I1988" t="s">
        <v>41452</v>
      </c>
      <c r="J1988" t="s">
        <v>41453</v>
      </c>
      <c r="K1988" t="s">
        <v>41454</v>
      </c>
      <c r="L1988" t="s">
        <v>41455</v>
      </c>
      <c r="M1988" t="s">
        <v>41456</v>
      </c>
      <c r="N1988" t="s">
        <v>41457</v>
      </c>
      <c r="O1988">
        <f>-823.131227678242 -127.727632817568 -736.126090955601</f>
        <v>-1686.9849514514108</v>
      </c>
      <c r="P1988">
        <f>-771.033554912033 -130.083987676486 -423.929961500258</f>
        <v>-1325.047504088777</v>
      </c>
      <c r="Q1988">
        <f>-528.379992254678 -43.4652987915806 -388.453926107133</f>
        <v>-960.29921715339151</v>
      </c>
      <c r="R1988" t="s">
        <v>41458</v>
      </c>
      <c r="S1988" t="s">
        <v>41459</v>
      </c>
      <c r="T1988" t="s">
        <v>41460</v>
      </c>
      <c r="U1988" t="s">
        <v>41461</v>
      </c>
      <c r="V1988">
        <f>-757.84995468229 -25.9503950301655 -229.149443061511</f>
        <v>-1012.9497927739665</v>
      </c>
      <c r="W1988" t="s">
        <v>41462</v>
      </c>
      <c r="X1988" t="s">
        <v>41463</v>
      </c>
      <c r="Y1988" t="s">
        <v>41464</v>
      </c>
    </row>
    <row r="1989" spans="1:25" x14ac:dyDescent="0.3">
      <c r="A1989">
        <v>99400</v>
      </c>
      <c r="B1989" t="s">
        <v>41465</v>
      </c>
      <c r="C1989" t="s">
        <v>41466</v>
      </c>
      <c r="D1989" t="s">
        <v>41467</v>
      </c>
      <c r="E1989" t="s">
        <v>41468</v>
      </c>
      <c r="F1989" t="s">
        <v>41469</v>
      </c>
      <c r="G1989" t="s">
        <v>41470</v>
      </c>
      <c r="H1989" t="s">
        <v>41471</v>
      </c>
      <c r="I1989" t="s">
        <v>41472</v>
      </c>
      <c r="J1989" t="s">
        <v>41473</v>
      </c>
      <c r="K1989" t="s">
        <v>41474</v>
      </c>
      <c r="L1989" t="s">
        <v>41475</v>
      </c>
      <c r="M1989" t="s">
        <v>41476</v>
      </c>
      <c r="N1989" t="s">
        <v>41477</v>
      </c>
      <c r="O1989">
        <f>-822.133319100714 -127.049191457835 -736.5100997197</f>
        <v>-1685.692610278249</v>
      </c>
      <c r="P1989">
        <f>-770.465244054511 -129.69754665573 -424.244913117708</f>
        <v>-1324.407703827949</v>
      </c>
      <c r="Q1989">
        <f>-528.102682927546 -42.222245029466 -388.882009027836</f>
        <v>-959.20693698484797</v>
      </c>
      <c r="R1989" t="s">
        <v>41478</v>
      </c>
      <c r="S1989" t="s">
        <v>41479</v>
      </c>
      <c r="T1989" t="s">
        <v>41480</v>
      </c>
      <c r="U1989" t="s">
        <v>41481</v>
      </c>
      <c r="V1989">
        <f>-757.033479253658 -25.7307854133528 -229.308019764659</f>
        <v>-1012.0722844316698</v>
      </c>
      <c r="W1989" t="s">
        <v>41482</v>
      </c>
      <c r="X1989" t="s">
        <v>41483</v>
      </c>
      <c r="Y1989" t="s">
        <v>41484</v>
      </c>
    </row>
    <row r="1990" spans="1:25" x14ac:dyDescent="0.3">
      <c r="A1990">
        <v>99450</v>
      </c>
      <c r="B1990" t="s">
        <v>41485</v>
      </c>
      <c r="C1990" t="s">
        <v>41486</v>
      </c>
      <c r="D1990" t="s">
        <v>41487</v>
      </c>
      <c r="E1990" t="s">
        <v>41488</v>
      </c>
      <c r="F1990" t="s">
        <v>41489</v>
      </c>
      <c r="G1990" t="s">
        <v>41490</v>
      </c>
      <c r="H1990" t="s">
        <v>41491</v>
      </c>
      <c r="I1990" t="s">
        <v>41492</v>
      </c>
      <c r="J1990" t="s">
        <v>41493</v>
      </c>
      <c r="K1990" t="s">
        <v>41494</v>
      </c>
      <c r="L1990" t="s">
        <v>41495</v>
      </c>
      <c r="M1990" t="s">
        <v>41496</v>
      </c>
      <c r="N1990" t="s">
        <v>41497</v>
      </c>
      <c r="O1990">
        <f>-820.146143969721 -125.452673302331 -737.465959592955</f>
        <v>-1683.0647768650069</v>
      </c>
      <c r="P1990">
        <f>-769.143193997679 -129.496592407702 -425.106320006175</f>
        <v>-1323.746106411556</v>
      </c>
      <c r="Q1990">
        <f>-527.244367938822 -40.3079522711855 -390.865247594486</f>
        <v>-958.4175678044935</v>
      </c>
      <c r="R1990" t="s">
        <v>41498</v>
      </c>
      <c r="S1990" t="s">
        <v>41499</v>
      </c>
      <c r="T1990" t="s">
        <v>41500</v>
      </c>
      <c r="U1990" t="s">
        <v>41501</v>
      </c>
      <c r="V1990">
        <f>-755.613512205341 -25.268957959297 -229.666300100762</f>
        <v>-1010.5487702654</v>
      </c>
      <c r="W1990" t="s">
        <v>41502</v>
      </c>
      <c r="X1990" t="s">
        <v>41503</v>
      </c>
      <c r="Y1990" t="s">
        <v>41504</v>
      </c>
    </row>
    <row r="1991" spans="1:25" x14ac:dyDescent="0.3">
      <c r="A1991">
        <v>99500</v>
      </c>
      <c r="B1991" t="s">
        <v>41505</v>
      </c>
      <c r="C1991" t="s">
        <v>41506</v>
      </c>
      <c r="D1991" t="s">
        <v>41507</v>
      </c>
      <c r="E1991" t="s">
        <v>41508</v>
      </c>
      <c r="F1991" t="s">
        <v>41509</v>
      </c>
      <c r="G1991" t="s">
        <v>41510</v>
      </c>
      <c r="H1991" t="s">
        <v>41511</v>
      </c>
      <c r="I1991" t="s">
        <v>41512</v>
      </c>
      <c r="J1991" t="s">
        <v>41513</v>
      </c>
      <c r="K1991" t="s">
        <v>41514</v>
      </c>
      <c r="L1991" t="s">
        <v>41515</v>
      </c>
      <c r="M1991">
        <f>-370.190580083035 -0.266349469474108 -341.404618200438</f>
        <v>-711.8615477529471</v>
      </c>
      <c r="N1991" t="s">
        <v>41516</v>
      </c>
      <c r="O1991">
        <f>-818.86013614623 -123.956922490734 -738.187151019185</f>
        <v>-1681.004209656149</v>
      </c>
      <c r="P1991">
        <f>-768.313359845378 -128.940750140076 -425.767000287394</f>
        <v>-1323.0211102728481</v>
      </c>
      <c r="Q1991">
        <f>-526.702964969694 -38.7992425185339 -391.989348543405</f>
        <v>-957.49155603163285</v>
      </c>
      <c r="R1991" t="s">
        <v>41517</v>
      </c>
      <c r="S1991" t="s">
        <v>41518</v>
      </c>
      <c r="T1991" t="s">
        <v>41519</v>
      </c>
      <c r="U1991" t="s">
        <v>41520</v>
      </c>
      <c r="V1991">
        <f>-754.996863133911 -24.9163840192161 -229.85357942586</f>
        <v>-1009.7668265789871</v>
      </c>
      <c r="W1991" t="s">
        <v>41521</v>
      </c>
      <c r="X1991" t="s">
        <v>41522</v>
      </c>
      <c r="Y1991" t="s">
        <v>41523</v>
      </c>
    </row>
    <row r="1992" spans="1:25" x14ac:dyDescent="0.3">
      <c r="A1992">
        <v>99550</v>
      </c>
      <c r="B1992" t="s">
        <v>41524</v>
      </c>
      <c r="C1992" t="s">
        <v>41525</v>
      </c>
      <c r="D1992" t="s">
        <v>41526</v>
      </c>
      <c r="E1992" t="s">
        <v>41527</v>
      </c>
      <c r="F1992" t="s">
        <v>41528</v>
      </c>
      <c r="G1992" t="s">
        <v>41529</v>
      </c>
      <c r="H1992" t="s">
        <v>41530</v>
      </c>
      <c r="I1992" t="s">
        <v>41531</v>
      </c>
      <c r="J1992" t="s">
        <v>41532</v>
      </c>
      <c r="K1992" t="s">
        <v>41533</v>
      </c>
      <c r="L1992" t="s">
        <v>41534</v>
      </c>
      <c r="M1992">
        <f>-378.433751420439 -21.7366827264252 -352.023345847807</f>
        <v>-752.19377999467122</v>
      </c>
      <c r="N1992" t="s">
        <v>41535</v>
      </c>
      <c r="O1992">
        <f>-816.375502958682 -120.161217601163 -740.171736233591</f>
        <v>-1676.708456793436</v>
      </c>
      <c r="P1992">
        <f>-766.91454467892 -127.669164134692 -427.628199692307</f>
        <v>-1322.2119085059189</v>
      </c>
      <c r="Q1992">
        <f>-526.031879002623 -35.6511709591532 -393.712826018802</f>
        <v>-955.39587598057824</v>
      </c>
      <c r="R1992" t="s">
        <v>41536</v>
      </c>
      <c r="S1992" t="s">
        <v>41537</v>
      </c>
      <c r="T1992" t="s">
        <v>41538</v>
      </c>
      <c r="U1992" t="s">
        <v>41539</v>
      </c>
      <c r="V1992">
        <f>-754.394060875675 -24.1884950168997 -230.071713057995</f>
        <v>-1008.6542689505696</v>
      </c>
      <c r="W1992" t="s">
        <v>41540</v>
      </c>
      <c r="X1992" t="s">
        <v>41541</v>
      </c>
      <c r="Y1992" t="s">
        <v>41542</v>
      </c>
    </row>
    <row r="1993" spans="1:25" x14ac:dyDescent="0.3">
      <c r="A1993">
        <v>99600</v>
      </c>
      <c r="B1993" t="s">
        <v>41543</v>
      </c>
      <c r="C1993" t="s">
        <v>41544</v>
      </c>
      <c r="D1993" t="s">
        <v>41545</v>
      </c>
      <c r="E1993" t="s">
        <v>41546</v>
      </c>
      <c r="F1993" t="s">
        <v>41547</v>
      </c>
      <c r="G1993" t="s">
        <v>41548</v>
      </c>
      <c r="H1993" t="s">
        <v>41549</v>
      </c>
      <c r="I1993" t="s">
        <v>41550</v>
      </c>
      <c r="J1993" t="s">
        <v>41551</v>
      </c>
      <c r="K1993" t="s">
        <v>41552</v>
      </c>
      <c r="L1993" t="s">
        <v>41553</v>
      </c>
      <c r="M1993">
        <f>-382.446158910759 -31.899079933738 -357.747046144169</f>
        <v>-772.09228498866605</v>
      </c>
      <c r="N1993" t="s">
        <v>41554</v>
      </c>
      <c r="O1993">
        <f>-815.096768826102 -117.634998341844 -741.368067077882</f>
        <v>-1674.0998342458279</v>
      </c>
      <c r="P1993">
        <f>-766.391752250061 -126.474008130911 -428.740574731618</f>
        <v>-1321.6063351125899</v>
      </c>
      <c r="Q1993">
        <f>-525.759147141423 -34.1371941879631 -393.928292001865</f>
        <v>-953.82463333125111</v>
      </c>
      <c r="R1993" t="s">
        <v>41555</v>
      </c>
      <c r="S1993" t="s">
        <v>41556</v>
      </c>
      <c r="T1993" t="s">
        <v>41557</v>
      </c>
      <c r="U1993" t="s">
        <v>41558</v>
      </c>
      <c r="V1993">
        <f>-754.206102414401 -23.9153579781771 -230.134004405517</f>
        <v>-1008.2554647980951</v>
      </c>
      <c r="W1993" t="s">
        <v>41559</v>
      </c>
      <c r="X1993" t="s">
        <v>41560</v>
      </c>
      <c r="Y1993" t="s">
        <v>41561</v>
      </c>
    </row>
    <row r="1994" spans="1:25" x14ac:dyDescent="0.3">
      <c r="A1994">
        <v>99650</v>
      </c>
      <c r="B1994" t="s">
        <v>41562</v>
      </c>
      <c r="C1994" t="s">
        <v>41563</v>
      </c>
      <c r="D1994" t="s">
        <v>41564</v>
      </c>
      <c r="E1994" t="s">
        <v>41565</v>
      </c>
      <c r="F1994" t="s">
        <v>41566</v>
      </c>
      <c r="G1994" t="s">
        <v>41567</v>
      </c>
      <c r="H1994" t="s">
        <v>41568</v>
      </c>
      <c r="I1994" t="s">
        <v>41569</v>
      </c>
      <c r="J1994" t="s">
        <v>41570</v>
      </c>
      <c r="K1994" t="s">
        <v>41571</v>
      </c>
      <c r="L1994" t="s">
        <v>41572</v>
      </c>
      <c r="M1994">
        <f>-387.266744276051 -41.2723405769225 -363.192483992576</f>
        <v>-791.73156884554942</v>
      </c>
      <c r="N1994" t="s">
        <v>41573</v>
      </c>
      <c r="O1994">
        <f>-813.80508435166 -115.44339224893 -742.590159431173</f>
        <v>-1671.8386360317629</v>
      </c>
      <c r="P1994">
        <f>-765.882412303618 -125.615481081006 -429.882382374027</f>
        <v>-1321.3802757586509</v>
      </c>
      <c r="Q1994">
        <f>-525.431338726039 -33.2504392176029 -393.910322361103</f>
        <v>-952.59210030474492</v>
      </c>
      <c r="R1994" t="s">
        <v>41574</v>
      </c>
      <c r="S1994" t="s">
        <v>41575</v>
      </c>
      <c r="T1994" t="s">
        <v>41576</v>
      </c>
      <c r="U1994" t="s">
        <v>41577</v>
      </c>
      <c r="V1994">
        <f>-754.005518418121 -23.9000438529019 -230.199484300178</f>
        <v>-1008.105046571201</v>
      </c>
      <c r="W1994" t="s">
        <v>41578</v>
      </c>
      <c r="X1994" t="s">
        <v>41579</v>
      </c>
      <c r="Y1994" t="s">
        <v>41580</v>
      </c>
    </row>
    <row r="1995" spans="1:25" x14ac:dyDescent="0.3">
      <c r="A1995">
        <v>99700</v>
      </c>
      <c r="B1995" t="s">
        <v>41581</v>
      </c>
      <c r="C1995" t="s">
        <v>41582</v>
      </c>
      <c r="D1995" t="s">
        <v>41583</v>
      </c>
      <c r="E1995" t="s">
        <v>41584</v>
      </c>
      <c r="F1995" t="s">
        <v>41585</v>
      </c>
      <c r="G1995" t="s">
        <v>41586</v>
      </c>
      <c r="H1995" t="s">
        <v>41587</v>
      </c>
      <c r="I1995" t="s">
        <v>41588</v>
      </c>
      <c r="J1995" t="s">
        <v>41589</v>
      </c>
      <c r="K1995" t="s">
        <v>41590</v>
      </c>
      <c r="L1995" t="s">
        <v>41591</v>
      </c>
      <c r="M1995">
        <f>-395.669457298954 -56.3844867370585 -372.251295456171</f>
        <v>-824.30523949218355</v>
      </c>
      <c r="N1995" t="s">
        <v>41592</v>
      </c>
      <c r="O1995">
        <f>-811.849962780558 -112.844261658221 -744.650800692806</f>
        <v>-1669.3450251315849</v>
      </c>
      <c r="P1995">
        <f>-766.416582773266 -125.817223766632 -431.675259439728</f>
        <v>-1323.9090659796259</v>
      </c>
      <c r="Q1995">
        <f>-526.467494966761 -33.3148339775112 -392.819587247916</f>
        <v>-952.60191619218813</v>
      </c>
      <c r="R1995" t="s">
        <v>41593</v>
      </c>
      <c r="S1995" t="s">
        <v>41594</v>
      </c>
      <c r="T1995" t="s">
        <v>41595</v>
      </c>
      <c r="U1995" t="s">
        <v>41596</v>
      </c>
      <c r="V1995">
        <f>-753.453438368808 -24.2282900231171 -230.362999856372</f>
        <v>-1008.044728248297</v>
      </c>
      <c r="W1995" t="s">
        <v>41597</v>
      </c>
      <c r="X1995" t="s">
        <v>41598</v>
      </c>
      <c r="Y1995" t="s">
        <v>41599</v>
      </c>
    </row>
    <row r="1996" spans="1:25" x14ac:dyDescent="0.3">
      <c r="A1996">
        <v>99750</v>
      </c>
      <c r="B1996" t="s">
        <v>41600</v>
      </c>
      <c r="C1996" t="s">
        <v>41601</v>
      </c>
      <c r="D1996" t="s">
        <v>41602</v>
      </c>
      <c r="E1996" t="s">
        <v>41603</v>
      </c>
      <c r="F1996" t="s">
        <v>41604</v>
      </c>
      <c r="G1996" t="s">
        <v>41605</v>
      </c>
      <c r="H1996" t="s">
        <v>41606</v>
      </c>
      <c r="I1996" t="s">
        <v>41607</v>
      </c>
      <c r="J1996" t="s">
        <v>41608</v>
      </c>
      <c r="K1996" t="s">
        <v>41609</v>
      </c>
      <c r="L1996" t="s">
        <v>41610</v>
      </c>
      <c r="M1996">
        <f>-396.4360001495 -63.4657734453997 -377.004376176945</f>
        <v>-836.90614977184464</v>
      </c>
      <c r="N1996" t="s">
        <v>41611</v>
      </c>
      <c r="O1996">
        <f>-810.592091938568 -111.573677179308 -746.227011487914</f>
        <v>-1668.39278060579</v>
      </c>
      <c r="P1996">
        <f>-767.547377875218 -127.189461055521 -433.034699223888</f>
        <v>-1327.771538154627</v>
      </c>
      <c r="Q1996">
        <f>-528.05881720559 -34.5927217830181 -391.644274499083</f>
        <v>-954.29581348769102</v>
      </c>
      <c r="R1996" t="s">
        <v>41612</v>
      </c>
      <c r="S1996" t="s">
        <v>41613</v>
      </c>
      <c r="T1996" t="s">
        <v>41614</v>
      </c>
      <c r="U1996" t="s">
        <v>41615</v>
      </c>
      <c r="V1996">
        <f>-752.88609749174 -25.045517522 -230.517921717377</f>
        <v>-1008.449536731117</v>
      </c>
      <c r="W1996" t="s">
        <v>41616</v>
      </c>
      <c r="X1996" t="s">
        <v>41617</v>
      </c>
      <c r="Y1996" t="s">
        <v>41618</v>
      </c>
    </row>
    <row r="1997" spans="1:25" x14ac:dyDescent="0.3">
      <c r="A1997">
        <v>99800</v>
      </c>
      <c r="B1997" t="s">
        <v>41619</v>
      </c>
      <c r="C1997" t="s">
        <v>41620</v>
      </c>
      <c r="D1997" t="s">
        <v>41621</v>
      </c>
      <c r="E1997" t="s">
        <v>41622</v>
      </c>
      <c r="F1997" t="s">
        <v>41623</v>
      </c>
      <c r="G1997" t="s">
        <v>41624</v>
      </c>
      <c r="H1997" t="s">
        <v>41625</v>
      </c>
      <c r="I1997" t="s">
        <v>41626</v>
      </c>
      <c r="J1997" t="s">
        <v>41627</v>
      </c>
      <c r="K1997" t="s">
        <v>41628</v>
      </c>
      <c r="L1997" t="s">
        <v>41629</v>
      </c>
      <c r="M1997">
        <f>-393.218832058318 -63.9904138392894 -379.513396829054</f>
        <v>-836.72264272666143</v>
      </c>
      <c r="N1997" t="s">
        <v>41630</v>
      </c>
      <c r="O1997">
        <f>-810.020055021173 -111.479610606748 -746.83833161548</f>
        <v>-1668.3379972434009</v>
      </c>
      <c r="P1997">
        <f>-767.873645322434 -128.045189737274 -433.572505693224</f>
        <v>-1329.491340752932</v>
      </c>
      <c r="Q1997">
        <f>-528.536608129294 -35.4002440153233 -391.420317821779</f>
        <v>-955.35716996639633</v>
      </c>
      <c r="R1997" t="s">
        <v>41631</v>
      </c>
      <c r="S1997" t="s">
        <v>41632</v>
      </c>
      <c r="T1997" t="s">
        <v>41633</v>
      </c>
      <c r="U1997" t="s">
        <v>41634</v>
      </c>
      <c r="V1997">
        <f>-752.663173795205 -25.7436261622013 -230.614966460128</f>
        <v>-1009.0217664175343</v>
      </c>
      <c r="W1997" t="s">
        <v>41635</v>
      </c>
      <c r="X1997" t="s">
        <v>41636</v>
      </c>
      <c r="Y1997" t="s">
        <v>41637</v>
      </c>
    </row>
    <row r="1998" spans="1:25" x14ac:dyDescent="0.3">
      <c r="A1998">
        <v>99850</v>
      </c>
      <c r="B1998" t="s">
        <v>41638</v>
      </c>
      <c r="C1998" t="s">
        <v>41639</v>
      </c>
      <c r="D1998" t="s">
        <v>41640</v>
      </c>
      <c r="E1998" t="s">
        <v>41641</v>
      </c>
      <c r="F1998" t="s">
        <v>41642</v>
      </c>
      <c r="G1998" t="s">
        <v>41643</v>
      </c>
      <c r="H1998" t="s">
        <v>41644</v>
      </c>
      <c r="I1998" t="s">
        <v>41645</v>
      </c>
      <c r="J1998" t="s">
        <v>41646</v>
      </c>
      <c r="K1998" t="s">
        <v>41647</v>
      </c>
      <c r="L1998" t="s">
        <v>41648</v>
      </c>
      <c r="M1998">
        <f>-380.626837953917 -59.3930926833368 -385.102296980603</f>
        <v>-825.12222761785688</v>
      </c>
      <c r="N1998" t="s">
        <v>41649</v>
      </c>
      <c r="O1998">
        <f>-808.221352058116 -110.335868476412 -748.352514525615</f>
        <v>-1666.909735060143</v>
      </c>
      <c r="P1998">
        <f>-767.723076124644 -129.315887742804 -435.006200356084</f>
        <v>-1332.0451642235319</v>
      </c>
      <c r="Q1998">
        <f>-528.834945612438 -36.220250491833 -391.328662242887</f>
        <v>-956.38385834715791</v>
      </c>
      <c r="R1998" t="s">
        <v>41650</v>
      </c>
      <c r="S1998" t="s">
        <v>41651</v>
      </c>
      <c r="T1998" t="s">
        <v>41652</v>
      </c>
      <c r="U1998" t="s">
        <v>41653</v>
      </c>
      <c r="V1998">
        <f>-752.332737738475 -27.0786822668238 -230.837550281078</f>
        <v>-1010.2489702863768</v>
      </c>
      <c r="W1998" t="s">
        <v>41654</v>
      </c>
      <c r="X1998" t="s">
        <v>41655</v>
      </c>
      <c r="Y1998" t="s">
        <v>41656</v>
      </c>
    </row>
    <row r="1999" spans="1:25" x14ac:dyDescent="0.3">
      <c r="A1999">
        <v>99900</v>
      </c>
      <c r="B1999" t="s">
        <v>41657</v>
      </c>
      <c r="C1999" t="s">
        <v>41658</v>
      </c>
      <c r="D1999" t="s">
        <v>41659</v>
      </c>
      <c r="E1999" t="s">
        <v>41660</v>
      </c>
      <c r="F1999" t="s">
        <v>41661</v>
      </c>
      <c r="G1999" t="s">
        <v>41662</v>
      </c>
      <c r="H1999" t="s">
        <v>41663</v>
      </c>
      <c r="I1999" t="s">
        <v>41664</v>
      </c>
      <c r="J1999" t="s">
        <v>41665</v>
      </c>
      <c r="K1999" t="s">
        <v>41666</v>
      </c>
      <c r="L1999" t="s">
        <v>41667</v>
      </c>
      <c r="M1999">
        <f>-373.18937055008 -56.6441834127484 -389.384780305662</f>
        <v>-819.21833426849048</v>
      </c>
      <c r="N1999" t="s">
        <v>41668</v>
      </c>
      <c r="O1999">
        <f>-807.27258176246 -109.843824047164 -749.498653224628</f>
        <v>-1666.6150590342522</v>
      </c>
      <c r="P1999">
        <f>-767.850727430623 -130.309910547936 -436.10874896405</f>
        <v>-1334.2693869426089</v>
      </c>
      <c r="Q1999">
        <f>-529.603982073646 -36.2933762519017 -390.926497238771</f>
        <v>-956.82385556431859</v>
      </c>
      <c r="R1999" t="s">
        <v>41669</v>
      </c>
      <c r="S1999" t="s">
        <v>41670</v>
      </c>
      <c r="T1999" t="s">
        <v>41671</v>
      </c>
      <c r="U1999" t="s">
        <v>41672</v>
      </c>
      <c r="V1999">
        <f>-752.21063765833 -27.864929765507 -230.865569401877</f>
        <v>-1010.941136825714</v>
      </c>
      <c r="W1999" t="s">
        <v>41673</v>
      </c>
      <c r="X1999" t="s">
        <v>41674</v>
      </c>
      <c r="Y1999" t="s">
        <v>41675</v>
      </c>
    </row>
    <row r="2000" spans="1:25" x14ac:dyDescent="0.3">
      <c r="A2000">
        <v>99950</v>
      </c>
      <c r="B2000" t="s">
        <v>41676</v>
      </c>
      <c r="C2000" t="s">
        <v>41677</v>
      </c>
      <c r="D2000" t="s">
        <v>41678</v>
      </c>
      <c r="E2000" t="s">
        <v>41679</v>
      </c>
      <c r="F2000" t="s">
        <v>41680</v>
      </c>
      <c r="G2000" t="s">
        <v>41681</v>
      </c>
      <c r="H2000" t="s">
        <v>41682</v>
      </c>
      <c r="I2000" t="s">
        <v>41683</v>
      </c>
      <c r="J2000" t="s">
        <v>41684</v>
      </c>
      <c r="K2000" t="s">
        <v>41685</v>
      </c>
      <c r="L2000" t="s">
        <v>41686</v>
      </c>
      <c r="M2000">
        <f>-357.414627582415 -52.6547568821554 -397.000271491366</f>
        <v>-807.06965595593635</v>
      </c>
      <c r="N2000" t="s">
        <v>41687</v>
      </c>
      <c r="O2000">
        <f>-804.359676428819 -108.170575066899 -752.317663342576</f>
        <v>-1664.8479148382939</v>
      </c>
      <c r="P2000">
        <f>-767.948628528242 -132.479723530429 -438.838088559053</f>
        <v>-1339.2664406177239</v>
      </c>
      <c r="Q2000">
        <f>-531.834831222594 -35.8690124233572 -388.254491913372</f>
        <v>-955.95833555932313</v>
      </c>
      <c r="R2000" t="s">
        <v>41688</v>
      </c>
      <c r="S2000" t="s">
        <v>41689</v>
      </c>
      <c r="T2000" t="s">
        <v>41690</v>
      </c>
      <c r="U2000" t="s">
        <v>41691</v>
      </c>
      <c r="V2000">
        <f>-751.907692670954 -29.3314522111527 -230.761486064287</f>
        <v>-1012.0006309463938</v>
      </c>
      <c r="W2000" t="s">
        <v>41692</v>
      </c>
      <c r="X2000" t="s">
        <v>41693</v>
      </c>
      <c r="Y2000" t="s">
        <v>41694</v>
      </c>
    </row>
    <row r="2001" spans="1:25" x14ac:dyDescent="0.3">
      <c r="A2001">
        <v>100000</v>
      </c>
      <c r="B2001" t="s">
        <v>41695</v>
      </c>
      <c r="C2001" t="s">
        <v>41696</v>
      </c>
      <c r="D2001" t="s">
        <v>41697</v>
      </c>
      <c r="E2001" t="s">
        <v>41698</v>
      </c>
      <c r="F2001" t="s">
        <v>41699</v>
      </c>
      <c r="G2001" t="s">
        <v>41700</v>
      </c>
      <c r="H2001" t="s">
        <v>41701</v>
      </c>
      <c r="I2001" t="s">
        <v>41702</v>
      </c>
      <c r="J2001" t="s">
        <v>41703</v>
      </c>
      <c r="K2001" t="s">
        <v>41704</v>
      </c>
      <c r="L2001" t="s">
        <v>41705</v>
      </c>
      <c r="M2001">
        <f>-349.392947222318 -51.5217367821363 -400.813117131476</f>
        <v>-801.72780113593035</v>
      </c>
      <c r="N2001" t="s">
        <v>41706</v>
      </c>
      <c r="O2001">
        <f>-802.326711535947 -106.661593395618 -753.741184465964</f>
        <v>-1662.7294893975291</v>
      </c>
      <c r="P2001">
        <f>-766.155692503379 -132.912136694544 -440.390322297942</f>
        <v>-1339.458151495865</v>
      </c>
      <c r="Q2001">
        <f>-531.591160011932 -34.3450590228772 -386.482764714772</f>
        <v>-952.41898374958112</v>
      </c>
      <c r="R2001" t="s">
        <v>41707</v>
      </c>
      <c r="S2001" t="s">
        <v>41708</v>
      </c>
      <c r="T2001" t="s">
        <v>41709</v>
      </c>
      <c r="U2001" t="s">
        <v>41710</v>
      </c>
      <c r="V2001">
        <f>-751.603962905423 -30.0316532727697 -230.736861780375</f>
        <v>-1012.3724779585677</v>
      </c>
      <c r="W2001" t="s">
        <v>41711</v>
      </c>
      <c r="X2001" t="s">
        <v>41712</v>
      </c>
      <c r="Y2001" t="s">
        <v>41713</v>
      </c>
    </row>
    <row r="2002" spans="1:25" x14ac:dyDescent="0.3">
      <c r="A2002">
        <v>100050</v>
      </c>
      <c r="B2002" t="s">
        <v>41714</v>
      </c>
      <c r="C2002" t="s">
        <v>41715</v>
      </c>
      <c r="D2002" t="s">
        <v>41716</v>
      </c>
      <c r="E2002" t="s">
        <v>41717</v>
      </c>
      <c r="F2002" t="s">
        <v>41718</v>
      </c>
      <c r="G2002" t="s">
        <v>41719</v>
      </c>
      <c r="H2002" t="s">
        <v>41720</v>
      </c>
      <c r="I2002" t="s">
        <v>41721</v>
      </c>
      <c r="J2002" t="s">
        <v>41722</v>
      </c>
      <c r="K2002" t="s">
        <v>41723</v>
      </c>
      <c r="L2002" t="s">
        <v>41724</v>
      </c>
      <c r="M2002">
        <f>-336.548597641083 -51.3410899559715 -402.986284704159</f>
        <v>-790.87597230121355</v>
      </c>
      <c r="N2002" t="s">
        <v>41725</v>
      </c>
      <c r="O2002">
        <f>-799.390439392508 -104.678844413083 -755.860649021124</f>
        <v>-1659.929932826715</v>
      </c>
      <c r="P2002">
        <f>-761.818372692889 -131.958160124453 -442.76259581892</f>
        <v>-1336.5391286362619</v>
      </c>
      <c r="Q2002">
        <f>-530.18461347478 -29.4070766685099 -383.846080940529</f>
        <v>-943.43777108381892</v>
      </c>
      <c r="R2002" t="s">
        <v>41726</v>
      </c>
      <c r="S2002" t="s">
        <v>41727</v>
      </c>
      <c r="T2002" t="s">
        <v>41728</v>
      </c>
      <c r="U2002" t="s">
        <v>41729</v>
      </c>
      <c r="V2002">
        <f>-750.715634782906 -31.7068293578579 -230.716316571505</f>
        <v>-1013.138780712269</v>
      </c>
      <c r="W2002" t="s">
        <v>41730</v>
      </c>
      <c r="X2002" t="s">
        <v>41731</v>
      </c>
      <c r="Y2002" t="s">
        <v>41732</v>
      </c>
    </row>
    <row r="2003" spans="1:25" x14ac:dyDescent="0.3">
      <c r="A2003">
        <v>100100</v>
      </c>
      <c r="B2003" t="s">
        <v>41733</v>
      </c>
      <c r="C2003" t="s">
        <v>41734</v>
      </c>
      <c r="D2003" t="s">
        <v>41735</v>
      </c>
      <c r="E2003" t="s">
        <v>41736</v>
      </c>
      <c r="F2003" t="s">
        <v>41737</v>
      </c>
      <c r="G2003" t="s">
        <v>41738</v>
      </c>
      <c r="H2003" t="s">
        <v>41739</v>
      </c>
      <c r="I2003" t="s">
        <v>41740</v>
      </c>
      <c r="J2003" t="s">
        <v>41741</v>
      </c>
      <c r="K2003" t="s">
        <v>41742</v>
      </c>
      <c r="L2003" t="s">
        <v>41743</v>
      </c>
      <c r="M2003">
        <f>-335.24946632237 -52.6362832323466 -399.756273458578</f>
        <v>-787.64202301329465</v>
      </c>
      <c r="N2003" t="s">
        <v>41744</v>
      </c>
      <c r="O2003">
        <f>-797.142045097628 -105.289129252322 -756.393368560593</f>
        <v>-1658.8245429105432</v>
      </c>
      <c r="P2003">
        <f>-759.449326546463 -132.738190366408 -443.324710851518</f>
        <v>-1335.5122277643889</v>
      </c>
      <c r="Q2003">
        <f>-528.881005679271 -28.4702218981142 -383.254480299246</f>
        <v>-940.60570787663119</v>
      </c>
      <c r="R2003" t="s">
        <v>41745</v>
      </c>
      <c r="S2003" t="s">
        <v>41746</v>
      </c>
      <c r="T2003" t="s">
        <v>41747</v>
      </c>
      <c r="U2003" t="s">
        <v>41748</v>
      </c>
      <c r="V2003">
        <f>-750.134434095789 -32.6442236856551 -230.773243524939</f>
        <v>-1013.5519013063831</v>
      </c>
      <c r="W2003" t="s">
        <v>41749</v>
      </c>
      <c r="X2003" t="s">
        <v>41750</v>
      </c>
      <c r="Y2003" t="s">
        <v>41751</v>
      </c>
    </row>
    <row r="2004" spans="1:25" x14ac:dyDescent="0.3">
      <c r="A2004">
        <v>100150</v>
      </c>
      <c r="B2004" t="s">
        <v>41752</v>
      </c>
      <c r="C2004" t="s">
        <v>41753</v>
      </c>
      <c r="D2004" t="s">
        <v>41754</v>
      </c>
      <c r="E2004" t="s">
        <v>41755</v>
      </c>
      <c r="F2004" t="s">
        <v>41756</v>
      </c>
      <c r="G2004" t="s">
        <v>41757</v>
      </c>
      <c r="H2004" t="s">
        <v>41758</v>
      </c>
      <c r="I2004" t="s">
        <v>41759</v>
      </c>
      <c r="J2004" t="s">
        <v>41760</v>
      </c>
      <c r="K2004" t="s">
        <v>41761</v>
      </c>
      <c r="L2004" t="s">
        <v>41762</v>
      </c>
      <c r="M2004">
        <f>-341.560988218658 -53.7647194874178 -384.600129332019</f>
        <v>-779.92583703809476</v>
      </c>
      <c r="N2004" t="s">
        <v>41763</v>
      </c>
      <c r="O2004">
        <f>-792.633506159076 -108.139202037555 -756.772611404683</f>
        <v>-1657.5453196013141</v>
      </c>
      <c r="P2004">
        <f>-755.948001089937 -134.691463075227 -443.507135927636</f>
        <v>-1334.1466000927999</v>
      </c>
      <c r="Q2004">
        <f>-526.41477863339 -28.3390668582726 -383.127475336477</f>
        <v>-937.88132082813968</v>
      </c>
      <c r="R2004" t="s">
        <v>41764</v>
      </c>
      <c r="S2004" t="s">
        <v>41765</v>
      </c>
      <c r="T2004" t="s">
        <v>41766</v>
      </c>
      <c r="U2004" t="s">
        <v>41767</v>
      </c>
      <c r="V2004">
        <f>-748.493217907321 -34.4963810726208 -230.948854829269</f>
        <v>-1013.9384538092108</v>
      </c>
      <c r="W2004" t="s">
        <v>41768</v>
      </c>
      <c r="X2004" t="s">
        <v>41769</v>
      </c>
      <c r="Y2004" t="s">
        <v>41770</v>
      </c>
    </row>
    <row r="2005" spans="1:25" x14ac:dyDescent="0.3">
      <c r="A2005">
        <v>100200</v>
      </c>
      <c r="B2005" t="s">
        <v>41771</v>
      </c>
      <c r="C2005" t="s">
        <v>41772</v>
      </c>
      <c r="D2005" t="s">
        <v>41773</v>
      </c>
      <c r="E2005" t="s">
        <v>41774</v>
      </c>
      <c r="F2005" t="s">
        <v>41775</v>
      </c>
      <c r="G2005" t="s">
        <v>41776</v>
      </c>
      <c r="H2005" t="s">
        <v>41777</v>
      </c>
      <c r="I2005" t="s">
        <v>41778</v>
      </c>
      <c r="J2005" t="s">
        <v>41779</v>
      </c>
      <c r="K2005" t="s">
        <v>41780</v>
      </c>
      <c r="L2005" t="s">
        <v>41781</v>
      </c>
      <c r="M2005">
        <f>-347.320946401352 -49.249877984071 -370.666687136906</f>
        <v>-767.23751152232899</v>
      </c>
      <c r="N2005" t="s">
        <v>41782</v>
      </c>
      <c r="O2005">
        <f>-790.556327478747 -108.846205813495 -756.833431806565</f>
        <v>-1656.2359650988069</v>
      </c>
      <c r="P2005">
        <f>-754.488424056083 -134.995958626145 -443.462244599721</f>
        <v>-1332.9466272819491</v>
      </c>
      <c r="Q2005">
        <f>-525.243333620881 -27.6939736702227 -383.670804232727</f>
        <v>-936.60811152383076</v>
      </c>
      <c r="R2005" t="s">
        <v>41783</v>
      </c>
      <c r="S2005" t="s">
        <v>41784</v>
      </c>
      <c r="T2005" t="s">
        <v>41785</v>
      </c>
      <c r="U2005" t="s">
        <v>41786</v>
      </c>
      <c r="V2005">
        <f>-747.412725251469 -35.0755842447752 -231.013889706453</f>
        <v>-1013.5021992026973</v>
      </c>
      <c r="W2005" t="s">
        <v>41787</v>
      </c>
      <c r="X2005" t="s">
        <v>41788</v>
      </c>
      <c r="Y2005" t="s">
        <v>41789</v>
      </c>
    </row>
    <row r="2006" spans="1:25" x14ac:dyDescent="0.3">
      <c r="A2006">
        <v>100250</v>
      </c>
      <c r="B2006" t="s">
        <v>41790</v>
      </c>
      <c r="C2006" t="s">
        <v>41791</v>
      </c>
      <c r="D2006" t="s">
        <v>41792</v>
      </c>
      <c r="E2006" t="s">
        <v>41793</v>
      </c>
      <c r="F2006" t="s">
        <v>41794</v>
      </c>
      <c r="G2006" t="s">
        <v>41795</v>
      </c>
      <c r="H2006" t="s">
        <v>41796</v>
      </c>
      <c r="I2006" t="s">
        <v>41797</v>
      </c>
      <c r="J2006" t="s">
        <v>41798</v>
      </c>
      <c r="K2006" t="s">
        <v>41799</v>
      </c>
      <c r="L2006" t="s">
        <v>41800</v>
      </c>
      <c r="M2006">
        <f>-353.755145290383 -34.5558023599383 -347.71945452877</f>
        <v>-736.0304021790912</v>
      </c>
      <c r="N2006" t="s">
        <v>41801</v>
      </c>
      <c r="O2006">
        <f>-786.12485739516 -109.27473083626 -756.729178455624</f>
        <v>-1652.1287666870439</v>
      </c>
      <c r="P2006">
        <f>-751.759395055625 -134.249013843161 -443.070985658522</f>
        <v>-1329.079394557308</v>
      </c>
      <c r="Q2006">
        <f>-522.873671155139 -25.6134845684799 -384.320122113484</f>
        <v>-932.8072778371029</v>
      </c>
      <c r="R2006" t="s">
        <v>41802</v>
      </c>
      <c r="S2006" t="s">
        <v>41803</v>
      </c>
      <c r="T2006" t="s">
        <v>41804</v>
      </c>
      <c r="U2006" t="s">
        <v>41805</v>
      </c>
      <c r="V2006">
        <f>-744.941285646401 -35.7882095302816 -231.059942209368</f>
        <v>-1011.7894373860506</v>
      </c>
      <c r="W2006" t="s">
        <v>41806</v>
      </c>
      <c r="X2006" t="s">
        <v>41807</v>
      </c>
      <c r="Y2006" t="s">
        <v>41808</v>
      </c>
    </row>
    <row r="2007" spans="1:25" x14ac:dyDescent="0.3">
      <c r="A2007">
        <v>100300</v>
      </c>
      <c r="B2007" t="s">
        <v>41809</v>
      </c>
      <c r="C2007" t="s">
        <v>41810</v>
      </c>
      <c r="D2007" t="s">
        <v>41811</v>
      </c>
      <c r="E2007" t="s">
        <v>41812</v>
      </c>
      <c r="F2007" t="s">
        <v>41813</v>
      </c>
      <c r="G2007" t="s">
        <v>41814</v>
      </c>
      <c r="H2007" t="s">
        <v>41815</v>
      </c>
      <c r="I2007" t="s">
        <v>41816</v>
      </c>
      <c r="J2007" t="s">
        <v>41817</v>
      </c>
      <c r="K2007" t="s">
        <v>41818</v>
      </c>
      <c r="L2007" t="s">
        <v>41819</v>
      </c>
      <c r="M2007">
        <f>-353.663220916974 -16.8865763782037 -330.78376037704</f>
        <v>-701.33355767221769</v>
      </c>
      <c r="N2007" t="s">
        <v>41820</v>
      </c>
      <c r="O2007">
        <f>-783.95740693724 -109.401534748794 -756.623923216261</f>
        <v>-1649.982864902295</v>
      </c>
      <c r="P2007">
        <f>-750.326226942807 -133.149901035788 -442.790882526672</f>
        <v>-1326.2670105052671</v>
      </c>
      <c r="Q2007">
        <f>-521.507371772995 -24.0596429115105 -384.624745340092</f>
        <v>-930.19176002459756</v>
      </c>
      <c r="R2007" t="s">
        <v>41821</v>
      </c>
      <c r="S2007" t="s">
        <v>41822</v>
      </c>
      <c r="T2007" t="s">
        <v>41823</v>
      </c>
      <c r="U2007" t="s">
        <v>41824</v>
      </c>
      <c r="V2007">
        <f>-743.754056132618 -35.7388896957686 -231.080882710956</f>
        <v>-1010.5738285393426</v>
      </c>
      <c r="W2007" t="s">
        <v>41825</v>
      </c>
      <c r="X2007" t="s">
        <v>41826</v>
      </c>
      <c r="Y2007" t="s">
        <v>41827</v>
      </c>
    </row>
    <row r="2008" spans="1:25" x14ac:dyDescent="0.3">
      <c r="A2008">
        <v>100350</v>
      </c>
      <c r="B2008" t="s">
        <v>41828</v>
      </c>
      <c r="C2008" t="s">
        <v>41829</v>
      </c>
      <c r="D2008" t="s">
        <v>41830</v>
      </c>
      <c r="E2008" t="s">
        <v>41831</v>
      </c>
      <c r="F2008" t="s">
        <v>41832</v>
      </c>
      <c r="G2008" t="s">
        <v>41833</v>
      </c>
      <c r="H2008" t="s">
        <v>41834</v>
      </c>
      <c r="I2008" t="s">
        <v>41835</v>
      </c>
      <c r="J2008" t="s">
        <v>41836</v>
      </c>
      <c r="K2008" t="s">
        <v>41837</v>
      </c>
      <c r="L2008" t="s">
        <v>41838</v>
      </c>
      <c r="M2008" t="s">
        <v>41839</v>
      </c>
      <c r="N2008" t="s">
        <v>41840</v>
      </c>
      <c r="O2008">
        <f>-779.293467993509 -108.689145810446 -756.579103912812</f>
        <v>-1644.5617177167669</v>
      </c>
      <c r="P2008">
        <f>-746.237278460538 -130.643104746737 -442.554493871392</f>
        <v>-1319.4348770786671</v>
      </c>
      <c r="Q2008">
        <f>-517.387683608346 -21.044959628571 -385.474457841821</f>
        <v>-923.90710107873792</v>
      </c>
      <c r="R2008" t="s">
        <v>41841</v>
      </c>
      <c r="S2008" t="s">
        <v>41842</v>
      </c>
      <c r="T2008" t="s">
        <v>41843</v>
      </c>
      <c r="U2008" t="s">
        <v>41844</v>
      </c>
      <c r="V2008">
        <f>-741.482613022388 -35.0705774708458 -231.115843503094</f>
        <v>-1007.6690339963278</v>
      </c>
      <c r="W2008" t="s">
        <v>41845</v>
      </c>
      <c r="X2008" t="s">
        <v>41846</v>
      </c>
      <c r="Y2008" t="s">
        <v>41847</v>
      </c>
    </row>
    <row r="2009" spans="1:25" x14ac:dyDescent="0.3">
      <c r="A2009">
        <v>100400</v>
      </c>
      <c r="B2009" t="s">
        <v>41848</v>
      </c>
      <c r="C2009" t="s">
        <v>41849</v>
      </c>
      <c r="D2009" t="s">
        <v>41850</v>
      </c>
      <c r="E2009" t="s">
        <v>41851</v>
      </c>
      <c r="F2009" t="s">
        <v>41852</v>
      </c>
      <c r="G2009" t="s">
        <v>41853</v>
      </c>
      <c r="H2009" t="s">
        <v>41854</v>
      </c>
      <c r="I2009" t="s">
        <v>41855</v>
      </c>
      <c r="J2009" t="s">
        <v>41856</v>
      </c>
      <c r="K2009" t="s">
        <v>41857</v>
      </c>
      <c r="L2009" t="s">
        <v>41858</v>
      </c>
      <c r="M2009" t="s">
        <v>41859</v>
      </c>
      <c r="N2009" t="s">
        <v>41860</v>
      </c>
      <c r="O2009">
        <f>-776.865100445979 -108.375997084474 -756.483687122744</f>
        <v>-1641.7247846531968</v>
      </c>
      <c r="P2009">
        <f>-744.132902929256 -130.17351318007 -442.414187677461</f>
        <v>-1316.720603786787</v>
      </c>
      <c r="Q2009">
        <f>-515.223338004778 -20.43321888433 -385.849212758659</f>
        <v>-921.50576964776701</v>
      </c>
      <c r="R2009" t="s">
        <v>41861</v>
      </c>
      <c r="S2009" t="s">
        <v>41862</v>
      </c>
      <c r="T2009" t="s">
        <v>41863</v>
      </c>
      <c r="U2009" t="s">
        <v>41864</v>
      </c>
      <c r="V2009">
        <f>-740.649906494577 -34.6552197493563 -231.034914961645</f>
        <v>-1006.3400412055782</v>
      </c>
      <c r="W2009" t="s">
        <v>41865</v>
      </c>
      <c r="X2009" t="s">
        <v>41866</v>
      </c>
      <c r="Y2009" t="s">
        <v>41867</v>
      </c>
    </row>
    <row r="2010" spans="1:25" x14ac:dyDescent="0.3">
      <c r="A2010">
        <v>100450</v>
      </c>
      <c r="B2010" t="s">
        <v>41868</v>
      </c>
      <c r="C2010" t="s">
        <v>41869</v>
      </c>
      <c r="D2010" t="s">
        <v>41870</v>
      </c>
      <c r="E2010" t="s">
        <v>41871</v>
      </c>
      <c r="F2010" t="s">
        <v>41872</v>
      </c>
      <c r="G2010" t="s">
        <v>41873</v>
      </c>
      <c r="H2010" t="s">
        <v>41874</v>
      </c>
      <c r="I2010" t="s">
        <v>41875</v>
      </c>
      <c r="J2010" t="s">
        <v>41876</v>
      </c>
      <c r="K2010" t="s">
        <v>41877</v>
      </c>
      <c r="L2010" t="s">
        <v>41878</v>
      </c>
      <c r="M2010" t="s">
        <v>41879</v>
      </c>
      <c r="N2010" t="s">
        <v>41880</v>
      </c>
      <c r="O2010">
        <f>-774.425976080809 -109.138125682291 -756.362029767391</f>
        <v>-1639.9261315304911</v>
      </c>
      <c r="P2010">
        <f>-742.733591207054 -130.347516466869 -442.145684982942</f>
        <v>-1315.226792656865</v>
      </c>
      <c r="Q2010">
        <f>-513.7620479068 -20.7139351359199 -385.625111128649</f>
        <v>-920.10109417136891</v>
      </c>
      <c r="R2010" t="s">
        <v>41881</v>
      </c>
      <c r="S2010" t="s">
        <v>41882</v>
      </c>
      <c r="T2010" t="s">
        <v>41883</v>
      </c>
      <c r="U2010" t="s">
        <v>41884</v>
      </c>
      <c r="V2010">
        <f>-739.40724460775 -34.3384471720303 -230.934809490757</f>
        <v>-1004.6805012705374</v>
      </c>
      <c r="W2010" t="s">
        <v>41885</v>
      </c>
      <c r="X2010" t="s">
        <v>41886</v>
      </c>
      <c r="Y2010" t="s">
        <v>41887</v>
      </c>
    </row>
    <row r="2011" spans="1:25" x14ac:dyDescent="0.3">
      <c r="A2011">
        <v>100500</v>
      </c>
      <c r="B2011" t="s">
        <v>41888</v>
      </c>
      <c r="C2011" t="s">
        <v>41889</v>
      </c>
      <c r="D2011" t="s">
        <v>41890</v>
      </c>
      <c r="E2011" t="s">
        <v>41891</v>
      </c>
      <c r="F2011" t="s">
        <v>41892</v>
      </c>
      <c r="G2011" t="s">
        <v>41893</v>
      </c>
      <c r="H2011" t="s">
        <v>41894</v>
      </c>
      <c r="I2011" t="s">
        <v>41895</v>
      </c>
      <c r="J2011" t="s">
        <v>41896</v>
      </c>
      <c r="K2011" t="s">
        <v>41897</v>
      </c>
      <c r="L2011" t="s">
        <v>41898</v>
      </c>
      <c r="M2011" t="s">
        <v>41899</v>
      </c>
      <c r="N2011" t="s">
        <v>41900</v>
      </c>
      <c r="O2011">
        <f>-773.901896938416 -109.751631069273 -756.215571270794</f>
        <v>-1639.8690992784832</v>
      </c>
      <c r="P2011">
        <f>-741.970500313336 -131.143283629676 -442.035751106752</f>
        <v>-1315.1495350497639</v>
      </c>
      <c r="Q2011">
        <f>-512.917173173232 -21.4478925769513 -385.968193109829</f>
        <v>-920.33325886001217</v>
      </c>
      <c r="R2011" t="s">
        <v>41901</v>
      </c>
      <c r="S2011" t="s">
        <v>41902</v>
      </c>
      <c r="T2011" t="s">
        <v>41903</v>
      </c>
      <c r="U2011" t="s">
        <v>41904</v>
      </c>
      <c r="V2011">
        <f>-739.058719939561 -34.2426651954081 -230.935336313185</f>
        <v>-1004.2367214481541</v>
      </c>
      <c r="W2011" t="s">
        <v>41905</v>
      </c>
      <c r="X2011" t="s">
        <v>41906</v>
      </c>
      <c r="Y2011" t="s">
        <v>41907</v>
      </c>
    </row>
    <row r="2012" spans="1:25" x14ac:dyDescent="0.3">
      <c r="A2012">
        <v>100550</v>
      </c>
      <c r="B2012" t="s">
        <v>41908</v>
      </c>
      <c r="C2012" t="s">
        <v>41909</v>
      </c>
      <c r="D2012" t="s">
        <v>41910</v>
      </c>
      <c r="E2012" t="s">
        <v>41911</v>
      </c>
      <c r="F2012" t="s">
        <v>41912</v>
      </c>
      <c r="G2012" t="s">
        <v>41913</v>
      </c>
      <c r="H2012" t="s">
        <v>41914</v>
      </c>
      <c r="I2012" t="s">
        <v>41915</v>
      </c>
      <c r="J2012" t="s">
        <v>41916</v>
      </c>
      <c r="K2012" t="s">
        <v>41917</v>
      </c>
      <c r="L2012" t="s">
        <v>41918</v>
      </c>
      <c r="M2012" t="s">
        <v>41919</v>
      </c>
      <c r="N2012" t="s">
        <v>41920</v>
      </c>
      <c r="O2012">
        <f>-773.457189101244 -109.849273316624 -755.744034144709</f>
        <v>-1639.0504965625769</v>
      </c>
      <c r="P2012">
        <f>-740.592309402859 -131.548514326657 -441.681570055369</f>
        <v>-1313.822393784885</v>
      </c>
      <c r="Q2012">
        <f>-511.335844737945 -20.9852346779187 -388.208956868205</f>
        <v>-920.53003628406873</v>
      </c>
      <c r="R2012" t="s">
        <v>41921</v>
      </c>
      <c r="S2012" t="s">
        <v>41922</v>
      </c>
      <c r="T2012" t="s">
        <v>41923</v>
      </c>
      <c r="U2012" t="s">
        <v>41924</v>
      </c>
      <c r="V2012">
        <f>-739.043058256811 -33.9497450562931 -230.881943818547</f>
        <v>-1003.8747471316511</v>
      </c>
      <c r="W2012" t="s">
        <v>41925</v>
      </c>
      <c r="X2012" t="s">
        <v>41926</v>
      </c>
      <c r="Y2012" t="s">
        <v>41927</v>
      </c>
    </row>
    <row r="2013" spans="1:25" x14ac:dyDescent="0.3">
      <c r="A2013">
        <v>100600</v>
      </c>
      <c r="B2013" t="s">
        <v>41928</v>
      </c>
      <c r="C2013" t="s">
        <v>41929</v>
      </c>
      <c r="D2013" t="s">
        <v>41930</v>
      </c>
      <c r="E2013" t="s">
        <v>41931</v>
      </c>
      <c r="F2013" t="s">
        <v>41932</v>
      </c>
      <c r="G2013" t="s">
        <v>41933</v>
      </c>
      <c r="H2013" t="s">
        <v>41934</v>
      </c>
      <c r="I2013" t="s">
        <v>41935</v>
      </c>
      <c r="J2013" t="s">
        <v>41936</v>
      </c>
      <c r="K2013" t="s">
        <v>41937</v>
      </c>
      <c r="L2013" t="s">
        <v>41938</v>
      </c>
      <c r="M2013" t="s">
        <v>41939</v>
      </c>
      <c r="N2013" t="s">
        <v>41940</v>
      </c>
      <c r="O2013">
        <f>-773.523630215063 -109.877418910952 -755.778168503776</f>
        <v>-1639.1792176297909</v>
      </c>
      <c r="P2013">
        <f>-740.202123026967 -131.453254096791 -441.755199153857</f>
        <v>-1313.4105762776148</v>
      </c>
      <c r="Q2013">
        <f>-510.806836247786 -20.5610142528712 -389.575192858277</f>
        <v>-920.94304335893423</v>
      </c>
      <c r="R2013" t="s">
        <v>41941</v>
      </c>
      <c r="S2013" t="s">
        <v>41942</v>
      </c>
      <c r="T2013" t="s">
        <v>41943</v>
      </c>
      <c r="U2013" t="s">
        <v>41944</v>
      </c>
      <c r="V2013">
        <f>-739.242305433733 -33.7833957688574 -230.932252476138</f>
        <v>-1003.9579536787285</v>
      </c>
      <c r="W2013" t="s">
        <v>41945</v>
      </c>
      <c r="X2013" t="s">
        <v>41946</v>
      </c>
      <c r="Y2013" t="s">
        <v>41947</v>
      </c>
    </row>
    <row r="2014" spans="1:25" x14ac:dyDescent="0.3">
      <c r="A2014">
        <v>100650</v>
      </c>
      <c r="B2014" t="s">
        <v>41948</v>
      </c>
      <c r="C2014" t="s">
        <v>41949</v>
      </c>
      <c r="D2014" t="s">
        <v>41950</v>
      </c>
      <c r="E2014" t="s">
        <v>41951</v>
      </c>
      <c r="F2014" t="s">
        <v>41952</v>
      </c>
      <c r="G2014" t="s">
        <v>41953</v>
      </c>
      <c r="H2014" t="s">
        <v>41954</v>
      </c>
      <c r="I2014" t="s">
        <v>41955</v>
      </c>
      <c r="J2014" t="s">
        <v>41956</v>
      </c>
      <c r="K2014" t="s">
        <v>41957</v>
      </c>
      <c r="L2014" t="s">
        <v>41958</v>
      </c>
      <c r="M2014" t="s">
        <v>41959</v>
      </c>
      <c r="N2014" t="s">
        <v>41960</v>
      </c>
      <c r="O2014">
        <f>-773.18032253361 -109.928119547383 -755.883861571207</f>
        <v>-1638.9923036522</v>
      </c>
      <c r="P2014">
        <f>-739.597579322576 -131.607588730228 -441.895958730971</f>
        <v>-1313.101126783775</v>
      </c>
      <c r="Q2014">
        <f>-510.129357425246 -20.4899463969452 -390.522213052581</f>
        <v>-921.14151687477215</v>
      </c>
      <c r="R2014" t="s">
        <v>41961</v>
      </c>
      <c r="S2014" t="s">
        <v>41962</v>
      </c>
      <c r="T2014" t="s">
        <v>41963</v>
      </c>
      <c r="U2014" t="s">
        <v>41964</v>
      </c>
      <c r="V2014">
        <f>-739.488133774336 -33.6454137945877 -231.02013311211</f>
        <v>-1004.1536806810337</v>
      </c>
      <c r="W2014" t="s">
        <v>41965</v>
      </c>
      <c r="X2014" t="s">
        <v>41966</v>
      </c>
      <c r="Y2014" t="s">
        <v>41967</v>
      </c>
    </row>
    <row r="2015" spans="1:25" x14ac:dyDescent="0.3">
      <c r="A2015">
        <v>100700</v>
      </c>
      <c r="B2015" t="s">
        <v>41968</v>
      </c>
      <c r="C2015" t="s">
        <v>41969</v>
      </c>
      <c r="D2015" t="s">
        <v>41970</v>
      </c>
      <c r="E2015" t="s">
        <v>41971</v>
      </c>
      <c r="F2015" t="s">
        <v>41972</v>
      </c>
      <c r="G2015" t="s">
        <v>41973</v>
      </c>
      <c r="H2015" t="s">
        <v>41974</v>
      </c>
      <c r="I2015" t="s">
        <v>41975</v>
      </c>
      <c r="J2015" t="s">
        <v>41976</v>
      </c>
      <c r="K2015" t="s">
        <v>41977</v>
      </c>
      <c r="L2015" t="s">
        <v>41978</v>
      </c>
      <c r="M2015" t="s">
        <v>41979</v>
      </c>
      <c r="N2015" t="s">
        <v>41980</v>
      </c>
      <c r="O2015">
        <f>-772.033458342609 -110.053774518253 -755.868696978773</f>
        <v>-1637.955929839635</v>
      </c>
      <c r="P2015">
        <f>-739.216390093249 -131.84128728772 -441.807294576868</f>
        <v>-1312.864971957837</v>
      </c>
      <c r="Q2015">
        <f>-509.86299224248 -20.4967769940811 -390.411982770059</f>
        <v>-920.77175200662009</v>
      </c>
      <c r="R2015" t="s">
        <v>41981</v>
      </c>
      <c r="S2015" t="s">
        <v>41982</v>
      </c>
      <c r="T2015" t="s">
        <v>41983</v>
      </c>
      <c r="U2015" t="s">
        <v>41984</v>
      </c>
      <c r="V2015">
        <f>-740.341434842545 -33.4239927050776 -231.052353002219</f>
        <v>-1004.8177805498416</v>
      </c>
      <c r="W2015" t="s">
        <v>41985</v>
      </c>
      <c r="X2015" t="s">
        <v>41986</v>
      </c>
      <c r="Y2015" t="s">
        <v>41987</v>
      </c>
    </row>
    <row r="2016" spans="1:25" x14ac:dyDescent="0.3">
      <c r="A2016">
        <v>100750</v>
      </c>
      <c r="B2016" t="s">
        <v>41988</v>
      </c>
      <c r="C2016" t="s">
        <v>41989</v>
      </c>
      <c r="D2016" t="s">
        <v>41990</v>
      </c>
      <c r="E2016" t="s">
        <v>41991</v>
      </c>
      <c r="F2016" t="s">
        <v>41992</v>
      </c>
      <c r="G2016" t="s">
        <v>41993</v>
      </c>
      <c r="H2016" t="s">
        <v>41994</v>
      </c>
      <c r="I2016" t="s">
        <v>41995</v>
      </c>
      <c r="J2016" t="s">
        <v>41996</v>
      </c>
      <c r="K2016" t="s">
        <v>41997</v>
      </c>
      <c r="L2016" t="s">
        <v>41998</v>
      </c>
      <c r="M2016" t="s">
        <v>41999</v>
      </c>
      <c r="N2016" t="s">
        <v>42000</v>
      </c>
      <c r="O2016">
        <f>-771.209728602324 -109.703327470636 -756.229693213214</f>
        <v>-1637.142749286174</v>
      </c>
      <c r="P2016">
        <f>-739.984535080001 -132.081587798791 -442.047540130545</f>
        <v>-1314.113663009337</v>
      </c>
      <c r="Q2016">
        <f>-511.241345465644 -19.6920084808603 -390.209113353043</f>
        <v>-921.14246729954732</v>
      </c>
      <c r="R2016" t="s">
        <v>42001</v>
      </c>
      <c r="S2016" t="s">
        <v>42002</v>
      </c>
      <c r="T2016" t="s">
        <v>42003</v>
      </c>
      <c r="U2016" t="s">
        <v>42004</v>
      </c>
      <c r="V2016">
        <f>-741.434211073147 -33.3146555657972 -230.986170382023</f>
        <v>-1005.7350370209673</v>
      </c>
      <c r="W2016" t="s">
        <v>42005</v>
      </c>
      <c r="X2016" t="s">
        <v>42006</v>
      </c>
      <c r="Y2016" t="s">
        <v>42007</v>
      </c>
    </row>
    <row r="2017" spans="1:25" x14ac:dyDescent="0.3">
      <c r="A2017">
        <v>100800</v>
      </c>
      <c r="B2017" t="s">
        <v>42008</v>
      </c>
      <c r="C2017" t="s">
        <v>42009</v>
      </c>
      <c r="D2017" t="s">
        <v>42010</v>
      </c>
      <c r="E2017" t="s">
        <v>42011</v>
      </c>
      <c r="F2017" t="s">
        <v>42012</v>
      </c>
      <c r="G2017" t="s">
        <v>42013</v>
      </c>
      <c r="H2017" t="s">
        <v>42014</v>
      </c>
      <c r="I2017" t="s">
        <v>42015</v>
      </c>
      <c r="J2017" t="s">
        <v>42016</v>
      </c>
      <c r="K2017" t="s">
        <v>42017</v>
      </c>
      <c r="L2017" t="s">
        <v>42018</v>
      </c>
      <c r="M2017" t="s">
        <v>42019</v>
      </c>
      <c r="N2017" t="s">
        <v>42020</v>
      </c>
      <c r="O2017">
        <f>-770.776789054849 -109.870065132706 -756.407772404192</f>
        <v>-1637.0546265917469</v>
      </c>
      <c r="P2017">
        <f>-740.182209367032 -132.856707213107 -442.207548068821</f>
        <v>-1315.24646464896</v>
      </c>
      <c r="Q2017">
        <f>-511.905619461881 -19.6371426241103 -390.119553007679</f>
        <v>-921.66231509367026</v>
      </c>
      <c r="R2017" t="s">
        <v>42021</v>
      </c>
      <c r="S2017" t="s">
        <v>42022</v>
      </c>
      <c r="T2017" t="s">
        <v>42023</v>
      </c>
      <c r="U2017" t="s">
        <v>42024</v>
      </c>
      <c r="V2017">
        <f>-742.033608778356 -33.3976338717375 -230.95977918456</f>
        <v>-1006.3910218346535</v>
      </c>
      <c r="W2017" t="s">
        <v>42025</v>
      </c>
      <c r="X2017" t="s">
        <v>42026</v>
      </c>
      <c r="Y2017" t="s">
        <v>42027</v>
      </c>
    </row>
    <row r="2018" spans="1:25" x14ac:dyDescent="0.3">
      <c r="A2018">
        <v>100850</v>
      </c>
      <c r="B2018" t="s">
        <v>42028</v>
      </c>
      <c r="C2018" t="s">
        <v>42029</v>
      </c>
      <c r="D2018" t="s">
        <v>42030</v>
      </c>
      <c r="E2018" t="s">
        <v>42031</v>
      </c>
      <c r="F2018" t="s">
        <v>42032</v>
      </c>
      <c r="G2018" t="s">
        <v>42033</v>
      </c>
      <c r="H2018" t="s">
        <v>42034</v>
      </c>
      <c r="I2018" t="s">
        <v>42035</v>
      </c>
      <c r="J2018" t="s">
        <v>42036</v>
      </c>
      <c r="K2018" t="s">
        <v>42037</v>
      </c>
      <c r="L2018" t="s">
        <v>42038</v>
      </c>
      <c r="M2018" t="s">
        <v>42039</v>
      </c>
      <c r="N2018" t="s">
        <v>42040</v>
      </c>
      <c r="O2018">
        <f>-769.837871749086 -110.887301596102 -756.527054551646</f>
        <v>-1637.252227896834</v>
      </c>
      <c r="P2018">
        <f>-741.071163064002 -134.047421108511 -442.166966855633</f>
        <v>-1317.2855510281461</v>
      </c>
      <c r="Q2018">
        <f>-513.993384734764 -18.8565546970674 -389.168969662175</f>
        <v>-922.0189090940064</v>
      </c>
      <c r="R2018" t="s">
        <v>42041</v>
      </c>
      <c r="S2018" t="s">
        <v>42042</v>
      </c>
      <c r="T2018" t="s">
        <v>42043</v>
      </c>
      <c r="U2018" t="s">
        <v>42044</v>
      </c>
      <c r="V2018">
        <f>-742.82767066098 -33.7914725836927 -230.880387903702</f>
        <v>-1007.4995311483747</v>
      </c>
      <c r="W2018" t="s">
        <v>42045</v>
      </c>
      <c r="X2018" t="s">
        <v>42046</v>
      </c>
      <c r="Y2018" t="s">
        <v>42047</v>
      </c>
    </row>
    <row r="2019" spans="1:25" x14ac:dyDescent="0.3">
      <c r="A2019">
        <v>100900</v>
      </c>
      <c r="B2019" t="s">
        <v>42048</v>
      </c>
      <c r="C2019" t="s">
        <v>42049</v>
      </c>
      <c r="D2019" t="s">
        <v>42050</v>
      </c>
      <c r="E2019" t="s">
        <v>42051</v>
      </c>
      <c r="F2019" t="s">
        <v>42052</v>
      </c>
      <c r="G2019" t="s">
        <v>42053</v>
      </c>
      <c r="H2019" t="s">
        <v>42054</v>
      </c>
      <c r="I2019" t="s">
        <v>42055</v>
      </c>
      <c r="J2019" t="s">
        <v>42056</v>
      </c>
      <c r="K2019" t="s">
        <v>42057</v>
      </c>
      <c r="L2019" t="s">
        <v>42058</v>
      </c>
      <c r="M2019" t="s">
        <v>42059</v>
      </c>
      <c r="N2019" t="s">
        <v>42060</v>
      </c>
      <c r="O2019">
        <f>-769.552828617121 -111.354243532853 -756.505455691155</f>
        <v>-1637.4125278411291</v>
      </c>
      <c r="P2019">
        <f>-741.35979210308 -134.494635518205 -442.091959878998</f>
        <v>-1317.946387500283</v>
      </c>
      <c r="Q2019">
        <f>-514.768265993461 -18.5694608844326 -388.615947768395</f>
        <v>-921.95367464628862</v>
      </c>
      <c r="R2019" t="s">
        <v>42061</v>
      </c>
      <c r="S2019" t="s">
        <v>42062</v>
      </c>
      <c r="T2019" t="s">
        <v>42063</v>
      </c>
      <c r="U2019" t="s">
        <v>42064</v>
      </c>
      <c r="V2019">
        <f>-742.997757004682 -34.0340784549167 -230.902549573499</f>
        <v>-1007.9343850330976</v>
      </c>
      <c r="W2019" t="s">
        <v>42065</v>
      </c>
      <c r="X2019" t="s">
        <v>42066</v>
      </c>
      <c r="Y2019" t="s">
        <v>42067</v>
      </c>
    </row>
    <row r="2020" spans="1:25" x14ac:dyDescent="0.3">
      <c r="A2020">
        <v>100950</v>
      </c>
      <c r="B2020" t="s">
        <v>42068</v>
      </c>
      <c r="C2020" t="s">
        <v>42069</v>
      </c>
      <c r="D2020" t="s">
        <v>42070</v>
      </c>
      <c r="E2020" t="s">
        <v>42071</v>
      </c>
      <c r="F2020" t="s">
        <v>42072</v>
      </c>
      <c r="G2020" t="s">
        <v>42073</v>
      </c>
      <c r="H2020" t="s">
        <v>42074</v>
      </c>
      <c r="I2020" t="s">
        <v>42075</v>
      </c>
      <c r="J2020" t="s">
        <v>42076</v>
      </c>
      <c r="K2020" t="s">
        <v>42077</v>
      </c>
      <c r="L2020" t="s">
        <v>42078</v>
      </c>
      <c r="M2020" t="s">
        <v>42079</v>
      </c>
      <c r="N2020" t="s">
        <v>42080</v>
      </c>
      <c r="O2020">
        <f>-768.912024013415 -110.614661286643 -756.88128910786</f>
        <v>-1636.4079744079181</v>
      </c>
      <c r="P2020">
        <f>-741.372979786704 -133.093803606322 -442.361750465105</f>
        <v>-1316.8285338581311</v>
      </c>
      <c r="Q2020">
        <f>-515.31354644743 -16.4102191819527 -388.286605948109</f>
        <v>-920.0103715774917</v>
      </c>
      <c r="R2020" t="s">
        <v>42081</v>
      </c>
      <c r="S2020" t="s">
        <v>42082</v>
      </c>
      <c r="T2020" t="s">
        <v>42083</v>
      </c>
      <c r="U2020" t="s">
        <v>42084</v>
      </c>
      <c r="V2020">
        <f>-742.992410380136 -34.1310145771788 -230.946432270135</f>
        <v>-1008.0698572274498</v>
      </c>
      <c r="W2020" t="s">
        <v>42085</v>
      </c>
      <c r="X2020" t="s">
        <v>42086</v>
      </c>
      <c r="Y2020" t="s">
        <v>42087</v>
      </c>
    </row>
    <row r="2021" spans="1:25" x14ac:dyDescent="0.3">
      <c r="A2021">
        <v>101000</v>
      </c>
      <c r="B2021" t="s">
        <v>42088</v>
      </c>
      <c r="C2021" t="s">
        <v>42089</v>
      </c>
      <c r="D2021" t="s">
        <v>42090</v>
      </c>
      <c r="E2021" t="s">
        <v>42091</v>
      </c>
      <c r="F2021" t="s">
        <v>42092</v>
      </c>
      <c r="G2021" t="s">
        <v>42093</v>
      </c>
      <c r="H2021" t="s">
        <v>42094</v>
      </c>
      <c r="I2021" t="s">
        <v>42095</v>
      </c>
      <c r="J2021" t="s">
        <v>42096</v>
      </c>
      <c r="K2021" t="s">
        <v>42097</v>
      </c>
      <c r="L2021" t="s">
        <v>42098</v>
      </c>
      <c r="M2021" t="s">
        <v>42099</v>
      </c>
      <c r="N2021" t="s">
        <v>42100</v>
      </c>
      <c r="O2021">
        <f>-768.893557326777 -110.314147016894 -757.064234015563</f>
        <v>-1636.2719383592339</v>
      </c>
      <c r="P2021">
        <f>-741.399176988564 -132.839196849472 -442.543968900714</f>
        <v>-1316.78234273875</v>
      </c>
      <c r="Q2021">
        <f>-515.455511539033 -15.9410328263177 -388.447658376016</f>
        <v>-919.84420274136664</v>
      </c>
      <c r="R2021" t="s">
        <v>42101</v>
      </c>
      <c r="S2021" t="s">
        <v>42102</v>
      </c>
      <c r="T2021" t="s">
        <v>42103</v>
      </c>
      <c r="U2021" t="s">
        <v>42104</v>
      </c>
      <c r="V2021">
        <f>-742.93027088968 -34.1698453661377 -230.990235766618</f>
        <v>-1008.0903520224356</v>
      </c>
      <c r="W2021" t="s">
        <v>42105</v>
      </c>
      <c r="X2021" t="s">
        <v>42106</v>
      </c>
      <c r="Y2021" t="s">
        <v>42107</v>
      </c>
    </row>
    <row r="2022" spans="1:25" x14ac:dyDescent="0.3">
      <c r="A2022">
        <v>101050</v>
      </c>
      <c r="B2022" t="s">
        <v>42108</v>
      </c>
      <c r="C2022" t="s">
        <v>42109</v>
      </c>
      <c r="D2022" t="s">
        <v>42110</v>
      </c>
      <c r="E2022" t="s">
        <v>42111</v>
      </c>
      <c r="F2022" t="s">
        <v>42112</v>
      </c>
      <c r="G2022" t="s">
        <v>42113</v>
      </c>
      <c r="H2022" t="s">
        <v>42114</v>
      </c>
      <c r="I2022" t="s">
        <v>42115</v>
      </c>
      <c r="J2022" t="s">
        <v>42116</v>
      </c>
      <c r="K2022" t="s">
        <v>42117</v>
      </c>
      <c r="L2022" t="s">
        <v>42118</v>
      </c>
      <c r="M2022" t="s">
        <v>42119</v>
      </c>
      <c r="N2022" t="s">
        <v>42120</v>
      </c>
      <c r="O2022">
        <f>-769.780935086657 -109.510549547437 -757.141914489092</f>
        <v>-1636.4333991231861</v>
      </c>
      <c r="P2022">
        <f>-741.815513201099 -132.975682620346 -442.732208777863</f>
        <v>-1317.5234045993079</v>
      </c>
      <c r="Q2022">
        <f>-515.572278209313 -15.712396948504 -390.719041336085</f>
        <v>-922.00371649390195</v>
      </c>
      <c r="R2022" t="s">
        <v>42121</v>
      </c>
      <c r="S2022" t="s">
        <v>42122</v>
      </c>
      <c r="T2022" t="s">
        <v>42123</v>
      </c>
      <c r="U2022" t="s">
        <v>42124</v>
      </c>
      <c r="V2022">
        <f>-743.076107598714 -33.6718999604709 -231.093941113136</f>
        <v>-1007.8419486723209</v>
      </c>
      <c r="W2022" t="s">
        <v>42125</v>
      </c>
      <c r="X2022" t="s">
        <v>42126</v>
      </c>
      <c r="Y2022" t="s">
        <v>42127</v>
      </c>
    </row>
    <row r="2023" spans="1:25" x14ac:dyDescent="0.3">
      <c r="A2023">
        <v>101100</v>
      </c>
      <c r="B2023" t="s">
        <v>42128</v>
      </c>
      <c r="C2023" t="s">
        <v>42129</v>
      </c>
      <c r="D2023" t="s">
        <v>42130</v>
      </c>
      <c r="E2023" t="s">
        <v>42131</v>
      </c>
      <c r="F2023" t="s">
        <v>42132</v>
      </c>
      <c r="G2023" t="s">
        <v>42133</v>
      </c>
      <c r="H2023" t="s">
        <v>42134</v>
      </c>
      <c r="I2023" t="s">
        <v>42135</v>
      </c>
      <c r="J2023" t="s">
        <v>42136</v>
      </c>
      <c r="K2023" t="s">
        <v>42137</v>
      </c>
      <c r="L2023" t="s">
        <v>42138</v>
      </c>
      <c r="M2023" t="s">
        <v>42139</v>
      </c>
      <c r="N2023" t="s">
        <v>42140</v>
      </c>
      <c r="O2023">
        <f>-770.484862530299 -109.20377996784 -757.129449325689</f>
        <v>-1636.8180918238281</v>
      </c>
      <c r="P2023">
        <f>-742.183252474402 -132.29863556965 -442.722325159686</f>
        <v>-1317.2042132037382</v>
      </c>
      <c r="Q2023">
        <f>-515.382615181361 -15.4071774811096 -392.324284945804</f>
        <v>-923.11407760827456</v>
      </c>
      <c r="R2023" t="s">
        <v>42141</v>
      </c>
      <c r="S2023" t="s">
        <v>42142</v>
      </c>
      <c r="T2023" t="s">
        <v>42143</v>
      </c>
      <c r="U2023" t="s">
        <v>42144</v>
      </c>
      <c r="V2023">
        <f>-743.058107229228 -33.3323926542616 -231.162665890306</f>
        <v>-1007.5531657737956</v>
      </c>
      <c r="W2023" t="s">
        <v>42145</v>
      </c>
      <c r="X2023" t="s">
        <v>42146</v>
      </c>
      <c r="Y2023" t="s">
        <v>42147</v>
      </c>
    </row>
    <row r="2024" spans="1:25" x14ac:dyDescent="0.3">
      <c r="A2024">
        <v>101150</v>
      </c>
      <c r="B2024" t="s">
        <v>42148</v>
      </c>
      <c r="C2024" t="s">
        <v>42149</v>
      </c>
      <c r="D2024" t="s">
        <v>42150</v>
      </c>
      <c r="E2024" t="s">
        <v>42151</v>
      </c>
      <c r="F2024" t="s">
        <v>42152</v>
      </c>
      <c r="G2024" t="s">
        <v>42153</v>
      </c>
      <c r="H2024" t="s">
        <v>42154</v>
      </c>
      <c r="I2024" t="s">
        <v>42155</v>
      </c>
      <c r="J2024" t="s">
        <v>42156</v>
      </c>
      <c r="K2024" t="s">
        <v>42157</v>
      </c>
      <c r="L2024" t="s">
        <v>42158</v>
      </c>
      <c r="M2024" t="s">
        <v>42159</v>
      </c>
      <c r="N2024" t="s">
        <v>42160</v>
      </c>
      <c r="O2024">
        <f>-771.76472814969 -108.89891430413 -756.810420339548</f>
        <v>-1637.4740627933679</v>
      </c>
      <c r="P2024">
        <f>-742.323108935714 -132.141235468883 -442.51870435046</f>
        <v>-1316.9830487550571</v>
      </c>
      <c r="Q2024">
        <f>-514.110983739479 -16.8981307105678 -394.766170128781</f>
        <v>-925.77528457882784</v>
      </c>
      <c r="R2024" t="s">
        <v>42161</v>
      </c>
      <c r="S2024" t="s">
        <v>42162</v>
      </c>
      <c r="T2024" t="s">
        <v>42163</v>
      </c>
      <c r="U2024" t="s">
        <v>42164</v>
      </c>
      <c r="V2024">
        <f>-743.002652812609 -32.5602299802933 -231.249187262948</f>
        <v>-1006.8120700558503</v>
      </c>
      <c r="W2024" t="s">
        <v>42165</v>
      </c>
      <c r="X2024" t="s">
        <v>42166</v>
      </c>
      <c r="Y2024" t="s">
        <v>42167</v>
      </c>
    </row>
    <row r="2025" spans="1:25" x14ac:dyDescent="0.3">
      <c r="A2025">
        <v>101200</v>
      </c>
      <c r="B2025" t="s">
        <v>42168</v>
      </c>
      <c r="C2025" t="s">
        <v>42169</v>
      </c>
      <c r="D2025" t="s">
        <v>42170</v>
      </c>
      <c r="E2025" t="s">
        <v>42171</v>
      </c>
      <c r="F2025" t="s">
        <v>42172</v>
      </c>
      <c r="G2025" t="s">
        <v>42173</v>
      </c>
      <c r="H2025" t="s">
        <v>42174</v>
      </c>
      <c r="I2025" t="s">
        <v>42175</v>
      </c>
      <c r="J2025" t="s">
        <v>42176</v>
      </c>
      <c r="K2025" t="s">
        <v>42177</v>
      </c>
      <c r="L2025" t="s">
        <v>42178</v>
      </c>
      <c r="M2025" t="s">
        <v>42179</v>
      </c>
      <c r="N2025" t="s">
        <v>42180</v>
      </c>
      <c r="O2025">
        <f>-772.922451848413 -108.878917734058 -756.447285598944</f>
        <v>-1638.248655181415</v>
      </c>
      <c r="P2025">
        <f>-742.653629489321 -131.772953513896 -442.208737922188</f>
        <v>-1316.635320925405</v>
      </c>
      <c r="Q2025">
        <f>-513.777847639624 -17.3994653161615 -395.554129245891</f>
        <v>-926.73144220167649</v>
      </c>
      <c r="R2025" t="s">
        <v>42181</v>
      </c>
      <c r="S2025" t="s">
        <v>42182</v>
      </c>
      <c r="T2025" t="s">
        <v>42183</v>
      </c>
      <c r="U2025" t="s">
        <v>42184</v>
      </c>
      <c r="V2025">
        <f>-742.916243864235 -31.999353357369 -231.30774588845</f>
        <v>-1006.223343110054</v>
      </c>
      <c r="W2025" t="s">
        <v>42185</v>
      </c>
      <c r="X2025" t="s">
        <v>42186</v>
      </c>
      <c r="Y2025" t="s">
        <v>42187</v>
      </c>
    </row>
    <row r="2026" spans="1:25" x14ac:dyDescent="0.3">
      <c r="A2026">
        <v>101250</v>
      </c>
      <c r="B2026" t="s">
        <v>42188</v>
      </c>
      <c r="C2026" t="s">
        <v>42189</v>
      </c>
      <c r="D2026" t="s">
        <v>42190</v>
      </c>
      <c r="E2026" t="s">
        <v>42191</v>
      </c>
      <c r="F2026" t="s">
        <v>42192</v>
      </c>
      <c r="G2026" t="s">
        <v>42193</v>
      </c>
      <c r="H2026" t="s">
        <v>42194</v>
      </c>
      <c r="I2026" t="s">
        <v>42195</v>
      </c>
      <c r="J2026" t="s">
        <v>42196</v>
      </c>
      <c r="K2026" t="s">
        <v>42197</v>
      </c>
      <c r="L2026" t="s">
        <v>42198</v>
      </c>
      <c r="M2026" t="s">
        <v>42199</v>
      </c>
      <c r="N2026" t="s">
        <v>42200</v>
      </c>
      <c r="O2026">
        <f>-774.182887273518 -108.352631915111 -756.129209297747</f>
        <v>-1638.6647284863761</v>
      </c>
      <c r="P2026">
        <f>-743.031951312626 -130.213535572895 -441.903453760732</f>
        <v>-1315.1489406462531</v>
      </c>
      <c r="Q2026">
        <f>-513.256401264153 -17.4764998975486 -395.690817732196</f>
        <v>-926.42371889389767</v>
      </c>
      <c r="R2026" t="s">
        <v>42201</v>
      </c>
      <c r="S2026" t="s">
        <v>42202</v>
      </c>
      <c r="T2026" t="s">
        <v>42203</v>
      </c>
      <c r="U2026" t="s">
        <v>42204</v>
      </c>
      <c r="V2026">
        <f>-742.770260311789 -31.3305462875196 -231.334916486134</f>
        <v>-1005.4357230854426</v>
      </c>
      <c r="W2026" t="s">
        <v>42205</v>
      </c>
      <c r="X2026" t="s">
        <v>42206</v>
      </c>
      <c r="Y2026" t="s">
        <v>42207</v>
      </c>
    </row>
    <row r="2027" spans="1:25" x14ac:dyDescent="0.3">
      <c r="A2027">
        <v>101300</v>
      </c>
      <c r="B2027" t="s">
        <v>42208</v>
      </c>
      <c r="C2027" t="s">
        <v>42209</v>
      </c>
      <c r="D2027" t="s">
        <v>42210</v>
      </c>
      <c r="E2027" t="s">
        <v>42211</v>
      </c>
      <c r="F2027" t="s">
        <v>42212</v>
      </c>
      <c r="G2027" t="s">
        <v>42213</v>
      </c>
      <c r="H2027" t="s">
        <v>42214</v>
      </c>
      <c r="I2027" t="s">
        <v>42215</v>
      </c>
      <c r="J2027" t="s">
        <v>42216</v>
      </c>
      <c r="K2027" t="s">
        <v>42217</v>
      </c>
      <c r="L2027" t="s">
        <v>42218</v>
      </c>
      <c r="M2027" t="s">
        <v>42219</v>
      </c>
      <c r="N2027" t="s">
        <v>42220</v>
      </c>
      <c r="O2027">
        <f>-776.748106840385 -106.17292841265 -755.625076062646</f>
        <v>-1638.5461113156812</v>
      </c>
      <c r="P2027">
        <f>-743.658975085565 -126.835585616401 -441.516335440239</f>
        <v>-1312.010896142205</v>
      </c>
      <c r="Q2027">
        <f>-512.659487782798 -16.9572295007836 -394.525632554374</f>
        <v>-924.14234983795563</v>
      </c>
      <c r="R2027" t="s">
        <v>42221</v>
      </c>
      <c r="S2027" t="s">
        <v>42222</v>
      </c>
      <c r="T2027" t="s">
        <v>42223</v>
      </c>
      <c r="U2027" t="s">
        <v>42224</v>
      </c>
      <c r="V2027">
        <f>-742.249269427949 -29.5481556451916 -231.375618127391</f>
        <v>-1003.1730432005317</v>
      </c>
      <c r="W2027" t="s">
        <v>42225</v>
      </c>
      <c r="X2027" t="s">
        <v>42226</v>
      </c>
      <c r="Y2027" t="s">
        <v>42227</v>
      </c>
    </row>
    <row r="2028" spans="1:25" x14ac:dyDescent="0.3">
      <c r="A2028">
        <v>101350</v>
      </c>
      <c r="B2028" t="s">
        <v>42228</v>
      </c>
      <c r="C2028" t="s">
        <v>42229</v>
      </c>
      <c r="D2028" t="s">
        <v>42230</v>
      </c>
      <c r="E2028" t="s">
        <v>42231</v>
      </c>
      <c r="F2028" t="s">
        <v>42232</v>
      </c>
      <c r="G2028" t="s">
        <v>42233</v>
      </c>
      <c r="H2028" t="s">
        <v>42234</v>
      </c>
      <c r="I2028" t="s">
        <v>42235</v>
      </c>
      <c r="J2028" t="s">
        <v>42236</v>
      </c>
      <c r="K2028" t="s">
        <v>42237</v>
      </c>
      <c r="L2028" t="s">
        <v>42238</v>
      </c>
      <c r="M2028" t="s">
        <v>42239</v>
      </c>
      <c r="N2028" t="s">
        <v>42240</v>
      </c>
      <c r="O2028">
        <f>-777.906550054458 -103.65881080271 -755.352981923597</f>
        <v>-1636.918342780765</v>
      </c>
      <c r="P2028">
        <f>-743.924762329873 -124.139516258909 -441.327647590047</f>
        <v>-1309.391926178829</v>
      </c>
      <c r="Q2028">
        <f>-512.500377100669 -16.460735636701 -391.426715784319</f>
        <v>-920.38782852168902</v>
      </c>
      <c r="R2028" t="s">
        <v>42241</v>
      </c>
      <c r="S2028" t="s">
        <v>42242</v>
      </c>
      <c r="T2028" t="s">
        <v>42243</v>
      </c>
      <c r="U2028" t="s">
        <v>42244</v>
      </c>
      <c r="V2028">
        <f>-741.957098629469 -27.5471822128657 -231.360144968216</f>
        <v>-1000.8644258105506</v>
      </c>
      <c r="W2028" t="s">
        <v>42245</v>
      </c>
      <c r="X2028" t="s">
        <v>42246</v>
      </c>
      <c r="Y2028" t="s">
        <v>42247</v>
      </c>
    </row>
    <row r="2029" spans="1:25" x14ac:dyDescent="0.3">
      <c r="A2029">
        <v>101400</v>
      </c>
      <c r="B2029" t="s">
        <v>42248</v>
      </c>
      <c r="C2029" t="s">
        <v>42249</v>
      </c>
      <c r="D2029" t="s">
        <v>42250</v>
      </c>
      <c r="E2029" t="s">
        <v>42251</v>
      </c>
      <c r="F2029" t="s">
        <v>42252</v>
      </c>
      <c r="G2029" t="s">
        <v>42253</v>
      </c>
      <c r="H2029" t="s">
        <v>42254</v>
      </c>
      <c r="I2029" t="s">
        <v>42255</v>
      </c>
      <c r="J2029" t="s">
        <v>42256</v>
      </c>
      <c r="K2029" t="s">
        <v>42257</v>
      </c>
      <c r="L2029" t="s">
        <v>42258</v>
      </c>
      <c r="M2029" t="s">
        <v>42259</v>
      </c>
      <c r="N2029" t="s">
        <v>42260</v>
      </c>
      <c r="O2029">
        <f>-778.524253713669 -102.956105846927 -755.030637029358</f>
        <v>-1636.5109965899542</v>
      </c>
      <c r="P2029">
        <f>-744.430502748727 -123.340579167571 -441.011075483036</f>
        <v>-1308.782157399334</v>
      </c>
      <c r="Q2029">
        <f>-513.039112253737 -16.4576556874072 -389.280181348178</f>
        <v>-918.77694928932215</v>
      </c>
      <c r="R2029" t="s">
        <v>42261</v>
      </c>
      <c r="S2029" t="s">
        <v>42262</v>
      </c>
      <c r="T2029" t="s">
        <v>42263</v>
      </c>
      <c r="U2029" t="s">
        <v>42264</v>
      </c>
      <c r="V2029">
        <f>-742.008064737267 -26.6602071339148 -231.30243206862</f>
        <v>-999.97070393980175</v>
      </c>
      <c r="W2029" t="s">
        <v>42265</v>
      </c>
      <c r="X2029" t="s">
        <v>42266</v>
      </c>
      <c r="Y2029" t="s">
        <v>42267</v>
      </c>
    </row>
    <row r="2030" spans="1:25" x14ac:dyDescent="0.3">
      <c r="A2030">
        <v>101450</v>
      </c>
      <c r="B2030" t="s">
        <v>42268</v>
      </c>
      <c r="C2030" t="s">
        <v>42269</v>
      </c>
      <c r="D2030" t="s">
        <v>42270</v>
      </c>
      <c r="E2030" t="s">
        <v>42271</v>
      </c>
      <c r="F2030" t="s">
        <v>42272</v>
      </c>
      <c r="G2030" t="s">
        <v>42273</v>
      </c>
      <c r="H2030" t="s">
        <v>42274</v>
      </c>
      <c r="I2030" t="s">
        <v>42275</v>
      </c>
      <c r="J2030" t="s">
        <v>42276</v>
      </c>
      <c r="K2030" t="s">
        <v>42277</v>
      </c>
      <c r="L2030" t="s">
        <v>42278</v>
      </c>
      <c r="M2030" t="s">
        <v>42279</v>
      </c>
      <c r="N2030" t="s">
        <v>42280</v>
      </c>
      <c r="O2030">
        <f>-779.130617435375 -102.36403769515 -754.6618800938</f>
        <v>-1636.1565352243251</v>
      </c>
      <c r="P2030">
        <f>-745.044540448505 -122.491361176565 -440.624991393188</f>
        <v>-1308.1608930182579</v>
      </c>
      <c r="Q2030">
        <f>-513.911854853575 -15.5473525680154 -387.872933796076</f>
        <v>-917.3321412176665</v>
      </c>
      <c r="R2030" t="s">
        <v>42281</v>
      </c>
      <c r="S2030" t="s">
        <v>42282</v>
      </c>
      <c r="T2030" t="s">
        <v>42283</v>
      </c>
      <c r="U2030" t="s">
        <v>42284</v>
      </c>
      <c r="V2030">
        <f>-742.183025325262 -25.7752290258736 -231.227875265871</f>
        <v>-999.1861296170066</v>
      </c>
      <c r="W2030" t="s">
        <v>42285</v>
      </c>
      <c r="X2030" t="s">
        <v>42286</v>
      </c>
      <c r="Y2030" t="s">
        <v>42287</v>
      </c>
    </row>
    <row r="2031" spans="1:25" x14ac:dyDescent="0.3">
      <c r="A2031">
        <v>101500</v>
      </c>
      <c r="B2031" t="s">
        <v>42288</v>
      </c>
      <c r="C2031" t="s">
        <v>42289</v>
      </c>
      <c r="D2031" t="s">
        <v>42290</v>
      </c>
      <c r="E2031" t="s">
        <v>42291</v>
      </c>
      <c r="F2031" t="s">
        <v>42292</v>
      </c>
      <c r="G2031" t="s">
        <v>42293</v>
      </c>
      <c r="H2031" t="s">
        <v>42294</v>
      </c>
      <c r="I2031" t="s">
        <v>42295</v>
      </c>
      <c r="J2031" t="s">
        <v>42296</v>
      </c>
      <c r="K2031" t="s">
        <v>42297</v>
      </c>
      <c r="L2031" t="s">
        <v>42298</v>
      </c>
      <c r="M2031" t="s">
        <v>42299</v>
      </c>
      <c r="N2031" t="s">
        <v>42300</v>
      </c>
      <c r="O2031">
        <f>-779.787850504233 -101.83879715588 -754.33980852288</f>
        <v>-1635.9664561829932</v>
      </c>
      <c r="P2031">
        <f>-745.707487405647 -121.296554379963 -440.260052254575</f>
        <v>-1307.264094040185</v>
      </c>
      <c r="Q2031">
        <f>-514.915872227903 -13.6162657902817 -387.51295139994</f>
        <v>-916.04508941812469</v>
      </c>
      <c r="R2031" t="s">
        <v>42301</v>
      </c>
      <c r="S2031" t="s">
        <v>42302</v>
      </c>
      <c r="T2031" t="s">
        <v>42303</v>
      </c>
      <c r="U2031" t="s">
        <v>42304</v>
      </c>
      <c r="V2031">
        <f>-742.348144469509 -24.9977278553729 -231.133688873838</f>
        <v>-998.47956119871981</v>
      </c>
      <c r="W2031" t="s">
        <v>42305</v>
      </c>
      <c r="X2031" t="s">
        <v>42306</v>
      </c>
      <c r="Y2031" t="s">
        <v>42307</v>
      </c>
    </row>
    <row r="2032" spans="1:25" x14ac:dyDescent="0.3">
      <c r="A2032">
        <v>101550</v>
      </c>
      <c r="B2032" t="s">
        <v>42308</v>
      </c>
      <c r="C2032" t="s">
        <v>42309</v>
      </c>
      <c r="D2032" t="s">
        <v>42310</v>
      </c>
      <c r="E2032" t="s">
        <v>42311</v>
      </c>
      <c r="F2032" t="s">
        <v>42312</v>
      </c>
      <c r="G2032" t="s">
        <v>42313</v>
      </c>
      <c r="H2032" t="s">
        <v>42314</v>
      </c>
      <c r="I2032" t="s">
        <v>42315</v>
      </c>
      <c r="J2032" t="s">
        <v>42316</v>
      </c>
      <c r="K2032" t="s">
        <v>42317</v>
      </c>
      <c r="L2032" t="s">
        <v>42318</v>
      </c>
      <c r="M2032">
        <f>-349.190553044249 -6.96524870044618 -337.988838158318</f>
        <v>-694.14463990301317</v>
      </c>
      <c r="N2032" t="s">
        <v>42319</v>
      </c>
      <c r="O2032">
        <f>-780.688633678206 -99.2711413909394 -753.792731642628</f>
        <v>-1633.7525067117735</v>
      </c>
      <c r="P2032">
        <f>-746.019649514895 -117.805651462978 -439.721504485105</f>
        <v>-1303.546805462978</v>
      </c>
      <c r="Q2032">
        <f>-515.937448029602 -8.61368109530622 -386.982608647768</f>
        <v>-911.5337377726762</v>
      </c>
      <c r="R2032" t="s">
        <v>42320</v>
      </c>
      <c r="S2032" t="s">
        <v>42321</v>
      </c>
      <c r="T2032" t="s">
        <v>42322</v>
      </c>
      <c r="U2032" t="s">
        <v>42323</v>
      </c>
      <c r="V2032">
        <f>-741.554612696413 -23.2465838659207 -230.859065445476</f>
        <v>-995.66026200780971</v>
      </c>
      <c r="W2032" t="s">
        <v>42324</v>
      </c>
      <c r="X2032" t="s">
        <v>42325</v>
      </c>
      <c r="Y2032" t="s">
        <v>42326</v>
      </c>
    </row>
    <row r="2033" spans="1:25" x14ac:dyDescent="0.3">
      <c r="A2033">
        <v>101600</v>
      </c>
      <c r="B2033" t="s">
        <v>42327</v>
      </c>
      <c r="C2033" t="s">
        <v>42328</v>
      </c>
      <c r="D2033" t="s">
        <v>42329</v>
      </c>
      <c r="E2033" t="s">
        <v>42330</v>
      </c>
      <c r="F2033" t="s">
        <v>42331</v>
      </c>
      <c r="G2033" t="s">
        <v>42332</v>
      </c>
      <c r="H2033" t="s">
        <v>42333</v>
      </c>
      <c r="I2033" t="s">
        <v>42334</v>
      </c>
      <c r="J2033" t="s">
        <v>42335</v>
      </c>
      <c r="K2033" t="s">
        <v>42336</v>
      </c>
      <c r="L2033" t="s">
        <v>42337</v>
      </c>
      <c r="M2033">
        <f>-350.952221769646 -12.1287145193332 -341.463243190323</f>
        <v>-704.5441794793021</v>
      </c>
      <c r="N2033" t="s">
        <v>42338</v>
      </c>
      <c r="O2033">
        <f>-780.309030472693 -98.8751623057767 -753.761780751483</f>
        <v>-1632.9459735299529</v>
      </c>
      <c r="P2033">
        <f>-745.791990046083 -117.539512613047 -439.681585891965</f>
        <v>-1303.0130885510951</v>
      </c>
      <c r="Q2033">
        <f>-515.812135761696 -7.97027725206408 -387.28016768821</f>
        <v>-911.06258070197009</v>
      </c>
      <c r="R2033" t="s">
        <v>42339</v>
      </c>
      <c r="S2033" t="s">
        <v>42340</v>
      </c>
      <c r="T2033" t="s">
        <v>42341</v>
      </c>
      <c r="U2033" t="s">
        <v>42342</v>
      </c>
      <c r="V2033">
        <f>-740.750605383333 -22.9923450854712 -230.797698135896</f>
        <v>-994.54064860470021</v>
      </c>
      <c r="W2033" t="s">
        <v>42343</v>
      </c>
      <c r="X2033" t="s">
        <v>42344</v>
      </c>
      <c r="Y2033" t="s">
        <v>42345</v>
      </c>
    </row>
    <row r="2034" spans="1:25" x14ac:dyDescent="0.3">
      <c r="A2034">
        <v>101650</v>
      </c>
      <c r="B2034" t="s">
        <v>42346</v>
      </c>
      <c r="C2034" t="s">
        <v>42347</v>
      </c>
      <c r="D2034" t="s">
        <v>42348</v>
      </c>
      <c r="E2034" t="s">
        <v>42349</v>
      </c>
      <c r="F2034" t="s">
        <v>42350</v>
      </c>
      <c r="G2034" t="s">
        <v>42351</v>
      </c>
      <c r="H2034" t="s">
        <v>42352</v>
      </c>
      <c r="I2034" t="s">
        <v>42353</v>
      </c>
      <c r="J2034" t="s">
        <v>42354</v>
      </c>
      <c r="K2034" t="s">
        <v>42355</v>
      </c>
      <c r="L2034" t="s">
        <v>42356</v>
      </c>
      <c r="M2034">
        <f>-352.016979776747 -20.1487744247938 -349.389386163601</f>
        <v>-721.55514036514182</v>
      </c>
      <c r="N2034" t="s">
        <v>42357</v>
      </c>
      <c r="O2034">
        <f>-778.342037745707 -98.2389396343413 -753.792162060718</f>
        <v>-1630.3731394407664</v>
      </c>
      <c r="P2034">
        <f>-744.218176348253 -117.829739242486 -439.725217430601</f>
        <v>-1301.7731330213401</v>
      </c>
      <c r="Q2034">
        <f>-513.624345686394 -9.29254953644477 -387.878059924902</f>
        <v>-910.79495514774078</v>
      </c>
      <c r="R2034" t="s">
        <v>42358</v>
      </c>
      <c r="S2034" t="s">
        <v>42359</v>
      </c>
      <c r="T2034" t="s">
        <v>42360</v>
      </c>
      <c r="U2034" t="s">
        <v>42361</v>
      </c>
      <c r="V2034">
        <f>-738.611558784035 -22.5299248113163 -230.737785030677</f>
        <v>-991.87926862602831</v>
      </c>
      <c r="W2034" t="s">
        <v>42362</v>
      </c>
      <c r="X2034" t="s">
        <v>42363</v>
      </c>
      <c r="Y2034" t="s">
        <v>42364</v>
      </c>
    </row>
    <row r="2035" spans="1:25" x14ac:dyDescent="0.3">
      <c r="A2035">
        <v>101700</v>
      </c>
      <c r="B2035" t="s">
        <v>42365</v>
      </c>
      <c r="C2035" t="s">
        <v>42366</v>
      </c>
      <c r="D2035" t="s">
        <v>42367</v>
      </c>
      <c r="E2035" t="s">
        <v>42368</v>
      </c>
      <c r="F2035" t="s">
        <v>42369</v>
      </c>
      <c r="G2035" t="s">
        <v>42370</v>
      </c>
      <c r="H2035" t="s">
        <v>42371</v>
      </c>
      <c r="I2035" t="s">
        <v>42372</v>
      </c>
      <c r="J2035" t="s">
        <v>42373</v>
      </c>
      <c r="K2035" t="s">
        <v>42374</v>
      </c>
      <c r="L2035" t="s">
        <v>42375</v>
      </c>
      <c r="M2035">
        <f>-352.358740438966 -23.7859040479766 -353.133939275005</f>
        <v>-729.27858376194763</v>
      </c>
      <c r="N2035" t="s">
        <v>42376</v>
      </c>
      <c r="O2035">
        <f>-777.16136287223 -97.9697950161531 -753.761792239429</f>
        <v>-1628.8929501278121</v>
      </c>
      <c r="P2035">
        <f>-743.358614983128 -117.794154746586 -439.674993041745</f>
        <v>-1300.827762771459</v>
      </c>
      <c r="Q2035">
        <f>-512.051856175704 -10.5818073741364 -388.247427838887</f>
        <v>-910.88109138872733</v>
      </c>
      <c r="R2035" t="s">
        <v>42377</v>
      </c>
      <c r="S2035" t="s">
        <v>42378</v>
      </c>
      <c r="T2035" t="s">
        <v>42379</v>
      </c>
      <c r="U2035" t="s">
        <v>42380</v>
      </c>
      <c r="V2035">
        <f>-737.45389439952 -22.3022144579847 -230.68666158442</f>
        <v>-990.44277044192472</v>
      </c>
      <c r="W2035" t="s">
        <v>42381</v>
      </c>
      <c r="X2035" t="s">
        <v>42382</v>
      </c>
      <c r="Y2035" t="s">
        <v>42383</v>
      </c>
    </row>
    <row r="2036" spans="1:25" x14ac:dyDescent="0.3">
      <c r="A2036">
        <v>101750</v>
      </c>
      <c r="B2036" t="s">
        <v>42384</v>
      </c>
      <c r="C2036" t="s">
        <v>42385</v>
      </c>
      <c r="D2036" t="s">
        <v>42386</v>
      </c>
      <c r="E2036" t="s">
        <v>42387</v>
      </c>
      <c r="F2036" t="s">
        <v>42388</v>
      </c>
      <c r="G2036" t="s">
        <v>42389</v>
      </c>
      <c r="H2036" t="s">
        <v>42390</v>
      </c>
      <c r="I2036" t="s">
        <v>42391</v>
      </c>
      <c r="J2036" t="s">
        <v>42392</v>
      </c>
      <c r="K2036" t="s">
        <v>42393</v>
      </c>
      <c r="L2036" t="s">
        <v>42394</v>
      </c>
      <c r="M2036">
        <f>-353.069449824099 -29.8112727708258 -360.8298685141</f>
        <v>-743.71059110902479</v>
      </c>
      <c r="N2036" t="s">
        <v>42395</v>
      </c>
      <c r="O2036">
        <f>-775.018270092403 -98.0451769653396 -753.786819777942</f>
        <v>-1626.8502668356846</v>
      </c>
      <c r="P2036">
        <f>-742.101595808067 -118.031971111385 -439.616221126247</f>
        <v>-1299.749788045699</v>
      </c>
      <c r="Q2036">
        <f>-509.049708997147 -14.0981153750583 -389.350725071194</f>
        <v>-912.49854944339927</v>
      </c>
      <c r="R2036" t="s">
        <v>42396</v>
      </c>
      <c r="S2036" t="s">
        <v>42397</v>
      </c>
      <c r="T2036" t="s">
        <v>42398</v>
      </c>
      <c r="U2036" t="s">
        <v>42399</v>
      </c>
      <c r="V2036">
        <f>-734.500312216601 -22.0877922115762 -230.42342650131</f>
        <v>-987.01153092948721</v>
      </c>
      <c r="W2036" t="s">
        <v>42400</v>
      </c>
      <c r="X2036" t="s">
        <v>42401</v>
      </c>
      <c r="Y2036" t="s">
        <v>42402</v>
      </c>
    </row>
    <row r="2037" spans="1:25" x14ac:dyDescent="0.3">
      <c r="A2037">
        <v>101800</v>
      </c>
      <c r="B2037" t="s">
        <v>42403</v>
      </c>
      <c r="C2037" t="s">
        <v>42404</v>
      </c>
      <c r="D2037" t="s">
        <v>42405</v>
      </c>
      <c r="E2037" t="s">
        <v>42406</v>
      </c>
      <c r="F2037" t="s">
        <v>42407</v>
      </c>
      <c r="G2037" t="s">
        <v>42408</v>
      </c>
      <c r="H2037" t="s">
        <v>42409</v>
      </c>
      <c r="I2037" t="s">
        <v>42410</v>
      </c>
      <c r="J2037" t="s">
        <v>42411</v>
      </c>
      <c r="K2037" t="s">
        <v>42412</v>
      </c>
      <c r="L2037" t="s">
        <v>42413</v>
      </c>
      <c r="M2037">
        <f>-353.48370593496 -32.1816026178176 -363.929840008668</f>
        <v>-749.59514856144563</v>
      </c>
      <c r="N2037" t="s">
        <v>42414</v>
      </c>
      <c r="O2037">
        <f>-774.174499823441 -98.0660155602732 -753.793801877848</f>
        <v>-1626.0343172615621</v>
      </c>
      <c r="P2037">
        <f>-741.527756561443 -119.460424104697 -439.687660701145</f>
        <v>-1300.6758413672851</v>
      </c>
      <c r="Q2037">
        <f>-507.94585744874 -16.4981791464456 -389.884674903444</f>
        <v>-914.32871149862967</v>
      </c>
      <c r="R2037" t="s">
        <v>42415</v>
      </c>
      <c r="S2037" t="s">
        <v>42416</v>
      </c>
      <c r="T2037" t="s">
        <v>42417</v>
      </c>
      <c r="U2037" t="s">
        <v>42418</v>
      </c>
      <c r="V2037">
        <f>-732.697954739913 -22.0966588116994 -230.239321854014</f>
        <v>-985.03393540562638</v>
      </c>
      <c r="W2037" t="s">
        <v>42419</v>
      </c>
      <c r="X2037" t="s">
        <v>42420</v>
      </c>
      <c r="Y2037" t="s">
        <v>42421</v>
      </c>
    </row>
    <row r="2038" spans="1:25" x14ac:dyDescent="0.3">
      <c r="A2038">
        <v>101850</v>
      </c>
      <c r="B2038" t="s">
        <v>42422</v>
      </c>
      <c r="C2038" t="s">
        <v>42423</v>
      </c>
      <c r="D2038" t="s">
        <v>42424</v>
      </c>
      <c r="E2038" t="s">
        <v>42425</v>
      </c>
      <c r="F2038" t="s">
        <v>42426</v>
      </c>
      <c r="G2038" t="s">
        <v>42427</v>
      </c>
      <c r="H2038" t="s">
        <v>42428</v>
      </c>
      <c r="I2038" t="s">
        <v>42429</v>
      </c>
      <c r="J2038" t="s">
        <v>42430</v>
      </c>
      <c r="K2038" t="s">
        <v>42431</v>
      </c>
      <c r="L2038" t="s">
        <v>42432</v>
      </c>
      <c r="M2038">
        <f>-353.672026920901 -36.9323389061251 -369.521696456671</f>
        <v>-760.12606228369714</v>
      </c>
      <c r="N2038" t="s">
        <v>42433</v>
      </c>
      <c r="O2038">
        <f>-773.367848963989 -98.2524312227411 -753.951592353202</f>
        <v>-1625.571872539932</v>
      </c>
      <c r="P2038">
        <f>-741.036506331388 -122.344165572971 -440.008179875848</f>
        <v>-1303.388851780207</v>
      </c>
      <c r="Q2038">
        <f>-506.564310917989 -21.5188133769168 -390.0172375079</f>
        <v>-918.10036180280576</v>
      </c>
      <c r="R2038" t="s">
        <v>42434</v>
      </c>
      <c r="S2038" t="s">
        <v>42435</v>
      </c>
      <c r="T2038" t="s">
        <v>42436</v>
      </c>
      <c r="U2038" t="s">
        <v>42437</v>
      </c>
      <c r="V2038">
        <f>-728.445306184525 -22.5343513461089 -229.897857117804</f>
        <v>-980.87751464843791</v>
      </c>
      <c r="W2038" t="s">
        <v>42438</v>
      </c>
      <c r="X2038" t="s">
        <v>42439</v>
      </c>
      <c r="Y2038" t="s">
        <v>42440</v>
      </c>
    </row>
    <row r="2039" spans="1:25" x14ac:dyDescent="0.3">
      <c r="A2039">
        <v>101900</v>
      </c>
      <c r="B2039" t="s">
        <v>42441</v>
      </c>
      <c r="C2039" t="s">
        <v>42442</v>
      </c>
      <c r="D2039" t="s">
        <v>42443</v>
      </c>
      <c r="E2039" t="s">
        <v>42444</v>
      </c>
      <c r="F2039" t="s">
        <v>42445</v>
      </c>
      <c r="G2039" t="s">
        <v>42446</v>
      </c>
      <c r="H2039" t="s">
        <v>42447</v>
      </c>
      <c r="I2039" t="s">
        <v>42448</v>
      </c>
      <c r="J2039" t="s">
        <v>42449</v>
      </c>
      <c r="K2039" t="s">
        <v>42450</v>
      </c>
      <c r="L2039" t="s">
        <v>42451</v>
      </c>
      <c r="M2039">
        <f>-353.468772545137 -39.9541480102373 -372.116257464462</f>
        <v>-765.5391780198363</v>
      </c>
      <c r="N2039" t="s">
        <v>42452</v>
      </c>
      <c r="O2039">
        <f>-772.653120328397 -98.2667616809972 -754.140917107425</f>
        <v>-1625.0607991168192</v>
      </c>
      <c r="P2039">
        <f>-740.227308599493 -123.567589718024 -440.302267172516</f>
        <v>-1304.0971654900329</v>
      </c>
      <c r="Q2039">
        <f>-505.459122294059 -23.4987159338684 -390.180041544851</f>
        <v>-919.13787977277843</v>
      </c>
      <c r="R2039" t="s">
        <v>42453</v>
      </c>
      <c r="S2039" t="s">
        <v>42454</v>
      </c>
      <c r="T2039" t="s">
        <v>42455</v>
      </c>
      <c r="U2039" t="s">
        <v>42456</v>
      </c>
      <c r="V2039">
        <f>-726.026960885701 -22.8411743648674 -229.729774465112</f>
        <v>-978.59790971568032</v>
      </c>
      <c r="W2039" t="s">
        <v>42457</v>
      </c>
      <c r="X2039" t="s">
        <v>42458</v>
      </c>
      <c r="Y2039" t="s">
        <v>42459</v>
      </c>
    </row>
    <row r="2040" spans="1:25" x14ac:dyDescent="0.3">
      <c r="A2040">
        <v>101950</v>
      </c>
      <c r="B2040" t="s">
        <v>42460</v>
      </c>
      <c r="C2040" t="s">
        <v>42461</v>
      </c>
      <c r="D2040" t="s">
        <v>42462</v>
      </c>
      <c r="E2040" t="s">
        <v>42463</v>
      </c>
      <c r="F2040" t="s">
        <v>42464</v>
      </c>
      <c r="G2040" t="s">
        <v>42465</v>
      </c>
      <c r="H2040" t="s">
        <v>42466</v>
      </c>
      <c r="I2040" t="s">
        <v>42467</v>
      </c>
      <c r="J2040" t="s">
        <v>42468</v>
      </c>
      <c r="K2040" t="s">
        <v>42469</v>
      </c>
      <c r="L2040" t="s">
        <v>42470</v>
      </c>
      <c r="M2040">
        <f>-350.331125096083 -44.5926720664615 -374.966565548481</f>
        <v>-769.89036271102555</v>
      </c>
      <c r="N2040" t="s">
        <v>42471</v>
      </c>
      <c r="O2040">
        <f>-770.075303509408 -98.6878348837959 -754.461654336135</f>
        <v>-1623.2247927293388</v>
      </c>
      <c r="P2040">
        <f>-737.917541033774 -125.877760234642 -440.753480786798</f>
        <v>-1304.5487820552139</v>
      </c>
      <c r="Q2040">
        <f>-502.712485442261 -27.0469703628557 -390.225194205382</f>
        <v>-919.98465001049885</v>
      </c>
      <c r="R2040" t="s">
        <v>42472</v>
      </c>
      <c r="S2040" t="s">
        <v>42473</v>
      </c>
      <c r="T2040" t="s">
        <v>42474</v>
      </c>
      <c r="U2040" t="s">
        <v>42475</v>
      </c>
      <c r="V2040">
        <f>-720.885695159243 -23.689209808538 -229.374582300008</f>
        <v>-973.94948726778898</v>
      </c>
      <c r="W2040" t="s">
        <v>42476</v>
      </c>
      <c r="X2040" t="s">
        <v>42477</v>
      </c>
      <c r="Y2040" t="s">
        <v>42478</v>
      </c>
    </row>
    <row r="2041" spans="1:25" x14ac:dyDescent="0.3">
      <c r="A2041">
        <v>102000</v>
      </c>
      <c r="B2041" t="s">
        <v>42479</v>
      </c>
      <c r="C2041" t="s">
        <v>42480</v>
      </c>
      <c r="D2041" t="s">
        <v>42481</v>
      </c>
      <c r="E2041" t="s">
        <v>42482</v>
      </c>
      <c r="F2041" t="s">
        <v>42483</v>
      </c>
      <c r="G2041" t="s">
        <v>42484</v>
      </c>
      <c r="H2041" t="s">
        <v>42485</v>
      </c>
      <c r="I2041" t="s">
        <v>42486</v>
      </c>
      <c r="J2041" t="s">
        <v>42487</v>
      </c>
      <c r="K2041" t="s">
        <v>42488</v>
      </c>
      <c r="L2041" t="s">
        <v>42489</v>
      </c>
      <c r="M2041">
        <f>-348.574231915283 -46.8254425135224 -375.410735266346</f>
        <v>-770.81040969515141</v>
      </c>
      <c r="N2041" t="s">
        <v>42490</v>
      </c>
      <c r="O2041">
        <f>-768.449720204317 -99.1157026078404 -754.742232332641</f>
        <v>-1622.3076551447984</v>
      </c>
      <c r="P2041">
        <f>-736.834426228455 -126.926508490189 -441.033424163374</f>
        <v>-1304.7943588820181</v>
      </c>
      <c r="Q2041">
        <f>-501.682952200225 -28.1078387574521 -390.23294906874</f>
        <v>-920.02374002641704</v>
      </c>
      <c r="R2041" t="s">
        <v>42491</v>
      </c>
      <c r="S2041" t="s">
        <v>42492</v>
      </c>
      <c r="T2041" t="s">
        <v>42493</v>
      </c>
      <c r="U2041" t="s">
        <v>42494</v>
      </c>
      <c r="V2041">
        <f>-718.059390069945 -24.1369329565209 -229.226661949236</f>
        <v>-971.42298497570198</v>
      </c>
      <c r="W2041" t="s">
        <v>42495</v>
      </c>
      <c r="X2041" t="s">
        <v>42496</v>
      </c>
      <c r="Y2041" t="s">
        <v>42497</v>
      </c>
    </row>
    <row r="2042" spans="1:25" x14ac:dyDescent="0.3">
      <c r="A2042">
        <v>102050</v>
      </c>
      <c r="B2042" t="s">
        <v>42498</v>
      </c>
      <c r="C2042" t="s">
        <v>42499</v>
      </c>
      <c r="D2042" t="s">
        <v>42500</v>
      </c>
      <c r="E2042" t="s">
        <v>42501</v>
      </c>
      <c r="F2042" t="s">
        <v>42502</v>
      </c>
      <c r="G2042" t="s">
        <v>42503</v>
      </c>
      <c r="H2042" t="s">
        <v>42504</v>
      </c>
      <c r="I2042" t="s">
        <v>42505</v>
      </c>
      <c r="J2042" t="s">
        <v>42506</v>
      </c>
      <c r="K2042" t="s">
        <v>42507</v>
      </c>
      <c r="L2042" t="s">
        <v>42508</v>
      </c>
      <c r="M2042">
        <f>-346.283083350724 -48.0595805047826 -375.533363434627</f>
        <v>-769.87602729013361</v>
      </c>
      <c r="N2042" t="s">
        <v>42509</v>
      </c>
      <c r="O2042">
        <f>-766.189453210904 -99.4676035173625 -754.909144101774</f>
        <v>-1620.5662008300405</v>
      </c>
      <c r="P2042">
        <f>-735.311855451459 -128.168323284052 -441.206838309296</f>
        <v>-1304.6870170448069</v>
      </c>
      <c r="Q2042">
        <f>-500.252768559725 -29.3761565034079 -389.929280355018</f>
        <v>-919.55820541815092</v>
      </c>
      <c r="R2042" t="s">
        <v>42510</v>
      </c>
      <c r="S2042" t="s">
        <v>42511</v>
      </c>
      <c r="T2042" t="s">
        <v>42512</v>
      </c>
      <c r="U2042" t="s">
        <v>42513</v>
      </c>
      <c r="V2042">
        <f>-715.170217242378 -24.5846309825192 -229.072447375802</f>
        <v>-968.82729560069924</v>
      </c>
      <c r="W2042" t="s">
        <v>42514</v>
      </c>
      <c r="X2042" t="s">
        <v>42515</v>
      </c>
      <c r="Y2042" t="s">
        <v>42516</v>
      </c>
    </row>
    <row r="2043" spans="1:25" x14ac:dyDescent="0.3">
      <c r="A2043">
        <v>102100</v>
      </c>
      <c r="B2043" t="s">
        <v>42517</v>
      </c>
      <c r="C2043" t="s">
        <v>42518</v>
      </c>
      <c r="D2043" t="s">
        <v>42519</v>
      </c>
      <c r="E2043" t="s">
        <v>42520</v>
      </c>
      <c r="F2043" t="s">
        <v>42521</v>
      </c>
      <c r="G2043" t="s">
        <v>42522</v>
      </c>
      <c r="H2043" t="s">
        <v>42523</v>
      </c>
      <c r="I2043" t="s">
        <v>42524</v>
      </c>
      <c r="J2043" t="s">
        <v>42525</v>
      </c>
      <c r="K2043" t="s">
        <v>42526</v>
      </c>
      <c r="L2043" t="s">
        <v>42527</v>
      </c>
      <c r="M2043">
        <f>-342.053859236869 -49.2179245996422 -373.645306650495</f>
        <v>-764.91709048700613</v>
      </c>
      <c r="N2043" t="s">
        <v>42528</v>
      </c>
      <c r="O2043">
        <f>-761.143112489776 -99.7423500642685 -755.277068606194</f>
        <v>-1616.1625311602384</v>
      </c>
      <c r="P2043">
        <f>-731.967501068197 -129.297741401451 -441.491372244952</f>
        <v>-1302.7566147145999</v>
      </c>
      <c r="Q2043">
        <f>-497.335413779261 -29.9805731663387 -389.280323335312</f>
        <v>-916.59631028091167</v>
      </c>
      <c r="R2043" t="s">
        <v>42529</v>
      </c>
      <c r="S2043" t="s">
        <v>42530</v>
      </c>
      <c r="T2043" t="s">
        <v>42531</v>
      </c>
      <c r="U2043" t="s">
        <v>42532</v>
      </c>
      <c r="V2043">
        <f>-708.795098990295 -25.1367009717603 -228.628796449332</f>
        <v>-962.56059641138722</v>
      </c>
      <c r="W2043" t="s">
        <v>42533</v>
      </c>
      <c r="X2043" t="s">
        <v>42534</v>
      </c>
      <c r="Y2043" t="s">
        <v>42535</v>
      </c>
    </row>
    <row r="2044" spans="1:25" x14ac:dyDescent="0.3">
      <c r="A2044">
        <v>102150</v>
      </c>
      <c r="B2044" t="s">
        <v>42536</v>
      </c>
      <c r="C2044" t="s">
        <v>42537</v>
      </c>
      <c r="D2044" t="s">
        <v>42538</v>
      </c>
      <c r="E2044" t="s">
        <v>42539</v>
      </c>
      <c r="F2044" t="s">
        <v>42540</v>
      </c>
      <c r="G2044" t="s">
        <v>42541</v>
      </c>
      <c r="H2044" t="s">
        <v>42542</v>
      </c>
      <c r="I2044" t="s">
        <v>42543</v>
      </c>
      <c r="J2044" t="s">
        <v>42544</v>
      </c>
      <c r="K2044" t="s">
        <v>42545</v>
      </c>
      <c r="L2044" t="s">
        <v>42546</v>
      </c>
      <c r="M2044">
        <f>-339.990638027762 -52.3845056840169 -373.2084314488</f>
        <v>-765.5835751605789</v>
      </c>
      <c r="N2044" t="s">
        <v>42547</v>
      </c>
      <c r="O2044">
        <f>-756.203346117671 -99.8407639394666 -755.727679547039</f>
        <v>-1611.7717896041765</v>
      </c>
      <c r="P2044">
        <f>-728.437343079379 -130.740115716624 -441.943490848408</f>
        <v>-1301.120949644411</v>
      </c>
      <c r="Q2044">
        <f>-494.089209198018 -31.3525172753989 -388.603838032131</f>
        <v>-914.04556450554787</v>
      </c>
      <c r="R2044" t="s">
        <v>42548</v>
      </c>
      <c r="S2044" t="s">
        <v>42549</v>
      </c>
      <c r="T2044" t="s">
        <v>42550</v>
      </c>
      <c r="U2044" t="s">
        <v>42551</v>
      </c>
      <c r="V2044">
        <f>-702.413373686907 -25.609350017759 -228.159885559866</f>
        <v>-956.18260926453195</v>
      </c>
      <c r="W2044" t="s">
        <v>42552</v>
      </c>
      <c r="X2044" t="s">
        <v>42553</v>
      </c>
      <c r="Y2044" t="s">
        <v>42554</v>
      </c>
    </row>
    <row r="2045" spans="1:25" x14ac:dyDescent="0.3">
      <c r="A2045">
        <v>102200</v>
      </c>
      <c r="B2045" t="s">
        <v>42555</v>
      </c>
      <c r="C2045" t="s">
        <v>42556</v>
      </c>
      <c r="D2045" t="s">
        <v>42557</v>
      </c>
      <c r="E2045" t="s">
        <v>42558</v>
      </c>
      <c r="F2045" t="s">
        <v>42559</v>
      </c>
      <c r="G2045" t="s">
        <v>42560</v>
      </c>
      <c r="H2045" t="s">
        <v>42561</v>
      </c>
      <c r="I2045" t="s">
        <v>42562</v>
      </c>
      <c r="J2045" t="s">
        <v>42563</v>
      </c>
      <c r="K2045" t="s">
        <v>42564</v>
      </c>
      <c r="L2045" t="s">
        <v>42565</v>
      </c>
      <c r="M2045">
        <f>-340.541817037032 -56.1479230461741 -370.954974126799</f>
        <v>-767.64471421000508</v>
      </c>
      <c r="N2045" t="s">
        <v>42566</v>
      </c>
      <c r="O2045">
        <f>-752.252834386511 -99.2834346112852 -756.343125536553</f>
        <v>-1607.8793945343491</v>
      </c>
      <c r="P2045">
        <f>-725.575949676381 -131.977013718487 -442.646422382876</f>
        <v>-1300.1993857777441</v>
      </c>
      <c r="Q2045">
        <f>-491.596630392671 -32.3035193279786 -388.23189866169</f>
        <v>-912.13204838233958</v>
      </c>
      <c r="R2045" t="s">
        <v>42567</v>
      </c>
      <c r="S2045" t="s">
        <v>42568</v>
      </c>
      <c r="T2045" t="s">
        <v>42569</v>
      </c>
      <c r="U2045" t="s">
        <v>42570</v>
      </c>
      <c r="V2045">
        <f>-696.097905953625 -25.7492981444277 -227.750724411768</f>
        <v>-949.59792850982069</v>
      </c>
      <c r="W2045" t="s">
        <v>42571</v>
      </c>
      <c r="X2045" t="s">
        <v>42572</v>
      </c>
      <c r="Y2045" t="s">
        <v>42573</v>
      </c>
    </row>
    <row r="2046" spans="1:25" x14ac:dyDescent="0.3">
      <c r="A2046">
        <v>102250</v>
      </c>
      <c r="B2046" t="s">
        <v>42574</v>
      </c>
      <c r="C2046" t="s">
        <v>42575</v>
      </c>
      <c r="D2046" t="s">
        <v>42576</v>
      </c>
      <c r="E2046" t="s">
        <v>42577</v>
      </c>
      <c r="F2046" t="s">
        <v>42578</v>
      </c>
      <c r="G2046" t="s">
        <v>42579</v>
      </c>
      <c r="H2046" t="s">
        <v>42580</v>
      </c>
      <c r="I2046" t="s">
        <v>42581</v>
      </c>
      <c r="J2046" t="s">
        <v>42582</v>
      </c>
      <c r="K2046" t="s">
        <v>42583</v>
      </c>
      <c r="L2046" t="s">
        <v>42584</v>
      </c>
      <c r="M2046">
        <f>-340.569820463709 -58.0826316608657 -370.525926439739</f>
        <v>-769.17837856431368</v>
      </c>
      <c r="N2046" t="s">
        <v>42585</v>
      </c>
      <c r="O2046">
        <f>-750.348819786225 -98.4948327740935 -756.645168687961</f>
        <v>-1605.4888212482797</v>
      </c>
      <c r="P2046">
        <f>-724.001139424824 -132.166407555453 -443.024027778685</f>
        <v>-1299.1915747589621</v>
      </c>
      <c r="Q2046">
        <f>-490.046276060087 -32.6024596021034 -388.304798680084</f>
        <v>-910.95353434227434</v>
      </c>
      <c r="R2046" t="s">
        <v>42586</v>
      </c>
      <c r="S2046" t="s">
        <v>42587</v>
      </c>
      <c r="T2046" t="s">
        <v>42588</v>
      </c>
      <c r="U2046" t="s">
        <v>42589</v>
      </c>
      <c r="V2046">
        <f>-693.031645037838 -25.5997144922605 -227.463269347676</f>
        <v>-946.09462887777454</v>
      </c>
      <c r="W2046" t="s">
        <v>42590</v>
      </c>
      <c r="X2046" t="s">
        <v>42591</v>
      </c>
      <c r="Y2046" t="s">
        <v>42592</v>
      </c>
    </row>
    <row r="2047" spans="1:25" x14ac:dyDescent="0.3">
      <c r="A2047">
        <v>102300</v>
      </c>
      <c r="B2047" t="s">
        <v>42593</v>
      </c>
      <c r="C2047" t="s">
        <v>42594</v>
      </c>
      <c r="D2047" t="s">
        <v>42595</v>
      </c>
      <c r="E2047" t="s">
        <v>42596</v>
      </c>
      <c r="F2047" t="s">
        <v>42597</v>
      </c>
      <c r="G2047" t="s">
        <v>42598</v>
      </c>
      <c r="H2047" t="s">
        <v>42599</v>
      </c>
      <c r="I2047" t="s">
        <v>42600</v>
      </c>
      <c r="J2047" t="s">
        <v>42601</v>
      </c>
      <c r="K2047" t="s">
        <v>42602</v>
      </c>
      <c r="L2047" t="s">
        <v>42603</v>
      </c>
      <c r="M2047">
        <f>-339.837347333918 -59.2617258269388 -369.653661993056</f>
        <v>-768.75273515391279</v>
      </c>
      <c r="N2047" t="s">
        <v>42604</v>
      </c>
      <c r="O2047">
        <f>-748.659988601795 -97.7692600949645 -756.903454667521</f>
        <v>-1603.3327033642804</v>
      </c>
      <c r="P2047">
        <f>-722.417382522868 -132.320137241192 -443.369094433379</f>
        <v>-1298.1066141974391</v>
      </c>
      <c r="Q2047">
        <f>-488.451435033449 -32.8461483553942 -388.533572796341</f>
        <v>-909.83115618518423</v>
      </c>
      <c r="R2047" t="s">
        <v>42605</v>
      </c>
      <c r="S2047" t="s">
        <v>42606</v>
      </c>
      <c r="T2047" t="s">
        <v>42607</v>
      </c>
      <c r="U2047" t="s">
        <v>42608</v>
      </c>
      <c r="V2047">
        <f>-689.989932985345 -25.4031658509139 -227.089293291024</f>
        <v>-942.48239212728288</v>
      </c>
      <c r="W2047" t="s">
        <v>42609</v>
      </c>
      <c r="X2047" t="s">
        <v>42610</v>
      </c>
      <c r="Y2047" t="s">
        <v>42611</v>
      </c>
    </row>
    <row r="2048" spans="1:25" x14ac:dyDescent="0.3">
      <c r="A2048">
        <v>102350</v>
      </c>
      <c r="B2048" t="s">
        <v>42612</v>
      </c>
      <c r="C2048" t="s">
        <v>42613</v>
      </c>
      <c r="D2048" t="s">
        <v>42614</v>
      </c>
      <c r="E2048" t="s">
        <v>42615</v>
      </c>
      <c r="F2048" t="s">
        <v>42616</v>
      </c>
      <c r="G2048" t="s">
        <v>42617</v>
      </c>
      <c r="H2048" t="s">
        <v>42618</v>
      </c>
      <c r="I2048" t="s">
        <v>42619</v>
      </c>
      <c r="J2048" t="s">
        <v>42620</v>
      </c>
      <c r="K2048" t="s">
        <v>42621</v>
      </c>
      <c r="L2048" t="s">
        <v>42622</v>
      </c>
      <c r="M2048">
        <f>-337.30944035219 -61.6327350585564 -367.702944270436</f>
        <v>-766.64511968118245</v>
      </c>
      <c r="N2048" t="s">
        <v>42623</v>
      </c>
      <c r="O2048">
        <f>-745.451034085311 -96.038718051582 -757.377333571843</f>
        <v>-1598.8670857087359</v>
      </c>
      <c r="P2048">
        <f>-719.211977494605 -132.477927657399 -444.05650809244</f>
        <v>-1295.7464132444441</v>
      </c>
      <c r="Q2048">
        <f>-485.057578131808 -33.3133663746485 -389.465601749998</f>
        <v>-907.83654625645443</v>
      </c>
      <c r="R2048" t="s">
        <v>42624</v>
      </c>
      <c r="S2048" t="s">
        <v>42625</v>
      </c>
      <c r="T2048" t="s">
        <v>42626</v>
      </c>
      <c r="U2048" t="s">
        <v>42627</v>
      </c>
      <c r="V2048">
        <f>-684.474004180723 -25.0812781194729 -226.388133461497</f>
        <v>-935.9434157616929</v>
      </c>
      <c r="W2048" t="s">
        <v>42628</v>
      </c>
      <c r="X2048" t="s">
        <v>42629</v>
      </c>
      <c r="Y2048" t="s">
        <v>42630</v>
      </c>
    </row>
    <row r="2049" spans="1:25" x14ac:dyDescent="0.3">
      <c r="A2049">
        <v>102400</v>
      </c>
      <c r="B2049" t="s">
        <v>42631</v>
      </c>
      <c r="C2049" t="s">
        <v>42632</v>
      </c>
      <c r="D2049" t="s">
        <v>42633</v>
      </c>
      <c r="E2049" t="s">
        <v>42634</v>
      </c>
      <c r="F2049" t="s">
        <v>42635</v>
      </c>
      <c r="G2049" t="s">
        <v>42636</v>
      </c>
      <c r="H2049" t="s">
        <v>42637</v>
      </c>
      <c r="I2049" t="s">
        <v>42638</v>
      </c>
      <c r="J2049" t="s">
        <v>42639</v>
      </c>
      <c r="K2049" t="s">
        <v>42640</v>
      </c>
      <c r="L2049" t="s">
        <v>42641</v>
      </c>
      <c r="M2049">
        <f>-336.617453477956 -63.3365512126884 -366.465917767302</f>
        <v>-766.41992245794643</v>
      </c>
      <c r="N2049" t="s">
        <v>42642</v>
      </c>
      <c r="O2049">
        <f>-744.31810293575 -95.548584934003 -757.417034652606</f>
        <v>-1597.2837225223589</v>
      </c>
      <c r="P2049">
        <f>-717.894049333176 -133.177541672295 -444.252502291779</f>
        <v>-1295.3240932972499</v>
      </c>
      <c r="Q2049">
        <f>-483.474820779677 -34.4502028900683 -390.006559757457</f>
        <v>-907.93158342720233</v>
      </c>
      <c r="R2049" t="s">
        <v>42643</v>
      </c>
      <c r="S2049" t="s">
        <v>42644</v>
      </c>
      <c r="T2049" t="s">
        <v>42645</v>
      </c>
      <c r="U2049" t="s">
        <v>42646</v>
      </c>
      <c r="V2049">
        <f>-682.026360672605 -24.9211483739261 -225.885601597765</f>
        <v>-932.8331106442962</v>
      </c>
      <c r="W2049" t="s">
        <v>42647</v>
      </c>
      <c r="X2049" t="s">
        <v>42648</v>
      </c>
      <c r="Y2049" t="s">
        <v>42649</v>
      </c>
    </row>
    <row r="2050" spans="1:25" x14ac:dyDescent="0.3">
      <c r="A2050">
        <v>102450</v>
      </c>
      <c r="B2050" t="s">
        <v>42650</v>
      </c>
      <c r="C2050" t="s">
        <v>42651</v>
      </c>
      <c r="D2050" t="s">
        <v>42652</v>
      </c>
      <c r="E2050" t="s">
        <v>42653</v>
      </c>
      <c r="F2050" t="s">
        <v>42654</v>
      </c>
      <c r="G2050" t="s">
        <v>42655</v>
      </c>
      <c r="H2050" t="s">
        <v>42656</v>
      </c>
      <c r="I2050" t="s">
        <v>42657</v>
      </c>
      <c r="J2050" t="s">
        <v>42658</v>
      </c>
      <c r="K2050" t="s">
        <v>42659</v>
      </c>
      <c r="L2050" t="s">
        <v>42660</v>
      </c>
      <c r="M2050">
        <f>-339.186480316173 -61.6904326041956 -357.290990771015</f>
        <v>-758.16790369138357</v>
      </c>
      <c r="N2050" t="s">
        <v>42661</v>
      </c>
      <c r="O2050">
        <f>-743.857073915934 -93.8814284157913 -757.684849979345</f>
        <v>-1595.4233523110704</v>
      </c>
      <c r="P2050">
        <f>-717.826037249723 -133.269558456662 -444.703847489806</f>
        <v>-1295.7994431961911</v>
      </c>
      <c r="Q2050">
        <f>-482.582135704166 -36.1547177992252 -391.121674253458</f>
        <v>-909.8585277568493</v>
      </c>
      <c r="R2050" t="s">
        <v>42662</v>
      </c>
      <c r="S2050" t="s">
        <v>42663</v>
      </c>
      <c r="T2050" t="s">
        <v>42664</v>
      </c>
      <c r="U2050" t="s">
        <v>42665</v>
      </c>
      <c r="V2050">
        <f>-678.627362748324 -23.7694820000381 -225.214238505593</f>
        <v>-927.61108325395514</v>
      </c>
      <c r="W2050" t="s">
        <v>42666</v>
      </c>
      <c r="X2050" t="s">
        <v>42667</v>
      </c>
      <c r="Y2050" t="s">
        <v>42668</v>
      </c>
    </row>
    <row r="2051" spans="1:25" x14ac:dyDescent="0.3">
      <c r="A2051">
        <v>102500</v>
      </c>
      <c r="B2051" t="s">
        <v>42669</v>
      </c>
      <c r="C2051" t="s">
        <v>42670</v>
      </c>
      <c r="D2051" t="s">
        <v>42671</v>
      </c>
      <c r="E2051" t="s">
        <v>42672</v>
      </c>
      <c r="F2051" t="s">
        <v>42673</v>
      </c>
      <c r="G2051" t="s">
        <v>42674</v>
      </c>
      <c r="H2051" t="s">
        <v>42675</v>
      </c>
      <c r="I2051" t="s">
        <v>42676</v>
      </c>
      <c r="J2051" t="s">
        <v>42677</v>
      </c>
      <c r="K2051" t="s">
        <v>42678</v>
      </c>
      <c r="L2051" t="s">
        <v>42679</v>
      </c>
      <c r="M2051">
        <f>-340.036466807537 -59.3390151386636 -354.681535289536</f>
        <v>-754.05701723573657</v>
      </c>
      <c r="N2051" t="s">
        <v>42680</v>
      </c>
      <c r="O2051">
        <f>-743.308147347956 -93.5708674334653 -757.742401964985</f>
        <v>-1594.6214167464063</v>
      </c>
      <c r="P2051">
        <f>-717.364055913001 -134.145031188521 -444.905715106399</f>
        <v>-1296.414802207921</v>
      </c>
      <c r="Q2051">
        <f>-481.67681274781 -37.8757163602945 -391.747370223323</f>
        <v>-911.29989933142747</v>
      </c>
      <c r="R2051" t="s">
        <v>42681</v>
      </c>
      <c r="S2051" t="s">
        <v>42682</v>
      </c>
      <c r="T2051" t="s">
        <v>42683</v>
      </c>
      <c r="U2051" t="s">
        <v>42684</v>
      </c>
      <c r="V2051">
        <f>-677.048313506344 -23.2017820233727 -225.044164680793</f>
        <v>-925.29426021050972</v>
      </c>
      <c r="W2051" t="s">
        <v>42685</v>
      </c>
      <c r="X2051" t="s">
        <v>42686</v>
      </c>
      <c r="Y2051" t="s">
        <v>42687</v>
      </c>
    </row>
    <row r="2052" spans="1:25" x14ac:dyDescent="0.3">
      <c r="A2052">
        <v>102550</v>
      </c>
      <c r="B2052" t="s">
        <v>42688</v>
      </c>
      <c r="C2052" t="s">
        <v>42689</v>
      </c>
      <c r="D2052" t="s">
        <v>42690</v>
      </c>
      <c r="E2052" t="s">
        <v>42691</v>
      </c>
      <c r="F2052" t="s">
        <v>42692</v>
      </c>
      <c r="G2052" t="s">
        <v>42693</v>
      </c>
      <c r="H2052" t="s">
        <v>42694</v>
      </c>
      <c r="I2052" t="s">
        <v>42695</v>
      </c>
      <c r="J2052" t="s">
        <v>42696</v>
      </c>
      <c r="K2052" t="s">
        <v>42697</v>
      </c>
      <c r="L2052" t="s">
        <v>42698</v>
      </c>
      <c r="M2052">
        <f>-338.936138598385 -45.9914460850596 -349.817817481733</f>
        <v>-734.74540216517767</v>
      </c>
      <c r="N2052" t="s">
        <v>42699</v>
      </c>
      <c r="O2052">
        <f>-741.515930794101 -92.4943425657273 -757.680290888145</f>
        <v>-1591.6905642479733</v>
      </c>
      <c r="P2052">
        <f>-716.307105866892 -133.280895392925 -444.811016573291</f>
        <v>-1294.399017833108</v>
      </c>
      <c r="Q2052">
        <f>-479.47895704906 -39.5944124220437 -392.110756722953</f>
        <v>-911.18412619405672</v>
      </c>
      <c r="R2052" t="s">
        <v>42700</v>
      </c>
      <c r="S2052" t="s">
        <v>42701</v>
      </c>
      <c r="T2052" t="s">
        <v>42702</v>
      </c>
      <c r="U2052" t="s">
        <v>42703</v>
      </c>
      <c r="V2052">
        <f>-674.379710372951 -21.8780854795396 -225.121159630956</f>
        <v>-921.37895548344648</v>
      </c>
      <c r="W2052" t="s">
        <v>42704</v>
      </c>
      <c r="X2052" t="s">
        <v>42705</v>
      </c>
      <c r="Y2052" t="s">
        <v>42706</v>
      </c>
    </row>
    <row r="2053" spans="1:25" x14ac:dyDescent="0.3">
      <c r="A2053">
        <v>102600</v>
      </c>
      <c r="B2053" t="s">
        <v>42707</v>
      </c>
      <c r="C2053" t="s">
        <v>42708</v>
      </c>
      <c r="D2053" t="s">
        <v>42709</v>
      </c>
      <c r="E2053" t="s">
        <v>42710</v>
      </c>
      <c r="F2053" t="s">
        <v>42711</v>
      </c>
      <c r="G2053" t="s">
        <v>42712</v>
      </c>
      <c r="H2053" t="s">
        <v>42713</v>
      </c>
      <c r="I2053" t="s">
        <v>42714</v>
      </c>
      <c r="J2053" t="s">
        <v>42715</v>
      </c>
      <c r="K2053" t="s">
        <v>42716</v>
      </c>
      <c r="L2053" t="s">
        <v>42717</v>
      </c>
      <c r="M2053">
        <f>-337.885849941439 -39.1951850522967 -347.529521608655</f>
        <v>-724.61055660239072</v>
      </c>
      <c r="N2053" t="s">
        <v>42718</v>
      </c>
      <c r="O2053">
        <f>-740.603569849224 -92.5555487376166 -757.760160232649</f>
        <v>-1590.9192788194896</v>
      </c>
      <c r="P2053">
        <f>-715.461514520718 -133.124171810317 -444.857218620927</f>
        <v>-1293.442904951962</v>
      </c>
      <c r="Q2053">
        <f>-478.311412922002 -40.2657453135 -392.139441232293</f>
        <v>-910.71659946779505</v>
      </c>
      <c r="R2053" t="s">
        <v>42719</v>
      </c>
      <c r="S2053" t="s">
        <v>42720</v>
      </c>
      <c r="T2053" t="s">
        <v>42721</v>
      </c>
      <c r="U2053" t="s">
        <v>42722</v>
      </c>
      <c r="V2053">
        <f>-673.345678162499 -21.2777121693407 -225.433109943609</f>
        <v>-920.05650027544868</v>
      </c>
      <c r="W2053" t="s">
        <v>42723</v>
      </c>
      <c r="X2053" t="s">
        <v>42724</v>
      </c>
      <c r="Y2053" t="s">
        <v>42725</v>
      </c>
    </row>
    <row r="2054" spans="1:25" x14ac:dyDescent="0.3">
      <c r="A2054">
        <v>102650</v>
      </c>
      <c r="B2054" t="s">
        <v>42726</v>
      </c>
      <c r="C2054" t="s">
        <v>42727</v>
      </c>
      <c r="D2054" t="s">
        <v>42728</v>
      </c>
      <c r="E2054" t="s">
        <v>42729</v>
      </c>
      <c r="F2054" t="s">
        <v>42730</v>
      </c>
      <c r="G2054" t="s">
        <v>42731</v>
      </c>
      <c r="H2054" t="s">
        <v>42732</v>
      </c>
      <c r="I2054" t="s">
        <v>42733</v>
      </c>
      <c r="J2054" t="s">
        <v>42734</v>
      </c>
      <c r="K2054" t="s">
        <v>42735</v>
      </c>
      <c r="L2054" t="s">
        <v>42736</v>
      </c>
      <c r="M2054">
        <f>-337.130271385563 -17.7630211974581 -335.121206986805</f>
        <v>-690.01449956982606</v>
      </c>
      <c r="N2054" t="s">
        <v>42737</v>
      </c>
      <c r="O2054">
        <f>-738.299416529777 -92.2583146735819 -757.720860794715</f>
        <v>-1588.2785919980738</v>
      </c>
      <c r="P2054">
        <f>-713.500963354502 -131.874076259882 -444.668383917955</f>
        <v>-1290.0434235323391</v>
      </c>
      <c r="Q2054">
        <f>-475.973900031511 -39.9561224219897 -391.999466450194</f>
        <v>-907.92948890369462</v>
      </c>
      <c r="R2054" t="s">
        <v>42738</v>
      </c>
      <c r="S2054" t="s">
        <v>42739</v>
      </c>
      <c r="T2054" t="s">
        <v>42740</v>
      </c>
      <c r="U2054" t="s">
        <v>42741</v>
      </c>
      <c r="V2054">
        <f>-671.413504864735 -19.874542273069 -226.026841776988</f>
        <v>-917.31488891479205</v>
      </c>
      <c r="W2054" t="s">
        <v>42742</v>
      </c>
      <c r="X2054" t="s">
        <v>42743</v>
      </c>
      <c r="Y2054" t="s">
        <v>42744</v>
      </c>
    </row>
    <row r="2055" spans="1:25" x14ac:dyDescent="0.3">
      <c r="A2055">
        <v>102700</v>
      </c>
      <c r="B2055" t="s">
        <v>42745</v>
      </c>
      <c r="C2055" t="s">
        <v>42746</v>
      </c>
      <c r="D2055" t="s">
        <v>42747</v>
      </c>
      <c r="E2055" t="s">
        <v>42748</v>
      </c>
      <c r="F2055" t="s">
        <v>42749</v>
      </c>
      <c r="G2055" t="s">
        <v>42750</v>
      </c>
      <c r="H2055" t="s">
        <v>42751</v>
      </c>
      <c r="I2055" t="s">
        <v>42752</v>
      </c>
      <c r="J2055" t="s">
        <v>42753</v>
      </c>
      <c r="K2055" t="s">
        <v>42754</v>
      </c>
      <c r="L2055" t="s">
        <v>42755</v>
      </c>
      <c r="M2055">
        <f>-335.86036850247 -8.80964494169643 -330.759717523212</f>
        <v>-675.42973096737842</v>
      </c>
      <c r="N2055" t="s">
        <v>42756</v>
      </c>
      <c r="O2055">
        <f>-737.516146511271 -91.7066828821398 -757.594064189534</f>
        <v>-1586.8168935829449</v>
      </c>
      <c r="P2055">
        <f>-712.360954143481 -130.663312231929 -444.48742689181</f>
        <v>-1287.5116932672199</v>
      </c>
      <c r="Q2055">
        <f>-474.710723131061 -38.9181471602321 -392.073342769815</f>
        <v>-905.70221306110807</v>
      </c>
      <c r="R2055" t="s">
        <v>42757</v>
      </c>
      <c r="S2055" t="s">
        <v>42758</v>
      </c>
      <c r="T2055" t="s">
        <v>42759</v>
      </c>
      <c r="U2055" t="s">
        <v>42760</v>
      </c>
      <c r="V2055">
        <f>-670.604001598991 -19.0070265097133 -226.319690669797</f>
        <v>-915.93071877850139</v>
      </c>
      <c r="W2055" t="s">
        <v>42761</v>
      </c>
      <c r="X2055" t="s">
        <v>42762</v>
      </c>
      <c r="Y2055" t="s">
        <v>42763</v>
      </c>
    </row>
    <row r="2056" spans="1:25" x14ac:dyDescent="0.3">
      <c r="A2056">
        <v>102750</v>
      </c>
      <c r="B2056" t="s">
        <v>42764</v>
      </c>
      <c r="C2056" t="s">
        <v>42765</v>
      </c>
      <c r="D2056" t="s">
        <v>42766</v>
      </c>
      <c r="E2056" t="s">
        <v>42767</v>
      </c>
      <c r="F2056" t="s">
        <v>42768</v>
      </c>
      <c r="G2056" t="s">
        <v>42769</v>
      </c>
      <c r="H2056" t="s">
        <v>42770</v>
      </c>
      <c r="I2056" t="s">
        <v>42771</v>
      </c>
      <c r="J2056" t="s">
        <v>42772</v>
      </c>
      <c r="K2056" t="s">
        <v>42773</v>
      </c>
      <c r="L2056" t="s">
        <v>42774</v>
      </c>
      <c r="M2056" t="s">
        <v>42775</v>
      </c>
      <c r="N2056" t="s">
        <v>42776</v>
      </c>
      <c r="O2056">
        <f>-736.612897979492 -89.2470511281524 -757.6974003607</f>
        <v>-1583.5573494683445</v>
      </c>
      <c r="P2056">
        <f>-710.526116840243 -126.342938413431 -444.440994222289</f>
        <v>-1281.3100494759631</v>
      </c>
      <c r="Q2056">
        <f>-472.564544784642 -34.9702646886278 -392.794527296729</f>
        <v>-900.3293367699988</v>
      </c>
      <c r="R2056" t="s">
        <v>42777</v>
      </c>
      <c r="S2056" t="s">
        <v>42778</v>
      </c>
      <c r="T2056" t="s">
        <v>42779</v>
      </c>
      <c r="U2056" t="s">
        <v>42780</v>
      </c>
      <c r="V2056">
        <f>-669.747879050684 -16.8679117428644 -226.584731419207</f>
        <v>-913.20052221275546</v>
      </c>
      <c r="W2056" t="s">
        <v>42781</v>
      </c>
      <c r="X2056" t="s">
        <v>42782</v>
      </c>
      <c r="Y2056" t="s">
        <v>42783</v>
      </c>
    </row>
    <row r="2057" spans="1:25" x14ac:dyDescent="0.3">
      <c r="A2057">
        <v>102800</v>
      </c>
      <c r="B2057" t="s">
        <v>42784</v>
      </c>
      <c r="C2057" t="s">
        <v>42785</v>
      </c>
      <c r="D2057" t="s">
        <v>42786</v>
      </c>
      <c r="E2057" t="s">
        <v>42787</v>
      </c>
      <c r="F2057" t="s">
        <v>42788</v>
      </c>
      <c r="G2057" t="s">
        <v>42789</v>
      </c>
      <c r="H2057" t="s">
        <v>42790</v>
      </c>
      <c r="I2057" t="s">
        <v>42791</v>
      </c>
      <c r="J2057" t="s">
        <v>42792</v>
      </c>
      <c r="K2057" t="s">
        <v>42793</v>
      </c>
      <c r="L2057" t="s">
        <v>42794</v>
      </c>
      <c r="M2057" t="s">
        <v>42795</v>
      </c>
      <c r="N2057" t="s">
        <v>42796</v>
      </c>
      <c r="O2057">
        <f>-736.823690813689 -87.9684386695249 -757.672498205083</f>
        <v>-1582.4646276882968</v>
      </c>
      <c r="P2057">
        <f>-710.060905276784 -125.096082808476 -444.476814240304</f>
        <v>-1279.6338023255639</v>
      </c>
      <c r="Q2057">
        <f>-472.316446200464 -32.9731679497102 -393.164122874552</f>
        <v>-898.45373702472625</v>
      </c>
      <c r="R2057" t="s">
        <v>42797</v>
      </c>
      <c r="S2057" t="s">
        <v>42798</v>
      </c>
      <c r="T2057" t="s">
        <v>42799</v>
      </c>
      <c r="U2057" t="s">
        <v>42800</v>
      </c>
      <c r="V2057">
        <f>-669.772847918988 -15.7260771230758 -226.64826581369</f>
        <v>-912.14719085575371</v>
      </c>
      <c r="W2057" t="s">
        <v>42801</v>
      </c>
      <c r="X2057" t="s">
        <v>42802</v>
      </c>
      <c r="Y2057" t="s">
        <v>42803</v>
      </c>
    </row>
    <row r="2058" spans="1:25" x14ac:dyDescent="0.3">
      <c r="A2058">
        <v>102850</v>
      </c>
      <c r="B2058" t="s">
        <v>42804</v>
      </c>
      <c r="C2058" t="s">
        <v>42805</v>
      </c>
      <c r="D2058" t="s">
        <v>42806</v>
      </c>
      <c r="E2058" t="s">
        <v>42807</v>
      </c>
      <c r="F2058" t="s">
        <v>42808</v>
      </c>
      <c r="G2058" t="s">
        <v>42809</v>
      </c>
      <c r="H2058" t="s">
        <v>42810</v>
      </c>
      <c r="I2058" t="s">
        <v>42811</v>
      </c>
      <c r="J2058" t="s">
        <v>42812</v>
      </c>
      <c r="K2058" t="s">
        <v>42813</v>
      </c>
      <c r="L2058" t="s">
        <v>42814</v>
      </c>
      <c r="M2058" t="s">
        <v>42815</v>
      </c>
      <c r="N2058" t="s">
        <v>42816</v>
      </c>
      <c r="O2058">
        <f>-736.644323513431 -85.0707412419533 -757.51711636575</f>
        <v>-1579.2321811211343</v>
      </c>
      <c r="P2058">
        <f>-708.765634388496 -122.854845883225 -444.497492181296</f>
        <v>-1276.117972453017</v>
      </c>
      <c r="Q2058">
        <f>-471.469499537459 -29.0749456272217 -394.119713377898</f>
        <v>-894.66415854257866</v>
      </c>
      <c r="R2058" t="s">
        <v>42817</v>
      </c>
      <c r="S2058" t="s">
        <v>42818</v>
      </c>
      <c r="T2058" t="s">
        <v>42819</v>
      </c>
      <c r="U2058" t="s">
        <v>42820</v>
      </c>
      <c r="V2058">
        <f>-670.135055305722 -13.8316064894145 -226.809292546216</f>
        <v>-910.77595434135242</v>
      </c>
      <c r="W2058" t="s">
        <v>42821</v>
      </c>
      <c r="X2058" t="s">
        <v>42822</v>
      </c>
      <c r="Y2058" t="s">
        <v>42823</v>
      </c>
    </row>
    <row r="2059" spans="1:25" x14ac:dyDescent="0.3">
      <c r="A2059">
        <v>102900</v>
      </c>
      <c r="B2059" t="s">
        <v>42824</v>
      </c>
      <c r="C2059" t="s">
        <v>42825</v>
      </c>
      <c r="D2059" t="s">
        <v>42826</v>
      </c>
      <c r="E2059" t="s">
        <v>42827</v>
      </c>
      <c r="F2059" t="s">
        <v>42828</v>
      </c>
      <c r="G2059" t="s">
        <v>42829</v>
      </c>
      <c r="H2059" t="s">
        <v>42830</v>
      </c>
      <c r="I2059" t="s">
        <v>42831</v>
      </c>
      <c r="J2059" t="s">
        <v>42832</v>
      </c>
      <c r="K2059" t="s">
        <v>42833</v>
      </c>
      <c r="L2059" t="s">
        <v>42834</v>
      </c>
      <c r="M2059" t="s">
        <v>42835</v>
      </c>
      <c r="N2059" t="s">
        <v>42836</v>
      </c>
      <c r="O2059">
        <f>-736.353086531451 -83.2427802547645 -757.518157758258</f>
        <v>-1577.1140245444735</v>
      </c>
      <c r="P2059">
        <f>-707.874857690434 -121.116598208527 -444.563232993404</f>
        <v>-1273.554688892365</v>
      </c>
      <c r="Q2059">
        <f>-470.670661316576 -26.7619663726362 -394.829170500836</f>
        <v>-892.26179819004824</v>
      </c>
      <c r="R2059" t="s">
        <v>42837</v>
      </c>
      <c r="S2059" t="s">
        <v>42838</v>
      </c>
      <c r="T2059" t="s">
        <v>42839</v>
      </c>
      <c r="U2059" t="s">
        <v>42840</v>
      </c>
      <c r="V2059">
        <f>-670.470229549909 -12.8539744440823 -226.808801132414</f>
        <v>-910.13300512640535</v>
      </c>
      <c r="W2059" t="s">
        <v>42841</v>
      </c>
      <c r="X2059" t="s">
        <v>42842</v>
      </c>
      <c r="Y2059" t="s">
        <v>42843</v>
      </c>
    </row>
    <row r="2060" spans="1:25" x14ac:dyDescent="0.3">
      <c r="A2060">
        <v>102950</v>
      </c>
      <c r="B2060" t="s">
        <v>42844</v>
      </c>
      <c r="C2060" t="s">
        <v>42845</v>
      </c>
      <c r="D2060" t="s">
        <v>42846</v>
      </c>
      <c r="E2060" t="s">
        <v>42847</v>
      </c>
      <c r="F2060" t="s">
        <v>42848</v>
      </c>
      <c r="G2060" t="s">
        <v>42849</v>
      </c>
      <c r="H2060" t="s">
        <v>42850</v>
      </c>
      <c r="I2060" t="s">
        <v>42851</v>
      </c>
      <c r="J2060" t="s">
        <v>42852</v>
      </c>
      <c r="K2060" t="s">
        <v>42853</v>
      </c>
      <c r="L2060" t="s">
        <v>42854</v>
      </c>
      <c r="M2060" t="s">
        <v>42855</v>
      </c>
      <c r="N2060" t="s">
        <v>42856</v>
      </c>
      <c r="O2060">
        <f>-736.97088102407 -80.3346201035297 -757.6484490197</f>
        <v>-1574.9539501472996</v>
      </c>
      <c r="P2060">
        <f>-707.682375376753 -117.540528283466 -444.688292573063</f>
        <v>-1269.911196233282</v>
      </c>
      <c r="Q2060">
        <f>-470.751671950469 -21.9135307752956 -396.094425503335</f>
        <v>-888.75962822909969</v>
      </c>
      <c r="R2060" t="s">
        <v>42857</v>
      </c>
      <c r="S2060" t="s">
        <v>42858</v>
      </c>
      <c r="T2060" t="s">
        <v>42859</v>
      </c>
      <c r="U2060" t="s">
        <v>42860</v>
      </c>
      <c r="V2060">
        <f>-671.327397303795 -11.5478588160113 -226.729728622062</f>
        <v>-909.60498474186829</v>
      </c>
      <c r="W2060" t="s">
        <v>42861</v>
      </c>
      <c r="X2060" t="s">
        <v>42862</v>
      </c>
      <c r="Y2060" t="s">
        <v>42863</v>
      </c>
    </row>
    <row r="2061" spans="1:25" x14ac:dyDescent="0.3">
      <c r="A2061">
        <v>103000</v>
      </c>
      <c r="B2061" t="s">
        <v>42864</v>
      </c>
      <c r="C2061" t="s">
        <v>42865</v>
      </c>
      <c r="D2061" t="s">
        <v>42866</v>
      </c>
      <c r="E2061" t="s">
        <v>42867</v>
      </c>
      <c r="F2061" t="s">
        <v>42868</v>
      </c>
      <c r="G2061" t="s">
        <v>42869</v>
      </c>
      <c r="H2061" t="s">
        <v>42870</v>
      </c>
      <c r="I2061" t="s">
        <v>42871</v>
      </c>
      <c r="J2061" t="s">
        <v>42872</v>
      </c>
      <c r="K2061" t="s">
        <v>42873</v>
      </c>
      <c r="L2061" t="s">
        <v>42874</v>
      </c>
      <c r="M2061" t="s">
        <v>42875</v>
      </c>
      <c r="N2061" t="s">
        <v>42876</v>
      </c>
      <c r="O2061">
        <f>-737.750959966355 -79.273462194808 -757.527603160095</f>
        <v>-1574.552025321258</v>
      </c>
      <c r="P2061">
        <f>-707.645172745881 -117.205223705495 -444.732110955334</f>
        <v>-1269.58250740671</v>
      </c>
      <c r="Q2061">
        <f>-470.860063008208 -21.0823518426846 -396.407462635298</f>
        <v>-888.34987748619051</v>
      </c>
      <c r="R2061" t="s">
        <v>42877</v>
      </c>
      <c r="S2061" t="s">
        <v>42878</v>
      </c>
      <c r="T2061" t="s">
        <v>42879</v>
      </c>
      <c r="U2061" t="s">
        <v>42880</v>
      </c>
      <c r="V2061">
        <f>-671.770756207313 -11.2336395769066 -226.656723699593</f>
        <v>-909.66111948381263</v>
      </c>
      <c r="W2061" t="s">
        <v>42881</v>
      </c>
      <c r="X2061" t="s">
        <v>42882</v>
      </c>
      <c r="Y2061" t="s">
        <v>42883</v>
      </c>
    </row>
    <row r="2062" spans="1:25" x14ac:dyDescent="0.3">
      <c r="A2062">
        <v>103050</v>
      </c>
      <c r="B2062" t="s">
        <v>42884</v>
      </c>
      <c r="C2062" t="s">
        <v>42885</v>
      </c>
      <c r="D2062" t="s">
        <v>42886</v>
      </c>
      <c r="E2062" t="s">
        <v>42887</v>
      </c>
      <c r="F2062" t="s">
        <v>42888</v>
      </c>
      <c r="G2062" t="s">
        <v>42889</v>
      </c>
      <c r="H2062" t="s">
        <v>42890</v>
      </c>
      <c r="I2062" t="s">
        <v>42891</v>
      </c>
      <c r="J2062" t="s">
        <v>42892</v>
      </c>
      <c r="K2062" t="s">
        <v>42893</v>
      </c>
      <c r="L2062" t="s">
        <v>42894</v>
      </c>
      <c r="M2062" t="s">
        <v>42895</v>
      </c>
      <c r="N2062" t="s">
        <v>42896</v>
      </c>
      <c r="O2062">
        <f>-738.740305952286 -79.9138515909269 -756.751765738243</f>
        <v>-1575.4059232814559</v>
      </c>
      <c r="P2062">
        <f>-708.115794162387 -117.726302491182 -443.992217792269</f>
        <v>-1269.8343144458381</v>
      </c>
      <c r="Q2062">
        <f>-471.561999067856 -20.8289916745807 -396.083178708201</f>
        <v>-888.47416945063765</v>
      </c>
      <c r="R2062" t="s">
        <v>42897</v>
      </c>
      <c r="S2062" t="s">
        <v>42898</v>
      </c>
      <c r="T2062" t="s">
        <v>42899</v>
      </c>
      <c r="U2062" t="s">
        <v>42900</v>
      </c>
      <c r="V2062">
        <f>-672.471653560517 -11.0518910513372 -226.478933615088</f>
        <v>-910.00247822694223</v>
      </c>
      <c r="W2062" t="s">
        <v>42901</v>
      </c>
      <c r="X2062" t="s">
        <v>42902</v>
      </c>
      <c r="Y2062" t="s">
        <v>42903</v>
      </c>
    </row>
    <row r="2063" spans="1:25" x14ac:dyDescent="0.3">
      <c r="A2063">
        <v>103100</v>
      </c>
      <c r="B2063" t="s">
        <v>42904</v>
      </c>
      <c r="C2063" t="s">
        <v>42905</v>
      </c>
      <c r="D2063" t="s">
        <v>42906</v>
      </c>
      <c r="E2063" t="s">
        <v>42907</v>
      </c>
      <c r="F2063" t="s">
        <v>42908</v>
      </c>
      <c r="G2063" t="s">
        <v>42909</v>
      </c>
      <c r="H2063" t="s">
        <v>42910</v>
      </c>
      <c r="I2063" t="s">
        <v>42911</v>
      </c>
      <c r="J2063" t="s">
        <v>42912</v>
      </c>
      <c r="K2063" t="s">
        <v>42913</v>
      </c>
      <c r="L2063" t="s">
        <v>42914</v>
      </c>
      <c r="M2063" t="s">
        <v>42915</v>
      </c>
      <c r="N2063" t="s">
        <v>42916</v>
      </c>
      <c r="O2063">
        <f>-739.182432264499 -80.9821886263624 -756.22175601166</f>
        <v>-1576.3863769025213</v>
      </c>
      <c r="P2063">
        <f>-708.677234488411 -117.811542610514 -443.333221851285</f>
        <v>-1269.8219989502099</v>
      </c>
      <c r="Q2063">
        <f>-472.146825858523 -20.7784222667428 -395.583805966744</f>
        <v>-888.50905409200982</v>
      </c>
      <c r="R2063" t="s">
        <v>42917</v>
      </c>
      <c r="S2063" t="s">
        <v>42918</v>
      </c>
      <c r="T2063" t="s">
        <v>42919</v>
      </c>
      <c r="U2063" t="s">
        <v>42920</v>
      </c>
      <c r="V2063">
        <f>-672.851836938189 -11.1358963014266 -226.339401163996</f>
        <v>-910.32713440361158</v>
      </c>
      <c r="W2063" t="s">
        <v>42921</v>
      </c>
      <c r="X2063" t="s">
        <v>42922</v>
      </c>
      <c r="Y2063" t="s">
        <v>42923</v>
      </c>
    </row>
    <row r="2064" spans="1:25" x14ac:dyDescent="0.3">
      <c r="A2064">
        <v>103150</v>
      </c>
      <c r="B2064" t="s">
        <v>42924</v>
      </c>
      <c r="C2064" t="s">
        <v>42925</v>
      </c>
      <c r="D2064" t="s">
        <v>42926</v>
      </c>
      <c r="E2064" t="s">
        <v>42927</v>
      </c>
      <c r="F2064" t="s">
        <v>42928</v>
      </c>
      <c r="G2064" t="s">
        <v>42929</v>
      </c>
      <c r="H2064" t="s">
        <v>42930</v>
      </c>
      <c r="I2064" t="s">
        <v>42931</v>
      </c>
      <c r="J2064" t="s">
        <v>42932</v>
      </c>
      <c r="K2064" t="s">
        <v>42933</v>
      </c>
      <c r="L2064" t="s">
        <v>42934</v>
      </c>
      <c r="M2064" t="s">
        <v>42935</v>
      </c>
      <c r="N2064" t="s">
        <v>42936</v>
      </c>
      <c r="O2064">
        <f>-739.654389484974 -82.9829927633659 -755.098453958292</f>
        <v>-1577.735836206632</v>
      </c>
      <c r="P2064">
        <f>-708.56324769406 -117.907530369891 -442.049149223926</f>
        <v>-1268.519927287877</v>
      </c>
      <c r="Q2064">
        <f>-472.023750709147 -20.8372289682438 -394.420818297604</f>
        <v>-887.28179797499479</v>
      </c>
      <c r="R2064" t="s">
        <v>42937</v>
      </c>
      <c r="S2064" t="s">
        <v>42938</v>
      </c>
      <c r="T2064" t="s">
        <v>42939</v>
      </c>
      <c r="U2064" t="s">
        <v>42940</v>
      </c>
      <c r="V2064">
        <f>-673.014309167881 -11.0281259287067 -226.389442607695</f>
        <v>-910.43187770428267</v>
      </c>
      <c r="W2064" t="s">
        <v>42941</v>
      </c>
      <c r="X2064" t="s">
        <v>42942</v>
      </c>
      <c r="Y2064" t="s">
        <v>42943</v>
      </c>
    </row>
    <row r="2065" spans="1:25" x14ac:dyDescent="0.3">
      <c r="A2065">
        <v>103200</v>
      </c>
      <c r="B2065" t="s">
        <v>42944</v>
      </c>
      <c r="C2065" t="s">
        <v>42945</v>
      </c>
      <c r="D2065" t="s">
        <v>42946</v>
      </c>
      <c r="E2065" t="s">
        <v>42947</v>
      </c>
      <c r="F2065" t="s">
        <v>42948</v>
      </c>
      <c r="G2065" t="s">
        <v>42949</v>
      </c>
      <c r="H2065" t="s">
        <v>42950</v>
      </c>
      <c r="I2065" t="s">
        <v>42951</v>
      </c>
      <c r="J2065" t="s">
        <v>42952</v>
      </c>
      <c r="K2065" t="s">
        <v>42953</v>
      </c>
      <c r="L2065" t="s">
        <v>42954</v>
      </c>
      <c r="M2065" t="s">
        <v>42955</v>
      </c>
      <c r="N2065" t="s">
        <v>42956</v>
      </c>
      <c r="O2065">
        <f>-739.644908470025 -83.5819019271776 -754.729839193569</f>
        <v>-1577.9566495907716</v>
      </c>
      <c r="P2065">
        <f>-708.314674396397 -116.905247385813 -441.530044091473</f>
        <v>-1266.7499658736829</v>
      </c>
      <c r="Q2065">
        <f>-471.901352252694 -19.4757314571864 -394.008827877205</f>
        <v>-885.38591158708539</v>
      </c>
      <c r="R2065" t="s">
        <v>42957</v>
      </c>
      <c r="S2065" t="s">
        <v>42958</v>
      </c>
      <c r="T2065" t="s">
        <v>42959</v>
      </c>
      <c r="U2065" t="s">
        <v>42960</v>
      </c>
      <c r="V2065">
        <f>-672.994008925728 -10.9669075314237 -226.478395047453</f>
        <v>-910.43931150460469</v>
      </c>
      <c r="W2065" t="s">
        <v>42961</v>
      </c>
      <c r="X2065" t="s">
        <v>42962</v>
      </c>
      <c r="Y2065" t="s">
        <v>42963</v>
      </c>
    </row>
    <row r="2066" spans="1:25" x14ac:dyDescent="0.3">
      <c r="A2066">
        <v>103250</v>
      </c>
      <c r="B2066" t="s">
        <v>42964</v>
      </c>
      <c r="C2066" t="s">
        <v>42965</v>
      </c>
      <c r="D2066" t="s">
        <v>42966</v>
      </c>
      <c r="E2066" t="s">
        <v>42967</v>
      </c>
      <c r="F2066" t="s">
        <v>42968</v>
      </c>
      <c r="G2066" t="s">
        <v>42969</v>
      </c>
      <c r="H2066" t="s">
        <v>42970</v>
      </c>
      <c r="I2066" t="s">
        <v>42971</v>
      </c>
      <c r="J2066" t="s">
        <v>42972</v>
      </c>
      <c r="K2066" t="s">
        <v>42973</v>
      </c>
      <c r="L2066" t="s">
        <v>42974</v>
      </c>
      <c r="M2066" t="s">
        <v>42975</v>
      </c>
      <c r="N2066" t="s">
        <v>42976</v>
      </c>
      <c r="O2066">
        <f>-739.583052075315 -84.6029464979954 -754.02701432813</f>
        <v>-1578.2130129014404</v>
      </c>
      <c r="P2066">
        <f>-707.527898034658 -116.185065649173 -440.720093482431</f>
        <v>-1264.4330571662622</v>
      </c>
      <c r="Q2066">
        <f>-471.374330094274 -17.9959928399803 -393.471154944481</f>
        <v>-882.8414778787353</v>
      </c>
      <c r="R2066" t="s">
        <v>42977</v>
      </c>
      <c r="S2066" t="s">
        <v>42978</v>
      </c>
      <c r="T2066" t="s">
        <v>42979</v>
      </c>
      <c r="U2066" t="s">
        <v>42980</v>
      </c>
      <c r="V2066">
        <f>-673.025252372823 -10.557931011962 -226.301022166265</f>
        <v>-909.88420555104994</v>
      </c>
      <c r="W2066" t="s">
        <v>42981</v>
      </c>
      <c r="X2066" t="s">
        <v>42982</v>
      </c>
      <c r="Y2066" t="s">
        <v>42983</v>
      </c>
    </row>
    <row r="2067" spans="1:25" x14ac:dyDescent="0.3">
      <c r="A2067">
        <v>103300</v>
      </c>
      <c r="B2067" t="s">
        <v>42984</v>
      </c>
      <c r="C2067" t="s">
        <v>42985</v>
      </c>
      <c r="D2067" t="s">
        <v>42986</v>
      </c>
      <c r="E2067" t="s">
        <v>42987</v>
      </c>
      <c r="F2067" t="s">
        <v>42988</v>
      </c>
      <c r="G2067" t="s">
        <v>42989</v>
      </c>
      <c r="H2067" t="s">
        <v>42990</v>
      </c>
      <c r="I2067" t="s">
        <v>42991</v>
      </c>
      <c r="J2067" t="s">
        <v>42992</v>
      </c>
      <c r="K2067" t="s">
        <v>42993</v>
      </c>
      <c r="L2067" t="s">
        <v>42994</v>
      </c>
      <c r="M2067" t="s">
        <v>42995</v>
      </c>
      <c r="N2067" t="s">
        <v>42996</v>
      </c>
      <c r="O2067">
        <f>-739.344330529289 -84.9129442768019 -753.65611303548</f>
        <v>-1577.913387841571</v>
      </c>
      <c r="P2067">
        <f>-706.920418908139 -115.743725648185 -440.312242219724</f>
        <v>-1262.976386776048</v>
      </c>
      <c r="Q2067">
        <f>-470.913156358654 -17.0469668414603 -393.390577599264</f>
        <v>-881.35070079937827</v>
      </c>
      <c r="R2067" t="s">
        <v>42997</v>
      </c>
      <c r="S2067" t="s">
        <v>42998</v>
      </c>
      <c r="T2067" t="s">
        <v>42999</v>
      </c>
      <c r="U2067" t="s">
        <v>43000</v>
      </c>
      <c r="V2067">
        <f>-673.153506218069 -10.4592743393725 -226.103520322323</f>
        <v>-909.7163008797645</v>
      </c>
      <c r="W2067" t="s">
        <v>43001</v>
      </c>
      <c r="X2067" t="s">
        <v>43002</v>
      </c>
      <c r="Y2067" t="s">
        <v>43003</v>
      </c>
    </row>
    <row r="2068" spans="1:25" x14ac:dyDescent="0.3">
      <c r="A2068">
        <v>103350</v>
      </c>
      <c r="B2068" t="s">
        <v>43004</v>
      </c>
      <c r="C2068" t="s">
        <v>43005</v>
      </c>
      <c r="D2068" t="s">
        <v>43006</v>
      </c>
      <c r="E2068" t="s">
        <v>43007</v>
      </c>
      <c r="F2068" t="s">
        <v>43008</v>
      </c>
      <c r="G2068" t="s">
        <v>43009</v>
      </c>
      <c r="H2068" t="s">
        <v>43010</v>
      </c>
      <c r="I2068" t="s">
        <v>43011</v>
      </c>
      <c r="J2068" t="s">
        <v>43012</v>
      </c>
      <c r="K2068" t="s">
        <v>43013</v>
      </c>
      <c r="L2068" t="s">
        <v>43014</v>
      </c>
      <c r="M2068" t="s">
        <v>43015</v>
      </c>
      <c r="N2068" t="s">
        <v>43016</v>
      </c>
      <c r="O2068">
        <f>-739.246538554128 -86.3397208011052 -752.58420461734</f>
        <v>-1578.1704639725731</v>
      </c>
      <c r="P2068">
        <f>-706.004540124093 -116.188084995674 -439.231079086625</f>
        <v>-1261.4237042063919</v>
      </c>
      <c r="Q2068">
        <f>-470.024529568563 -16.9741578912685 -393.273978291604</f>
        <v>-880.27266575143551</v>
      </c>
      <c r="R2068" t="s">
        <v>43017</v>
      </c>
      <c r="S2068" t="s">
        <v>43018</v>
      </c>
      <c r="T2068" t="s">
        <v>43019</v>
      </c>
      <c r="U2068" t="s">
        <v>43020</v>
      </c>
      <c r="V2068">
        <f>-673.066731255262 -10.2742823640526 -225.380852820441</f>
        <v>-908.72186643975556</v>
      </c>
      <c r="W2068" t="s">
        <v>43021</v>
      </c>
      <c r="X2068" t="s">
        <v>43022</v>
      </c>
      <c r="Y2068" t="s">
        <v>43023</v>
      </c>
    </row>
    <row r="2069" spans="1:25" x14ac:dyDescent="0.3">
      <c r="A2069">
        <v>103400</v>
      </c>
      <c r="B2069" t="s">
        <v>43024</v>
      </c>
      <c r="C2069" t="s">
        <v>43025</v>
      </c>
      <c r="D2069" t="s">
        <v>43026</v>
      </c>
      <c r="E2069" t="s">
        <v>43027</v>
      </c>
      <c r="F2069" t="s">
        <v>43028</v>
      </c>
      <c r="G2069" t="s">
        <v>43029</v>
      </c>
      <c r="H2069" t="s">
        <v>43030</v>
      </c>
      <c r="I2069" t="s">
        <v>43031</v>
      </c>
      <c r="J2069" t="s">
        <v>43032</v>
      </c>
      <c r="K2069" t="s">
        <v>43033</v>
      </c>
      <c r="L2069" t="s">
        <v>43034</v>
      </c>
      <c r="M2069" t="s">
        <v>43035</v>
      </c>
      <c r="N2069" t="s">
        <v>43036</v>
      </c>
      <c r="O2069">
        <f>-739.389341735812 -87.0935289171766 -752.028958016239</f>
        <v>-1578.5118286692277</v>
      </c>
      <c r="P2069">
        <f>-705.465125327725 -116.934079685577 -438.748000992235</f>
        <v>-1261.1472060055371</v>
      </c>
      <c r="Q2069">
        <f>-469.489786632022 -17.4507951687735 -393.351404115315</f>
        <v>-880.29198591611043</v>
      </c>
      <c r="R2069" t="s">
        <v>43037</v>
      </c>
      <c r="S2069" t="s">
        <v>43038</v>
      </c>
      <c r="T2069" t="s">
        <v>43039</v>
      </c>
      <c r="U2069" t="s">
        <v>43040</v>
      </c>
      <c r="V2069">
        <f>-672.998233442087 -10.2465852819169 -225.094353104006</f>
        <v>-908.33917182800985</v>
      </c>
      <c r="W2069" t="s">
        <v>43041</v>
      </c>
      <c r="X2069" t="s">
        <v>43042</v>
      </c>
      <c r="Y2069" t="s">
        <v>43043</v>
      </c>
    </row>
    <row r="2070" spans="1:25" x14ac:dyDescent="0.3">
      <c r="A2070">
        <v>103450</v>
      </c>
      <c r="B2070" t="s">
        <v>43044</v>
      </c>
      <c r="C2070" t="s">
        <v>43045</v>
      </c>
      <c r="D2070" t="s">
        <v>43046</v>
      </c>
      <c r="E2070" t="s">
        <v>43047</v>
      </c>
      <c r="F2070" t="s">
        <v>43048</v>
      </c>
      <c r="G2070" t="s">
        <v>43049</v>
      </c>
      <c r="H2070" t="s">
        <v>43050</v>
      </c>
      <c r="I2070" t="s">
        <v>43051</v>
      </c>
      <c r="J2070" t="s">
        <v>43052</v>
      </c>
      <c r="K2070" t="s">
        <v>43053</v>
      </c>
      <c r="L2070" t="s">
        <v>43054</v>
      </c>
      <c r="M2070" t="s">
        <v>43055</v>
      </c>
      <c r="N2070" t="s">
        <v>43056</v>
      </c>
      <c r="O2070">
        <f>-739.794445461637 -88.2192163812138 -751.12741117693</f>
        <v>-1579.1410730197808</v>
      </c>
      <c r="P2070">
        <f>-704.984578873912 -117.273432106861 -437.869717283587</f>
        <v>-1260.12772826436</v>
      </c>
      <c r="Q2070">
        <f>-469.103154758972 -17.227002303076 -393.230113298383</f>
        <v>-879.56027036043099</v>
      </c>
      <c r="R2070" t="s">
        <v>43057</v>
      </c>
      <c r="S2070" t="s">
        <v>43058</v>
      </c>
      <c r="T2070" t="s">
        <v>43059</v>
      </c>
      <c r="U2070" t="s">
        <v>43060</v>
      </c>
      <c r="V2070">
        <f>-672.452248223359 -10.1817629639233 -224.706073297663</f>
        <v>-907.34008448494535</v>
      </c>
      <c r="W2070" t="s">
        <v>43061</v>
      </c>
      <c r="X2070" t="s">
        <v>43062</v>
      </c>
      <c r="Y2070" t="s">
        <v>43063</v>
      </c>
    </row>
    <row r="2071" spans="1:25" x14ac:dyDescent="0.3">
      <c r="A2071">
        <v>103500</v>
      </c>
      <c r="B2071" t="s">
        <v>43064</v>
      </c>
      <c r="C2071" t="s">
        <v>43065</v>
      </c>
      <c r="D2071" t="s">
        <v>43066</v>
      </c>
      <c r="E2071" t="s">
        <v>43067</v>
      </c>
      <c r="F2071" t="s">
        <v>43068</v>
      </c>
      <c r="G2071" t="s">
        <v>43069</v>
      </c>
      <c r="H2071" t="s">
        <v>43070</v>
      </c>
      <c r="I2071" t="s">
        <v>43071</v>
      </c>
      <c r="J2071" t="s">
        <v>43072</v>
      </c>
      <c r="K2071" t="s">
        <v>43073</v>
      </c>
      <c r="L2071" t="s">
        <v>43074</v>
      </c>
      <c r="M2071" t="s">
        <v>43075</v>
      </c>
      <c r="N2071" t="s">
        <v>43076</v>
      </c>
      <c r="O2071">
        <f>-739.649658599213 -88.3229872117565 -750.984419353574</f>
        <v>-1578.9570651645436</v>
      </c>
      <c r="P2071">
        <f>-704.602700526479 -117.052120117534 -437.723274846598</f>
        <v>-1259.378095490611</v>
      </c>
      <c r="Q2071">
        <f>-469.045417424007 -16.2177774602947 -393.144605884966</f>
        <v>-878.40780076926762</v>
      </c>
      <c r="R2071" t="s">
        <v>43077</v>
      </c>
      <c r="S2071" t="s">
        <v>43078</v>
      </c>
      <c r="T2071" t="s">
        <v>43079</v>
      </c>
      <c r="U2071" t="s">
        <v>43080</v>
      </c>
      <c r="V2071">
        <f>-672.246637945248 -10.205614778178 -224.494215642822</f>
        <v>-906.94646836624804</v>
      </c>
      <c r="W2071" t="s">
        <v>43081</v>
      </c>
      <c r="X2071" t="s">
        <v>43082</v>
      </c>
      <c r="Y2071" t="s">
        <v>43083</v>
      </c>
    </row>
    <row r="2072" spans="1:25" x14ac:dyDescent="0.3">
      <c r="A2072">
        <v>103550</v>
      </c>
      <c r="B2072" t="s">
        <v>43084</v>
      </c>
      <c r="C2072" t="s">
        <v>43085</v>
      </c>
      <c r="D2072" t="s">
        <v>43086</v>
      </c>
      <c r="E2072" t="s">
        <v>43087</v>
      </c>
      <c r="F2072" t="s">
        <v>43088</v>
      </c>
      <c r="G2072" t="s">
        <v>43089</v>
      </c>
      <c r="H2072" t="s">
        <v>43090</v>
      </c>
      <c r="I2072" t="s">
        <v>43091</v>
      </c>
      <c r="J2072" t="s">
        <v>43092</v>
      </c>
      <c r="K2072" t="s">
        <v>43093</v>
      </c>
      <c r="L2072" t="s">
        <v>43094</v>
      </c>
      <c r="M2072" t="s">
        <v>43095</v>
      </c>
      <c r="N2072" t="s">
        <v>43096</v>
      </c>
      <c r="O2072">
        <f>-739.732885346651 -88.412302557467 -750.600691408547</f>
        <v>-1578.745879312665</v>
      </c>
      <c r="P2072">
        <f>-704.199286714209 -116.661390363302 -437.350798383134</f>
        <v>-1258.211475460645</v>
      </c>
      <c r="Q2072">
        <f>-469.668718911411 -13.4358695265635 -392.832014813339</f>
        <v>-875.9366032513135</v>
      </c>
      <c r="R2072" t="s">
        <v>43097</v>
      </c>
      <c r="S2072" t="s">
        <v>43098</v>
      </c>
      <c r="T2072" t="s">
        <v>43099</v>
      </c>
      <c r="U2072" t="s">
        <v>43100</v>
      </c>
      <c r="V2072">
        <f>-671.507529848722 -10.1721154423376 -224.046918988856</f>
        <v>-905.72656427991558</v>
      </c>
      <c r="W2072" t="s">
        <v>43101</v>
      </c>
      <c r="X2072" t="s">
        <v>43102</v>
      </c>
      <c r="Y2072" t="s">
        <v>43103</v>
      </c>
    </row>
    <row r="2073" spans="1:25" x14ac:dyDescent="0.3">
      <c r="A2073">
        <v>103600</v>
      </c>
      <c r="B2073" t="s">
        <v>43104</v>
      </c>
      <c r="C2073" t="s">
        <v>43105</v>
      </c>
      <c r="D2073" t="s">
        <v>43106</v>
      </c>
      <c r="E2073" t="s">
        <v>43107</v>
      </c>
      <c r="F2073" t="s">
        <v>43108</v>
      </c>
      <c r="G2073" t="s">
        <v>43109</v>
      </c>
      <c r="H2073" t="s">
        <v>43110</v>
      </c>
      <c r="I2073" t="s">
        <v>43111</v>
      </c>
      <c r="J2073" t="s">
        <v>43112</v>
      </c>
      <c r="K2073" t="s">
        <v>43113</v>
      </c>
      <c r="L2073" t="s">
        <v>43114</v>
      </c>
      <c r="M2073" t="s">
        <v>43115</v>
      </c>
      <c r="N2073" t="s">
        <v>43116</v>
      </c>
      <c r="O2073">
        <f>-739.699629442037 -88.1310498842363 -750.413473958533</f>
        <v>-1578.2441532848063</v>
      </c>
      <c r="P2073">
        <f>-703.813285005756 -116.657384443395 -437.228762946502</f>
        <v>-1257.699432395653</v>
      </c>
      <c r="Q2073">
        <f>-469.885871610215 -11.9488164280308 -393.000748814718</f>
        <v>-874.83543685296377</v>
      </c>
      <c r="R2073" t="s">
        <v>43117</v>
      </c>
      <c r="S2073" t="s">
        <v>43118</v>
      </c>
      <c r="T2073" t="s">
        <v>43119</v>
      </c>
      <c r="U2073" t="s">
        <v>43120</v>
      </c>
      <c r="V2073">
        <f>-671.169186166875 -9.95740099276759 -223.778506931269</f>
        <v>-904.90509409091158</v>
      </c>
      <c r="W2073" t="s">
        <v>43121</v>
      </c>
      <c r="X2073" t="s">
        <v>43122</v>
      </c>
      <c r="Y2073" t="s">
        <v>43123</v>
      </c>
    </row>
    <row r="2074" spans="1:25" x14ac:dyDescent="0.3">
      <c r="A2074">
        <v>103650</v>
      </c>
      <c r="B2074" t="s">
        <v>43124</v>
      </c>
      <c r="C2074" t="s">
        <v>43125</v>
      </c>
      <c r="D2074" t="s">
        <v>43126</v>
      </c>
      <c r="E2074" t="s">
        <v>43127</v>
      </c>
      <c r="F2074" t="s">
        <v>43128</v>
      </c>
      <c r="G2074" t="s">
        <v>43129</v>
      </c>
      <c r="H2074" t="s">
        <v>43130</v>
      </c>
      <c r="I2074" t="s">
        <v>43131</v>
      </c>
      <c r="J2074" t="s">
        <v>43132</v>
      </c>
      <c r="K2074" t="s">
        <v>43133</v>
      </c>
      <c r="L2074" t="s">
        <v>43134</v>
      </c>
      <c r="M2074" t="s">
        <v>43135</v>
      </c>
      <c r="N2074" t="s">
        <v>43136</v>
      </c>
      <c r="O2074">
        <f>-740.450730326503 -87.1637725494115 -750.401189694059</f>
        <v>-1578.0156925699735</v>
      </c>
      <c r="P2074">
        <f>-704.457264111008 -115.408580285486 -437.203269147353</f>
        <v>-1257.0691135438469</v>
      </c>
      <c r="Q2074">
        <f>-471.045402492434 -9.39609161288035 -393.358914306595</f>
        <v>-873.8004084119093</v>
      </c>
      <c r="R2074" t="s">
        <v>43137</v>
      </c>
      <c r="S2074" t="s">
        <v>43138</v>
      </c>
      <c r="T2074" t="s">
        <v>43139</v>
      </c>
      <c r="U2074" t="s">
        <v>43140</v>
      </c>
      <c r="V2074">
        <f>-670.711147327931 -9.35863091635338 -223.366344722146</f>
        <v>-903.43612296643039</v>
      </c>
      <c r="W2074" t="s">
        <v>43141</v>
      </c>
      <c r="X2074" t="s">
        <v>43142</v>
      </c>
      <c r="Y2074" t="s">
        <v>43143</v>
      </c>
    </row>
    <row r="2075" spans="1:25" x14ac:dyDescent="0.3">
      <c r="A2075">
        <v>103700</v>
      </c>
      <c r="B2075" t="s">
        <v>43144</v>
      </c>
      <c r="C2075" t="s">
        <v>43145</v>
      </c>
      <c r="D2075" t="s">
        <v>43146</v>
      </c>
      <c r="E2075" t="s">
        <v>43147</v>
      </c>
      <c r="F2075" t="s">
        <v>43148</v>
      </c>
      <c r="G2075" t="s">
        <v>43149</v>
      </c>
      <c r="H2075" t="s">
        <v>43150</v>
      </c>
      <c r="I2075" t="s">
        <v>43151</v>
      </c>
      <c r="J2075" t="s">
        <v>43152</v>
      </c>
      <c r="K2075" t="s">
        <v>43153</v>
      </c>
      <c r="L2075" t="s">
        <v>43154</v>
      </c>
      <c r="M2075" t="s">
        <v>43155</v>
      </c>
      <c r="N2075" t="s">
        <v>43156</v>
      </c>
      <c r="O2075">
        <f>-741.405652805862 -86.366402889329 -750.415389554795</f>
        <v>-1578.187445249986</v>
      </c>
      <c r="P2075">
        <f>-704.85987882311 -115.234297874466 -437.338362264025</f>
        <v>-1257.432538961601</v>
      </c>
      <c r="Q2075">
        <f>-471.516600344939 -8.98986255243722 -393.690441700049</f>
        <v>-874.19690459742515</v>
      </c>
      <c r="R2075" t="s">
        <v>43157</v>
      </c>
      <c r="S2075" t="s">
        <v>43158</v>
      </c>
      <c r="T2075" t="s">
        <v>43159</v>
      </c>
      <c r="U2075" t="s">
        <v>43160</v>
      </c>
      <c r="V2075">
        <f>-670.453182467183 -9.12753030493332 -223.281911409644</f>
        <v>-902.86262418176034</v>
      </c>
      <c r="W2075" t="s">
        <v>43161</v>
      </c>
      <c r="X2075" t="s">
        <v>43162</v>
      </c>
      <c r="Y2075" t="s">
        <v>43163</v>
      </c>
    </row>
    <row r="2076" spans="1:25" x14ac:dyDescent="0.3">
      <c r="A2076">
        <v>103750</v>
      </c>
      <c r="B2076" t="s">
        <v>43164</v>
      </c>
      <c r="C2076" t="s">
        <v>43165</v>
      </c>
      <c r="D2076" t="s">
        <v>43166</v>
      </c>
      <c r="E2076" t="s">
        <v>43167</v>
      </c>
      <c r="F2076" t="s">
        <v>43168</v>
      </c>
      <c r="G2076" t="s">
        <v>43169</v>
      </c>
      <c r="H2076" t="s">
        <v>43170</v>
      </c>
      <c r="I2076" t="s">
        <v>43171</v>
      </c>
      <c r="J2076" t="s">
        <v>43172</v>
      </c>
      <c r="K2076" t="s">
        <v>43173</v>
      </c>
      <c r="L2076" t="s">
        <v>43174</v>
      </c>
      <c r="M2076" t="s">
        <v>43175</v>
      </c>
      <c r="N2076" t="s">
        <v>43176</v>
      </c>
      <c r="O2076">
        <f>-743.529495252909 -84.7928458878173 -750.575081087664</f>
        <v>-1578.8974222283903</v>
      </c>
      <c r="P2076">
        <f>-706.064590638322 -114.591989418079 -437.69388511645</f>
        <v>-1258.350465172851</v>
      </c>
      <c r="Q2076">
        <f>-472.234602497933 -9.26787858562057 -394.422809089617</f>
        <v>-875.92529017317054</v>
      </c>
      <c r="R2076" t="s">
        <v>43177</v>
      </c>
      <c r="S2076" t="s">
        <v>43178</v>
      </c>
      <c r="T2076" t="s">
        <v>43179</v>
      </c>
      <c r="U2076" t="s">
        <v>43180</v>
      </c>
      <c r="V2076">
        <f>-670.265070247273 -8.56455831618337 -223.251522724144</f>
        <v>-902.08115128760039</v>
      </c>
      <c r="W2076" t="s">
        <v>43181</v>
      </c>
      <c r="X2076" t="s">
        <v>43182</v>
      </c>
      <c r="Y2076" t="s">
        <v>43183</v>
      </c>
    </row>
    <row r="2077" spans="1:25" x14ac:dyDescent="0.3">
      <c r="A2077">
        <v>103800</v>
      </c>
      <c r="B2077" t="s">
        <v>43184</v>
      </c>
      <c r="C2077" t="s">
        <v>43185</v>
      </c>
      <c r="D2077" t="s">
        <v>43186</v>
      </c>
      <c r="E2077" t="s">
        <v>43187</v>
      </c>
      <c r="F2077" t="s">
        <v>43188</v>
      </c>
      <c r="G2077" t="s">
        <v>43189</v>
      </c>
      <c r="H2077" t="s">
        <v>43190</v>
      </c>
      <c r="I2077" t="s">
        <v>43191</v>
      </c>
      <c r="J2077" t="s">
        <v>43192</v>
      </c>
      <c r="K2077" t="s">
        <v>43193</v>
      </c>
      <c r="L2077" t="s">
        <v>43194</v>
      </c>
      <c r="M2077" t="s">
        <v>43195</v>
      </c>
      <c r="N2077" t="s">
        <v>43196</v>
      </c>
      <c r="O2077">
        <f>-744.204023505822 -83.5207860103271 -750.776100142305</f>
        <v>-1578.500909658454</v>
      </c>
      <c r="P2077">
        <f>-706.538804335192 -113.935998698647 -437.978255557792</f>
        <v>-1258.4530585916311</v>
      </c>
      <c r="Q2077">
        <f>-472.399958628515 -9.26579718809012 -394.790467569782</f>
        <v>-876.45622338638714</v>
      </c>
      <c r="R2077" t="s">
        <v>43197</v>
      </c>
      <c r="S2077" t="s">
        <v>43198</v>
      </c>
      <c r="T2077" t="s">
        <v>43199</v>
      </c>
      <c r="U2077" t="s">
        <v>43200</v>
      </c>
      <c r="V2077">
        <f>-670.458853796186 -8.17882523979051 -223.267424697746</f>
        <v>-901.90510373372251</v>
      </c>
      <c r="W2077" t="s">
        <v>43201</v>
      </c>
      <c r="X2077" t="s">
        <v>43202</v>
      </c>
      <c r="Y2077" t="s">
        <v>43203</v>
      </c>
    </row>
    <row r="2078" spans="1:25" x14ac:dyDescent="0.3">
      <c r="A2078">
        <v>103850</v>
      </c>
      <c r="B2078" t="s">
        <v>43204</v>
      </c>
      <c r="C2078" t="s">
        <v>43205</v>
      </c>
      <c r="D2078" t="s">
        <v>43206</v>
      </c>
      <c r="E2078" t="s">
        <v>43207</v>
      </c>
      <c r="F2078" t="s">
        <v>43208</v>
      </c>
      <c r="G2078" t="s">
        <v>43209</v>
      </c>
      <c r="H2078" t="s">
        <v>43210</v>
      </c>
      <c r="I2078" t="s">
        <v>43211</v>
      </c>
      <c r="J2078" t="s">
        <v>43212</v>
      </c>
      <c r="K2078" t="s">
        <v>43213</v>
      </c>
      <c r="L2078" t="s">
        <v>43214</v>
      </c>
      <c r="M2078" t="s">
        <v>43215</v>
      </c>
      <c r="N2078" t="s">
        <v>43216</v>
      </c>
      <c r="O2078">
        <f>-746.005089465696 -81.6251941859809 -751.093974025028</f>
        <v>-1578.7242576767048</v>
      </c>
      <c r="P2078">
        <f>-708.966277861137 -112.816080901806 -438.297824336585</f>
        <v>-1260.0801830995279</v>
      </c>
      <c r="Q2078">
        <f>-474.137382884147 -9.9134574397392 -394.611436851943</f>
        <v>-878.6622771758291</v>
      </c>
      <c r="R2078" t="s">
        <v>43217</v>
      </c>
      <c r="S2078" t="s">
        <v>43218</v>
      </c>
      <c r="T2078" t="s">
        <v>43219</v>
      </c>
      <c r="U2078" t="s">
        <v>43220</v>
      </c>
      <c r="V2078">
        <f>-671.404318093265 -7.69264069638871 -223.11191848479</f>
        <v>-902.20887727444369</v>
      </c>
      <c r="W2078" t="s">
        <v>43221</v>
      </c>
      <c r="X2078" t="s">
        <v>43222</v>
      </c>
      <c r="Y2078" t="s">
        <v>43223</v>
      </c>
    </row>
    <row r="2079" spans="1:25" x14ac:dyDescent="0.3">
      <c r="A2079">
        <v>103900</v>
      </c>
      <c r="B2079" t="s">
        <v>43224</v>
      </c>
      <c r="C2079" t="s">
        <v>43225</v>
      </c>
      <c r="D2079" t="s">
        <v>43226</v>
      </c>
      <c r="E2079" t="s">
        <v>43227</v>
      </c>
      <c r="F2079" t="s">
        <v>43228</v>
      </c>
      <c r="G2079" t="s">
        <v>43229</v>
      </c>
      <c r="H2079" t="s">
        <v>43230</v>
      </c>
      <c r="I2079" t="s">
        <v>43231</v>
      </c>
      <c r="J2079" t="s">
        <v>43232</v>
      </c>
      <c r="K2079" t="s">
        <v>43233</v>
      </c>
      <c r="L2079" t="s">
        <v>43234</v>
      </c>
      <c r="M2079" t="s">
        <v>43235</v>
      </c>
      <c r="N2079" t="s">
        <v>43236</v>
      </c>
      <c r="O2079">
        <f>-747.323979133619 -81.0707682834159 -751.227467705411</f>
        <v>-1579.6222151224458</v>
      </c>
      <c r="P2079">
        <f>-710.625670356793 -112.880573424519 -438.453427665903</f>
        <v>-1261.959671447215</v>
      </c>
      <c r="Q2079">
        <f>-475.603349097394 -10.6483303223158 -394.236453049751</f>
        <v>-880.48813246946088</v>
      </c>
      <c r="R2079" t="s">
        <v>43237</v>
      </c>
      <c r="S2079" t="s">
        <v>43238</v>
      </c>
      <c r="T2079" t="s">
        <v>43239</v>
      </c>
      <c r="U2079" t="s">
        <v>43240</v>
      </c>
      <c r="V2079">
        <f>-671.980021967802 -7.53056273203333 -223.06619080467</f>
        <v>-902.57677550450535</v>
      </c>
      <c r="W2079" t="s">
        <v>43241</v>
      </c>
      <c r="X2079" t="s">
        <v>43242</v>
      </c>
      <c r="Y2079" t="s">
        <v>43243</v>
      </c>
    </row>
    <row r="2080" spans="1:25" x14ac:dyDescent="0.3">
      <c r="A2080">
        <v>103950</v>
      </c>
      <c r="B2080" t="s">
        <v>43244</v>
      </c>
      <c r="C2080" t="s">
        <v>43245</v>
      </c>
      <c r="D2080" t="s">
        <v>43246</v>
      </c>
      <c r="E2080" t="s">
        <v>43247</v>
      </c>
      <c r="F2080" t="s">
        <v>43248</v>
      </c>
      <c r="G2080" t="s">
        <v>43249</v>
      </c>
      <c r="H2080" t="s">
        <v>43250</v>
      </c>
      <c r="I2080" t="s">
        <v>43251</v>
      </c>
      <c r="J2080" t="s">
        <v>43252</v>
      </c>
      <c r="K2080" t="s">
        <v>43253</v>
      </c>
      <c r="L2080" t="s">
        <v>43254</v>
      </c>
      <c r="M2080" t="s">
        <v>43255</v>
      </c>
      <c r="N2080" t="s">
        <v>43256</v>
      </c>
      <c r="O2080">
        <f>-750.195890115098 -80.9482518133955 -751.125708392917</f>
        <v>-1582.2698503214106</v>
      </c>
      <c r="P2080">
        <f>-714.130154893518 -113.254539881916 -438.329051632007</f>
        <v>-1265.713746407441</v>
      </c>
      <c r="Q2080">
        <f>-478.587396342675 -12.5427873061749 -393.397566518793</f>
        <v>-884.52775016764281</v>
      </c>
      <c r="R2080" t="s">
        <v>43257</v>
      </c>
      <c r="S2080" t="s">
        <v>43258</v>
      </c>
      <c r="T2080" t="s">
        <v>43259</v>
      </c>
      <c r="U2080" t="s">
        <v>43260</v>
      </c>
      <c r="V2080">
        <f>-673.332248639738 -7.68918850521231 -223.026003461737</f>
        <v>-904.04744060668736</v>
      </c>
      <c r="W2080" t="s">
        <v>43261</v>
      </c>
      <c r="X2080" t="s">
        <v>43262</v>
      </c>
      <c r="Y2080" t="s">
        <v>43263</v>
      </c>
    </row>
    <row r="2081" spans="1:25" x14ac:dyDescent="0.3">
      <c r="A2081">
        <v>104000</v>
      </c>
      <c r="B2081" t="s">
        <v>43264</v>
      </c>
      <c r="C2081" t="s">
        <v>43265</v>
      </c>
      <c r="D2081" t="s">
        <v>43266</v>
      </c>
      <c r="E2081" t="s">
        <v>43267</v>
      </c>
      <c r="F2081" t="s">
        <v>43268</v>
      </c>
      <c r="G2081" t="s">
        <v>43269</v>
      </c>
      <c r="H2081" t="s">
        <v>43270</v>
      </c>
      <c r="I2081" t="s">
        <v>43271</v>
      </c>
      <c r="J2081" t="s">
        <v>43272</v>
      </c>
      <c r="K2081" t="s">
        <v>43273</v>
      </c>
      <c r="L2081" t="s">
        <v>43274</v>
      </c>
      <c r="M2081" t="s">
        <v>43275</v>
      </c>
      <c r="N2081" t="s">
        <v>43276</v>
      </c>
      <c r="O2081">
        <f>-752.033857991883 -81.1991199610486 -750.936356545923</f>
        <v>-1584.1693344988546</v>
      </c>
      <c r="P2081">
        <f>-716.079465393579 -113.409073594618 -438.116901412207</f>
        <v>-1267.6054404004039</v>
      </c>
      <c r="Q2081">
        <f>-480.155612336258 -13.7020088386207 -392.945116366476</f>
        <v>-886.80273754135465</v>
      </c>
      <c r="R2081" t="s">
        <v>43277</v>
      </c>
      <c r="S2081" t="s">
        <v>43278</v>
      </c>
      <c r="T2081" t="s">
        <v>43279</v>
      </c>
      <c r="U2081" t="s">
        <v>43280</v>
      </c>
      <c r="V2081">
        <f>-674.109521528319 -7.83550394675035 -222.977005654458</f>
        <v>-904.92203112952734</v>
      </c>
      <c r="W2081" t="s">
        <v>43281</v>
      </c>
      <c r="X2081" t="s">
        <v>43282</v>
      </c>
      <c r="Y2081" t="s">
        <v>43283</v>
      </c>
    </row>
    <row r="2082" spans="1:25" x14ac:dyDescent="0.3">
      <c r="A2082">
        <v>104050</v>
      </c>
      <c r="B2082" t="s">
        <v>43284</v>
      </c>
      <c r="C2082" t="s">
        <v>43285</v>
      </c>
      <c r="D2082" t="s">
        <v>43286</v>
      </c>
      <c r="E2082" t="s">
        <v>43287</v>
      </c>
      <c r="F2082" t="s">
        <v>43288</v>
      </c>
      <c r="G2082" t="s">
        <v>43289</v>
      </c>
      <c r="H2082" t="s">
        <v>43290</v>
      </c>
      <c r="I2082" t="s">
        <v>43291</v>
      </c>
      <c r="J2082" t="s">
        <v>43292</v>
      </c>
      <c r="K2082" t="s">
        <v>43293</v>
      </c>
      <c r="L2082" t="s">
        <v>43294</v>
      </c>
      <c r="M2082" t="s">
        <v>43295</v>
      </c>
      <c r="N2082" t="s">
        <v>43296</v>
      </c>
      <c r="O2082">
        <f>-755.345659193283 -81.2689235271234 -750.477311423783</f>
        <v>-1587.0918941441896</v>
      </c>
      <c r="P2082">
        <f>-719.975312552725 -112.584348713198 -437.500450182903</f>
        <v>-1270.0601114488259</v>
      </c>
      <c r="Q2082">
        <f>-483.292319797654 -14.8362907790561 -392.019264508706</f>
        <v>-890.1478750854161</v>
      </c>
      <c r="R2082" t="s">
        <v>43297</v>
      </c>
      <c r="S2082" t="s">
        <v>43298</v>
      </c>
      <c r="T2082" t="s">
        <v>43299</v>
      </c>
      <c r="U2082" t="s">
        <v>43300</v>
      </c>
      <c r="V2082">
        <f>-675.701489992749 -8.11446107104894 -222.939982052652</f>
        <v>-906.75593311644991</v>
      </c>
      <c r="W2082" t="s">
        <v>43301</v>
      </c>
      <c r="X2082" t="s">
        <v>43302</v>
      </c>
      <c r="Y2082" t="s">
        <v>43303</v>
      </c>
    </row>
    <row r="2083" spans="1:25" x14ac:dyDescent="0.3">
      <c r="A2083">
        <v>104100</v>
      </c>
      <c r="B2083" t="s">
        <v>43304</v>
      </c>
      <c r="C2083" t="s">
        <v>43305</v>
      </c>
      <c r="D2083" t="s">
        <v>43306</v>
      </c>
      <c r="E2083" t="s">
        <v>43307</v>
      </c>
      <c r="F2083" t="s">
        <v>43308</v>
      </c>
      <c r="G2083" t="s">
        <v>43309</v>
      </c>
      <c r="H2083" t="s">
        <v>43310</v>
      </c>
      <c r="I2083" t="s">
        <v>43311</v>
      </c>
      <c r="J2083" t="s">
        <v>43312</v>
      </c>
      <c r="K2083" t="s">
        <v>43313</v>
      </c>
      <c r="L2083" t="s">
        <v>43314</v>
      </c>
      <c r="M2083" t="s">
        <v>43315</v>
      </c>
      <c r="N2083" t="s">
        <v>43316</v>
      </c>
      <c r="O2083">
        <f>-757.160678232919 -81.0945313181608 -750.141162771019</f>
        <v>-1588.3963723220988</v>
      </c>
      <c r="P2083">
        <f>-721.962026664452 -111.898126730179 -437.094311567204</f>
        <v>-1270.9544649618349</v>
      </c>
      <c r="Q2083">
        <f>-484.990082363344 -14.9592314808817 -391.386353210537</f>
        <v>-891.33566705476278</v>
      </c>
      <c r="R2083" t="s">
        <v>43317</v>
      </c>
      <c r="S2083" t="s">
        <v>43318</v>
      </c>
      <c r="T2083" t="s">
        <v>43319</v>
      </c>
      <c r="U2083" t="s">
        <v>43320</v>
      </c>
      <c r="V2083">
        <f>-676.52935928798 -7.99624294161026 -222.811002586434</f>
        <v>-907.33660481602431</v>
      </c>
      <c r="W2083" t="s">
        <v>43321</v>
      </c>
      <c r="X2083" t="s">
        <v>43322</v>
      </c>
      <c r="Y2083" t="s">
        <v>43323</v>
      </c>
    </row>
    <row r="2084" spans="1:25" x14ac:dyDescent="0.3">
      <c r="A2084">
        <v>104150</v>
      </c>
      <c r="B2084" t="s">
        <v>43324</v>
      </c>
      <c r="C2084" t="s">
        <v>43325</v>
      </c>
      <c r="D2084" t="s">
        <v>43326</v>
      </c>
      <c r="E2084" t="s">
        <v>43327</v>
      </c>
      <c r="F2084" t="s">
        <v>43328</v>
      </c>
      <c r="G2084" t="s">
        <v>43329</v>
      </c>
      <c r="H2084" t="s">
        <v>43330</v>
      </c>
      <c r="I2084" t="s">
        <v>43331</v>
      </c>
      <c r="J2084" t="s">
        <v>43332</v>
      </c>
      <c r="K2084" t="s">
        <v>43333</v>
      </c>
      <c r="L2084" t="s">
        <v>43334</v>
      </c>
      <c r="M2084" t="s">
        <v>43335</v>
      </c>
      <c r="N2084" t="s">
        <v>43336</v>
      </c>
      <c r="O2084">
        <f>-761.351185490451 -79.973639930231 -749.169397184108</f>
        <v>-1590.4942226047901</v>
      </c>
      <c r="P2084">
        <f>-726.332160682876 -110.060281459645 -436.032605802408</f>
        <v>-1272.425047944929</v>
      </c>
      <c r="Q2084">
        <f>-488.920500700211 -14.300176945284 -390.122465428577</f>
        <v>-893.34314307407203</v>
      </c>
      <c r="R2084" t="s">
        <v>43337</v>
      </c>
      <c r="S2084" t="s">
        <v>43338</v>
      </c>
      <c r="T2084" t="s">
        <v>43339</v>
      </c>
      <c r="U2084" t="s">
        <v>43340</v>
      </c>
      <c r="V2084">
        <f>-678.247904437923 -7.24973083969917 -222.342031034922</f>
        <v>-907.83966631254418</v>
      </c>
      <c r="W2084" t="s">
        <v>43341</v>
      </c>
      <c r="X2084" t="s">
        <v>43342</v>
      </c>
      <c r="Y2084" t="s">
        <v>43343</v>
      </c>
    </row>
    <row r="2085" spans="1:25" x14ac:dyDescent="0.3">
      <c r="A2085">
        <v>104200</v>
      </c>
      <c r="B2085" t="s">
        <v>43344</v>
      </c>
      <c r="C2085" t="s">
        <v>43345</v>
      </c>
      <c r="D2085" t="s">
        <v>43346</v>
      </c>
      <c r="E2085" t="s">
        <v>43347</v>
      </c>
      <c r="F2085" t="s">
        <v>43348</v>
      </c>
      <c r="G2085" t="s">
        <v>43349</v>
      </c>
      <c r="H2085" t="s">
        <v>43350</v>
      </c>
      <c r="I2085" t="s">
        <v>43351</v>
      </c>
      <c r="J2085" t="s">
        <v>43352</v>
      </c>
      <c r="K2085" t="s">
        <v>43353</v>
      </c>
      <c r="L2085" t="s">
        <v>43354</v>
      </c>
      <c r="M2085" t="s">
        <v>43355</v>
      </c>
      <c r="N2085" t="s">
        <v>43356</v>
      </c>
      <c r="O2085">
        <f>-763.622649581891 -79.3412065466905 -748.467313499623</f>
        <v>-1591.4311696282043</v>
      </c>
      <c r="P2085">
        <f>-728.566875068499 -108.930828340065 -435.287247534234</f>
        <v>-1272.7849509427979</v>
      </c>
      <c r="Q2085">
        <f>-490.813398805151 -13.8996252096049 -389.632724657781</f>
        <v>-894.34574867253696</v>
      </c>
      <c r="R2085" t="s">
        <v>43357</v>
      </c>
      <c r="S2085" t="s">
        <v>43358</v>
      </c>
      <c r="T2085" t="s">
        <v>43359</v>
      </c>
      <c r="U2085" t="s">
        <v>43360</v>
      </c>
      <c r="V2085">
        <f>-679.128717263433 -6.80152559655448 -222.008983529435</f>
        <v>-907.93922638942252</v>
      </c>
      <c r="W2085" t="s">
        <v>43361</v>
      </c>
      <c r="X2085" t="s">
        <v>43362</v>
      </c>
      <c r="Y2085" t="s">
        <v>43363</v>
      </c>
    </row>
    <row r="2086" spans="1:25" x14ac:dyDescent="0.3">
      <c r="A2086">
        <v>104250</v>
      </c>
      <c r="B2086" t="s">
        <v>43364</v>
      </c>
      <c r="C2086" t="s">
        <v>43365</v>
      </c>
      <c r="D2086" t="s">
        <v>43366</v>
      </c>
      <c r="E2086" t="s">
        <v>43367</v>
      </c>
      <c r="F2086" t="s">
        <v>43368</v>
      </c>
      <c r="G2086" t="s">
        <v>43369</v>
      </c>
      <c r="H2086" t="s">
        <v>43370</v>
      </c>
      <c r="I2086" t="s">
        <v>43371</v>
      </c>
      <c r="J2086" t="s">
        <v>43372</v>
      </c>
      <c r="K2086" t="s">
        <v>43373</v>
      </c>
      <c r="L2086" t="s">
        <v>43374</v>
      </c>
      <c r="M2086" t="s">
        <v>43375</v>
      </c>
      <c r="N2086" t="s">
        <v>43376</v>
      </c>
      <c r="O2086">
        <f>-768.38676868025 -78.3836652539962 -746.802330549517</f>
        <v>-1593.5727644837634</v>
      </c>
      <c r="P2086">
        <f>-732.667584093726 -106.820923359745 -433.590494328234</f>
        <v>-1273.0790017817048</v>
      </c>
      <c r="Q2086">
        <f>-494.031212733069 -13.5635826386101 -388.89351432088</f>
        <v>-896.48830969255914</v>
      </c>
      <c r="R2086" t="s">
        <v>43377</v>
      </c>
      <c r="S2086" t="s">
        <v>43378</v>
      </c>
      <c r="T2086" t="s">
        <v>43379</v>
      </c>
      <c r="U2086" t="s">
        <v>43380</v>
      </c>
      <c r="V2086">
        <f>-680.602777147781 -5.44371850385164 -221.169932445471</f>
        <v>-907.21642809710363</v>
      </c>
      <c r="W2086" t="s">
        <v>43381</v>
      </c>
      <c r="X2086" t="s">
        <v>43382</v>
      </c>
      <c r="Y2086" t="s">
        <v>43383</v>
      </c>
    </row>
    <row r="2087" spans="1:25" x14ac:dyDescent="0.3">
      <c r="A2087">
        <v>104300</v>
      </c>
      <c r="B2087" t="s">
        <v>43384</v>
      </c>
      <c r="C2087" t="s">
        <v>43385</v>
      </c>
      <c r="D2087" t="s">
        <v>43386</v>
      </c>
      <c r="E2087" t="s">
        <v>43387</v>
      </c>
      <c r="F2087" t="s">
        <v>43388</v>
      </c>
      <c r="G2087" t="s">
        <v>43389</v>
      </c>
      <c r="H2087" t="s">
        <v>43390</v>
      </c>
      <c r="I2087" t="s">
        <v>43391</v>
      </c>
      <c r="J2087" t="s">
        <v>43392</v>
      </c>
      <c r="K2087" t="s">
        <v>43393</v>
      </c>
      <c r="L2087" t="s">
        <v>43394</v>
      </c>
      <c r="M2087" t="s">
        <v>43395</v>
      </c>
      <c r="N2087" t="s">
        <v>43396</v>
      </c>
      <c r="O2087">
        <f>-770.330149753053 -78.0273534796625 -745.905203966392</f>
        <v>-1594.2627071991074</v>
      </c>
      <c r="P2087">
        <f>-734.226563352601 -105.937672569899 -432.689973419521</f>
        <v>-1272.854209342021</v>
      </c>
      <c r="Q2087">
        <f>-495.043371691202 -13.7499192068683 -388.702459997795</f>
        <v>-897.49575089586529</v>
      </c>
      <c r="R2087" t="s">
        <v>43397</v>
      </c>
      <c r="S2087" t="s">
        <v>43398</v>
      </c>
      <c r="T2087" t="s">
        <v>43399</v>
      </c>
      <c r="U2087" t="s">
        <v>43400</v>
      </c>
      <c r="V2087">
        <f>-681.158102394151 -4.72216927305863 -220.732505691278</f>
        <v>-906.61277735848762</v>
      </c>
      <c r="W2087" t="s">
        <v>43401</v>
      </c>
      <c r="X2087" t="s">
        <v>43402</v>
      </c>
      <c r="Y2087" t="s">
        <v>43403</v>
      </c>
    </row>
    <row r="2088" spans="1:25" x14ac:dyDescent="0.3">
      <c r="A2088">
        <v>104350</v>
      </c>
      <c r="B2088" t="s">
        <v>43404</v>
      </c>
      <c r="C2088" t="s">
        <v>43405</v>
      </c>
      <c r="D2088" t="s">
        <v>43406</v>
      </c>
      <c r="E2088" t="s">
        <v>43407</v>
      </c>
      <c r="F2088" t="s">
        <v>43408</v>
      </c>
      <c r="G2088" t="s">
        <v>43409</v>
      </c>
      <c r="H2088" t="s">
        <v>43410</v>
      </c>
      <c r="I2088" t="s">
        <v>43411</v>
      </c>
      <c r="J2088" t="s">
        <v>43412</v>
      </c>
      <c r="K2088" t="s">
        <v>43413</v>
      </c>
      <c r="L2088" t="s">
        <v>43414</v>
      </c>
      <c r="M2088" t="s">
        <v>43415</v>
      </c>
      <c r="N2088" t="s">
        <v>43416</v>
      </c>
      <c r="O2088">
        <f>-773.982173989249 -77.3193076831687 -744.205179088546</f>
        <v>-1595.5066607609638</v>
      </c>
      <c r="P2088">
        <f>-737.044785634778 -103.979680307353 -430.978365983757</f>
        <v>-1272.0028319258879</v>
      </c>
      <c r="Q2088">
        <f>-496.652026735091 -14.3869750432209 -388.23996231862</f>
        <v>-899.27896409693187</v>
      </c>
      <c r="R2088" t="s">
        <v>43417</v>
      </c>
      <c r="S2088" t="s">
        <v>43418</v>
      </c>
      <c r="T2088" t="s">
        <v>43419</v>
      </c>
      <c r="U2088" t="s">
        <v>43420</v>
      </c>
      <c r="V2088">
        <f>-682.241923670296 -3.20150369122098 -219.917053123336</f>
        <v>-905.36048048485304</v>
      </c>
      <c r="W2088" t="s">
        <v>43421</v>
      </c>
      <c r="X2088" t="s">
        <v>43422</v>
      </c>
      <c r="Y2088" t="s">
        <v>43423</v>
      </c>
    </row>
    <row r="2089" spans="1:25" x14ac:dyDescent="0.3">
      <c r="A2089">
        <v>104400</v>
      </c>
      <c r="B2089" t="s">
        <v>43424</v>
      </c>
      <c r="C2089" t="s">
        <v>43425</v>
      </c>
      <c r="D2089" t="s">
        <v>43426</v>
      </c>
      <c r="E2089" t="s">
        <v>43427</v>
      </c>
      <c r="F2089" t="s">
        <v>43428</v>
      </c>
      <c r="G2089" t="s">
        <v>43429</v>
      </c>
      <c r="H2089" t="s">
        <v>43430</v>
      </c>
      <c r="I2089" t="s">
        <v>43431</v>
      </c>
      <c r="J2089" t="s">
        <v>43432</v>
      </c>
      <c r="K2089" t="s">
        <v>43433</v>
      </c>
      <c r="L2089" t="s">
        <v>43434</v>
      </c>
      <c r="M2089" t="s">
        <v>43435</v>
      </c>
      <c r="N2089" t="s">
        <v>43436</v>
      </c>
      <c r="O2089">
        <f>-775.447669296592 -77.2225652707261 -743.510360958492</f>
        <v>-1596.1805955258101</v>
      </c>
      <c r="P2089">
        <f>-738.16655069229 -103.400207759289 -430.283517822196</f>
        <v>-1271.8502762737751</v>
      </c>
      <c r="Q2089">
        <f>-497.149206622521 -15.2034467457697 -388.164415042777</f>
        <v>-900.51706841106773</v>
      </c>
      <c r="R2089" t="s">
        <v>43437</v>
      </c>
      <c r="S2089" t="s">
        <v>43438</v>
      </c>
      <c r="T2089" t="s">
        <v>43439</v>
      </c>
      <c r="U2089" t="s">
        <v>43440</v>
      </c>
      <c r="V2089">
        <f>-682.561096783104 -2.64098056357807 -219.601179929602</f>
        <v>-904.80325727628406</v>
      </c>
      <c r="W2089" t="s">
        <v>43441</v>
      </c>
      <c r="X2089" t="s">
        <v>43442</v>
      </c>
      <c r="Y2089" t="s">
        <v>43443</v>
      </c>
    </row>
    <row r="2090" spans="1:25" x14ac:dyDescent="0.3">
      <c r="A2090">
        <v>104450</v>
      </c>
      <c r="B2090" t="s">
        <v>43444</v>
      </c>
      <c r="C2090" t="s">
        <v>43445</v>
      </c>
      <c r="D2090" t="s">
        <v>43446</v>
      </c>
      <c r="E2090" t="s">
        <v>43447</v>
      </c>
      <c r="F2090" t="s">
        <v>43448</v>
      </c>
      <c r="G2090" t="s">
        <v>43449</v>
      </c>
      <c r="H2090" t="s">
        <v>43450</v>
      </c>
      <c r="I2090" t="s">
        <v>43451</v>
      </c>
      <c r="J2090" t="s">
        <v>43452</v>
      </c>
      <c r="K2090" t="s">
        <v>43453</v>
      </c>
      <c r="L2090" t="s">
        <v>43454</v>
      </c>
      <c r="M2090" t="s">
        <v>43455</v>
      </c>
      <c r="N2090" t="s">
        <v>43456</v>
      </c>
      <c r="O2090">
        <f>-778.050756208437 -76.865340722353 -742.2531070835</f>
        <v>-1597.16920401429</v>
      </c>
      <c r="P2090">
        <f>-739.974090604847 -102.04711658893 -429.040253110892</f>
        <v>-1271.061460304669</v>
      </c>
      <c r="Q2090">
        <f>-497.832264214419 -16.5244241879857 -387.866991554949</f>
        <v>-902.22367995735374</v>
      </c>
      <c r="R2090" t="s">
        <v>43457</v>
      </c>
      <c r="S2090" t="s">
        <v>43458</v>
      </c>
      <c r="T2090" t="s">
        <v>43459</v>
      </c>
      <c r="U2090" t="s">
        <v>43460</v>
      </c>
      <c r="V2090">
        <f>-683.218435361051 -1.64984828582965 -218.819897383434</f>
        <v>-903.68818103031458</v>
      </c>
      <c r="W2090" t="s">
        <v>43461</v>
      </c>
      <c r="X2090" t="s">
        <v>43462</v>
      </c>
      <c r="Y2090" t="s">
        <v>43463</v>
      </c>
    </row>
    <row r="2091" spans="1:25" x14ac:dyDescent="0.3">
      <c r="A2091">
        <v>104500</v>
      </c>
      <c r="B2091" t="s">
        <v>43464</v>
      </c>
      <c r="C2091" t="s">
        <v>43465</v>
      </c>
      <c r="D2091" t="s">
        <v>43466</v>
      </c>
      <c r="E2091" t="s">
        <v>43467</v>
      </c>
      <c r="F2091" t="s">
        <v>43468</v>
      </c>
      <c r="G2091" t="s">
        <v>43469</v>
      </c>
      <c r="H2091" t="s">
        <v>43470</v>
      </c>
      <c r="I2091" t="s">
        <v>43471</v>
      </c>
      <c r="J2091" t="s">
        <v>43472</v>
      </c>
      <c r="K2091" t="s">
        <v>43473</v>
      </c>
      <c r="L2091" t="s">
        <v>43474</v>
      </c>
      <c r="M2091" t="s">
        <v>43475</v>
      </c>
      <c r="N2091" t="s">
        <v>43476</v>
      </c>
      <c r="O2091">
        <f>-778.813894241509 -76.6590551072131 -741.684960712113</f>
        <v>-1597.1579100608351</v>
      </c>
      <c r="P2091">
        <f>-740.440121371631 -101.187432703761 -428.456531159547</f>
        <v>-1270.084085234939</v>
      </c>
      <c r="Q2091">
        <f>-497.769581045354 -16.9336842957885 -387.782338969158</f>
        <v>-902.48560431030046</v>
      </c>
      <c r="R2091" t="s">
        <v>43477</v>
      </c>
      <c r="S2091" t="s">
        <v>43478</v>
      </c>
      <c r="T2091" t="s">
        <v>43479</v>
      </c>
      <c r="U2091" t="s">
        <v>43480</v>
      </c>
      <c r="V2091">
        <f>-683.239894432634 -0.939132095481227 -218.436048952002</f>
        <v>-902.61507548011718</v>
      </c>
      <c r="W2091" t="s">
        <v>43481</v>
      </c>
      <c r="X2091" t="s">
        <v>43482</v>
      </c>
      <c r="Y2091" t="s">
        <v>43483</v>
      </c>
    </row>
    <row r="2092" spans="1:25" x14ac:dyDescent="0.3">
      <c r="A2092">
        <v>104550</v>
      </c>
      <c r="B2092" t="s">
        <v>43484</v>
      </c>
      <c r="C2092" t="s">
        <v>43485</v>
      </c>
      <c r="D2092" t="s">
        <v>43486</v>
      </c>
      <c r="E2092" t="s">
        <v>43487</v>
      </c>
      <c r="F2092" t="s">
        <v>43488</v>
      </c>
      <c r="G2092" t="s">
        <v>43489</v>
      </c>
      <c r="H2092" t="s">
        <v>43490</v>
      </c>
      <c r="I2092" t="s">
        <v>43491</v>
      </c>
      <c r="J2092" t="s">
        <v>43492</v>
      </c>
      <c r="K2092" t="s">
        <v>43493</v>
      </c>
      <c r="L2092" t="s">
        <v>43494</v>
      </c>
      <c r="M2092" t="s">
        <v>43495</v>
      </c>
      <c r="N2092" t="s">
        <v>43496</v>
      </c>
      <c r="O2092">
        <f>-780.096853653053 -76.1735488916686 -740.854140240234</f>
        <v>-1597.1245427849556</v>
      </c>
      <c r="P2092">
        <f>-741.053356857568 -99.9875861165378 -427.653355560862</f>
        <v>-1268.6942985349679</v>
      </c>
      <c r="Q2092">
        <f>-497.69278056255 -17.5051838079319 -387.474659512905</f>
        <v>-902.6726238833869</v>
      </c>
      <c r="R2092" t="s">
        <v>43497</v>
      </c>
      <c r="S2092" t="s">
        <v>43498</v>
      </c>
      <c r="T2092" t="s">
        <v>43499</v>
      </c>
      <c r="U2092" t="s">
        <v>43500</v>
      </c>
      <c r="V2092" t="s">
        <v>43501</v>
      </c>
      <c r="W2092" t="s">
        <v>43502</v>
      </c>
      <c r="X2092" t="s">
        <v>43503</v>
      </c>
      <c r="Y2092" t="s">
        <v>43504</v>
      </c>
    </row>
    <row r="2093" spans="1:25" x14ac:dyDescent="0.3">
      <c r="A2093">
        <v>104600</v>
      </c>
      <c r="B2093" t="s">
        <v>43505</v>
      </c>
      <c r="C2093" t="s">
        <v>43506</v>
      </c>
      <c r="D2093" t="s">
        <v>43507</v>
      </c>
      <c r="E2093" t="s">
        <v>43508</v>
      </c>
      <c r="F2093" t="s">
        <v>43509</v>
      </c>
      <c r="G2093" t="s">
        <v>43510</v>
      </c>
      <c r="H2093" t="s">
        <v>43511</v>
      </c>
      <c r="I2093" t="s">
        <v>43512</v>
      </c>
      <c r="J2093" t="s">
        <v>43513</v>
      </c>
      <c r="K2093" t="s">
        <v>43514</v>
      </c>
      <c r="L2093" t="s">
        <v>43515</v>
      </c>
      <c r="M2093" t="s">
        <v>43516</v>
      </c>
      <c r="N2093" t="s">
        <v>43517</v>
      </c>
      <c r="O2093">
        <f>-780.42975399818 -76.0935186507529 -740.689535882242</f>
        <v>-1597.2128085311749</v>
      </c>
      <c r="P2093">
        <f>-741.214239905559 -99.5972816938145 -427.486941564857</f>
        <v>-1268.2984631642305</v>
      </c>
      <c r="Q2093">
        <f>-497.62716402514 -17.8177990435768 -387.243285545751</f>
        <v>-902.68824861446774</v>
      </c>
      <c r="R2093" t="s">
        <v>43518</v>
      </c>
      <c r="S2093" t="s">
        <v>43519</v>
      </c>
      <c r="T2093" t="s">
        <v>43520</v>
      </c>
      <c r="U2093" t="s">
        <v>43521</v>
      </c>
      <c r="V2093" t="s">
        <v>43522</v>
      </c>
      <c r="W2093" t="s">
        <v>43523</v>
      </c>
      <c r="X2093" t="s">
        <v>43524</v>
      </c>
      <c r="Y2093" t="s">
        <v>43525</v>
      </c>
    </row>
    <row r="2094" spans="1:25" x14ac:dyDescent="0.3">
      <c r="A2094">
        <v>104650</v>
      </c>
      <c r="B2094" t="s">
        <v>43526</v>
      </c>
      <c r="C2094" t="s">
        <v>43527</v>
      </c>
      <c r="D2094" t="s">
        <v>43528</v>
      </c>
      <c r="E2094" t="s">
        <v>43529</v>
      </c>
      <c r="F2094" t="s">
        <v>43530</v>
      </c>
      <c r="G2094" t="s">
        <v>43531</v>
      </c>
      <c r="H2094" t="s">
        <v>43532</v>
      </c>
      <c r="I2094" t="s">
        <v>43533</v>
      </c>
      <c r="J2094" t="s">
        <v>43534</v>
      </c>
      <c r="K2094" t="s">
        <v>43535</v>
      </c>
      <c r="L2094" t="s">
        <v>43536</v>
      </c>
      <c r="M2094" t="s">
        <v>43537</v>
      </c>
      <c r="N2094" t="s">
        <v>43538</v>
      </c>
      <c r="O2094">
        <f>-780.804502541642 -75.6574206207686 -740.460319123282</f>
        <v>-1596.9222422856926</v>
      </c>
      <c r="P2094">
        <f>-741.437406669107 -98.9456927406682 -427.260584644825</f>
        <v>-1267.6436840546</v>
      </c>
      <c r="Q2094">
        <f>-497.625451645581 -17.9785612911894 -386.737622799647</f>
        <v>-902.3416357364174</v>
      </c>
      <c r="R2094" t="s">
        <v>43539</v>
      </c>
      <c r="S2094" t="s">
        <v>43540</v>
      </c>
      <c r="T2094" t="s">
        <v>43541</v>
      </c>
      <c r="U2094" t="s">
        <v>43542</v>
      </c>
      <c r="V2094" t="s">
        <v>43543</v>
      </c>
      <c r="W2094" t="s">
        <v>43544</v>
      </c>
      <c r="X2094" t="s">
        <v>43545</v>
      </c>
      <c r="Y2094" t="s">
        <v>43546</v>
      </c>
    </row>
    <row r="2095" spans="1:25" x14ac:dyDescent="0.3">
      <c r="A2095">
        <v>104700</v>
      </c>
      <c r="B2095" t="s">
        <v>43547</v>
      </c>
      <c r="C2095" t="s">
        <v>43548</v>
      </c>
      <c r="D2095" t="s">
        <v>43549</v>
      </c>
      <c r="E2095" t="s">
        <v>43550</v>
      </c>
      <c r="F2095" t="s">
        <v>43551</v>
      </c>
      <c r="G2095" t="s">
        <v>43552</v>
      </c>
      <c r="H2095" t="s">
        <v>43553</v>
      </c>
      <c r="I2095" t="s">
        <v>43554</v>
      </c>
      <c r="J2095" t="s">
        <v>43555</v>
      </c>
      <c r="K2095" t="s">
        <v>43556</v>
      </c>
      <c r="L2095" t="s">
        <v>43557</v>
      </c>
      <c r="M2095" t="s">
        <v>43558</v>
      </c>
      <c r="N2095" t="s">
        <v>43559</v>
      </c>
      <c r="O2095">
        <f>-780.912210988698 -75.5124604756079 -740.344022219126</f>
        <v>-1596.768693683432</v>
      </c>
      <c r="P2095">
        <f>-741.357290668575 -98.4202641177794 -427.139978976094</f>
        <v>-1266.9175337624486</v>
      </c>
      <c r="Q2095">
        <f>-497.41187059672 -17.7792247400416 -386.770356349402</f>
        <v>-901.96145168616363</v>
      </c>
      <c r="R2095" t="s">
        <v>43560</v>
      </c>
      <c r="S2095" t="s">
        <v>43561</v>
      </c>
      <c r="T2095" t="s">
        <v>43562</v>
      </c>
      <c r="U2095" t="s">
        <v>43563</v>
      </c>
      <c r="V2095" t="s">
        <v>43564</v>
      </c>
      <c r="W2095" t="s">
        <v>43565</v>
      </c>
      <c r="X2095" t="s">
        <v>43566</v>
      </c>
      <c r="Y2095" t="s">
        <v>43567</v>
      </c>
    </row>
    <row r="2096" spans="1:25" x14ac:dyDescent="0.3">
      <c r="A2096">
        <v>104750</v>
      </c>
      <c r="B2096" t="s">
        <v>43568</v>
      </c>
      <c r="C2096" t="s">
        <v>43569</v>
      </c>
      <c r="D2096" t="s">
        <v>43570</v>
      </c>
      <c r="E2096" t="s">
        <v>43571</v>
      </c>
      <c r="F2096" t="s">
        <v>43572</v>
      </c>
      <c r="G2096" t="s">
        <v>43573</v>
      </c>
      <c r="H2096" t="s">
        <v>43574</v>
      </c>
      <c r="I2096" t="s">
        <v>43575</v>
      </c>
      <c r="J2096" t="s">
        <v>43576</v>
      </c>
      <c r="K2096" t="s">
        <v>43577</v>
      </c>
      <c r="L2096" t="s">
        <v>43578</v>
      </c>
      <c r="M2096" t="s">
        <v>43579</v>
      </c>
      <c r="N2096" t="s">
        <v>43580</v>
      </c>
      <c r="O2096">
        <f>-781.683551590131 -75.0058898440375 -740.040233370115</f>
        <v>-1596.7296748042834</v>
      </c>
      <c r="P2096">
        <f>-740.754912214352 -98.1567254961665 -427.0306182335</f>
        <v>-1265.9422559440184</v>
      </c>
      <c r="Q2096">
        <f>-496.653962780756 -17.618847367773 -387.402374719151</f>
        <v>-901.67518486767995</v>
      </c>
      <c r="R2096" t="s">
        <v>43581</v>
      </c>
      <c r="S2096" t="s">
        <v>43582</v>
      </c>
      <c r="T2096" t="s">
        <v>43583</v>
      </c>
      <c r="U2096" t="s">
        <v>43584</v>
      </c>
      <c r="V2096" t="s">
        <v>43585</v>
      </c>
      <c r="W2096" t="s">
        <v>43586</v>
      </c>
      <c r="X2096" t="s">
        <v>43587</v>
      </c>
      <c r="Y2096" t="s">
        <v>43588</v>
      </c>
    </row>
    <row r="2097" spans="1:25" x14ac:dyDescent="0.3">
      <c r="A2097">
        <v>104800</v>
      </c>
      <c r="B2097" t="s">
        <v>43589</v>
      </c>
      <c r="C2097" t="s">
        <v>43590</v>
      </c>
      <c r="D2097" t="s">
        <v>43591</v>
      </c>
      <c r="E2097" t="s">
        <v>43592</v>
      </c>
      <c r="F2097" t="s">
        <v>43593</v>
      </c>
      <c r="G2097" t="s">
        <v>43594</v>
      </c>
      <c r="H2097" t="s">
        <v>43595</v>
      </c>
      <c r="I2097" t="s">
        <v>43596</v>
      </c>
      <c r="J2097" t="s">
        <v>43597</v>
      </c>
      <c r="K2097" t="s">
        <v>43598</v>
      </c>
      <c r="L2097" t="s">
        <v>43599</v>
      </c>
      <c r="M2097" t="s">
        <v>43600</v>
      </c>
      <c r="N2097" t="s">
        <v>43601</v>
      </c>
      <c r="O2097">
        <f>-781.878741509228 -74.9402887125821 -740.050409244908</f>
        <v>-1596.8694394667182</v>
      </c>
      <c r="P2097">
        <f>-740.335716798681 -98.2808390002267 -427.135704662497</f>
        <v>-1265.7522604614046</v>
      </c>
      <c r="Q2097">
        <f>-496.121523595565 -17.8777771736404 -387.933317435902</f>
        <v>-901.93261820510747</v>
      </c>
      <c r="R2097" t="s">
        <v>43602</v>
      </c>
      <c r="S2097" t="s">
        <v>43603</v>
      </c>
      <c r="T2097" t="s">
        <v>43604</v>
      </c>
      <c r="U2097" t="s">
        <v>43605</v>
      </c>
      <c r="V2097" t="s">
        <v>43606</v>
      </c>
      <c r="W2097" t="s">
        <v>43607</v>
      </c>
      <c r="X2097" t="s">
        <v>43608</v>
      </c>
      <c r="Y2097" t="s">
        <v>43609</v>
      </c>
    </row>
    <row r="2098" spans="1:25" x14ac:dyDescent="0.3">
      <c r="A2098">
        <v>104850</v>
      </c>
      <c r="B2098" t="s">
        <v>43610</v>
      </c>
      <c r="C2098" t="s">
        <v>43611</v>
      </c>
      <c r="D2098" t="s">
        <v>43612</v>
      </c>
      <c r="E2098" t="s">
        <v>43613</v>
      </c>
      <c r="F2098" t="s">
        <v>43614</v>
      </c>
      <c r="G2098" t="s">
        <v>43615</v>
      </c>
      <c r="H2098" t="s">
        <v>43616</v>
      </c>
      <c r="I2098" t="s">
        <v>43617</v>
      </c>
      <c r="J2098" t="s">
        <v>43618</v>
      </c>
      <c r="K2098" t="s">
        <v>43619</v>
      </c>
      <c r="L2098" t="s">
        <v>43620</v>
      </c>
      <c r="M2098">
        <f>-331.773391071622 -6.90416636272562 -326.487720743093</f>
        <v>-665.16527817744054</v>
      </c>
      <c r="N2098" t="s">
        <v>43621</v>
      </c>
      <c r="O2098">
        <f>-782.140188307384 -74.6955595456777 -739.988356706012</f>
        <v>-1596.8241045590739</v>
      </c>
      <c r="P2098">
        <f>-739.591851926077 -98.7837799659731 -427.265491347374</f>
        <v>-1265.6411232394239</v>
      </c>
      <c r="Q2098">
        <f>-495.299033119428 -18.3729398181838 -388.572360102874</f>
        <v>-902.2443330404858</v>
      </c>
      <c r="R2098" t="s">
        <v>43622</v>
      </c>
      <c r="S2098" t="s">
        <v>43623</v>
      </c>
      <c r="T2098" t="s">
        <v>43624</v>
      </c>
      <c r="U2098" t="s">
        <v>43625</v>
      </c>
      <c r="V2098" t="s">
        <v>43626</v>
      </c>
      <c r="W2098" t="s">
        <v>43627</v>
      </c>
      <c r="X2098" t="s">
        <v>43628</v>
      </c>
      <c r="Y2098" t="s">
        <v>43629</v>
      </c>
    </row>
    <row r="2099" spans="1:25" x14ac:dyDescent="0.3">
      <c r="A2099">
        <v>104900</v>
      </c>
      <c r="B2099" t="s">
        <v>43630</v>
      </c>
      <c r="C2099" t="s">
        <v>43631</v>
      </c>
      <c r="D2099" t="s">
        <v>43632</v>
      </c>
      <c r="E2099" t="s">
        <v>43633</v>
      </c>
      <c r="F2099" t="s">
        <v>43634</v>
      </c>
      <c r="G2099" t="s">
        <v>43635</v>
      </c>
      <c r="H2099" t="s">
        <v>43636</v>
      </c>
      <c r="I2099" t="s">
        <v>43637</v>
      </c>
      <c r="J2099" t="s">
        <v>43638</v>
      </c>
      <c r="K2099" t="s">
        <v>43639</v>
      </c>
      <c r="L2099" t="s">
        <v>43640</v>
      </c>
      <c r="M2099">
        <f>-332.607891798781 -9.9890503317074 -328.285857402922</f>
        <v>-670.88279953341043</v>
      </c>
      <c r="N2099" t="s">
        <v>43641</v>
      </c>
      <c r="O2099">
        <f>-781.986517809297 -74.5504571245028 -739.926281350979</f>
        <v>-1596.4632562847787</v>
      </c>
      <c r="P2099">
        <f>-739.132730709416 -98.9579866213023 -427.2698283612</f>
        <v>-1265.3605456919183</v>
      </c>
      <c r="Q2099">
        <f>-494.77774874088 -18.5464393045688 -388.972554209312</f>
        <v>-902.29674225476083</v>
      </c>
      <c r="R2099" t="s">
        <v>43642</v>
      </c>
      <c r="S2099" t="s">
        <v>43643</v>
      </c>
      <c r="T2099" t="s">
        <v>43644</v>
      </c>
      <c r="U2099" t="s">
        <v>43645</v>
      </c>
      <c r="V2099" t="s">
        <v>43646</v>
      </c>
      <c r="W2099" t="s">
        <v>43647</v>
      </c>
      <c r="X2099" t="s">
        <v>43648</v>
      </c>
      <c r="Y2099" t="s">
        <v>43649</v>
      </c>
    </row>
    <row r="2100" spans="1:25" x14ac:dyDescent="0.3">
      <c r="A2100">
        <v>104950</v>
      </c>
      <c r="B2100" t="s">
        <v>43650</v>
      </c>
      <c r="C2100" t="s">
        <v>43651</v>
      </c>
      <c r="D2100" t="s">
        <v>43652</v>
      </c>
      <c r="E2100" t="s">
        <v>43653</v>
      </c>
      <c r="F2100" t="s">
        <v>43654</v>
      </c>
      <c r="G2100" t="s">
        <v>43655</v>
      </c>
      <c r="H2100" t="s">
        <v>43656</v>
      </c>
      <c r="I2100" t="s">
        <v>43657</v>
      </c>
      <c r="J2100" t="s">
        <v>43658</v>
      </c>
      <c r="K2100" t="s">
        <v>43659</v>
      </c>
      <c r="L2100" t="s">
        <v>43660</v>
      </c>
      <c r="M2100">
        <f>-335.199199369735 -17.635384341711 -332.606079460052</f>
        <v>-685.44066317149804</v>
      </c>
      <c r="N2100" t="s">
        <v>43661</v>
      </c>
      <c r="O2100">
        <f>-782.047010294242 -74.2791315788013 -739.805555560855</f>
        <v>-1596.1316974338984</v>
      </c>
      <c r="P2100">
        <f>-738.213382870397 -99.4272088023906 -427.343768890108</f>
        <v>-1264.9843605628957</v>
      </c>
      <c r="Q2100">
        <f>-493.718437652818 -19.0934829215992 -389.783550011029</f>
        <v>-902.59547058544615</v>
      </c>
      <c r="R2100" t="s">
        <v>43662</v>
      </c>
      <c r="S2100" t="s">
        <v>43663</v>
      </c>
      <c r="T2100" t="s">
        <v>43664</v>
      </c>
      <c r="U2100" t="s">
        <v>43665</v>
      </c>
      <c r="V2100" t="s">
        <v>43666</v>
      </c>
      <c r="W2100" t="s">
        <v>43667</v>
      </c>
      <c r="X2100" t="s">
        <v>43668</v>
      </c>
      <c r="Y2100" t="s">
        <v>43669</v>
      </c>
    </row>
    <row r="2101" spans="1:25" x14ac:dyDescent="0.3">
      <c r="A2101">
        <v>105000</v>
      </c>
      <c r="B2101" t="s">
        <v>43670</v>
      </c>
      <c r="C2101" t="s">
        <v>43671</v>
      </c>
      <c r="D2101" t="s">
        <v>43672</v>
      </c>
      <c r="E2101" t="s">
        <v>43673</v>
      </c>
      <c r="F2101" t="s">
        <v>43674</v>
      </c>
      <c r="G2101" t="s">
        <v>43675</v>
      </c>
      <c r="H2101" t="s">
        <v>43676</v>
      </c>
      <c r="I2101" t="s">
        <v>43677</v>
      </c>
      <c r="J2101" t="s">
        <v>43678</v>
      </c>
      <c r="K2101" t="s">
        <v>43679</v>
      </c>
      <c r="L2101" t="s">
        <v>43680</v>
      </c>
      <c r="M2101">
        <f>-336.412543820805 -21.8210652259052 -335.230614279146</f>
        <v>-693.46422332585621</v>
      </c>
      <c r="N2101" t="s">
        <v>43681</v>
      </c>
      <c r="O2101">
        <f>-782.119930584191 -74.2727978137336 -739.823199876427</f>
        <v>-1596.2159282743517</v>
      </c>
      <c r="P2101">
        <f>-737.960715790484 -99.8053503040856 -427.438545558675</f>
        <v>-1265.2046116532445</v>
      </c>
      <c r="Q2101">
        <f>-493.425386740681 -19.4694498151098 -390.146756710056</f>
        <v>-903.04159326584681</v>
      </c>
      <c r="R2101" t="s">
        <v>43682</v>
      </c>
      <c r="S2101" t="s">
        <v>43683</v>
      </c>
      <c r="T2101" t="s">
        <v>43684</v>
      </c>
      <c r="U2101" t="s">
        <v>43685</v>
      </c>
      <c r="V2101" t="s">
        <v>43686</v>
      </c>
      <c r="W2101" t="s">
        <v>43687</v>
      </c>
      <c r="X2101" t="s">
        <v>43688</v>
      </c>
      <c r="Y2101" t="s">
        <v>43689</v>
      </c>
    </row>
    <row r="2102" spans="1:25" x14ac:dyDescent="0.3">
      <c r="A2102">
        <v>105050</v>
      </c>
      <c r="B2102" t="s">
        <v>43690</v>
      </c>
      <c r="C2102" t="s">
        <v>43691</v>
      </c>
      <c r="D2102" t="s">
        <v>43692</v>
      </c>
      <c r="E2102" t="s">
        <v>43693</v>
      </c>
      <c r="F2102" t="s">
        <v>43694</v>
      </c>
      <c r="G2102" t="s">
        <v>43695</v>
      </c>
      <c r="H2102" t="s">
        <v>43696</v>
      </c>
      <c r="I2102" t="s">
        <v>43697</v>
      </c>
      <c r="J2102" t="s">
        <v>43698</v>
      </c>
      <c r="K2102" t="s">
        <v>43699</v>
      </c>
      <c r="L2102" t="s">
        <v>43700</v>
      </c>
      <c r="M2102">
        <f>-338.000991662278 -27.253037384223 -338.830608202105</f>
        <v>-704.08463724860599</v>
      </c>
      <c r="N2102" t="s">
        <v>43701</v>
      </c>
      <c r="O2102">
        <f>-781.898200960402 -74.2297224098413 -739.941106999639</f>
        <v>-1596.0690303698825</v>
      </c>
      <c r="P2102">
        <f>-737.128080726236 -100.662763122832 -427.718195088303</f>
        <v>-1265.5090389373709</v>
      </c>
      <c r="Q2102">
        <f>-492.468951557522 -20.5262870444217 -390.811834013963</f>
        <v>-903.80707261590669</v>
      </c>
      <c r="R2102" t="s">
        <v>43702</v>
      </c>
      <c r="S2102" t="s">
        <v>43703</v>
      </c>
      <c r="T2102" t="s">
        <v>43704</v>
      </c>
      <c r="U2102" t="s">
        <v>43705</v>
      </c>
      <c r="V2102" t="s">
        <v>43706</v>
      </c>
      <c r="W2102" t="s">
        <v>43707</v>
      </c>
      <c r="X2102" t="s">
        <v>43708</v>
      </c>
      <c r="Y2102" t="s">
        <v>43709</v>
      </c>
    </row>
    <row r="2103" spans="1:25" x14ac:dyDescent="0.3">
      <c r="A2103">
        <v>105100</v>
      </c>
      <c r="B2103" t="s">
        <v>43710</v>
      </c>
      <c r="C2103" t="s">
        <v>43711</v>
      </c>
      <c r="D2103" t="s">
        <v>43712</v>
      </c>
      <c r="E2103" t="s">
        <v>43713</v>
      </c>
      <c r="F2103" t="s">
        <v>43714</v>
      </c>
      <c r="G2103" t="s">
        <v>43715</v>
      </c>
      <c r="H2103" t="s">
        <v>43716</v>
      </c>
      <c r="I2103" t="s">
        <v>43717</v>
      </c>
      <c r="J2103" t="s">
        <v>43718</v>
      </c>
      <c r="K2103" t="s">
        <v>43719</v>
      </c>
      <c r="L2103" t="s">
        <v>43720</v>
      </c>
      <c r="M2103">
        <f>-338.953948664312 -30.1575866529959 -341.127873745904</f>
        <v>-710.23940906321195</v>
      </c>
      <c r="N2103" t="s">
        <v>43721</v>
      </c>
      <c r="O2103">
        <f>-781.854300336261 -74.2305006964366 -739.960338264613</f>
        <v>-1596.0451392973105</v>
      </c>
      <c r="P2103">
        <f>-736.920496654635 -100.952406164509 -427.785577402067</f>
        <v>-1265.658480221211</v>
      </c>
      <c r="Q2103">
        <f>-492.223544911554 -20.8640020839323 -391.02598178943</f>
        <v>-904.1135287849163</v>
      </c>
      <c r="R2103" t="s">
        <v>43722</v>
      </c>
      <c r="S2103" t="s">
        <v>43723</v>
      </c>
      <c r="T2103" t="s">
        <v>43724</v>
      </c>
      <c r="U2103" t="s">
        <v>43725</v>
      </c>
      <c r="V2103">
        <f>-679.320182492981 -0.133826482428049 -216.177212267661</f>
        <v>-895.63122124307006</v>
      </c>
      <c r="W2103" t="s">
        <v>43726</v>
      </c>
      <c r="X2103" t="s">
        <v>43727</v>
      </c>
      <c r="Y2103" t="s">
        <v>43728</v>
      </c>
    </row>
    <row r="2104" spans="1:25" x14ac:dyDescent="0.3">
      <c r="A2104">
        <v>105150</v>
      </c>
      <c r="B2104" t="s">
        <v>43729</v>
      </c>
      <c r="C2104" t="s">
        <v>43730</v>
      </c>
      <c r="D2104" t="s">
        <v>43731</v>
      </c>
      <c r="E2104" t="s">
        <v>43732</v>
      </c>
      <c r="F2104" t="s">
        <v>43733</v>
      </c>
      <c r="G2104" t="s">
        <v>43734</v>
      </c>
      <c r="H2104" t="s">
        <v>43735</v>
      </c>
      <c r="I2104" t="s">
        <v>43736</v>
      </c>
      <c r="J2104" t="s">
        <v>43737</v>
      </c>
      <c r="K2104" t="s">
        <v>43738</v>
      </c>
      <c r="L2104" t="s">
        <v>43739</v>
      </c>
      <c r="M2104">
        <f>-340.743539490582 -34.7535269510267 -344.32913156742</f>
        <v>-719.82619800902876</v>
      </c>
      <c r="N2104" t="s">
        <v>43740</v>
      </c>
      <c r="O2104">
        <f>-781.502805308165 -74.1195074341663 -740.159456969039</f>
        <v>-1595.7817697113701</v>
      </c>
      <c r="P2104">
        <f>-736.144366803883 -101.722070251655 -428.122941965464</f>
        <v>-1265.9893790210019</v>
      </c>
      <c r="Q2104">
        <f>-491.495240193969 -21.3144312703064 -391.74334279869</f>
        <v>-904.55301426296546</v>
      </c>
      <c r="R2104" t="s">
        <v>43741</v>
      </c>
      <c r="S2104" t="s">
        <v>43742</v>
      </c>
      <c r="T2104" t="s">
        <v>43743</v>
      </c>
      <c r="U2104" t="s">
        <v>43744</v>
      </c>
      <c r="V2104">
        <f>-678.410419746004 -0.525540876677496 -216.026919224045</f>
        <v>-894.96287984672654</v>
      </c>
      <c r="W2104" t="s">
        <v>43745</v>
      </c>
      <c r="X2104" t="s">
        <v>43746</v>
      </c>
      <c r="Y2104" t="s">
        <v>43747</v>
      </c>
    </row>
    <row r="2105" spans="1:25" x14ac:dyDescent="0.3">
      <c r="A2105">
        <v>105200</v>
      </c>
      <c r="B2105" t="s">
        <v>43748</v>
      </c>
      <c r="C2105" t="s">
        <v>43749</v>
      </c>
      <c r="D2105" t="s">
        <v>43750</v>
      </c>
      <c r="E2105" t="s">
        <v>43751</v>
      </c>
      <c r="F2105" t="s">
        <v>43752</v>
      </c>
      <c r="G2105" t="s">
        <v>43753</v>
      </c>
      <c r="H2105" t="s">
        <v>43754</v>
      </c>
      <c r="I2105" t="s">
        <v>43755</v>
      </c>
      <c r="J2105" t="s">
        <v>43756</v>
      </c>
      <c r="K2105" t="s">
        <v>43757</v>
      </c>
      <c r="L2105" t="s">
        <v>43758</v>
      </c>
      <c r="M2105">
        <f>-340.766452604612 -35.6979182665432 -345.427388014655</f>
        <v>-721.89175888581019</v>
      </c>
      <c r="N2105" t="s">
        <v>43759</v>
      </c>
      <c r="O2105">
        <f>-781.045175394582 -74.161654352439 -740.316393299945</f>
        <v>-1595.523223046966</v>
      </c>
      <c r="P2105">
        <f>-735.584585955354 -102.017959431269 -428.317206533815</f>
        <v>-1265.9197519204381</v>
      </c>
      <c r="Q2105">
        <f>-490.987963768737 -21.3260984030862 -392.215053022823</f>
        <v>-904.52911519464624</v>
      </c>
      <c r="R2105" t="s">
        <v>43760</v>
      </c>
      <c r="S2105" t="s">
        <v>43761</v>
      </c>
      <c r="T2105" t="s">
        <v>43762</v>
      </c>
      <c r="U2105" t="s">
        <v>43763</v>
      </c>
      <c r="V2105">
        <f>-678.050528461443 -0.746183611063088 -216.047487178554</f>
        <v>-894.8441992510601</v>
      </c>
      <c r="W2105" t="s">
        <v>43764</v>
      </c>
      <c r="X2105" t="s">
        <v>43765</v>
      </c>
      <c r="Y2105" t="s">
        <v>43766</v>
      </c>
    </row>
    <row r="2106" spans="1:25" x14ac:dyDescent="0.3">
      <c r="A2106">
        <v>105250</v>
      </c>
      <c r="B2106" t="s">
        <v>43767</v>
      </c>
      <c r="C2106" t="s">
        <v>43768</v>
      </c>
      <c r="D2106" t="s">
        <v>43769</v>
      </c>
      <c r="E2106" t="s">
        <v>43770</v>
      </c>
      <c r="F2106" t="s">
        <v>43771</v>
      </c>
      <c r="G2106" t="s">
        <v>43772</v>
      </c>
      <c r="H2106" t="s">
        <v>43773</v>
      </c>
      <c r="I2106" t="s">
        <v>43774</v>
      </c>
      <c r="J2106" t="s">
        <v>43775</v>
      </c>
      <c r="K2106" t="s">
        <v>43776</v>
      </c>
      <c r="L2106" t="s">
        <v>43777</v>
      </c>
      <c r="M2106">
        <f>-342.03287899527 -39.4038594211174 -349.351035113506</f>
        <v>-730.78777352989334</v>
      </c>
      <c r="N2106" t="s">
        <v>43778</v>
      </c>
      <c r="O2106">
        <f>-780.501823863956 -74.5024575370069 -740.651206206265</f>
        <v>-1595.6554876072278</v>
      </c>
      <c r="P2106">
        <f>-734.87672763262 -103.045992727147 -428.738002752262</f>
        <v>-1266.660723112029</v>
      </c>
      <c r="Q2106">
        <f>-490.344818177703 -22.1482524119599 -392.658285152207</f>
        <v>-905.15135574186991</v>
      </c>
      <c r="R2106" t="s">
        <v>43779</v>
      </c>
      <c r="S2106" t="s">
        <v>43780</v>
      </c>
      <c r="T2106" t="s">
        <v>43781</v>
      </c>
      <c r="U2106" t="s">
        <v>43782</v>
      </c>
      <c r="V2106">
        <f>-677.41789157776 -1.29481390825049 -216.134945560373</f>
        <v>-894.84765104638348</v>
      </c>
      <c r="W2106" t="s">
        <v>43783</v>
      </c>
      <c r="X2106" t="s">
        <v>43784</v>
      </c>
      <c r="Y2106" t="s">
        <v>43785</v>
      </c>
    </row>
    <row r="2107" spans="1:25" x14ac:dyDescent="0.3">
      <c r="A2107">
        <v>105300</v>
      </c>
      <c r="B2107" t="s">
        <v>43786</v>
      </c>
      <c r="C2107" t="s">
        <v>43787</v>
      </c>
      <c r="D2107" t="s">
        <v>43788</v>
      </c>
      <c r="E2107" t="s">
        <v>43789</v>
      </c>
      <c r="F2107" t="s">
        <v>43790</v>
      </c>
      <c r="G2107" t="s">
        <v>43791</v>
      </c>
      <c r="H2107" t="s">
        <v>43792</v>
      </c>
      <c r="I2107" t="s">
        <v>43793</v>
      </c>
      <c r="J2107" t="s">
        <v>43794</v>
      </c>
      <c r="K2107" t="s">
        <v>43795</v>
      </c>
      <c r="L2107" t="s">
        <v>43796</v>
      </c>
      <c r="M2107">
        <f>-342.53902033261 -40.5353097165266 -350.437736520373</f>
        <v>-733.51206656950967</v>
      </c>
      <c r="N2107" t="s">
        <v>43797</v>
      </c>
      <c r="O2107">
        <f>-780.236680801623 -74.7308844637444 -740.871277389313</f>
        <v>-1595.8388426546803</v>
      </c>
      <c r="P2107">
        <f>-734.74903074528 -103.36895810402 -428.946686992583</f>
        <v>-1267.0646758418829</v>
      </c>
      <c r="Q2107">
        <f>-490.312697947229 -22.1354832820971 -392.973724813778</f>
        <v>-905.42190604310417</v>
      </c>
      <c r="R2107" t="s">
        <v>43798</v>
      </c>
      <c r="S2107" t="s">
        <v>43799</v>
      </c>
      <c r="T2107" t="s">
        <v>43800</v>
      </c>
      <c r="U2107" t="s">
        <v>43801</v>
      </c>
      <c r="V2107">
        <f>-677.152284312353 -1.37206172608921 -216.209601474911</f>
        <v>-894.7339475133532</v>
      </c>
      <c r="W2107" t="s">
        <v>43802</v>
      </c>
      <c r="X2107" t="s">
        <v>43803</v>
      </c>
      <c r="Y2107" t="s">
        <v>43804</v>
      </c>
    </row>
    <row r="2108" spans="1:25" x14ac:dyDescent="0.3">
      <c r="A2108">
        <v>105350</v>
      </c>
      <c r="B2108" t="s">
        <v>43805</v>
      </c>
      <c r="C2108" t="s">
        <v>43806</v>
      </c>
      <c r="D2108" t="s">
        <v>43807</v>
      </c>
      <c r="E2108" t="s">
        <v>43808</v>
      </c>
      <c r="F2108" t="s">
        <v>43809</v>
      </c>
      <c r="G2108" t="s">
        <v>43810</v>
      </c>
      <c r="H2108" t="s">
        <v>43811</v>
      </c>
      <c r="I2108" t="s">
        <v>43812</v>
      </c>
      <c r="J2108" t="s">
        <v>43813</v>
      </c>
      <c r="K2108" t="s">
        <v>43814</v>
      </c>
      <c r="L2108" t="s">
        <v>43815</v>
      </c>
      <c r="M2108">
        <f>-342.481776372091 -39.8420136905206 -350.319207847931</f>
        <v>-732.64299791054259</v>
      </c>
      <c r="N2108" t="s">
        <v>43816</v>
      </c>
      <c r="O2108">
        <f>-779.852925022313 -74.832775845802 -741.256806807316</f>
        <v>-1595.942507675431</v>
      </c>
      <c r="P2108">
        <f>-734.263525664194 -103.906561725176 -429.387447477452</f>
        <v>-1267.5575348668222</v>
      </c>
      <c r="Q2108">
        <f>-489.907946024877 -22.3796644869187 -393.53001152627</f>
        <v>-905.81762203806579</v>
      </c>
      <c r="R2108" t="s">
        <v>43817</v>
      </c>
      <c r="S2108" t="s">
        <v>43818</v>
      </c>
      <c r="T2108" t="s">
        <v>43819</v>
      </c>
      <c r="U2108" t="s">
        <v>43820</v>
      </c>
      <c r="V2108">
        <f>-676.802160922738 -1.56664029674062 -216.481302318</f>
        <v>-894.85010353747862</v>
      </c>
      <c r="W2108" t="s">
        <v>43821</v>
      </c>
      <c r="X2108" t="s">
        <v>43822</v>
      </c>
      <c r="Y2108" t="s">
        <v>43823</v>
      </c>
    </row>
    <row r="2109" spans="1:25" x14ac:dyDescent="0.3">
      <c r="A2109">
        <v>105400</v>
      </c>
      <c r="B2109" t="s">
        <v>43824</v>
      </c>
      <c r="C2109" t="s">
        <v>43825</v>
      </c>
      <c r="D2109" t="s">
        <v>43826</v>
      </c>
      <c r="E2109" t="s">
        <v>43827</v>
      </c>
      <c r="F2109" t="s">
        <v>43828</v>
      </c>
      <c r="G2109" t="s">
        <v>43829</v>
      </c>
      <c r="H2109" t="s">
        <v>43830</v>
      </c>
      <c r="I2109" t="s">
        <v>43831</v>
      </c>
      <c r="J2109" t="s">
        <v>43832</v>
      </c>
      <c r="K2109" t="s">
        <v>43833</v>
      </c>
      <c r="L2109" t="s">
        <v>43834</v>
      </c>
      <c r="M2109">
        <f>-342.205143397539 -38.9976205196717 -349.807247606505</f>
        <v>-731.01001152371578</v>
      </c>
      <c r="N2109" t="s">
        <v>43835</v>
      </c>
      <c r="O2109">
        <f>-779.683114582769 -74.7969854007322 -741.390315990513</f>
        <v>-1595.8704159740141</v>
      </c>
      <c r="P2109">
        <f>-733.913771632643 -103.876900368217 -429.547865508225</f>
        <v>-1267.338537509085</v>
      </c>
      <c r="Q2109">
        <f>-489.628665683126 -22.087816500688 -393.806652070747</f>
        <v>-905.523134254561</v>
      </c>
      <c r="R2109" t="s">
        <v>43836</v>
      </c>
      <c r="S2109" t="s">
        <v>43837</v>
      </c>
      <c r="T2109" t="s">
        <v>43838</v>
      </c>
      <c r="U2109" t="s">
        <v>43839</v>
      </c>
      <c r="V2109">
        <f>-676.754014912254 -1.55517729423673 -216.603979481155</f>
        <v>-894.91317168764567</v>
      </c>
      <c r="W2109" t="s">
        <v>43840</v>
      </c>
      <c r="X2109" t="s">
        <v>43841</v>
      </c>
      <c r="Y2109" t="s">
        <v>43842</v>
      </c>
    </row>
    <row r="2110" spans="1:25" x14ac:dyDescent="0.3">
      <c r="A2110">
        <v>105450</v>
      </c>
      <c r="B2110" t="s">
        <v>43843</v>
      </c>
      <c r="C2110" t="s">
        <v>43844</v>
      </c>
      <c r="D2110" t="s">
        <v>43845</v>
      </c>
      <c r="E2110" t="s">
        <v>43846</v>
      </c>
      <c r="F2110" t="s">
        <v>43847</v>
      </c>
      <c r="G2110" t="s">
        <v>43848</v>
      </c>
      <c r="H2110" t="s">
        <v>43849</v>
      </c>
      <c r="I2110" t="s">
        <v>43850</v>
      </c>
      <c r="J2110" t="s">
        <v>43851</v>
      </c>
      <c r="K2110" t="s">
        <v>43852</v>
      </c>
      <c r="L2110" t="s">
        <v>43853</v>
      </c>
      <c r="M2110">
        <f>-341.490913605843 -36.923857140855 -348.579034557772</f>
        <v>-726.99380530447002</v>
      </c>
      <c r="N2110" t="s">
        <v>43854</v>
      </c>
      <c r="O2110">
        <f>-779.123923922058 -74.6787261136496 -741.563514018449</f>
        <v>-1595.3661640541568</v>
      </c>
      <c r="P2110">
        <f>-733.447712244819 -103.506082763219 -429.684021565392</f>
        <v>-1266.63781657343</v>
      </c>
      <c r="Q2110">
        <f>-489.271053843232 -21.3553856860094 -394.031784934194</f>
        <v>-904.65822446343532</v>
      </c>
      <c r="R2110" t="s">
        <v>43855</v>
      </c>
      <c r="S2110" t="s">
        <v>43856</v>
      </c>
      <c r="T2110" t="s">
        <v>43857</v>
      </c>
      <c r="U2110" t="s">
        <v>43858</v>
      </c>
      <c r="V2110">
        <f>-676.707672914272 -1.44292877739576 -216.641877747489</f>
        <v>-894.79247943915675</v>
      </c>
      <c r="W2110" t="s">
        <v>43859</v>
      </c>
      <c r="X2110" t="s">
        <v>43860</v>
      </c>
      <c r="Y2110" t="s">
        <v>43861</v>
      </c>
    </row>
    <row r="2111" spans="1:25" x14ac:dyDescent="0.3">
      <c r="A2111">
        <v>105500</v>
      </c>
      <c r="B2111" t="s">
        <v>43862</v>
      </c>
      <c r="C2111" t="s">
        <v>43863</v>
      </c>
      <c r="D2111" t="s">
        <v>43864</v>
      </c>
      <c r="E2111" t="s">
        <v>43865</v>
      </c>
      <c r="F2111" t="s">
        <v>43866</v>
      </c>
      <c r="G2111" t="s">
        <v>43867</v>
      </c>
      <c r="H2111" t="s">
        <v>43868</v>
      </c>
      <c r="I2111" t="s">
        <v>43869</v>
      </c>
      <c r="J2111" t="s">
        <v>43870</v>
      </c>
      <c r="K2111" t="s">
        <v>43871</v>
      </c>
      <c r="L2111" t="s">
        <v>43872</v>
      </c>
      <c r="M2111">
        <f>-341.177932339661 -36.4479403137734 -348.341954115916</f>
        <v>-725.96782676935049</v>
      </c>
      <c r="N2111" t="s">
        <v>43873</v>
      </c>
      <c r="O2111">
        <f>-778.756937031408 -74.5801451387138 -741.601225362358</f>
        <v>-1594.9383075324799</v>
      </c>
      <c r="P2111">
        <f>-733.187233836339 -103.55914185176 -429.720051884922</f>
        <v>-1266.4664275730211</v>
      </c>
      <c r="Q2111">
        <f>-489.165903466562 -20.9414773245728 -394.083561905654</f>
        <v>-904.19094269678885</v>
      </c>
      <c r="R2111" t="s">
        <v>43874</v>
      </c>
      <c r="S2111" t="s">
        <v>43875</v>
      </c>
      <c r="T2111" t="s">
        <v>43876</v>
      </c>
      <c r="U2111" t="s">
        <v>43877</v>
      </c>
      <c r="V2111">
        <f>-676.674022383192 -1.30023386377138 -216.609638368098</f>
        <v>-894.58389461506135</v>
      </c>
      <c r="W2111" t="s">
        <v>43878</v>
      </c>
      <c r="X2111" t="s">
        <v>43879</v>
      </c>
      <c r="Y2111" t="s">
        <v>43880</v>
      </c>
    </row>
    <row r="2112" spans="1:25" x14ac:dyDescent="0.3">
      <c r="A2112">
        <v>105550</v>
      </c>
      <c r="B2112" t="s">
        <v>43881</v>
      </c>
      <c r="C2112" t="s">
        <v>43882</v>
      </c>
      <c r="D2112" t="s">
        <v>43883</v>
      </c>
      <c r="E2112" t="s">
        <v>43884</v>
      </c>
      <c r="F2112" t="s">
        <v>43885</v>
      </c>
      <c r="G2112" t="s">
        <v>43886</v>
      </c>
      <c r="H2112" t="s">
        <v>43887</v>
      </c>
      <c r="I2112" t="s">
        <v>43888</v>
      </c>
      <c r="J2112" t="s">
        <v>43889</v>
      </c>
      <c r="K2112" t="s">
        <v>43890</v>
      </c>
      <c r="L2112" t="s">
        <v>43891</v>
      </c>
      <c r="M2112">
        <f>-341.299384469334 -36.3782147512209 -348.545409866248</f>
        <v>-726.2230090868029</v>
      </c>
      <c r="N2112" t="s">
        <v>43892</v>
      </c>
      <c r="O2112">
        <f>-778.511800664925 -73.9370032668371 -741.63966456099</f>
        <v>-1594.0884684927521</v>
      </c>
      <c r="P2112">
        <f>-732.96318696769 -102.966134476037 -429.760195705341</f>
        <v>-1265.689517149068</v>
      </c>
      <c r="Q2112">
        <f>-489.388399080423 -19.0082502907126 -394.200933273677</f>
        <v>-902.59758264481263</v>
      </c>
      <c r="R2112" t="s">
        <v>43893</v>
      </c>
      <c r="S2112" t="s">
        <v>43894</v>
      </c>
      <c r="T2112" t="s">
        <v>43895</v>
      </c>
      <c r="U2112" t="s">
        <v>43896</v>
      </c>
      <c r="V2112">
        <f>-676.507579318754 -0.849443942611515 -216.473304995068</f>
        <v>-893.83032825643352</v>
      </c>
      <c r="W2112" t="s">
        <v>43897</v>
      </c>
      <c r="X2112" t="s">
        <v>43898</v>
      </c>
      <c r="Y2112" t="s">
        <v>43899</v>
      </c>
    </row>
    <row r="2113" spans="1:25" x14ac:dyDescent="0.3">
      <c r="A2113">
        <v>105600</v>
      </c>
      <c r="B2113" t="s">
        <v>43900</v>
      </c>
      <c r="C2113" t="s">
        <v>43901</v>
      </c>
      <c r="D2113" t="s">
        <v>43902</v>
      </c>
      <c r="E2113" t="s">
        <v>43903</v>
      </c>
      <c r="F2113" t="s">
        <v>43904</v>
      </c>
      <c r="G2113" t="s">
        <v>43905</v>
      </c>
      <c r="H2113" t="s">
        <v>43906</v>
      </c>
      <c r="I2113" t="s">
        <v>43907</v>
      </c>
      <c r="J2113" t="s">
        <v>43908</v>
      </c>
      <c r="K2113" t="s">
        <v>43909</v>
      </c>
      <c r="L2113" t="s">
        <v>43910</v>
      </c>
      <c r="M2113">
        <f>-341.494117565429 -36.4006899279816 -348.53121459565</f>
        <v>-726.42602208906055</v>
      </c>
      <c r="N2113" t="s">
        <v>43911</v>
      </c>
      <c r="O2113">
        <f>-778.374624030391 -73.6825948281448 -741.589577944389</f>
        <v>-1593.6467968029249</v>
      </c>
      <c r="P2113">
        <f>-732.757137711652 -102.208802018864 -429.673721429216</f>
        <v>-1264.639661159732</v>
      </c>
      <c r="Q2113">
        <f>-489.355273325862 -17.6578751505817 -394.336588949004</f>
        <v>-901.34973742544776</v>
      </c>
      <c r="R2113" t="s">
        <v>43912</v>
      </c>
      <c r="S2113" t="s">
        <v>43913</v>
      </c>
      <c r="T2113" t="s">
        <v>43914</v>
      </c>
      <c r="U2113" t="s">
        <v>43915</v>
      </c>
      <c r="V2113">
        <f>-676.336336998691 -0.582179527923927 -216.391916919515</f>
        <v>-893.31043344612988</v>
      </c>
      <c r="W2113" t="s">
        <v>43916</v>
      </c>
      <c r="X2113" t="s">
        <v>43917</v>
      </c>
      <c r="Y2113" t="s">
        <v>43918</v>
      </c>
    </row>
    <row r="2114" spans="1:25" x14ac:dyDescent="0.3">
      <c r="A2114">
        <v>105650</v>
      </c>
      <c r="B2114" t="s">
        <v>43919</v>
      </c>
      <c r="C2114" t="s">
        <v>43920</v>
      </c>
      <c r="D2114" t="s">
        <v>43921</v>
      </c>
      <c r="E2114" t="s">
        <v>43922</v>
      </c>
      <c r="F2114" t="s">
        <v>43923</v>
      </c>
      <c r="G2114" t="s">
        <v>43924</v>
      </c>
      <c r="H2114" t="s">
        <v>43925</v>
      </c>
      <c r="I2114" t="s">
        <v>43926</v>
      </c>
      <c r="J2114" t="s">
        <v>43927</v>
      </c>
      <c r="K2114" t="s">
        <v>43928</v>
      </c>
      <c r="L2114" t="s">
        <v>43929</v>
      </c>
      <c r="M2114">
        <f>-342.029899451795 -36.662897426314 -348.599316209308</f>
        <v>-727.29211308741696</v>
      </c>
      <c r="N2114" t="s">
        <v>43930</v>
      </c>
      <c r="O2114">
        <f>-777.94846713556 -73.1602820939054 -741.366137447093</f>
        <v>-1592.4748866765585</v>
      </c>
      <c r="P2114">
        <f>-732.648305336873 -100.924134621142 -429.335255883436</f>
        <v>-1262.907695841451</v>
      </c>
      <c r="Q2114">
        <f>-489.402227011989 -15.7784408390762 -394.354560459484</f>
        <v>-899.5352283105492</v>
      </c>
      <c r="R2114" t="s">
        <v>43931</v>
      </c>
      <c r="S2114" t="s">
        <v>43932</v>
      </c>
      <c r="T2114" t="s">
        <v>43933</v>
      </c>
      <c r="U2114" t="s">
        <v>43934</v>
      </c>
      <c r="V2114" t="s">
        <v>43935</v>
      </c>
      <c r="W2114" t="s">
        <v>43936</v>
      </c>
      <c r="X2114" t="s">
        <v>43937</v>
      </c>
      <c r="Y2114" t="s">
        <v>43938</v>
      </c>
    </row>
    <row r="2115" spans="1:25" x14ac:dyDescent="0.3">
      <c r="A2115">
        <v>105700</v>
      </c>
      <c r="B2115" t="s">
        <v>43939</v>
      </c>
      <c r="C2115" t="s">
        <v>43940</v>
      </c>
      <c r="D2115" t="s">
        <v>43941</v>
      </c>
      <c r="E2115" t="s">
        <v>43942</v>
      </c>
      <c r="F2115" t="s">
        <v>43943</v>
      </c>
      <c r="G2115" t="s">
        <v>43944</v>
      </c>
      <c r="H2115" t="s">
        <v>43945</v>
      </c>
      <c r="I2115" t="s">
        <v>43946</v>
      </c>
      <c r="J2115" t="s">
        <v>43947</v>
      </c>
      <c r="K2115" t="s">
        <v>43948</v>
      </c>
      <c r="L2115" t="s">
        <v>43949</v>
      </c>
      <c r="M2115">
        <f>-341.974289862277 -36.4176545523308 -348.45916270116</f>
        <v>-726.85110711576772</v>
      </c>
      <c r="N2115" t="s">
        <v>43950</v>
      </c>
      <c r="O2115">
        <f>-777.74490301832 -72.9420618681004 -741.288896748383</f>
        <v>-1591.9758616348033</v>
      </c>
      <c r="P2115">
        <f>-732.616094461676 -100.79538983823 -429.241168522487</f>
        <v>-1262.6526528223931</v>
      </c>
      <c r="Q2115">
        <f>-489.281526486221 -15.9223596906331 -394.213290151668</f>
        <v>-899.41717632852215</v>
      </c>
      <c r="R2115" t="s">
        <v>43951</v>
      </c>
      <c r="S2115" t="s">
        <v>43952</v>
      </c>
      <c r="T2115" t="s">
        <v>43953</v>
      </c>
      <c r="U2115" t="s">
        <v>43954</v>
      </c>
      <c r="V2115" t="s">
        <v>43955</v>
      </c>
      <c r="W2115" t="s">
        <v>43956</v>
      </c>
      <c r="X2115" t="s">
        <v>43957</v>
      </c>
      <c r="Y2115" t="s">
        <v>43958</v>
      </c>
    </row>
    <row r="2116" spans="1:25" x14ac:dyDescent="0.3">
      <c r="A2116">
        <v>105750</v>
      </c>
      <c r="B2116" t="s">
        <v>43959</v>
      </c>
      <c r="C2116" t="s">
        <v>43960</v>
      </c>
      <c r="D2116" t="s">
        <v>43961</v>
      </c>
      <c r="E2116" t="s">
        <v>43962</v>
      </c>
      <c r="F2116" t="s">
        <v>43963</v>
      </c>
      <c r="G2116" t="s">
        <v>43964</v>
      </c>
      <c r="H2116" t="s">
        <v>43965</v>
      </c>
      <c r="I2116" t="s">
        <v>43966</v>
      </c>
      <c r="J2116" t="s">
        <v>43967</v>
      </c>
      <c r="K2116" t="s">
        <v>43968</v>
      </c>
      <c r="L2116" t="s">
        <v>43969</v>
      </c>
      <c r="M2116">
        <f>-341.870741742214 -35.9309592068637 -348.357246142489</f>
        <v>-726.15894709156669</v>
      </c>
      <c r="N2116" t="s">
        <v>43970</v>
      </c>
      <c r="O2116">
        <f>-777.610804210181 -72.2525563609825 -741.24590319177</f>
        <v>-1591.1092637629336</v>
      </c>
      <c r="P2116">
        <f>-732.866584127876 -100.159607152414 -429.147503738013</f>
        <v>-1262.1736950183029</v>
      </c>
      <c r="Q2116">
        <f>-489.239991187151 -16.3573924890154 -393.575865868354</f>
        <v>-899.17324954452044</v>
      </c>
      <c r="R2116" t="s">
        <v>43971</v>
      </c>
      <c r="S2116" t="s">
        <v>43972</v>
      </c>
      <c r="T2116" t="s">
        <v>43973</v>
      </c>
      <c r="U2116" t="s">
        <v>43974</v>
      </c>
      <c r="V2116" t="s">
        <v>43975</v>
      </c>
      <c r="W2116" t="s">
        <v>43976</v>
      </c>
      <c r="X2116" t="s">
        <v>43977</v>
      </c>
      <c r="Y2116" t="s">
        <v>43978</v>
      </c>
    </row>
    <row r="2117" spans="1:25" x14ac:dyDescent="0.3">
      <c r="A2117">
        <v>105800</v>
      </c>
      <c r="B2117" t="s">
        <v>43979</v>
      </c>
      <c r="C2117" t="s">
        <v>43980</v>
      </c>
      <c r="D2117" t="s">
        <v>43981</v>
      </c>
      <c r="E2117" t="s">
        <v>43982</v>
      </c>
      <c r="F2117" t="s">
        <v>43983</v>
      </c>
      <c r="G2117" t="s">
        <v>43984</v>
      </c>
      <c r="H2117" t="s">
        <v>43985</v>
      </c>
      <c r="I2117" t="s">
        <v>43986</v>
      </c>
      <c r="J2117" t="s">
        <v>43987</v>
      </c>
      <c r="K2117" t="s">
        <v>43988</v>
      </c>
      <c r="L2117" t="s">
        <v>43989</v>
      </c>
      <c r="M2117">
        <f>-341.700954099816 -35.7211783872101 -348.230357627725</f>
        <v>-725.65249011475112</v>
      </c>
      <c r="N2117" t="s">
        <v>43990</v>
      </c>
      <c r="O2117">
        <f>-777.43882314737 -71.9313580612975 -741.305205186608</f>
        <v>-1590.6753863952754</v>
      </c>
      <c r="P2117">
        <f>-732.971532240075 -99.810609587523 -429.164818869551</f>
        <v>-1261.9469606971491</v>
      </c>
      <c r="Q2117">
        <f>-489.237006415611 -16.3207854653842 -393.597878981215</f>
        <v>-899.15567086221017</v>
      </c>
      <c r="R2117" t="s">
        <v>43991</v>
      </c>
      <c r="S2117" t="s">
        <v>43992</v>
      </c>
      <c r="T2117" t="s">
        <v>43993</v>
      </c>
      <c r="U2117" t="s">
        <v>43994</v>
      </c>
      <c r="V2117" t="s">
        <v>43995</v>
      </c>
      <c r="W2117" t="s">
        <v>43996</v>
      </c>
      <c r="X2117" t="s">
        <v>43997</v>
      </c>
      <c r="Y2117" t="s">
        <v>43998</v>
      </c>
    </row>
    <row r="2118" spans="1:25" x14ac:dyDescent="0.3">
      <c r="A2118">
        <v>105850</v>
      </c>
      <c r="B2118" t="s">
        <v>43999</v>
      </c>
      <c r="C2118" t="s">
        <v>44000</v>
      </c>
      <c r="D2118" t="s">
        <v>44001</v>
      </c>
      <c r="E2118" t="s">
        <v>44002</v>
      </c>
      <c r="F2118" t="s">
        <v>44003</v>
      </c>
      <c r="G2118" t="s">
        <v>44004</v>
      </c>
      <c r="H2118" t="s">
        <v>44005</v>
      </c>
      <c r="I2118" t="s">
        <v>44006</v>
      </c>
      <c r="J2118" t="s">
        <v>44007</v>
      </c>
      <c r="K2118" t="s">
        <v>44008</v>
      </c>
      <c r="L2118" t="s">
        <v>44009</v>
      </c>
      <c r="M2118">
        <f>-341.905802361547 -35.1444623301907 -347.95980522103</f>
        <v>-725.01006991276768</v>
      </c>
      <c r="N2118" t="s">
        <v>44010</v>
      </c>
      <c r="O2118">
        <f>-777.659339246079 -70.8792131529294 -741.382565029171</f>
        <v>-1589.9211174281795</v>
      </c>
      <c r="P2118">
        <f>-732.815184133838 -99.5622842144867 -429.368901736595</f>
        <v>-1261.7463700849196</v>
      </c>
      <c r="Q2118">
        <f>-488.926875899229 -16.0864123583356 -394.839914298916</f>
        <v>-899.85320255648071</v>
      </c>
      <c r="R2118" t="s">
        <v>44011</v>
      </c>
      <c r="S2118" t="s">
        <v>44012</v>
      </c>
      <c r="T2118" t="s">
        <v>44013</v>
      </c>
      <c r="U2118" t="s">
        <v>44014</v>
      </c>
      <c r="V2118" t="s">
        <v>44015</v>
      </c>
      <c r="W2118" t="s">
        <v>44016</v>
      </c>
      <c r="X2118" t="s">
        <v>44017</v>
      </c>
      <c r="Y2118" t="s">
        <v>44018</v>
      </c>
    </row>
    <row r="2119" spans="1:25" x14ac:dyDescent="0.3">
      <c r="A2119">
        <v>105900</v>
      </c>
      <c r="B2119" t="s">
        <v>44019</v>
      </c>
      <c r="C2119" t="s">
        <v>44020</v>
      </c>
      <c r="D2119" t="s">
        <v>44021</v>
      </c>
      <c r="E2119" t="s">
        <v>44022</v>
      </c>
      <c r="F2119" t="s">
        <v>44023</v>
      </c>
      <c r="G2119" t="s">
        <v>44024</v>
      </c>
      <c r="H2119" t="s">
        <v>44025</v>
      </c>
      <c r="I2119" t="s">
        <v>44026</v>
      </c>
      <c r="J2119" t="s">
        <v>44027</v>
      </c>
      <c r="K2119" t="s">
        <v>44028</v>
      </c>
      <c r="L2119" t="s">
        <v>44029</v>
      </c>
      <c r="M2119">
        <f>-341.96907997534 -35.0120141667787 -347.764482373815</f>
        <v>-724.74557651593364</v>
      </c>
      <c r="N2119" t="s">
        <v>44030</v>
      </c>
      <c r="O2119">
        <f>-777.785523577237 -70.5378941960948 -741.360341416595</f>
        <v>-1589.6837591899268</v>
      </c>
      <c r="P2119">
        <f>-732.703189757947 -99.0996297554532 -429.369936499266</f>
        <v>-1261.1727560126662</v>
      </c>
      <c r="Q2119">
        <f>-488.776102726405 -15.5948738964635 -395.185605180767</f>
        <v>-899.55658180363548</v>
      </c>
      <c r="R2119" t="s">
        <v>44031</v>
      </c>
      <c r="S2119" t="s">
        <v>44032</v>
      </c>
      <c r="T2119" t="s">
        <v>44033</v>
      </c>
      <c r="U2119" t="s">
        <v>44034</v>
      </c>
      <c r="V2119" t="s">
        <v>44035</v>
      </c>
      <c r="W2119" t="s">
        <v>44036</v>
      </c>
      <c r="X2119" t="s">
        <v>44037</v>
      </c>
      <c r="Y2119" t="s">
        <v>44038</v>
      </c>
    </row>
    <row r="2120" spans="1:25" x14ac:dyDescent="0.3">
      <c r="A2120">
        <v>105950</v>
      </c>
      <c r="B2120" t="s">
        <v>44039</v>
      </c>
      <c r="C2120" t="s">
        <v>44040</v>
      </c>
      <c r="D2120" t="s">
        <v>44041</v>
      </c>
      <c r="E2120" t="s">
        <v>44042</v>
      </c>
      <c r="F2120" t="s">
        <v>44043</v>
      </c>
      <c r="G2120" t="s">
        <v>44044</v>
      </c>
      <c r="H2120" t="s">
        <v>44045</v>
      </c>
      <c r="I2120" t="s">
        <v>44046</v>
      </c>
      <c r="J2120" t="s">
        <v>44047</v>
      </c>
      <c r="K2120" t="s">
        <v>44048</v>
      </c>
      <c r="L2120" t="s">
        <v>44049</v>
      </c>
      <c r="M2120">
        <f>-342.288604847936 -34.680104161077 -347.049836968598</f>
        <v>-724.01854597761098</v>
      </c>
      <c r="N2120" t="s">
        <v>44050</v>
      </c>
      <c r="O2120">
        <f>-777.882025115886 -69.9152445112109 -741.380355803748</f>
        <v>-1589.1776254308447</v>
      </c>
      <c r="P2120">
        <f>-732.410294184406 -99.34244837805 -429.526847525832</f>
        <v>-1261.2795900882879</v>
      </c>
      <c r="Q2120">
        <f>-488.633978694805 -15.0015612191428 -396.333642783205</f>
        <v>-899.96918269715275</v>
      </c>
      <c r="R2120" t="s">
        <v>44051</v>
      </c>
      <c r="S2120" t="s">
        <v>44052</v>
      </c>
      <c r="T2120" t="s">
        <v>44053</v>
      </c>
      <c r="U2120" t="s">
        <v>44054</v>
      </c>
      <c r="V2120" t="s">
        <v>44055</v>
      </c>
      <c r="W2120" t="s">
        <v>44056</v>
      </c>
      <c r="X2120" t="s">
        <v>44057</v>
      </c>
      <c r="Y2120" t="s">
        <v>44058</v>
      </c>
    </row>
    <row r="2121" spans="1:25" x14ac:dyDescent="0.3">
      <c r="A2121">
        <v>106000</v>
      </c>
      <c r="B2121" t="s">
        <v>44059</v>
      </c>
      <c r="C2121" t="s">
        <v>44060</v>
      </c>
      <c r="D2121" t="s">
        <v>44061</v>
      </c>
      <c r="E2121" t="s">
        <v>44062</v>
      </c>
      <c r="F2121" t="s">
        <v>44063</v>
      </c>
      <c r="G2121" t="s">
        <v>44064</v>
      </c>
      <c r="H2121" t="s">
        <v>44065</v>
      </c>
      <c r="I2121" t="s">
        <v>44066</v>
      </c>
      <c r="J2121" t="s">
        <v>44067</v>
      </c>
      <c r="K2121" t="s">
        <v>44068</v>
      </c>
      <c r="L2121" t="s">
        <v>44069</v>
      </c>
      <c r="M2121">
        <f>-342.406173474629 -34.5047282457324 -346.876268534357</f>
        <v>-723.78717025471838</v>
      </c>
      <c r="N2121" t="s">
        <v>44070</v>
      </c>
      <c r="O2121">
        <f>-777.822908809046 -69.6537624350522 -741.461746980266</f>
        <v>-1588.9384182243641</v>
      </c>
      <c r="P2121">
        <f>-732.173823124106 -99.404004499808 -429.664952435929</f>
        <v>-1261.242780059843</v>
      </c>
      <c r="Q2121">
        <f>-488.519841223868 -14.6215291068931 -396.699034551668</f>
        <v>-899.84040488242908</v>
      </c>
      <c r="R2121" t="s">
        <v>44071</v>
      </c>
      <c r="S2121" t="s">
        <v>44072</v>
      </c>
      <c r="T2121" t="s">
        <v>44073</v>
      </c>
      <c r="U2121" t="s">
        <v>44074</v>
      </c>
      <c r="V2121" t="s">
        <v>44075</v>
      </c>
      <c r="W2121" t="s">
        <v>44076</v>
      </c>
      <c r="X2121" t="s">
        <v>44077</v>
      </c>
      <c r="Y2121" t="s">
        <v>44078</v>
      </c>
    </row>
    <row r="2122" spans="1:25" x14ac:dyDescent="0.3">
      <c r="A2122">
        <v>106050</v>
      </c>
      <c r="B2122" t="s">
        <v>44079</v>
      </c>
      <c r="C2122" t="s">
        <v>44080</v>
      </c>
      <c r="D2122" t="s">
        <v>44081</v>
      </c>
      <c r="E2122" t="s">
        <v>44082</v>
      </c>
      <c r="F2122" t="s">
        <v>44083</v>
      </c>
      <c r="G2122" t="s">
        <v>44084</v>
      </c>
      <c r="H2122" t="s">
        <v>44085</v>
      </c>
      <c r="I2122" t="s">
        <v>44086</v>
      </c>
      <c r="J2122" t="s">
        <v>44087</v>
      </c>
      <c r="K2122" t="s">
        <v>44088</v>
      </c>
      <c r="L2122" t="s">
        <v>44089</v>
      </c>
      <c r="M2122">
        <f>-342.934564708306 -34.8117275001453 -347.159795581478</f>
        <v>-724.90608778992942</v>
      </c>
      <c r="N2122" t="s">
        <v>44090</v>
      </c>
      <c r="O2122">
        <f>-777.527015026593 -69.4011502484304 -741.575753628041</f>
        <v>-1588.5039189030645</v>
      </c>
      <c r="P2122">
        <f>-732.153791988812 -98.8331825037019 -429.70842215119</f>
        <v>-1260.695396643704</v>
      </c>
      <c r="Q2122">
        <f>-488.665702962284 -13.6995252138188 -396.424677322537</f>
        <v>-898.78990549863977</v>
      </c>
      <c r="R2122" t="s">
        <v>44091</v>
      </c>
      <c r="S2122" t="s">
        <v>44092</v>
      </c>
      <c r="T2122" t="s">
        <v>44093</v>
      </c>
      <c r="U2122" t="s">
        <v>44094</v>
      </c>
      <c r="V2122" t="s">
        <v>44095</v>
      </c>
      <c r="W2122" t="s">
        <v>44096</v>
      </c>
      <c r="X2122" t="s">
        <v>44097</v>
      </c>
      <c r="Y2122" t="s">
        <v>44098</v>
      </c>
    </row>
    <row r="2123" spans="1:25" x14ac:dyDescent="0.3">
      <c r="A2123">
        <v>106100</v>
      </c>
      <c r="B2123" t="s">
        <v>44099</v>
      </c>
      <c r="C2123" t="s">
        <v>44100</v>
      </c>
      <c r="D2123" t="s">
        <v>44101</v>
      </c>
      <c r="E2123" t="s">
        <v>44102</v>
      </c>
      <c r="F2123" t="s">
        <v>44103</v>
      </c>
      <c r="G2123" t="s">
        <v>44104</v>
      </c>
      <c r="H2123" t="s">
        <v>44105</v>
      </c>
      <c r="I2123" t="s">
        <v>44106</v>
      </c>
      <c r="J2123" t="s">
        <v>44107</v>
      </c>
      <c r="K2123" t="s">
        <v>44108</v>
      </c>
      <c r="L2123" t="s">
        <v>44109</v>
      </c>
      <c r="M2123">
        <f>-343.038498418024 -34.734575825531 -347.165500373327</f>
        <v>-724.93857461688208</v>
      </c>
      <c r="N2123" t="s">
        <v>44110</v>
      </c>
      <c r="O2123">
        <f>-777.386259694109 -69.28457309962 -741.599645786605</f>
        <v>-1588.2704785803339</v>
      </c>
      <c r="P2123">
        <f>-731.988082480503 -98.8968255491172 -429.752978567449</f>
        <v>-1260.6378865970692</v>
      </c>
      <c r="Q2123">
        <f>-488.657887310469 -13.3624518989711 -396.341176711346</f>
        <v>-898.36151592078613</v>
      </c>
      <c r="R2123" t="s">
        <v>44111</v>
      </c>
      <c r="S2123" t="s">
        <v>44112</v>
      </c>
      <c r="T2123" t="s">
        <v>44113</v>
      </c>
      <c r="U2123" t="s">
        <v>44114</v>
      </c>
      <c r="V2123" t="s">
        <v>44115</v>
      </c>
      <c r="W2123" t="s">
        <v>44116</v>
      </c>
      <c r="X2123" t="s">
        <v>44117</v>
      </c>
      <c r="Y2123" t="s">
        <v>44118</v>
      </c>
    </row>
    <row r="2124" spans="1:25" x14ac:dyDescent="0.3">
      <c r="A2124">
        <v>106150</v>
      </c>
      <c r="B2124" t="s">
        <v>44119</v>
      </c>
      <c r="C2124" t="s">
        <v>44120</v>
      </c>
      <c r="D2124" t="s">
        <v>44121</v>
      </c>
      <c r="E2124" t="s">
        <v>44122</v>
      </c>
      <c r="F2124" t="s">
        <v>44123</v>
      </c>
      <c r="G2124" t="s">
        <v>44124</v>
      </c>
      <c r="H2124" t="s">
        <v>44125</v>
      </c>
      <c r="I2124" t="s">
        <v>44126</v>
      </c>
      <c r="J2124" t="s">
        <v>44127</v>
      </c>
      <c r="K2124" t="s">
        <v>44128</v>
      </c>
      <c r="L2124" t="s">
        <v>44129</v>
      </c>
      <c r="M2124">
        <f>-343.029344566452 -35.2904649258317 -347.612139634533</f>
        <v>-725.93194912681668</v>
      </c>
      <c r="N2124" t="s">
        <v>44130</v>
      </c>
      <c r="O2124">
        <f>-776.856894246296 -69.2565913546423 -741.70618575222</f>
        <v>-1587.8196713531584</v>
      </c>
      <c r="P2124">
        <f>-731.845347985731 -98.532933312556 -429.771736723129</f>
        <v>-1260.1500180214159</v>
      </c>
      <c r="Q2124">
        <f>-488.68268769853 -12.8339511368015 -395.571252576653</f>
        <v>-897.08789141198451</v>
      </c>
      <c r="R2124" t="s">
        <v>44131</v>
      </c>
      <c r="S2124" t="s">
        <v>44132</v>
      </c>
      <c r="T2124" t="s">
        <v>44133</v>
      </c>
      <c r="U2124" t="s">
        <v>44134</v>
      </c>
      <c r="V2124" t="s">
        <v>44135</v>
      </c>
      <c r="W2124" t="s">
        <v>44136</v>
      </c>
      <c r="X2124" t="s">
        <v>44137</v>
      </c>
      <c r="Y2124" t="s">
        <v>44138</v>
      </c>
    </row>
    <row r="2125" spans="1:25" x14ac:dyDescent="0.3">
      <c r="A2125">
        <v>106200</v>
      </c>
      <c r="B2125" t="s">
        <v>44139</v>
      </c>
      <c r="C2125" t="s">
        <v>44140</v>
      </c>
      <c r="D2125" t="s">
        <v>44141</v>
      </c>
      <c r="E2125" t="s">
        <v>44142</v>
      </c>
      <c r="F2125" t="s">
        <v>44143</v>
      </c>
      <c r="G2125" t="s">
        <v>44144</v>
      </c>
      <c r="H2125" t="s">
        <v>44145</v>
      </c>
      <c r="I2125" t="s">
        <v>44146</v>
      </c>
      <c r="J2125" t="s">
        <v>44147</v>
      </c>
      <c r="K2125" t="s">
        <v>44148</v>
      </c>
      <c r="L2125" t="s">
        <v>44149</v>
      </c>
      <c r="M2125">
        <f>-342.967770019046 -35.0045888535128 -347.464511640527</f>
        <v>-725.43687051308575</v>
      </c>
      <c r="N2125" t="s">
        <v>44150</v>
      </c>
      <c r="O2125">
        <f>-776.518094660249 -69.0498863575463 -741.826557816134</f>
        <v>-1587.3945388339293</v>
      </c>
      <c r="P2125">
        <f>-731.674999463709 -98.2425015655929 -429.860164977459</f>
        <v>-1259.7776660067609</v>
      </c>
      <c r="Q2125">
        <f>-488.600926535627 -12.5157943333929 -395.103781548879</f>
        <v>-896.22050241789884</v>
      </c>
      <c r="R2125" t="s">
        <v>44151</v>
      </c>
      <c r="S2125" t="s">
        <v>44152</v>
      </c>
      <c r="T2125" t="s">
        <v>44153</v>
      </c>
      <c r="U2125" t="s">
        <v>44154</v>
      </c>
      <c r="V2125" t="s">
        <v>44155</v>
      </c>
      <c r="W2125" t="s">
        <v>44156</v>
      </c>
      <c r="X2125" t="s">
        <v>44157</v>
      </c>
      <c r="Y2125" t="s">
        <v>44158</v>
      </c>
    </row>
    <row r="2126" spans="1:25" x14ac:dyDescent="0.3">
      <c r="A2126">
        <v>106250</v>
      </c>
      <c r="B2126" t="s">
        <v>44159</v>
      </c>
      <c r="C2126" t="s">
        <v>44160</v>
      </c>
      <c r="D2126" t="s">
        <v>44161</v>
      </c>
      <c r="E2126" t="s">
        <v>44162</v>
      </c>
      <c r="F2126" t="s">
        <v>44163</v>
      </c>
      <c r="G2126" t="s">
        <v>44164</v>
      </c>
      <c r="H2126" t="s">
        <v>44165</v>
      </c>
      <c r="I2126" t="s">
        <v>44166</v>
      </c>
      <c r="J2126" t="s">
        <v>44167</v>
      </c>
      <c r="K2126" t="s">
        <v>44168</v>
      </c>
      <c r="L2126" t="s">
        <v>44169</v>
      </c>
      <c r="M2126">
        <f>-343.663033510195 -34.6368445248404 -346.922105341539</f>
        <v>-725.22198337657437</v>
      </c>
      <c r="N2126" t="s">
        <v>44170</v>
      </c>
      <c r="O2126">
        <f>-775.985987204201 -68.9172889383933 -741.863416247624</f>
        <v>-1586.7666923902184</v>
      </c>
      <c r="P2126">
        <f>-731.338305239979 -96.4963371761066 -429.722122307865</f>
        <v>-1257.5567647239507</v>
      </c>
      <c r="Q2126">
        <f>-487.971338635212 -12.965837708585 -391.811015821276</f>
        <v>-892.74819216507308</v>
      </c>
      <c r="R2126" t="s">
        <v>44171</v>
      </c>
      <c r="S2126" t="s">
        <v>44172</v>
      </c>
      <c r="T2126" t="s">
        <v>44173</v>
      </c>
      <c r="U2126" t="s">
        <v>44174</v>
      </c>
      <c r="V2126" t="s">
        <v>44175</v>
      </c>
      <c r="W2126" t="s">
        <v>44176</v>
      </c>
      <c r="X2126" t="s">
        <v>44177</v>
      </c>
      <c r="Y2126" t="s">
        <v>44178</v>
      </c>
    </row>
    <row r="2127" spans="1:25" x14ac:dyDescent="0.3">
      <c r="A2127">
        <v>106300</v>
      </c>
      <c r="B2127" t="s">
        <v>44179</v>
      </c>
      <c r="C2127" t="s">
        <v>44180</v>
      </c>
      <c r="D2127" t="s">
        <v>44181</v>
      </c>
      <c r="E2127" t="s">
        <v>44182</v>
      </c>
      <c r="F2127" t="s">
        <v>44183</v>
      </c>
      <c r="G2127" t="s">
        <v>44184</v>
      </c>
      <c r="H2127" t="s">
        <v>44185</v>
      </c>
      <c r="I2127" t="s">
        <v>44186</v>
      </c>
      <c r="J2127" t="s">
        <v>44187</v>
      </c>
      <c r="K2127" t="s">
        <v>44188</v>
      </c>
      <c r="L2127" t="s">
        <v>44189</v>
      </c>
      <c r="M2127">
        <f>-343.881468509405 -34.2392563233211 -346.421036673867</f>
        <v>-724.54176150659305</v>
      </c>
      <c r="N2127" t="s">
        <v>44190</v>
      </c>
      <c r="O2127">
        <f>-775.539643655173 -69.115994723438 -741.799264700532</f>
        <v>-1586.4549030791432</v>
      </c>
      <c r="P2127">
        <f>-730.61391159577 -96.1517696776332 -429.650403729931</f>
        <v>-1256.416085003334</v>
      </c>
      <c r="Q2127">
        <f>-486.829573143728 -14.2136190183928 -390.954308607297</f>
        <v>-891.9975007694178</v>
      </c>
      <c r="R2127" t="s">
        <v>44191</v>
      </c>
      <c r="S2127" t="s">
        <v>44192</v>
      </c>
      <c r="T2127" t="s">
        <v>44193</v>
      </c>
      <c r="U2127" t="s">
        <v>44194</v>
      </c>
      <c r="V2127" t="s">
        <v>44195</v>
      </c>
      <c r="W2127" t="s">
        <v>44196</v>
      </c>
      <c r="X2127" t="s">
        <v>44197</v>
      </c>
      <c r="Y2127" t="s">
        <v>44198</v>
      </c>
    </row>
    <row r="2128" spans="1:25" x14ac:dyDescent="0.3">
      <c r="A2128">
        <v>106350</v>
      </c>
      <c r="B2128" t="s">
        <v>44199</v>
      </c>
      <c r="C2128" t="s">
        <v>44200</v>
      </c>
      <c r="D2128" t="s">
        <v>44201</v>
      </c>
      <c r="E2128" t="s">
        <v>44202</v>
      </c>
      <c r="F2128" t="s">
        <v>44203</v>
      </c>
      <c r="G2128" t="s">
        <v>44204</v>
      </c>
      <c r="H2128" t="s">
        <v>44205</v>
      </c>
      <c r="I2128" t="s">
        <v>44206</v>
      </c>
      <c r="J2128" t="s">
        <v>44207</v>
      </c>
      <c r="K2128" t="s">
        <v>44208</v>
      </c>
      <c r="L2128" t="s">
        <v>44209</v>
      </c>
      <c r="M2128">
        <f>-344.877233763609 -34.1125716162478 -346.084248467065</f>
        <v>-725.07405384692174</v>
      </c>
      <c r="N2128" t="s">
        <v>44210</v>
      </c>
      <c r="O2128">
        <f>-775.575430757352 -69.3869181186135 -741.57489535907</f>
        <v>-1586.5372442350354</v>
      </c>
      <c r="P2128">
        <f>-727.051519553364 -96.7539047476582 -429.99391564934</f>
        <v>-1253.7993399503621</v>
      </c>
      <c r="Q2128">
        <f>-482.122249225385 -18.998323711359 -389.922151892757</f>
        <v>-891.04272482950091</v>
      </c>
      <c r="R2128" t="s">
        <v>44211</v>
      </c>
      <c r="S2128" t="s">
        <v>44212</v>
      </c>
      <c r="T2128" t="s">
        <v>44213</v>
      </c>
      <c r="U2128" t="s">
        <v>44214</v>
      </c>
      <c r="V2128" t="s">
        <v>44215</v>
      </c>
      <c r="W2128" t="s">
        <v>44216</v>
      </c>
      <c r="X2128" t="s">
        <v>44217</v>
      </c>
      <c r="Y2128" t="s">
        <v>44218</v>
      </c>
    </row>
    <row r="2129" spans="1:25" x14ac:dyDescent="0.3">
      <c r="A2129">
        <v>106400</v>
      </c>
      <c r="B2129" t="s">
        <v>44219</v>
      </c>
      <c r="C2129" t="s">
        <v>44220</v>
      </c>
      <c r="D2129" t="s">
        <v>44221</v>
      </c>
      <c r="E2129" t="s">
        <v>44222</v>
      </c>
      <c r="F2129" t="s">
        <v>44223</v>
      </c>
      <c r="G2129" t="s">
        <v>44224</v>
      </c>
      <c r="H2129" t="s">
        <v>44225</v>
      </c>
      <c r="I2129" t="s">
        <v>44226</v>
      </c>
      <c r="J2129" t="s">
        <v>44227</v>
      </c>
      <c r="K2129" t="s">
        <v>44228</v>
      </c>
      <c r="L2129" t="s">
        <v>44229</v>
      </c>
      <c r="M2129">
        <f>-345.204229329074 -34.1568245114345 -345.767022310314</f>
        <v>-725.12807615082249</v>
      </c>
      <c r="N2129" t="s">
        <v>44230</v>
      </c>
      <c r="O2129">
        <f>-775.914969749973 -69.6071522511249 -741.275904871523</f>
        <v>-1586.798026872621</v>
      </c>
      <c r="P2129">
        <f>-725.427990441329 -98.025591270954 -430.101218121269</f>
        <v>-1253.5547998335521</v>
      </c>
      <c r="Q2129">
        <f>-480.464893384821 -19.790568764588 -391.185223139137</f>
        <v>-891.44068528854598</v>
      </c>
      <c r="R2129" t="s">
        <v>44231</v>
      </c>
      <c r="S2129" t="s">
        <v>44232</v>
      </c>
      <c r="T2129" t="s">
        <v>44233</v>
      </c>
      <c r="U2129" t="s">
        <v>44234</v>
      </c>
      <c r="V2129" t="s">
        <v>44235</v>
      </c>
      <c r="W2129" t="s">
        <v>44236</v>
      </c>
      <c r="X2129" t="s">
        <v>44237</v>
      </c>
      <c r="Y2129" t="s">
        <v>44238</v>
      </c>
    </row>
    <row r="2130" spans="1:25" x14ac:dyDescent="0.3">
      <c r="A2130">
        <v>106450</v>
      </c>
      <c r="B2130" t="s">
        <v>44239</v>
      </c>
      <c r="C2130" t="s">
        <v>44240</v>
      </c>
      <c r="D2130" t="s">
        <v>44241</v>
      </c>
      <c r="E2130" t="s">
        <v>44242</v>
      </c>
      <c r="F2130" t="s">
        <v>44243</v>
      </c>
      <c r="G2130" t="s">
        <v>44244</v>
      </c>
      <c r="H2130" t="s">
        <v>44245</v>
      </c>
      <c r="I2130" t="s">
        <v>44246</v>
      </c>
      <c r="J2130" t="s">
        <v>44247</v>
      </c>
      <c r="K2130" t="s">
        <v>44248</v>
      </c>
      <c r="L2130" t="s">
        <v>44249</v>
      </c>
      <c r="M2130">
        <f>-346.030283080309 -34.0650379229019 -345.271223007559</f>
        <v>-725.36654401076999</v>
      </c>
      <c r="N2130" t="s">
        <v>44250</v>
      </c>
      <c r="O2130">
        <f>-776.923556181209 -69.4947506948356 -741.185614643488</f>
        <v>-1587.6039215195326</v>
      </c>
      <c r="P2130">
        <f>-720.491822633207 -99.8252916849588 -431.21515644877</f>
        <v>-1251.5322707669357</v>
      </c>
      <c r="Q2130">
        <f>-475.802572748564 -20.0210690174765 -393.7912639461</f>
        <v>-889.61490571214051</v>
      </c>
      <c r="R2130" t="s">
        <v>44251</v>
      </c>
      <c r="S2130" t="s">
        <v>44252</v>
      </c>
      <c r="T2130" t="s">
        <v>44253</v>
      </c>
      <c r="U2130" t="s">
        <v>44254</v>
      </c>
      <c r="V2130" t="s">
        <v>44255</v>
      </c>
      <c r="W2130" t="s">
        <v>44256</v>
      </c>
      <c r="X2130" t="s">
        <v>44257</v>
      </c>
      <c r="Y2130" t="s">
        <v>44258</v>
      </c>
    </row>
    <row r="2131" spans="1:25" x14ac:dyDescent="0.3">
      <c r="A2131">
        <v>106500</v>
      </c>
      <c r="B2131" t="s">
        <v>44259</v>
      </c>
      <c r="C2131" t="s">
        <v>44260</v>
      </c>
      <c r="D2131" t="s">
        <v>44261</v>
      </c>
      <c r="E2131" t="s">
        <v>44262</v>
      </c>
      <c r="F2131" t="s">
        <v>44263</v>
      </c>
      <c r="G2131" t="s">
        <v>44264</v>
      </c>
      <c r="H2131" t="s">
        <v>44265</v>
      </c>
      <c r="I2131" t="s">
        <v>44266</v>
      </c>
      <c r="J2131" t="s">
        <v>44267</v>
      </c>
      <c r="K2131" t="s">
        <v>44268</v>
      </c>
      <c r="L2131" t="s">
        <v>44269</v>
      </c>
      <c r="M2131">
        <f>-347.029714261495 -34.0879331015708 -345.144472157321</f>
        <v>-726.2621195203867</v>
      </c>
      <c r="N2131" t="s">
        <v>44270</v>
      </c>
      <c r="O2131">
        <f>-777.849312118969 -69.3606824551464 -741.170101446563</f>
        <v>-1588.3800960206784</v>
      </c>
      <c r="P2131">
        <f>-719.105763324315 -100.841861931874 -431.744235528664</f>
        <v>-1251.6918607848529</v>
      </c>
      <c r="Q2131">
        <f>-475.103407128606 -18.7871799694228 -394.704750026961</f>
        <v>-888.59533712498978</v>
      </c>
      <c r="R2131" t="s">
        <v>44271</v>
      </c>
      <c r="S2131" t="s">
        <v>44272</v>
      </c>
      <c r="T2131" t="s">
        <v>44273</v>
      </c>
      <c r="U2131" t="s">
        <v>44274</v>
      </c>
      <c r="V2131" t="s">
        <v>44275</v>
      </c>
      <c r="W2131" t="s">
        <v>44276</v>
      </c>
      <c r="X2131" t="s">
        <v>44277</v>
      </c>
      <c r="Y2131" t="s">
        <v>44278</v>
      </c>
    </row>
    <row r="2132" spans="1:25" x14ac:dyDescent="0.3">
      <c r="A2132">
        <v>106550</v>
      </c>
      <c r="B2132" t="s">
        <v>44279</v>
      </c>
      <c r="C2132" t="s">
        <v>44280</v>
      </c>
      <c r="D2132" t="s">
        <v>44281</v>
      </c>
      <c r="E2132" t="s">
        <v>44282</v>
      </c>
      <c r="F2132" t="s">
        <v>44283</v>
      </c>
      <c r="G2132" t="s">
        <v>44284</v>
      </c>
      <c r="H2132" t="s">
        <v>44285</v>
      </c>
      <c r="I2132" t="s">
        <v>44286</v>
      </c>
      <c r="J2132" t="s">
        <v>44287</v>
      </c>
      <c r="K2132" t="s">
        <v>44288</v>
      </c>
      <c r="L2132" t="s">
        <v>44289</v>
      </c>
      <c r="M2132">
        <f>-349.001424292448 -33.4115852451844 -344.872771684695</f>
        <v>-727.28578122232739</v>
      </c>
      <c r="N2132" t="s">
        <v>44290</v>
      </c>
      <c r="O2132">
        <f>-780.008426528437 -68.7060139525884 -741.120413032602</f>
        <v>-1589.8348535136274</v>
      </c>
      <c r="P2132">
        <f>-717.48540446061 -101.047467018142 -432.52501276643</f>
        <v>-1251.0578842451819</v>
      </c>
      <c r="Q2132">
        <f>-474.762597990948 -15.4034225961095 -395.205149535467</f>
        <v>-885.37117012252452</v>
      </c>
      <c r="R2132" t="s">
        <v>44291</v>
      </c>
      <c r="S2132" t="s">
        <v>44292</v>
      </c>
      <c r="T2132" t="s">
        <v>44293</v>
      </c>
      <c r="U2132" t="s">
        <v>44294</v>
      </c>
      <c r="V2132" t="s">
        <v>44295</v>
      </c>
      <c r="W2132" t="s">
        <v>44296</v>
      </c>
      <c r="X2132" t="s">
        <v>44297</v>
      </c>
      <c r="Y2132" t="s">
        <v>44298</v>
      </c>
    </row>
    <row r="2133" spans="1:25" x14ac:dyDescent="0.3">
      <c r="A2133">
        <v>106600</v>
      </c>
      <c r="B2133" t="s">
        <v>44299</v>
      </c>
      <c r="C2133" t="s">
        <v>44300</v>
      </c>
      <c r="D2133" t="s">
        <v>44301</v>
      </c>
      <c r="E2133" t="s">
        <v>44302</v>
      </c>
      <c r="F2133" t="s">
        <v>44303</v>
      </c>
      <c r="G2133" t="s">
        <v>44304</v>
      </c>
      <c r="H2133" t="s">
        <v>44305</v>
      </c>
      <c r="I2133" t="s">
        <v>44306</v>
      </c>
      <c r="J2133" t="s">
        <v>44307</v>
      </c>
      <c r="K2133" t="s">
        <v>44308</v>
      </c>
      <c r="L2133" t="s">
        <v>44309</v>
      </c>
      <c r="M2133">
        <f>-349.462171279443 -32.8192458320186 -344.533790174972</f>
        <v>-726.81520728643363</v>
      </c>
      <c r="N2133" t="s">
        <v>44310</v>
      </c>
      <c r="O2133">
        <f>-780.518231142423 -68.713208136704 -741.054772917881</f>
        <v>-1590.2862121970079</v>
      </c>
      <c r="P2133">
        <f>-717.299653193101 -102.506192409975 -432.756871626663</f>
        <v>-1252.5627172297391</v>
      </c>
      <c r="Q2133">
        <f>-475.339288422204 -14.8751024698943 -395.099662350436</f>
        <v>-885.31405324253433</v>
      </c>
      <c r="R2133" t="s">
        <v>44311</v>
      </c>
      <c r="S2133" t="s">
        <v>44312</v>
      </c>
      <c r="T2133" t="s">
        <v>44313</v>
      </c>
      <c r="U2133" t="s">
        <v>44314</v>
      </c>
      <c r="V2133" t="s">
        <v>44315</v>
      </c>
      <c r="W2133" t="s">
        <v>44316</v>
      </c>
      <c r="X2133" t="s">
        <v>44317</v>
      </c>
      <c r="Y2133" t="s">
        <v>44318</v>
      </c>
    </row>
    <row r="2134" spans="1:25" x14ac:dyDescent="0.3">
      <c r="A2134">
        <v>106650</v>
      </c>
      <c r="B2134" t="s">
        <v>44319</v>
      </c>
      <c r="C2134" t="s">
        <v>44320</v>
      </c>
      <c r="D2134" t="s">
        <v>44321</v>
      </c>
      <c r="E2134" t="s">
        <v>44322</v>
      </c>
      <c r="F2134" t="s">
        <v>44323</v>
      </c>
      <c r="G2134" t="s">
        <v>44324</v>
      </c>
      <c r="H2134" t="s">
        <v>44325</v>
      </c>
      <c r="I2134" t="s">
        <v>44326</v>
      </c>
      <c r="J2134" t="s">
        <v>44327</v>
      </c>
      <c r="K2134" t="s">
        <v>44328</v>
      </c>
      <c r="L2134" t="s">
        <v>44329</v>
      </c>
      <c r="M2134">
        <f>-350.384965853883 -31.2274074800339 -343.518849061365</f>
        <v>-725.13122239528184</v>
      </c>
      <c r="N2134" t="s">
        <v>44330</v>
      </c>
      <c r="O2134">
        <f>-781.043835075405 -69.035162388142 -740.510621467392</f>
        <v>-1590.589618930939</v>
      </c>
      <c r="P2134">
        <f>-717.374821979746 -101.843797596398 -432.198974281314</f>
        <v>-1251.4175938574581</v>
      </c>
      <c r="Q2134">
        <f>-476.123203441936 -12.5276999845564 -393.958591462689</f>
        <v>-882.60949488918141</v>
      </c>
      <c r="R2134" t="s">
        <v>44331</v>
      </c>
      <c r="S2134" t="s">
        <v>44332</v>
      </c>
      <c r="T2134" t="s">
        <v>44333</v>
      </c>
      <c r="U2134" t="s">
        <v>44334</v>
      </c>
      <c r="V2134" t="s">
        <v>44335</v>
      </c>
      <c r="W2134" t="s">
        <v>44336</v>
      </c>
      <c r="X2134" t="s">
        <v>44337</v>
      </c>
      <c r="Y2134" t="s">
        <v>44338</v>
      </c>
    </row>
    <row r="2135" spans="1:25" x14ac:dyDescent="0.3">
      <c r="A2135">
        <v>106700</v>
      </c>
      <c r="B2135" t="s">
        <v>44339</v>
      </c>
      <c r="C2135" t="s">
        <v>44340</v>
      </c>
      <c r="D2135" t="s">
        <v>44341</v>
      </c>
      <c r="E2135" t="s">
        <v>44342</v>
      </c>
      <c r="F2135" t="s">
        <v>44343</v>
      </c>
      <c r="G2135" t="s">
        <v>44344</v>
      </c>
      <c r="H2135" t="s">
        <v>44345</v>
      </c>
      <c r="I2135" t="s">
        <v>44346</v>
      </c>
      <c r="J2135" t="s">
        <v>44347</v>
      </c>
      <c r="K2135" t="s">
        <v>44348</v>
      </c>
      <c r="L2135" t="s">
        <v>44349</v>
      </c>
      <c r="M2135">
        <f>-350.294097467031 -30.4619688117104 -342.908544958233</f>
        <v>-723.66461123697445</v>
      </c>
      <c r="N2135" t="s">
        <v>44350</v>
      </c>
      <c r="O2135">
        <f>-780.651165319795 -69.5893790938701 -740.20474886633</f>
        <v>-1590.445293279995</v>
      </c>
      <c r="P2135">
        <f>-717.981271661349 -103.07446890522 -431.761158837719</f>
        <v>-1252.8168994042881</v>
      </c>
      <c r="Q2135">
        <f>-476.927239670474 -13.2098972968622 -393.559883685099</f>
        <v>-883.69702065243519</v>
      </c>
      <c r="R2135" t="s">
        <v>44351</v>
      </c>
      <c r="S2135" t="s">
        <v>44352</v>
      </c>
      <c r="T2135" t="s">
        <v>44353</v>
      </c>
      <c r="U2135" t="s">
        <v>44354</v>
      </c>
      <c r="V2135" t="s">
        <v>44355</v>
      </c>
      <c r="W2135" t="s">
        <v>44356</v>
      </c>
      <c r="X2135" t="s">
        <v>44357</v>
      </c>
      <c r="Y2135" t="s">
        <v>44358</v>
      </c>
    </row>
    <row r="2136" spans="1:25" x14ac:dyDescent="0.3">
      <c r="A2136">
        <v>106750</v>
      </c>
      <c r="B2136" t="s">
        <v>44359</v>
      </c>
      <c r="C2136" t="s">
        <v>44360</v>
      </c>
      <c r="D2136" t="s">
        <v>44361</v>
      </c>
      <c r="E2136" t="s">
        <v>44362</v>
      </c>
      <c r="F2136" t="s">
        <v>44363</v>
      </c>
      <c r="G2136" t="s">
        <v>44364</v>
      </c>
      <c r="H2136" t="s">
        <v>44365</v>
      </c>
      <c r="I2136" t="s">
        <v>44366</v>
      </c>
      <c r="J2136" t="s">
        <v>44367</v>
      </c>
      <c r="K2136" t="s">
        <v>44368</v>
      </c>
      <c r="L2136" t="s">
        <v>44369</v>
      </c>
      <c r="M2136">
        <f>-350.545435706341 -29.4636978299056 -342.181515490129</f>
        <v>-722.19064902637558</v>
      </c>
      <c r="N2136" t="s">
        <v>44370</v>
      </c>
      <c r="O2136">
        <f>-780.657565076074 -69.6872689034972 -740.007012225946</f>
        <v>-1590.3518462055172</v>
      </c>
      <c r="P2136">
        <f>-717.649801779509 -102.908523849249 -431.603783780836</f>
        <v>-1252.162109409594</v>
      </c>
      <c r="Q2136">
        <f>-476.515227288151 -13.2769698015506 -393.36334670589</f>
        <v>-883.1555437955916</v>
      </c>
      <c r="R2136" t="s">
        <v>44371</v>
      </c>
      <c r="S2136" t="s">
        <v>44372</v>
      </c>
      <c r="T2136" t="s">
        <v>44373</v>
      </c>
      <c r="U2136" t="s">
        <v>44374</v>
      </c>
      <c r="V2136" t="s">
        <v>44375</v>
      </c>
      <c r="W2136" t="s">
        <v>44376</v>
      </c>
      <c r="X2136" t="s">
        <v>44377</v>
      </c>
      <c r="Y2136" t="s">
        <v>44378</v>
      </c>
    </row>
    <row r="2137" spans="1:25" x14ac:dyDescent="0.3">
      <c r="A2137">
        <v>106800</v>
      </c>
      <c r="B2137" t="s">
        <v>44379</v>
      </c>
      <c r="C2137" t="s">
        <v>44380</v>
      </c>
      <c r="D2137" t="s">
        <v>44381</v>
      </c>
      <c r="E2137" t="s">
        <v>44382</v>
      </c>
      <c r="F2137" t="s">
        <v>44383</v>
      </c>
      <c r="G2137" t="s">
        <v>44384</v>
      </c>
      <c r="H2137" t="s">
        <v>44385</v>
      </c>
      <c r="I2137" t="s">
        <v>44386</v>
      </c>
      <c r="J2137" t="s">
        <v>44387</v>
      </c>
      <c r="K2137" t="s">
        <v>44388</v>
      </c>
      <c r="L2137" t="s">
        <v>44389</v>
      </c>
      <c r="M2137">
        <f>-351.519835426228 -28.4471090562408 -341.457280581325</f>
        <v>-721.42422506379376</v>
      </c>
      <c r="N2137" t="s">
        <v>44390</v>
      </c>
      <c r="O2137">
        <f>-780.743388291335 -70.6381779544929 -739.106959913581</f>
        <v>-1590.488526159409</v>
      </c>
      <c r="P2137">
        <f>-716.970400806542 -101.992383322771 -430.665475148621</f>
        <v>-1249.6282592779339</v>
      </c>
      <c r="Q2137">
        <f>-475.067779891781 -13.7724861363893 -394.026539724351</f>
        <v>-882.86680575252126</v>
      </c>
      <c r="R2137" t="s">
        <v>44391</v>
      </c>
      <c r="S2137" t="s">
        <v>44392</v>
      </c>
      <c r="T2137" t="s">
        <v>44393</v>
      </c>
      <c r="U2137" t="s">
        <v>44394</v>
      </c>
      <c r="V2137" t="s">
        <v>44395</v>
      </c>
      <c r="W2137" t="s">
        <v>44396</v>
      </c>
      <c r="X2137" t="s">
        <v>44397</v>
      </c>
      <c r="Y2137" t="s">
        <v>44398</v>
      </c>
    </row>
    <row r="2138" spans="1:25" x14ac:dyDescent="0.3">
      <c r="A2138">
        <v>106850</v>
      </c>
      <c r="B2138" t="s">
        <v>44399</v>
      </c>
      <c r="C2138" t="s">
        <v>44400</v>
      </c>
      <c r="D2138" t="s">
        <v>44401</v>
      </c>
      <c r="E2138" t="s">
        <v>44402</v>
      </c>
      <c r="F2138" t="s">
        <v>44403</v>
      </c>
      <c r="G2138" t="s">
        <v>44404</v>
      </c>
      <c r="H2138" t="s">
        <v>44405</v>
      </c>
      <c r="I2138" t="s">
        <v>44406</v>
      </c>
      <c r="J2138" t="s">
        <v>44407</v>
      </c>
      <c r="K2138" t="s">
        <v>44408</v>
      </c>
      <c r="L2138" t="s">
        <v>44409</v>
      </c>
      <c r="M2138">
        <f>-352.125892452373 -26.895608208597 -340.73918151529</f>
        <v>-719.76068217626005</v>
      </c>
      <c r="N2138" t="s">
        <v>44410</v>
      </c>
      <c r="O2138">
        <f>-780.517927741441 -71.4331759426266 -737.903919747292</f>
        <v>-1589.8550234313595</v>
      </c>
      <c r="P2138">
        <f>-715.354129898399 -101.980052946186 -429.672227792058</f>
        <v>-1247.0064106366431</v>
      </c>
      <c r="Q2138">
        <f>-472.690824011439 -15.178520042962 -394.714279526095</f>
        <v>-882.58362358049612</v>
      </c>
      <c r="R2138" t="s">
        <v>44411</v>
      </c>
      <c r="S2138" t="s">
        <v>44412</v>
      </c>
      <c r="T2138" t="s">
        <v>44413</v>
      </c>
      <c r="U2138" t="s">
        <v>44414</v>
      </c>
      <c r="V2138" t="s">
        <v>44415</v>
      </c>
      <c r="W2138" t="s">
        <v>44416</v>
      </c>
      <c r="X2138" t="s">
        <v>44417</v>
      </c>
      <c r="Y2138" t="s">
        <v>44418</v>
      </c>
    </row>
    <row r="2139" spans="1:25" x14ac:dyDescent="0.3">
      <c r="A2139">
        <v>106900</v>
      </c>
      <c r="B2139" t="s">
        <v>44419</v>
      </c>
      <c r="C2139" t="s">
        <v>44420</v>
      </c>
      <c r="D2139" t="s">
        <v>44421</v>
      </c>
      <c r="E2139" t="s">
        <v>44422</v>
      </c>
      <c r="F2139" t="s">
        <v>44423</v>
      </c>
      <c r="G2139" t="s">
        <v>44424</v>
      </c>
      <c r="H2139" t="s">
        <v>44425</v>
      </c>
      <c r="I2139" t="s">
        <v>44426</v>
      </c>
      <c r="J2139" t="s">
        <v>44427</v>
      </c>
      <c r="K2139" t="s">
        <v>44428</v>
      </c>
      <c r="L2139" t="s">
        <v>44429</v>
      </c>
      <c r="M2139">
        <f>-352.51129460427 -26.4657231938588 -340.376141175033</f>
        <v>-719.35315897316184</v>
      </c>
      <c r="N2139" t="s">
        <v>44430</v>
      </c>
      <c r="O2139">
        <f>-780.135418169587 -72.1554249555313 -737.303165470108</f>
        <v>-1589.5940085952261</v>
      </c>
      <c r="P2139">
        <f>-714.679191062812 -102.015932449341 -429.066191686169</f>
        <v>-1245.7613151983221</v>
      </c>
      <c r="Q2139">
        <f>-471.877897741466 -15.3341038467111 -394.775297026386</f>
        <v>-881.98729861456309</v>
      </c>
      <c r="R2139" t="s">
        <v>44431</v>
      </c>
      <c r="S2139" t="s">
        <v>44432</v>
      </c>
      <c r="T2139" t="s">
        <v>44433</v>
      </c>
      <c r="U2139" t="s">
        <v>44434</v>
      </c>
      <c r="V2139" t="s">
        <v>44435</v>
      </c>
      <c r="W2139" t="s">
        <v>44436</v>
      </c>
      <c r="X2139" t="s">
        <v>44437</v>
      </c>
      <c r="Y2139" t="s">
        <v>44438</v>
      </c>
    </row>
    <row r="2140" spans="1:25" x14ac:dyDescent="0.3">
      <c r="A2140">
        <v>106950</v>
      </c>
      <c r="B2140" t="s">
        <v>44439</v>
      </c>
      <c r="C2140" t="s">
        <v>44440</v>
      </c>
      <c r="D2140" t="s">
        <v>44441</v>
      </c>
      <c r="E2140" t="s">
        <v>44442</v>
      </c>
      <c r="F2140" t="s">
        <v>44443</v>
      </c>
      <c r="G2140" t="s">
        <v>44444</v>
      </c>
      <c r="H2140" t="s">
        <v>44445</v>
      </c>
      <c r="I2140" t="s">
        <v>44446</v>
      </c>
      <c r="J2140" t="s">
        <v>44447</v>
      </c>
      <c r="K2140" t="s">
        <v>44448</v>
      </c>
      <c r="L2140" t="s">
        <v>44449</v>
      </c>
      <c r="M2140">
        <f>-353.118566410492 -25.0766600046293 -339.380714947423</f>
        <v>-717.5759413625442</v>
      </c>
      <c r="N2140" t="s">
        <v>44450</v>
      </c>
      <c r="O2140">
        <f>-779.143765562466 -73.2971392959678 -736.038649545554</f>
        <v>-1588.4795544039878</v>
      </c>
      <c r="P2140">
        <f>-712.639041103788 -101.37334871479 -427.858412727818</f>
        <v>-1241.8708025463961</v>
      </c>
      <c r="Q2140">
        <f>-469.43744339819 -14.9861910029567 -395.728854685632</f>
        <v>-880.15248908677859</v>
      </c>
      <c r="R2140" t="s">
        <v>44451</v>
      </c>
      <c r="S2140" t="s">
        <v>44452</v>
      </c>
      <c r="T2140" t="s">
        <v>44453</v>
      </c>
      <c r="U2140" t="s">
        <v>44454</v>
      </c>
      <c r="V2140" t="s">
        <v>44455</v>
      </c>
      <c r="W2140" t="s">
        <v>44456</v>
      </c>
      <c r="X2140" t="s">
        <v>44457</v>
      </c>
      <c r="Y2140" t="s">
        <v>44458</v>
      </c>
    </row>
    <row r="2141" spans="1:25" x14ac:dyDescent="0.3">
      <c r="A2141">
        <v>107000</v>
      </c>
      <c r="B2141" t="s">
        <v>44459</v>
      </c>
      <c r="C2141" t="s">
        <v>44460</v>
      </c>
      <c r="D2141" t="s">
        <v>44461</v>
      </c>
      <c r="E2141" t="s">
        <v>44462</v>
      </c>
      <c r="F2141" t="s">
        <v>44463</v>
      </c>
      <c r="G2141" t="s">
        <v>44464</v>
      </c>
      <c r="H2141" t="s">
        <v>44465</v>
      </c>
      <c r="I2141" t="s">
        <v>44466</v>
      </c>
      <c r="J2141" t="s">
        <v>44467</v>
      </c>
      <c r="K2141" t="s">
        <v>44468</v>
      </c>
      <c r="L2141" t="s">
        <v>44469</v>
      </c>
      <c r="M2141">
        <f>-353.613448821012 -24.367986545381 -338.971904654127</f>
        <v>-716.95334002052005</v>
      </c>
      <c r="N2141" t="s">
        <v>44470</v>
      </c>
      <c r="O2141">
        <f>-778.665278553175 -74.1545871477538 -735.159986319417</f>
        <v>-1587.9798520203458</v>
      </c>
      <c r="P2141">
        <f>-711.437574510298 -100.730127131819 -427.00352633034</f>
        <v>-1239.171227972457</v>
      </c>
      <c r="Q2141">
        <f>-467.800883391374 -14.848927192817 -396.876314651045</f>
        <v>-879.5261252352359</v>
      </c>
      <c r="R2141" t="s">
        <v>44471</v>
      </c>
      <c r="S2141" t="s">
        <v>44472</v>
      </c>
      <c r="T2141" t="s">
        <v>44473</v>
      </c>
      <c r="U2141" t="s">
        <v>44474</v>
      </c>
      <c r="V2141" t="s">
        <v>44475</v>
      </c>
      <c r="W2141" t="s">
        <v>44476</v>
      </c>
      <c r="X2141" t="s">
        <v>44477</v>
      </c>
      <c r="Y2141" t="s">
        <v>44478</v>
      </c>
    </row>
    <row r="2142" spans="1:25" x14ac:dyDescent="0.3">
      <c r="A2142">
        <v>107050</v>
      </c>
      <c r="B2142" t="s">
        <v>44479</v>
      </c>
      <c r="C2142" t="s">
        <v>44480</v>
      </c>
      <c r="D2142" t="s">
        <v>44481</v>
      </c>
      <c r="E2142" t="s">
        <v>44482</v>
      </c>
      <c r="F2142" t="s">
        <v>44483</v>
      </c>
      <c r="G2142" t="s">
        <v>44484</v>
      </c>
      <c r="H2142" t="s">
        <v>44485</v>
      </c>
      <c r="I2142" t="s">
        <v>44486</v>
      </c>
      <c r="J2142" t="s">
        <v>44487</v>
      </c>
      <c r="K2142" t="s">
        <v>44488</v>
      </c>
      <c r="L2142" t="s">
        <v>44489</v>
      </c>
      <c r="M2142">
        <f>-354.535525648496 -23.4157634037085 -338.184270345989</f>
        <v>-716.13555939819344</v>
      </c>
      <c r="N2142" t="s">
        <v>44490</v>
      </c>
      <c r="O2142">
        <f>-777.754528730306 -76.2068519767179 -733.178625182919</f>
        <v>-1587.1400058899428</v>
      </c>
      <c r="P2142">
        <f>-709.888733986791 -99.6985222449823 -424.91154903287</f>
        <v>-1234.4988052646434</v>
      </c>
      <c r="Q2142">
        <f>-465.818645344455 -13.9952451891775 -397.952543356479</f>
        <v>-877.76643389011156</v>
      </c>
      <c r="R2142" t="s">
        <v>44491</v>
      </c>
      <c r="S2142" t="s">
        <v>44492</v>
      </c>
      <c r="T2142" t="s">
        <v>44493</v>
      </c>
      <c r="U2142" t="s">
        <v>44494</v>
      </c>
      <c r="V2142" t="s">
        <v>44495</v>
      </c>
      <c r="W2142" t="s">
        <v>44496</v>
      </c>
      <c r="X2142" t="s">
        <v>44497</v>
      </c>
      <c r="Y2142" t="s">
        <v>44498</v>
      </c>
    </row>
    <row r="2143" spans="1:25" x14ac:dyDescent="0.3">
      <c r="A2143">
        <v>107100</v>
      </c>
      <c r="B2143" t="s">
        <v>44499</v>
      </c>
      <c r="C2143" t="s">
        <v>44500</v>
      </c>
      <c r="D2143" t="s">
        <v>44501</v>
      </c>
      <c r="E2143" t="s">
        <v>44502</v>
      </c>
      <c r="F2143" t="s">
        <v>44503</v>
      </c>
      <c r="G2143" t="s">
        <v>44504</v>
      </c>
      <c r="H2143" t="s">
        <v>44505</v>
      </c>
      <c r="I2143" t="s">
        <v>44506</v>
      </c>
      <c r="J2143" t="s">
        <v>44507</v>
      </c>
      <c r="K2143" t="s">
        <v>44508</v>
      </c>
      <c r="L2143" t="s">
        <v>44509</v>
      </c>
      <c r="M2143">
        <f>-354.104199337176 -22.4433212581255 -337.921293951935</f>
        <v>-714.46881454723643</v>
      </c>
      <c r="N2143" t="s">
        <v>44510</v>
      </c>
      <c r="O2143">
        <f>-776.777386641562 -77.0271474849651 -732.426056954091</f>
        <v>-1586.2305910806181</v>
      </c>
      <c r="P2143">
        <f>-708.335837365759 -98.6470277059982 -424.149407843888</f>
        <v>-1231.1322729156452</v>
      </c>
      <c r="Q2143">
        <f>-464.089069642526 -13.1682687885304 -398.092791742402</f>
        <v>-875.35013017345841</v>
      </c>
      <c r="R2143" t="s">
        <v>44511</v>
      </c>
      <c r="S2143" t="s">
        <v>44512</v>
      </c>
      <c r="T2143" t="s">
        <v>44513</v>
      </c>
      <c r="U2143" t="s">
        <v>44514</v>
      </c>
      <c r="V2143" t="s">
        <v>44515</v>
      </c>
      <c r="W2143" t="s">
        <v>44516</v>
      </c>
      <c r="X2143" t="s">
        <v>44517</v>
      </c>
      <c r="Y2143" t="s">
        <v>44518</v>
      </c>
    </row>
    <row r="2144" spans="1:25" x14ac:dyDescent="0.3">
      <c r="A2144">
        <v>107150</v>
      </c>
      <c r="B2144" t="s">
        <v>44519</v>
      </c>
      <c r="C2144" t="s">
        <v>44520</v>
      </c>
      <c r="D2144" t="s">
        <v>44521</v>
      </c>
      <c r="E2144" t="s">
        <v>44522</v>
      </c>
      <c r="F2144" t="s">
        <v>44523</v>
      </c>
      <c r="G2144" t="s">
        <v>44524</v>
      </c>
      <c r="H2144" t="s">
        <v>44525</v>
      </c>
      <c r="I2144" t="s">
        <v>44526</v>
      </c>
      <c r="J2144" t="s">
        <v>44527</v>
      </c>
      <c r="K2144" t="s">
        <v>44528</v>
      </c>
      <c r="L2144" t="s">
        <v>44529</v>
      </c>
      <c r="M2144">
        <f>-353.094964145329 -20.6854198562235 -337.327232645959</f>
        <v>-711.10761664751158</v>
      </c>
      <c r="N2144" t="s">
        <v>44530</v>
      </c>
      <c r="O2144">
        <f>-774.480677811375 -78.6545965674829 -730.695930675487</f>
        <v>-1583.831205054345</v>
      </c>
      <c r="P2144">
        <f>-706.466165974659 -95.8527891017632 -422.046548392083</f>
        <v>-1224.3655034685053</v>
      </c>
      <c r="Q2144">
        <f>-462.050436465439 -10.6171407460399 -396.789210510826</f>
        <v>-869.45678772230497</v>
      </c>
      <c r="R2144" t="s">
        <v>44531</v>
      </c>
      <c r="S2144" t="s">
        <v>44532</v>
      </c>
      <c r="T2144" t="s">
        <v>44533</v>
      </c>
      <c r="U2144" t="s">
        <v>44534</v>
      </c>
      <c r="V2144" t="s">
        <v>44535</v>
      </c>
      <c r="W2144" t="s">
        <v>44536</v>
      </c>
      <c r="X2144" t="s">
        <v>44537</v>
      </c>
      <c r="Y2144" t="s">
        <v>44538</v>
      </c>
    </row>
    <row r="2145" spans="1:25" x14ac:dyDescent="0.3">
      <c r="A2145">
        <v>107200</v>
      </c>
      <c r="B2145" t="s">
        <v>44539</v>
      </c>
      <c r="C2145" t="s">
        <v>44540</v>
      </c>
      <c r="D2145" t="s">
        <v>44541</v>
      </c>
      <c r="E2145" t="s">
        <v>44542</v>
      </c>
      <c r="F2145" t="s">
        <v>44543</v>
      </c>
      <c r="G2145" t="s">
        <v>44544</v>
      </c>
      <c r="H2145" t="s">
        <v>44545</v>
      </c>
      <c r="I2145" t="s">
        <v>44546</v>
      </c>
      <c r="J2145" t="s">
        <v>44547</v>
      </c>
      <c r="K2145" t="s">
        <v>44548</v>
      </c>
      <c r="L2145" t="s">
        <v>44549</v>
      </c>
      <c r="M2145">
        <f>-351.79398358561 -19.3993589345444 -337.126125579096</f>
        <v>-708.31946809925046</v>
      </c>
      <c r="N2145" t="s">
        <v>44550</v>
      </c>
      <c r="O2145">
        <f>-772.921700410279 -79.0271982261415 -730.09289377102</f>
        <v>-1582.0417924074404</v>
      </c>
      <c r="P2145">
        <f>-705.29366246841 -95.4145353361823 -421.31454735862</f>
        <v>-1222.0227451632124</v>
      </c>
      <c r="Q2145">
        <f>-461.019188057188 -10.0366923829149 -395.187892186002</f>
        <v>-866.24377262610483</v>
      </c>
      <c r="R2145" t="s">
        <v>44551</v>
      </c>
      <c r="S2145" t="s">
        <v>44552</v>
      </c>
      <c r="T2145" t="s">
        <v>44553</v>
      </c>
      <c r="U2145" t="s">
        <v>44554</v>
      </c>
      <c r="V2145" t="s">
        <v>44555</v>
      </c>
      <c r="W2145" t="s">
        <v>44556</v>
      </c>
      <c r="X2145" t="s">
        <v>44557</v>
      </c>
      <c r="Y2145" t="s">
        <v>44558</v>
      </c>
    </row>
    <row r="2146" spans="1:25" x14ac:dyDescent="0.3">
      <c r="A2146">
        <v>107250</v>
      </c>
      <c r="B2146" t="s">
        <v>44559</v>
      </c>
      <c r="C2146" t="s">
        <v>44560</v>
      </c>
      <c r="D2146" t="s">
        <v>44561</v>
      </c>
      <c r="E2146" t="s">
        <v>44562</v>
      </c>
      <c r="F2146" t="s">
        <v>44563</v>
      </c>
      <c r="G2146" t="s">
        <v>44564</v>
      </c>
      <c r="H2146" t="s">
        <v>44565</v>
      </c>
      <c r="I2146" t="s">
        <v>44566</v>
      </c>
      <c r="J2146" t="s">
        <v>44567</v>
      </c>
      <c r="K2146" t="s">
        <v>44568</v>
      </c>
      <c r="L2146" t="s">
        <v>44569</v>
      </c>
      <c r="M2146">
        <f>-349.303950829356 -17.8072457641683 -336.889366810637</f>
        <v>-704.00056340416131</v>
      </c>
      <c r="N2146" t="s">
        <v>44570</v>
      </c>
      <c r="O2146">
        <f>-769.170714358531 -79.8309835987795 -728.876353330256</f>
        <v>-1577.8780512875664</v>
      </c>
      <c r="P2146">
        <f>-702.94400043149 -92.8968783431565 -419.636146493514</f>
        <v>-1215.4770252681606</v>
      </c>
      <c r="Q2146">
        <f>-458.697011271372 -8.27743830969166 -390.912849444184</f>
        <v>-857.88729902524767</v>
      </c>
      <c r="R2146" t="s">
        <v>44571</v>
      </c>
      <c r="S2146" t="s">
        <v>44572</v>
      </c>
      <c r="T2146" t="s">
        <v>44573</v>
      </c>
      <c r="U2146" t="s">
        <v>44574</v>
      </c>
      <c r="V2146" t="s">
        <v>44575</v>
      </c>
      <c r="W2146" t="s">
        <v>44576</v>
      </c>
      <c r="X2146" t="s">
        <v>44577</v>
      </c>
      <c r="Y2146" t="s">
        <v>44578</v>
      </c>
    </row>
    <row r="2147" spans="1:25" x14ac:dyDescent="0.3">
      <c r="A2147">
        <v>107300</v>
      </c>
      <c r="B2147" t="s">
        <v>44579</v>
      </c>
      <c r="C2147" t="s">
        <v>44580</v>
      </c>
      <c r="D2147" t="s">
        <v>44581</v>
      </c>
      <c r="E2147" t="s">
        <v>44582</v>
      </c>
      <c r="F2147" t="s">
        <v>44583</v>
      </c>
      <c r="G2147" t="s">
        <v>44584</v>
      </c>
      <c r="H2147" t="s">
        <v>44585</v>
      </c>
      <c r="I2147" t="s">
        <v>44586</v>
      </c>
      <c r="J2147" t="s">
        <v>44587</v>
      </c>
      <c r="K2147" t="s">
        <v>44588</v>
      </c>
      <c r="L2147" t="s">
        <v>44589</v>
      </c>
      <c r="M2147">
        <f>-347.445644708286 -17.1423625473378 -336.680473827379</f>
        <v>-701.26848108300283</v>
      </c>
      <c r="N2147" t="s">
        <v>44590</v>
      </c>
      <c r="O2147">
        <f>-766.527484466133 -80.4205921012658 -728.235528931942</f>
        <v>-1575.183605499341</v>
      </c>
      <c r="P2147">
        <f>-701.16629245165 -91.2602471291752 -418.725335987561</f>
        <v>-1211.1518755683862</v>
      </c>
      <c r="Q2147">
        <f>-456.874199624625 -7.19287260808528 -388.789463586166</f>
        <v>-852.8565358188763</v>
      </c>
      <c r="R2147" t="s">
        <v>44591</v>
      </c>
      <c r="S2147" t="s">
        <v>44592</v>
      </c>
      <c r="T2147" t="s">
        <v>44593</v>
      </c>
      <c r="U2147" t="s">
        <v>44594</v>
      </c>
      <c r="V2147" t="s">
        <v>44595</v>
      </c>
      <c r="W2147" t="s">
        <v>44596</v>
      </c>
      <c r="X2147" t="s">
        <v>44597</v>
      </c>
      <c r="Y2147" t="s">
        <v>44598</v>
      </c>
    </row>
    <row r="2148" spans="1:25" x14ac:dyDescent="0.3">
      <c r="A2148">
        <v>107350</v>
      </c>
      <c r="B2148" t="s">
        <v>44599</v>
      </c>
      <c r="C2148" t="s">
        <v>44600</v>
      </c>
      <c r="D2148" t="s">
        <v>44601</v>
      </c>
      <c r="E2148" t="s">
        <v>44602</v>
      </c>
      <c r="F2148" t="s">
        <v>44603</v>
      </c>
      <c r="G2148" t="s">
        <v>44604</v>
      </c>
      <c r="H2148" t="s">
        <v>44605</v>
      </c>
      <c r="I2148" t="s">
        <v>44606</v>
      </c>
      <c r="J2148" t="s">
        <v>44607</v>
      </c>
      <c r="K2148" t="s">
        <v>44608</v>
      </c>
      <c r="L2148" t="s">
        <v>44609</v>
      </c>
      <c r="M2148">
        <f>-343.486950921385 -16.769591238892 -336.24827315244</f>
        <v>-696.50481531271703</v>
      </c>
      <c r="N2148" t="s">
        <v>44610</v>
      </c>
      <c r="O2148">
        <f>-760.655961594787 -82.0022792799148 -726.960222164307</f>
        <v>-1569.6184630390087</v>
      </c>
      <c r="P2148">
        <f>-697.286906839704 -89.3427545567856 -416.933376213037</f>
        <v>-1203.5630376095266</v>
      </c>
      <c r="Q2148">
        <f>-452.734959293226 -7.41118772996128 -383.412290023125</f>
        <v>-843.55843704631229</v>
      </c>
      <c r="R2148" t="s">
        <v>44611</v>
      </c>
      <c r="S2148" t="s">
        <v>44612</v>
      </c>
      <c r="T2148" t="s">
        <v>44613</v>
      </c>
      <c r="U2148" t="s">
        <v>44614</v>
      </c>
      <c r="V2148" t="s">
        <v>44615</v>
      </c>
      <c r="W2148" t="s">
        <v>44616</v>
      </c>
      <c r="X2148" t="s">
        <v>44617</v>
      </c>
      <c r="Y2148" t="s">
        <v>44618</v>
      </c>
    </row>
    <row r="2149" spans="1:25" x14ac:dyDescent="0.3">
      <c r="A2149">
        <v>107400</v>
      </c>
      <c r="B2149" t="s">
        <v>44619</v>
      </c>
      <c r="C2149" t="s">
        <v>44620</v>
      </c>
      <c r="D2149" t="s">
        <v>44621</v>
      </c>
      <c r="E2149" t="s">
        <v>44622</v>
      </c>
      <c r="F2149" t="s">
        <v>44623</v>
      </c>
      <c r="G2149" t="s">
        <v>44624</v>
      </c>
      <c r="H2149" t="s">
        <v>44625</v>
      </c>
      <c r="I2149" t="s">
        <v>44626</v>
      </c>
      <c r="J2149" t="s">
        <v>44627</v>
      </c>
      <c r="K2149" t="s">
        <v>44628</v>
      </c>
      <c r="L2149" t="s">
        <v>44629</v>
      </c>
      <c r="M2149">
        <f>-341.905013584668 -16.5329188212484 -335.763300060566</f>
        <v>-694.20123246648245</v>
      </c>
      <c r="N2149" t="s">
        <v>44630</v>
      </c>
      <c r="O2149">
        <f>-758.021588296128 -82.6984129377975 -726.338846932689</f>
        <v>-1567.0588481666146</v>
      </c>
      <c r="P2149">
        <f>-695.829765625524 -88.6126079482594 -416.043239092932</f>
        <v>-1200.4856126667155</v>
      </c>
      <c r="Q2149">
        <f>-451.350610492882 -7.36754826737683 -380.389482695527</f>
        <v>-839.10764145578582</v>
      </c>
      <c r="R2149" t="s">
        <v>44631</v>
      </c>
      <c r="S2149" t="s">
        <v>44632</v>
      </c>
      <c r="T2149" t="s">
        <v>44633</v>
      </c>
      <c r="U2149" t="s">
        <v>44634</v>
      </c>
      <c r="V2149" t="s">
        <v>44635</v>
      </c>
      <c r="W2149" t="s">
        <v>44636</v>
      </c>
      <c r="X2149" t="s">
        <v>44637</v>
      </c>
      <c r="Y2149" t="s">
        <v>44638</v>
      </c>
    </row>
    <row r="2150" spans="1:25" x14ac:dyDescent="0.3">
      <c r="A2150">
        <v>107450</v>
      </c>
      <c r="B2150" t="s">
        <v>44639</v>
      </c>
      <c r="C2150" t="s">
        <v>44640</v>
      </c>
      <c r="D2150" t="s">
        <v>44641</v>
      </c>
      <c r="E2150" t="s">
        <v>44642</v>
      </c>
      <c r="F2150" t="s">
        <v>44643</v>
      </c>
      <c r="G2150" t="s">
        <v>44644</v>
      </c>
      <c r="H2150" t="s">
        <v>44645</v>
      </c>
      <c r="I2150" t="s">
        <v>44646</v>
      </c>
      <c r="J2150" t="s">
        <v>44647</v>
      </c>
      <c r="K2150" t="s">
        <v>44648</v>
      </c>
      <c r="L2150" t="s">
        <v>44649</v>
      </c>
      <c r="M2150">
        <f>-339.255047516785 -16.4418077499349 -335.179404327606</f>
        <v>-690.87625959432592</v>
      </c>
      <c r="N2150" t="s">
        <v>44650</v>
      </c>
      <c r="O2150">
        <f>-752.544321360744 -83.9724858840705 -725.11457639103</f>
        <v>-1561.6313836358445</v>
      </c>
      <c r="P2150">
        <f>-693.334674012355 -87.742619876868 -414.202750440195</f>
        <v>-1195.2800443294182</v>
      </c>
      <c r="Q2150">
        <f>-449.164889521016 -6.68096577699339 -376.094970598493</f>
        <v>-831.94082589650236</v>
      </c>
      <c r="R2150" t="s">
        <v>44651</v>
      </c>
      <c r="S2150" t="s">
        <v>44652</v>
      </c>
      <c r="T2150" t="s">
        <v>44653</v>
      </c>
      <c r="U2150" t="s">
        <v>44654</v>
      </c>
      <c r="V2150" t="s">
        <v>44655</v>
      </c>
      <c r="W2150" t="s">
        <v>44656</v>
      </c>
      <c r="X2150" t="s">
        <v>44657</v>
      </c>
      <c r="Y2150" t="s">
        <v>44658</v>
      </c>
    </row>
    <row r="2151" spans="1:25" x14ac:dyDescent="0.3">
      <c r="A2151">
        <v>107500</v>
      </c>
      <c r="B2151" t="s">
        <v>44659</v>
      </c>
      <c r="C2151" t="s">
        <v>44660</v>
      </c>
      <c r="D2151" t="s">
        <v>44661</v>
      </c>
      <c r="E2151" t="s">
        <v>44662</v>
      </c>
      <c r="F2151" t="s">
        <v>44663</v>
      </c>
      <c r="G2151" t="s">
        <v>44664</v>
      </c>
      <c r="H2151" t="s">
        <v>44665</v>
      </c>
      <c r="I2151" t="s">
        <v>44666</v>
      </c>
      <c r="J2151" t="s">
        <v>44667</v>
      </c>
      <c r="K2151" t="s">
        <v>44668</v>
      </c>
      <c r="L2151" t="s">
        <v>44669</v>
      </c>
      <c r="M2151">
        <f>-337.722068310836 -16.4560459673114 -334.904932966176</f>
        <v>-689.08304724432332</v>
      </c>
      <c r="N2151" t="s">
        <v>44670</v>
      </c>
      <c r="O2151">
        <f>-749.718626533376 -84.5748702429203 -724.549703505881</f>
        <v>-1558.8432002821773</v>
      </c>
      <c r="P2151">
        <f>-691.787372557807 -87.2493576459085 -413.38573319065</f>
        <v>-1192.4224633943654</v>
      </c>
      <c r="Q2151">
        <f>-447.641335507639 -6.39363535364964 -374.693079792543</f>
        <v>-828.72805065383159</v>
      </c>
      <c r="R2151" t="s">
        <v>44671</v>
      </c>
      <c r="S2151" t="s">
        <v>44672</v>
      </c>
      <c r="T2151" t="s">
        <v>44673</v>
      </c>
      <c r="U2151" t="s">
        <v>44674</v>
      </c>
      <c r="V2151" t="s">
        <v>44675</v>
      </c>
      <c r="W2151" t="s">
        <v>44676</v>
      </c>
      <c r="X2151" t="s">
        <v>44677</v>
      </c>
      <c r="Y2151" t="s">
        <v>44678</v>
      </c>
    </row>
    <row r="2152" spans="1:25" x14ac:dyDescent="0.3">
      <c r="A2152">
        <v>107550</v>
      </c>
      <c r="B2152" t="s">
        <v>44679</v>
      </c>
      <c r="C2152" t="s">
        <v>44680</v>
      </c>
      <c r="D2152" t="s">
        <v>44681</v>
      </c>
      <c r="E2152" t="s">
        <v>44682</v>
      </c>
      <c r="F2152" t="s">
        <v>44683</v>
      </c>
      <c r="G2152" t="s">
        <v>44684</v>
      </c>
      <c r="H2152" t="s">
        <v>44685</v>
      </c>
      <c r="I2152" t="s">
        <v>44686</v>
      </c>
      <c r="J2152" t="s">
        <v>44687</v>
      </c>
      <c r="K2152" t="s">
        <v>44688</v>
      </c>
      <c r="L2152" t="s">
        <v>44689</v>
      </c>
      <c r="M2152">
        <f>-334.599679127353 -16.7802935371606 -334.868301037693</f>
        <v>-686.24827370220669</v>
      </c>
      <c r="N2152" t="s">
        <v>44690</v>
      </c>
      <c r="O2152">
        <f>-744.278429789953 -85.2286658421474 -723.734413846297</f>
        <v>-1553.2415094783973</v>
      </c>
      <c r="P2152">
        <f>-688.918705766986 -86.0308354775534 -412.092307831391</f>
        <v>-1187.0418490759305</v>
      </c>
      <c r="Q2152">
        <f>-444.62291048956 -6.40406402765734 -371.828072483479</f>
        <v>-822.85504700069635</v>
      </c>
      <c r="R2152" t="s">
        <v>44691</v>
      </c>
      <c r="S2152" t="s">
        <v>44692</v>
      </c>
      <c r="T2152" t="s">
        <v>44693</v>
      </c>
      <c r="U2152" t="s">
        <v>44694</v>
      </c>
      <c r="V2152" t="s">
        <v>44695</v>
      </c>
      <c r="W2152" t="s">
        <v>44696</v>
      </c>
      <c r="X2152" t="s">
        <v>44697</v>
      </c>
      <c r="Y2152" t="s">
        <v>44698</v>
      </c>
    </row>
    <row r="2153" spans="1:25" x14ac:dyDescent="0.3">
      <c r="A2153">
        <v>107600</v>
      </c>
      <c r="B2153" t="s">
        <v>44699</v>
      </c>
      <c r="C2153" t="s">
        <v>44700</v>
      </c>
      <c r="D2153" t="s">
        <v>44701</v>
      </c>
      <c r="E2153" t="s">
        <v>44702</v>
      </c>
      <c r="F2153" t="s">
        <v>44703</v>
      </c>
      <c r="G2153" t="s">
        <v>44704</v>
      </c>
      <c r="H2153" t="s">
        <v>44705</v>
      </c>
      <c r="I2153" t="s">
        <v>44706</v>
      </c>
      <c r="J2153" t="s">
        <v>44707</v>
      </c>
      <c r="K2153" t="s">
        <v>44708</v>
      </c>
      <c r="L2153" t="s">
        <v>44709</v>
      </c>
      <c r="M2153">
        <f>-332.71032443472 -16.1798145262744 -334.560076162151</f>
        <v>-683.45021512314543</v>
      </c>
      <c r="N2153" t="s">
        <v>44710</v>
      </c>
      <c r="O2153">
        <f>-741.628834767096 -85.2459255479882 -723.496808968283</f>
        <v>-1550.3715692833671</v>
      </c>
      <c r="P2153">
        <f>-687.425195509614 -85.2600655180484 -411.650516652706</f>
        <v>-1184.3357776803684</v>
      </c>
      <c r="Q2153">
        <f>-442.975660279193 -6.1565629002414 -371.287243344019</f>
        <v>-820.41946652345337</v>
      </c>
      <c r="R2153" t="s">
        <v>44711</v>
      </c>
      <c r="S2153" t="s">
        <v>44712</v>
      </c>
      <c r="T2153" t="s">
        <v>44713</v>
      </c>
      <c r="U2153" t="s">
        <v>44714</v>
      </c>
      <c r="V2153" t="s">
        <v>44715</v>
      </c>
      <c r="W2153" t="s">
        <v>44716</v>
      </c>
      <c r="X2153" t="s">
        <v>44717</v>
      </c>
      <c r="Y2153" t="s">
        <v>44718</v>
      </c>
    </row>
    <row r="2154" spans="1:25" x14ac:dyDescent="0.3">
      <c r="A2154">
        <v>107650</v>
      </c>
      <c r="B2154" t="s">
        <v>44719</v>
      </c>
      <c r="C2154" t="s">
        <v>44720</v>
      </c>
      <c r="D2154" t="s">
        <v>44721</v>
      </c>
      <c r="E2154" t="s">
        <v>44722</v>
      </c>
      <c r="F2154" t="s">
        <v>44723</v>
      </c>
      <c r="G2154" t="s">
        <v>44724</v>
      </c>
      <c r="H2154" t="s">
        <v>44725</v>
      </c>
      <c r="I2154" t="s">
        <v>44726</v>
      </c>
      <c r="J2154" t="s">
        <v>44727</v>
      </c>
      <c r="K2154" t="s">
        <v>44728</v>
      </c>
      <c r="L2154" t="s">
        <v>44729</v>
      </c>
      <c r="M2154">
        <f>-329.833976084077 -15.1571906236115 -333.63515598503</f>
        <v>-678.62632269271853</v>
      </c>
      <c r="N2154" t="s">
        <v>44730</v>
      </c>
      <c r="O2154">
        <f>-737.153212972295 -85.7310488314488 -723.172057526117</f>
        <v>-1546.0563193298608</v>
      </c>
      <c r="P2154">
        <f>-684.806652596244 -84.9259742404076 -411.009630933301</f>
        <v>-1180.7422577699526</v>
      </c>
      <c r="Q2154">
        <f>-439.96356517242 -7.10948433466569 -370.530334661153</f>
        <v>-817.60338416823868</v>
      </c>
      <c r="R2154" t="s">
        <v>44731</v>
      </c>
      <c r="S2154" t="s">
        <v>44732</v>
      </c>
      <c r="T2154" t="s">
        <v>44733</v>
      </c>
      <c r="U2154" t="s">
        <v>44734</v>
      </c>
      <c r="V2154" t="s">
        <v>44735</v>
      </c>
      <c r="W2154" t="s">
        <v>44736</v>
      </c>
      <c r="X2154" t="s">
        <v>44737</v>
      </c>
      <c r="Y2154" t="s">
        <v>44738</v>
      </c>
    </row>
    <row r="2155" spans="1:25" x14ac:dyDescent="0.3">
      <c r="A2155">
        <v>107700</v>
      </c>
      <c r="B2155" t="s">
        <v>44739</v>
      </c>
      <c r="C2155" t="s">
        <v>44740</v>
      </c>
      <c r="D2155" t="s">
        <v>44741</v>
      </c>
      <c r="E2155" t="s">
        <v>44742</v>
      </c>
      <c r="F2155" t="s">
        <v>44743</v>
      </c>
      <c r="G2155" t="s">
        <v>44744</v>
      </c>
      <c r="H2155" t="s">
        <v>44745</v>
      </c>
      <c r="I2155" t="s">
        <v>44746</v>
      </c>
      <c r="J2155" t="s">
        <v>44747</v>
      </c>
      <c r="K2155" t="s">
        <v>44748</v>
      </c>
      <c r="L2155" t="s">
        <v>44749</v>
      </c>
      <c r="M2155">
        <f>-328.666395781229 -14.1908346326811 -332.543589071734</f>
        <v>-675.40081948564421</v>
      </c>
      <c r="N2155" t="s">
        <v>44750</v>
      </c>
      <c r="O2155">
        <f>-735.11049179898 -86.0883379787688 -722.936957566411</f>
        <v>-1544.1357873441598</v>
      </c>
      <c r="P2155">
        <f>-684.239896961999 -85.5996314898946 -410.530007199014</f>
        <v>-1180.3695356509074</v>
      </c>
      <c r="Q2155">
        <f>-439.26093319401 -8.16836698029806 -370.135002465048</f>
        <v>-817.56430263935613</v>
      </c>
      <c r="R2155" t="s">
        <v>44751</v>
      </c>
      <c r="S2155" t="s">
        <v>44752</v>
      </c>
      <c r="T2155" t="s">
        <v>44753</v>
      </c>
      <c r="U2155" t="s">
        <v>44754</v>
      </c>
      <c r="V2155" t="s">
        <v>44755</v>
      </c>
      <c r="W2155" t="s">
        <v>44756</v>
      </c>
      <c r="X2155" t="s">
        <v>44757</v>
      </c>
      <c r="Y2155" t="s">
        <v>44758</v>
      </c>
    </row>
    <row r="2156" spans="1:25" x14ac:dyDescent="0.3">
      <c r="A2156">
        <v>107750</v>
      </c>
      <c r="B2156" t="s">
        <v>44759</v>
      </c>
      <c r="C2156" t="s">
        <v>44760</v>
      </c>
      <c r="D2156" t="s">
        <v>44761</v>
      </c>
      <c r="E2156" t="s">
        <v>44762</v>
      </c>
      <c r="F2156" t="s">
        <v>44763</v>
      </c>
      <c r="G2156" t="s">
        <v>44764</v>
      </c>
      <c r="H2156" t="s">
        <v>44765</v>
      </c>
      <c r="I2156" t="s">
        <v>44766</v>
      </c>
      <c r="J2156" t="s">
        <v>44767</v>
      </c>
      <c r="K2156" t="s">
        <v>44768</v>
      </c>
      <c r="L2156" t="s">
        <v>44769</v>
      </c>
      <c r="M2156">
        <f>-327.345732880608 -11.9322718860083 -330.033739258562</f>
        <v>-669.31174402517831</v>
      </c>
      <c r="N2156" t="s">
        <v>44770</v>
      </c>
      <c r="O2156">
        <f>-731.361916871736 -86.2164562011023 -722.848675947077</f>
        <v>-1540.4270490199153</v>
      </c>
      <c r="P2156">
        <f>-683.382512501705 -85.7221187617663 -409.984557423035</f>
        <v>-1179.0891886865063</v>
      </c>
      <c r="Q2156">
        <f>-438.453391695502 -8.30340168623388 -369.264091214183</f>
        <v>-816.02088459591891</v>
      </c>
      <c r="R2156" t="s">
        <v>44771</v>
      </c>
      <c r="S2156" t="s">
        <v>44772</v>
      </c>
      <c r="T2156" t="s">
        <v>44773</v>
      </c>
      <c r="U2156" t="s">
        <v>44774</v>
      </c>
      <c r="V2156" t="s">
        <v>44775</v>
      </c>
      <c r="W2156" t="s">
        <v>44776</v>
      </c>
      <c r="X2156" t="s">
        <v>44777</v>
      </c>
      <c r="Y2156" t="s">
        <v>44778</v>
      </c>
    </row>
    <row r="2157" spans="1:25" x14ac:dyDescent="0.3">
      <c r="A2157">
        <v>107800</v>
      </c>
      <c r="B2157" t="s">
        <v>44779</v>
      </c>
      <c r="C2157" t="s">
        <v>44780</v>
      </c>
      <c r="D2157" t="s">
        <v>44781</v>
      </c>
      <c r="E2157" t="s">
        <v>44782</v>
      </c>
      <c r="F2157" t="s">
        <v>44783</v>
      </c>
      <c r="G2157" t="s">
        <v>44784</v>
      </c>
      <c r="H2157" t="s">
        <v>44785</v>
      </c>
      <c r="I2157" t="s">
        <v>44786</v>
      </c>
      <c r="J2157" t="s">
        <v>44787</v>
      </c>
      <c r="K2157" t="s">
        <v>44788</v>
      </c>
      <c r="L2157" t="s">
        <v>44789</v>
      </c>
      <c r="M2157">
        <f>-326.868025710128 -11.0605921836848 -328.76828255217</f>
        <v>-666.69690044598269</v>
      </c>
      <c r="N2157" t="s">
        <v>44790</v>
      </c>
      <c r="O2157">
        <f>-729.472156661519 -86.1387634152079 -722.687149288652</f>
        <v>-1538.298069365379</v>
      </c>
      <c r="P2157">
        <f>-682.667659746742 -85.3445977139147 -409.645855374705</f>
        <v>-1177.6581128353616</v>
      </c>
      <c r="Q2157">
        <f>-437.886655166762 -7.92591466352724 -368.045151326833</f>
        <v>-813.85772115712223</v>
      </c>
      <c r="R2157" t="s">
        <v>44791</v>
      </c>
      <c r="S2157" t="s">
        <v>44792</v>
      </c>
      <c r="T2157" t="s">
        <v>44793</v>
      </c>
      <c r="U2157" t="s">
        <v>44794</v>
      </c>
      <c r="V2157" t="s">
        <v>44795</v>
      </c>
      <c r="W2157" t="s">
        <v>44796</v>
      </c>
      <c r="X2157" t="s">
        <v>44797</v>
      </c>
      <c r="Y2157" t="s">
        <v>44798</v>
      </c>
    </row>
    <row r="2158" spans="1:25" x14ac:dyDescent="0.3">
      <c r="A2158">
        <v>107850</v>
      </c>
      <c r="B2158" t="s">
        <v>44799</v>
      </c>
      <c r="C2158" t="s">
        <v>44800</v>
      </c>
      <c r="D2158" t="s">
        <v>44801</v>
      </c>
      <c r="E2158" t="s">
        <v>44802</v>
      </c>
      <c r="F2158" t="s">
        <v>44803</v>
      </c>
      <c r="G2158" t="s">
        <v>44804</v>
      </c>
      <c r="H2158" t="s">
        <v>44805</v>
      </c>
      <c r="I2158" t="s">
        <v>44806</v>
      </c>
      <c r="J2158" t="s">
        <v>44807</v>
      </c>
      <c r="K2158" t="s">
        <v>44808</v>
      </c>
      <c r="L2158" t="s">
        <v>44809</v>
      </c>
      <c r="M2158">
        <f>-325.650479599253 -10.2953527953989 -326.559870604363</f>
        <v>-662.50570299901494</v>
      </c>
      <c r="N2158" t="s">
        <v>44810</v>
      </c>
      <c r="O2158">
        <f>-725.657940493623 -86.3386276871163 -722.355658445532</f>
        <v>-1534.3522266262712</v>
      </c>
      <c r="P2158">
        <f>-682.0422224135 -84.0107875212079 -408.861741660923</f>
        <v>-1174.9147515956308</v>
      </c>
      <c r="Q2158">
        <f>-437.576682430903 -6.67665160077377 -365.294273784697</f>
        <v>-809.54760781637378</v>
      </c>
      <c r="R2158" t="s">
        <v>44811</v>
      </c>
      <c r="S2158" t="s">
        <v>44812</v>
      </c>
      <c r="T2158" t="s">
        <v>44813</v>
      </c>
      <c r="U2158" t="s">
        <v>44814</v>
      </c>
      <c r="V2158" t="s">
        <v>44815</v>
      </c>
      <c r="W2158" t="s">
        <v>44816</v>
      </c>
      <c r="X2158" t="s">
        <v>44817</v>
      </c>
      <c r="Y2158" t="s">
        <v>44818</v>
      </c>
    </row>
    <row r="2159" spans="1:25" x14ac:dyDescent="0.3">
      <c r="A2159">
        <v>107900</v>
      </c>
      <c r="B2159" t="s">
        <v>44819</v>
      </c>
      <c r="C2159" t="s">
        <v>44820</v>
      </c>
      <c r="D2159" t="s">
        <v>44821</v>
      </c>
      <c r="E2159" t="s">
        <v>44822</v>
      </c>
      <c r="F2159" t="s">
        <v>44823</v>
      </c>
      <c r="G2159" t="s">
        <v>44824</v>
      </c>
      <c r="H2159" t="s">
        <v>44825</v>
      </c>
      <c r="I2159" t="s">
        <v>44826</v>
      </c>
      <c r="J2159" t="s">
        <v>44827</v>
      </c>
      <c r="K2159" t="s">
        <v>44828</v>
      </c>
      <c r="L2159" t="s">
        <v>44829</v>
      </c>
      <c r="M2159">
        <f>-325.007152583375 -9.91335696123656 -325.574639438902</f>
        <v>-660.49514898351356</v>
      </c>
      <c r="N2159" t="s">
        <v>44830</v>
      </c>
      <c r="O2159">
        <f>-724.099207987753 -86.3500062525004 -722.371848306492</f>
        <v>-1532.8210625467455</v>
      </c>
      <c r="P2159">
        <f>-681.820498492103 -83.8276924901018 -408.696307592852</f>
        <v>-1174.3444985750566</v>
      </c>
      <c r="Q2159">
        <f>-437.551941818658 -6.50721014378155 -364.014051111906</f>
        <v>-808.07320307434554</v>
      </c>
      <c r="R2159" t="s">
        <v>44831</v>
      </c>
      <c r="S2159" t="s">
        <v>44832</v>
      </c>
      <c r="T2159" t="s">
        <v>44833</v>
      </c>
      <c r="U2159" t="s">
        <v>44834</v>
      </c>
      <c r="V2159" t="s">
        <v>44835</v>
      </c>
      <c r="W2159" t="s">
        <v>44836</v>
      </c>
      <c r="X2159" t="s">
        <v>44837</v>
      </c>
      <c r="Y2159" t="s">
        <v>44838</v>
      </c>
    </row>
    <row r="2160" spans="1:25" x14ac:dyDescent="0.3">
      <c r="A2160">
        <v>107950</v>
      </c>
      <c r="B2160" t="s">
        <v>44839</v>
      </c>
      <c r="C2160" t="s">
        <v>44840</v>
      </c>
      <c r="D2160" t="s">
        <v>44841</v>
      </c>
      <c r="E2160" t="s">
        <v>44842</v>
      </c>
      <c r="F2160" t="s">
        <v>44843</v>
      </c>
      <c r="G2160" t="s">
        <v>44844</v>
      </c>
      <c r="H2160" t="s">
        <v>44845</v>
      </c>
      <c r="I2160" t="s">
        <v>44846</v>
      </c>
      <c r="J2160" t="s">
        <v>44847</v>
      </c>
      <c r="K2160" t="s">
        <v>44848</v>
      </c>
      <c r="L2160" t="s">
        <v>44849</v>
      </c>
      <c r="M2160">
        <f>-323.34191434225 -9.89047720440067 -324.963710603749</f>
        <v>-658.19610215039961</v>
      </c>
      <c r="N2160" t="s">
        <v>44850</v>
      </c>
      <c r="O2160">
        <f>-721.370355895986 -86.5832650619848 -722.332239134092</f>
        <v>-1530.2858600920626</v>
      </c>
      <c r="P2160">
        <f>-681.767706419827 -83.5978764206727 -408.311683256933</f>
        <v>-1173.6772660974327</v>
      </c>
      <c r="Q2160">
        <f>-437.660859989514 -6.25899619577535 -362.78655132639</f>
        <v>-806.70640751167934</v>
      </c>
      <c r="R2160" t="s">
        <v>44851</v>
      </c>
      <c r="S2160" t="s">
        <v>44852</v>
      </c>
      <c r="T2160" t="s">
        <v>44853</v>
      </c>
      <c r="U2160" t="s">
        <v>44854</v>
      </c>
      <c r="V2160" t="s">
        <v>44855</v>
      </c>
      <c r="W2160" t="s">
        <v>44856</v>
      </c>
      <c r="X2160" t="s">
        <v>44857</v>
      </c>
      <c r="Y2160" t="s">
        <v>44858</v>
      </c>
    </row>
    <row r="2161" spans="1:25" x14ac:dyDescent="0.3">
      <c r="A2161">
        <v>108000</v>
      </c>
      <c r="B2161" t="s">
        <v>44859</v>
      </c>
      <c r="C2161" t="s">
        <v>44860</v>
      </c>
      <c r="D2161" t="s">
        <v>44861</v>
      </c>
      <c r="E2161" t="s">
        <v>44862</v>
      </c>
      <c r="F2161" t="s">
        <v>44863</v>
      </c>
      <c r="G2161" t="s">
        <v>44864</v>
      </c>
      <c r="H2161" t="s">
        <v>44865</v>
      </c>
      <c r="I2161" t="s">
        <v>44866</v>
      </c>
      <c r="J2161" t="s">
        <v>44867</v>
      </c>
      <c r="K2161" t="s">
        <v>44868</v>
      </c>
      <c r="L2161" t="s">
        <v>44869</v>
      </c>
      <c r="M2161">
        <f>-322.180213985209 -9.56810683766207 -324.907463812281</f>
        <v>-656.65578463515203</v>
      </c>
      <c r="N2161" t="s">
        <v>44870</v>
      </c>
      <c r="O2161">
        <f>-720.072263860572 -86.6751198145253 -722.465525005441</f>
        <v>-1529.2129086805382</v>
      </c>
      <c r="P2161">
        <f>-681.37258333755 -83.6589947438222 -408.332672665972</f>
        <v>-1173.3642507473442</v>
      </c>
      <c r="Q2161">
        <f>-437.247336284985 -6.36880605186843 -362.82312294402</f>
        <v>-806.43926528087343</v>
      </c>
      <c r="R2161" t="s">
        <v>44871</v>
      </c>
      <c r="S2161" t="s">
        <v>44872</v>
      </c>
      <c r="T2161" t="s">
        <v>44873</v>
      </c>
      <c r="U2161" t="s">
        <v>44874</v>
      </c>
      <c r="V2161" t="s">
        <v>44875</v>
      </c>
      <c r="W2161" t="s">
        <v>44876</v>
      </c>
      <c r="X2161" t="s">
        <v>44877</v>
      </c>
      <c r="Y2161" t="s">
        <v>44878</v>
      </c>
    </row>
    <row r="2162" spans="1:25" x14ac:dyDescent="0.3">
      <c r="A2162">
        <v>108050</v>
      </c>
      <c r="B2162" t="s">
        <v>44879</v>
      </c>
      <c r="C2162" t="s">
        <v>44880</v>
      </c>
      <c r="D2162" t="s">
        <v>44881</v>
      </c>
      <c r="E2162" t="s">
        <v>44882</v>
      </c>
      <c r="F2162" t="s">
        <v>44883</v>
      </c>
      <c r="G2162" t="s">
        <v>44884</v>
      </c>
      <c r="H2162" t="s">
        <v>44885</v>
      </c>
      <c r="I2162" t="s">
        <v>44886</v>
      </c>
      <c r="J2162" t="s">
        <v>44887</v>
      </c>
      <c r="K2162" t="s">
        <v>44888</v>
      </c>
      <c r="L2162" t="s">
        <v>44889</v>
      </c>
      <c r="M2162">
        <f>-320.68213779679 -9.19118900996318 -324.975731666925</f>
        <v>-654.84905847367827</v>
      </c>
      <c r="N2162" t="s">
        <v>44890</v>
      </c>
      <c r="O2162">
        <f>-717.883778779381 -86.7179078210263 -722.805473758088</f>
        <v>-1527.4071603584953</v>
      </c>
      <c r="P2162">
        <f>-680.427210780181 -83.5556731322411 -408.523520887846</f>
        <v>-1172.506404800268</v>
      </c>
      <c r="Q2162">
        <f>-436.125392015601 -6.29725284922552 -363.916175188833</f>
        <v>-806.33882005365945</v>
      </c>
      <c r="R2162" t="s">
        <v>44891</v>
      </c>
      <c r="S2162" t="s">
        <v>44892</v>
      </c>
      <c r="T2162" t="s">
        <v>44893</v>
      </c>
      <c r="U2162" t="s">
        <v>44894</v>
      </c>
      <c r="V2162" t="s">
        <v>44895</v>
      </c>
      <c r="W2162" t="s">
        <v>44896</v>
      </c>
      <c r="X2162" t="s">
        <v>44897</v>
      </c>
      <c r="Y2162" t="s">
        <v>44898</v>
      </c>
    </row>
    <row r="2163" spans="1:25" x14ac:dyDescent="0.3">
      <c r="A2163">
        <v>108100</v>
      </c>
      <c r="B2163" t="s">
        <v>44899</v>
      </c>
      <c r="C2163" t="s">
        <v>44900</v>
      </c>
      <c r="D2163" t="s">
        <v>44901</v>
      </c>
      <c r="E2163" t="s">
        <v>44902</v>
      </c>
      <c r="F2163" t="s">
        <v>44903</v>
      </c>
      <c r="G2163" t="s">
        <v>44904</v>
      </c>
      <c r="H2163" t="s">
        <v>44905</v>
      </c>
      <c r="I2163" t="s">
        <v>44906</v>
      </c>
      <c r="J2163" t="s">
        <v>44907</v>
      </c>
      <c r="K2163" t="s">
        <v>44908</v>
      </c>
      <c r="L2163" t="s">
        <v>44909</v>
      </c>
      <c r="M2163">
        <f>-319.979959705196 -8.61833785467365 -324.790538368353</f>
        <v>-653.38883592822265</v>
      </c>
      <c r="N2163" t="s">
        <v>44910</v>
      </c>
      <c r="O2163">
        <f>-716.951990264113 -86.7729316004406 -723.087893969303</f>
        <v>-1526.8128158338566</v>
      </c>
      <c r="P2163">
        <f>-679.823846743276 -84.0831900808487 -408.762526279558</f>
        <v>-1172.6695631036828</v>
      </c>
      <c r="Q2163">
        <f>-435.464627699751 -6.94515454368479 -364.261644670043</f>
        <v>-806.67142691347885</v>
      </c>
      <c r="R2163" t="s">
        <v>44911</v>
      </c>
      <c r="S2163" t="s">
        <v>44912</v>
      </c>
      <c r="T2163" t="s">
        <v>44913</v>
      </c>
      <c r="U2163" t="s">
        <v>44914</v>
      </c>
      <c r="V2163" t="s">
        <v>44915</v>
      </c>
      <c r="W2163" t="s">
        <v>44916</v>
      </c>
      <c r="X2163" t="s">
        <v>44917</v>
      </c>
      <c r="Y2163" t="s">
        <v>44918</v>
      </c>
    </row>
    <row r="2164" spans="1:25" x14ac:dyDescent="0.3">
      <c r="A2164">
        <v>108150</v>
      </c>
      <c r="B2164" t="s">
        <v>44919</v>
      </c>
      <c r="C2164" t="s">
        <v>44920</v>
      </c>
      <c r="D2164" t="s">
        <v>44921</v>
      </c>
      <c r="E2164" t="s">
        <v>44922</v>
      </c>
      <c r="F2164" t="s">
        <v>44923</v>
      </c>
      <c r="G2164" t="s">
        <v>44924</v>
      </c>
      <c r="H2164" t="s">
        <v>44925</v>
      </c>
      <c r="I2164" t="s">
        <v>44926</v>
      </c>
      <c r="J2164" t="s">
        <v>44927</v>
      </c>
      <c r="K2164" t="s">
        <v>44928</v>
      </c>
      <c r="L2164" t="s">
        <v>44929</v>
      </c>
      <c r="M2164">
        <f>-319.329084516542 -8.32506258351464 -324.285287580942</f>
        <v>-651.9394346809986</v>
      </c>
      <c r="N2164" t="s">
        <v>44930</v>
      </c>
      <c r="O2164">
        <f>-715.532388167183 -87.1930706589803 -723.343380334097</f>
        <v>-1526.0688391602603</v>
      </c>
      <c r="P2164">
        <f>-678.367770655059 -83.5970615476465 -409.031270091083</f>
        <v>-1170.9961022937885</v>
      </c>
      <c r="Q2164">
        <f>-433.627440692038 -7.78824001391786 -364.341180222237</f>
        <v>-805.75686092819296</v>
      </c>
      <c r="R2164" t="s">
        <v>44931</v>
      </c>
      <c r="S2164" t="s">
        <v>44932</v>
      </c>
      <c r="T2164" t="s">
        <v>44933</v>
      </c>
      <c r="U2164" t="s">
        <v>44934</v>
      </c>
      <c r="V2164" t="s">
        <v>44935</v>
      </c>
      <c r="W2164" t="s">
        <v>44936</v>
      </c>
      <c r="X2164" t="s">
        <v>44937</v>
      </c>
      <c r="Y2164" t="s">
        <v>44938</v>
      </c>
    </row>
    <row r="2165" spans="1:25" x14ac:dyDescent="0.3">
      <c r="A2165">
        <v>108200</v>
      </c>
      <c r="B2165" t="s">
        <v>44939</v>
      </c>
      <c r="C2165" t="s">
        <v>44940</v>
      </c>
      <c r="D2165" t="s">
        <v>44941</v>
      </c>
      <c r="E2165" t="s">
        <v>44942</v>
      </c>
      <c r="F2165" t="s">
        <v>44943</v>
      </c>
      <c r="G2165" t="s">
        <v>44944</v>
      </c>
      <c r="H2165" t="s">
        <v>44945</v>
      </c>
      <c r="I2165" t="s">
        <v>44946</v>
      </c>
      <c r="J2165" t="s">
        <v>44947</v>
      </c>
      <c r="K2165" t="s">
        <v>44948</v>
      </c>
      <c r="L2165" t="s">
        <v>44949</v>
      </c>
      <c r="M2165">
        <f>-318.996024433897 -8.3772603110383 -324.073770279444</f>
        <v>-651.44705502437932</v>
      </c>
      <c r="N2165" t="s">
        <v>44950</v>
      </c>
      <c r="O2165">
        <f>-715.010189933903 -87.6460637410119 -723.314891775798</f>
        <v>-1525.9711454507128</v>
      </c>
      <c r="P2165">
        <f>-677.808921783553 -83.9023696822503 -409.008889323896</f>
        <v>-1170.7201807896995</v>
      </c>
      <c r="Q2165">
        <f>-432.851566182004 -8.90644585172709 -364.136462069247</f>
        <v>-805.89447410297805</v>
      </c>
      <c r="R2165" t="s">
        <v>44951</v>
      </c>
      <c r="S2165" t="s">
        <v>44952</v>
      </c>
      <c r="T2165" t="s">
        <v>44953</v>
      </c>
      <c r="U2165" t="s">
        <v>44954</v>
      </c>
      <c r="V2165" t="s">
        <v>44955</v>
      </c>
      <c r="W2165" t="s">
        <v>44956</v>
      </c>
      <c r="X2165" t="s">
        <v>44957</v>
      </c>
      <c r="Y2165" t="s">
        <v>44958</v>
      </c>
    </row>
    <row r="2166" spans="1:25" x14ac:dyDescent="0.3">
      <c r="A2166">
        <v>108250</v>
      </c>
      <c r="B2166" t="s">
        <v>44959</v>
      </c>
      <c r="C2166" t="s">
        <v>44960</v>
      </c>
      <c r="D2166" t="s">
        <v>44961</v>
      </c>
      <c r="E2166" t="s">
        <v>44962</v>
      </c>
      <c r="F2166" t="s">
        <v>44963</v>
      </c>
      <c r="G2166" t="s">
        <v>44964</v>
      </c>
      <c r="H2166" t="s">
        <v>44965</v>
      </c>
      <c r="I2166" t="s">
        <v>44966</v>
      </c>
      <c r="J2166" t="s">
        <v>44967</v>
      </c>
      <c r="K2166" t="s">
        <v>44968</v>
      </c>
      <c r="L2166" t="s">
        <v>44969</v>
      </c>
      <c r="M2166">
        <f>-318.882091399578 -8.63134877538641 -323.619111690542</f>
        <v>-651.13255186550646</v>
      </c>
      <c r="N2166" t="s">
        <v>44970</v>
      </c>
      <c r="O2166">
        <f>-714.451350006962 -88.3285926136257 -723.150857529361</f>
        <v>-1525.9308001499487</v>
      </c>
      <c r="P2166">
        <f>-677.913637028539 -85.5143780142989 -408.757436576846</f>
        <v>-1172.185451619684</v>
      </c>
      <c r="Q2166">
        <f>-432.870809319285 -10.5889045522586 -364.235103289347</f>
        <v>-807.69481716089058</v>
      </c>
      <c r="R2166" t="s">
        <v>44971</v>
      </c>
      <c r="S2166" t="s">
        <v>44972</v>
      </c>
      <c r="T2166" t="s">
        <v>44973</v>
      </c>
      <c r="U2166" t="s">
        <v>44974</v>
      </c>
      <c r="V2166" t="s">
        <v>44975</v>
      </c>
      <c r="W2166" t="s">
        <v>44976</v>
      </c>
      <c r="X2166" t="s">
        <v>44977</v>
      </c>
      <c r="Y2166" t="s">
        <v>44978</v>
      </c>
    </row>
    <row r="2167" spans="1:25" x14ac:dyDescent="0.3">
      <c r="A2167">
        <v>108300</v>
      </c>
      <c r="B2167" t="s">
        <v>44979</v>
      </c>
      <c r="C2167" t="s">
        <v>44980</v>
      </c>
      <c r="D2167" t="s">
        <v>44981</v>
      </c>
      <c r="E2167" t="s">
        <v>44982</v>
      </c>
      <c r="F2167" t="s">
        <v>44983</v>
      </c>
      <c r="G2167" t="s">
        <v>44984</v>
      </c>
      <c r="H2167" t="s">
        <v>44985</v>
      </c>
      <c r="I2167" t="s">
        <v>44986</v>
      </c>
      <c r="J2167" t="s">
        <v>44987</v>
      </c>
      <c r="K2167" t="s">
        <v>44988</v>
      </c>
      <c r="L2167" t="s">
        <v>44989</v>
      </c>
      <c r="M2167">
        <f>-319.008635310659 -8.71416056716885 -323.418033727912</f>
        <v>-651.14082960573978</v>
      </c>
      <c r="N2167" t="s">
        <v>44990</v>
      </c>
      <c r="O2167">
        <f>-714.324338280918 -88.4083836430198 -723.137586389323</f>
        <v>-1525.8703083132609</v>
      </c>
      <c r="P2167">
        <f>-677.939258360837 -85.7583875228779 -408.72492645019</f>
        <v>-1172.422572333905</v>
      </c>
      <c r="Q2167">
        <f>-432.947543827191 -10.8538660373015 -363.887389709634</f>
        <v>-807.68879957412651</v>
      </c>
      <c r="R2167" t="s">
        <v>44991</v>
      </c>
      <c r="S2167" t="s">
        <v>44992</v>
      </c>
      <c r="T2167" t="s">
        <v>44993</v>
      </c>
      <c r="U2167" t="s">
        <v>44994</v>
      </c>
      <c r="V2167" t="s">
        <v>44995</v>
      </c>
      <c r="W2167" t="s">
        <v>44996</v>
      </c>
      <c r="X2167" t="s">
        <v>44997</v>
      </c>
      <c r="Y2167" t="s">
        <v>44998</v>
      </c>
    </row>
    <row r="2168" spans="1:25" x14ac:dyDescent="0.3">
      <c r="A2168">
        <v>108350</v>
      </c>
      <c r="B2168" t="s">
        <v>44999</v>
      </c>
      <c r="C2168" t="s">
        <v>45000</v>
      </c>
      <c r="D2168" t="s">
        <v>45001</v>
      </c>
      <c r="E2168" t="s">
        <v>45002</v>
      </c>
      <c r="F2168" t="s">
        <v>45003</v>
      </c>
      <c r="G2168" t="s">
        <v>45004</v>
      </c>
      <c r="H2168" t="s">
        <v>45005</v>
      </c>
      <c r="I2168" t="s">
        <v>45006</v>
      </c>
      <c r="J2168" t="s">
        <v>45007</v>
      </c>
      <c r="K2168" t="s">
        <v>45008</v>
      </c>
      <c r="L2168" t="s">
        <v>45009</v>
      </c>
      <c r="M2168">
        <f>-318.939926955742 -8.89917178308338 -323.291537616396</f>
        <v>-651.13063635522144</v>
      </c>
      <c r="N2168" t="s">
        <v>45010</v>
      </c>
      <c r="O2168">
        <f>-714.124466950371 -88.531383344171 -723.05298635473</f>
        <v>-1525.7088366492721</v>
      </c>
      <c r="P2168">
        <f>-677.572964294461 -85.0441908826945 -408.667801259734</f>
        <v>-1171.2849564368894</v>
      </c>
      <c r="Q2168">
        <f>-432.591490661701 -10.6549914741088 -362.925648430012</f>
        <v>-806.17213056582182</v>
      </c>
      <c r="R2168" t="s">
        <v>45011</v>
      </c>
      <c r="S2168" t="s">
        <v>45012</v>
      </c>
      <c r="T2168" t="s">
        <v>45013</v>
      </c>
      <c r="U2168" t="s">
        <v>45014</v>
      </c>
      <c r="V2168" t="s">
        <v>45015</v>
      </c>
      <c r="W2168" t="s">
        <v>45016</v>
      </c>
      <c r="X2168" t="s">
        <v>45017</v>
      </c>
      <c r="Y2168" t="s">
        <v>45018</v>
      </c>
    </row>
    <row r="2169" spans="1:25" x14ac:dyDescent="0.3">
      <c r="A2169">
        <v>108400</v>
      </c>
      <c r="B2169" t="s">
        <v>45019</v>
      </c>
      <c r="C2169" t="s">
        <v>45020</v>
      </c>
      <c r="D2169" t="s">
        <v>45021</v>
      </c>
      <c r="E2169" t="s">
        <v>45022</v>
      </c>
      <c r="F2169" t="s">
        <v>45023</v>
      </c>
      <c r="G2169" t="s">
        <v>45024</v>
      </c>
      <c r="H2169" t="s">
        <v>45025</v>
      </c>
      <c r="I2169" t="s">
        <v>45026</v>
      </c>
      <c r="J2169" t="s">
        <v>45027</v>
      </c>
      <c r="K2169" t="s">
        <v>45028</v>
      </c>
      <c r="L2169" t="s">
        <v>45029</v>
      </c>
      <c r="M2169">
        <f>-319.026117515635 -8.98739438403777 -323.438487739158</f>
        <v>-651.45199963883078</v>
      </c>
      <c r="N2169" t="s">
        <v>45030</v>
      </c>
      <c r="O2169">
        <f>-714.213855374671 -88.4876085126991 -722.908101767033</f>
        <v>-1525.609565654403</v>
      </c>
      <c r="P2169">
        <f>-677.621928920515 -84.5190602695582 -408.533392150813</f>
        <v>-1170.6743813408862</v>
      </c>
      <c r="Q2169">
        <f>-432.56314350297 -10.4172545734507 -362.738663314146</f>
        <v>-805.71906139056659</v>
      </c>
      <c r="R2169" t="s">
        <v>45031</v>
      </c>
      <c r="S2169" t="s">
        <v>45032</v>
      </c>
      <c r="T2169" t="s">
        <v>45033</v>
      </c>
      <c r="U2169" t="s">
        <v>45034</v>
      </c>
      <c r="V2169" t="s">
        <v>45035</v>
      </c>
      <c r="W2169" t="s">
        <v>45036</v>
      </c>
      <c r="X2169" t="s">
        <v>45037</v>
      </c>
      <c r="Y2169" t="s">
        <v>45038</v>
      </c>
    </row>
    <row r="2170" spans="1:25" x14ac:dyDescent="0.3">
      <c r="A2170">
        <v>108450</v>
      </c>
      <c r="B2170" t="s">
        <v>45039</v>
      </c>
      <c r="C2170" t="s">
        <v>45040</v>
      </c>
      <c r="D2170" t="s">
        <v>45041</v>
      </c>
      <c r="E2170" t="s">
        <v>45042</v>
      </c>
      <c r="F2170" t="s">
        <v>45043</v>
      </c>
      <c r="G2170" t="s">
        <v>45044</v>
      </c>
      <c r="H2170" t="s">
        <v>45045</v>
      </c>
      <c r="I2170" t="s">
        <v>45046</v>
      </c>
      <c r="J2170" t="s">
        <v>45047</v>
      </c>
      <c r="K2170" t="s">
        <v>45048</v>
      </c>
      <c r="L2170" t="s">
        <v>45049</v>
      </c>
      <c r="M2170">
        <f>-318.584609154893 -8.49608752317022 -323.429376853456</f>
        <v>-650.5100735315192</v>
      </c>
      <c r="N2170" t="s">
        <v>45050</v>
      </c>
      <c r="O2170">
        <f>-714.352658362995 -87.9553783901708 -722.826930130857</f>
        <v>-1525.134966884023</v>
      </c>
      <c r="P2170">
        <f>-677.947435719348 -84.5556314457178 -408.423869150845</f>
        <v>-1170.926936315911</v>
      </c>
      <c r="Q2170">
        <f>-432.741256183404 -10.9427074484959 -362.629075912944</f>
        <v>-806.31303954484395</v>
      </c>
      <c r="R2170" t="s">
        <v>45051</v>
      </c>
      <c r="S2170" t="s">
        <v>45052</v>
      </c>
      <c r="T2170" t="s">
        <v>45053</v>
      </c>
      <c r="U2170" t="s">
        <v>45054</v>
      </c>
      <c r="V2170" t="s">
        <v>45055</v>
      </c>
      <c r="W2170" t="s">
        <v>45056</v>
      </c>
      <c r="X2170" t="s">
        <v>45057</v>
      </c>
      <c r="Y2170" t="s">
        <v>45058</v>
      </c>
    </row>
    <row r="2171" spans="1:25" x14ac:dyDescent="0.3">
      <c r="A2171">
        <v>108500</v>
      </c>
      <c r="B2171" t="s">
        <v>45059</v>
      </c>
      <c r="C2171" t="s">
        <v>45060</v>
      </c>
      <c r="D2171" t="s">
        <v>45061</v>
      </c>
      <c r="E2171" t="s">
        <v>45062</v>
      </c>
      <c r="F2171" t="s">
        <v>45063</v>
      </c>
      <c r="G2171" t="s">
        <v>45064</v>
      </c>
      <c r="H2171" t="s">
        <v>45065</v>
      </c>
      <c r="I2171" t="s">
        <v>45066</v>
      </c>
      <c r="J2171" t="s">
        <v>45067</v>
      </c>
      <c r="K2171" t="s">
        <v>45068</v>
      </c>
      <c r="L2171" t="s">
        <v>45069</v>
      </c>
      <c r="M2171">
        <f>-318.692475070989 -8.27039482567193 -323.321276545756</f>
        <v>-650.28414644241695</v>
      </c>
      <c r="N2171" t="s">
        <v>45070</v>
      </c>
      <c r="O2171">
        <f>-714.635695176111 -87.3649671339056 -722.845504197633</f>
        <v>-1524.8461665076495</v>
      </c>
      <c r="P2171">
        <f>-677.925922939953 -83.838769685819 -408.479141928889</f>
        <v>-1170.2438345546611</v>
      </c>
      <c r="Q2171">
        <f>-432.658678256109 -10.7156344063519 -362.2292974923</f>
        <v>-805.60361015476087</v>
      </c>
      <c r="R2171" t="s">
        <v>45071</v>
      </c>
      <c r="S2171" t="s">
        <v>45072</v>
      </c>
      <c r="T2171" t="s">
        <v>45073</v>
      </c>
      <c r="U2171" t="s">
        <v>45074</v>
      </c>
      <c r="V2171" t="s">
        <v>45075</v>
      </c>
      <c r="W2171" t="s">
        <v>45076</v>
      </c>
      <c r="X2171" t="s">
        <v>45077</v>
      </c>
      <c r="Y2171" t="s">
        <v>45078</v>
      </c>
    </row>
    <row r="2172" spans="1:25" x14ac:dyDescent="0.3">
      <c r="A2172">
        <v>108550</v>
      </c>
      <c r="B2172" t="s">
        <v>45079</v>
      </c>
      <c r="C2172" t="s">
        <v>45080</v>
      </c>
      <c r="D2172" t="s">
        <v>45081</v>
      </c>
      <c r="E2172" t="s">
        <v>45082</v>
      </c>
      <c r="F2172" t="s">
        <v>45083</v>
      </c>
      <c r="G2172" t="s">
        <v>45084</v>
      </c>
      <c r="H2172" t="s">
        <v>45085</v>
      </c>
      <c r="I2172" t="s">
        <v>45086</v>
      </c>
      <c r="J2172" t="s">
        <v>45087</v>
      </c>
      <c r="K2172" t="s">
        <v>45088</v>
      </c>
      <c r="L2172" t="s">
        <v>45089</v>
      </c>
      <c r="M2172">
        <f>-319.156962579523 -8.2664346856559 -323.157914580149</f>
        <v>-650.58131184532795</v>
      </c>
      <c r="N2172" t="s">
        <v>45090</v>
      </c>
      <c r="O2172">
        <f>-715.275215400231 -86.6666182635677 -722.611849426387</f>
        <v>-1524.5536830901856</v>
      </c>
      <c r="P2172">
        <f>-678.698421621534 -82.8321956851453 -408.23370327708</f>
        <v>-1169.7643205837592</v>
      </c>
      <c r="Q2172">
        <f>-433.251764598403 -10.7511461908061 -361.305276624533</f>
        <v>-805.30818741374208</v>
      </c>
      <c r="R2172" t="s">
        <v>45091</v>
      </c>
      <c r="S2172" t="s">
        <v>45092</v>
      </c>
      <c r="T2172" t="s">
        <v>45093</v>
      </c>
      <c r="U2172" t="s">
        <v>45094</v>
      </c>
      <c r="V2172" t="s">
        <v>45095</v>
      </c>
      <c r="W2172" t="s">
        <v>45096</v>
      </c>
      <c r="X2172" t="s">
        <v>45097</v>
      </c>
      <c r="Y2172" t="s">
        <v>45098</v>
      </c>
    </row>
    <row r="2173" spans="1:25" x14ac:dyDescent="0.3">
      <c r="A2173">
        <v>108600</v>
      </c>
      <c r="B2173" t="s">
        <v>45099</v>
      </c>
      <c r="C2173" t="s">
        <v>45100</v>
      </c>
      <c r="D2173" t="s">
        <v>45101</v>
      </c>
      <c r="E2173" t="s">
        <v>45102</v>
      </c>
      <c r="F2173" t="s">
        <v>45103</v>
      </c>
      <c r="G2173" t="s">
        <v>45104</v>
      </c>
      <c r="H2173" t="s">
        <v>45105</v>
      </c>
      <c r="I2173" t="s">
        <v>45106</v>
      </c>
      <c r="J2173" t="s">
        <v>45107</v>
      </c>
      <c r="K2173" t="s">
        <v>45108</v>
      </c>
      <c r="L2173" t="s">
        <v>45109</v>
      </c>
      <c r="M2173">
        <f>-319.15456373827 -8.17154297545153 -323.126470736572</f>
        <v>-650.45257745029357</v>
      </c>
      <c r="N2173" t="s">
        <v>45110</v>
      </c>
      <c r="O2173">
        <f>-715.528926845977 -86.1789504048825 -722.575180291252</f>
        <v>-1524.2830575421115</v>
      </c>
      <c r="P2173">
        <f>-679.028097496544 -82.3321677768292 -408.188328072313</f>
        <v>-1169.5485933456862</v>
      </c>
      <c r="Q2173">
        <f>-433.505666912276 -10.7868032021813 -360.8377213795</f>
        <v>-805.13019149395734</v>
      </c>
      <c r="R2173" t="s">
        <v>45111</v>
      </c>
      <c r="S2173" t="s">
        <v>45112</v>
      </c>
      <c r="T2173" t="s">
        <v>45113</v>
      </c>
      <c r="U2173" t="s">
        <v>45114</v>
      </c>
      <c r="V2173" t="s">
        <v>45115</v>
      </c>
      <c r="W2173" t="s">
        <v>45116</v>
      </c>
      <c r="X2173" t="s">
        <v>45117</v>
      </c>
      <c r="Y2173" t="s">
        <v>45118</v>
      </c>
    </row>
    <row r="2174" spans="1:25" x14ac:dyDescent="0.3">
      <c r="A2174">
        <v>108650</v>
      </c>
      <c r="B2174" t="s">
        <v>45119</v>
      </c>
      <c r="C2174" t="s">
        <v>45120</v>
      </c>
      <c r="D2174" t="s">
        <v>45121</v>
      </c>
      <c r="E2174" t="s">
        <v>45122</v>
      </c>
      <c r="F2174" t="s">
        <v>45123</v>
      </c>
      <c r="G2174" t="s">
        <v>45124</v>
      </c>
      <c r="H2174" t="s">
        <v>45125</v>
      </c>
      <c r="I2174" t="s">
        <v>45126</v>
      </c>
      <c r="J2174" t="s">
        <v>45127</v>
      </c>
      <c r="K2174" t="s">
        <v>45128</v>
      </c>
      <c r="L2174" t="s">
        <v>45129</v>
      </c>
      <c r="M2174">
        <f>-319.35844585351 -8.41436653124947 -322.963746811719</f>
        <v>-650.73655919647842</v>
      </c>
      <c r="N2174" t="s">
        <v>45130</v>
      </c>
      <c r="O2174">
        <f>-716.233344150498 -85.4584571793328 -722.450005853089</f>
        <v>-1524.1418071829198</v>
      </c>
      <c r="P2174">
        <f>-679.809114209935 -81.9009401406736 -408.050849645409</f>
        <v>-1169.7609039960175</v>
      </c>
      <c r="Q2174">
        <f>-434.2190597776 -10.8204599708608 -360.352570870964</f>
        <v>-805.39209061942483</v>
      </c>
      <c r="R2174" t="s">
        <v>45131</v>
      </c>
      <c r="S2174" t="s">
        <v>45132</v>
      </c>
      <c r="T2174" t="s">
        <v>45133</v>
      </c>
      <c r="U2174" t="s">
        <v>45134</v>
      </c>
      <c r="V2174" t="s">
        <v>45135</v>
      </c>
      <c r="W2174" t="s">
        <v>45136</v>
      </c>
      <c r="X2174" t="s">
        <v>45137</v>
      </c>
      <c r="Y2174" t="s">
        <v>45138</v>
      </c>
    </row>
    <row r="2175" spans="1:25" x14ac:dyDescent="0.3">
      <c r="A2175">
        <v>108700</v>
      </c>
      <c r="B2175" t="s">
        <v>45139</v>
      </c>
      <c r="C2175" t="s">
        <v>45140</v>
      </c>
      <c r="D2175" t="s">
        <v>45141</v>
      </c>
      <c r="E2175" t="s">
        <v>45142</v>
      </c>
      <c r="F2175" t="s">
        <v>45143</v>
      </c>
      <c r="G2175" t="s">
        <v>45144</v>
      </c>
      <c r="H2175" t="s">
        <v>45145</v>
      </c>
      <c r="I2175" t="s">
        <v>45146</v>
      </c>
      <c r="J2175" t="s">
        <v>45147</v>
      </c>
      <c r="K2175" t="s">
        <v>45148</v>
      </c>
      <c r="L2175" t="s">
        <v>45149</v>
      </c>
      <c r="M2175">
        <f>-319.506729446888 -8.67268341385579 -322.99257911289</f>
        <v>-651.17199197363379</v>
      </c>
      <c r="N2175" t="s">
        <v>45150</v>
      </c>
      <c r="O2175">
        <f>-716.604713354587 -85.1374544330151 -722.348953468057</f>
        <v>-1524.0911212556591</v>
      </c>
      <c r="P2175">
        <f>-680.072152219959 -81.4149064726514 -407.964331353431</f>
        <v>-1169.4513900460415</v>
      </c>
      <c r="Q2175">
        <f>-434.374042451597 -10.7758699942267 -360.166560548549</f>
        <v>-805.3164729943727</v>
      </c>
      <c r="R2175" t="s">
        <v>45151</v>
      </c>
      <c r="S2175" t="s">
        <v>45152</v>
      </c>
      <c r="T2175" t="s">
        <v>45153</v>
      </c>
      <c r="U2175" t="s">
        <v>45154</v>
      </c>
      <c r="V2175" t="s">
        <v>45155</v>
      </c>
      <c r="W2175" t="s">
        <v>45156</v>
      </c>
      <c r="X2175" t="s">
        <v>45157</v>
      </c>
      <c r="Y2175" t="s">
        <v>45158</v>
      </c>
    </row>
    <row r="2176" spans="1:25" x14ac:dyDescent="0.3">
      <c r="A2176">
        <v>108750</v>
      </c>
      <c r="B2176" t="s">
        <v>45159</v>
      </c>
      <c r="C2176" t="s">
        <v>45160</v>
      </c>
      <c r="D2176" t="s">
        <v>45161</v>
      </c>
      <c r="E2176" t="s">
        <v>45162</v>
      </c>
      <c r="F2176" t="s">
        <v>45163</v>
      </c>
      <c r="G2176" t="s">
        <v>45164</v>
      </c>
      <c r="H2176" t="s">
        <v>45165</v>
      </c>
      <c r="I2176" t="s">
        <v>45166</v>
      </c>
      <c r="J2176" t="s">
        <v>45167</v>
      </c>
      <c r="K2176" t="s">
        <v>45168</v>
      </c>
      <c r="L2176" t="s">
        <v>45169</v>
      </c>
      <c r="M2176">
        <f>-319.563887983308 -9.12644523134213 -323.120257220027</f>
        <v>-651.81059043467712</v>
      </c>
      <c r="N2176" t="s">
        <v>45170</v>
      </c>
      <c r="O2176">
        <f>-717.074320826652 -84.5448830983639 -722.081388353037</f>
        <v>-1523.7005922780529</v>
      </c>
      <c r="P2176">
        <f>-680.285299624672 -80.7025379522483 -407.728078906698</f>
        <v>-1168.7159164836185</v>
      </c>
      <c r="Q2176">
        <f>-434.340220697075 -10.9031499086791 -359.967312609288</f>
        <v>-805.21068321504208</v>
      </c>
      <c r="R2176" t="s">
        <v>45171</v>
      </c>
      <c r="S2176" t="s">
        <v>45172</v>
      </c>
      <c r="T2176" t="s">
        <v>45173</v>
      </c>
      <c r="U2176" t="s">
        <v>45174</v>
      </c>
      <c r="V2176" t="s">
        <v>45175</v>
      </c>
      <c r="W2176" t="s">
        <v>45176</v>
      </c>
      <c r="X2176" t="s">
        <v>45177</v>
      </c>
      <c r="Y2176" t="s">
        <v>45178</v>
      </c>
    </row>
    <row r="2177" spans="1:25" x14ac:dyDescent="0.3">
      <c r="A2177">
        <v>108800</v>
      </c>
      <c r="B2177" t="s">
        <v>45179</v>
      </c>
      <c r="C2177" t="s">
        <v>45180</v>
      </c>
      <c r="D2177" t="s">
        <v>45181</v>
      </c>
      <c r="E2177" t="s">
        <v>45182</v>
      </c>
      <c r="F2177" t="s">
        <v>45183</v>
      </c>
      <c r="G2177" t="s">
        <v>45184</v>
      </c>
      <c r="H2177" t="s">
        <v>45185</v>
      </c>
      <c r="I2177" t="s">
        <v>45186</v>
      </c>
      <c r="J2177" t="s">
        <v>45187</v>
      </c>
      <c r="K2177" t="s">
        <v>45188</v>
      </c>
      <c r="L2177" t="s">
        <v>45189</v>
      </c>
      <c r="M2177">
        <f>-319.442578085969 -9.19827983844129 -323.243457432318</f>
        <v>-651.88431535672828</v>
      </c>
      <c r="N2177" t="s">
        <v>45190</v>
      </c>
      <c r="O2177">
        <f>-717.113995627108 -84.1208946035579 -722.019731801836</f>
        <v>-1523.2546220325019</v>
      </c>
      <c r="P2177">
        <f>-680.227730001654 -80.4170163051797 -407.676214528172</f>
        <v>-1168.3209608350057</v>
      </c>
      <c r="Q2177">
        <f>-434.192716720111 -10.9509115326166 -359.892493949726</f>
        <v>-805.0361222024535</v>
      </c>
      <c r="R2177" t="s">
        <v>45191</v>
      </c>
      <c r="S2177" t="s">
        <v>45192</v>
      </c>
      <c r="T2177" t="s">
        <v>45193</v>
      </c>
      <c r="U2177" t="s">
        <v>45194</v>
      </c>
      <c r="V2177" t="s">
        <v>45195</v>
      </c>
      <c r="W2177" t="s">
        <v>45196</v>
      </c>
      <c r="X2177" t="s">
        <v>45197</v>
      </c>
      <c r="Y2177" t="s">
        <v>45198</v>
      </c>
    </row>
    <row r="2178" spans="1:25" x14ac:dyDescent="0.3">
      <c r="A2178">
        <v>108850</v>
      </c>
      <c r="B2178" t="s">
        <v>45199</v>
      </c>
      <c r="C2178" t="s">
        <v>45200</v>
      </c>
      <c r="D2178" t="s">
        <v>45201</v>
      </c>
      <c r="E2178" t="s">
        <v>45202</v>
      </c>
      <c r="F2178" t="s">
        <v>45203</v>
      </c>
      <c r="G2178" t="s">
        <v>45204</v>
      </c>
      <c r="H2178" t="s">
        <v>45205</v>
      </c>
      <c r="I2178" t="s">
        <v>45206</v>
      </c>
      <c r="J2178" t="s">
        <v>45207</v>
      </c>
      <c r="K2178" t="s">
        <v>45208</v>
      </c>
      <c r="L2178" t="s">
        <v>45209</v>
      </c>
      <c r="M2178">
        <f>-319.218549659791 -9.65190640777269 -323.277110225494</f>
        <v>-652.14756629305771</v>
      </c>
      <c r="N2178" t="s">
        <v>45210</v>
      </c>
      <c r="O2178">
        <f>-717.250548550572 -83.7790582910081 -721.81388677633</f>
        <v>-1522.8434936179101</v>
      </c>
      <c r="P2178">
        <f>-680.177201921152 -80.7204617300529 -407.485223514172</f>
        <v>-1168.3828871653768</v>
      </c>
      <c r="Q2178">
        <f>-434.031740704729 -11.4950388495454 -359.921245487844</f>
        <v>-805.44802504211839</v>
      </c>
      <c r="R2178" t="s">
        <v>45211</v>
      </c>
      <c r="S2178" t="s">
        <v>45212</v>
      </c>
      <c r="T2178" t="s">
        <v>45213</v>
      </c>
      <c r="U2178" t="s">
        <v>45214</v>
      </c>
      <c r="V2178" t="s">
        <v>45215</v>
      </c>
      <c r="W2178" t="s">
        <v>45216</v>
      </c>
      <c r="X2178" t="s">
        <v>45217</v>
      </c>
      <c r="Y2178" t="s">
        <v>45218</v>
      </c>
    </row>
    <row r="2179" spans="1:25" x14ac:dyDescent="0.3">
      <c r="A2179">
        <v>108900</v>
      </c>
      <c r="B2179" t="s">
        <v>45219</v>
      </c>
      <c r="C2179" t="s">
        <v>45220</v>
      </c>
      <c r="D2179" t="s">
        <v>45221</v>
      </c>
      <c r="E2179" t="s">
        <v>45222</v>
      </c>
      <c r="F2179" t="s">
        <v>45223</v>
      </c>
      <c r="G2179" t="s">
        <v>45224</v>
      </c>
      <c r="H2179" t="s">
        <v>45225</v>
      </c>
      <c r="I2179" t="s">
        <v>45226</v>
      </c>
      <c r="J2179" t="s">
        <v>45227</v>
      </c>
      <c r="K2179" t="s">
        <v>45228</v>
      </c>
      <c r="L2179" t="s">
        <v>45229</v>
      </c>
      <c r="M2179">
        <f>-319.284415914673 -9.89853793335328 -323.383271621575</f>
        <v>-652.56622546960125</v>
      </c>
      <c r="N2179" t="s">
        <v>45230</v>
      </c>
      <c r="O2179">
        <f>-717.426587591298 -83.6099347890372 -721.7892606993</f>
        <v>-1522.8257830796351</v>
      </c>
      <c r="P2179">
        <f>-680.135016155759 -80.7894168992043 -407.484281154621</f>
        <v>-1168.4087142095843</v>
      </c>
      <c r="Q2179">
        <f>-433.924026151934 -11.7436548118515 -359.998968696288</f>
        <v>-805.66664966007352</v>
      </c>
      <c r="R2179" t="s">
        <v>45231</v>
      </c>
      <c r="S2179" t="s">
        <v>45232</v>
      </c>
      <c r="T2179" t="s">
        <v>45233</v>
      </c>
      <c r="U2179" t="s">
        <v>45234</v>
      </c>
      <c r="V2179" t="s">
        <v>45235</v>
      </c>
      <c r="W2179" t="s">
        <v>45236</v>
      </c>
      <c r="X2179" t="s">
        <v>45237</v>
      </c>
      <c r="Y2179" t="s">
        <v>45238</v>
      </c>
    </row>
    <row r="2180" spans="1:25" x14ac:dyDescent="0.3">
      <c r="A2180">
        <v>108950</v>
      </c>
      <c r="B2180" t="s">
        <v>45239</v>
      </c>
      <c r="C2180" t="s">
        <v>45240</v>
      </c>
      <c r="D2180" t="s">
        <v>45241</v>
      </c>
      <c r="E2180" t="s">
        <v>45242</v>
      </c>
      <c r="F2180" t="s">
        <v>45243</v>
      </c>
      <c r="G2180" t="s">
        <v>45244</v>
      </c>
      <c r="H2180" t="s">
        <v>45245</v>
      </c>
      <c r="I2180" t="s">
        <v>45246</v>
      </c>
      <c r="J2180" t="s">
        <v>45247</v>
      </c>
      <c r="K2180" t="s">
        <v>45248</v>
      </c>
      <c r="L2180" t="s">
        <v>45249</v>
      </c>
      <c r="M2180">
        <f>-319.474280793558 -10.5097199489976 -323.752207954721</f>
        <v>-653.73620869727665</v>
      </c>
      <c r="N2180" t="s">
        <v>45250</v>
      </c>
      <c r="O2180">
        <f>-717.856481007707 -83.3441157696088 -721.726113408435</f>
        <v>-1522.9267101857508</v>
      </c>
      <c r="P2180">
        <f>-680.366137707838 -80.8245780551795 -407.442357920426</f>
        <v>-1168.6330736834434</v>
      </c>
      <c r="Q2180">
        <f>-434.072320152307 -11.9177225128597 -360.184905232895</f>
        <v>-806.17494789806165</v>
      </c>
      <c r="R2180" t="s">
        <v>45251</v>
      </c>
      <c r="S2180" t="s">
        <v>45252</v>
      </c>
      <c r="T2180" t="s">
        <v>45253</v>
      </c>
      <c r="U2180" t="s">
        <v>45254</v>
      </c>
      <c r="V2180" t="s">
        <v>45255</v>
      </c>
      <c r="W2180" t="s">
        <v>45256</v>
      </c>
      <c r="X2180" t="s">
        <v>45257</v>
      </c>
      <c r="Y2180" t="s">
        <v>45258</v>
      </c>
    </row>
    <row r="2181" spans="1:25" x14ac:dyDescent="0.3">
      <c r="A2181">
        <v>109000</v>
      </c>
      <c r="B2181" t="s">
        <v>45259</v>
      </c>
      <c r="C2181" t="s">
        <v>45260</v>
      </c>
      <c r="D2181" t="s">
        <v>45261</v>
      </c>
      <c r="E2181" t="s">
        <v>45262</v>
      </c>
      <c r="F2181" t="s">
        <v>45263</v>
      </c>
      <c r="G2181" t="s">
        <v>45264</v>
      </c>
      <c r="H2181" t="s">
        <v>45265</v>
      </c>
      <c r="I2181" t="s">
        <v>45266</v>
      </c>
      <c r="J2181" t="s">
        <v>45267</v>
      </c>
      <c r="K2181" t="s">
        <v>45268</v>
      </c>
      <c r="L2181" t="s">
        <v>45269</v>
      </c>
      <c r="M2181">
        <f>-319.750927881992 -10.8385704873815 -324.089082975857</f>
        <v>-654.67858134523055</v>
      </c>
      <c r="N2181" t="s">
        <v>45270</v>
      </c>
      <c r="O2181">
        <f>-718.243611630811 -83.1704052170182 -721.701798480179</f>
        <v>-1523.1158153280082</v>
      </c>
      <c r="P2181">
        <f>-680.751463333152 -80.8562546859275 -407.416635362618</f>
        <v>-1169.0243533816974</v>
      </c>
      <c r="Q2181">
        <f>-434.467073827805 -11.8927023662034 -360.192981879659</f>
        <v>-806.55275807366741</v>
      </c>
      <c r="R2181" t="s">
        <v>45271</v>
      </c>
      <c r="S2181" t="s">
        <v>45272</v>
      </c>
      <c r="T2181" t="s">
        <v>45273</v>
      </c>
      <c r="U2181" t="s">
        <v>45274</v>
      </c>
      <c r="V2181" t="s">
        <v>45275</v>
      </c>
      <c r="W2181" t="s">
        <v>45276</v>
      </c>
      <c r="X2181" t="s">
        <v>45277</v>
      </c>
      <c r="Y2181" t="s">
        <v>45278</v>
      </c>
    </row>
    <row r="2182" spans="1:25" x14ac:dyDescent="0.3">
      <c r="A2182">
        <v>109050</v>
      </c>
      <c r="B2182" t="s">
        <v>45279</v>
      </c>
      <c r="C2182" t="s">
        <v>45280</v>
      </c>
      <c r="D2182" t="s">
        <v>45281</v>
      </c>
      <c r="E2182" t="s">
        <v>45282</v>
      </c>
      <c r="F2182" t="s">
        <v>45283</v>
      </c>
      <c r="G2182" t="s">
        <v>45284</v>
      </c>
      <c r="H2182" t="s">
        <v>45285</v>
      </c>
      <c r="I2182" t="s">
        <v>45286</v>
      </c>
      <c r="J2182" t="s">
        <v>45287</v>
      </c>
      <c r="K2182" t="s">
        <v>45288</v>
      </c>
      <c r="L2182" t="s">
        <v>45289</v>
      </c>
      <c r="M2182">
        <f>-320.325551646114 -10.90780550311 -324.441799269933</f>
        <v>-655.67515641915702</v>
      </c>
      <c r="N2182" t="s">
        <v>45290</v>
      </c>
      <c r="O2182">
        <f>-719.126482685647 -82.5212357298406 -721.786251899926</f>
        <v>-1523.4339703154137</v>
      </c>
      <c r="P2182">
        <f>-681.749551064654 -80.2089422239299 -407.487365180466</f>
        <v>-1169.4458584690499</v>
      </c>
      <c r="Q2182">
        <f>-435.514590383846 -11.2781978851017 -359.95927397293</f>
        <v>-806.75206224187764</v>
      </c>
      <c r="R2182" t="s">
        <v>45291</v>
      </c>
      <c r="S2182" t="s">
        <v>45292</v>
      </c>
      <c r="T2182" t="s">
        <v>45293</v>
      </c>
      <c r="U2182" t="s">
        <v>45294</v>
      </c>
      <c r="V2182" t="s">
        <v>45295</v>
      </c>
      <c r="W2182" t="s">
        <v>45296</v>
      </c>
      <c r="X2182" t="s">
        <v>45297</v>
      </c>
      <c r="Y2182" t="s">
        <v>45298</v>
      </c>
    </row>
    <row r="2183" spans="1:25" x14ac:dyDescent="0.3">
      <c r="A2183">
        <v>109100</v>
      </c>
      <c r="B2183" t="s">
        <v>45299</v>
      </c>
      <c r="C2183" t="s">
        <v>45300</v>
      </c>
      <c r="D2183" t="s">
        <v>45301</v>
      </c>
      <c r="E2183" t="s">
        <v>45302</v>
      </c>
      <c r="F2183" t="s">
        <v>45303</v>
      </c>
      <c r="G2183" t="s">
        <v>45304</v>
      </c>
      <c r="H2183" t="s">
        <v>45305</v>
      </c>
      <c r="I2183" t="s">
        <v>45306</v>
      </c>
      <c r="J2183" t="s">
        <v>45307</v>
      </c>
      <c r="K2183" t="s">
        <v>45308</v>
      </c>
      <c r="L2183" t="s">
        <v>45309</v>
      </c>
      <c r="M2183">
        <f>-320.660608833441 -10.9587672688097 -324.517917517063</f>
        <v>-656.13729361931371</v>
      </c>
      <c r="N2183" t="s">
        <v>45310</v>
      </c>
      <c r="O2183">
        <f>-719.565382685045 -82.2195042598316 -721.912314308276</f>
        <v>-1523.6972012531528</v>
      </c>
      <c r="P2183">
        <f>-682.348287909263 -80.1045129855079 -407.593007055487</f>
        <v>-1170.045807950258</v>
      </c>
      <c r="Q2183">
        <f>-436.149172838001 -11.1760082042022 -359.8754496562</f>
        <v>-807.20063069840319</v>
      </c>
      <c r="R2183" t="s">
        <v>45311</v>
      </c>
      <c r="S2183" t="s">
        <v>45312</v>
      </c>
      <c r="T2183" t="s">
        <v>45313</v>
      </c>
      <c r="U2183" t="s">
        <v>45314</v>
      </c>
      <c r="V2183" t="s">
        <v>45315</v>
      </c>
      <c r="W2183" t="s">
        <v>45316</v>
      </c>
      <c r="X2183" t="s">
        <v>45317</v>
      </c>
      <c r="Y2183" t="s">
        <v>45318</v>
      </c>
    </row>
    <row r="2184" spans="1:25" x14ac:dyDescent="0.3">
      <c r="A2184">
        <v>109150</v>
      </c>
      <c r="B2184" t="s">
        <v>45319</v>
      </c>
      <c r="C2184" t="s">
        <v>45320</v>
      </c>
      <c r="D2184" t="s">
        <v>45321</v>
      </c>
      <c r="E2184" t="s">
        <v>45322</v>
      </c>
      <c r="F2184" t="s">
        <v>45323</v>
      </c>
      <c r="G2184" t="s">
        <v>45324</v>
      </c>
      <c r="H2184" t="s">
        <v>45325</v>
      </c>
      <c r="I2184" t="s">
        <v>45326</v>
      </c>
      <c r="J2184" t="s">
        <v>45327</v>
      </c>
      <c r="K2184" t="s">
        <v>45328</v>
      </c>
      <c r="L2184" t="s">
        <v>45329</v>
      </c>
      <c r="M2184">
        <f>-321.747457018731 -10.7697104179749 -324.502760635071</f>
        <v>-657.01992807177692</v>
      </c>
      <c r="N2184" t="s">
        <v>45330</v>
      </c>
      <c r="O2184">
        <f>-720.793406639598 -81.3680408879284 -722.341160864483</f>
        <v>-1524.5026083920093</v>
      </c>
      <c r="P2184">
        <f>-683.783173223182 -79.3226158670118 -407.997043546685</f>
        <v>-1171.1028326368787</v>
      </c>
      <c r="Q2184">
        <f>-437.574976562699 -10.7388038601844 -359.831903140867</f>
        <v>-808.14568356375048</v>
      </c>
      <c r="R2184" t="s">
        <v>45331</v>
      </c>
      <c r="S2184" t="s">
        <v>45332</v>
      </c>
      <c r="T2184" t="s">
        <v>45333</v>
      </c>
      <c r="U2184" t="s">
        <v>45334</v>
      </c>
      <c r="V2184" t="s">
        <v>45335</v>
      </c>
      <c r="W2184" t="s">
        <v>45336</v>
      </c>
      <c r="X2184" t="s">
        <v>45337</v>
      </c>
      <c r="Y2184" t="s">
        <v>45338</v>
      </c>
    </row>
    <row r="2185" spans="1:25" x14ac:dyDescent="0.3">
      <c r="A2185">
        <v>109200</v>
      </c>
      <c r="B2185" t="s">
        <v>45339</v>
      </c>
      <c r="C2185" t="s">
        <v>45340</v>
      </c>
      <c r="D2185" t="s">
        <v>45341</v>
      </c>
      <c r="E2185" t="s">
        <v>45342</v>
      </c>
      <c r="F2185" t="s">
        <v>45343</v>
      </c>
      <c r="G2185" t="s">
        <v>45344</v>
      </c>
      <c r="H2185" t="s">
        <v>45345</v>
      </c>
      <c r="I2185" t="s">
        <v>45346</v>
      </c>
      <c r="J2185" t="s">
        <v>45347</v>
      </c>
      <c r="K2185" t="s">
        <v>45348</v>
      </c>
      <c r="L2185" t="s">
        <v>45349</v>
      </c>
      <c r="M2185">
        <f>-322.275827349497 -10.5713701252487 -324.56635848264</f>
        <v>-657.4135559573856</v>
      </c>
      <c r="N2185" t="s">
        <v>45350</v>
      </c>
      <c r="O2185">
        <f>-721.408236954855 -80.7913838071736 -722.611594596283</f>
        <v>-1524.8112153583115</v>
      </c>
      <c r="P2185">
        <f>-684.371423045071 -78.9808120341806 -408.269148382331</f>
        <v>-1171.6213834615826</v>
      </c>
      <c r="Q2185">
        <f>-438.146159997789 -10.5930345526053 -359.913003691112</f>
        <v>-808.65219824150631</v>
      </c>
      <c r="R2185" t="s">
        <v>45351</v>
      </c>
      <c r="S2185" t="s">
        <v>45352</v>
      </c>
      <c r="T2185" t="s">
        <v>45353</v>
      </c>
      <c r="U2185" t="s">
        <v>45354</v>
      </c>
      <c r="V2185" t="s">
        <v>45355</v>
      </c>
      <c r="W2185" t="s">
        <v>45356</v>
      </c>
      <c r="X2185" t="s">
        <v>45357</v>
      </c>
      <c r="Y2185" t="s">
        <v>45358</v>
      </c>
    </row>
    <row r="2186" spans="1:25" x14ac:dyDescent="0.3">
      <c r="A2186">
        <v>109250</v>
      </c>
      <c r="B2186" t="s">
        <v>45359</v>
      </c>
      <c r="C2186" t="s">
        <v>45360</v>
      </c>
      <c r="D2186" t="s">
        <v>45361</v>
      </c>
      <c r="E2186" t="s">
        <v>45362</v>
      </c>
      <c r="F2186" t="s">
        <v>45363</v>
      </c>
      <c r="G2186" t="s">
        <v>45364</v>
      </c>
      <c r="H2186" t="s">
        <v>45365</v>
      </c>
      <c r="I2186" t="s">
        <v>45366</v>
      </c>
      <c r="J2186" t="s">
        <v>45367</v>
      </c>
      <c r="K2186" t="s">
        <v>45368</v>
      </c>
      <c r="L2186" t="s">
        <v>45369</v>
      </c>
      <c r="M2186">
        <f>-322.981277765424 -10.490553052226 -324.753344088344</f>
        <v>-658.22517490599398</v>
      </c>
      <c r="N2186" t="s">
        <v>45370</v>
      </c>
      <c r="O2186">
        <f>-722.298566514087 -79.9097369476565 -723.096963094421</f>
        <v>-1525.3052665561645</v>
      </c>
      <c r="P2186">
        <f>-685.463404183745 -78.0128448243493 -408.731372951967</f>
        <v>-1172.2076219600613</v>
      </c>
      <c r="Q2186">
        <f>-439.091714186347 -10.5149952455488 -359.873193933452</f>
        <v>-809.47990336534781</v>
      </c>
      <c r="R2186" t="s">
        <v>45371</v>
      </c>
      <c r="S2186" t="s">
        <v>45372</v>
      </c>
      <c r="T2186" t="s">
        <v>45373</v>
      </c>
      <c r="U2186" t="s">
        <v>45374</v>
      </c>
      <c r="V2186" t="s">
        <v>45375</v>
      </c>
      <c r="W2186" t="s">
        <v>45376</v>
      </c>
      <c r="X2186" t="s">
        <v>45377</v>
      </c>
      <c r="Y2186" t="s">
        <v>45378</v>
      </c>
    </row>
    <row r="2187" spans="1:25" x14ac:dyDescent="0.3">
      <c r="A2187">
        <v>109300</v>
      </c>
      <c r="B2187" t="s">
        <v>45379</v>
      </c>
      <c r="C2187" t="s">
        <v>45380</v>
      </c>
      <c r="D2187" t="s">
        <v>45381</v>
      </c>
      <c r="E2187" t="s">
        <v>45382</v>
      </c>
      <c r="F2187" t="s">
        <v>45383</v>
      </c>
      <c r="G2187" t="s">
        <v>45384</v>
      </c>
      <c r="H2187" t="s">
        <v>45385</v>
      </c>
      <c r="I2187" t="s">
        <v>45386</v>
      </c>
      <c r="J2187" t="s">
        <v>45387</v>
      </c>
      <c r="K2187" t="s">
        <v>45388</v>
      </c>
      <c r="L2187" t="s">
        <v>45389</v>
      </c>
      <c r="M2187">
        <f>-323.227988405579 -10.5080799398809 -324.833365601945</f>
        <v>-658.56943394740483</v>
      </c>
      <c r="N2187" t="s">
        <v>45390</v>
      </c>
      <c r="O2187">
        <f>-722.652856221951 -79.5723749824358 -723.25312076424</f>
        <v>-1525.4783519686266</v>
      </c>
      <c r="P2187">
        <f>-685.969331402986 -77.8470794793698 -408.868635029982</f>
        <v>-1172.6850459123377</v>
      </c>
      <c r="Q2187">
        <f>-439.491227267681 -10.8506265308934 -359.858004782082</f>
        <v>-810.19985858065638</v>
      </c>
      <c r="R2187" t="s">
        <v>45391</v>
      </c>
      <c r="S2187" t="s">
        <v>45392</v>
      </c>
      <c r="T2187" t="s">
        <v>45393</v>
      </c>
      <c r="U2187" t="s">
        <v>45394</v>
      </c>
      <c r="V2187" t="s">
        <v>45395</v>
      </c>
      <c r="W2187" t="s">
        <v>45396</v>
      </c>
      <c r="X2187" t="s">
        <v>45397</v>
      </c>
      <c r="Y2187" t="s">
        <v>45398</v>
      </c>
    </row>
    <row r="2188" spans="1:25" x14ac:dyDescent="0.3">
      <c r="A2188">
        <v>109350</v>
      </c>
      <c r="B2188" t="s">
        <v>45399</v>
      </c>
      <c r="C2188" t="s">
        <v>45400</v>
      </c>
      <c r="D2188" t="s">
        <v>45401</v>
      </c>
      <c r="E2188" t="s">
        <v>45402</v>
      </c>
      <c r="F2188" t="s">
        <v>45403</v>
      </c>
      <c r="G2188" t="s">
        <v>45404</v>
      </c>
      <c r="H2188" t="s">
        <v>45405</v>
      </c>
      <c r="I2188" t="s">
        <v>45406</v>
      </c>
      <c r="J2188" t="s">
        <v>45407</v>
      </c>
      <c r="K2188" t="s">
        <v>45408</v>
      </c>
      <c r="L2188" t="s">
        <v>45409</v>
      </c>
      <c r="M2188">
        <f>-323.700506219812 -10.432024717644 -324.884811341068</f>
        <v>-659.01734227852398</v>
      </c>
      <c r="N2188" t="s">
        <v>45410</v>
      </c>
      <c r="O2188">
        <f>-723.39591552734 -78.8101307247423 -723.518717203354</f>
        <v>-1525.7247634554362</v>
      </c>
      <c r="P2188">
        <f>-687.045183253387 -77.1667085976114 -409.095312663074</f>
        <v>-1173.3072045140725</v>
      </c>
      <c r="Q2188">
        <f>-440.404989682613 -11.0459597907452 -359.711710643055</f>
        <v>-811.16266011641324</v>
      </c>
      <c r="R2188" t="s">
        <v>45411</v>
      </c>
      <c r="S2188" t="s">
        <v>45412</v>
      </c>
      <c r="T2188" t="s">
        <v>45413</v>
      </c>
      <c r="U2188" t="s">
        <v>45414</v>
      </c>
      <c r="V2188" t="s">
        <v>45415</v>
      </c>
      <c r="W2188" t="s">
        <v>45416</v>
      </c>
      <c r="X2188" t="s">
        <v>45417</v>
      </c>
      <c r="Y2188" t="s">
        <v>45418</v>
      </c>
    </row>
    <row r="2189" spans="1:25" x14ac:dyDescent="0.3">
      <c r="A2189">
        <v>109400</v>
      </c>
      <c r="B2189" t="s">
        <v>45419</v>
      </c>
      <c r="C2189" t="s">
        <v>45420</v>
      </c>
      <c r="D2189" t="s">
        <v>45421</v>
      </c>
      <c r="E2189" t="s">
        <v>45422</v>
      </c>
      <c r="F2189" t="s">
        <v>45423</v>
      </c>
      <c r="G2189" t="s">
        <v>45424</v>
      </c>
      <c r="H2189" t="s">
        <v>45425</v>
      </c>
      <c r="I2189" t="s">
        <v>45426</v>
      </c>
      <c r="J2189" t="s">
        <v>45427</v>
      </c>
      <c r="K2189" t="s">
        <v>45428</v>
      </c>
      <c r="L2189" t="s">
        <v>45429</v>
      </c>
      <c r="M2189">
        <f>-323.926695769644 -10.5704785954854 -324.869251412389</f>
        <v>-659.36642577751843</v>
      </c>
      <c r="N2189" t="s">
        <v>45430</v>
      </c>
      <c r="O2189">
        <f>-723.763492087569 -78.6763303076664 -723.530154689954</f>
        <v>-1525.9699770851894</v>
      </c>
      <c r="P2189">
        <f>-687.505645348691 -76.9924567357452 -409.09618368905</f>
        <v>-1173.5942857734863</v>
      </c>
      <c r="Q2189">
        <f>-440.81960585633 -11.1895183545751 -359.518021838458</f>
        <v>-811.52714604936318</v>
      </c>
      <c r="R2189" t="s">
        <v>45431</v>
      </c>
      <c r="S2189" t="s">
        <v>45432</v>
      </c>
      <c r="T2189" t="s">
        <v>45433</v>
      </c>
      <c r="U2189" t="s">
        <v>45434</v>
      </c>
      <c r="V2189" t="s">
        <v>45435</v>
      </c>
      <c r="W2189" t="s">
        <v>45436</v>
      </c>
      <c r="X2189" t="s">
        <v>45437</v>
      </c>
      <c r="Y2189" t="s">
        <v>45438</v>
      </c>
    </row>
    <row r="2190" spans="1:25" x14ac:dyDescent="0.3">
      <c r="A2190">
        <v>109450</v>
      </c>
      <c r="B2190" t="s">
        <v>45439</v>
      </c>
      <c r="C2190" t="s">
        <v>45440</v>
      </c>
      <c r="D2190" t="s">
        <v>45441</v>
      </c>
      <c r="E2190" t="s">
        <v>45442</v>
      </c>
      <c r="F2190" t="s">
        <v>45443</v>
      </c>
      <c r="G2190" t="s">
        <v>45444</v>
      </c>
      <c r="H2190" t="s">
        <v>45445</v>
      </c>
      <c r="I2190" t="s">
        <v>45446</v>
      </c>
      <c r="J2190" t="s">
        <v>45447</v>
      </c>
      <c r="K2190" t="s">
        <v>45448</v>
      </c>
      <c r="L2190" t="s">
        <v>45449</v>
      </c>
      <c r="M2190">
        <f>-324.671206082256 -10.693040863322 -324.73370239076</f>
        <v>-660.09794933633793</v>
      </c>
      <c r="N2190" t="s">
        <v>45450</v>
      </c>
      <c r="O2190">
        <f>-724.594677494136 -78.3736585098932 -723.451319115583</f>
        <v>-1526.4196551196123</v>
      </c>
      <c r="P2190">
        <f>-688.642761594338 -76.3108886080774 -408.984385089175</f>
        <v>-1173.9380352915905</v>
      </c>
      <c r="Q2190">
        <f>-441.95521686784 -10.9494266073555 -358.832854185878</f>
        <v>-811.73749766107358</v>
      </c>
      <c r="R2190" t="s">
        <v>45451</v>
      </c>
      <c r="S2190" t="s">
        <v>45452</v>
      </c>
      <c r="T2190" t="s">
        <v>45453</v>
      </c>
      <c r="U2190" t="s">
        <v>45454</v>
      </c>
      <c r="V2190" t="s">
        <v>45455</v>
      </c>
      <c r="W2190" t="s">
        <v>45456</v>
      </c>
      <c r="X2190" t="s">
        <v>45457</v>
      </c>
      <c r="Y2190" t="s">
        <v>45458</v>
      </c>
    </row>
    <row r="2191" spans="1:25" x14ac:dyDescent="0.3">
      <c r="A2191">
        <v>109500</v>
      </c>
      <c r="B2191" t="s">
        <v>45459</v>
      </c>
      <c r="C2191" t="s">
        <v>45460</v>
      </c>
      <c r="D2191" t="s">
        <v>45461</v>
      </c>
      <c r="E2191" t="s">
        <v>45462</v>
      </c>
      <c r="F2191" t="s">
        <v>45463</v>
      </c>
      <c r="G2191" t="s">
        <v>45464</v>
      </c>
      <c r="H2191" t="s">
        <v>45465</v>
      </c>
      <c r="I2191" t="s">
        <v>45466</v>
      </c>
      <c r="J2191" t="s">
        <v>45467</v>
      </c>
      <c r="K2191" t="s">
        <v>45468</v>
      </c>
      <c r="L2191" t="s">
        <v>45469</v>
      </c>
      <c r="M2191">
        <f>-324.865607010924 -10.7275985705633 -324.70211840344</f>
        <v>-660.29532398492734</v>
      </c>
      <c r="N2191" t="s">
        <v>45470</v>
      </c>
      <c r="O2191">
        <f>-724.795483082974 -78.1947979175277 -723.464796765216</f>
        <v>-1526.4550777657178</v>
      </c>
      <c r="P2191">
        <f>-689.061287275537 -75.8062359254816 -408.975482667235</f>
        <v>-1173.8430058682536</v>
      </c>
      <c r="Q2191">
        <f>-442.389155148981 -10.652398389788 -358.479291922199</f>
        <v>-811.52084546096808</v>
      </c>
      <c r="R2191" t="s">
        <v>45471</v>
      </c>
      <c r="S2191" t="s">
        <v>45472</v>
      </c>
      <c r="T2191" t="s">
        <v>45473</v>
      </c>
      <c r="U2191" t="s">
        <v>45474</v>
      </c>
      <c r="V2191" t="s">
        <v>45475</v>
      </c>
      <c r="W2191" t="s">
        <v>45476</v>
      </c>
      <c r="X2191" t="s">
        <v>45477</v>
      </c>
      <c r="Y2191" t="s">
        <v>45478</v>
      </c>
    </row>
    <row r="2192" spans="1:25" x14ac:dyDescent="0.3">
      <c r="A2192">
        <v>109550</v>
      </c>
      <c r="B2192" t="s">
        <v>45479</v>
      </c>
      <c r="C2192" t="s">
        <v>45480</v>
      </c>
      <c r="D2192" t="s">
        <v>45481</v>
      </c>
      <c r="E2192" t="s">
        <v>45482</v>
      </c>
      <c r="F2192" t="s">
        <v>45483</v>
      </c>
      <c r="G2192" t="s">
        <v>45484</v>
      </c>
      <c r="H2192" t="s">
        <v>45485</v>
      </c>
      <c r="I2192" t="s">
        <v>45486</v>
      </c>
      <c r="J2192" t="s">
        <v>45487</v>
      </c>
      <c r="K2192" t="s">
        <v>45488</v>
      </c>
      <c r="L2192" t="s">
        <v>45489</v>
      </c>
      <c r="M2192">
        <f>-325.167072945631 -10.805338536373 -324.84620069699</f>
        <v>-660.81861217899404</v>
      </c>
      <c r="N2192" t="s">
        <v>45490</v>
      </c>
      <c r="O2192">
        <f>-725.132709693716 -77.9898959164645 -723.512263776033</f>
        <v>-1526.6348693862137</v>
      </c>
      <c r="P2192">
        <f>-690.001250937482 -75.3327969185741 -408.957128045508</f>
        <v>-1174.2911759015642</v>
      </c>
      <c r="Q2192">
        <f>-443.429433515678 -10.2621486682024 -357.866976760613</f>
        <v>-811.55855894449337</v>
      </c>
      <c r="R2192" t="s">
        <v>45491</v>
      </c>
      <c r="S2192" t="s">
        <v>45492</v>
      </c>
      <c r="T2192" t="s">
        <v>45493</v>
      </c>
      <c r="U2192" t="s">
        <v>45494</v>
      </c>
      <c r="V2192" t="s">
        <v>45495</v>
      </c>
      <c r="W2192" t="s">
        <v>45496</v>
      </c>
      <c r="X2192" t="s">
        <v>45497</v>
      </c>
      <c r="Y2192" t="s">
        <v>45498</v>
      </c>
    </row>
    <row r="2193" spans="1:25" x14ac:dyDescent="0.3">
      <c r="A2193">
        <v>109600</v>
      </c>
      <c r="B2193" t="s">
        <v>45499</v>
      </c>
      <c r="C2193" t="s">
        <v>45500</v>
      </c>
      <c r="D2193" t="s">
        <v>45501</v>
      </c>
      <c r="E2193" t="s">
        <v>45502</v>
      </c>
      <c r="F2193" t="s">
        <v>45503</v>
      </c>
      <c r="G2193" t="s">
        <v>45504</v>
      </c>
      <c r="H2193" t="s">
        <v>45505</v>
      </c>
      <c r="I2193" t="s">
        <v>45506</v>
      </c>
      <c r="J2193" t="s">
        <v>45507</v>
      </c>
      <c r="K2193" t="s">
        <v>45508</v>
      </c>
      <c r="L2193" t="s">
        <v>45509</v>
      </c>
      <c r="M2193">
        <f>-325.177624801677 -10.8277311777558 -324.932400501532</f>
        <v>-660.93775648096482</v>
      </c>
      <c r="N2193" t="s">
        <v>45510</v>
      </c>
      <c r="O2193">
        <f>-725.286910777351 -77.8986385379405 -723.50678195988</f>
        <v>-1526.6923312751715</v>
      </c>
      <c r="P2193">
        <f>-690.463398573614 -75.0294415747057 -408.919305918968</f>
        <v>-1174.4121460672877</v>
      </c>
      <c r="Q2193">
        <f>-443.912622304341 -10.0708162015333 -357.585720882324</f>
        <v>-811.56915938819839</v>
      </c>
      <c r="R2193" t="s">
        <v>45511</v>
      </c>
      <c r="S2193" t="s">
        <v>45512</v>
      </c>
      <c r="T2193" t="s">
        <v>45513</v>
      </c>
      <c r="U2193" t="s">
        <v>45514</v>
      </c>
      <c r="V2193" t="s">
        <v>45515</v>
      </c>
      <c r="W2193" t="s">
        <v>45516</v>
      </c>
      <c r="X2193" t="s">
        <v>45517</v>
      </c>
      <c r="Y2193" t="s">
        <v>45518</v>
      </c>
    </row>
    <row r="2194" spans="1:25" x14ac:dyDescent="0.3">
      <c r="A2194">
        <v>109650</v>
      </c>
      <c r="B2194" t="s">
        <v>45519</v>
      </c>
      <c r="C2194" t="s">
        <v>45520</v>
      </c>
      <c r="D2194" t="s">
        <v>45521</v>
      </c>
      <c r="E2194" t="s">
        <v>45522</v>
      </c>
      <c r="F2194" t="s">
        <v>45523</v>
      </c>
      <c r="G2194" t="s">
        <v>45524</v>
      </c>
      <c r="H2194" t="s">
        <v>45525</v>
      </c>
      <c r="I2194" t="s">
        <v>45526</v>
      </c>
      <c r="J2194" t="s">
        <v>45527</v>
      </c>
      <c r="K2194" t="s">
        <v>45528</v>
      </c>
      <c r="L2194" t="s">
        <v>45529</v>
      </c>
      <c r="M2194">
        <f>-325.503375960379 -10.7419766026496 -324.608983647363</f>
        <v>-660.85433621039169</v>
      </c>
      <c r="N2194" t="s">
        <v>45530</v>
      </c>
      <c r="O2194">
        <f>-725.975800493584 -77.8600212955723 -723.385297344828</f>
        <v>-1527.2211191339843</v>
      </c>
      <c r="P2194">
        <f>-691.187040913296 -74.2343888966004 -408.801877653732</f>
        <v>-1174.2233074636283</v>
      </c>
      <c r="Q2194">
        <f>-444.586951959868 -9.72224262335817 -357.142911345344</f>
        <v>-811.45210592857006</v>
      </c>
      <c r="R2194" t="s">
        <v>45531</v>
      </c>
      <c r="S2194" t="s">
        <v>45532</v>
      </c>
      <c r="T2194" t="s">
        <v>45533</v>
      </c>
      <c r="U2194" t="s">
        <v>45534</v>
      </c>
      <c r="V2194" t="s">
        <v>45535</v>
      </c>
      <c r="W2194" t="s">
        <v>45536</v>
      </c>
      <c r="X2194" t="s">
        <v>45537</v>
      </c>
      <c r="Y2194" t="s">
        <v>45538</v>
      </c>
    </row>
    <row r="2195" spans="1:25" x14ac:dyDescent="0.3">
      <c r="A2195">
        <v>109700</v>
      </c>
      <c r="B2195" t="s">
        <v>45539</v>
      </c>
      <c r="C2195" t="s">
        <v>45540</v>
      </c>
      <c r="D2195" t="s">
        <v>45541</v>
      </c>
      <c r="E2195" t="s">
        <v>45542</v>
      </c>
      <c r="F2195" t="s">
        <v>45543</v>
      </c>
      <c r="G2195" t="s">
        <v>45544</v>
      </c>
      <c r="H2195" t="s">
        <v>45545</v>
      </c>
      <c r="I2195" t="s">
        <v>45546</v>
      </c>
      <c r="J2195" t="s">
        <v>45547</v>
      </c>
      <c r="K2195" t="s">
        <v>45548</v>
      </c>
      <c r="L2195" t="s">
        <v>45549</v>
      </c>
      <c r="M2195">
        <f>-325.84190408471 -10.5914373648743 -324.387012602373</f>
        <v>-660.82035405195734</v>
      </c>
      <c r="N2195" t="s">
        <v>45550</v>
      </c>
      <c r="O2195">
        <f>-726.393547630342 -77.9452369305293 -723.26879791593</f>
        <v>-1527.6075824768013</v>
      </c>
      <c r="P2195">
        <f>-691.56764087403 -73.759278436024 -408.696445238298</f>
        <v>-1174.023364548352</v>
      </c>
      <c r="Q2195">
        <f>-444.898730568521 -9.64772473582411 -356.867725609836</f>
        <v>-811.41418091418109</v>
      </c>
      <c r="R2195" t="s">
        <v>45551</v>
      </c>
      <c r="S2195" t="s">
        <v>45552</v>
      </c>
      <c r="T2195" t="s">
        <v>45553</v>
      </c>
      <c r="U2195" t="s">
        <v>45554</v>
      </c>
      <c r="V2195" t="s">
        <v>45555</v>
      </c>
      <c r="W2195" t="s">
        <v>45556</v>
      </c>
      <c r="X2195" t="s">
        <v>45557</v>
      </c>
      <c r="Y2195" t="s">
        <v>45558</v>
      </c>
    </row>
    <row r="2196" spans="1:25" x14ac:dyDescent="0.3">
      <c r="A2196">
        <v>109750</v>
      </c>
      <c r="B2196" t="s">
        <v>45559</v>
      </c>
      <c r="C2196" t="s">
        <v>45560</v>
      </c>
      <c r="D2196" t="s">
        <v>45561</v>
      </c>
      <c r="E2196" t="s">
        <v>45562</v>
      </c>
      <c r="F2196" t="s">
        <v>45563</v>
      </c>
      <c r="G2196" t="s">
        <v>45564</v>
      </c>
      <c r="H2196" t="s">
        <v>45565</v>
      </c>
      <c r="I2196" t="s">
        <v>45566</v>
      </c>
      <c r="J2196" t="s">
        <v>45567</v>
      </c>
      <c r="K2196" t="s">
        <v>45568</v>
      </c>
      <c r="L2196" t="s">
        <v>45569</v>
      </c>
      <c r="M2196">
        <f>-326.450109629168 -10.0736366117728 -323.626620380902</f>
        <v>-660.15036662184286</v>
      </c>
      <c r="N2196" t="s">
        <v>45570</v>
      </c>
      <c r="O2196">
        <f>-727.0333160713 -77.8922852884079 -723.168562096265</f>
        <v>-1528.0941634559729</v>
      </c>
      <c r="P2196">
        <f>-692.779747177756 -72.9318481577031 -408.544412066247</f>
        <v>-1174.256007401706</v>
      </c>
      <c r="Q2196">
        <f>-446.064227497818 -9.38485254850843 -356.244259999911</f>
        <v>-811.69334004623738</v>
      </c>
      <c r="R2196" t="s">
        <v>45571</v>
      </c>
      <c r="S2196" t="s">
        <v>45572</v>
      </c>
      <c r="T2196" t="s">
        <v>45573</v>
      </c>
      <c r="U2196" t="s">
        <v>45574</v>
      </c>
      <c r="V2196" t="s">
        <v>45575</v>
      </c>
      <c r="W2196" t="s">
        <v>45576</v>
      </c>
      <c r="X2196" t="s">
        <v>45577</v>
      </c>
      <c r="Y2196" t="s">
        <v>45578</v>
      </c>
    </row>
    <row r="2197" spans="1:25" x14ac:dyDescent="0.3">
      <c r="A2197">
        <v>109800</v>
      </c>
      <c r="B2197" t="s">
        <v>45579</v>
      </c>
      <c r="C2197" t="s">
        <v>45580</v>
      </c>
      <c r="D2197" t="s">
        <v>45581</v>
      </c>
      <c r="E2197" t="s">
        <v>45582</v>
      </c>
      <c r="F2197" t="s">
        <v>45583</v>
      </c>
      <c r="G2197" t="s">
        <v>45584</v>
      </c>
      <c r="H2197" t="s">
        <v>45585</v>
      </c>
      <c r="I2197" t="s">
        <v>45586</v>
      </c>
      <c r="J2197" t="s">
        <v>45587</v>
      </c>
      <c r="K2197" t="s">
        <v>45588</v>
      </c>
      <c r="L2197" t="s">
        <v>45589</v>
      </c>
      <c r="M2197">
        <f>-326.753854500608 -9.78757837058311 -323.20647452415</f>
        <v>-659.74790739534114</v>
      </c>
      <c r="N2197" t="s">
        <v>45590</v>
      </c>
      <c r="O2197">
        <f>-727.256785288815 -77.6559034006609 -723.249362957038</f>
        <v>-1528.1620516465139</v>
      </c>
      <c r="P2197">
        <f>-693.526206581323 -72.5626450789227 -408.570838478738</f>
        <v>-1174.6596901389837</v>
      </c>
      <c r="Q2197">
        <f>-446.850505883587 -9.31703234870429 -355.721041626877</f>
        <v>-811.88857985916832</v>
      </c>
      <c r="R2197" t="s">
        <v>45591</v>
      </c>
      <c r="S2197" t="s">
        <v>45592</v>
      </c>
      <c r="T2197" t="s">
        <v>45593</v>
      </c>
      <c r="U2197" t="s">
        <v>45594</v>
      </c>
      <c r="V2197" t="s">
        <v>45595</v>
      </c>
      <c r="W2197" t="s">
        <v>45596</v>
      </c>
      <c r="X2197" t="s">
        <v>45597</v>
      </c>
      <c r="Y2197" t="s">
        <v>45598</v>
      </c>
    </row>
    <row r="2198" spans="1:25" x14ac:dyDescent="0.3">
      <c r="A2198">
        <v>109850</v>
      </c>
      <c r="B2198" t="s">
        <v>45599</v>
      </c>
      <c r="C2198" t="s">
        <v>45600</v>
      </c>
      <c r="D2198" t="s">
        <v>45601</v>
      </c>
      <c r="E2198" t="s">
        <v>45602</v>
      </c>
      <c r="F2198" t="s">
        <v>45603</v>
      </c>
      <c r="G2198" t="s">
        <v>45604</v>
      </c>
      <c r="H2198" t="s">
        <v>45605</v>
      </c>
      <c r="I2198" t="s">
        <v>45606</v>
      </c>
      <c r="J2198" t="s">
        <v>45607</v>
      </c>
      <c r="K2198" t="s">
        <v>45608</v>
      </c>
      <c r="L2198" t="s">
        <v>45609</v>
      </c>
      <c r="M2198">
        <f>-327.713159076931 -9.54140579852651 -322.846386545435</f>
        <v>-660.10095142089244</v>
      </c>
      <c r="N2198" t="s">
        <v>45610</v>
      </c>
      <c r="O2198">
        <f>-727.661410485478 -77.2622061819714 -723.379845548035</f>
        <v>-1528.3034622154842</v>
      </c>
      <c r="P2198">
        <f>-695.040554898221 -71.3960817044149 -408.597840048518</f>
        <v>-1175.0344766511539</v>
      </c>
      <c r="Q2198">
        <f>-448.481090183047 -8.49942557761733 -354.797111522133</f>
        <v>-811.77762728279731</v>
      </c>
      <c r="R2198" t="s">
        <v>45611</v>
      </c>
      <c r="S2198" t="s">
        <v>45612</v>
      </c>
      <c r="T2198" t="s">
        <v>45613</v>
      </c>
      <c r="U2198" t="s">
        <v>45614</v>
      </c>
      <c r="V2198" t="s">
        <v>45615</v>
      </c>
      <c r="W2198" t="s">
        <v>45616</v>
      </c>
      <c r="X2198" t="s">
        <v>45617</v>
      </c>
      <c r="Y2198" t="s">
        <v>45618</v>
      </c>
    </row>
    <row r="2199" spans="1:25" x14ac:dyDescent="0.3">
      <c r="A2199">
        <v>109900</v>
      </c>
      <c r="B2199" t="s">
        <v>45619</v>
      </c>
      <c r="C2199" t="s">
        <v>45620</v>
      </c>
      <c r="D2199" t="s">
        <v>45621</v>
      </c>
      <c r="E2199" t="s">
        <v>45622</v>
      </c>
      <c r="F2199" t="s">
        <v>45623</v>
      </c>
      <c r="G2199" t="s">
        <v>45624</v>
      </c>
      <c r="H2199" t="s">
        <v>45625</v>
      </c>
      <c r="I2199" t="s">
        <v>45626</v>
      </c>
      <c r="J2199" t="s">
        <v>45627</v>
      </c>
      <c r="K2199" t="s">
        <v>45628</v>
      </c>
      <c r="L2199" t="s">
        <v>45629</v>
      </c>
      <c r="M2199">
        <f>-328.368093058875 -9.46799422037748 -322.761270740062</f>
        <v>-660.59735801931447</v>
      </c>
      <c r="N2199" t="s">
        <v>45630</v>
      </c>
      <c r="O2199">
        <f>-728.005764043685 -77.1130708430376 -723.396623022564</f>
        <v>-1528.5154579092864</v>
      </c>
      <c r="P2199">
        <f>-695.920072858745 -71.0057743401505 -408.564295477757</f>
        <v>-1175.4901426766526</v>
      </c>
      <c r="Q2199">
        <f>-449.411307724515 -8.18061448682352 -354.449221132243</f>
        <v>-812.04114334358155</v>
      </c>
      <c r="R2199" t="s">
        <v>45631</v>
      </c>
      <c r="S2199" t="s">
        <v>45632</v>
      </c>
      <c r="T2199" t="s">
        <v>45633</v>
      </c>
      <c r="U2199" t="s">
        <v>45634</v>
      </c>
      <c r="V2199" t="s">
        <v>45635</v>
      </c>
      <c r="W2199" t="s">
        <v>45636</v>
      </c>
      <c r="X2199" t="s">
        <v>45637</v>
      </c>
      <c r="Y2199" t="s">
        <v>45638</v>
      </c>
    </row>
    <row r="2200" spans="1:25" x14ac:dyDescent="0.3">
      <c r="A2200">
        <v>109950</v>
      </c>
      <c r="B2200" t="s">
        <v>45639</v>
      </c>
      <c r="C2200" t="s">
        <v>45640</v>
      </c>
      <c r="D2200" t="s">
        <v>45641</v>
      </c>
      <c r="E2200" t="s">
        <v>45642</v>
      </c>
      <c r="F2200" t="s">
        <v>45643</v>
      </c>
      <c r="G2200" t="s">
        <v>45644</v>
      </c>
      <c r="H2200" t="s">
        <v>45645</v>
      </c>
      <c r="I2200" t="s">
        <v>45646</v>
      </c>
      <c r="J2200" t="s">
        <v>45647</v>
      </c>
      <c r="K2200" t="s">
        <v>45648</v>
      </c>
      <c r="L2200" t="s">
        <v>45649</v>
      </c>
      <c r="M2200">
        <f>-329.577821492391 -9.00618518639112 -322.546635325574</f>
        <v>-661.1306420043561</v>
      </c>
      <c r="N2200" t="s">
        <v>45650</v>
      </c>
      <c r="O2200">
        <f>-728.864295229954 -76.5211424106753 -723.548706643908</f>
        <v>-1528.9341442845373</v>
      </c>
      <c r="P2200">
        <f>-697.507573022179 -69.909564957951 -408.653123451526</f>
        <v>-1176.070261431656</v>
      </c>
      <c r="Q2200">
        <f>-451.135236434834 -6.92511441115926 -354.10318311512</f>
        <v>-812.16353396111322</v>
      </c>
      <c r="R2200" t="s">
        <v>45651</v>
      </c>
      <c r="S2200" t="s">
        <v>45652</v>
      </c>
      <c r="T2200" t="s">
        <v>45653</v>
      </c>
      <c r="U2200" t="s">
        <v>45654</v>
      </c>
      <c r="V2200" t="s">
        <v>45655</v>
      </c>
      <c r="W2200" t="s">
        <v>45656</v>
      </c>
      <c r="X2200" t="s">
        <v>45657</v>
      </c>
      <c r="Y2200" t="s">
        <v>45658</v>
      </c>
    </row>
    <row r="2201" spans="1:25" x14ac:dyDescent="0.3">
      <c r="A2201">
        <v>110000</v>
      </c>
      <c r="B2201" t="s">
        <v>45659</v>
      </c>
      <c r="C2201" t="s">
        <v>45660</v>
      </c>
      <c r="D2201" t="s">
        <v>45661</v>
      </c>
      <c r="E2201" t="s">
        <v>45662</v>
      </c>
      <c r="F2201" t="s">
        <v>45663</v>
      </c>
      <c r="G2201" t="s">
        <v>45664</v>
      </c>
      <c r="H2201" t="s">
        <v>45665</v>
      </c>
      <c r="I2201" t="s">
        <v>45666</v>
      </c>
      <c r="J2201" t="s">
        <v>45667</v>
      </c>
      <c r="K2201" t="s">
        <v>45668</v>
      </c>
      <c r="L2201" t="s">
        <v>45669</v>
      </c>
      <c r="M2201">
        <f>-330.205218637291 -8.74754499349297 -322.556806716486</f>
        <v>-661.50957034727003</v>
      </c>
      <c r="N2201" t="s">
        <v>45670</v>
      </c>
      <c r="O2201">
        <f>-729.455969133905 -76.1568561957297 -723.570647121202</f>
        <v>-1529.1834724508367</v>
      </c>
      <c r="P2201">
        <f>-698.320705898698 -69.1655582334279 -408.66132277389</f>
        <v>-1176.1475869060159</v>
      </c>
      <c r="Q2201">
        <f>-452.030868746596 -6.05812567509406 -353.881434842665</f>
        <v>-811.97042926435506</v>
      </c>
      <c r="R2201" t="s">
        <v>45671</v>
      </c>
      <c r="S2201" t="s">
        <v>45672</v>
      </c>
      <c r="T2201" t="s">
        <v>45673</v>
      </c>
      <c r="U2201" t="s">
        <v>45674</v>
      </c>
      <c r="V2201" t="s">
        <v>45675</v>
      </c>
      <c r="W2201" t="s">
        <v>45676</v>
      </c>
      <c r="X2201" t="s">
        <v>45677</v>
      </c>
      <c r="Y2201" t="s">
        <v>45678</v>
      </c>
    </row>
    <row r="2202" spans="1:25" x14ac:dyDescent="0.3">
      <c r="A2202">
        <v>110050</v>
      </c>
      <c r="B2202" t="s">
        <v>45679</v>
      </c>
      <c r="C2202" t="s">
        <v>45680</v>
      </c>
      <c r="D2202" t="s">
        <v>45681</v>
      </c>
      <c r="E2202" t="s">
        <v>45682</v>
      </c>
      <c r="F2202" t="s">
        <v>45683</v>
      </c>
      <c r="G2202" t="s">
        <v>45684</v>
      </c>
      <c r="H2202" t="s">
        <v>45685</v>
      </c>
      <c r="I2202" t="s">
        <v>45686</v>
      </c>
      <c r="J2202" t="s">
        <v>45687</v>
      </c>
      <c r="K2202" t="s">
        <v>45688</v>
      </c>
      <c r="L2202" t="s">
        <v>45689</v>
      </c>
      <c r="M2202">
        <f>-331.302895212013 -8.49481620259189 -322.885910530555</f>
        <v>-662.68362194515998</v>
      </c>
      <c r="N2202" t="s">
        <v>45690</v>
      </c>
      <c r="O2202">
        <f>-730.879565967414 -75.5511769561094 -723.596168759394</f>
        <v>-1530.0269116829174</v>
      </c>
      <c r="P2202">
        <f>-700.139798645152 -67.9383059915285 -408.662418548319</f>
        <v>-1176.7405231849996</v>
      </c>
      <c r="Q2202">
        <f>-453.982858803438 -4.75035472820241 -353.380009373669</f>
        <v>-812.11322290530939</v>
      </c>
      <c r="R2202" t="s">
        <v>45691</v>
      </c>
      <c r="S2202" t="s">
        <v>45692</v>
      </c>
      <c r="T2202" t="s">
        <v>45693</v>
      </c>
      <c r="U2202" t="s">
        <v>45694</v>
      </c>
      <c r="V2202" t="s">
        <v>45695</v>
      </c>
      <c r="W2202" t="s">
        <v>45696</v>
      </c>
      <c r="X2202" t="s">
        <v>45697</v>
      </c>
      <c r="Y2202" t="s">
        <v>45698</v>
      </c>
    </row>
    <row r="2203" spans="1:25" x14ac:dyDescent="0.3">
      <c r="A2203">
        <v>110100</v>
      </c>
      <c r="B2203" t="s">
        <v>45699</v>
      </c>
      <c r="C2203" t="s">
        <v>45700</v>
      </c>
      <c r="D2203" t="s">
        <v>45701</v>
      </c>
      <c r="E2203" t="s">
        <v>45702</v>
      </c>
      <c r="F2203" t="s">
        <v>45703</v>
      </c>
      <c r="G2203" t="s">
        <v>45704</v>
      </c>
      <c r="H2203" t="s">
        <v>45705</v>
      </c>
      <c r="I2203" t="s">
        <v>45706</v>
      </c>
      <c r="J2203" t="s">
        <v>45707</v>
      </c>
      <c r="K2203" t="s">
        <v>45708</v>
      </c>
      <c r="L2203" t="s">
        <v>45709</v>
      </c>
      <c r="M2203">
        <f>-331.755229892868 -8.36309892187001 -323.021892634314</f>
        <v>-663.14022144905198</v>
      </c>
      <c r="N2203" t="s">
        <v>45710</v>
      </c>
      <c r="O2203">
        <f>-731.482030630735 -75.2465953428518 -723.61700774672</f>
        <v>-1530.345633720307</v>
      </c>
      <c r="P2203">
        <f>-700.918864720344 -67.4545689872643 -408.670341737456</f>
        <v>-1177.0437754450643</v>
      </c>
      <c r="Q2203">
        <f>-454.784425886894 -4.24985979100506 -353.307282398496</f>
        <v>-812.34156807639511</v>
      </c>
      <c r="R2203" t="s">
        <v>45711</v>
      </c>
      <c r="S2203" t="s">
        <v>45712</v>
      </c>
      <c r="T2203" t="s">
        <v>45713</v>
      </c>
      <c r="U2203" t="s">
        <v>45714</v>
      </c>
      <c r="V2203" t="s">
        <v>45715</v>
      </c>
      <c r="W2203" t="s">
        <v>45716</v>
      </c>
      <c r="X2203" t="s">
        <v>45717</v>
      </c>
      <c r="Y2203" t="s">
        <v>45718</v>
      </c>
    </row>
    <row r="2204" spans="1:25" x14ac:dyDescent="0.3">
      <c r="A2204">
        <v>110150</v>
      </c>
      <c r="B2204" t="s">
        <v>45719</v>
      </c>
      <c r="C2204" t="s">
        <v>45720</v>
      </c>
      <c r="D2204" t="s">
        <v>45721</v>
      </c>
      <c r="E2204" t="s">
        <v>45722</v>
      </c>
      <c r="F2204" t="s">
        <v>45723</v>
      </c>
      <c r="G2204" t="s">
        <v>45724</v>
      </c>
      <c r="H2204" t="s">
        <v>45725</v>
      </c>
      <c r="I2204" t="s">
        <v>45726</v>
      </c>
      <c r="J2204" t="s">
        <v>45727</v>
      </c>
      <c r="K2204" t="s">
        <v>45728</v>
      </c>
      <c r="L2204" t="s">
        <v>45729</v>
      </c>
      <c r="M2204">
        <f>-332.202058377447 -8.22398237264247 -323.070643879728</f>
        <v>-663.49668462981742</v>
      </c>
      <c r="N2204" t="s">
        <v>45730</v>
      </c>
      <c r="O2204">
        <f>-732.129565129891 -74.9577753581652 -723.597888765714</f>
        <v>-1530.6852292537701</v>
      </c>
      <c r="P2204">
        <f>-701.694426497661 -67.0960895117755 -408.640630113695</f>
        <v>-1177.4311461231314</v>
      </c>
      <c r="Q2204">
        <f>-455.540008085543 -4.02131639061008 -353.218893551375</f>
        <v>-812.78021802752801</v>
      </c>
      <c r="R2204" t="s">
        <v>45731</v>
      </c>
      <c r="S2204" t="s">
        <v>45732</v>
      </c>
      <c r="T2204" t="s">
        <v>45733</v>
      </c>
      <c r="U2204" t="s">
        <v>45734</v>
      </c>
      <c r="V2204" t="s">
        <v>45735</v>
      </c>
      <c r="W2204" t="s">
        <v>45736</v>
      </c>
      <c r="X2204" t="s">
        <v>45737</v>
      </c>
      <c r="Y2204" t="s">
        <v>45738</v>
      </c>
    </row>
    <row r="2205" spans="1:25" x14ac:dyDescent="0.3">
      <c r="A2205">
        <v>110200</v>
      </c>
      <c r="B2205" t="s">
        <v>45739</v>
      </c>
      <c r="C2205" t="s">
        <v>45740</v>
      </c>
      <c r="D2205" t="s">
        <v>45741</v>
      </c>
      <c r="E2205" t="s">
        <v>45742</v>
      </c>
      <c r="F2205" t="s">
        <v>45743</v>
      </c>
      <c r="G2205" t="s">
        <v>45744</v>
      </c>
      <c r="H2205" t="s">
        <v>45745</v>
      </c>
      <c r="I2205" t="s">
        <v>45746</v>
      </c>
      <c r="J2205" t="s">
        <v>45747</v>
      </c>
      <c r="K2205" t="s">
        <v>45748</v>
      </c>
      <c r="L2205" t="s">
        <v>45749</v>
      </c>
      <c r="M2205">
        <f>-333.359571735744 -8.47963732987387 -323.171429051268</f>
        <v>-665.01063811688584</v>
      </c>
      <c r="N2205" t="s">
        <v>45750</v>
      </c>
      <c r="O2205">
        <f>-733.609232149918 -74.4318187583006 -723.457126206867</f>
        <v>-1531.4981771150856</v>
      </c>
      <c r="P2205">
        <f>-703.1863802195 -66.4806379759223 -408.501012090064</f>
        <v>-1178.1680302854863</v>
      </c>
      <c r="Q2205">
        <f>-456.91347251341 -3.8266913051898 -353.127513151039</f>
        <v>-813.86767696963875</v>
      </c>
      <c r="R2205" t="s">
        <v>45751</v>
      </c>
      <c r="S2205" t="s">
        <v>45752</v>
      </c>
      <c r="T2205" t="s">
        <v>45753</v>
      </c>
      <c r="U2205" t="s">
        <v>45754</v>
      </c>
      <c r="V2205" t="s">
        <v>45755</v>
      </c>
      <c r="W2205" t="s">
        <v>45756</v>
      </c>
      <c r="X2205" t="s">
        <v>45757</v>
      </c>
      <c r="Y2205" t="s">
        <v>45758</v>
      </c>
    </row>
    <row r="2206" spans="1:25" x14ac:dyDescent="0.3">
      <c r="A2206">
        <v>110250</v>
      </c>
      <c r="B2206" t="s">
        <v>45759</v>
      </c>
      <c r="C2206" t="s">
        <v>45760</v>
      </c>
      <c r="D2206" t="s">
        <v>45761</v>
      </c>
      <c r="E2206" t="s">
        <v>45762</v>
      </c>
      <c r="F2206" t="s">
        <v>45763</v>
      </c>
      <c r="G2206" t="s">
        <v>45764</v>
      </c>
      <c r="H2206" t="s">
        <v>45765</v>
      </c>
      <c r="I2206" t="s">
        <v>45766</v>
      </c>
      <c r="J2206" t="s">
        <v>45767</v>
      </c>
      <c r="K2206" t="s">
        <v>45768</v>
      </c>
      <c r="L2206" t="s">
        <v>45769</v>
      </c>
      <c r="M2206">
        <f>-334.122803567615 -9.00483191024205 -323.116421673753</f>
        <v>-666.24405715161004</v>
      </c>
      <c r="N2206" t="s">
        <v>45770</v>
      </c>
      <c r="O2206">
        <f>-734.765128146882 -74.3520714662327 -723.30224449856</f>
        <v>-1532.4194441116747</v>
      </c>
      <c r="P2206">
        <f>-704.327212290737 -66.5210248402475 -408.344579280982</f>
        <v>-1179.1928164119663</v>
      </c>
      <c r="Q2206">
        <f>-457.890727859685 -4.34314196683454 -353.162741284626</f>
        <v>-815.3966111111456</v>
      </c>
      <c r="R2206" t="s">
        <v>45771</v>
      </c>
      <c r="S2206" t="s">
        <v>45772</v>
      </c>
      <c r="T2206" t="s">
        <v>45773</v>
      </c>
      <c r="U2206" t="s">
        <v>45774</v>
      </c>
      <c r="V2206" t="s">
        <v>45775</v>
      </c>
      <c r="W2206" t="s">
        <v>45776</v>
      </c>
      <c r="X2206" t="s">
        <v>45777</v>
      </c>
      <c r="Y2206" t="s">
        <v>45778</v>
      </c>
    </row>
    <row r="2207" spans="1:25" x14ac:dyDescent="0.3">
      <c r="A2207">
        <v>110300</v>
      </c>
      <c r="B2207" t="s">
        <v>45779</v>
      </c>
      <c r="C2207" t="s">
        <v>45780</v>
      </c>
      <c r="D2207" t="s">
        <v>45781</v>
      </c>
      <c r="E2207" t="s">
        <v>45782</v>
      </c>
      <c r="F2207" t="s">
        <v>45783</v>
      </c>
      <c r="G2207" t="s">
        <v>45784</v>
      </c>
      <c r="H2207" t="s">
        <v>45785</v>
      </c>
      <c r="I2207" t="s">
        <v>45786</v>
      </c>
      <c r="J2207" t="s">
        <v>45787</v>
      </c>
      <c r="K2207" t="s">
        <v>45788</v>
      </c>
      <c r="L2207" t="s">
        <v>45789</v>
      </c>
      <c r="M2207">
        <f>-334.414514151235 -9.2725181148744 -323.117410040159</f>
        <v>-666.80444230626836</v>
      </c>
      <c r="N2207" t="s">
        <v>45790</v>
      </c>
      <c r="O2207">
        <f>-735.274890857874 -74.3154813970905 -723.295344225269</f>
        <v>-1532.8857164802334</v>
      </c>
      <c r="P2207">
        <f>-704.739279731554 -66.4373624956199 -408.348350918621</f>
        <v>-1179.524993145795</v>
      </c>
      <c r="Q2207">
        <f>-458.254899809081 -4.53314222637027 -353.072802280156</f>
        <v>-815.86084431560721</v>
      </c>
      <c r="R2207" t="s">
        <v>45791</v>
      </c>
      <c r="S2207" t="s">
        <v>45792</v>
      </c>
      <c r="T2207" t="s">
        <v>45793</v>
      </c>
      <c r="U2207" t="s">
        <v>45794</v>
      </c>
      <c r="V2207" t="s">
        <v>45795</v>
      </c>
      <c r="W2207" t="s">
        <v>45796</v>
      </c>
      <c r="X2207" t="s">
        <v>45797</v>
      </c>
      <c r="Y2207" t="s">
        <v>45798</v>
      </c>
    </row>
    <row r="2208" spans="1:25" x14ac:dyDescent="0.3">
      <c r="A2208">
        <v>110350</v>
      </c>
      <c r="B2208" t="s">
        <v>45799</v>
      </c>
      <c r="C2208" t="s">
        <v>45800</v>
      </c>
      <c r="D2208" t="s">
        <v>45801</v>
      </c>
      <c r="E2208" t="s">
        <v>45802</v>
      </c>
      <c r="F2208" t="s">
        <v>45803</v>
      </c>
      <c r="G2208" t="s">
        <v>45804</v>
      </c>
      <c r="H2208" t="s">
        <v>45805</v>
      </c>
      <c r="I2208" t="s">
        <v>45806</v>
      </c>
      <c r="J2208" t="s">
        <v>45807</v>
      </c>
      <c r="K2208" t="s">
        <v>45808</v>
      </c>
      <c r="L2208" t="s">
        <v>45809</v>
      </c>
      <c r="M2208">
        <f>-334.777700317147 -9.46094841247668 -323.089734017542</f>
        <v>-667.32838274716573</v>
      </c>
      <c r="N2208" t="s">
        <v>45810</v>
      </c>
      <c r="O2208">
        <f>-735.911802665116 -74.2958320531743 -723.272835544936</f>
        <v>-1533.4804702632264</v>
      </c>
      <c r="P2208">
        <f>-705.493516519816 -66.2788066178136 -408.317924939207</f>
        <v>-1180.0902480768366</v>
      </c>
      <c r="Q2208">
        <f>-458.953211362672 -4.51134731803927 -353.138736757234</f>
        <v>-816.60329543794523</v>
      </c>
      <c r="R2208" t="s">
        <v>45811</v>
      </c>
      <c r="S2208" t="s">
        <v>45812</v>
      </c>
      <c r="T2208" t="s">
        <v>45813</v>
      </c>
      <c r="U2208" t="s">
        <v>45814</v>
      </c>
      <c r="V2208" t="s">
        <v>45815</v>
      </c>
      <c r="W2208" t="s">
        <v>45816</v>
      </c>
      <c r="X2208" t="s">
        <v>45817</v>
      </c>
      <c r="Y2208" t="s">
        <v>45818</v>
      </c>
    </row>
    <row r="2209" spans="1:25" x14ac:dyDescent="0.3">
      <c r="A2209">
        <v>110400</v>
      </c>
      <c r="B2209" t="s">
        <v>45819</v>
      </c>
      <c r="C2209" t="s">
        <v>45820</v>
      </c>
      <c r="D2209" t="s">
        <v>45821</v>
      </c>
      <c r="E2209" t="s">
        <v>45822</v>
      </c>
      <c r="F2209" t="s">
        <v>45823</v>
      </c>
      <c r="G2209" t="s">
        <v>45824</v>
      </c>
      <c r="H2209" t="s">
        <v>45825</v>
      </c>
      <c r="I2209" t="s">
        <v>45826</v>
      </c>
      <c r="J2209" t="s">
        <v>45827</v>
      </c>
      <c r="K2209" t="s">
        <v>45828</v>
      </c>
      <c r="L2209" t="s">
        <v>45829</v>
      </c>
      <c r="M2209">
        <f>-335.479300953645 -9.526853073143 -323.295509313801</f>
        <v>-668.30166334058902</v>
      </c>
      <c r="N2209" t="s">
        <v>45830</v>
      </c>
      <c r="O2209">
        <f>-737.170031547511 -74.112070985303 -723.488592363195</f>
        <v>-1534.770694896009</v>
      </c>
      <c r="P2209">
        <f>-706.664459509483 -66.6736580981562 -408.527860323944</f>
        <v>-1181.8659779315833</v>
      </c>
      <c r="Q2209">
        <f>-460.162702036056 -4.71617633364122 -353.389718036048</f>
        <v>-818.26859640574526</v>
      </c>
      <c r="R2209" t="s">
        <v>45831</v>
      </c>
      <c r="S2209" t="s">
        <v>45832</v>
      </c>
      <c r="T2209" t="s">
        <v>45833</v>
      </c>
      <c r="U2209" t="s">
        <v>45834</v>
      </c>
      <c r="V2209" t="s">
        <v>45835</v>
      </c>
      <c r="W2209" t="s">
        <v>45836</v>
      </c>
      <c r="X2209" t="s">
        <v>45837</v>
      </c>
      <c r="Y2209" t="s">
        <v>45838</v>
      </c>
    </row>
    <row r="2210" spans="1:25" x14ac:dyDescent="0.3">
      <c r="A2210">
        <v>110450</v>
      </c>
      <c r="B2210" t="s">
        <v>45839</v>
      </c>
      <c r="C2210" t="s">
        <v>45840</v>
      </c>
      <c r="D2210" t="s">
        <v>45841</v>
      </c>
      <c r="E2210" t="s">
        <v>45842</v>
      </c>
      <c r="F2210" t="s">
        <v>45843</v>
      </c>
      <c r="G2210" t="s">
        <v>45844</v>
      </c>
      <c r="H2210" t="s">
        <v>45845</v>
      </c>
      <c r="I2210" t="s">
        <v>45846</v>
      </c>
      <c r="J2210" t="s">
        <v>45847</v>
      </c>
      <c r="K2210" t="s">
        <v>45848</v>
      </c>
      <c r="L2210" t="s">
        <v>45849</v>
      </c>
      <c r="M2210">
        <f>-335.922745295566 -9.94951386188586 -323.895630264306</f>
        <v>-669.7678894217579</v>
      </c>
      <c r="N2210" t="s">
        <v>45850</v>
      </c>
      <c r="O2210">
        <f>-738.142225276413 -74.1294943681057 -723.610343682512</f>
        <v>-1535.8820633270307</v>
      </c>
      <c r="P2210">
        <f>-707.518669684792 -66.5322420608645 -408.664820590104</f>
        <v>-1182.7157323357605</v>
      </c>
      <c r="Q2210">
        <f>-460.882412908145 -4.90604354617358 -353.757756330257</f>
        <v>-819.54621278457557</v>
      </c>
      <c r="R2210" t="s">
        <v>45851</v>
      </c>
      <c r="S2210" t="s">
        <v>45852</v>
      </c>
      <c r="T2210" t="s">
        <v>45853</v>
      </c>
      <c r="U2210" t="s">
        <v>45854</v>
      </c>
      <c r="V2210" t="s">
        <v>45855</v>
      </c>
      <c r="W2210" t="s">
        <v>45856</v>
      </c>
      <c r="X2210" t="s">
        <v>45857</v>
      </c>
      <c r="Y2210" t="s">
        <v>45858</v>
      </c>
    </row>
    <row r="2211" spans="1:25" x14ac:dyDescent="0.3">
      <c r="A2211">
        <v>110500</v>
      </c>
      <c r="B2211" t="s">
        <v>45859</v>
      </c>
      <c r="C2211" t="s">
        <v>45860</v>
      </c>
      <c r="D2211" t="s">
        <v>45861</v>
      </c>
      <c r="E2211" t="s">
        <v>45862</v>
      </c>
      <c r="F2211" t="s">
        <v>45863</v>
      </c>
      <c r="G2211" t="s">
        <v>45864</v>
      </c>
      <c r="H2211" t="s">
        <v>45865</v>
      </c>
      <c r="I2211" t="s">
        <v>45866</v>
      </c>
      <c r="J2211" t="s">
        <v>45867</v>
      </c>
      <c r="K2211" t="s">
        <v>45868</v>
      </c>
      <c r="L2211" t="s">
        <v>45869</v>
      </c>
      <c r="M2211">
        <f>-336.191027702163 -10.1719130451643 -324.094399223167</f>
        <v>-670.45733997049433</v>
      </c>
      <c r="N2211" t="s">
        <v>45870</v>
      </c>
      <c r="O2211">
        <f>-738.629016522826 -74.084090349699 -723.695730582805</f>
        <v>-1536.4088374553298</v>
      </c>
      <c r="P2211">
        <f>-707.809247657827 -66.6282477994098 -408.766074022584</f>
        <v>-1183.2035694798208</v>
      </c>
      <c r="Q2211">
        <f>-461.12457986434 -5.11981923442886 -353.943964056422</f>
        <v>-820.18836315519081</v>
      </c>
      <c r="R2211" t="s">
        <v>45871</v>
      </c>
      <c r="S2211" t="s">
        <v>45872</v>
      </c>
      <c r="T2211" t="s">
        <v>45873</v>
      </c>
      <c r="U2211" t="s">
        <v>45874</v>
      </c>
      <c r="V2211" t="s">
        <v>45875</v>
      </c>
      <c r="W2211" t="s">
        <v>45876</v>
      </c>
      <c r="X2211" t="s">
        <v>45877</v>
      </c>
      <c r="Y2211" t="s">
        <v>45878</v>
      </c>
    </row>
    <row r="2212" spans="1:25" x14ac:dyDescent="0.3">
      <c r="A2212">
        <v>110550</v>
      </c>
      <c r="B2212" t="s">
        <v>45879</v>
      </c>
      <c r="C2212" t="s">
        <v>45880</v>
      </c>
      <c r="D2212" t="s">
        <v>45881</v>
      </c>
      <c r="E2212" t="s">
        <v>45882</v>
      </c>
      <c r="F2212" t="s">
        <v>45883</v>
      </c>
      <c r="G2212" t="s">
        <v>45884</v>
      </c>
      <c r="H2212" t="s">
        <v>45885</v>
      </c>
      <c r="I2212" t="s">
        <v>45886</v>
      </c>
      <c r="J2212" t="s">
        <v>45887</v>
      </c>
      <c r="K2212" t="s">
        <v>45888</v>
      </c>
      <c r="L2212" t="s">
        <v>45889</v>
      </c>
      <c r="M2212">
        <f>-336.435097401686 -10.5592607160372 -324.2216882097</f>
        <v>-671.21604632742321</v>
      </c>
      <c r="N2212" t="s">
        <v>45890</v>
      </c>
      <c r="O2212">
        <f>-739.289061049567 -74.0589240658528 -723.898216869151</f>
        <v>-1537.2462019845707</v>
      </c>
      <c r="P2212">
        <f>-708.269042641028 -66.7337222200424 -408.984952955889</f>
        <v>-1183.9877178169595</v>
      </c>
      <c r="Q2212">
        <f>-461.459593127761 -5.49782747293102 -354.420673707945</f>
        <v>-821.37809430863706</v>
      </c>
      <c r="R2212" t="s">
        <v>45891</v>
      </c>
      <c r="S2212" t="s">
        <v>45892</v>
      </c>
      <c r="T2212" t="s">
        <v>45893</v>
      </c>
      <c r="U2212" t="s">
        <v>45894</v>
      </c>
      <c r="V2212" t="s">
        <v>45895</v>
      </c>
      <c r="W2212" t="s">
        <v>45896</v>
      </c>
      <c r="X2212" t="s">
        <v>45897</v>
      </c>
      <c r="Y2212" t="s">
        <v>45898</v>
      </c>
    </row>
    <row r="2213" spans="1:25" x14ac:dyDescent="0.3">
      <c r="A2213">
        <v>110600</v>
      </c>
      <c r="B2213" t="s">
        <v>45899</v>
      </c>
      <c r="C2213" t="s">
        <v>45900</v>
      </c>
      <c r="D2213" t="s">
        <v>45901</v>
      </c>
      <c r="E2213" t="s">
        <v>45902</v>
      </c>
      <c r="F2213" t="s">
        <v>45903</v>
      </c>
      <c r="G2213" t="s">
        <v>45904</v>
      </c>
      <c r="H2213" t="s">
        <v>45905</v>
      </c>
      <c r="I2213" t="s">
        <v>45906</v>
      </c>
      <c r="J2213" t="s">
        <v>45907</v>
      </c>
      <c r="K2213" t="s">
        <v>45908</v>
      </c>
      <c r="L2213" t="s">
        <v>45909</v>
      </c>
      <c r="M2213">
        <f>-336.43563499806 -10.3692463194809 -323.890187727125</f>
        <v>-670.69506904466584</v>
      </c>
      <c r="N2213" t="s">
        <v>45910</v>
      </c>
      <c r="O2213">
        <f>-739.434539943548 -74.0118524172735 -723.978098873828</f>
        <v>-1537.4244912346494</v>
      </c>
      <c r="P2213">
        <f>-708.473115988804 -66.9914266999092 -409.052292738471</f>
        <v>-1184.5168354271841</v>
      </c>
      <c r="Q2213">
        <f>-461.605448009492 -5.8096146525038 -354.690326422268</f>
        <v>-822.10538908426383</v>
      </c>
      <c r="R2213" t="s">
        <v>45911</v>
      </c>
      <c r="S2213" t="s">
        <v>45912</v>
      </c>
      <c r="T2213" t="s">
        <v>45913</v>
      </c>
      <c r="U2213" t="s">
        <v>45914</v>
      </c>
      <c r="V2213" t="s">
        <v>45915</v>
      </c>
      <c r="W2213" t="s">
        <v>45916</v>
      </c>
      <c r="X2213" t="s">
        <v>45917</v>
      </c>
      <c r="Y2213" t="s">
        <v>45918</v>
      </c>
    </row>
    <row r="2214" spans="1:25" x14ac:dyDescent="0.3">
      <c r="A2214">
        <v>110650</v>
      </c>
      <c r="B2214" t="s">
        <v>45919</v>
      </c>
      <c r="C2214" t="s">
        <v>45920</v>
      </c>
      <c r="D2214" t="s">
        <v>45921</v>
      </c>
      <c r="E2214" t="s">
        <v>45922</v>
      </c>
      <c r="F2214" t="s">
        <v>45923</v>
      </c>
      <c r="G2214" t="s">
        <v>45924</v>
      </c>
      <c r="H2214" t="s">
        <v>45925</v>
      </c>
      <c r="I2214" t="s">
        <v>45926</v>
      </c>
      <c r="J2214" t="s">
        <v>45927</v>
      </c>
      <c r="K2214" t="s">
        <v>45928</v>
      </c>
      <c r="L2214" t="s">
        <v>45929</v>
      </c>
      <c r="M2214">
        <f>-336.351893587856 -10.4496238064007 -323.582277697985</f>
        <v>-670.38379509224171</v>
      </c>
      <c r="N2214" t="s">
        <v>45930</v>
      </c>
      <c r="O2214">
        <f>-739.618159254604 -74.1011982067628 -724.242087797738</f>
        <v>-1537.9614452591049</v>
      </c>
      <c r="P2214">
        <f>-708.92337845534 -67.3184738490461 -409.284911580891</f>
        <v>-1185.526763885277</v>
      </c>
      <c r="Q2214">
        <f>-461.915022749364 -6.33296220150601 -355.343250122337</f>
        <v>-823.59123507320703</v>
      </c>
      <c r="R2214" t="s">
        <v>45931</v>
      </c>
      <c r="S2214" t="s">
        <v>45932</v>
      </c>
      <c r="T2214" t="s">
        <v>45933</v>
      </c>
      <c r="U2214" t="s">
        <v>45934</v>
      </c>
      <c r="V2214" t="s">
        <v>45935</v>
      </c>
      <c r="W2214" t="s">
        <v>45936</v>
      </c>
      <c r="X2214" t="s">
        <v>45937</v>
      </c>
      <c r="Y2214" t="s">
        <v>45938</v>
      </c>
    </row>
    <row r="2215" spans="1:25" x14ac:dyDescent="0.3">
      <c r="A2215">
        <v>110700</v>
      </c>
      <c r="B2215" t="s">
        <v>45939</v>
      </c>
      <c r="C2215" t="s">
        <v>45940</v>
      </c>
      <c r="D2215" t="s">
        <v>45941</v>
      </c>
      <c r="E2215" t="s">
        <v>45942</v>
      </c>
      <c r="F2215" t="s">
        <v>45943</v>
      </c>
      <c r="G2215" t="s">
        <v>45944</v>
      </c>
      <c r="H2215" t="s">
        <v>45945</v>
      </c>
      <c r="I2215" t="s">
        <v>45946</v>
      </c>
      <c r="J2215" t="s">
        <v>45947</v>
      </c>
      <c r="K2215" t="s">
        <v>45948</v>
      </c>
      <c r="L2215" t="s">
        <v>45949</v>
      </c>
      <c r="M2215">
        <f>-336.215270401105 -10.6082466851312 -323.526487258607</f>
        <v>-670.35000434484323</v>
      </c>
      <c r="N2215" t="s">
        <v>45950</v>
      </c>
      <c r="O2215">
        <f>-739.562947390189 -74.2003009343412 -724.377707531975</f>
        <v>-1538.1409558565051</v>
      </c>
      <c r="P2215">
        <f>-709.08780986545 -67.4734024927373 -409.398053673447</f>
        <v>-1185.9592660316343</v>
      </c>
      <c r="Q2215">
        <f>-462.057674135087 -6.27972151778727 -355.792612989232</f>
        <v>-824.1300086421063</v>
      </c>
      <c r="R2215" t="s">
        <v>45951</v>
      </c>
      <c r="S2215" t="s">
        <v>45952</v>
      </c>
      <c r="T2215" t="s">
        <v>45953</v>
      </c>
      <c r="U2215" t="s">
        <v>45954</v>
      </c>
      <c r="V2215" t="s">
        <v>45955</v>
      </c>
      <c r="W2215" t="s">
        <v>45956</v>
      </c>
      <c r="X2215" t="s">
        <v>45957</v>
      </c>
      <c r="Y2215" t="s">
        <v>45958</v>
      </c>
    </row>
    <row r="2216" spans="1:25" x14ac:dyDescent="0.3">
      <c r="A2216">
        <v>110750</v>
      </c>
      <c r="B2216" t="s">
        <v>45959</v>
      </c>
      <c r="C2216" t="s">
        <v>45960</v>
      </c>
      <c r="D2216" t="s">
        <v>45961</v>
      </c>
      <c r="E2216" t="s">
        <v>45962</v>
      </c>
      <c r="F2216" t="s">
        <v>45963</v>
      </c>
      <c r="G2216" t="s">
        <v>45964</v>
      </c>
      <c r="H2216" t="s">
        <v>45965</v>
      </c>
      <c r="I2216" t="s">
        <v>45966</v>
      </c>
      <c r="J2216" t="s">
        <v>45967</v>
      </c>
      <c r="K2216" t="s">
        <v>45968</v>
      </c>
      <c r="L2216" t="s">
        <v>45969</v>
      </c>
      <c r="M2216">
        <f>-336.046289817146 -10.7486987364377 -323.565861824622</f>
        <v>-670.36085037820567</v>
      </c>
      <c r="N2216" t="s">
        <v>45970</v>
      </c>
      <c r="O2216">
        <f>-739.55857772607 -73.9144395432916 -724.905208281996</f>
        <v>-1538.3782255513574</v>
      </c>
      <c r="P2216">
        <f>-709.275494854571 -67.4823522967781 -409.900772443041</f>
        <v>-1186.6586195943901</v>
      </c>
      <c r="Q2216">
        <f>-462.264346256461 -6.11089734025472 -356.41141482267</f>
        <v>-824.78665841938573</v>
      </c>
      <c r="R2216" t="s">
        <v>45971</v>
      </c>
      <c r="S2216" t="s">
        <v>45972</v>
      </c>
      <c r="T2216" t="s">
        <v>45973</v>
      </c>
      <c r="U2216" t="s">
        <v>45974</v>
      </c>
      <c r="V2216" t="s">
        <v>45975</v>
      </c>
      <c r="W2216" t="s">
        <v>45976</v>
      </c>
      <c r="X2216" t="s">
        <v>45977</v>
      </c>
      <c r="Y2216" t="s">
        <v>45978</v>
      </c>
    </row>
    <row r="2217" spans="1:25" x14ac:dyDescent="0.3">
      <c r="A2217">
        <v>110800</v>
      </c>
      <c r="B2217" t="s">
        <v>45979</v>
      </c>
      <c r="C2217" t="s">
        <v>45980</v>
      </c>
      <c r="D2217" t="s">
        <v>45981</v>
      </c>
      <c r="E2217" t="s">
        <v>45982</v>
      </c>
      <c r="F2217" t="s">
        <v>45983</v>
      </c>
      <c r="G2217" t="s">
        <v>45984</v>
      </c>
      <c r="H2217" t="s">
        <v>45985</v>
      </c>
      <c r="I2217" t="s">
        <v>45986</v>
      </c>
      <c r="J2217" t="s">
        <v>45987</v>
      </c>
      <c r="K2217" t="s">
        <v>45988</v>
      </c>
      <c r="L2217" t="s">
        <v>45989</v>
      </c>
      <c r="M2217">
        <f>-335.975996561157 -10.8793817472615 -323.820852950279</f>
        <v>-670.6762312586975</v>
      </c>
      <c r="N2217" t="s">
        <v>45990</v>
      </c>
      <c r="O2217">
        <f>-739.548337756945 -73.8403412773073 -725.178006261091</f>
        <v>-1538.5666852953432</v>
      </c>
      <c r="P2217">
        <f>-709.317032247084 -67.5743931612187 -410.165383928065</f>
        <v>-1187.0568093363677</v>
      </c>
      <c r="Q2217">
        <f>-462.280747913424 -6.19426149355013 -356.80247429933</f>
        <v>-825.27748370630411</v>
      </c>
      <c r="R2217" t="s">
        <v>45991</v>
      </c>
      <c r="S2217" t="s">
        <v>45992</v>
      </c>
      <c r="T2217" t="s">
        <v>45993</v>
      </c>
      <c r="U2217" t="s">
        <v>45994</v>
      </c>
      <c r="V2217" t="s">
        <v>45995</v>
      </c>
      <c r="W2217" t="s">
        <v>45996</v>
      </c>
      <c r="X2217" t="s">
        <v>45997</v>
      </c>
      <c r="Y2217" t="s">
        <v>45998</v>
      </c>
    </row>
    <row r="2218" spans="1:25" x14ac:dyDescent="0.3">
      <c r="A2218">
        <v>110850</v>
      </c>
      <c r="B2218" t="s">
        <v>45999</v>
      </c>
      <c r="C2218" t="s">
        <v>46000</v>
      </c>
      <c r="D2218" t="s">
        <v>46001</v>
      </c>
      <c r="E2218" t="s">
        <v>46002</v>
      </c>
      <c r="F2218" t="s">
        <v>46003</v>
      </c>
      <c r="G2218" t="s">
        <v>46004</v>
      </c>
      <c r="H2218" t="s">
        <v>46005</v>
      </c>
      <c r="I2218" t="s">
        <v>46006</v>
      </c>
      <c r="J2218" t="s">
        <v>46007</v>
      </c>
      <c r="K2218" t="s">
        <v>46008</v>
      </c>
      <c r="L2218" t="s">
        <v>46009</v>
      </c>
      <c r="M2218">
        <f>-335.867471988988 -6.27228678323604 -319.639636516392</f>
        <v>-661.779395288616</v>
      </c>
      <c r="N2218" t="s">
        <v>46010</v>
      </c>
      <c r="O2218">
        <f>-739.497748389838 -73.9202066638636 -725.614866294216</f>
        <v>-1539.0328213479174</v>
      </c>
      <c r="P2218">
        <f>-709.101094171023 -68.3714604456063 -410.604564007628</f>
        <v>-1188.0771186242573</v>
      </c>
      <c r="Q2218">
        <f>-462.034747170576 -6.47144167409556 -357.986772851539</f>
        <v>-826.49296169621061</v>
      </c>
      <c r="R2218" t="s">
        <v>46011</v>
      </c>
      <c r="S2218" t="s">
        <v>46012</v>
      </c>
      <c r="T2218" t="s">
        <v>46013</v>
      </c>
      <c r="U2218" t="s">
        <v>46014</v>
      </c>
      <c r="V2218" t="s">
        <v>46015</v>
      </c>
      <c r="W2218" t="s">
        <v>46016</v>
      </c>
      <c r="X2218" t="s">
        <v>46017</v>
      </c>
      <c r="Y2218" t="s">
        <v>46018</v>
      </c>
    </row>
    <row r="2219" spans="1:25" x14ac:dyDescent="0.3">
      <c r="A2219">
        <v>110900</v>
      </c>
      <c r="B2219" t="s">
        <v>46019</v>
      </c>
      <c r="C2219" t="s">
        <v>46020</v>
      </c>
      <c r="D2219" t="s">
        <v>46021</v>
      </c>
      <c r="E2219" t="s">
        <v>46022</v>
      </c>
      <c r="F2219" t="s">
        <v>46023</v>
      </c>
      <c r="G2219" t="s">
        <v>46024</v>
      </c>
      <c r="H2219" t="s">
        <v>46025</v>
      </c>
      <c r="I2219" t="s">
        <v>46026</v>
      </c>
      <c r="J2219" t="s">
        <v>46027</v>
      </c>
      <c r="K2219" t="s">
        <v>46028</v>
      </c>
      <c r="L2219" t="s">
        <v>46029</v>
      </c>
      <c r="M2219" t="s">
        <v>46030</v>
      </c>
      <c r="N2219" t="s">
        <v>46031</v>
      </c>
      <c r="O2219">
        <f>-739.413815310557 -74.0689576764721 -725.771537116377</f>
        <v>-1539.2543101034062</v>
      </c>
      <c r="P2219">
        <f>-708.750035341603 -68.6989606370121 -410.78404365301</f>
        <v>-1188.2330396316252</v>
      </c>
      <c r="Q2219">
        <f>-461.649292625347 -6.64127302754605 -358.5142659258</f>
        <v>-826.80483157869298</v>
      </c>
      <c r="R2219" t="s">
        <v>46032</v>
      </c>
      <c r="S2219" t="s">
        <v>46033</v>
      </c>
      <c r="T2219" t="s">
        <v>46034</v>
      </c>
      <c r="U2219" t="s">
        <v>46035</v>
      </c>
      <c r="V2219" t="s">
        <v>46036</v>
      </c>
      <c r="W2219" t="s">
        <v>46037</v>
      </c>
      <c r="X2219" t="s">
        <v>46038</v>
      </c>
      <c r="Y2219" t="s">
        <v>46039</v>
      </c>
    </row>
    <row r="2220" spans="1:25" x14ac:dyDescent="0.3">
      <c r="A2220">
        <v>110950</v>
      </c>
      <c r="B2220" t="s">
        <v>46040</v>
      </c>
      <c r="C2220" t="s">
        <v>46041</v>
      </c>
      <c r="D2220" t="s">
        <v>46042</v>
      </c>
      <c r="E2220" t="s">
        <v>46043</v>
      </c>
      <c r="F2220" t="s">
        <v>46044</v>
      </c>
      <c r="G2220" t="s">
        <v>46045</v>
      </c>
      <c r="H2220" t="s">
        <v>46046</v>
      </c>
      <c r="I2220" t="s">
        <v>46047</v>
      </c>
      <c r="J2220" t="s">
        <v>46048</v>
      </c>
      <c r="K2220" t="s">
        <v>46049</v>
      </c>
      <c r="L2220" t="s">
        <v>46050</v>
      </c>
      <c r="M2220" t="s">
        <v>46051</v>
      </c>
      <c r="N2220" t="s">
        <v>46052</v>
      </c>
      <c r="O2220">
        <f>-739.677316677707 -74.3292760707513 -725.96160566968</f>
        <v>-1539.9681984181384</v>
      </c>
      <c r="P2220">
        <f>-708.838010648634 -69.4088313188831 -410.983932697878</f>
        <v>-1189.2307746653951</v>
      </c>
      <c r="Q2220">
        <f>-461.677028822733 -7.09868787592268 -359.302783383278</f>
        <v>-828.07850008193373</v>
      </c>
      <c r="R2220" t="s">
        <v>46053</v>
      </c>
      <c r="S2220" t="s">
        <v>46054</v>
      </c>
      <c r="T2220" t="s">
        <v>46055</v>
      </c>
      <c r="U2220" t="s">
        <v>46056</v>
      </c>
      <c r="V2220" t="s">
        <v>46057</v>
      </c>
      <c r="W2220" t="s">
        <v>46058</v>
      </c>
      <c r="X2220" t="s">
        <v>46059</v>
      </c>
      <c r="Y2220" t="s">
        <v>46060</v>
      </c>
    </row>
    <row r="2221" spans="1:25" x14ac:dyDescent="0.3">
      <c r="A2221">
        <v>111000</v>
      </c>
      <c r="B2221" t="s">
        <v>46061</v>
      </c>
      <c r="C2221" t="s">
        <v>46062</v>
      </c>
      <c r="D2221" t="s">
        <v>46063</v>
      </c>
      <c r="E2221" t="s">
        <v>46064</v>
      </c>
      <c r="F2221" t="s">
        <v>46065</v>
      </c>
      <c r="G2221" t="s">
        <v>46066</v>
      </c>
      <c r="H2221" t="s">
        <v>46067</v>
      </c>
      <c r="I2221" t="s">
        <v>46068</v>
      </c>
      <c r="J2221" t="s">
        <v>46069</v>
      </c>
      <c r="K2221" t="s">
        <v>46070</v>
      </c>
      <c r="L2221" t="s">
        <v>46071</v>
      </c>
      <c r="M2221" t="s">
        <v>46072</v>
      </c>
      <c r="N2221" t="s">
        <v>46073</v>
      </c>
      <c r="O2221">
        <f>-739.865865134663 -74.3787754550383 -726.09077400925</f>
        <v>-1540.3354145989513</v>
      </c>
      <c r="P2221">
        <f>-708.917569704925 -69.5596161337553 -411.122378571773</f>
        <v>-1189.5995644104532</v>
      </c>
      <c r="Q2221">
        <f>-461.754631094049 -7.151121109408 -359.568934299081</f>
        <v>-828.47468650253791</v>
      </c>
      <c r="R2221" t="s">
        <v>46074</v>
      </c>
      <c r="S2221" t="s">
        <v>46075</v>
      </c>
      <c r="T2221" t="s">
        <v>46076</v>
      </c>
      <c r="U2221" t="s">
        <v>46077</v>
      </c>
      <c r="V2221" t="s">
        <v>46078</v>
      </c>
      <c r="W2221" t="s">
        <v>46079</v>
      </c>
      <c r="X2221" t="s">
        <v>46080</v>
      </c>
      <c r="Y2221" t="s">
        <v>46081</v>
      </c>
    </row>
    <row r="2222" spans="1:25" x14ac:dyDescent="0.3">
      <c r="A2222">
        <v>111050</v>
      </c>
      <c r="B2222" t="s">
        <v>46082</v>
      </c>
      <c r="C2222" t="s">
        <v>46083</v>
      </c>
      <c r="D2222" t="s">
        <v>46084</v>
      </c>
      <c r="E2222" t="s">
        <v>46085</v>
      </c>
      <c r="F2222" t="s">
        <v>46086</v>
      </c>
      <c r="G2222" t="s">
        <v>46087</v>
      </c>
      <c r="H2222" t="s">
        <v>46088</v>
      </c>
      <c r="I2222" t="s">
        <v>46089</v>
      </c>
      <c r="J2222" t="s">
        <v>46090</v>
      </c>
      <c r="K2222" t="s">
        <v>46091</v>
      </c>
      <c r="L2222" t="s">
        <v>46092</v>
      </c>
      <c r="M2222" t="s">
        <v>46093</v>
      </c>
      <c r="N2222" t="s">
        <v>46094</v>
      </c>
      <c r="O2222">
        <f>-739.984947633187 -74.2235598891878 -726.245572197832</f>
        <v>-1540.4540797202067</v>
      </c>
      <c r="P2222">
        <f>-709.068046203384 -70.207689691948 -411.26257877445</f>
        <v>-1190.538314669782</v>
      </c>
      <c r="Q2222">
        <f>-462.142758944076 -7.2122444960587 -359.286791979821</f>
        <v>-828.64179541995566</v>
      </c>
      <c r="R2222" t="s">
        <v>46095</v>
      </c>
      <c r="S2222" t="s">
        <v>46096</v>
      </c>
      <c r="T2222" t="s">
        <v>46097</v>
      </c>
      <c r="U2222" t="s">
        <v>46098</v>
      </c>
      <c r="V2222" t="s">
        <v>46099</v>
      </c>
      <c r="W2222" t="s">
        <v>46100</v>
      </c>
      <c r="X2222" t="s">
        <v>46101</v>
      </c>
      <c r="Y2222" t="s">
        <v>46102</v>
      </c>
    </row>
    <row r="2223" spans="1:25" x14ac:dyDescent="0.3">
      <c r="A2223">
        <v>111100</v>
      </c>
      <c r="B2223" t="s">
        <v>46103</v>
      </c>
      <c r="C2223" t="s">
        <v>46104</v>
      </c>
      <c r="D2223" t="s">
        <v>46105</v>
      </c>
      <c r="E2223" t="s">
        <v>46106</v>
      </c>
      <c r="F2223" t="s">
        <v>46107</v>
      </c>
      <c r="G2223" t="s">
        <v>46108</v>
      </c>
      <c r="H2223" t="s">
        <v>46109</v>
      </c>
      <c r="I2223" t="s">
        <v>46110</v>
      </c>
      <c r="J2223" t="s">
        <v>46111</v>
      </c>
      <c r="K2223" t="s">
        <v>46112</v>
      </c>
      <c r="L2223" t="s">
        <v>46113</v>
      </c>
      <c r="M2223" t="s">
        <v>46114</v>
      </c>
      <c r="N2223" t="s">
        <v>46115</v>
      </c>
      <c r="O2223">
        <f>-739.849321926973 -74.4244055488834 -726.354393804301</f>
        <v>-1540.6281212801573</v>
      </c>
      <c r="P2223">
        <f>-709.312330752917 -70.3069645684532 -411.335802166558</f>
        <v>-1190.955097487928</v>
      </c>
      <c r="Q2223">
        <f>-462.660753010885 -6.30030448376601 -359.295597334812</f>
        <v>-828.25665482946306</v>
      </c>
      <c r="R2223" t="s">
        <v>46116</v>
      </c>
      <c r="S2223" t="s">
        <v>46117</v>
      </c>
      <c r="T2223" t="s">
        <v>46118</v>
      </c>
      <c r="U2223" t="s">
        <v>46119</v>
      </c>
      <c r="V2223" t="s">
        <v>46120</v>
      </c>
      <c r="W2223" t="s">
        <v>46121</v>
      </c>
      <c r="X2223" t="s">
        <v>46122</v>
      </c>
      <c r="Y2223" t="s">
        <v>46123</v>
      </c>
    </row>
    <row r="2224" spans="1:25" x14ac:dyDescent="0.3">
      <c r="A2224">
        <v>111150</v>
      </c>
      <c r="B2224" t="s">
        <v>46124</v>
      </c>
      <c r="C2224" t="s">
        <v>46125</v>
      </c>
      <c r="D2224" t="s">
        <v>46126</v>
      </c>
      <c r="E2224" t="s">
        <v>46127</v>
      </c>
      <c r="F2224" t="s">
        <v>46128</v>
      </c>
      <c r="G2224" t="s">
        <v>46129</v>
      </c>
      <c r="H2224" t="s">
        <v>46130</v>
      </c>
      <c r="I2224" t="s">
        <v>46131</v>
      </c>
      <c r="J2224" t="s">
        <v>46132</v>
      </c>
      <c r="K2224" t="s">
        <v>46133</v>
      </c>
      <c r="L2224" t="s">
        <v>46134</v>
      </c>
      <c r="M2224" t="s">
        <v>46135</v>
      </c>
      <c r="N2224" t="s">
        <v>46136</v>
      </c>
      <c r="O2224">
        <f>-739.709075521393 -75.4117590152175 -726.379053921044</f>
        <v>-1541.4998884576544</v>
      </c>
      <c r="P2224">
        <f>-709.732196826209 -71.0820938928002 -411.309417076797</f>
        <v>-1192.1237077958062</v>
      </c>
      <c r="Q2224">
        <f>-463.706333952521 -4.81464025537389 -359.136861523349</f>
        <v>-827.65783573124395</v>
      </c>
      <c r="R2224" t="s">
        <v>46137</v>
      </c>
      <c r="S2224" t="s">
        <v>46138</v>
      </c>
      <c r="T2224" t="s">
        <v>46139</v>
      </c>
      <c r="U2224" t="s">
        <v>46140</v>
      </c>
      <c r="V2224" t="s">
        <v>46141</v>
      </c>
      <c r="W2224" t="s">
        <v>46142</v>
      </c>
      <c r="X2224" t="s">
        <v>46143</v>
      </c>
      <c r="Y2224" t="s">
        <v>46144</v>
      </c>
    </row>
    <row r="2225" spans="1:25" x14ac:dyDescent="0.3">
      <c r="A2225">
        <v>111200</v>
      </c>
      <c r="B2225" t="s">
        <v>46145</v>
      </c>
      <c r="C2225" t="s">
        <v>46146</v>
      </c>
      <c r="D2225" t="s">
        <v>46147</v>
      </c>
      <c r="E2225" t="s">
        <v>46148</v>
      </c>
      <c r="F2225" t="s">
        <v>46149</v>
      </c>
      <c r="G2225" t="s">
        <v>46150</v>
      </c>
      <c r="H2225" t="s">
        <v>46151</v>
      </c>
      <c r="I2225" t="s">
        <v>46152</v>
      </c>
      <c r="J2225" t="s">
        <v>46153</v>
      </c>
      <c r="K2225" t="s">
        <v>46154</v>
      </c>
      <c r="L2225" t="s">
        <v>46155</v>
      </c>
      <c r="M2225" t="s">
        <v>46156</v>
      </c>
      <c r="N2225" t="s">
        <v>46157</v>
      </c>
      <c r="O2225">
        <f>-739.97834099569 -75.9909656938314 -726.302234419833</f>
        <v>-1542.2715411093545</v>
      </c>
      <c r="P2225">
        <f>-710.00696042724 -71.488049935399 -411.234679989107</f>
        <v>-1192.7296903517458</v>
      </c>
      <c r="Q2225">
        <f>-464.303974319181 -3.9674443607164 -359.147656712729</f>
        <v>-827.41907539262638</v>
      </c>
      <c r="R2225" t="s">
        <v>46158</v>
      </c>
      <c r="S2225" t="s">
        <v>46159</v>
      </c>
      <c r="T2225" t="s">
        <v>46160</v>
      </c>
      <c r="U2225" t="s">
        <v>46161</v>
      </c>
      <c r="V2225" t="s">
        <v>46162</v>
      </c>
      <c r="W2225" t="s">
        <v>46163</v>
      </c>
      <c r="X2225" t="s">
        <v>46164</v>
      </c>
      <c r="Y2225" t="s">
        <v>46165</v>
      </c>
    </row>
    <row r="2226" spans="1:25" x14ac:dyDescent="0.3">
      <c r="A2226">
        <v>111250</v>
      </c>
      <c r="B2226" t="s">
        <v>46166</v>
      </c>
      <c r="C2226" t="s">
        <v>46167</v>
      </c>
      <c r="D2226" t="s">
        <v>46168</v>
      </c>
      <c r="E2226" t="s">
        <v>46169</v>
      </c>
      <c r="F2226" t="s">
        <v>46170</v>
      </c>
      <c r="G2226" t="s">
        <v>46171</v>
      </c>
      <c r="H2226" t="s">
        <v>46172</v>
      </c>
      <c r="I2226" t="s">
        <v>46173</v>
      </c>
      <c r="J2226" t="s">
        <v>46174</v>
      </c>
      <c r="K2226" t="s">
        <v>46175</v>
      </c>
      <c r="L2226" t="s">
        <v>46176</v>
      </c>
      <c r="M2226" t="s">
        <v>46177</v>
      </c>
      <c r="N2226" t="s">
        <v>46178</v>
      </c>
      <c r="O2226">
        <f>-741.127800409801 -77.1350436014657 -726.090454950195</f>
        <v>-1544.3532989614616</v>
      </c>
      <c r="P2226">
        <f>-710.66581052938 -71.6893795641658 -411.084684255315</f>
        <v>-1193.4398743488609</v>
      </c>
      <c r="Q2226">
        <f>-465.478431150443 -2.24074050649347 -359.103197358138</f>
        <v>-826.8223690150744</v>
      </c>
      <c r="R2226" t="s">
        <v>46179</v>
      </c>
      <c r="S2226" t="s">
        <v>46180</v>
      </c>
      <c r="T2226" t="s">
        <v>46181</v>
      </c>
      <c r="U2226" t="s">
        <v>46182</v>
      </c>
      <c r="V2226" t="s">
        <v>46183</v>
      </c>
      <c r="W2226" t="s">
        <v>46184</v>
      </c>
      <c r="X2226" t="s">
        <v>46185</v>
      </c>
      <c r="Y2226" t="s">
        <v>46186</v>
      </c>
    </row>
    <row r="2227" spans="1:25" x14ac:dyDescent="0.3">
      <c r="A2227">
        <v>111300</v>
      </c>
      <c r="B2227" t="s">
        <v>46187</v>
      </c>
      <c r="C2227" t="s">
        <v>46188</v>
      </c>
      <c r="D2227" t="s">
        <v>46189</v>
      </c>
      <c r="E2227" t="s">
        <v>46190</v>
      </c>
      <c r="F2227" t="s">
        <v>46191</v>
      </c>
      <c r="G2227" t="s">
        <v>46192</v>
      </c>
      <c r="H2227" t="s">
        <v>46193</v>
      </c>
      <c r="I2227" t="s">
        <v>46194</v>
      </c>
      <c r="J2227" t="s">
        <v>46195</v>
      </c>
      <c r="K2227" t="s">
        <v>46196</v>
      </c>
      <c r="L2227" t="s">
        <v>46197</v>
      </c>
      <c r="M2227" t="s">
        <v>46198</v>
      </c>
      <c r="N2227" t="s">
        <v>46199</v>
      </c>
      <c r="O2227">
        <f>-741.402224806673 -77.6698735588941 -726.00280912585</f>
        <v>-1545.074907491417</v>
      </c>
      <c r="P2227">
        <f>-710.574113141101 -71.8303131132552 -411.039851767481</f>
        <v>-1193.4442780218371</v>
      </c>
      <c r="Q2227">
        <f>-465.616031296848 -1.54620559416571 -359.100071752542</f>
        <v>-826.2623086435558</v>
      </c>
      <c r="R2227" t="s">
        <v>46200</v>
      </c>
      <c r="S2227" t="s">
        <v>46201</v>
      </c>
      <c r="T2227" t="s">
        <v>46202</v>
      </c>
      <c r="U2227" t="s">
        <v>46203</v>
      </c>
      <c r="V2227" t="s">
        <v>46204</v>
      </c>
      <c r="W2227" t="s">
        <v>46205</v>
      </c>
      <c r="X2227" t="s">
        <v>46206</v>
      </c>
      <c r="Y2227" t="s">
        <v>46207</v>
      </c>
    </row>
    <row r="2228" spans="1:25" x14ac:dyDescent="0.3">
      <c r="A2228">
        <v>111350</v>
      </c>
      <c r="B2228" t="s">
        <v>46208</v>
      </c>
      <c r="C2228" t="s">
        <v>46209</v>
      </c>
      <c r="D2228" t="s">
        <v>46210</v>
      </c>
      <c r="E2228" t="s">
        <v>46211</v>
      </c>
      <c r="F2228" t="s">
        <v>46212</v>
      </c>
      <c r="G2228" t="s">
        <v>46213</v>
      </c>
      <c r="H2228" t="s">
        <v>46214</v>
      </c>
      <c r="I2228" t="s">
        <v>46215</v>
      </c>
      <c r="J2228" t="s">
        <v>46216</v>
      </c>
      <c r="K2228" t="s">
        <v>46217</v>
      </c>
      <c r="L2228" t="s">
        <v>46218</v>
      </c>
      <c r="M2228" t="s">
        <v>46219</v>
      </c>
      <c r="N2228" t="s">
        <v>46220</v>
      </c>
      <c r="O2228">
        <f>-741.139991250738 -79.0458354559742 -725.654846241941</f>
        <v>-1545.8406729486533</v>
      </c>
      <c r="P2228">
        <f>-709.932358245698 -72.9598203755306 -410.733892496775</f>
        <v>-1193.6260711180037</v>
      </c>
      <c r="Q2228">
        <f>-464.957653729837 -1.99827860869982 -359.803586356584</f>
        <v>-826.75951869512073</v>
      </c>
      <c r="R2228" t="s">
        <v>46221</v>
      </c>
      <c r="S2228" t="s">
        <v>46222</v>
      </c>
      <c r="T2228" t="s">
        <v>46223</v>
      </c>
      <c r="U2228" t="s">
        <v>46224</v>
      </c>
      <c r="V2228" t="s">
        <v>46225</v>
      </c>
      <c r="W2228" t="s">
        <v>46226</v>
      </c>
      <c r="X2228" t="s">
        <v>46227</v>
      </c>
      <c r="Y2228" t="s">
        <v>46228</v>
      </c>
    </row>
    <row r="2229" spans="1:25" x14ac:dyDescent="0.3">
      <c r="A2229">
        <v>111400</v>
      </c>
      <c r="B2229" t="s">
        <v>46229</v>
      </c>
      <c r="C2229" t="s">
        <v>46230</v>
      </c>
      <c r="D2229" t="s">
        <v>46231</v>
      </c>
      <c r="E2229" t="s">
        <v>46232</v>
      </c>
      <c r="F2229" t="s">
        <v>46233</v>
      </c>
      <c r="G2229" t="s">
        <v>46234</v>
      </c>
      <c r="H2229" t="s">
        <v>46235</v>
      </c>
      <c r="I2229" t="s">
        <v>46236</v>
      </c>
      <c r="J2229" t="s">
        <v>46237</v>
      </c>
      <c r="K2229" t="s">
        <v>46238</v>
      </c>
      <c r="L2229" t="s">
        <v>46239</v>
      </c>
      <c r="M2229" t="s">
        <v>46240</v>
      </c>
      <c r="N2229" t="s">
        <v>46241</v>
      </c>
      <c r="O2229">
        <f>-740.775030115455 -79.4140387177233 -725.586889894388</f>
        <v>-1545.7759587275664</v>
      </c>
      <c r="P2229">
        <f>-709.466544121089 -73.4692123741065 -410.673222162477</f>
        <v>-1193.6089786576724</v>
      </c>
      <c r="Q2229">
        <f>-464.374324722534 -2.2709333699961 -360.646678920598</f>
        <v>-827.29193701312806</v>
      </c>
      <c r="R2229" t="s">
        <v>46242</v>
      </c>
      <c r="S2229" t="s">
        <v>46243</v>
      </c>
      <c r="T2229" t="s">
        <v>46244</v>
      </c>
      <c r="U2229" t="s">
        <v>46245</v>
      </c>
      <c r="V2229" t="s">
        <v>46246</v>
      </c>
      <c r="W2229" t="s">
        <v>46247</v>
      </c>
      <c r="X2229" t="s">
        <v>46248</v>
      </c>
      <c r="Y2229" t="s">
        <v>46249</v>
      </c>
    </row>
    <row r="2230" spans="1:25" x14ac:dyDescent="0.3">
      <c r="A2230">
        <v>111450</v>
      </c>
      <c r="B2230" t="s">
        <v>46250</v>
      </c>
      <c r="C2230" t="s">
        <v>46251</v>
      </c>
      <c r="D2230" t="s">
        <v>46252</v>
      </c>
      <c r="E2230" t="s">
        <v>46253</v>
      </c>
      <c r="F2230" t="s">
        <v>46254</v>
      </c>
      <c r="G2230" t="s">
        <v>46255</v>
      </c>
      <c r="H2230" t="s">
        <v>46256</v>
      </c>
      <c r="I2230" t="s">
        <v>46257</v>
      </c>
      <c r="J2230" t="s">
        <v>46258</v>
      </c>
      <c r="K2230" t="s">
        <v>46259</v>
      </c>
      <c r="L2230" t="s">
        <v>46260</v>
      </c>
      <c r="M2230" t="s">
        <v>46261</v>
      </c>
      <c r="N2230" t="s">
        <v>46262</v>
      </c>
      <c r="O2230">
        <f>-740.086503101468 -79.267758010458 -725.626982247851</f>
        <v>-1544.981243359777</v>
      </c>
      <c r="P2230">
        <f>-708.251441633871 -73.9710323873519 -410.754502046</f>
        <v>-1192.9769760672229</v>
      </c>
      <c r="Q2230">
        <f>-462.759116261501 -2.78793312762537 -362.706975050206</f>
        <v>-828.2540244393324</v>
      </c>
      <c r="R2230" t="s">
        <v>46263</v>
      </c>
      <c r="S2230" t="s">
        <v>46264</v>
      </c>
      <c r="T2230" t="s">
        <v>46265</v>
      </c>
      <c r="U2230" t="s">
        <v>46266</v>
      </c>
      <c r="V2230" t="s">
        <v>46267</v>
      </c>
      <c r="W2230" t="s">
        <v>46268</v>
      </c>
      <c r="X2230" t="s">
        <v>46269</v>
      </c>
      <c r="Y2230" t="s">
        <v>46270</v>
      </c>
    </row>
    <row r="2231" spans="1:25" x14ac:dyDescent="0.3">
      <c r="A2231">
        <v>111500</v>
      </c>
      <c r="B2231" t="s">
        <v>46271</v>
      </c>
      <c r="C2231" t="s">
        <v>46272</v>
      </c>
      <c r="D2231" t="s">
        <v>46273</v>
      </c>
      <c r="E2231" t="s">
        <v>46274</v>
      </c>
      <c r="F2231" t="s">
        <v>46275</v>
      </c>
      <c r="G2231" t="s">
        <v>46276</v>
      </c>
      <c r="H2231" t="s">
        <v>46277</v>
      </c>
      <c r="I2231" t="s">
        <v>46278</v>
      </c>
      <c r="J2231" t="s">
        <v>46279</v>
      </c>
      <c r="K2231" t="s">
        <v>46280</v>
      </c>
      <c r="L2231" t="s">
        <v>46281</v>
      </c>
      <c r="M2231" t="s">
        <v>46282</v>
      </c>
      <c r="N2231" t="s">
        <v>46283</v>
      </c>
      <c r="O2231">
        <f>-740.040708851874 -79.0639278779975 -725.583708442801</f>
        <v>-1544.6883451726726</v>
      </c>
      <c r="P2231">
        <f>-707.6528636256 -73.7344813545069 -410.768241374989</f>
        <v>-1192.1555863550959</v>
      </c>
      <c r="Q2231">
        <f>-461.83046883818 -3.09910994601591 -363.608111052226</f>
        <v>-828.53768983642192</v>
      </c>
      <c r="R2231" t="s">
        <v>46284</v>
      </c>
      <c r="S2231" t="s">
        <v>46285</v>
      </c>
      <c r="T2231" t="s">
        <v>46286</v>
      </c>
      <c r="U2231" t="s">
        <v>46287</v>
      </c>
      <c r="V2231" t="s">
        <v>46288</v>
      </c>
      <c r="W2231" t="s">
        <v>46289</v>
      </c>
      <c r="X2231" t="s">
        <v>46290</v>
      </c>
      <c r="Y2231" t="s">
        <v>46291</v>
      </c>
    </row>
    <row r="2232" spans="1:25" x14ac:dyDescent="0.3">
      <c r="A2232">
        <v>111550</v>
      </c>
      <c r="B2232" t="s">
        <v>46292</v>
      </c>
      <c r="C2232" t="s">
        <v>46293</v>
      </c>
      <c r="D2232" t="s">
        <v>46294</v>
      </c>
      <c r="E2232" t="s">
        <v>46295</v>
      </c>
      <c r="F2232" t="s">
        <v>46296</v>
      </c>
      <c r="G2232" t="s">
        <v>46297</v>
      </c>
      <c r="H2232" t="s">
        <v>46298</v>
      </c>
      <c r="I2232" t="s">
        <v>46299</v>
      </c>
      <c r="J2232" t="s">
        <v>46300</v>
      </c>
      <c r="K2232" t="s">
        <v>46301</v>
      </c>
      <c r="L2232" t="s">
        <v>46302</v>
      </c>
      <c r="M2232" t="s">
        <v>46303</v>
      </c>
      <c r="N2232" t="s">
        <v>46304</v>
      </c>
      <c r="O2232">
        <f>-739.918139997435 -78.5795794159401 -725.647832512337</f>
        <v>-1544.145551925712</v>
      </c>
      <c r="P2232">
        <f>-706.328915737125 -73.2928938895402 -410.95748353398</f>
        <v>-1190.5792931606452</v>
      </c>
      <c r="Q2232">
        <f>-459.747364345565 -4.43313268972815 -365.154094051001</f>
        <v>-829.33459108629415</v>
      </c>
      <c r="R2232" t="s">
        <v>46305</v>
      </c>
      <c r="S2232" t="s">
        <v>46306</v>
      </c>
      <c r="T2232" t="s">
        <v>46307</v>
      </c>
      <c r="U2232" t="s">
        <v>46308</v>
      </c>
      <c r="V2232" t="s">
        <v>46309</v>
      </c>
      <c r="W2232" t="s">
        <v>46310</v>
      </c>
      <c r="X2232" t="s">
        <v>46311</v>
      </c>
      <c r="Y2232" t="s">
        <v>46312</v>
      </c>
    </row>
    <row r="2233" spans="1:25" x14ac:dyDescent="0.3">
      <c r="A2233">
        <v>111600</v>
      </c>
      <c r="B2233" t="s">
        <v>46313</v>
      </c>
      <c r="C2233" t="s">
        <v>46314</v>
      </c>
      <c r="D2233" t="s">
        <v>46315</v>
      </c>
      <c r="E2233" t="s">
        <v>46316</v>
      </c>
      <c r="F2233" t="s">
        <v>46317</v>
      </c>
      <c r="G2233" t="s">
        <v>46318</v>
      </c>
      <c r="H2233" t="s">
        <v>46319</v>
      </c>
      <c r="I2233" t="s">
        <v>46320</v>
      </c>
      <c r="J2233" t="s">
        <v>46321</v>
      </c>
      <c r="K2233" t="s">
        <v>46322</v>
      </c>
      <c r="L2233" t="s">
        <v>46323</v>
      </c>
      <c r="M2233" t="s">
        <v>46324</v>
      </c>
      <c r="N2233" t="s">
        <v>46325</v>
      </c>
      <c r="O2233">
        <f>-739.978359727188 -78.1481406765115 -725.690227019343</f>
        <v>-1543.8167274230434</v>
      </c>
      <c r="P2233">
        <f>-706.088055638913 -73.11424165331 -411.028052766209</f>
        <v>-1190.2303500584321</v>
      </c>
      <c r="Q2233">
        <f>-459.076511262528 -5.46390741268374 -365.74250683318</f>
        <v>-830.28292550839183</v>
      </c>
      <c r="R2233" t="s">
        <v>46326</v>
      </c>
      <c r="S2233" t="s">
        <v>46327</v>
      </c>
      <c r="T2233" t="s">
        <v>46328</v>
      </c>
      <c r="U2233" t="s">
        <v>46329</v>
      </c>
      <c r="V2233" t="s">
        <v>46330</v>
      </c>
      <c r="W2233" t="s">
        <v>46331</v>
      </c>
      <c r="X2233" t="s">
        <v>46332</v>
      </c>
      <c r="Y2233" t="s">
        <v>46333</v>
      </c>
    </row>
    <row r="2234" spans="1:25" x14ac:dyDescent="0.3">
      <c r="A2234">
        <v>111650</v>
      </c>
      <c r="B2234" t="s">
        <v>46334</v>
      </c>
      <c r="C2234" t="s">
        <v>46335</v>
      </c>
      <c r="D2234" t="s">
        <v>46336</v>
      </c>
      <c r="E2234" t="s">
        <v>46337</v>
      </c>
      <c r="F2234" t="s">
        <v>46338</v>
      </c>
      <c r="G2234" t="s">
        <v>46339</v>
      </c>
      <c r="H2234" t="s">
        <v>46340</v>
      </c>
      <c r="I2234" t="s">
        <v>46341</v>
      </c>
      <c r="J2234" t="s">
        <v>46342</v>
      </c>
      <c r="K2234" t="s">
        <v>46343</v>
      </c>
      <c r="L2234" t="s">
        <v>46344</v>
      </c>
      <c r="M2234" t="s">
        <v>46345</v>
      </c>
      <c r="N2234" t="s">
        <v>46346</v>
      </c>
      <c r="O2234">
        <f>-740.045383575986 -77.1096770155241 -725.848735134156</f>
        <v>-1543.0037957256659</v>
      </c>
      <c r="P2234">
        <f>-705.643441860981 -72.815542957163 -411.231097777219</f>
        <v>-1189.690082595363</v>
      </c>
      <c r="Q2234">
        <f>-457.816648058785 -7.84028561316063 -366.485551402559</f>
        <v>-832.14248507450463</v>
      </c>
      <c r="R2234" t="s">
        <v>46347</v>
      </c>
      <c r="S2234" t="s">
        <v>46348</v>
      </c>
      <c r="T2234" t="s">
        <v>46349</v>
      </c>
      <c r="U2234" t="s">
        <v>46350</v>
      </c>
      <c r="V2234" t="s">
        <v>46351</v>
      </c>
      <c r="W2234" t="s">
        <v>46352</v>
      </c>
      <c r="X2234" t="s">
        <v>46353</v>
      </c>
      <c r="Y2234" t="s">
        <v>46354</v>
      </c>
    </row>
    <row r="2235" spans="1:25" x14ac:dyDescent="0.3">
      <c r="A2235">
        <v>111700</v>
      </c>
      <c r="B2235" t="s">
        <v>46355</v>
      </c>
      <c r="C2235" t="s">
        <v>46356</v>
      </c>
      <c r="D2235" t="s">
        <v>46357</v>
      </c>
      <c r="E2235" t="s">
        <v>46358</v>
      </c>
      <c r="F2235" t="s">
        <v>46359</v>
      </c>
      <c r="G2235" t="s">
        <v>46360</v>
      </c>
      <c r="H2235" t="s">
        <v>46361</v>
      </c>
      <c r="I2235" t="s">
        <v>46362</v>
      </c>
      <c r="J2235" t="s">
        <v>46363</v>
      </c>
      <c r="K2235" t="s">
        <v>46364</v>
      </c>
      <c r="L2235" t="s">
        <v>46365</v>
      </c>
      <c r="M2235" t="s">
        <v>46366</v>
      </c>
      <c r="N2235" t="s">
        <v>46367</v>
      </c>
      <c r="O2235">
        <f>-739.969378954633 -76.7363382830329 -725.879076482267</f>
        <v>-1542.5847937199328</v>
      </c>
      <c r="P2235">
        <f>-705.415679587231 -72.7500834823447 -411.274009822185</f>
        <v>-1189.4397728917606</v>
      </c>
      <c r="Q2235">
        <f>-457.206548202406 -9.27205697455679 -366.499163504585</f>
        <v>-832.97776868154779</v>
      </c>
      <c r="R2235" t="s">
        <v>46368</v>
      </c>
      <c r="S2235" t="s">
        <v>46369</v>
      </c>
      <c r="T2235" t="s">
        <v>46370</v>
      </c>
      <c r="U2235" t="s">
        <v>46371</v>
      </c>
      <c r="V2235" t="s">
        <v>46372</v>
      </c>
      <c r="W2235" t="s">
        <v>46373</v>
      </c>
      <c r="X2235" t="s">
        <v>46374</v>
      </c>
      <c r="Y2235" t="s">
        <v>46375</v>
      </c>
    </row>
    <row r="2236" spans="1:25" x14ac:dyDescent="0.3">
      <c r="A2236">
        <v>111750</v>
      </c>
      <c r="B2236" t="s">
        <v>46376</v>
      </c>
      <c r="C2236" t="s">
        <v>46377</v>
      </c>
      <c r="D2236" t="s">
        <v>46378</v>
      </c>
      <c r="E2236" t="s">
        <v>46379</v>
      </c>
      <c r="F2236" t="s">
        <v>46380</v>
      </c>
      <c r="G2236" t="s">
        <v>46381</v>
      </c>
      <c r="H2236" t="s">
        <v>46382</v>
      </c>
      <c r="I2236" t="s">
        <v>46383</v>
      </c>
      <c r="J2236" t="s">
        <v>46384</v>
      </c>
      <c r="K2236" t="s">
        <v>46385</v>
      </c>
      <c r="L2236" t="s">
        <v>46386</v>
      </c>
      <c r="M2236" t="s">
        <v>46387</v>
      </c>
      <c r="N2236" t="s">
        <v>46388</v>
      </c>
      <c r="O2236">
        <f>-740.033573545867 -75.9645794993894 -725.726574974674</f>
        <v>-1541.7247280199304</v>
      </c>
      <c r="P2236">
        <f>-705.429373060633 -71.0834087627634 -411.13974385013</f>
        <v>-1187.6525256735263</v>
      </c>
      <c r="Q2236">
        <f>-456.623041552445 -10.1147823895651 -366.191694271954</f>
        <v>-832.92951821396412</v>
      </c>
      <c r="R2236" t="s">
        <v>46389</v>
      </c>
      <c r="S2236" t="s">
        <v>46390</v>
      </c>
      <c r="T2236" t="s">
        <v>46391</v>
      </c>
      <c r="U2236" t="s">
        <v>46392</v>
      </c>
      <c r="V2236" t="s">
        <v>46393</v>
      </c>
      <c r="W2236" t="s">
        <v>46394</v>
      </c>
      <c r="X2236" t="s">
        <v>46395</v>
      </c>
      <c r="Y2236" t="s">
        <v>46396</v>
      </c>
    </row>
    <row r="2237" spans="1:25" x14ac:dyDescent="0.3">
      <c r="A2237">
        <v>111800</v>
      </c>
      <c r="B2237" t="s">
        <v>46397</v>
      </c>
      <c r="C2237" t="s">
        <v>46398</v>
      </c>
      <c r="D2237" t="s">
        <v>46399</v>
      </c>
      <c r="E2237" t="s">
        <v>46400</v>
      </c>
      <c r="F2237" t="s">
        <v>46401</v>
      </c>
      <c r="G2237" t="s">
        <v>46402</v>
      </c>
      <c r="H2237" t="s">
        <v>46403</v>
      </c>
      <c r="I2237" t="s">
        <v>46404</v>
      </c>
      <c r="J2237" t="s">
        <v>46405</v>
      </c>
      <c r="K2237" t="s">
        <v>46406</v>
      </c>
      <c r="L2237" t="s">
        <v>46407</v>
      </c>
      <c r="M2237" t="s">
        <v>46408</v>
      </c>
      <c r="N2237" t="s">
        <v>46409</v>
      </c>
      <c r="O2237">
        <f>-740.059266291317 -75.7431707482219 -725.557951580321</f>
        <v>-1541.3603886198598</v>
      </c>
      <c r="P2237">
        <f>-705.457939110389 -70.4849590339954 -410.976925566177</f>
        <v>-1186.9198237105616</v>
      </c>
      <c r="Q2237">
        <f>-456.457987809714 -10.4503068853953 -365.844475535151</f>
        <v>-832.75277023026024</v>
      </c>
      <c r="R2237" t="s">
        <v>46410</v>
      </c>
      <c r="S2237" t="s">
        <v>46411</v>
      </c>
      <c r="T2237" t="s">
        <v>46412</v>
      </c>
      <c r="U2237" t="s">
        <v>46413</v>
      </c>
      <c r="V2237" t="s">
        <v>46414</v>
      </c>
      <c r="W2237" t="s">
        <v>46415</v>
      </c>
      <c r="X2237" t="s">
        <v>46416</v>
      </c>
      <c r="Y2237" t="s">
        <v>46417</v>
      </c>
    </row>
    <row r="2238" spans="1:25" x14ac:dyDescent="0.3">
      <c r="A2238">
        <v>111850</v>
      </c>
      <c r="B2238" t="s">
        <v>46418</v>
      </c>
      <c r="C2238" t="s">
        <v>46419</v>
      </c>
      <c r="D2238" t="s">
        <v>46420</v>
      </c>
      <c r="E2238" t="s">
        <v>46421</v>
      </c>
      <c r="F2238" t="s">
        <v>46422</v>
      </c>
      <c r="G2238" t="s">
        <v>46423</v>
      </c>
      <c r="H2238" t="s">
        <v>46424</v>
      </c>
      <c r="I2238" t="s">
        <v>46425</v>
      </c>
      <c r="J2238" t="s">
        <v>46426</v>
      </c>
      <c r="K2238" t="s">
        <v>46427</v>
      </c>
      <c r="L2238" t="s">
        <v>46428</v>
      </c>
      <c r="M2238" t="s">
        <v>46429</v>
      </c>
      <c r="N2238" t="s">
        <v>46430</v>
      </c>
      <c r="O2238">
        <f>-740.538711014449 -75.3534160176553 -725.048304440596</f>
        <v>-1540.9404314727003</v>
      </c>
      <c r="P2238">
        <f>-705.856986683065 -69.2383285258784 -410.491494654911</f>
        <v>-1185.5868098638543</v>
      </c>
      <c r="Q2238">
        <f>-456.64954138733 -10.3548490542269 -364.988632017964</f>
        <v>-831.99302245952094</v>
      </c>
      <c r="R2238" t="s">
        <v>46431</v>
      </c>
      <c r="S2238" t="s">
        <v>46432</v>
      </c>
      <c r="T2238" t="s">
        <v>46433</v>
      </c>
      <c r="U2238" t="s">
        <v>46434</v>
      </c>
      <c r="V2238" t="s">
        <v>46435</v>
      </c>
      <c r="W2238" t="s">
        <v>46436</v>
      </c>
      <c r="X2238" t="s">
        <v>46437</v>
      </c>
      <c r="Y2238" t="s">
        <v>46438</v>
      </c>
    </row>
    <row r="2239" spans="1:25" x14ac:dyDescent="0.3">
      <c r="A2239">
        <v>111900</v>
      </c>
      <c r="B2239" t="s">
        <v>46439</v>
      </c>
      <c r="C2239" t="s">
        <v>46440</v>
      </c>
      <c r="D2239" t="s">
        <v>46441</v>
      </c>
      <c r="E2239" t="s">
        <v>46442</v>
      </c>
      <c r="F2239" t="s">
        <v>46443</v>
      </c>
      <c r="G2239" t="s">
        <v>46444</v>
      </c>
      <c r="H2239" t="s">
        <v>46445</v>
      </c>
      <c r="I2239" t="s">
        <v>46446</v>
      </c>
      <c r="J2239" t="s">
        <v>46447</v>
      </c>
      <c r="K2239" t="s">
        <v>46448</v>
      </c>
      <c r="L2239" t="s">
        <v>46449</v>
      </c>
      <c r="M2239" t="s">
        <v>46450</v>
      </c>
      <c r="N2239" t="s">
        <v>46451</v>
      </c>
      <c r="O2239">
        <f>-740.646138271876 -75.3054175327827 -724.749433104429</f>
        <v>-1540.7009889090878</v>
      </c>
      <c r="P2239">
        <f>-706.007626727104 -68.7703933825107 -410.196355509625</f>
        <v>-1184.9743756192397</v>
      </c>
      <c r="Q2239">
        <f>-456.672888133415 -10.5175541643891 -364.580157684964</f>
        <v>-831.77059998276809</v>
      </c>
      <c r="R2239" t="s">
        <v>46452</v>
      </c>
      <c r="S2239" t="s">
        <v>46453</v>
      </c>
      <c r="T2239" t="s">
        <v>46454</v>
      </c>
      <c r="U2239" t="s">
        <v>46455</v>
      </c>
      <c r="V2239" t="s">
        <v>46456</v>
      </c>
      <c r="W2239" t="s">
        <v>46457</v>
      </c>
      <c r="X2239" t="s">
        <v>46458</v>
      </c>
      <c r="Y2239" t="s">
        <v>46459</v>
      </c>
    </row>
    <row r="2240" spans="1:25" x14ac:dyDescent="0.3">
      <c r="A2240">
        <v>111950</v>
      </c>
      <c r="B2240" t="s">
        <v>46460</v>
      </c>
      <c r="C2240" t="s">
        <v>46461</v>
      </c>
      <c r="D2240" t="s">
        <v>46462</v>
      </c>
      <c r="E2240" t="s">
        <v>46463</v>
      </c>
      <c r="F2240" t="s">
        <v>46464</v>
      </c>
      <c r="G2240" t="s">
        <v>46465</v>
      </c>
      <c r="H2240" t="s">
        <v>46466</v>
      </c>
      <c r="I2240" t="s">
        <v>46467</v>
      </c>
      <c r="J2240" t="s">
        <v>46468</v>
      </c>
      <c r="K2240" t="s">
        <v>46469</v>
      </c>
      <c r="L2240" t="s">
        <v>46470</v>
      </c>
      <c r="M2240" t="s">
        <v>46471</v>
      </c>
      <c r="N2240" t="s">
        <v>46472</v>
      </c>
      <c r="O2240">
        <f>-741.131098222685 -75.0203348237137 -724.264650915933</f>
        <v>-1540.4160839623328</v>
      </c>
      <c r="P2240">
        <f>-706.299597886488 -67.2882071077115 -409.76000324507</f>
        <v>-1183.3478082392694</v>
      </c>
      <c r="Q2240">
        <f>-456.747598403567 -10.2083649579788 -363.85005326141</f>
        <v>-830.80601662295578</v>
      </c>
      <c r="R2240" t="s">
        <v>46473</v>
      </c>
      <c r="S2240" t="s">
        <v>46474</v>
      </c>
      <c r="T2240" t="s">
        <v>46475</v>
      </c>
      <c r="U2240" t="s">
        <v>46476</v>
      </c>
      <c r="V2240" t="s">
        <v>46477</v>
      </c>
      <c r="W2240" t="s">
        <v>46478</v>
      </c>
      <c r="X2240" t="s">
        <v>46479</v>
      </c>
      <c r="Y2240" t="s">
        <v>46480</v>
      </c>
    </row>
    <row r="2241" spans="1:25" x14ac:dyDescent="0.3">
      <c r="A2241">
        <v>112000</v>
      </c>
      <c r="B2241" t="s">
        <v>46481</v>
      </c>
      <c r="C2241" t="s">
        <v>46482</v>
      </c>
      <c r="D2241" t="s">
        <v>46483</v>
      </c>
      <c r="E2241" t="s">
        <v>46484</v>
      </c>
      <c r="F2241" t="s">
        <v>46485</v>
      </c>
      <c r="G2241" t="s">
        <v>46486</v>
      </c>
      <c r="H2241" t="s">
        <v>46487</v>
      </c>
      <c r="I2241" t="s">
        <v>46488</v>
      </c>
      <c r="J2241" t="s">
        <v>46489</v>
      </c>
      <c r="K2241" t="s">
        <v>46490</v>
      </c>
      <c r="L2241" t="s">
        <v>46491</v>
      </c>
      <c r="M2241" t="s">
        <v>46492</v>
      </c>
      <c r="N2241" t="s">
        <v>46493</v>
      </c>
      <c r="O2241">
        <f>-741.316292026779 -74.9594059122917 -723.962644797155</f>
        <v>-1540.2383427362256</v>
      </c>
      <c r="P2241">
        <f>-706.44907987398 -66.9653621732041 -409.468449100282</f>
        <v>-1182.8828911474661</v>
      </c>
      <c r="Q2241">
        <f>-456.76971250103 -10.541402088234 -363.439663080684</f>
        <v>-830.75077766994809</v>
      </c>
      <c r="R2241" t="s">
        <v>46494</v>
      </c>
      <c r="S2241" t="s">
        <v>46495</v>
      </c>
      <c r="T2241" t="s">
        <v>46496</v>
      </c>
      <c r="U2241" t="s">
        <v>46497</v>
      </c>
      <c r="V2241" t="s">
        <v>46498</v>
      </c>
      <c r="W2241" t="s">
        <v>46499</v>
      </c>
      <c r="X2241" t="s">
        <v>46500</v>
      </c>
      <c r="Y2241" t="s">
        <v>46501</v>
      </c>
    </row>
    <row r="2242" spans="1:25" x14ac:dyDescent="0.3">
      <c r="A2242">
        <v>112050</v>
      </c>
      <c r="B2242" t="s">
        <v>46502</v>
      </c>
      <c r="C2242" t="s">
        <v>46503</v>
      </c>
      <c r="D2242" t="s">
        <v>46504</v>
      </c>
      <c r="E2242" t="s">
        <v>46505</v>
      </c>
      <c r="F2242" t="s">
        <v>46506</v>
      </c>
      <c r="G2242" t="s">
        <v>46507</v>
      </c>
      <c r="H2242" t="s">
        <v>46508</v>
      </c>
      <c r="I2242" t="s">
        <v>46509</v>
      </c>
      <c r="J2242" t="s">
        <v>46510</v>
      </c>
      <c r="K2242" t="s">
        <v>46511</v>
      </c>
      <c r="L2242" t="s">
        <v>46512</v>
      </c>
      <c r="M2242" t="s">
        <v>46513</v>
      </c>
      <c r="N2242" t="s">
        <v>46514</v>
      </c>
      <c r="O2242">
        <f>-741.646254878339 -74.8761807546232 -723.217494028998</f>
        <v>-1539.7399296619601</v>
      </c>
      <c r="P2242">
        <f>-706.187695189444 -66.1345710239268 -408.809373143202</f>
        <v>-1181.1316393565728</v>
      </c>
      <c r="Q2242">
        <f>-456.238829839109 -10.8868468578921 -362.817004145682</f>
        <v>-829.9426808426831</v>
      </c>
      <c r="R2242" t="s">
        <v>46515</v>
      </c>
      <c r="S2242" t="s">
        <v>46516</v>
      </c>
      <c r="T2242" t="s">
        <v>46517</v>
      </c>
      <c r="U2242" t="s">
        <v>46518</v>
      </c>
      <c r="V2242" t="s">
        <v>46519</v>
      </c>
      <c r="W2242" t="s">
        <v>46520</v>
      </c>
      <c r="X2242" t="s">
        <v>46521</v>
      </c>
      <c r="Y2242" t="s">
        <v>46522</v>
      </c>
    </row>
    <row r="2243" spans="1:25" x14ac:dyDescent="0.3">
      <c r="A2243">
        <v>112100</v>
      </c>
      <c r="B2243" t="s">
        <v>46523</v>
      </c>
      <c r="C2243" t="s">
        <v>46524</v>
      </c>
      <c r="D2243" t="s">
        <v>46525</v>
      </c>
      <c r="E2243" t="s">
        <v>46526</v>
      </c>
      <c r="F2243" t="s">
        <v>46527</v>
      </c>
      <c r="G2243" t="s">
        <v>46528</v>
      </c>
      <c r="H2243" t="s">
        <v>46529</v>
      </c>
      <c r="I2243" t="s">
        <v>46530</v>
      </c>
      <c r="J2243" t="s">
        <v>46531</v>
      </c>
      <c r="K2243" t="s">
        <v>46532</v>
      </c>
      <c r="L2243" t="s">
        <v>46533</v>
      </c>
      <c r="M2243" t="s">
        <v>46534</v>
      </c>
      <c r="N2243" t="s">
        <v>46535</v>
      </c>
      <c r="O2243">
        <f>-741.877621482815 -74.8651783620201 -722.787542194908</f>
        <v>-1539.5303420397431</v>
      </c>
      <c r="P2243">
        <f>-705.982819936839 -65.7284056359683 -408.440110560947</f>
        <v>-1180.1513361337543</v>
      </c>
      <c r="Q2243">
        <f>-455.843046881464 -11.136074357478 -362.704401148572</f>
        <v>-829.6835223875139</v>
      </c>
      <c r="R2243" t="s">
        <v>46536</v>
      </c>
      <c r="S2243" t="s">
        <v>46537</v>
      </c>
      <c r="T2243" t="s">
        <v>46538</v>
      </c>
      <c r="U2243" t="s">
        <v>46539</v>
      </c>
      <c r="V2243" t="s">
        <v>46540</v>
      </c>
      <c r="W2243" t="s">
        <v>46541</v>
      </c>
      <c r="X2243" t="s">
        <v>46542</v>
      </c>
      <c r="Y2243" t="s">
        <v>46543</v>
      </c>
    </row>
    <row r="2244" spans="1:25" x14ac:dyDescent="0.3">
      <c r="A2244">
        <v>112150</v>
      </c>
      <c r="B2244" t="s">
        <v>46544</v>
      </c>
      <c r="C2244" t="s">
        <v>46545</v>
      </c>
      <c r="D2244" t="s">
        <v>46546</v>
      </c>
      <c r="E2244" t="s">
        <v>46547</v>
      </c>
      <c r="F2244" t="s">
        <v>46548</v>
      </c>
      <c r="G2244" t="s">
        <v>46549</v>
      </c>
      <c r="H2244" t="s">
        <v>46550</v>
      </c>
      <c r="I2244" t="s">
        <v>46551</v>
      </c>
      <c r="J2244" t="s">
        <v>46552</v>
      </c>
      <c r="K2244" t="s">
        <v>46553</v>
      </c>
      <c r="L2244" t="s">
        <v>46554</v>
      </c>
      <c r="M2244" t="s">
        <v>46555</v>
      </c>
      <c r="N2244" t="s">
        <v>46556</v>
      </c>
      <c r="O2244">
        <f>-742.938190837554 -74.8878114826696 -721.728984984393</f>
        <v>-1539.5549873046166</v>
      </c>
      <c r="P2244">
        <f>-705.892579991434 -64.6208928678739 -407.550032109171</f>
        <v>-1178.0635049684788</v>
      </c>
      <c r="Q2244">
        <f>-455.351269598398 -11.2125863618071 -362.619650869783</f>
        <v>-829.18350682998812</v>
      </c>
      <c r="R2244" t="s">
        <v>46557</v>
      </c>
      <c r="S2244" t="s">
        <v>46558</v>
      </c>
      <c r="T2244" t="s">
        <v>46559</v>
      </c>
      <c r="U2244" t="s">
        <v>46560</v>
      </c>
      <c r="V2244" t="s">
        <v>46561</v>
      </c>
      <c r="W2244" t="s">
        <v>46562</v>
      </c>
      <c r="X2244" t="s">
        <v>46563</v>
      </c>
      <c r="Y2244" t="s">
        <v>46564</v>
      </c>
    </row>
    <row r="2245" spans="1:25" x14ac:dyDescent="0.3">
      <c r="A2245">
        <v>112200</v>
      </c>
      <c r="B2245" t="s">
        <v>46565</v>
      </c>
      <c r="C2245" t="s">
        <v>46566</v>
      </c>
      <c r="D2245" t="s">
        <v>46567</v>
      </c>
      <c r="E2245" t="s">
        <v>46568</v>
      </c>
      <c r="F2245" t="s">
        <v>46569</v>
      </c>
      <c r="G2245" t="s">
        <v>46570</v>
      </c>
      <c r="H2245" t="s">
        <v>46571</v>
      </c>
      <c r="I2245" t="s">
        <v>46572</v>
      </c>
      <c r="J2245" t="s">
        <v>46573</v>
      </c>
      <c r="K2245" t="s">
        <v>46574</v>
      </c>
      <c r="L2245" t="s">
        <v>46575</v>
      </c>
      <c r="M2245" t="s">
        <v>46576</v>
      </c>
      <c r="N2245" t="s">
        <v>46577</v>
      </c>
      <c r="O2245">
        <f>-743.409313977622 -75.1942339919005 -721.141787181972</f>
        <v>-1539.7453351514946</v>
      </c>
      <c r="P2245">
        <f>-705.874679910753 -64.2339500101559 -407.04437703928</f>
        <v>-1177.153006960189</v>
      </c>
      <c r="Q2245">
        <f>-455.11052807687 -11.4092298973706 -362.671768392828</f>
        <v>-829.19152636706872</v>
      </c>
      <c r="R2245" t="s">
        <v>46578</v>
      </c>
      <c r="S2245" t="s">
        <v>46579</v>
      </c>
      <c r="T2245" t="s">
        <v>46580</v>
      </c>
      <c r="U2245" t="s">
        <v>46581</v>
      </c>
      <c r="V2245" t="s">
        <v>46582</v>
      </c>
      <c r="W2245" t="s">
        <v>46583</v>
      </c>
      <c r="X2245" t="s">
        <v>46584</v>
      </c>
      <c r="Y2245" t="s">
        <v>46585</v>
      </c>
    </row>
    <row r="2246" spans="1:25" x14ac:dyDescent="0.3">
      <c r="A2246">
        <v>112250</v>
      </c>
      <c r="B2246" t="s">
        <v>46586</v>
      </c>
      <c r="C2246" t="s">
        <v>46587</v>
      </c>
      <c r="D2246" t="s">
        <v>46588</v>
      </c>
      <c r="E2246" t="s">
        <v>46589</v>
      </c>
      <c r="F2246" t="s">
        <v>46590</v>
      </c>
      <c r="G2246" t="s">
        <v>46591</v>
      </c>
      <c r="H2246" t="s">
        <v>46592</v>
      </c>
      <c r="I2246" t="s">
        <v>46593</v>
      </c>
      <c r="J2246" t="s">
        <v>46594</v>
      </c>
      <c r="K2246" t="s">
        <v>46595</v>
      </c>
      <c r="L2246" t="s">
        <v>46596</v>
      </c>
      <c r="M2246" t="s">
        <v>46597</v>
      </c>
      <c r="N2246" t="s">
        <v>46598</v>
      </c>
      <c r="O2246">
        <f>-744.296277106518 -75.6232058392109 -719.979188028209</f>
        <v>-1539.8986709739379</v>
      </c>
      <c r="P2246">
        <f>-705.815731489731 -63.4710338176224 -406.040205749394</f>
        <v>-1175.3269710567474</v>
      </c>
      <c r="Q2246">
        <f>-454.683218001471 -11.5266184506343 -362.723909372578</f>
        <v>-828.93374582468334</v>
      </c>
      <c r="R2246" t="s">
        <v>46599</v>
      </c>
      <c r="S2246" t="s">
        <v>46600</v>
      </c>
      <c r="T2246" t="s">
        <v>46601</v>
      </c>
      <c r="U2246" t="s">
        <v>46602</v>
      </c>
      <c r="V2246" t="s">
        <v>46603</v>
      </c>
      <c r="W2246" t="s">
        <v>46604</v>
      </c>
      <c r="X2246" t="s">
        <v>46605</v>
      </c>
      <c r="Y2246" t="s">
        <v>46606</v>
      </c>
    </row>
    <row r="2247" spans="1:25" x14ac:dyDescent="0.3">
      <c r="A2247">
        <v>112300</v>
      </c>
      <c r="B2247" t="s">
        <v>46607</v>
      </c>
      <c r="C2247" t="s">
        <v>46608</v>
      </c>
      <c r="D2247" t="s">
        <v>46609</v>
      </c>
      <c r="E2247" t="s">
        <v>46610</v>
      </c>
      <c r="F2247" t="s">
        <v>46611</v>
      </c>
      <c r="G2247" t="s">
        <v>46612</v>
      </c>
      <c r="H2247" t="s">
        <v>46613</v>
      </c>
      <c r="I2247" t="s">
        <v>46614</v>
      </c>
      <c r="J2247" t="s">
        <v>46615</v>
      </c>
      <c r="K2247" t="s">
        <v>46616</v>
      </c>
      <c r="L2247" t="s">
        <v>46617</v>
      </c>
      <c r="M2247" t="s">
        <v>46618</v>
      </c>
      <c r="N2247" t="s">
        <v>46619</v>
      </c>
      <c r="O2247">
        <f>-744.715942049635 -75.9836041328385 -719.368034402971</f>
        <v>-1540.0675805854446</v>
      </c>
      <c r="P2247">
        <f>-705.809297934956 -63.1937058753665 -405.50679347465</f>
        <v>-1174.5097972849726</v>
      </c>
      <c r="Q2247">
        <f>-454.543500300888 -11.5945270266375 -362.552292418747</f>
        <v>-828.69031974627251</v>
      </c>
      <c r="R2247" t="s">
        <v>46620</v>
      </c>
      <c r="S2247" t="s">
        <v>46621</v>
      </c>
      <c r="T2247" t="s">
        <v>46622</v>
      </c>
      <c r="U2247" t="s">
        <v>46623</v>
      </c>
      <c r="V2247" t="s">
        <v>46624</v>
      </c>
      <c r="W2247" t="s">
        <v>46625</v>
      </c>
      <c r="X2247" t="s">
        <v>46626</v>
      </c>
      <c r="Y2247" t="s">
        <v>46627</v>
      </c>
    </row>
    <row r="2248" spans="1:25" x14ac:dyDescent="0.3">
      <c r="A2248">
        <v>112350</v>
      </c>
      <c r="B2248" t="s">
        <v>46628</v>
      </c>
      <c r="C2248" t="s">
        <v>46629</v>
      </c>
      <c r="D2248" t="s">
        <v>46630</v>
      </c>
      <c r="E2248" t="s">
        <v>46631</v>
      </c>
      <c r="F2248" t="s">
        <v>46632</v>
      </c>
      <c r="G2248" t="s">
        <v>46633</v>
      </c>
      <c r="H2248" t="s">
        <v>46634</v>
      </c>
      <c r="I2248" t="s">
        <v>46635</v>
      </c>
      <c r="J2248" t="s">
        <v>46636</v>
      </c>
      <c r="K2248" t="s">
        <v>46637</v>
      </c>
      <c r="L2248" t="s">
        <v>46638</v>
      </c>
      <c r="M2248" t="s">
        <v>46639</v>
      </c>
      <c r="N2248" t="s">
        <v>46640</v>
      </c>
      <c r="O2248">
        <f>-745.001057085179 -76.7954777204525 -718.238499539949</f>
        <v>-1540.0350343455805</v>
      </c>
      <c r="P2248">
        <f>-705.356963542236 -62.6476675356093 -404.5278124176</f>
        <v>-1172.5324434954455</v>
      </c>
      <c r="Q2248">
        <f>-453.890892954211 -11.5135525859764 -362.193546243838</f>
        <v>-827.59799178402545</v>
      </c>
      <c r="R2248" t="s">
        <v>46641</v>
      </c>
      <c r="S2248" t="s">
        <v>46642</v>
      </c>
      <c r="T2248" t="s">
        <v>46643</v>
      </c>
      <c r="U2248" t="s">
        <v>46644</v>
      </c>
      <c r="V2248" t="s">
        <v>46645</v>
      </c>
      <c r="W2248" t="s">
        <v>46646</v>
      </c>
      <c r="X2248" t="s">
        <v>46647</v>
      </c>
      <c r="Y2248" t="s">
        <v>46648</v>
      </c>
    </row>
    <row r="2249" spans="1:25" x14ac:dyDescent="0.3">
      <c r="A2249">
        <v>112400</v>
      </c>
      <c r="B2249" t="s">
        <v>46649</v>
      </c>
      <c r="C2249" t="s">
        <v>46650</v>
      </c>
      <c r="D2249" t="s">
        <v>46651</v>
      </c>
      <c r="E2249" t="s">
        <v>46652</v>
      </c>
      <c r="F2249" t="s">
        <v>46653</v>
      </c>
      <c r="G2249" t="s">
        <v>46654</v>
      </c>
      <c r="H2249" t="s">
        <v>46655</v>
      </c>
      <c r="I2249" t="s">
        <v>46656</v>
      </c>
      <c r="J2249" t="s">
        <v>46657</v>
      </c>
      <c r="K2249" t="s">
        <v>46658</v>
      </c>
      <c r="L2249" t="s">
        <v>46659</v>
      </c>
      <c r="M2249" t="s">
        <v>46660</v>
      </c>
      <c r="N2249" t="s">
        <v>46661</v>
      </c>
      <c r="O2249">
        <f>-744.957598205795 -77.1843543005825 -717.713942825684</f>
        <v>-1539.8558953320614</v>
      </c>
      <c r="P2249">
        <f>-705.039395942013 -62.4043411614962 -404.067365181152</f>
        <v>-1171.5111022846613</v>
      </c>
      <c r="Q2249">
        <f>-453.523494737227 -11.4044272021642 -361.86779606263</f>
        <v>-826.7957180020212</v>
      </c>
      <c r="R2249" t="s">
        <v>46662</v>
      </c>
      <c r="S2249" t="s">
        <v>46663</v>
      </c>
      <c r="T2249" t="s">
        <v>46664</v>
      </c>
      <c r="U2249" t="s">
        <v>46665</v>
      </c>
      <c r="V2249" t="s">
        <v>46666</v>
      </c>
      <c r="W2249" t="s">
        <v>46667</v>
      </c>
      <c r="X2249" t="s">
        <v>46668</v>
      </c>
      <c r="Y2249" t="s">
        <v>46669</v>
      </c>
    </row>
    <row r="2250" spans="1:25" x14ac:dyDescent="0.3">
      <c r="A2250">
        <v>112450</v>
      </c>
      <c r="B2250" t="s">
        <v>46670</v>
      </c>
      <c r="C2250" t="s">
        <v>46671</v>
      </c>
      <c r="D2250" t="s">
        <v>46672</v>
      </c>
      <c r="E2250" t="s">
        <v>46673</v>
      </c>
      <c r="F2250" t="s">
        <v>46674</v>
      </c>
      <c r="G2250" t="s">
        <v>46675</v>
      </c>
      <c r="H2250" t="s">
        <v>46676</v>
      </c>
      <c r="I2250" t="s">
        <v>46677</v>
      </c>
      <c r="J2250" t="s">
        <v>46678</v>
      </c>
      <c r="K2250" t="s">
        <v>46679</v>
      </c>
      <c r="L2250" t="s">
        <v>46680</v>
      </c>
      <c r="M2250" t="s">
        <v>46681</v>
      </c>
      <c r="N2250" t="s">
        <v>46682</v>
      </c>
      <c r="O2250">
        <f>-744.635131465087 -77.8594808102375 -716.873132339375</f>
        <v>-1539.3677446146996</v>
      </c>
      <c r="P2250">
        <f>-704.584957813591 -62.009040326873 -403.295418116806</f>
        <v>-1169.8894162572701</v>
      </c>
      <c r="Q2250">
        <f>-453.021886495956 -11.0404374547111 -361.339629010201</f>
        <v>-825.40195296086813</v>
      </c>
      <c r="R2250" t="s">
        <v>46683</v>
      </c>
      <c r="S2250" t="s">
        <v>46684</v>
      </c>
      <c r="T2250" t="s">
        <v>46685</v>
      </c>
      <c r="U2250" t="s">
        <v>46686</v>
      </c>
      <c r="V2250" t="s">
        <v>46687</v>
      </c>
      <c r="W2250" t="s">
        <v>46688</v>
      </c>
      <c r="X2250" t="s">
        <v>46689</v>
      </c>
      <c r="Y2250" t="s">
        <v>46690</v>
      </c>
    </row>
    <row r="2251" spans="1:25" x14ac:dyDescent="0.3">
      <c r="A2251">
        <v>112500</v>
      </c>
      <c r="B2251" t="s">
        <v>46691</v>
      </c>
      <c r="C2251" t="s">
        <v>46692</v>
      </c>
      <c r="D2251" t="s">
        <v>46693</v>
      </c>
      <c r="E2251" t="s">
        <v>46694</v>
      </c>
      <c r="F2251" t="s">
        <v>46695</v>
      </c>
      <c r="G2251" t="s">
        <v>46696</v>
      </c>
      <c r="H2251" t="s">
        <v>46697</v>
      </c>
      <c r="I2251" t="s">
        <v>46698</v>
      </c>
      <c r="J2251" t="s">
        <v>46699</v>
      </c>
      <c r="K2251" t="s">
        <v>46700</v>
      </c>
      <c r="L2251" t="s">
        <v>46701</v>
      </c>
      <c r="M2251" t="s">
        <v>46702</v>
      </c>
      <c r="N2251" t="s">
        <v>46703</v>
      </c>
      <c r="O2251">
        <f>-744.544476101674 -78.1116312964543 -716.561026180712</f>
        <v>-1539.2171335788403</v>
      </c>
      <c r="P2251">
        <f>-704.418202987763 -61.89785725256 -403.01170183569</f>
        <v>-1169.3277620760132</v>
      </c>
      <c r="Q2251">
        <f>-452.846683882884 -10.9620517311319 -361.066770107804</f>
        <v>-824.87550572181999</v>
      </c>
      <c r="R2251" t="s">
        <v>46704</v>
      </c>
      <c r="S2251" t="s">
        <v>46705</v>
      </c>
      <c r="T2251" t="s">
        <v>46706</v>
      </c>
      <c r="U2251" t="s">
        <v>46707</v>
      </c>
      <c r="V2251" t="s">
        <v>46708</v>
      </c>
      <c r="W2251" t="s">
        <v>46709</v>
      </c>
      <c r="X2251" t="s">
        <v>46710</v>
      </c>
      <c r="Y2251" t="s">
        <v>46711</v>
      </c>
    </row>
    <row r="2252" spans="1:25" x14ac:dyDescent="0.3">
      <c r="A2252">
        <v>112550</v>
      </c>
      <c r="B2252" t="s">
        <v>46712</v>
      </c>
      <c r="C2252" t="s">
        <v>46713</v>
      </c>
      <c r="D2252" t="s">
        <v>46714</v>
      </c>
      <c r="E2252" t="s">
        <v>46715</v>
      </c>
      <c r="F2252" t="s">
        <v>46716</v>
      </c>
      <c r="G2252" t="s">
        <v>46717</v>
      </c>
      <c r="H2252" t="s">
        <v>46718</v>
      </c>
      <c r="I2252" t="s">
        <v>46719</v>
      </c>
      <c r="J2252" t="s">
        <v>46720</v>
      </c>
      <c r="K2252" t="s">
        <v>46721</v>
      </c>
      <c r="L2252" t="s">
        <v>46722</v>
      </c>
      <c r="M2252" t="s">
        <v>46723</v>
      </c>
      <c r="N2252" t="s">
        <v>46724</v>
      </c>
      <c r="O2252">
        <f>-744.210892311856 -78.6145844928865 -715.994216737528</f>
        <v>-1538.8196935422704</v>
      </c>
      <c r="P2252">
        <f>-703.649297156848 -61.6347248898551 -402.541606577903</f>
        <v>-1167.825628624606</v>
      </c>
      <c r="Q2252">
        <f>-452.064384705783 -10.535648825926 -360.876524973118</f>
        <v>-823.47655850482704</v>
      </c>
      <c r="R2252" t="s">
        <v>46725</v>
      </c>
      <c r="S2252" t="s">
        <v>46726</v>
      </c>
      <c r="T2252" t="s">
        <v>46727</v>
      </c>
      <c r="U2252" t="s">
        <v>46728</v>
      </c>
      <c r="V2252" t="s">
        <v>46729</v>
      </c>
      <c r="W2252" t="s">
        <v>46730</v>
      </c>
      <c r="X2252" t="s">
        <v>46731</v>
      </c>
      <c r="Y2252" t="s">
        <v>46732</v>
      </c>
    </row>
    <row r="2253" spans="1:25" x14ac:dyDescent="0.3">
      <c r="A2253">
        <v>112600</v>
      </c>
      <c r="B2253" t="s">
        <v>46733</v>
      </c>
      <c r="C2253" t="s">
        <v>46734</v>
      </c>
      <c r="D2253" t="s">
        <v>46735</v>
      </c>
      <c r="E2253" t="s">
        <v>46736</v>
      </c>
      <c r="F2253" t="s">
        <v>46737</v>
      </c>
      <c r="G2253" t="s">
        <v>46738</v>
      </c>
      <c r="H2253" t="s">
        <v>46739</v>
      </c>
      <c r="I2253" t="s">
        <v>46740</v>
      </c>
      <c r="J2253" t="s">
        <v>46741</v>
      </c>
      <c r="K2253" t="s">
        <v>46742</v>
      </c>
      <c r="L2253" t="s">
        <v>46743</v>
      </c>
      <c r="M2253" t="s">
        <v>46744</v>
      </c>
      <c r="N2253" t="s">
        <v>46745</v>
      </c>
      <c r="O2253">
        <f>-744.098155988617 -79.005809163302 -715.710643230209</f>
        <v>-1538.814608382128</v>
      </c>
      <c r="P2253">
        <f>-703.256732711091 -61.8881315217329 -402.301720690875</f>
        <v>-1167.446584923699</v>
      </c>
      <c r="Q2253">
        <f>-451.659014888742 -10.6054208578585 -360.940791121451</f>
        <v>-823.20522686805157</v>
      </c>
      <c r="R2253" t="s">
        <v>46746</v>
      </c>
      <c r="S2253" t="s">
        <v>46747</v>
      </c>
      <c r="T2253" t="s">
        <v>46748</v>
      </c>
      <c r="U2253" t="s">
        <v>46749</v>
      </c>
      <c r="V2253" t="s">
        <v>46750</v>
      </c>
      <c r="W2253" t="s">
        <v>46751</v>
      </c>
      <c r="X2253" t="s">
        <v>46752</v>
      </c>
      <c r="Y2253" t="s">
        <v>46753</v>
      </c>
    </row>
    <row r="2254" spans="1:25" x14ac:dyDescent="0.3">
      <c r="A2254">
        <v>112650</v>
      </c>
      <c r="B2254" t="s">
        <v>46754</v>
      </c>
      <c r="C2254" t="s">
        <v>46755</v>
      </c>
      <c r="D2254" t="s">
        <v>46756</v>
      </c>
      <c r="E2254" t="s">
        <v>46757</v>
      </c>
      <c r="F2254" t="s">
        <v>46758</v>
      </c>
      <c r="G2254" t="s">
        <v>46759</v>
      </c>
      <c r="H2254" t="s">
        <v>46760</v>
      </c>
      <c r="I2254" t="s">
        <v>46761</v>
      </c>
      <c r="J2254" t="s">
        <v>46762</v>
      </c>
      <c r="K2254" t="s">
        <v>46763</v>
      </c>
      <c r="L2254" t="s">
        <v>46764</v>
      </c>
      <c r="M2254" t="s">
        <v>46765</v>
      </c>
      <c r="N2254" t="s">
        <v>46766</v>
      </c>
      <c r="O2254">
        <f>-743.812389879559 -79.3930662090663 -715.251651468769</f>
        <v>-1538.4571075573942</v>
      </c>
      <c r="P2254">
        <f>-702.430756628703 -62.005231944197 -401.928557816576</f>
        <v>-1166.3645463894759</v>
      </c>
      <c r="Q2254">
        <f>-450.798434154176 -10.3615169491536 -361.23278570585</f>
        <v>-822.39273680917961</v>
      </c>
      <c r="R2254" t="s">
        <v>46767</v>
      </c>
      <c r="S2254" t="s">
        <v>46768</v>
      </c>
      <c r="T2254" t="s">
        <v>46769</v>
      </c>
      <c r="U2254" t="s">
        <v>46770</v>
      </c>
      <c r="V2254" t="s">
        <v>46771</v>
      </c>
      <c r="W2254" t="s">
        <v>46772</v>
      </c>
      <c r="X2254" t="s">
        <v>46773</v>
      </c>
      <c r="Y2254" t="s">
        <v>46774</v>
      </c>
    </row>
    <row r="2255" spans="1:25" x14ac:dyDescent="0.3">
      <c r="A2255">
        <v>112700</v>
      </c>
      <c r="B2255" t="s">
        <v>46775</v>
      </c>
      <c r="C2255" t="s">
        <v>46776</v>
      </c>
      <c r="D2255" t="s">
        <v>46777</v>
      </c>
      <c r="E2255" t="s">
        <v>46778</v>
      </c>
      <c r="F2255" t="s">
        <v>46779</v>
      </c>
      <c r="G2255" t="s">
        <v>46780</v>
      </c>
      <c r="H2255" t="s">
        <v>46781</v>
      </c>
      <c r="I2255" t="s">
        <v>46782</v>
      </c>
      <c r="J2255" t="s">
        <v>46783</v>
      </c>
      <c r="K2255" t="s">
        <v>46784</v>
      </c>
      <c r="L2255" t="s">
        <v>46785</v>
      </c>
      <c r="M2255" t="s">
        <v>46786</v>
      </c>
      <c r="N2255" t="s">
        <v>46787</v>
      </c>
      <c r="O2255">
        <f>-743.744679559278 -79.4544605769554 -715.083053395776</f>
        <v>-1538.2821935320094</v>
      </c>
      <c r="P2255">
        <f>-702.102254633235 -62.1555820434869 -401.789504359871</f>
        <v>-1166.047341036593</v>
      </c>
      <c r="Q2255">
        <f>-450.477367119109 -10.3214666104523 -361.290189329793</f>
        <v>-822.0890230593543</v>
      </c>
      <c r="R2255" t="s">
        <v>46788</v>
      </c>
      <c r="S2255" t="s">
        <v>46789</v>
      </c>
      <c r="T2255" t="s">
        <v>46790</v>
      </c>
      <c r="U2255" t="s">
        <v>46791</v>
      </c>
      <c r="V2255" t="s">
        <v>46792</v>
      </c>
      <c r="W2255" t="s">
        <v>46793</v>
      </c>
      <c r="X2255" t="s">
        <v>46794</v>
      </c>
      <c r="Y2255" t="s">
        <v>46795</v>
      </c>
    </row>
    <row r="2256" spans="1:25" x14ac:dyDescent="0.3">
      <c r="A2256">
        <v>112750</v>
      </c>
      <c r="B2256" t="s">
        <v>46796</v>
      </c>
      <c r="C2256" t="s">
        <v>46797</v>
      </c>
      <c r="D2256" t="s">
        <v>46798</v>
      </c>
      <c r="E2256" t="s">
        <v>46799</v>
      </c>
      <c r="F2256" t="s">
        <v>46800</v>
      </c>
      <c r="G2256" t="s">
        <v>46801</v>
      </c>
      <c r="H2256" t="s">
        <v>46802</v>
      </c>
      <c r="I2256" t="s">
        <v>46803</v>
      </c>
      <c r="J2256" t="s">
        <v>46804</v>
      </c>
      <c r="K2256" t="s">
        <v>46805</v>
      </c>
      <c r="L2256" t="s">
        <v>46806</v>
      </c>
      <c r="M2256" t="s">
        <v>46807</v>
      </c>
      <c r="N2256" t="s">
        <v>46808</v>
      </c>
      <c r="O2256">
        <f>-743.897105964673 -79.4252598739376 -714.808664094006</f>
        <v>-1538.1310299326165</v>
      </c>
      <c r="P2256">
        <f>-701.686246828879 -62.1925828045694 -401.58748768795</f>
        <v>-1165.4663173213985</v>
      </c>
      <c r="Q2256">
        <f>-450.094124899589 -9.92489374277693 -361.443873640357</f>
        <v>-821.46289228272303</v>
      </c>
      <c r="R2256" t="s">
        <v>46809</v>
      </c>
      <c r="S2256" t="s">
        <v>46810</v>
      </c>
      <c r="T2256" t="s">
        <v>46811</v>
      </c>
      <c r="U2256" t="s">
        <v>46812</v>
      </c>
      <c r="V2256" t="s">
        <v>46813</v>
      </c>
      <c r="W2256" t="s">
        <v>46814</v>
      </c>
      <c r="X2256" t="s">
        <v>46815</v>
      </c>
      <c r="Y2256" t="s">
        <v>46816</v>
      </c>
    </row>
    <row r="2257" spans="1:25" x14ac:dyDescent="0.3">
      <c r="A2257">
        <v>112800</v>
      </c>
      <c r="B2257" t="s">
        <v>46817</v>
      </c>
      <c r="C2257" t="s">
        <v>46818</v>
      </c>
      <c r="D2257" t="s">
        <v>46819</v>
      </c>
      <c r="E2257" t="s">
        <v>46820</v>
      </c>
      <c r="F2257" t="s">
        <v>46821</v>
      </c>
      <c r="G2257" t="s">
        <v>46822</v>
      </c>
      <c r="H2257" t="s">
        <v>46823</v>
      </c>
      <c r="I2257" t="s">
        <v>46824</v>
      </c>
      <c r="J2257" t="s">
        <v>46825</v>
      </c>
      <c r="K2257" t="s">
        <v>46826</v>
      </c>
      <c r="L2257" t="s">
        <v>46827</v>
      </c>
      <c r="M2257" t="s">
        <v>46828</v>
      </c>
      <c r="N2257" t="s">
        <v>46829</v>
      </c>
      <c r="O2257">
        <f>-744.032811245968 -79.3835074703818 -714.704752933067</f>
        <v>-1538.1210716494168</v>
      </c>
      <c r="P2257">
        <f>-701.58006002564 -62.1853787496423 -401.514522035954</f>
        <v>-1165.2799608112364</v>
      </c>
      <c r="Q2257">
        <f>-450.004807444021 -9.71840021354524 -361.524855546968</f>
        <v>-821.24806320453422</v>
      </c>
      <c r="R2257" t="s">
        <v>46830</v>
      </c>
      <c r="S2257" t="s">
        <v>46831</v>
      </c>
      <c r="T2257" t="s">
        <v>46832</v>
      </c>
      <c r="U2257" t="s">
        <v>46833</v>
      </c>
      <c r="V2257" t="s">
        <v>46834</v>
      </c>
      <c r="W2257" t="s">
        <v>46835</v>
      </c>
      <c r="X2257" t="s">
        <v>46836</v>
      </c>
      <c r="Y2257" t="s">
        <v>46837</v>
      </c>
    </row>
    <row r="2258" spans="1:25" x14ac:dyDescent="0.3">
      <c r="A2258">
        <v>112850</v>
      </c>
      <c r="B2258" t="s">
        <v>46838</v>
      </c>
      <c r="C2258" t="s">
        <v>46839</v>
      </c>
      <c r="D2258" t="s">
        <v>46840</v>
      </c>
      <c r="E2258" t="s">
        <v>46841</v>
      </c>
      <c r="F2258" t="s">
        <v>46842</v>
      </c>
      <c r="G2258" t="s">
        <v>46843</v>
      </c>
      <c r="H2258" t="s">
        <v>46844</v>
      </c>
      <c r="I2258" t="s">
        <v>46845</v>
      </c>
      <c r="J2258" t="s">
        <v>46846</v>
      </c>
      <c r="K2258" t="s">
        <v>46847</v>
      </c>
      <c r="L2258" t="s">
        <v>46848</v>
      </c>
      <c r="M2258" t="s">
        <v>46849</v>
      </c>
      <c r="N2258" t="s">
        <v>46850</v>
      </c>
      <c r="O2258">
        <f>-744.444852131063 -79.2315679388496 -714.554166955424</f>
        <v>-1538.2305870253367</v>
      </c>
      <c r="P2258">
        <f>-701.768257335385 -62.1533072661002 -401.387769543798</f>
        <v>-1165.3093341452832</v>
      </c>
      <c r="Q2258">
        <f>-450.231087680506 -9.30856334848386 -361.657076710941</f>
        <v>-821.19672773993079</v>
      </c>
      <c r="R2258" t="s">
        <v>46851</v>
      </c>
      <c r="S2258" t="s">
        <v>46852</v>
      </c>
      <c r="T2258" t="s">
        <v>46853</v>
      </c>
      <c r="U2258" t="s">
        <v>46854</v>
      </c>
      <c r="V2258" t="s">
        <v>46855</v>
      </c>
      <c r="W2258" t="s">
        <v>46856</v>
      </c>
      <c r="X2258" t="s">
        <v>46857</v>
      </c>
      <c r="Y2258" t="s">
        <v>46858</v>
      </c>
    </row>
    <row r="2259" spans="1:25" x14ac:dyDescent="0.3">
      <c r="A2259">
        <v>112900</v>
      </c>
      <c r="B2259" t="s">
        <v>46859</v>
      </c>
      <c r="C2259" t="s">
        <v>46860</v>
      </c>
      <c r="D2259" t="s">
        <v>46861</v>
      </c>
      <c r="E2259" t="s">
        <v>46862</v>
      </c>
      <c r="F2259" t="s">
        <v>46863</v>
      </c>
      <c r="G2259" t="s">
        <v>46864</v>
      </c>
      <c r="H2259" t="s">
        <v>46865</v>
      </c>
      <c r="I2259" t="s">
        <v>46866</v>
      </c>
      <c r="J2259" t="s">
        <v>46867</v>
      </c>
      <c r="K2259" t="s">
        <v>46868</v>
      </c>
      <c r="L2259" t="s">
        <v>46869</v>
      </c>
      <c r="M2259" t="s">
        <v>46870</v>
      </c>
      <c r="N2259" t="s">
        <v>46871</v>
      </c>
      <c r="O2259">
        <f>-744.627291145072 -79.1017560432515 -714.474597854493</f>
        <v>-1538.2036450428166</v>
      </c>
      <c r="P2259">
        <f>-701.916397020709 -62.090894595909 -401.30909757539</f>
        <v>-1165.316389192008</v>
      </c>
      <c r="Q2259">
        <f>-450.395948140372 -9.12706022754719 -361.631188556501</f>
        <v>-821.15419692442015</v>
      </c>
      <c r="R2259" t="s">
        <v>46872</v>
      </c>
      <c r="S2259" t="s">
        <v>46873</v>
      </c>
      <c r="T2259" t="s">
        <v>46874</v>
      </c>
      <c r="U2259" t="s">
        <v>46875</v>
      </c>
      <c r="V2259" t="s">
        <v>46876</v>
      </c>
      <c r="W2259" t="s">
        <v>46877</v>
      </c>
      <c r="X2259" t="s">
        <v>46878</v>
      </c>
      <c r="Y2259" t="s">
        <v>46879</v>
      </c>
    </row>
    <row r="2260" spans="1:25" x14ac:dyDescent="0.3">
      <c r="A2260">
        <v>112950</v>
      </c>
      <c r="B2260" t="s">
        <v>46880</v>
      </c>
      <c r="C2260" t="s">
        <v>46881</v>
      </c>
      <c r="D2260" t="s">
        <v>46882</v>
      </c>
      <c r="E2260" t="s">
        <v>46883</v>
      </c>
      <c r="F2260" t="s">
        <v>46884</v>
      </c>
      <c r="G2260" t="s">
        <v>46885</v>
      </c>
      <c r="H2260" t="s">
        <v>46886</v>
      </c>
      <c r="I2260" t="s">
        <v>46887</v>
      </c>
      <c r="J2260" t="s">
        <v>46888</v>
      </c>
      <c r="K2260" t="s">
        <v>46889</v>
      </c>
      <c r="L2260" t="s">
        <v>46890</v>
      </c>
      <c r="M2260" t="s">
        <v>46891</v>
      </c>
      <c r="N2260" t="s">
        <v>46892</v>
      </c>
      <c r="O2260">
        <f>-745.123873700061 -78.8897685869592 -714.432608907877</f>
        <v>-1538.4462511948973</v>
      </c>
      <c r="P2260">
        <f>-702.269152372472 -61.9212116132951 -401.284419308543</f>
        <v>-1165.4747832943101</v>
      </c>
      <c r="Q2260">
        <f>-450.754304313776 -8.87978213132692 -361.674919763751</f>
        <v>-821.30900620885393</v>
      </c>
      <c r="R2260" t="s">
        <v>46893</v>
      </c>
      <c r="S2260" t="s">
        <v>46894</v>
      </c>
      <c r="T2260" t="s">
        <v>46895</v>
      </c>
      <c r="U2260" t="s">
        <v>46896</v>
      </c>
      <c r="V2260" t="s">
        <v>46897</v>
      </c>
      <c r="W2260" t="s">
        <v>46898</v>
      </c>
      <c r="X2260" t="s">
        <v>46899</v>
      </c>
      <c r="Y2260" t="s">
        <v>46900</v>
      </c>
    </row>
    <row r="2261" spans="1:25" x14ac:dyDescent="0.3">
      <c r="A2261">
        <v>113000</v>
      </c>
      <c r="B2261" t="s">
        <v>46901</v>
      </c>
      <c r="C2261" t="s">
        <v>46902</v>
      </c>
      <c r="D2261" t="s">
        <v>46903</v>
      </c>
      <c r="E2261" t="s">
        <v>46904</v>
      </c>
      <c r="F2261" t="s">
        <v>46905</v>
      </c>
      <c r="G2261" t="s">
        <v>46906</v>
      </c>
      <c r="H2261" t="s">
        <v>46907</v>
      </c>
      <c r="I2261" t="s">
        <v>46908</v>
      </c>
      <c r="J2261" t="s">
        <v>46909</v>
      </c>
      <c r="K2261" t="s">
        <v>46910</v>
      </c>
      <c r="L2261" t="s">
        <v>46911</v>
      </c>
      <c r="M2261" t="s">
        <v>46912</v>
      </c>
      <c r="N2261" t="s">
        <v>46913</v>
      </c>
      <c r="O2261">
        <f>-745.457939072734 -78.7880425801427 -714.410101445655</f>
        <v>-1538.6560830985318</v>
      </c>
      <c r="P2261">
        <f>-702.444072577533 -61.8896078328798 -401.280178311448</f>
        <v>-1165.6138587218609</v>
      </c>
      <c r="Q2261">
        <f>-450.910745086897 -8.90244174405166 -361.714718098845</f>
        <v>-821.52790492979375</v>
      </c>
      <c r="R2261" t="s">
        <v>46914</v>
      </c>
      <c r="S2261" t="s">
        <v>46915</v>
      </c>
      <c r="T2261" t="s">
        <v>46916</v>
      </c>
      <c r="U2261" t="s">
        <v>46917</v>
      </c>
      <c r="V2261" t="s">
        <v>46918</v>
      </c>
      <c r="W2261" t="s">
        <v>46919</v>
      </c>
      <c r="X2261" t="s">
        <v>46920</v>
      </c>
      <c r="Y2261" t="s">
        <v>46921</v>
      </c>
    </row>
    <row r="2262" spans="1:25" x14ac:dyDescent="0.3">
      <c r="A2262">
        <v>113050</v>
      </c>
      <c r="B2262" t="s">
        <v>46922</v>
      </c>
      <c r="C2262" t="s">
        <v>46923</v>
      </c>
      <c r="D2262" t="s">
        <v>46924</v>
      </c>
      <c r="E2262" t="s">
        <v>46925</v>
      </c>
      <c r="F2262" t="s">
        <v>46926</v>
      </c>
      <c r="G2262" t="s">
        <v>46927</v>
      </c>
      <c r="H2262" t="s">
        <v>46928</v>
      </c>
      <c r="I2262" t="s">
        <v>46929</v>
      </c>
      <c r="J2262" t="s">
        <v>46930</v>
      </c>
      <c r="K2262" t="s">
        <v>46931</v>
      </c>
      <c r="L2262" t="s">
        <v>46932</v>
      </c>
      <c r="M2262" t="s">
        <v>46933</v>
      </c>
      <c r="N2262" t="s">
        <v>46934</v>
      </c>
      <c r="O2262">
        <f>-745.951174352396 -78.8377615262793 -714.288409753971</f>
        <v>-1539.0773456326465</v>
      </c>
      <c r="P2262">
        <f>-702.663606571912 -61.9542733739875 -401.195176302479</f>
        <v>-1165.8130562483784</v>
      </c>
      <c r="Q2262">
        <f>-451.039925729035 -9.22609455133693 -361.859672460685</f>
        <v>-822.12569274105692</v>
      </c>
      <c r="R2262" t="s">
        <v>46935</v>
      </c>
      <c r="S2262" t="s">
        <v>46936</v>
      </c>
      <c r="T2262" t="s">
        <v>46937</v>
      </c>
      <c r="U2262" t="s">
        <v>46938</v>
      </c>
      <c r="V2262" t="s">
        <v>46939</v>
      </c>
      <c r="W2262" t="s">
        <v>46940</v>
      </c>
      <c r="X2262" t="s">
        <v>46941</v>
      </c>
      <c r="Y2262" t="s">
        <v>46942</v>
      </c>
    </row>
    <row r="2263" spans="1:25" x14ac:dyDescent="0.3">
      <c r="A2263">
        <v>113100</v>
      </c>
      <c r="B2263" t="s">
        <v>46943</v>
      </c>
      <c r="C2263" t="s">
        <v>46944</v>
      </c>
      <c r="D2263" t="s">
        <v>46945</v>
      </c>
      <c r="E2263" t="s">
        <v>46946</v>
      </c>
      <c r="F2263" t="s">
        <v>46947</v>
      </c>
      <c r="G2263" t="s">
        <v>46948</v>
      </c>
      <c r="H2263" t="s">
        <v>46949</v>
      </c>
      <c r="I2263" t="s">
        <v>46950</v>
      </c>
      <c r="J2263" t="s">
        <v>46951</v>
      </c>
      <c r="K2263" t="s">
        <v>46952</v>
      </c>
      <c r="L2263" t="s">
        <v>46953</v>
      </c>
      <c r="M2263" t="s">
        <v>46954</v>
      </c>
      <c r="N2263" t="s">
        <v>46955</v>
      </c>
      <c r="O2263">
        <f>-746.16001203057 -78.8298747084159 -714.236586678317</f>
        <v>-1539.2264734173029</v>
      </c>
      <c r="P2263">
        <f>-702.734347156213 -62.0102541395124 -401.159204192336</f>
        <v>-1165.9038054880614</v>
      </c>
      <c r="Q2263">
        <f>-451.062150097744 -9.4613984138507 -361.893960106846</f>
        <v>-822.41750861844071</v>
      </c>
      <c r="R2263" t="s">
        <v>46956</v>
      </c>
      <c r="S2263" t="s">
        <v>46957</v>
      </c>
      <c r="T2263" t="s">
        <v>46958</v>
      </c>
      <c r="U2263" t="s">
        <v>46959</v>
      </c>
      <c r="V2263" t="s">
        <v>46960</v>
      </c>
      <c r="W2263" t="s">
        <v>46961</v>
      </c>
      <c r="X2263" t="s">
        <v>46962</v>
      </c>
      <c r="Y2263" t="s">
        <v>46963</v>
      </c>
    </row>
    <row r="2264" spans="1:25" x14ac:dyDescent="0.3">
      <c r="A2264">
        <v>113150</v>
      </c>
      <c r="B2264" t="s">
        <v>46964</v>
      </c>
      <c r="C2264" t="s">
        <v>46965</v>
      </c>
      <c r="D2264" t="s">
        <v>46966</v>
      </c>
      <c r="E2264" t="s">
        <v>46967</v>
      </c>
      <c r="F2264" t="s">
        <v>46968</v>
      </c>
      <c r="G2264" t="s">
        <v>46969</v>
      </c>
      <c r="H2264" t="s">
        <v>46970</v>
      </c>
      <c r="I2264" t="s">
        <v>46971</v>
      </c>
      <c r="J2264" t="s">
        <v>46972</v>
      </c>
      <c r="K2264" t="s">
        <v>46973</v>
      </c>
      <c r="L2264" t="s">
        <v>46974</v>
      </c>
      <c r="M2264" t="s">
        <v>46975</v>
      </c>
      <c r="N2264" t="s">
        <v>46976</v>
      </c>
      <c r="O2264">
        <f>-746.55652254842 -78.9198077468704 -714.227500480207</f>
        <v>-1539.7038307754974</v>
      </c>
      <c r="P2264">
        <f>-703.004476785263 -62.1335580516097 -401.165815333821</f>
        <v>-1166.3038501706937</v>
      </c>
      <c r="Q2264">
        <f>-451.235675496862 -9.86074237667458 -362.152200171658</f>
        <v>-823.24861804519458</v>
      </c>
      <c r="R2264" t="s">
        <v>46977</v>
      </c>
      <c r="S2264" t="s">
        <v>46978</v>
      </c>
      <c r="T2264" t="s">
        <v>46979</v>
      </c>
      <c r="U2264" t="s">
        <v>46980</v>
      </c>
      <c r="V2264" t="s">
        <v>46981</v>
      </c>
      <c r="W2264" t="s">
        <v>46982</v>
      </c>
      <c r="X2264" t="s">
        <v>46983</v>
      </c>
      <c r="Y2264" t="s">
        <v>46984</v>
      </c>
    </row>
    <row r="2265" spans="1:25" x14ac:dyDescent="0.3">
      <c r="A2265">
        <v>113200</v>
      </c>
      <c r="B2265" t="s">
        <v>46985</v>
      </c>
      <c r="C2265" t="s">
        <v>46986</v>
      </c>
      <c r="D2265" t="s">
        <v>46987</v>
      </c>
      <c r="E2265" t="s">
        <v>46988</v>
      </c>
      <c r="F2265" t="s">
        <v>46989</v>
      </c>
      <c r="G2265" t="s">
        <v>46990</v>
      </c>
      <c r="H2265" t="s">
        <v>46991</v>
      </c>
      <c r="I2265" t="s">
        <v>46992</v>
      </c>
      <c r="J2265" t="s">
        <v>46993</v>
      </c>
      <c r="K2265" t="s">
        <v>46994</v>
      </c>
      <c r="L2265" t="s">
        <v>46995</v>
      </c>
      <c r="M2265" t="s">
        <v>46996</v>
      </c>
      <c r="N2265" t="s">
        <v>46997</v>
      </c>
      <c r="O2265">
        <f>-746.530969834501 -79.0096260488481 -714.27507315604</f>
        <v>-1539.8156690393889</v>
      </c>
      <c r="P2265">
        <f>-702.865291301222 -62.2341262387977 -401.228581220823</f>
        <v>-1166.3279987608425</v>
      </c>
      <c r="Q2265">
        <f>-451.064839764931 -10.1628920375229 -362.149571644177</f>
        <v>-823.37730344663089</v>
      </c>
      <c r="R2265" t="s">
        <v>46998</v>
      </c>
      <c r="S2265" t="s">
        <v>46999</v>
      </c>
      <c r="T2265" t="s">
        <v>47000</v>
      </c>
      <c r="U2265" t="s">
        <v>47001</v>
      </c>
      <c r="V2265" t="s">
        <v>47002</v>
      </c>
      <c r="W2265" t="s">
        <v>47003</v>
      </c>
      <c r="X2265" t="s">
        <v>47004</v>
      </c>
      <c r="Y2265" t="s">
        <v>47005</v>
      </c>
    </row>
    <row r="2266" spans="1:25" x14ac:dyDescent="0.3">
      <c r="A2266">
        <v>113250</v>
      </c>
      <c r="B2266" t="s">
        <v>47006</v>
      </c>
      <c r="C2266" t="s">
        <v>47007</v>
      </c>
      <c r="D2266" t="s">
        <v>47008</v>
      </c>
      <c r="E2266" t="s">
        <v>47009</v>
      </c>
      <c r="F2266" t="s">
        <v>47010</v>
      </c>
      <c r="G2266" t="s">
        <v>47011</v>
      </c>
      <c r="H2266" t="s">
        <v>47012</v>
      </c>
      <c r="I2266" t="s">
        <v>47013</v>
      </c>
      <c r="J2266" t="s">
        <v>47014</v>
      </c>
      <c r="K2266" t="s">
        <v>47015</v>
      </c>
      <c r="L2266" t="s">
        <v>47016</v>
      </c>
      <c r="M2266" t="s">
        <v>47017</v>
      </c>
      <c r="N2266" t="s">
        <v>47018</v>
      </c>
      <c r="O2266">
        <f>-746.503091692432 -79.3735881649097 -714.220611147666</f>
        <v>-1540.0972910050077</v>
      </c>
      <c r="P2266">
        <f>-702.738233183766 -62.1339316496355 -401.213229946414</f>
        <v>-1166.0853947798155</v>
      </c>
      <c r="Q2266">
        <f>-450.895053633109 -10.3002004299203 -362.093994160026</f>
        <v>-823.28924822305532</v>
      </c>
      <c r="R2266" t="s">
        <v>47019</v>
      </c>
      <c r="S2266" t="s">
        <v>47020</v>
      </c>
      <c r="T2266" t="s">
        <v>47021</v>
      </c>
      <c r="U2266" t="s">
        <v>47022</v>
      </c>
      <c r="V2266" t="s">
        <v>47023</v>
      </c>
      <c r="W2266" t="s">
        <v>47024</v>
      </c>
      <c r="X2266" t="s">
        <v>47025</v>
      </c>
      <c r="Y2266" t="s">
        <v>47026</v>
      </c>
    </row>
    <row r="2267" spans="1:25" x14ac:dyDescent="0.3">
      <c r="A2267">
        <v>113300</v>
      </c>
      <c r="B2267" t="s">
        <v>47027</v>
      </c>
      <c r="C2267" t="s">
        <v>47028</v>
      </c>
      <c r="D2267" t="s">
        <v>47029</v>
      </c>
      <c r="E2267" t="s">
        <v>47030</v>
      </c>
      <c r="F2267" t="s">
        <v>47031</v>
      </c>
      <c r="G2267" t="s">
        <v>47032</v>
      </c>
      <c r="H2267" t="s">
        <v>47033</v>
      </c>
      <c r="I2267" t="s">
        <v>47034</v>
      </c>
      <c r="J2267" t="s">
        <v>47035</v>
      </c>
      <c r="K2267" t="s">
        <v>47036</v>
      </c>
      <c r="L2267" t="s">
        <v>47037</v>
      </c>
      <c r="M2267" t="s">
        <v>47038</v>
      </c>
      <c r="N2267" t="s">
        <v>47039</v>
      </c>
      <c r="O2267">
        <f>-746.405847618677 -79.5488898566234 -714.192849740635</f>
        <v>-1540.1475872159353</v>
      </c>
      <c r="P2267">
        <f>-702.648523103875 -62.3698887259422 -401.181036565715</f>
        <v>-1166.1994483955323</v>
      </c>
      <c r="Q2267">
        <f>-450.788386156295 -10.6132689729877 -362.068696989433</f>
        <v>-823.47035211871571</v>
      </c>
      <c r="R2267" t="s">
        <v>47040</v>
      </c>
      <c r="S2267" t="s">
        <v>47041</v>
      </c>
      <c r="T2267" t="s">
        <v>47042</v>
      </c>
      <c r="U2267" t="s">
        <v>47043</v>
      </c>
      <c r="V2267" t="s">
        <v>47044</v>
      </c>
      <c r="W2267" t="s">
        <v>47045</v>
      </c>
      <c r="X2267" t="s">
        <v>47046</v>
      </c>
      <c r="Y2267" t="s">
        <v>47047</v>
      </c>
    </row>
    <row r="2268" spans="1:25" x14ac:dyDescent="0.3">
      <c r="A2268">
        <v>113350</v>
      </c>
      <c r="B2268" t="s">
        <v>47048</v>
      </c>
      <c r="C2268" t="s">
        <v>47049</v>
      </c>
      <c r="D2268" t="s">
        <v>47050</v>
      </c>
      <c r="E2268" t="s">
        <v>47051</v>
      </c>
      <c r="F2268" t="s">
        <v>47052</v>
      </c>
      <c r="G2268" t="s">
        <v>47053</v>
      </c>
      <c r="H2268" t="s">
        <v>47054</v>
      </c>
      <c r="I2268" t="s">
        <v>47055</v>
      </c>
      <c r="J2268" t="s">
        <v>47056</v>
      </c>
      <c r="K2268" t="s">
        <v>47057</v>
      </c>
      <c r="L2268" t="s">
        <v>47058</v>
      </c>
      <c r="M2268" t="s">
        <v>47059</v>
      </c>
      <c r="N2268" t="s">
        <v>47060</v>
      </c>
      <c r="O2268">
        <f>-746.054735708758 -79.9376380307713 -714.207235470582</f>
        <v>-1540.1996092101112</v>
      </c>
      <c r="P2268">
        <f>-702.196608825162 -62.4941357941905 -401.224095353116</f>
        <v>-1165.9148399724686</v>
      </c>
      <c r="Q2268">
        <f>-450.345290507728 -10.7841038425931 -361.992649864971</f>
        <v>-823.12204421529214</v>
      </c>
      <c r="R2268" t="s">
        <v>47061</v>
      </c>
      <c r="S2268" t="s">
        <v>47062</v>
      </c>
      <c r="T2268" t="s">
        <v>47063</v>
      </c>
      <c r="U2268" t="s">
        <v>47064</v>
      </c>
      <c r="V2268" t="s">
        <v>47065</v>
      </c>
      <c r="W2268" t="s">
        <v>47066</v>
      </c>
      <c r="X2268" t="s">
        <v>47067</v>
      </c>
      <c r="Y2268" t="s">
        <v>47068</v>
      </c>
    </row>
    <row r="2269" spans="1:25" x14ac:dyDescent="0.3">
      <c r="A2269">
        <v>113400</v>
      </c>
      <c r="B2269" t="s">
        <v>47069</v>
      </c>
      <c r="C2269" t="s">
        <v>47070</v>
      </c>
      <c r="D2269" t="s">
        <v>47071</v>
      </c>
      <c r="E2269" t="s">
        <v>47072</v>
      </c>
      <c r="F2269" t="s">
        <v>47073</v>
      </c>
      <c r="G2269" t="s">
        <v>47074</v>
      </c>
      <c r="H2269" t="s">
        <v>47075</v>
      </c>
      <c r="I2269" t="s">
        <v>47076</v>
      </c>
      <c r="J2269" t="s">
        <v>47077</v>
      </c>
      <c r="K2269" t="s">
        <v>47078</v>
      </c>
      <c r="L2269" t="s">
        <v>47079</v>
      </c>
      <c r="M2269" t="s">
        <v>47080</v>
      </c>
      <c r="N2269" t="s">
        <v>47081</v>
      </c>
      <c r="O2269">
        <f>-745.828112194726 -80.17179443804 -714.127820969225</f>
        <v>-1540.127727601991</v>
      </c>
      <c r="P2269">
        <f>-702.085724064116 -62.7484708198431 -401.127437207735</f>
        <v>-1165.9616320916941</v>
      </c>
      <c r="Q2269">
        <f>-450.251815888541 -10.9028676542996 -361.963937697374</f>
        <v>-823.11862124021457</v>
      </c>
      <c r="R2269" t="s">
        <v>47082</v>
      </c>
      <c r="S2269" t="s">
        <v>47083</v>
      </c>
      <c r="T2269" t="s">
        <v>47084</v>
      </c>
      <c r="U2269" t="s">
        <v>47085</v>
      </c>
      <c r="V2269" t="s">
        <v>47086</v>
      </c>
      <c r="W2269" t="s">
        <v>47087</v>
      </c>
      <c r="X2269" t="s">
        <v>47088</v>
      </c>
      <c r="Y2269" t="s">
        <v>47089</v>
      </c>
    </row>
    <row r="2270" spans="1:25" x14ac:dyDescent="0.3">
      <c r="A2270">
        <v>113450</v>
      </c>
      <c r="B2270" t="s">
        <v>47090</v>
      </c>
      <c r="C2270" t="s">
        <v>47091</v>
      </c>
      <c r="D2270" t="s">
        <v>47092</v>
      </c>
      <c r="E2270" t="s">
        <v>47093</v>
      </c>
      <c r="F2270" t="s">
        <v>47094</v>
      </c>
      <c r="G2270" t="s">
        <v>47095</v>
      </c>
      <c r="H2270" t="s">
        <v>47096</v>
      </c>
      <c r="I2270" t="s">
        <v>47097</v>
      </c>
      <c r="J2270" t="s">
        <v>47098</v>
      </c>
      <c r="K2270" t="s">
        <v>47099</v>
      </c>
      <c r="L2270" t="s">
        <v>47100</v>
      </c>
      <c r="M2270" t="s">
        <v>47101</v>
      </c>
      <c r="N2270" t="s">
        <v>47102</v>
      </c>
      <c r="O2270">
        <f>-745.422197277448 -80.6476122909376 -714.080538966193</f>
        <v>-1540.1503485345786</v>
      </c>
      <c r="P2270">
        <f>-701.787261397926 -63.2371530820335 -401.064601479164</f>
        <v>-1166.0890159591236</v>
      </c>
      <c r="Q2270">
        <f>-449.982486432775 -11.2589676007567 -361.889758500399</f>
        <v>-823.13121253393069</v>
      </c>
      <c r="R2270" t="s">
        <v>47103</v>
      </c>
      <c r="S2270" t="s">
        <v>47104</v>
      </c>
      <c r="T2270" t="s">
        <v>47105</v>
      </c>
      <c r="U2270" t="s">
        <v>47106</v>
      </c>
      <c r="V2270" t="s">
        <v>47107</v>
      </c>
      <c r="W2270" t="s">
        <v>47108</v>
      </c>
      <c r="X2270" t="s">
        <v>47109</v>
      </c>
      <c r="Y2270" t="s">
        <v>47110</v>
      </c>
    </row>
    <row r="2271" spans="1:25" x14ac:dyDescent="0.3">
      <c r="A2271">
        <v>113500</v>
      </c>
      <c r="B2271" t="s">
        <v>47111</v>
      </c>
      <c r="C2271" t="s">
        <v>47112</v>
      </c>
      <c r="D2271" t="s">
        <v>47113</v>
      </c>
      <c r="E2271" t="s">
        <v>47114</v>
      </c>
      <c r="F2271" t="s">
        <v>47115</v>
      </c>
      <c r="G2271" t="s">
        <v>47116</v>
      </c>
      <c r="H2271" t="s">
        <v>47117</v>
      </c>
      <c r="I2271" t="s">
        <v>47118</v>
      </c>
      <c r="J2271" t="s">
        <v>47119</v>
      </c>
      <c r="K2271" t="s">
        <v>47120</v>
      </c>
      <c r="L2271" t="s">
        <v>47121</v>
      </c>
      <c r="M2271" t="s">
        <v>47122</v>
      </c>
      <c r="N2271" t="s">
        <v>47123</v>
      </c>
      <c r="O2271">
        <f>-745.381337033851 -80.8428422222473 -714.029305716751</f>
        <v>-1540.2534849728493</v>
      </c>
      <c r="P2271">
        <f>-701.680463180003 -63.4222443895283 -401.023006279373</f>
        <v>-1166.1257138489043</v>
      </c>
      <c r="Q2271">
        <f>-449.873603815496 -11.4029506900922 -361.916072770924</f>
        <v>-823.19262727651221</v>
      </c>
      <c r="R2271" t="s">
        <v>47124</v>
      </c>
      <c r="S2271" t="s">
        <v>47125</v>
      </c>
      <c r="T2271" t="s">
        <v>47126</v>
      </c>
      <c r="U2271" t="s">
        <v>47127</v>
      </c>
      <c r="V2271" t="s">
        <v>47128</v>
      </c>
      <c r="W2271" t="s">
        <v>47129</v>
      </c>
      <c r="X2271" t="s">
        <v>47130</v>
      </c>
      <c r="Y2271" t="s">
        <v>47131</v>
      </c>
    </row>
    <row r="2272" spans="1:25" x14ac:dyDescent="0.3">
      <c r="A2272">
        <v>113550</v>
      </c>
      <c r="B2272" t="s">
        <v>47132</v>
      </c>
      <c r="C2272" t="s">
        <v>47133</v>
      </c>
      <c r="D2272" t="s">
        <v>47134</v>
      </c>
      <c r="E2272" t="s">
        <v>47135</v>
      </c>
      <c r="F2272" t="s">
        <v>47136</v>
      </c>
      <c r="G2272" t="s">
        <v>47137</v>
      </c>
      <c r="H2272" t="s">
        <v>47138</v>
      </c>
      <c r="I2272" t="s">
        <v>47139</v>
      </c>
      <c r="J2272" t="s">
        <v>47140</v>
      </c>
      <c r="K2272" t="s">
        <v>47141</v>
      </c>
      <c r="L2272" t="s">
        <v>47142</v>
      </c>
      <c r="M2272" t="s">
        <v>47143</v>
      </c>
      <c r="N2272" t="s">
        <v>47144</v>
      </c>
      <c r="O2272">
        <f>-745.124785381182 -81.2314742511949 -713.959261822754</f>
        <v>-1540.3155214551309</v>
      </c>
      <c r="P2272">
        <f>-701.385890250493 -63.7107638817688 -400.963821418132</f>
        <v>-1166.0604755503939</v>
      </c>
      <c r="Q2272">
        <f>-449.552668018411 -11.7389745533685 -361.963802283511</f>
        <v>-823.25544485529053</v>
      </c>
      <c r="R2272" t="s">
        <v>47145</v>
      </c>
      <c r="S2272" t="s">
        <v>47146</v>
      </c>
      <c r="T2272" t="s">
        <v>47147</v>
      </c>
      <c r="U2272" t="s">
        <v>47148</v>
      </c>
      <c r="V2272" t="s">
        <v>47149</v>
      </c>
      <c r="W2272" t="s">
        <v>47150</v>
      </c>
      <c r="X2272" t="s">
        <v>47151</v>
      </c>
      <c r="Y2272" t="s">
        <v>47152</v>
      </c>
    </row>
    <row r="2273" spans="1:25" x14ac:dyDescent="0.3">
      <c r="A2273">
        <v>113600</v>
      </c>
      <c r="B2273" t="s">
        <v>47153</v>
      </c>
      <c r="C2273" t="s">
        <v>47154</v>
      </c>
      <c r="D2273" t="s">
        <v>47155</v>
      </c>
      <c r="E2273" t="s">
        <v>47156</v>
      </c>
      <c r="F2273" t="s">
        <v>47157</v>
      </c>
      <c r="G2273" t="s">
        <v>47158</v>
      </c>
      <c r="H2273" t="s">
        <v>47159</v>
      </c>
      <c r="I2273" t="s">
        <v>47160</v>
      </c>
      <c r="J2273" t="s">
        <v>47161</v>
      </c>
      <c r="K2273" t="s">
        <v>47162</v>
      </c>
      <c r="L2273" t="s">
        <v>47163</v>
      </c>
      <c r="M2273" t="s">
        <v>47164</v>
      </c>
      <c r="N2273" t="s">
        <v>47165</v>
      </c>
      <c r="O2273">
        <f>-744.999344366189 -81.3744806338639 -713.955755419726</f>
        <v>-1540.3295804197787</v>
      </c>
      <c r="P2273">
        <f>-701.156076200209 -64.0004080929978 -400.966857916184</f>
        <v>-1166.1233422093908</v>
      </c>
      <c r="Q2273">
        <f>-449.349030331354 -11.922357574507 -361.940049974595</f>
        <v>-823.21143788045606</v>
      </c>
      <c r="R2273" t="s">
        <v>47166</v>
      </c>
      <c r="S2273" t="s">
        <v>47167</v>
      </c>
      <c r="T2273" t="s">
        <v>47168</v>
      </c>
      <c r="U2273" t="s">
        <v>47169</v>
      </c>
      <c r="V2273" t="s">
        <v>47170</v>
      </c>
      <c r="W2273" t="s">
        <v>47171</v>
      </c>
      <c r="X2273" t="s">
        <v>47172</v>
      </c>
      <c r="Y2273" t="s">
        <v>47173</v>
      </c>
    </row>
    <row r="2274" spans="1:25" x14ac:dyDescent="0.3">
      <c r="A2274">
        <v>113650</v>
      </c>
      <c r="B2274" t="s">
        <v>47174</v>
      </c>
      <c r="C2274" t="s">
        <v>47175</v>
      </c>
      <c r="D2274" t="s">
        <v>47176</v>
      </c>
      <c r="E2274" t="s">
        <v>47177</v>
      </c>
      <c r="F2274" t="s">
        <v>47178</v>
      </c>
      <c r="G2274" t="s">
        <v>47179</v>
      </c>
      <c r="H2274" t="s">
        <v>47180</v>
      </c>
      <c r="I2274" t="s">
        <v>47181</v>
      </c>
      <c r="J2274" t="s">
        <v>47182</v>
      </c>
      <c r="K2274" t="s">
        <v>47183</v>
      </c>
      <c r="L2274" t="s">
        <v>47184</v>
      </c>
      <c r="M2274" t="s">
        <v>47185</v>
      </c>
      <c r="N2274" t="s">
        <v>47186</v>
      </c>
      <c r="O2274">
        <f>-744.856051734208 -81.7705570606558 -713.850660407433</f>
        <v>-1540.4772692022968</v>
      </c>
      <c r="P2274">
        <f>-701.029900846277 -64.2636725088687 -400.866728459977</f>
        <v>-1166.1603018151227</v>
      </c>
      <c r="Q2274">
        <f>-449.278357371999 -11.9206966684062 -361.835040589482</f>
        <v>-823.03409462988725</v>
      </c>
      <c r="R2274" t="s">
        <v>47187</v>
      </c>
      <c r="S2274" t="s">
        <v>47188</v>
      </c>
      <c r="T2274" t="s">
        <v>47189</v>
      </c>
      <c r="U2274" t="s">
        <v>47190</v>
      </c>
      <c r="V2274" t="s">
        <v>47191</v>
      </c>
      <c r="W2274" t="s">
        <v>47192</v>
      </c>
      <c r="X2274" t="s">
        <v>47193</v>
      </c>
      <c r="Y2274" t="s">
        <v>47194</v>
      </c>
    </row>
    <row r="2275" spans="1:25" x14ac:dyDescent="0.3">
      <c r="A2275">
        <v>113700</v>
      </c>
      <c r="B2275" t="s">
        <v>47195</v>
      </c>
      <c r="C2275" t="s">
        <v>47196</v>
      </c>
      <c r="D2275" t="s">
        <v>47197</v>
      </c>
      <c r="E2275" t="s">
        <v>47198</v>
      </c>
      <c r="F2275" t="s">
        <v>47199</v>
      </c>
      <c r="G2275" t="s">
        <v>47200</v>
      </c>
      <c r="H2275" t="s">
        <v>47201</v>
      </c>
      <c r="I2275" t="s">
        <v>47202</v>
      </c>
      <c r="J2275" t="s">
        <v>47203</v>
      </c>
      <c r="K2275" t="s">
        <v>47204</v>
      </c>
      <c r="L2275" t="s">
        <v>47205</v>
      </c>
      <c r="M2275" t="s">
        <v>47206</v>
      </c>
      <c r="N2275" t="s">
        <v>47207</v>
      </c>
      <c r="O2275">
        <f>-744.80484711011 -81.9164848837563 -713.84412213862</f>
        <v>-1540.5654541324864</v>
      </c>
      <c r="P2275">
        <f>-701.010241019731 -64.3462475818749 -400.859168344236</f>
        <v>-1166.2156569458418</v>
      </c>
      <c r="Q2275">
        <f>-449.287548781255 -11.8864067561135 -361.799024344745</f>
        <v>-822.97297988211358</v>
      </c>
      <c r="R2275" t="s">
        <v>47208</v>
      </c>
      <c r="S2275" t="s">
        <v>47209</v>
      </c>
      <c r="T2275" t="s">
        <v>47210</v>
      </c>
      <c r="U2275" t="s">
        <v>47211</v>
      </c>
      <c r="V2275" t="s">
        <v>47212</v>
      </c>
      <c r="W2275" t="s">
        <v>47213</v>
      </c>
      <c r="X2275" t="s">
        <v>47214</v>
      </c>
      <c r="Y2275" t="s">
        <v>47215</v>
      </c>
    </row>
    <row r="2276" spans="1:25" x14ac:dyDescent="0.3">
      <c r="A2276">
        <v>113750</v>
      </c>
      <c r="B2276" t="s">
        <v>47216</v>
      </c>
      <c r="C2276" t="s">
        <v>47217</v>
      </c>
      <c r="D2276" t="s">
        <v>47218</v>
      </c>
      <c r="E2276" t="s">
        <v>47219</v>
      </c>
      <c r="F2276" t="s">
        <v>47220</v>
      </c>
      <c r="G2276" t="s">
        <v>47221</v>
      </c>
      <c r="H2276" t="s">
        <v>47222</v>
      </c>
      <c r="I2276" t="s">
        <v>47223</v>
      </c>
      <c r="J2276" t="s">
        <v>47224</v>
      </c>
      <c r="K2276" t="s">
        <v>47225</v>
      </c>
      <c r="L2276" t="s">
        <v>47226</v>
      </c>
      <c r="M2276" t="s">
        <v>47227</v>
      </c>
      <c r="N2276" t="s">
        <v>47228</v>
      </c>
      <c r="O2276">
        <f>-744.765471696488 -82.0584551734826 -713.856083038469</f>
        <v>-1540.6800099084396</v>
      </c>
      <c r="P2276">
        <f>-700.944310975763 -64.4448353470161 -400.877514713543</f>
        <v>-1166.2666610363221</v>
      </c>
      <c r="Q2276">
        <f>-449.265822079492 -11.6803247981147 -361.943367879033</f>
        <v>-822.88951475663976</v>
      </c>
      <c r="R2276" t="s">
        <v>47229</v>
      </c>
      <c r="S2276" t="s">
        <v>47230</v>
      </c>
      <c r="T2276" t="s">
        <v>47231</v>
      </c>
      <c r="U2276" t="s">
        <v>47232</v>
      </c>
      <c r="V2276" t="s">
        <v>47233</v>
      </c>
      <c r="W2276" t="s">
        <v>47234</v>
      </c>
      <c r="X2276" t="s">
        <v>47235</v>
      </c>
      <c r="Y2276" t="s">
        <v>47236</v>
      </c>
    </row>
    <row r="2277" spans="1:25" x14ac:dyDescent="0.3">
      <c r="A2277">
        <v>113800</v>
      </c>
      <c r="B2277" t="s">
        <v>47237</v>
      </c>
      <c r="C2277" t="s">
        <v>47238</v>
      </c>
      <c r="D2277" t="s">
        <v>47239</v>
      </c>
      <c r="E2277" t="s">
        <v>47240</v>
      </c>
      <c r="F2277" t="s">
        <v>47241</v>
      </c>
      <c r="G2277" t="s">
        <v>47242</v>
      </c>
      <c r="H2277" t="s">
        <v>47243</v>
      </c>
      <c r="I2277" t="s">
        <v>47244</v>
      </c>
      <c r="J2277" t="s">
        <v>47245</v>
      </c>
      <c r="K2277" t="s">
        <v>47246</v>
      </c>
      <c r="L2277" t="s">
        <v>47247</v>
      </c>
      <c r="M2277" t="s">
        <v>47248</v>
      </c>
      <c r="N2277" t="s">
        <v>47249</v>
      </c>
      <c r="O2277">
        <f>-744.811659670381 -82.0191389600038 -713.896115237613</f>
        <v>-1540.7269138679978</v>
      </c>
      <c r="P2277">
        <f>-700.960441617557 -64.4334739815788 -400.919991830561</f>
        <v>-1166.3139074296969</v>
      </c>
      <c r="Q2277">
        <f>-449.309224841887 -11.5164764914105 -362.016716249758</f>
        <v>-822.84241758305552</v>
      </c>
      <c r="R2277" t="s">
        <v>47250</v>
      </c>
      <c r="S2277" t="s">
        <v>47251</v>
      </c>
      <c r="T2277" t="s">
        <v>47252</v>
      </c>
      <c r="U2277" t="s">
        <v>47253</v>
      </c>
      <c r="V2277" t="s">
        <v>47254</v>
      </c>
      <c r="W2277" t="s">
        <v>47255</v>
      </c>
      <c r="X2277" t="s">
        <v>47256</v>
      </c>
      <c r="Y2277" t="s">
        <v>47257</v>
      </c>
    </row>
    <row r="2278" spans="1:25" x14ac:dyDescent="0.3">
      <c r="A2278">
        <v>113850</v>
      </c>
      <c r="B2278" t="s">
        <v>47258</v>
      </c>
      <c r="C2278" t="s">
        <v>47259</v>
      </c>
      <c r="D2278" t="s">
        <v>47260</v>
      </c>
      <c r="E2278" t="s">
        <v>47261</v>
      </c>
      <c r="F2278" t="s">
        <v>47262</v>
      </c>
      <c r="G2278" t="s">
        <v>47263</v>
      </c>
      <c r="H2278" t="s">
        <v>47264</v>
      </c>
      <c r="I2278" t="s">
        <v>47265</v>
      </c>
      <c r="J2278" t="s">
        <v>47266</v>
      </c>
      <c r="K2278" t="s">
        <v>47267</v>
      </c>
      <c r="L2278" t="s">
        <v>47268</v>
      </c>
      <c r="M2278" t="s">
        <v>47269</v>
      </c>
      <c r="N2278" t="s">
        <v>47270</v>
      </c>
      <c r="O2278">
        <f>-745.128860757515 -82.1653321316769 -713.896246467795</f>
        <v>-1541.1904393569869</v>
      </c>
      <c r="P2278">
        <f>-701.169748351801 -64.749901540059 -400.925846417868</f>
        <v>-1166.8454963097279</v>
      </c>
      <c r="Q2278">
        <f>-449.479172490544 -11.6704595021015 -362.501119399429</f>
        <v>-823.65075139207443</v>
      </c>
      <c r="R2278" t="s">
        <v>47271</v>
      </c>
      <c r="S2278" t="s">
        <v>47272</v>
      </c>
      <c r="T2278" t="s">
        <v>47273</v>
      </c>
      <c r="U2278" t="s">
        <v>47274</v>
      </c>
      <c r="V2278" t="s">
        <v>47275</v>
      </c>
      <c r="W2278" t="s">
        <v>47276</v>
      </c>
      <c r="X2278" t="s">
        <v>47277</v>
      </c>
      <c r="Y2278" t="s">
        <v>47278</v>
      </c>
    </row>
    <row r="2279" spans="1:25" x14ac:dyDescent="0.3">
      <c r="A2279">
        <v>113900</v>
      </c>
      <c r="B2279" t="s">
        <v>47279</v>
      </c>
      <c r="C2279" t="s">
        <v>47280</v>
      </c>
      <c r="D2279" t="s">
        <v>47281</v>
      </c>
      <c r="E2279" t="s">
        <v>47282</v>
      </c>
      <c r="F2279" t="s">
        <v>47283</v>
      </c>
      <c r="G2279" t="s">
        <v>47284</v>
      </c>
      <c r="H2279" t="s">
        <v>47285</v>
      </c>
      <c r="I2279" t="s">
        <v>47286</v>
      </c>
      <c r="J2279" t="s">
        <v>47287</v>
      </c>
      <c r="K2279" t="s">
        <v>47288</v>
      </c>
      <c r="L2279" t="s">
        <v>47289</v>
      </c>
      <c r="M2279" t="s">
        <v>47290</v>
      </c>
      <c r="N2279" t="s">
        <v>47291</v>
      </c>
      <c r="O2279">
        <f>-745.561582466514 -82.190537853043 -713.879777684506</f>
        <v>-1541.631898004063</v>
      </c>
      <c r="P2279">
        <f>-701.228665540837 -64.8163268257563 -400.959797914436</f>
        <v>-1167.0047902810293</v>
      </c>
      <c r="Q2279">
        <f>-449.488579001009 -11.868958418775 -362.676650850238</f>
        <v>-824.03418827002201</v>
      </c>
      <c r="R2279" t="s">
        <v>47292</v>
      </c>
      <c r="S2279" t="s">
        <v>47293</v>
      </c>
      <c r="T2279" t="s">
        <v>47294</v>
      </c>
      <c r="U2279" t="s">
        <v>47295</v>
      </c>
      <c r="V2279" t="s">
        <v>47296</v>
      </c>
      <c r="W2279" t="s">
        <v>47297</v>
      </c>
      <c r="X2279" t="s">
        <v>47298</v>
      </c>
      <c r="Y2279" t="s">
        <v>47299</v>
      </c>
    </row>
    <row r="2280" spans="1:25" x14ac:dyDescent="0.3">
      <c r="A2280">
        <v>113950</v>
      </c>
      <c r="B2280" t="s">
        <v>47300</v>
      </c>
      <c r="C2280" t="s">
        <v>47301</v>
      </c>
      <c r="D2280" t="s">
        <v>47302</v>
      </c>
      <c r="E2280" t="s">
        <v>47303</v>
      </c>
      <c r="F2280" t="s">
        <v>47304</v>
      </c>
      <c r="G2280" t="s">
        <v>47305</v>
      </c>
      <c r="H2280" t="s">
        <v>47306</v>
      </c>
      <c r="I2280" t="s">
        <v>47307</v>
      </c>
      <c r="J2280" t="s">
        <v>47308</v>
      </c>
      <c r="K2280" t="s">
        <v>47309</v>
      </c>
      <c r="L2280" t="s">
        <v>47310</v>
      </c>
      <c r="M2280" t="s">
        <v>47311</v>
      </c>
      <c r="N2280" t="s">
        <v>47312</v>
      </c>
      <c r="O2280">
        <f>-746.423719808757 -82.4462078946165 -713.718664035817</f>
        <v>-1542.5885917391906</v>
      </c>
      <c r="P2280">
        <f>-701.622247749603 -64.9598764303257 -400.871675741795</f>
        <v>-1167.4537999217237</v>
      </c>
      <c r="Q2280">
        <f>-449.806540126917 -12.1410361519584 -362.910347307781</f>
        <v>-824.8579235866564</v>
      </c>
      <c r="R2280" t="s">
        <v>47313</v>
      </c>
      <c r="S2280" t="s">
        <v>47314</v>
      </c>
      <c r="T2280" t="s">
        <v>47315</v>
      </c>
      <c r="U2280" t="s">
        <v>47316</v>
      </c>
      <c r="V2280" t="s">
        <v>47317</v>
      </c>
      <c r="W2280" t="s">
        <v>47318</v>
      </c>
      <c r="X2280" t="s">
        <v>47319</v>
      </c>
      <c r="Y2280" t="s">
        <v>47320</v>
      </c>
    </row>
    <row r="2281" spans="1:25" x14ac:dyDescent="0.3">
      <c r="A2281">
        <v>114000</v>
      </c>
      <c r="B2281" t="s">
        <v>47321</v>
      </c>
      <c r="C2281" t="s">
        <v>47322</v>
      </c>
      <c r="D2281" t="s">
        <v>47323</v>
      </c>
      <c r="E2281" t="s">
        <v>47324</v>
      </c>
      <c r="F2281" t="s">
        <v>47325</v>
      </c>
      <c r="G2281" t="s">
        <v>47326</v>
      </c>
      <c r="H2281" t="s">
        <v>47327</v>
      </c>
      <c r="I2281" t="s">
        <v>47328</v>
      </c>
      <c r="J2281" t="s">
        <v>47329</v>
      </c>
      <c r="K2281" t="s">
        <v>47330</v>
      </c>
      <c r="L2281" t="s">
        <v>47331</v>
      </c>
      <c r="M2281" t="s">
        <v>47332</v>
      </c>
      <c r="N2281" t="s">
        <v>47333</v>
      </c>
      <c r="O2281">
        <f>-746.513814772941 -82.6921469868878 -713.637180732547</f>
        <v>-1542.8431424923758</v>
      </c>
      <c r="P2281">
        <f>-701.672181135227 -65.3173665626896 -400.789727844754</f>
        <v>-1167.7792755426706</v>
      </c>
      <c r="Q2281">
        <f>-449.833894398374 -12.577057169294 -362.869179406319</f>
        <v>-825.28013097398707</v>
      </c>
      <c r="R2281" t="s">
        <v>47334</v>
      </c>
      <c r="S2281" t="s">
        <v>47335</v>
      </c>
      <c r="T2281" t="s">
        <v>47336</v>
      </c>
      <c r="U2281" t="s">
        <v>47337</v>
      </c>
      <c r="V2281" t="s">
        <v>47338</v>
      </c>
      <c r="W2281" t="s">
        <v>47339</v>
      </c>
      <c r="X2281" t="s">
        <v>47340</v>
      </c>
      <c r="Y2281" t="s">
        <v>47341</v>
      </c>
    </row>
    <row r="2282" spans="1:25" x14ac:dyDescent="0.3">
      <c r="A2282">
        <v>114050</v>
      </c>
      <c r="B2282" t="s">
        <v>47342</v>
      </c>
      <c r="C2282" t="s">
        <v>47343</v>
      </c>
      <c r="D2282" t="s">
        <v>47344</v>
      </c>
      <c r="E2282" t="s">
        <v>47345</v>
      </c>
      <c r="F2282" t="s">
        <v>47346</v>
      </c>
      <c r="G2282" t="s">
        <v>47347</v>
      </c>
      <c r="H2282" t="s">
        <v>47348</v>
      </c>
      <c r="I2282" t="s">
        <v>47349</v>
      </c>
      <c r="J2282" t="s">
        <v>47350</v>
      </c>
      <c r="K2282" t="s">
        <v>47351</v>
      </c>
      <c r="L2282" t="s">
        <v>47352</v>
      </c>
      <c r="M2282" t="s">
        <v>47353</v>
      </c>
      <c r="N2282" t="s">
        <v>47354</v>
      </c>
      <c r="O2282">
        <f>-746.889408466085 -82.9651229758249 -713.437664127041</f>
        <v>-1543.2921955689508</v>
      </c>
      <c r="P2282">
        <f>-702.232643801775 -65.5734874540433 -400.564736124941</f>
        <v>-1168.3708673807594</v>
      </c>
      <c r="Q2282">
        <f>-450.421640678019 -12.620527341652 -362.758755189146</f>
        <v>-825.80092320881704</v>
      </c>
      <c r="R2282" t="s">
        <v>47355</v>
      </c>
      <c r="S2282" t="s">
        <v>47356</v>
      </c>
      <c r="T2282" t="s">
        <v>47357</v>
      </c>
      <c r="U2282" t="s">
        <v>47358</v>
      </c>
      <c r="V2282" t="s">
        <v>47359</v>
      </c>
      <c r="W2282" t="s">
        <v>47360</v>
      </c>
      <c r="X2282" t="s">
        <v>47361</v>
      </c>
      <c r="Y2282" t="s">
        <v>47362</v>
      </c>
    </row>
    <row r="2283" spans="1:25" x14ac:dyDescent="0.3">
      <c r="A2283">
        <v>114100</v>
      </c>
      <c r="B2283" t="s">
        <v>47363</v>
      </c>
      <c r="C2283" t="s">
        <v>47364</v>
      </c>
      <c r="D2283" t="s">
        <v>47365</v>
      </c>
      <c r="E2283" t="s">
        <v>47366</v>
      </c>
      <c r="F2283" t="s">
        <v>47367</v>
      </c>
      <c r="G2283" t="s">
        <v>47368</v>
      </c>
      <c r="H2283" t="s">
        <v>47369</v>
      </c>
      <c r="I2283" t="s">
        <v>47370</v>
      </c>
      <c r="J2283" t="s">
        <v>47371</v>
      </c>
      <c r="K2283" t="s">
        <v>47372</v>
      </c>
      <c r="L2283" t="s">
        <v>47373</v>
      </c>
      <c r="M2283" t="s">
        <v>47374</v>
      </c>
      <c r="N2283" t="s">
        <v>47375</v>
      </c>
      <c r="O2283">
        <f>-747.026030333592 -83.1974029505968 -713.333628985983</f>
        <v>-1543.5570622701716</v>
      </c>
      <c r="P2283">
        <f>-702.418573348904 -65.6574747099519 -400.461865116809</f>
        <v>-1168.5379131756649</v>
      </c>
      <c r="Q2283">
        <f>-450.666893783482 -12.4015335493623 -362.686743566866</f>
        <v>-825.75517089971027</v>
      </c>
      <c r="R2283" t="s">
        <v>47376</v>
      </c>
      <c r="S2283" t="s">
        <v>47377</v>
      </c>
      <c r="T2283" t="s">
        <v>47378</v>
      </c>
      <c r="U2283" t="s">
        <v>47379</v>
      </c>
      <c r="V2283" t="s">
        <v>47380</v>
      </c>
      <c r="W2283" t="s">
        <v>47381</v>
      </c>
      <c r="X2283" t="s">
        <v>47382</v>
      </c>
      <c r="Y2283" t="s">
        <v>47383</v>
      </c>
    </row>
    <row r="2284" spans="1:25" x14ac:dyDescent="0.3">
      <c r="A2284">
        <v>114150</v>
      </c>
      <c r="B2284" t="s">
        <v>47384</v>
      </c>
      <c r="C2284" t="s">
        <v>47385</v>
      </c>
      <c r="D2284" t="s">
        <v>47386</v>
      </c>
      <c r="E2284" t="s">
        <v>47387</v>
      </c>
      <c r="F2284" t="s">
        <v>47388</v>
      </c>
      <c r="G2284" t="s">
        <v>47389</v>
      </c>
      <c r="H2284" t="s">
        <v>47390</v>
      </c>
      <c r="I2284" t="s">
        <v>47391</v>
      </c>
      <c r="J2284" t="s">
        <v>47392</v>
      </c>
      <c r="K2284" t="s">
        <v>47393</v>
      </c>
      <c r="L2284" t="s">
        <v>47394</v>
      </c>
      <c r="M2284" t="s">
        <v>47395</v>
      </c>
      <c r="N2284" t="s">
        <v>47396</v>
      </c>
      <c r="O2284">
        <f>-747.045440634455 -83.8632643294836 -713.146619423479</f>
        <v>-1544.0553243874176</v>
      </c>
      <c r="P2284">
        <f>-702.437056250466 -66.1723694742691 -400.283582815566</f>
        <v>-1168.893008540301</v>
      </c>
      <c r="Q2284">
        <f>-450.892165736714 -12.065572147623 -362.339956892901</f>
        <v>-825.29769477723801</v>
      </c>
      <c r="R2284" t="s">
        <v>47397</v>
      </c>
      <c r="S2284" t="s">
        <v>47398</v>
      </c>
      <c r="T2284" t="s">
        <v>47399</v>
      </c>
      <c r="U2284" t="s">
        <v>47400</v>
      </c>
      <c r="V2284" t="s">
        <v>47401</v>
      </c>
      <c r="W2284" t="s">
        <v>47402</v>
      </c>
      <c r="X2284" t="s">
        <v>47403</v>
      </c>
      <c r="Y2284" t="s">
        <v>47404</v>
      </c>
    </row>
    <row r="2285" spans="1:25" x14ac:dyDescent="0.3">
      <c r="A2285">
        <v>114200</v>
      </c>
      <c r="B2285" t="s">
        <v>47405</v>
      </c>
      <c r="C2285" t="s">
        <v>47406</v>
      </c>
      <c r="D2285" t="s">
        <v>47407</v>
      </c>
      <c r="E2285" t="s">
        <v>47408</v>
      </c>
      <c r="F2285" t="s">
        <v>47409</v>
      </c>
      <c r="G2285" t="s">
        <v>47410</v>
      </c>
      <c r="H2285" t="s">
        <v>47411</v>
      </c>
      <c r="I2285" t="s">
        <v>47412</v>
      </c>
      <c r="J2285" t="s">
        <v>47413</v>
      </c>
      <c r="K2285" t="s">
        <v>47414</v>
      </c>
      <c r="L2285" t="s">
        <v>47415</v>
      </c>
      <c r="M2285" t="s">
        <v>47416</v>
      </c>
      <c r="N2285" t="s">
        <v>47417</v>
      </c>
      <c r="O2285">
        <f>-746.82870022003 -84.3326741665476 -713.021041106772</f>
        <v>-1544.1824154933497</v>
      </c>
      <c r="P2285">
        <f>-702.425686411173 -66.3732502986218 -400.144065981212</f>
        <v>-1168.9430026910068</v>
      </c>
      <c r="Q2285">
        <f>-451.022135116729 -11.7346096228416 -362.026434858547</f>
        <v>-824.78317959811761</v>
      </c>
      <c r="R2285" t="s">
        <v>47418</v>
      </c>
      <c r="S2285" t="s">
        <v>47419</v>
      </c>
      <c r="T2285" t="s">
        <v>47420</v>
      </c>
      <c r="U2285" t="s">
        <v>47421</v>
      </c>
      <c r="V2285" t="s">
        <v>47422</v>
      </c>
      <c r="W2285" t="s">
        <v>47423</v>
      </c>
      <c r="X2285" t="s">
        <v>47424</v>
      </c>
      <c r="Y2285" t="s">
        <v>47425</v>
      </c>
    </row>
    <row r="2286" spans="1:25" x14ac:dyDescent="0.3">
      <c r="A2286">
        <v>114250</v>
      </c>
      <c r="B2286" t="s">
        <v>47426</v>
      </c>
      <c r="C2286" t="s">
        <v>47427</v>
      </c>
      <c r="D2286" t="s">
        <v>47428</v>
      </c>
      <c r="E2286" t="s">
        <v>47429</v>
      </c>
      <c r="F2286" t="s">
        <v>47430</v>
      </c>
      <c r="G2286" t="s">
        <v>47431</v>
      </c>
      <c r="H2286" t="s">
        <v>47432</v>
      </c>
      <c r="I2286" t="s">
        <v>47433</v>
      </c>
      <c r="J2286" t="s">
        <v>47434</v>
      </c>
      <c r="K2286" t="s">
        <v>47435</v>
      </c>
      <c r="L2286" t="s">
        <v>47436</v>
      </c>
      <c r="M2286" t="s">
        <v>47437</v>
      </c>
      <c r="N2286" t="s">
        <v>47438</v>
      </c>
      <c r="O2286">
        <f>-746.053721251887 -84.9659133039272 -712.966928564941</f>
        <v>-1543.9865631207554</v>
      </c>
      <c r="P2286">
        <f>-702.089050376945 -66.2896470682508 -400.07002156466</f>
        <v>-1168.4487190098557</v>
      </c>
      <c r="Q2286">
        <f>-451.033745358006 -10.5166680844957 -361.305569491946</f>
        <v>-822.85598293444764</v>
      </c>
      <c r="R2286" t="s">
        <v>47439</v>
      </c>
      <c r="S2286" t="s">
        <v>47440</v>
      </c>
      <c r="T2286" t="s">
        <v>47441</v>
      </c>
      <c r="U2286" t="s">
        <v>47442</v>
      </c>
      <c r="V2286" t="s">
        <v>47443</v>
      </c>
      <c r="W2286" t="s">
        <v>47444</v>
      </c>
      <c r="X2286" t="s">
        <v>47445</v>
      </c>
      <c r="Y2286" t="s">
        <v>47446</v>
      </c>
    </row>
    <row r="2287" spans="1:25" x14ac:dyDescent="0.3">
      <c r="A2287">
        <v>114300</v>
      </c>
      <c r="B2287" t="s">
        <v>47447</v>
      </c>
      <c r="C2287" t="s">
        <v>47448</v>
      </c>
      <c r="D2287" t="s">
        <v>47449</v>
      </c>
      <c r="E2287" t="s">
        <v>47450</v>
      </c>
      <c r="F2287" t="s">
        <v>47451</v>
      </c>
      <c r="G2287" t="s">
        <v>47452</v>
      </c>
      <c r="H2287" t="s">
        <v>47453</v>
      </c>
      <c r="I2287" t="s">
        <v>47454</v>
      </c>
      <c r="J2287" t="s">
        <v>47455</v>
      </c>
      <c r="K2287" t="s">
        <v>47456</v>
      </c>
      <c r="L2287" t="s">
        <v>47457</v>
      </c>
      <c r="M2287" t="s">
        <v>47458</v>
      </c>
      <c r="N2287" t="s">
        <v>47459</v>
      </c>
      <c r="O2287">
        <f>-745.723541293882 -85.3870216995053 -712.922245570349</f>
        <v>-1544.0328085637364</v>
      </c>
      <c r="P2287">
        <f>-702.01984701471 -66.4223793381707 -400.006031754961</f>
        <v>-1168.4482581078416</v>
      </c>
      <c r="Q2287">
        <f>-451.155692286981 -9.94441242500761 -361.025831221579</f>
        <v>-822.12593593356758</v>
      </c>
      <c r="R2287" t="s">
        <v>47460</v>
      </c>
      <c r="S2287" t="s">
        <v>47461</v>
      </c>
      <c r="T2287" t="s">
        <v>47462</v>
      </c>
      <c r="U2287" t="s">
        <v>47463</v>
      </c>
      <c r="V2287" t="s">
        <v>47464</v>
      </c>
      <c r="W2287" t="s">
        <v>47465</v>
      </c>
      <c r="X2287" t="s">
        <v>47466</v>
      </c>
      <c r="Y2287" t="s">
        <v>47467</v>
      </c>
    </row>
    <row r="2288" spans="1:25" x14ac:dyDescent="0.3">
      <c r="A2288">
        <v>114350</v>
      </c>
      <c r="B2288" t="s">
        <v>47468</v>
      </c>
      <c r="C2288" t="s">
        <v>47469</v>
      </c>
      <c r="D2288" t="s">
        <v>47470</v>
      </c>
      <c r="E2288" t="s">
        <v>47471</v>
      </c>
      <c r="F2288" t="s">
        <v>47472</v>
      </c>
      <c r="G2288" t="s">
        <v>47473</v>
      </c>
      <c r="H2288" t="s">
        <v>47474</v>
      </c>
      <c r="I2288" t="s">
        <v>47475</v>
      </c>
      <c r="J2288" t="s">
        <v>47476</v>
      </c>
      <c r="K2288" t="s">
        <v>47477</v>
      </c>
      <c r="L2288" t="s">
        <v>47478</v>
      </c>
      <c r="M2288" t="s">
        <v>47479</v>
      </c>
      <c r="N2288" t="s">
        <v>47480</v>
      </c>
      <c r="O2288">
        <f>-745.157099481914 -86.1123434380038 -712.68656721217</f>
        <v>-1543.9560101320876</v>
      </c>
      <c r="P2288">
        <f>-701.832590747038 -66.7624060925314 -399.741218114678</f>
        <v>-1168.3362149542475</v>
      </c>
      <c r="Q2288">
        <f>-451.277407269712 -8.92396968265575 -360.769260407337</f>
        <v>-820.97063735970482</v>
      </c>
      <c r="R2288" t="s">
        <v>47481</v>
      </c>
      <c r="S2288" t="s">
        <v>47482</v>
      </c>
      <c r="T2288" t="s">
        <v>47483</v>
      </c>
      <c r="U2288" t="s">
        <v>47484</v>
      </c>
      <c r="V2288" t="s">
        <v>47485</v>
      </c>
      <c r="W2288" t="s">
        <v>47486</v>
      </c>
      <c r="X2288" t="s">
        <v>47487</v>
      </c>
      <c r="Y2288" t="s">
        <v>47488</v>
      </c>
    </row>
    <row r="2289" spans="1:25" x14ac:dyDescent="0.3">
      <c r="A2289">
        <v>114400</v>
      </c>
      <c r="B2289" t="s">
        <v>47489</v>
      </c>
      <c r="C2289" t="s">
        <v>47490</v>
      </c>
      <c r="D2289" t="s">
        <v>47491</v>
      </c>
      <c r="E2289" t="s">
        <v>47492</v>
      </c>
      <c r="F2289" t="s">
        <v>47493</v>
      </c>
      <c r="G2289" t="s">
        <v>47494</v>
      </c>
      <c r="H2289" t="s">
        <v>47495</v>
      </c>
      <c r="I2289" t="s">
        <v>47496</v>
      </c>
      <c r="J2289" t="s">
        <v>47497</v>
      </c>
      <c r="K2289" t="s">
        <v>47498</v>
      </c>
      <c r="L2289" t="s">
        <v>47499</v>
      </c>
      <c r="M2289" t="s">
        <v>47500</v>
      </c>
      <c r="N2289" t="s">
        <v>47501</v>
      </c>
      <c r="O2289">
        <f>-744.907803887982 -86.3777625430498 -712.593375267097</f>
        <v>-1543.878941698129</v>
      </c>
      <c r="P2289">
        <f>-701.639029980395 -66.7123426132846 -399.660011521579</f>
        <v>-1168.0113841152586</v>
      </c>
      <c r="Q2289">
        <f>-451.176765762849 -8.3417040323568 -360.884125481475</f>
        <v>-820.40259527668081</v>
      </c>
      <c r="R2289" t="s">
        <v>47502</v>
      </c>
      <c r="S2289" t="s">
        <v>47503</v>
      </c>
      <c r="T2289" t="s">
        <v>47504</v>
      </c>
      <c r="U2289" t="s">
        <v>47505</v>
      </c>
      <c r="V2289" t="s">
        <v>47506</v>
      </c>
      <c r="W2289" t="s">
        <v>47507</v>
      </c>
      <c r="X2289" t="s">
        <v>47508</v>
      </c>
      <c r="Y2289" t="s">
        <v>47509</v>
      </c>
    </row>
    <row r="2290" spans="1:25" x14ac:dyDescent="0.3">
      <c r="A2290">
        <v>114450</v>
      </c>
      <c r="B2290" t="s">
        <v>47510</v>
      </c>
      <c r="C2290" t="s">
        <v>47511</v>
      </c>
      <c r="D2290" t="s">
        <v>47512</v>
      </c>
      <c r="E2290" t="s">
        <v>47513</v>
      </c>
      <c r="F2290" t="s">
        <v>47514</v>
      </c>
      <c r="G2290" t="s">
        <v>47515</v>
      </c>
      <c r="H2290" t="s">
        <v>47516</v>
      </c>
      <c r="I2290" t="s">
        <v>47517</v>
      </c>
      <c r="J2290" t="s">
        <v>47518</v>
      </c>
      <c r="K2290" t="s">
        <v>47519</v>
      </c>
      <c r="L2290" t="s">
        <v>47520</v>
      </c>
      <c r="M2290" t="s">
        <v>47521</v>
      </c>
      <c r="N2290" t="s">
        <v>47522</v>
      </c>
      <c r="O2290">
        <f>-744.664030103979 -87.1567175775676 -712.326174701533</f>
        <v>-1544.1469223830795</v>
      </c>
      <c r="P2290">
        <f>-701.381526790235 -67.1437533833553 -399.416803300269</f>
        <v>-1167.9420834738592</v>
      </c>
      <c r="Q2290">
        <f>-451.02868347585 -8.34756786428352 -360.57710601462</f>
        <v>-819.95335735475351</v>
      </c>
      <c r="R2290" t="s">
        <v>47523</v>
      </c>
      <c r="S2290" t="s">
        <v>47524</v>
      </c>
      <c r="T2290" t="s">
        <v>47525</v>
      </c>
      <c r="U2290" t="s">
        <v>47526</v>
      </c>
      <c r="V2290" t="s">
        <v>47527</v>
      </c>
      <c r="W2290" t="s">
        <v>47528</v>
      </c>
      <c r="X2290" t="s">
        <v>47529</v>
      </c>
      <c r="Y2290" t="s">
        <v>47530</v>
      </c>
    </row>
    <row r="2291" spans="1:25" x14ac:dyDescent="0.3">
      <c r="A2291">
        <v>114500</v>
      </c>
      <c r="B2291" t="s">
        <v>47531</v>
      </c>
      <c r="C2291" t="s">
        <v>47532</v>
      </c>
      <c r="D2291" t="s">
        <v>47533</v>
      </c>
      <c r="E2291" t="s">
        <v>47534</v>
      </c>
      <c r="F2291" t="s">
        <v>47535</v>
      </c>
      <c r="G2291" t="s">
        <v>47536</v>
      </c>
      <c r="H2291" t="s">
        <v>47537</v>
      </c>
      <c r="I2291" t="s">
        <v>47538</v>
      </c>
      <c r="J2291" t="s">
        <v>47539</v>
      </c>
      <c r="K2291" t="s">
        <v>47540</v>
      </c>
      <c r="L2291" t="s">
        <v>47541</v>
      </c>
      <c r="M2291" t="s">
        <v>47542</v>
      </c>
      <c r="N2291" t="s">
        <v>47543</v>
      </c>
      <c r="O2291">
        <f>-744.576292013808 -87.2558313590648 -712.352967669822</f>
        <v>-1544.1850910426947</v>
      </c>
      <c r="P2291">
        <f>-701.241485472222 -67.1332193136418 -399.457875111641</f>
        <v>-1167.8325798975047</v>
      </c>
      <c r="Q2291">
        <f>-450.958249660565 -8.05425883131056 -360.598212496219</f>
        <v>-819.6107209880945</v>
      </c>
      <c r="R2291" t="s">
        <v>47544</v>
      </c>
      <c r="S2291" t="s">
        <v>47545</v>
      </c>
      <c r="T2291" t="s">
        <v>47546</v>
      </c>
      <c r="U2291" t="s">
        <v>47547</v>
      </c>
      <c r="V2291" t="s">
        <v>47548</v>
      </c>
      <c r="W2291" t="s">
        <v>47549</v>
      </c>
      <c r="X2291" t="s">
        <v>47550</v>
      </c>
      <c r="Y2291" t="s">
        <v>47551</v>
      </c>
    </row>
    <row r="2292" spans="1:25" x14ac:dyDescent="0.3">
      <c r="A2292">
        <v>114550</v>
      </c>
      <c r="B2292" t="s">
        <v>47552</v>
      </c>
      <c r="C2292" t="s">
        <v>47553</v>
      </c>
      <c r="D2292" t="s">
        <v>47554</v>
      </c>
      <c r="E2292" t="s">
        <v>47555</v>
      </c>
      <c r="F2292" t="s">
        <v>47556</v>
      </c>
      <c r="G2292" t="s">
        <v>47557</v>
      </c>
      <c r="H2292" t="s">
        <v>47558</v>
      </c>
      <c r="I2292" t="s">
        <v>47559</v>
      </c>
      <c r="J2292" t="s">
        <v>47560</v>
      </c>
      <c r="K2292" t="s">
        <v>47561</v>
      </c>
      <c r="L2292" t="s">
        <v>47562</v>
      </c>
      <c r="M2292" t="s">
        <v>47563</v>
      </c>
      <c r="N2292" t="s">
        <v>47564</v>
      </c>
      <c r="O2292">
        <f>-744.681008475676 -87.5950000411785 -712.097155168067</f>
        <v>-1544.3731636849216</v>
      </c>
      <c r="P2292">
        <f>-701.006808458886 -67.2494979473508 -399.263714857641</f>
        <v>-1167.5200212638779</v>
      </c>
      <c r="Q2292">
        <f>-450.751408801869 -7.70133520861259 -360.944922251137</f>
        <v>-819.3976662616185</v>
      </c>
      <c r="R2292" t="s">
        <v>47565</v>
      </c>
      <c r="S2292" t="s">
        <v>47566</v>
      </c>
      <c r="T2292" t="s">
        <v>47567</v>
      </c>
      <c r="U2292" t="s">
        <v>47568</v>
      </c>
      <c r="V2292" t="s">
        <v>47569</v>
      </c>
      <c r="W2292" t="s">
        <v>47570</v>
      </c>
      <c r="X2292" t="s">
        <v>47571</v>
      </c>
      <c r="Y2292" t="s">
        <v>47572</v>
      </c>
    </row>
    <row r="2293" spans="1:25" x14ac:dyDescent="0.3">
      <c r="A2293">
        <v>114600</v>
      </c>
      <c r="B2293" t="s">
        <v>47573</v>
      </c>
      <c r="C2293" t="s">
        <v>47574</v>
      </c>
      <c r="D2293" t="s">
        <v>47575</v>
      </c>
      <c r="E2293" t="s">
        <v>47576</v>
      </c>
      <c r="F2293" t="s">
        <v>47577</v>
      </c>
      <c r="G2293" t="s">
        <v>47578</v>
      </c>
      <c r="H2293" t="s">
        <v>47579</v>
      </c>
      <c r="I2293" t="s">
        <v>47580</v>
      </c>
      <c r="J2293" t="s">
        <v>47581</v>
      </c>
      <c r="K2293" t="s">
        <v>47582</v>
      </c>
      <c r="L2293" t="s">
        <v>47583</v>
      </c>
      <c r="M2293" t="s">
        <v>47584</v>
      </c>
      <c r="N2293" t="s">
        <v>47585</v>
      </c>
      <c r="O2293">
        <f>-744.849442002199 -87.6904033899002 -711.98203216288</f>
        <v>-1544.5218775549793</v>
      </c>
      <c r="P2293">
        <f>-700.906076932765 -67.2545248378815 -399.192092717763</f>
        <v>-1167.3526944884095</v>
      </c>
      <c r="Q2293">
        <f>-450.649141014876 -7.47701722898773 -361.242930278748</f>
        <v>-819.36908852261172</v>
      </c>
      <c r="R2293" t="s">
        <v>47586</v>
      </c>
      <c r="S2293" t="s">
        <v>47587</v>
      </c>
      <c r="T2293" t="s">
        <v>47588</v>
      </c>
      <c r="U2293" t="s">
        <v>47589</v>
      </c>
      <c r="V2293" t="s">
        <v>47590</v>
      </c>
      <c r="W2293" t="s">
        <v>47591</v>
      </c>
      <c r="X2293" t="s">
        <v>47592</v>
      </c>
      <c r="Y2293" t="s">
        <v>47593</v>
      </c>
    </row>
    <row r="2294" spans="1:25" x14ac:dyDescent="0.3">
      <c r="A2294">
        <v>114650</v>
      </c>
      <c r="B2294" t="s">
        <v>47594</v>
      </c>
      <c r="C2294" t="s">
        <v>47595</v>
      </c>
      <c r="D2294" t="s">
        <v>47596</v>
      </c>
      <c r="E2294" t="s">
        <v>47597</v>
      </c>
      <c r="F2294" t="s">
        <v>47598</v>
      </c>
      <c r="G2294" t="s">
        <v>47599</v>
      </c>
      <c r="H2294" t="s">
        <v>47600</v>
      </c>
      <c r="I2294" t="s">
        <v>47601</v>
      </c>
      <c r="J2294" t="s">
        <v>47602</v>
      </c>
      <c r="K2294" t="s">
        <v>47603</v>
      </c>
      <c r="L2294" t="s">
        <v>47604</v>
      </c>
      <c r="M2294" t="s">
        <v>47605</v>
      </c>
      <c r="N2294" t="s">
        <v>47606</v>
      </c>
      <c r="O2294">
        <f>-745.544611240426 -87.1656592291802 -711.966519411003</f>
        <v>-1544.6767898806092</v>
      </c>
      <c r="P2294">
        <f>-701.076261957784 -67.0887395449179 -399.227580650545</f>
        <v>-1167.3925821532468</v>
      </c>
      <c r="Q2294">
        <f>-450.946169576447 -6.48911755928884 -361.748202977371</f>
        <v>-819.18349011310693</v>
      </c>
      <c r="R2294" t="s">
        <v>47607</v>
      </c>
      <c r="S2294" t="s">
        <v>47608</v>
      </c>
      <c r="T2294" t="s">
        <v>47609</v>
      </c>
      <c r="U2294" t="s">
        <v>47610</v>
      </c>
      <c r="V2294" t="s">
        <v>47611</v>
      </c>
      <c r="W2294" t="s">
        <v>47612</v>
      </c>
      <c r="X2294" t="s">
        <v>47613</v>
      </c>
      <c r="Y2294" t="s">
        <v>47614</v>
      </c>
    </row>
    <row r="2295" spans="1:25" x14ac:dyDescent="0.3">
      <c r="A2295">
        <v>114700</v>
      </c>
      <c r="B2295" t="s">
        <v>47615</v>
      </c>
      <c r="C2295" t="s">
        <v>47616</v>
      </c>
      <c r="D2295" t="s">
        <v>47617</v>
      </c>
      <c r="E2295" t="s">
        <v>47618</v>
      </c>
      <c r="F2295" t="s">
        <v>47619</v>
      </c>
      <c r="G2295" t="s">
        <v>47620</v>
      </c>
      <c r="H2295" t="s">
        <v>47621</v>
      </c>
      <c r="I2295" t="s">
        <v>47622</v>
      </c>
      <c r="J2295" t="s">
        <v>47623</v>
      </c>
      <c r="K2295" t="s">
        <v>47624</v>
      </c>
      <c r="L2295" t="s">
        <v>47625</v>
      </c>
      <c r="M2295" t="s">
        <v>47626</v>
      </c>
      <c r="N2295" t="s">
        <v>47627</v>
      </c>
      <c r="O2295">
        <f>-745.911386666264 -86.8514831191276 -712.016232440849</f>
        <v>-1544.7791022262404</v>
      </c>
      <c r="P2295">
        <f>-701.405206698258 -66.5929434043878 -399.294289990549</f>
        <v>-1167.2924400931947</v>
      </c>
      <c r="Q2295">
        <f>-451.317607697639 -5.75948129383528 -361.910894097023</f>
        <v>-818.98798308849723</v>
      </c>
      <c r="R2295" t="s">
        <v>47628</v>
      </c>
      <c r="S2295" t="s">
        <v>47629</v>
      </c>
      <c r="T2295" t="s">
        <v>47630</v>
      </c>
      <c r="U2295" t="s">
        <v>47631</v>
      </c>
      <c r="V2295" t="s">
        <v>47632</v>
      </c>
      <c r="W2295" t="s">
        <v>47633</v>
      </c>
      <c r="X2295" t="s">
        <v>47634</v>
      </c>
      <c r="Y2295" t="s">
        <v>47635</v>
      </c>
    </row>
    <row r="2296" spans="1:25" x14ac:dyDescent="0.3">
      <c r="A2296">
        <v>114750</v>
      </c>
      <c r="B2296" t="s">
        <v>47636</v>
      </c>
      <c r="C2296" t="s">
        <v>47637</v>
      </c>
      <c r="D2296" t="s">
        <v>47638</v>
      </c>
      <c r="E2296" t="s">
        <v>47639</v>
      </c>
      <c r="F2296" t="s">
        <v>47640</v>
      </c>
      <c r="G2296" t="s">
        <v>47641</v>
      </c>
      <c r="H2296" t="s">
        <v>47642</v>
      </c>
      <c r="I2296" t="s">
        <v>47643</v>
      </c>
      <c r="J2296" t="s">
        <v>47644</v>
      </c>
      <c r="K2296" t="s">
        <v>47645</v>
      </c>
      <c r="L2296" t="s">
        <v>47646</v>
      </c>
      <c r="M2296" t="s">
        <v>47647</v>
      </c>
      <c r="N2296" t="s">
        <v>47648</v>
      </c>
      <c r="O2296">
        <f>-746.452467114589 -85.5438411823159 -712.125526926601</f>
        <v>-1544.121835223506</v>
      </c>
      <c r="P2296">
        <f>-701.629933422466 -65.7390333060473 -399.419689977355</f>
        <v>-1166.7886567058683</v>
      </c>
      <c r="Q2296">
        <f>-451.508976772865 -5.00153331321258 -362.103538484772</f>
        <v>-818.6140485708496</v>
      </c>
      <c r="R2296" t="s">
        <v>47649</v>
      </c>
      <c r="S2296" t="s">
        <v>47650</v>
      </c>
      <c r="T2296" t="s">
        <v>47651</v>
      </c>
      <c r="U2296" t="s">
        <v>47652</v>
      </c>
      <c r="V2296" t="s">
        <v>47653</v>
      </c>
      <c r="W2296" t="s">
        <v>47654</v>
      </c>
      <c r="X2296" t="s">
        <v>47655</v>
      </c>
      <c r="Y2296" t="s">
        <v>47656</v>
      </c>
    </row>
    <row r="2297" spans="1:25" x14ac:dyDescent="0.3">
      <c r="A2297">
        <v>114800</v>
      </c>
      <c r="B2297" t="s">
        <v>47657</v>
      </c>
      <c r="C2297" t="s">
        <v>47658</v>
      </c>
      <c r="D2297" t="s">
        <v>47659</v>
      </c>
      <c r="E2297" t="s">
        <v>47660</v>
      </c>
      <c r="F2297" t="s">
        <v>47661</v>
      </c>
      <c r="G2297" t="s">
        <v>47662</v>
      </c>
      <c r="H2297" t="s">
        <v>47663</v>
      </c>
      <c r="I2297" t="s">
        <v>47664</v>
      </c>
      <c r="J2297" t="s">
        <v>47665</v>
      </c>
      <c r="K2297" t="s">
        <v>47666</v>
      </c>
      <c r="L2297" t="s">
        <v>47667</v>
      </c>
      <c r="M2297" t="s">
        <v>47668</v>
      </c>
      <c r="N2297" t="s">
        <v>47669</v>
      </c>
      <c r="O2297">
        <f>-746.677535852948 -84.9975157727451 -712.184637004309</f>
        <v>-1543.8596886300022</v>
      </c>
      <c r="P2297">
        <f>-701.750003011743 -65.2934983025227 -399.487583701272</f>
        <v>-1166.5310850155379</v>
      </c>
      <c r="Q2297">
        <f>-451.592547463507 -4.63635701772455 -362.28474085862</f>
        <v>-818.51364533985156</v>
      </c>
      <c r="R2297" t="s">
        <v>47670</v>
      </c>
      <c r="S2297" t="s">
        <v>47671</v>
      </c>
      <c r="T2297" t="s">
        <v>47672</v>
      </c>
      <c r="U2297" t="s">
        <v>47673</v>
      </c>
      <c r="V2297" t="s">
        <v>47674</v>
      </c>
      <c r="W2297" t="s">
        <v>47675</v>
      </c>
      <c r="X2297" t="s">
        <v>47676</v>
      </c>
      <c r="Y2297" t="s">
        <v>47677</v>
      </c>
    </row>
    <row r="2298" spans="1:25" x14ac:dyDescent="0.3">
      <c r="A2298">
        <v>114850</v>
      </c>
      <c r="B2298" t="s">
        <v>47678</v>
      </c>
      <c r="C2298" t="s">
        <v>47679</v>
      </c>
      <c r="D2298" t="s">
        <v>47680</v>
      </c>
      <c r="E2298" t="s">
        <v>47681</v>
      </c>
      <c r="F2298" t="s">
        <v>47682</v>
      </c>
      <c r="G2298" t="s">
        <v>47683</v>
      </c>
      <c r="H2298" t="s">
        <v>47684</v>
      </c>
      <c r="I2298" t="s">
        <v>47685</v>
      </c>
      <c r="J2298" t="s">
        <v>47686</v>
      </c>
      <c r="K2298" t="s">
        <v>47687</v>
      </c>
      <c r="L2298" t="s">
        <v>47688</v>
      </c>
      <c r="M2298" t="s">
        <v>47689</v>
      </c>
      <c r="N2298" t="s">
        <v>47690</v>
      </c>
      <c r="O2298">
        <f>-747.321805776574 -83.3321293306624 -712.420629379775</f>
        <v>-1543.0745644870115</v>
      </c>
      <c r="P2298">
        <f>-702.212957501494 -64.0333008948601 -399.724418650902</f>
        <v>-1165.970677047256</v>
      </c>
      <c r="Q2298">
        <f>-451.934518638956 -3.7729847588289 -362.692056756666</f>
        <v>-818.39956015445091</v>
      </c>
      <c r="R2298" t="s">
        <v>47691</v>
      </c>
      <c r="S2298" t="s">
        <v>47692</v>
      </c>
      <c r="T2298" t="s">
        <v>47693</v>
      </c>
      <c r="U2298" t="s">
        <v>47694</v>
      </c>
      <c r="V2298" t="s">
        <v>47695</v>
      </c>
      <c r="W2298" t="s">
        <v>47696</v>
      </c>
      <c r="X2298" t="s">
        <v>47697</v>
      </c>
      <c r="Y2298" t="s">
        <v>47698</v>
      </c>
    </row>
    <row r="2299" spans="1:25" x14ac:dyDescent="0.3">
      <c r="A2299">
        <v>114900</v>
      </c>
      <c r="B2299" t="s">
        <v>47699</v>
      </c>
      <c r="C2299" t="s">
        <v>47700</v>
      </c>
      <c r="D2299" t="s">
        <v>47701</v>
      </c>
      <c r="E2299" t="s">
        <v>47702</v>
      </c>
      <c r="F2299" t="s">
        <v>47703</v>
      </c>
      <c r="G2299" t="s">
        <v>47704</v>
      </c>
      <c r="H2299" t="s">
        <v>47705</v>
      </c>
      <c r="I2299" t="s">
        <v>47706</v>
      </c>
      <c r="J2299" t="s">
        <v>47707</v>
      </c>
      <c r="K2299" t="s">
        <v>47708</v>
      </c>
      <c r="L2299" t="s">
        <v>47709</v>
      </c>
      <c r="M2299" t="s">
        <v>47710</v>
      </c>
      <c r="N2299" t="s">
        <v>47711</v>
      </c>
      <c r="O2299">
        <f>-747.458147006357 -82.342880161327 -712.620476605659</f>
        <v>-1542.4215037733429</v>
      </c>
      <c r="P2299">
        <f>-702.207865717959 -63.6610985095249 -399.907180097487</f>
        <v>-1165.7761443249708</v>
      </c>
      <c r="Q2299">
        <f>-451.816130270739 -3.87030375962604 -362.878800042819</f>
        <v>-818.565234073184</v>
      </c>
      <c r="R2299" t="s">
        <v>47712</v>
      </c>
      <c r="S2299" t="s">
        <v>47713</v>
      </c>
      <c r="T2299" t="s">
        <v>47714</v>
      </c>
      <c r="U2299" t="s">
        <v>47715</v>
      </c>
      <c r="V2299" t="s">
        <v>47716</v>
      </c>
      <c r="W2299" t="s">
        <v>47717</v>
      </c>
      <c r="X2299" t="s">
        <v>47718</v>
      </c>
      <c r="Y2299" t="s">
        <v>47719</v>
      </c>
    </row>
    <row r="2300" spans="1:25" x14ac:dyDescent="0.3">
      <c r="A2300">
        <v>114950</v>
      </c>
      <c r="B2300" t="s">
        <v>47720</v>
      </c>
      <c r="C2300" t="s">
        <v>47721</v>
      </c>
      <c r="D2300" t="s">
        <v>47722</v>
      </c>
      <c r="E2300" t="s">
        <v>47723</v>
      </c>
      <c r="F2300" t="s">
        <v>47724</v>
      </c>
      <c r="G2300" t="s">
        <v>47725</v>
      </c>
      <c r="H2300" t="s">
        <v>47726</v>
      </c>
      <c r="I2300" t="s">
        <v>47727</v>
      </c>
      <c r="J2300" t="s">
        <v>47728</v>
      </c>
      <c r="K2300" t="s">
        <v>47729</v>
      </c>
      <c r="L2300" t="s">
        <v>47730</v>
      </c>
      <c r="M2300" t="s">
        <v>47731</v>
      </c>
      <c r="N2300" t="s">
        <v>47732</v>
      </c>
      <c r="O2300">
        <f>-747.946841878398 -80.9068417942672 -712.814764672518</f>
        <v>-1541.6684483451832</v>
      </c>
      <c r="P2300">
        <f>-702.842251340776 -62.942818426591 -400.038413341606</f>
        <v>-1165.8234831089731</v>
      </c>
      <c r="Q2300">
        <f>-452.234524057825 -4.01351911151005 -363.090995608763</f>
        <v>-819.33903877809803</v>
      </c>
      <c r="R2300" t="s">
        <v>47733</v>
      </c>
      <c r="S2300" t="s">
        <v>47734</v>
      </c>
      <c r="T2300" t="s">
        <v>47735</v>
      </c>
      <c r="U2300" t="s">
        <v>47736</v>
      </c>
      <c r="V2300" t="s">
        <v>47737</v>
      </c>
      <c r="W2300" t="s">
        <v>47738</v>
      </c>
      <c r="X2300" t="s">
        <v>47739</v>
      </c>
      <c r="Y2300" t="s">
        <v>47740</v>
      </c>
    </row>
    <row r="2301" spans="1:25" x14ac:dyDescent="0.3">
      <c r="A2301">
        <v>115000</v>
      </c>
      <c r="B2301" t="s">
        <v>47741</v>
      </c>
      <c r="C2301" t="s">
        <v>47742</v>
      </c>
      <c r="D2301" t="s">
        <v>47743</v>
      </c>
      <c r="E2301" t="s">
        <v>47744</v>
      </c>
      <c r="F2301" t="s">
        <v>47745</v>
      </c>
      <c r="G2301" t="s">
        <v>47746</v>
      </c>
      <c r="H2301" t="s">
        <v>47747</v>
      </c>
      <c r="I2301" t="s">
        <v>47748</v>
      </c>
      <c r="J2301" t="s">
        <v>47749</v>
      </c>
      <c r="K2301" t="s">
        <v>47750</v>
      </c>
      <c r="L2301" t="s">
        <v>47751</v>
      </c>
      <c r="M2301" t="s">
        <v>47752</v>
      </c>
      <c r="N2301" t="s">
        <v>47753</v>
      </c>
      <c r="O2301">
        <f>-748.338052517411 -80.458499850384 -712.815705253845</f>
        <v>-1541.6122576216399</v>
      </c>
      <c r="P2301">
        <f>-703.223174441832 -63.0405885916734 -400.009764956017</f>
        <v>-1166.2735279895226</v>
      </c>
      <c r="Q2301">
        <f>-452.486737007001 -4.62398274397447 -363.120550884442</f>
        <v>-820.23127063541756</v>
      </c>
      <c r="R2301" t="s">
        <v>47754</v>
      </c>
      <c r="S2301" t="s">
        <v>47755</v>
      </c>
      <c r="T2301" t="s">
        <v>47756</v>
      </c>
      <c r="U2301" t="s">
        <v>47757</v>
      </c>
      <c r="V2301" t="s">
        <v>47758</v>
      </c>
      <c r="W2301" t="s">
        <v>47759</v>
      </c>
      <c r="X2301" t="s">
        <v>47760</v>
      </c>
      <c r="Y2301" t="s">
        <v>47761</v>
      </c>
    </row>
    <row r="2302" spans="1:25" x14ac:dyDescent="0.3">
      <c r="A2302">
        <v>115050</v>
      </c>
      <c r="B2302" t="s">
        <v>47762</v>
      </c>
      <c r="C2302" t="s">
        <v>47763</v>
      </c>
      <c r="D2302" t="s">
        <v>47764</v>
      </c>
      <c r="E2302" t="s">
        <v>47765</v>
      </c>
      <c r="F2302" t="s">
        <v>47766</v>
      </c>
      <c r="G2302" t="s">
        <v>47767</v>
      </c>
      <c r="H2302" t="s">
        <v>47768</v>
      </c>
      <c r="I2302" t="s">
        <v>47769</v>
      </c>
      <c r="J2302" t="s">
        <v>47770</v>
      </c>
      <c r="K2302" t="s">
        <v>47771</v>
      </c>
      <c r="L2302" t="s">
        <v>47772</v>
      </c>
      <c r="M2302" t="s">
        <v>47773</v>
      </c>
      <c r="N2302" t="s">
        <v>47774</v>
      </c>
      <c r="O2302">
        <f>-749.462316759516 -79.5778226704515 -712.926576707809</f>
        <v>-1541.9667161377765</v>
      </c>
      <c r="P2302">
        <f>-704.164769123084 -62.7175421398088 -400.116583051059</f>
        <v>-1166.998894313952</v>
      </c>
      <c r="Q2302">
        <f>-453.097039307346 -5.60359544514836 -363.441121292027</f>
        <v>-822.14175604452134</v>
      </c>
      <c r="R2302" t="s">
        <v>47775</v>
      </c>
      <c r="S2302" t="s">
        <v>47776</v>
      </c>
      <c r="T2302" t="s">
        <v>47777</v>
      </c>
      <c r="U2302" t="s">
        <v>47778</v>
      </c>
      <c r="V2302" t="s">
        <v>47779</v>
      </c>
      <c r="W2302" t="s">
        <v>47780</v>
      </c>
      <c r="X2302" t="s">
        <v>47781</v>
      </c>
      <c r="Y2302" t="s">
        <v>47782</v>
      </c>
    </row>
    <row r="2303" spans="1:25" x14ac:dyDescent="0.3">
      <c r="A2303">
        <v>115100</v>
      </c>
      <c r="B2303" t="s">
        <v>47783</v>
      </c>
      <c r="C2303" t="s">
        <v>47784</v>
      </c>
      <c r="D2303" t="s">
        <v>47785</v>
      </c>
      <c r="E2303" t="s">
        <v>47786</v>
      </c>
      <c r="F2303" t="s">
        <v>47787</v>
      </c>
      <c r="G2303" t="s">
        <v>47788</v>
      </c>
      <c r="H2303" t="s">
        <v>47789</v>
      </c>
      <c r="I2303" t="s">
        <v>47790</v>
      </c>
      <c r="J2303" t="s">
        <v>47791</v>
      </c>
      <c r="K2303" t="s">
        <v>47792</v>
      </c>
      <c r="L2303" t="s">
        <v>47793</v>
      </c>
      <c r="M2303" t="s">
        <v>47794</v>
      </c>
      <c r="N2303" t="s">
        <v>47795</v>
      </c>
      <c r="O2303">
        <f>-750.071915215318 -79.115187415108 -713.023844831561</f>
        <v>-1542.210947461987</v>
      </c>
      <c r="P2303">
        <f>-704.676400460491 -62.532742837938 -400.213424148</f>
        <v>-1167.422567446429</v>
      </c>
      <c r="Q2303">
        <f>-453.438472150502 -6.18889417061951 -363.512891638536</f>
        <v>-823.14025795965745</v>
      </c>
      <c r="R2303" t="s">
        <v>47796</v>
      </c>
      <c r="S2303" t="s">
        <v>47797</v>
      </c>
      <c r="T2303" t="s">
        <v>47798</v>
      </c>
      <c r="U2303" t="s">
        <v>47799</v>
      </c>
      <c r="V2303" t="s">
        <v>47800</v>
      </c>
      <c r="W2303" t="s">
        <v>47801</v>
      </c>
      <c r="X2303" t="s">
        <v>47802</v>
      </c>
      <c r="Y2303" t="s">
        <v>47803</v>
      </c>
    </row>
    <row r="2304" spans="1:25" x14ac:dyDescent="0.3">
      <c r="A2304">
        <v>115150</v>
      </c>
      <c r="B2304" t="s">
        <v>47804</v>
      </c>
      <c r="C2304" t="s">
        <v>47805</v>
      </c>
      <c r="D2304" t="s">
        <v>47806</v>
      </c>
      <c r="E2304" t="s">
        <v>47807</v>
      </c>
      <c r="F2304" t="s">
        <v>47808</v>
      </c>
      <c r="G2304" t="s">
        <v>47809</v>
      </c>
      <c r="H2304" t="s">
        <v>47810</v>
      </c>
      <c r="I2304" t="s">
        <v>47811</v>
      </c>
      <c r="J2304" t="s">
        <v>47812</v>
      </c>
      <c r="K2304" t="s">
        <v>47813</v>
      </c>
      <c r="L2304" t="s">
        <v>47814</v>
      </c>
      <c r="M2304" t="s">
        <v>47815</v>
      </c>
      <c r="N2304" t="s">
        <v>47816</v>
      </c>
      <c r="O2304">
        <f>-750.602819594567 -78.70422588614 -713.155345802338</f>
        <v>-1542.462391283045</v>
      </c>
      <c r="P2304">
        <f>-705.217068625483 -62.1037170200743 -400.344291850092</f>
        <v>-1167.6650774956493</v>
      </c>
      <c r="Q2304">
        <f>-453.810824864667 -6.55017371743384 -363.5913718125</f>
        <v>-823.95237039460085</v>
      </c>
      <c r="R2304" t="s">
        <v>47817</v>
      </c>
      <c r="S2304" t="s">
        <v>47818</v>
      </c>
      <c r="T2304" t="s">
        <v>47819</v>
      </c>
      <c r="U2304" t="s">
        <v>47820</v>
      </c>
      <c r="V2304" t="s">
        <v>47821</v>
      </c>
      <c r="W2304" t="s">
        <v>47822</v>
      </c>
      <c r="X2304" t="s">
        <v>47823</v>
      </c>
      <c r="Y2304" t="s">
        <v>47824</v>
      </c>
    </row>
    <row r="2305" spans="1:25" x14ac:dyDescent="0.3">
      <c r="A2305">
        <v>115200</v>
      </c>
      <c r="B2305" t="s">
        <v>47825</v>
      </c>
      <c r="C2305" t="s">
        <v>47826</v>
      </c>
      <c r="D2305" t="s">
        <v>47827</v>
      </c>
      <c r="E2305" t="s">
        <v>47828</v>
      </c>
      <c r="F2305" t="s">
        <v>47829</v>
      </c>
      <c r="G2305" t="s">
        <v>47830</v>
      </c>
      <c r="H2305" t="s">
        <v>47831</v>
      </c>
      <c r="I2305" t="s">
        <v>47832</v>
      </c>
      <c r="J2305" t="s">
        <v>47833</v>
      </c>
      <c r="K2305" t="s">
        <v>47834</v>
      </c>
      <c r="L2305" t="s">
        <v>47835</v>
      </c>
      <c r="M2305" t="s">
        <v>47836</v>
      </c>
      <c r="N2305" t="s">
        <v>47837</v>
      </c>
      <c r="O2305">
        <f>-751.678503273891 -77.9061719334361 -713.500729953804</f>
        <v>-1543.0854051611311</v>
      </c>
      <c r="P2305">
        <f>-706.547566000206 -61.5768712708696 -400.638596671633</f>
        <v>-1168.7630339427085</v>
      </c>
      <c r="Q2305">
        <f>-454.827885557086 -7.68358919546222 -363.561152931621</f>
        <v>-826.07262768416922</v>
      </c>
      <c r="R2305" t="s">
        <v>47838</v>
      </c>
      <c r="S2305" t="s">
        <v>47839</v>
      </c>
      <c r="T2305" t="s">
        <v>47840</v>
      </c>
      <c r="U2305" t="s">
        <v>47841</v>
      </c>
      <c r="V2305" t="s">
        <v>47842</v>
      </c>
      <c r="W2305" t="s">
        <v>47843</v>
      </c>
      <c r="X2305" t="s">
        <v>47844</v>
      </c>
      <c r="Y2305" t="s">
        <v>47845</v>
      </c>
    </row>
    <row r="2306" spans="1:25" x14ac:dyDescent="0.3">
      <c r="A2306">
        <v>115250</v>
      </c>
      <c r="B2306" t="s">
        <v>47846</v>
      </c>
      <c r="C2306" t="s">
        <v>47847</v>
      </c>
      <c r="D2306" t="s">
        <v>47848</v>
      </c>
      <c r="E2306" t="s">
        <v>47849</v>
      </c>
      <c r="F2306" t="s">
        <v>47850</v>
      </c>
      <c r="G2306" t="s">
        <v>47851</v>
      </c>
      <c r="H2306" t="s">
        <v>47852</v>
      </c>
      <c r="I2306" t="s">
        <v>47853</v>
      </c>
      <c r="J2306" t="s">
        <v>47854</v>
      </c>
      <c r="K2306" t="s">
        <v>47855</v>
      </c>
      <c r="L2306" t="s">
        <v>47856</v>
      </c>
      <c r="M2306" t="s">
        <v>47857</v>
      </c>
      <c r="N2306" t="s">
        <v>47858</v>
      </c>
      <c r="O2306">
        <f>-752.554261009864 -77.2687757050712 -713.827551938658</f>
        <v>-1543.6505886535933</v>
      </c>
      <c r="P2306">
        <f>-707.579537819496 -60.8933573988804 -400.945324613139</f>
        <v>-1169.4182198315154</v>
      </c>
      <c r="Q2306">
        <f>-455.620056687716 -8.14889589065638 -363.843938518506</f>
        <v>-827.61289109687834</v>
      </c>
      <c r="R2306" t="s">
        <v>47859</v>
      </c>
      <c r="S2306" t="s">
        <v>47860</v>
      </c>
      <c r="T2306" t="s">
        <v>47861</v>
      </c>
      <c r="U2306" t="s">
        <v>47862</v>
      </c>
      <c r="V2306" t="s">
        <v>47863</v>
      </c>
      <c r="W2306" t="s">
        <v>47864</v>
      </c>
      <c r="X2306" t="s">
        <v>47865</v>
      </c>
      <c r="Y2306" t="s">
        <v>47866</v>
      </c>
    </row>
    <row r="2307" spans="1:25" x14ac:dyDescent="0.3">
      <c r="A2307">
        <v>115300</v>
      </c>
      <c r="B2307" t="s">
        <v>47867</v>
      </c>
      <c r="C2307" t="s">
        <v>47868</v>
      </c>
      <c r="D2307" t="s">
        <v>47869</v>
      </c>
      <c r="E2307" t="s">
        <v>47870</v>
      </c>
      <c r="F2307" t="s">
        <v>47871</v>
      </c>
      <c r="G2307" t="s">
        <v>47872</v>
      </c>
      <c r="H2307" t="s">
        <v>47873</v>
      </c>
      <c r="I2307" t="s">
        <v>47874</v>
      </c>
      <c r="J2307" t="s">
        <v>47875</v>
      </c>
      <c r="K2307" t="s">
        <v>47876</v>
      </c>
      <c r="L2307" t="s">
        <v>47877</v>
      </c>
      <c r="M2307" t="s">
        <v>47878</v>
      </c>
      <c r="N2307" t="s">
        <v>47879</v>
      </c>
      <c r="O2307">
        <f>-753.009344905646 -77.1242578295653 -713.925019041409</f>
        <v>-1544.0586217766204</v>
      </c>
      <c r="P2307">
        <f>-707.911722193173 -60.9752447211522 -401.048645586675</f>
        <v>-1169.9356125010002</v>
      </c>
      <c r="Q2307">
        <f>-455.870872205581 -8.67760477361458 -363.868085387001</f>
        <v>-828.41656236619656</v>
      </c>
      <c r="R2307" t="s">
        <v>47880</v>
      </c>
      <c r="S2307" t="s">
        <v>47881</v>
      </c>
      <c r="T2307" t="s">
        <v>47882</v>
      </c>
      <c r="U2307" t="s">
        <v>47883</v>
      </c>
      <c r="V2307" t="s">
        <v>47884</v>
      </c>
      <c r="W2307" t="s">
        <v>47885</v>
      </c>
      <c r="X2307" t="s">
        <v>47886</v>
      </c>
      <c r="Y2307" t="s">
        <v>47887</v>
      </c>
    </row>
    <row r="2308" spans="1:25" x14ac:dyDescent="0.3">
      <c r="A2308">
        <v>115350</v>
      </c>
      <c r="B2308" t="s">
        <v>47888</v>
      </c>
      <c r="C2308" t="s">
        <v>47889</v>
      </c>
      <c r="D2308" t="s">
        <v>47890</v>
      </c>
      <c r="E2308" t="s">
        <v>47891</v>
      </c>
      <c r="F2308" t="s">
        <v>47892</v>
      </c>
      <c r="G2308" t="s">
        <v>47893</v>
      </c>
      <c r="H2308" t="s">
        <v>47894</v>
      </c>
      <c r="I2308" t="s">
        <v>47895</v>
      </c>
      <c r="J2308" t="s">
        <v>47896</v>
      </c>
      <c r="K2308" t="s">
        <v>47897</v>
      </c>
      <c r="L2308" t="s">
        <v>47898</v>
      </c>
      <c r="M2308" t="s">
        <v>47899</v>
      </c>
      <c r="N2308" t="s">
        <v>47900</v>
      </c>
      <c r="O2308">
        <f>-754.058942792202 -76.8271700035289 -714.093896079896</f>
        <v>-1544.9800088756269</v>
      </c>
      <c r="P2308">
        <f>-708.834073734826 -60.7249983653778 -401.233410083592</f>
        <v>-1170.7924821837958</v>
      </c>
      <c r="Q2308">
        <f>-456.744965984475 -8.59101055349151 -364.149629939992</f>
        <v>-829.48560647795853</v>
      </c>
      <c r="R2308" t="s">
        <v>47901</v>
      </c>
      <c r="S2308" t="s">
        <v>47902</v>
      </c>
      <c r="T2308" t="s">
        <v>47903</v>
      </c>
      <c r="U2308" t="s">
        <v>47904</v>
      </c>
      <c r="V2308" t="s">
        <v>47905</v>
      </c>
      <c r="W2308" t="s">
        <v>47906</v>
      </c>
      <c r="X2308" t="s">
        <v>47907</v>
      </c>
      <c r="Y2308" t="s">
        <v>47908</v>
      </c>
    </row>
    <row r="2309" spans="1:25" x14ac:dyDescent="0.3">
      <c r="A2309">
        <v>115400</v>
      </c>
      <c r="B2309" t="s">
        <v>47909</v>
      </c>
      <c r="C2309" t="s">
        <v>47910</v>
      </c>
      <c r="D2309" t="s">
        <v>47911</v>
      </c>
      <c r="E2309" t="s">
        <v>47912</v>
      </c>
      <c r="F2309" t="s">
        <v>47913</v>
      </c>
      <c r="G2309" t="s">
        <v>47914</v>
      </c>
      <c r="H2309" t="s">
        <v>47915</v>
      </c>
      <c r="I2309" t="s">
        <v>47916</v>
      </c>
      <c r="J2309" t="s">
        <v>47917</v>
      </c>
      <c r="K2309" t="s">
        <v>47918</v>
      </c>
      <c r="L2309" t="s">
        <v>47919</v>
      </c>
      <c r="M2309" t="s">
        <v>47920</v>
      </c>
      <c r="N2309" t="s">
        <v>47921</v>
      </c>
      <c r="O2309">
        <f>-754.445033986165 -76.7558928542237 -714.214833867672</f>
        <v>-1545.4157607080606</v>
      </c>
      <c r="P2309">
        <f>-709.150638323486 -60.8077864037 -401.356559485779</f>
        <v>-1171.3149842129649</v>
      </c>
      <c r="Q2309">
        <f>-457.077765587032 -8.57085505979944 -364.307347498713</f>
        <v>-829.95596814554438</v>
      </c>
      <c r="R2309" t="s">
        <v>47922</v>
      </c>
      <c r="S2309" t="s">
        <v>47923</v>
      </c>
      <c r="T2309" t="s">
        <v>47924</v>
      </c>
      <c r="U2309" t="s">
        <v>47925</v>
      </c>
      <c r="V2309" t="s">
        <v>47926</v>
      </c>
      <c r="W2309" t="s">
        <v>47927</v>
      </c>
      <c r="X2309" t="s">
        <v>47928</v>
      </c>
      <c r="Y2309" t="s">
        <v>47929</v>
      </c>
    </row>
    <row r="2310" spans="1:25" x14ac:dyDescent="0.3">
      <c r="A2310">
        <v>115450</v>
      </c>
      <c r="B2310" t="s">
        <v>47930</v>
      </c>
      <c r="C2310" t="s">
        <v>47931</v>
      </c>
      <c r="D2310" t="s">
        <v>47932</v>
      </c>
      <c r="E2310" t="s">
        <v>47933</v>
      </c>
      <c r="F2310" t="s">
        <v>47934</v>
      </c>
      <c r="G2310" t="s">
        <v>47935</v>
      </c>
      <c r="H2310" t="s">
        <v>47936</v>
      </c>
      <c r="I2310" t="s">
        <v>47937</v>
      </c>
      <c r="J2310" t="s">
        <v>47938</v>
      </c>
      <c r="K2310" t="s">
        <v>47939</v>
      </c>
      <c r="L2310" t="s">
        <v>47940</v>
      </c>
      <c r="M2310" t="s">
        <v>47941</v>
      </c>
      <c r="N2310" t="s">
        <v>47942</v>
      </c>
      <c r="O2310">
        <f>-755.321720825872 -76.4535696632581 -714.560689913724</f>
        <v>-1546.3359804028541</v>
      </c>
      <c r="P2310">
        <f>-709.957941317047 -60.8048629893249 -401.69740878517</f>
        <v>-1172.4602130915418</v>
      </c>
      <c r="Q2310">
        <f>-457.979833281633 -8.03533092616522 -364.758686899233</f>
        <v>-830.77385110703119</v>
      </c>
      <c r="R2310" t="s">
        <v>47943</v>
      </c>
      <c r="S2310" t="s">
        <v>47944</v>
      </c>
      <c r="T2310" t="s">
        <v>47945</v>
      </c>
      <c r="U2310" t="s">
        <v>47946</v>
      </c>
      <c r="V2310" t="s">
        <v>47947</v>
      </c>
      <c r="W2310" t="s">
        <v>47948</v>
      </c>
      <c r="X2310" t="s">
        <v>47949</v>
      </c>
      <c r="Y2310" t="s">
        <v>47950</v>
      </c>
    </row>
    <row r="2311" spans="1:25" x14ac:dyDescent="0.3">
      <c r="A2311">
        <v>115500</v>
      </c>
      <c r="B2311" t="s">
        <v>47951</v>
      </c>
      <c r="C2311" t="s">
        <v>47952</v>
      </c>
      <c r="D2311" t="s">
        <v>47953</v>
      </c>
      <c r="E2311" t="s">
        <v>47954</v>
      </c>
      <c r="F2311" t="s">
        <v>47955</v>
      </c>
      <c r="G2311" t="s">
        <v>47956</v>
      </c>
      <c r="H2311" t="s">
        <v>47957</v>
      </c>
      <c r="I2311" t="s">
        <v>47958</v>
      </c>
      <c r="J2311" t="s">
        <v>47959</v>
      </c>
      <c r="K2311" t="s">
        <v>47960</v>
      </c>
      <c r="L2311" t="s">
        <v>47961</v>
      </c>
      <c r="M2311" t="s">
        <v>47962</v>
      </c>
      <c r="N2311" t="s">
        <v>47963</v>
      </c>
      <c r="O2311">
        <f>-755.796211480817 -76.1832355292843 -714.769902485894</f>
        <v>-1546.7493494959954</v>
      </c>
      <c r="P2311">
        <f>-710.390436966228 -60.7538908456875 -401.901756207535</f>
        <v>-1173.0460840194505</v>
      </c>
      <c r="Q2311">
        <f>-458.472993604321 -7.65720359966417 -365.018262315513</f>
        <v>-831.14845951949815</v>
      </c>
      <c r="R2311" t="s">
        <v>47964</v>
      </c>
      <c r="S2311" t="s">
        <v>47965</v>
      </c>
      <c r="T2311" t="s">
        <v>47966</v>
      </c>
      <c r="U2311" t="s">
        <v>47967</v>
      </c>
      <c r="V2311" t="s">
        <v>47968</v>
      </c>
      <c r="W2311" t="s">
        <v>47969</v>
      </c>
      <c r="X2311" t="s">
        <v>47970</v>
      </c>
      <c r="Y2311" t="s">
        <v>47971</v>
      </c>
    </row>
    <row r="2312" spans="1:25" x14ac:dyDescent="0.3">
      <c r="A2312">
        <v>115550</v>
      </c>
      <c r="B2312" t="s">
        <v>47972</v>
      </c>
      <c r="C2312" t="s">
        <v>47973</v>
      </c>
      <c r="D2312" t="s">
        <v>47974</v>
      </c>
      <c r="E2312" t="s">
        <v>47975</v>
      </c>
      <c r="F2312" t="s">
        <v>47976</v>
      </c>
      <c r="G2312" t="s">
        <v>47977</v>
      </c>
      <c r="H2312" t="s">
        <v>47978</v>
      </c>
      <c r="I2312" t="s">
        <v>47979</v>
      </c>
      <c r="J2312" t="s">
        <v>47980</v>
      </c>
      <c r="K2312" t="s">
        <v>47981</v>
      </c>
      <c r="L2312" t="s">
        <v>47982</v>
      </c>
      <c r="M2312" t="s">
        <v>47983</v>
      </c>
      <c r="N2312" t="s">
        <v>47984</v>
      </c>
      <c r="O2312">
        <f>-756.196706041883 -75.712066709136 -715.220336039801</f>
        <v>-1547.1291087908201</v>
      </c>
      <c r="P2312">
        <f>-710.749739878068 -60.6732415757112 -402.339086228491</f>
        <v>-1173.7620676822703</v>
      </c>
      <c r="Q2312">
        <f>-458.918540955677 -7.14622485881932 -365.487764627838</f>
        <v>-831.55253044233427</v>
      </c>
      <c r="R2312" t="s">
        <v>47985</v>
      </c>
      <c r="S2312" t="s">
        <v>47986</v>
      </c>
      <c r="T2312" t="s">
        <v>47987</v>
      </c>
      <c r="U2312" t="s">
        <v>47988</v>
      </c>
      <c r="V2312" t="s">
        <v>47989</v>
      </c>
      <c r="W2312" t="s">
        <v>47990</v>
      </c>
      <c r="X2312" t="s">
        <v>47991</v>
      </c>
      <c r="Y2312" t="s">
        <v>47992</v>
      </c>
    </row>
    <row r="2313" spans="1:25" x14ac:dyDescent="0.3">
      <c r="A2313">
        <v>115600</v>
      </c>
      <c r="B2313" t="s">
        <v>47993</v>
      </c>
      <c r="C2313" t="s">
        <v>47994</v>
      </c>
      <c r="D2313" t="s">
        <v>47995</v>
      </c>
      <c r="E2313" t="s">
        <v>47996</v>
      </c>
      <c r="F2313" t="s">
        <v>47997</v>
      </c>
      <c r="G2313" t="s">
        <v>47998</v>
      </c>
      <c r="H2313" t="s">
        <v>47999</v>
      </c>
      <c r="I2313" t="s">
        <v>48000</v>
      </c>
      <c r="J2313" t="s">
        <v>48001</v>
      </c>
      <c r="K2313" t="s">
        <v>48002</v>
      </c>
      <c r="L2313" t="s">
        <v>48003</v>
      </c>
      <c r="M2313" t="s">
        <v>48004</v>
      </c>
      <c r="N2313" t="s">
        <v>48005</v>
      </c>
      <c r="O2313">
        <f>-756.511271863913 -75.5231129017754 -715.381345297329</f>
        <v>-1547.4157300630172</v>
      </c>
      <c r="P2313">
        <f>-711.064070461294 -60.5526199517217 -402.496969392592</f>
        <v>-1174.1136598056078</v>
      </c>
      <c r="Q2313">
        <f>-459.280763475681 -6.80992696081012 -365.632989368483</f>
        <v>-831.72367980497415</v>
      </c>
      <c r="R2313" t="s">
        <v>48006</v>
      </c>
      <c r="S2313" t="s">
        <v>48007</v>
      </c>
      <c r="T2313" t="s">
        <v>48008</v>
      </c>
      <c r="U2313" t="s">
        <v>48009</v>
      </c>
      <c r="V2313" t="s">
        <v>48010</v>
      </c>
      <c r="W2313" t="s">
        <v>48011</v>
      </c>
      <c r="X2313" t="s">
        <v>48012</v>
      </c>
      <c r="Y2313" t="s">
        <v>48013</v>
      </c>
    </row>
    <row r="2314" spans="1:25" x14ac:dyDescent="0.3">
      <c r="A2314">
        <v>115650</v>
      </c>
      <c r="B2314" t="s">
        <v>48014</v>
      </c>
      <c r="C2314" t="s">
        <v>48015</v>
      </c>
      <c r="D2314" t="s">
        <v>48016</v>
      </c>
      <c r="E2314" t="s">
        <v>48017</v>
      </c>
      <c r="F2314" t="s">
        <v>48018</v>
      </c>
      <c r="G2314" t="s">
        <v>48019</v>
      </c>
      <c r="H2314" t="s">
        <v>48020</v>
      </c>
      <c r="I2314" t="s">
        <v>48021</v>
      </c>
      <c r="J2314" t="s">
        <v>48022</v>
      </c>
      <c r="K2314" t="s">
        <v>48023</v>
      </c>
      <c r="L2314" t="s">
        <v>48024</v>
      </c>
      <c r="M2314" t="s">
        <v>48025</v>
      </c>
      <c r="N2314" t="s">
        <v>48026</v>
      </c>
      <c r="O2314">
        <f>-756.523749893661 -75.5218483309154 -715.638375856891</f>
        <v>-1547.6839740814676</v>
      </c>
      <c r="P2314">
        <f>-711.14267430048 -60.9974135772677 -402.723328182104</f>
        <v>-1174.8634160598517</v>
      </c>
      <c r="Q2314">
        <f>-459.422324648699 -6.95569289104765 -365.866158734666</f>
        <v>-832.24417627441267</v>
      </c>
      <c r="R2314" t="s">
        <v>48027</v>
      </c>
      <c r="S2314" t="s">
        <v>48028</v>
      </c>
      <c r="T2314" t="s">
        <v>48029</v>
      </c>
      <c r="U2314" t="s">
        <v>48030</v>
      </c>
      <c r="V2314" t="s">
        <v>48031</v>
      </c>
      <c r="W2314" t="s">
        <v>48032</v>
      </c>
      <c r="X2314" t="s">
        <v>48033</v>
      </c>
      <c r="Y2314" t="s">
        <v>48034</v>
      </c>
    </row>
    <row r="2315" spans="1:25" x14ac:dyDescent="0.3">
      <c r="A2315">
        <v>115700</v>
      </c>
      <c r="B2315" t="s">
        <v>48035</v>
      </c>
      <c r="C2315" t="s">
        <v>48036</v>
      </c>
      <c r="D2315" t="s">
        <v>48037</v>
      </c>
      <c r="E2315" t="s">
        <v>48038</v>
      </c>
      <c r="F2315" t="s">
        <v>48039</v>
      </c>
      <c r="G2315" t="s">
        <v>48040</v>
      </c>
      <c r="H2315" t="s">
        <v>48041</v>
      </c>
      <c r="I2315" t="s">
        <v>48042</v>
      </c>
      <c r="J2315" t="s">
        <v>48043</v>
      </c>
      <c r="K2315" t="s">
        <v>48044</v>
      </c>
      <c r="L2315" t="s">
        <v>48045</v>
      </c>
      <c r="M2315" t="s">
        <v>48046</v>
      </c>
      <c r="N2315" t="s">
        <v>48047</v>
      </c>
      <c r="O2315">
        <f>-756.310301860832 -75.5546750971018 -715.78358632067</f>
        <v>-1547.6485632786039</v>
      </c>
      <c r="P2315">
        <f>-711.208175861533 -61.0377584958071 -402.827818268924</f>
        <v>-1175.0737526262642</v>
      </c>
      <c r="Q2315">
        <f>-459.545144156026 -6.81151936256856 -365.851580239592</f>
        <v>-832.20824375818665</v>
      </c>
      <c r="R2315" t="s">
        <v>48048</v>
      </c>
      <c r="S2315" t="s">
        <v>48049</v>
      </c>
      <c r="T2315" t="s">
        <v>48050</v>
      </c>
      <c r="U2315" t="s">
        <v>48051</v>
      </c>
      <c r="V2315" t="s">
        <v>48052</v>
      </c>
      <c r="W2315" t="s">
        <v>48053</v>
      </c>
      <c r="X2315" t="s">
        <v>48054</v>
      </c>
      <c r="Y2315" t="s">
        <v>48055</v>
      </c>
    </row>
    <row r="2316" spans="1:25" x14ac:dyDescent="0.3">
      <c r="A2316">
        <v>115750</v>
      </c>
      <c r="B2316" t="s">
        <v>48056</v>
      </c>
      <c r="C2316" t="s">
        <v>48057</v>
      </c>
      <c r="D2316" t="s">
        <v>48058</v>
      </c>
      <c r="E2316" t="s">
        <v>48059</v>
      </c>
      <c r="F2316" t="s">
        <v>48060</v>
      </c>
      <c r="G2316" t="s">
        <v>48061</v>
      </c>
      <c r="H2316" t="s">
        <v>48062</v>
      </c>
      <c r="I2316" t="s">
        <v>48063</v>
      </c>
      <c r="J2316" t="s">
        <v>48064</v>
      </c>
      <c r="K2316" t="s">
        <v>48065</v>
      </c>
      <c r="L2316" t="s">
        <v>48066</v>
      </c>
      <c r="M2316" t="s">
        <v>48067</v>
      </c>
      <c r="N2316" t="s">
        <v>48068</v>
      </c>
      <c r="O2316">
        <f>-756.051466414087 -75.5039733161507 -716.053992102446</f>
        <v>-1547.6094318326836</v>
      </c>
      <c r="P2316">
        <f>-711.417715005823 -61.1176335706948 -403.025154864825</f>
        <v>-1175.5605034413429</v>
      </c>
      <c r="Q2316">
        <f>-459.865637913502 -6.70207294414331 -365.574499034499</f>
        <v>-832.14220989214436</v>
      </c>
      <c r="R2316" t="s">
        <v>48069</v>
      </c>
      <c r="S2316" t="s">
        <v>48070</v>
      </c>
      <c r="T2316" t="s">
        <v>48071</v>
      </c>
      <c r="U2316" t="s">
        <v>48072</v>
      </c>
      <c r="V2316" t="s">
        <v>48073</v>
      </c>
      <c r="W2316" t="s">
        <v>48074</v>
      </c>
      <c r="X2316" t="s">
        <v>48075</v>
      </c>
      <c r="Y2316" t="s">
        <v>48076</v>
      </c>
    </row>
    <row r="2317" spans="1:25" x14ac:dyDescent="0.3">
      <c r="A2317">
        <v>115800</v>
      </c>
      <c r="B2317" t="s">
        <v>48077</v>
      </c>
      <c r="C2317" t="s">
        <v>48078</v>
      </c>
      <c r="D2317" t="s">
        <v>48079</v>
      </c>
      <c r="E2317" t="s">
        <v>48080</v>
      </c>
      <c r="F2317" t="s">
        <v>48081</v>
      </c>
      <c r="G2317" t="s">
        <v>48082</v>
      </c>
      <c r="H2317" t="s">
        <v>48083</v>
      </c>
      <c r="I2317" t="s">
        <v>48084</v>
      </c>
      <c r="J2317" t="s">
        <v>48085</v>
      </c>
      <c r="K2317" t="s">
        <v>48086</v>
      </c>
      <c r="L2317" t="s">
        <v>48087</v>
      </c>
      <c r="M2317" t="s">
        <v>48088</v>
      </c>
      <c r="N2317" t="s">
        <v>48089</v>
      </c>
      <c r="O2317">
        <f>-756.050688501302 -75.5340369725973 -716.145287777149</f>
        <v>-1547.7300132510481</v>
      </c>
      <c r="P2317">
        <f>-711.583851267173 -61.2707803495418 -403.087086979309</f>
        <v>-1175.9417185960237</v>
      </c>
      <c r="Q2317">
        <f>-460.064015544459 -6.83765745855271 -365.446108130561</f>
        <v>-832.34778113357265</v>
      </c>
      <c r="R2317" t="s">
        <v>48090</v>
      </c>
      <c r="S2317" t="s">
        <v>48091</v>
      </c>
      <c r="T2317" t="s">
        <v>48092</v>
      </c>
      <c r="U2317" t="s">
        <v>48093</v>
      </c>
      <c r="V2317" t="s">
        <v>48094</v>
      </c>
      <c r="W2317" t="s">
        <v>48095</v>
      </c>
      <c r="X2317" t="s">
        <v>48096</v>
      </c>
      <c r="Y2317" t="s">
        <v>48097</v>
      </c>
    </row>
    <row r="2318" spans="1:25" x14ac:dyDescent="0.3">
      <c r="A2318">
        <v>115850</v>
      </c>
      <c r="B2318" t="s">
        <v>48098</v>
      </c>
      <c r="C2318" t="s">
        <v>48099</v>
      </c>
      <c r="D2318" t="s">
        <v>48100</v>
      </c>
      <c r="E2318" t="s">
        <v>48101</v>
      </c>
      <c r="F2318" t="s">
        <v>48102</v>
      </c>
      <c r="G2318" t="s">
        <v>48103</v>
      </c>
      <c r="H2318" t="s">
        <v>48104</v>
      </c>
      <c r="I2318" t="s">
        <v>48105</v>
      </c>
      <c r="J2318" t="s">
        <v>48106</v>
      </c>
      <c r="K2318" t="s">
        <v>48107</v>
      </c>
      <c r="L2318" t="s">
        <v>48108</v>
      </c>
      <c r="M2318" t="s">
        <v>48109</v>
      </c>
      <c r="N2318" t="s">
        <v>48110</v>
      </c>
      <c r="O2318">
        <f>-756.180621342338 -75.59503859438 -716.323751967461</f>
        <v>-1548.0994119041789</v>
      </c>
      <c r="P2318">
        <f>-711.93783041163 -61.6898531786369 -403.21770275164</f>
        <v>-1176.8453863419068</v>
      </c>
      <c r="Q2318">
        <f>-460.414610904565 -7.43136176366147 -365.348254393302</f>
        <v>-833.19422706152841</v>
      </c>
      <c r="R2318" t="s">
        <v>48111</v>
      </c>
      <c r="S2318" t="s">
        <v>48112</v>
      </c>
      <c r="T2318" t="s">
        <v>48113</v>
      </c>
      <c r="U2318" t="s">
        <v>48114</v>
      </c>
      <c r="V2318" t="s">
        <v>48115</v>
      </c>
      <c r="W2318" t="s">
        <v>48116</v>
      </c>
      <c r="X2318" t="s">
        <v>48117</v>
      </c>
      <c r="Y2318" t="s">
        <v>48118</v>
      </c>
    </row>
    <row r="2319" spans="1:25" x14ac:dyDescent="0.3">
      <c r="A2319">
        <v>115900</v>
      </c>
      <c r="B2319" t="s">
        <v>48119</v>
      </c>
      <c r="C2319" t="s">
        <v>48120</v>
      </c>
      <c r="D2319" t="s">
        <v>48121</v>
      </c>
      <c r="E2319" t="s">
        <v>48122</v>
      </c>
      <c r="F2319" t="s">
        <v>48123</v>
      </c>
      <c r="G2319" t="s">
        <v>48124</v>
      </c>
      <c r="H2319" t="s">
        <v>48125</v>
      </c>
      <c r="I2319" t="s">
        <v>48126</v>
      </c>
      <c r="J2319" t="s">
        <v>48127</v>
      </c>
      <c r="K2319" t="s">
        <v>48128</v>
      </c>
      <c r="L2319" t="s">
        <v>48129</v>
      </c>
      <c r="M2319" t="s">
        <v>48130</v>
      </c>
      <c r="N2319" t="s">
        <v>48131</v>
      </c>
      <c r="O2319">
        <f>-756.216237587781 -75.6686888184722 -716.447044801457</f>
        <v>-1548.3319712077102</v>
      </c>
      <c r="P2319">
        <f>-712.118961212318 -61.9940391210346 -403.310367532016</f>
        <v>-1177.4233678653686</v>
      </c>
      <c r="Q2319">
        <f>-460.58274804242 -7.90755021274049 -365.280904541532</f>
        <v>-833.77120279669248</v>
      </c>
      <c r="R2319" t="s">
        <v>48132</v>
      </c>
      <c r="S2319" t="s">
        <v>48133</v>
      </c>
      <c r="T2319" t="s">
        <v>48134</v>
      </c>
      <c r="U2319" t="s">
        <v>48135</v>
      </c>
      <c r="V2319" t="s">
        <v>48136</v>
      </c>
      <c r="W2319" t="s">
        <v>48137</v>
      </c>
      <c r="X2319" t="s">
        <v>48138</v>
      </c>
      <c r="Y2319" t="s">
        <v>48139</v>
      </c>
    </row>
    <row r="2320" spans="1:25" x14ac:dyDescent="0.3">
      <c r="A2320">
        <v>115950</v>
      </c>
      <c r="B2320" t="s">
        <v>48140</v>
      </c>
      <c r="C2320" t="s">
        <v>48141</v>
      </c>
      <c r="D2320" t="s">
        <v>48142</v>
      </c>
      <c r="E2320" t="s">
        <v>48143</v>
      </c>
      <c r="F2320" t="s">
        <v>48144</v>
      </c>
      <c r="G2320" t="s">
        <v>48145</v>
      </c>
      <c r="H2320" t="s">
        <v>48146</v>
      </c>
      <c r="I2320" t="s">
        <v>48147</v>
      </c>
      <c r="J2320" t="s">
        <v>48148</v>
      </c>
      <c r="K2320" t="s">
        <v>48149</v>
      </c>
      <c r="L2320" t="s">
        <v>48150</v>
      </c>
      <c r="M2320" t="s">
        <v>48151</v>
      </c>
      <c r="N2320" t="s">
        <v>48152</v>
      </c>
      <c r="O2320">
        <f>-756.318809470759 -75.9024447207141 -716.837653121565</f>
        <v>-1549.0589073130382</v>
      </c>
      <c r="P2320">
        <f>-712.312078634941 -62.4693092745542 -403.677620875258</f>
        <v>-1178.4590087847532</v>
      </c>
      <c r="Q2320">
        <f>-460.742863955358 -8.75530891862786 -365.340263026803</f>
        <v>-834.83843590078891</v>
      </c>
      <c r="R2320" t="s">
        <v>48153</v>
      </c>
      <c r="S2320" t="s">
        <v>48154</v>
      </c>
      <c r="T2320" t="s">
        <v>48155</v>
      </c>
      <c r="U2320" t="s">
        <v>48156</v>
      </c>
      <c r="V2320" t="s">
        <v>48157</v>
      </c>
      <c r="W2320" t="s">
        <v>48158</v>
      </c>
      <c r="X2320" t="s">
        <v>48159</v>
      </c>
      <c r="Y2320" t="s">
        <v>48160</v>
      </c>
    </row>
    <row r="2321" spans="1:25" x14ac:dyDescent="0.3">
      <c r="A2321">
        <v>116000</v>
      </c>
      <c r="B2321" t="s">
        <v>48161</v>
      </c>
      <c r="C2321" t="s">
        <v>48162</v>
      </c>
      <c r="D2321" t="s">
        <v>48163</v>
      </c>
      <c r="E2321" t="s">
        <v>48164</v>
      </c>
      <c r="F2321" t="s">
        <v>48165</v>
      </c>
      <c r="G2321" t="s">
        <v>48166</v>
      </c>
      <c r="H2321" t="s">
        <v>48167</v>
      </c>
      <c r="I2321" t="s">
        <v>48168</v>
      </c>
      <c r="J2321" t="s">
        <v>48169</v>
      </c>
      <c r="K2321" t="s">
        <v>48170</v>
      </c>
      <c r="L2321" t="s">
        <v>48171</v>
      </c>
      <c r="M2321" t="s">
        <v>48172</v>
      </c>
      <c r="N2321" t="s">
        <v>48173</v>
      </c>
      <c r="O2321">
        <f>-756.380382796806 -75.8419861828284 -717.118116369944</f>
        <v>-1549.3404853495786</v>
      </c>
      <c r="P2321">
        <f>-712.431840417298 -62.5157282028122 -403.945255622363</f>
        <v>-1178.8928242424731</v>
      </c>
      <c r="Q2321">
        <f>-460.832111747393 -8.99686512580979 -365.535045740925</f>
        <v>-835.36402261412786</v>
      </c>
      <c r="R2321" t="s">
        <v>48174</v>
      </c>
      <c r="S2321" t="s">
        <v>48175</v>
      </c>
      <c r="T2321" t="s">
        <v>48176</v>
      </c>
      <c r="U2321" t="s">
        <v>48177</v>
      </c>
      <c r="V2321" t="s">
        <v>48178</v>
      </c>
      <c r="W2321" t="s">
        <v>48179</v>
      </c>
      <c r="X2321" t="s">
        <v>48180</v>
      </c>
      <c r="Y2321" t="s">
        <v>48181</v>
      </c>
    </row>
    <row r="2322" spans="1:25" x14ac:dyDescent="0.3">
      <c r="A2322">
        <v>116050</v>
      </c>
      <c r="B2322" t="s">
        <v>48182</v>
      </c>
      <c r="C2322" t="s">
        <v>48183</v>
      </c>
      <c r="D2322" t="s">
        <v>48184</v>
      </c>
      <c r="E2322" t="s">
        <v>48185</v>
      </c>
      <c r="F2322" t="s">
        <v>48186</v>
      </c>
      <c r="G2322" t="s">
        <v>48187</v>
      </c>
      <c r="H2322" t="s">
        <v>48188</v>
      </c>
      <c r="I2322" t="s">
        <v>48189</v>
      </c>
      <c r="J2322" t="s">
        <v>48190</v>
      </c>
      <c r="K2322" t="s">
        <v>48191</v>
      </c>
      <c r="L2322" t="s">
        <v>48192</v>
      </c>
      <c r="M2322" t="s">
        <v>48193</v>
      </c>
      <c r="N2322" t="s">
        <v>48194</v>
      </c>
      <c r="O2322">
        <f>-756.603996735651 -75.8535277938099 -717.715428631022</f>
        <v>-1550.1729531604828</v>
      </c>
      <c r="P2322">
        <f>-712.603168704216 -63.0395780052822 -404.52858940925</f>
        <v>-1180.1713361187483</v>
      </c>
      <c r="Q2322">
        <f>-460.887800311564 -9.9836533729715 -366.233300076554</f>
        <v>-837.10475376108946</v>
      </c>
      <c r="R2322" t="s">
        <v>48195</v>
      </c>
      <c r="S2322" t="s">
        <v>48196</v>
      </c>
      <c r="T2322" t="s">
        <v>48197</v>
      </c>
      <c r="U2322" t="s">
        <v>48198</v>
      </c>
      <c r="V2322" t="s">
        <v>48199</v>
      </c>
      <c r="W2322" t="s">
        <v>48200</v>
      </c>
      <c r="X2322" t="s">
        <v>48201</v>
      </c>
      <c r="Y2322" t="s">
        <v>48202</v>
      </c>
    </row>
    <row r="2323" spans="1:25" x14ac:dyDescent="0.3">
      <c r="A2323">
        <v>116100</v>
      </c>
      <c r="B2323" t="s">
        <v>48203</v>
      </c>
      <c r="C2323" t="s">
        <v>48204</v>
      </c>
      <c r="D2323" t="s">
        <v>48205</v>
      </c>
      <c r="E2323" t="s">
        <v>48206</v>
      </c>
      <c r="F2323" t="s">
        <v>48207</v>
      </c>
      <c r="G2323" t="s">
        <v>48208</v>
      </c>
      <c r="H2323" t="s">
        <v>48209</v>
      </c>
      <c r="I2323" t="s">
        <v>48210</v>
      </c>
      <c r="J2323" t="s">
        <v>48211</v>
      </c>
      <c r="K2323" t="s">
        <v>48212</v>
      </c>
      <c r="L2323" t="s">
        <v>48213</v>
      </c>
      <c r="M2323" t="s">
        <v>48214</v>
      </c>
      <c r="N2323" t="s">
        <v>48215</v>
      </c>
      <c r="O2323">
        <f>-756.827675812623 -75.826344594017 -717.962657504444</f>
        <v>-1550.616677911084</v>
      </c>
      <c r="P2323">
        <f>-712.663041917143 -63.2306083464964 -404.79014364375</f>
        <v>-1180.6837939073894</v>
      </c>
      <c r="Q2323">
        <f>-460.868957730562 -10.403471439063 -366.696306520647</f>
        <v>-837.96873569027207</v>
      </c>
      <c r="R2323" t="s">
        <v>48216</v>
      </c>
      <c r="S2323" t="s">
        <v>48217</v>
      </c>
      <c r="T2323" t="s">
        <v>48218</v>
      </c>
      <c r="U2323" t="s">
        <v>48219</v>
      </c>
      <c r="V2323" t="s">
        <v>48220</v>
      </c>
      <c r="W2323" t="s">
        <v>48221</v>
      </c>
      <c r="X2323" t="s">
        <v>48222</v>
      </c>
      <c r="Y2323" t="s">
        <v>48223</v>
      </c>
    </row>
    <row r="2324" spans="1:25" x14ac:dyDescent="0.3">
      <c r="A2324">
        <v>116150</v>
      </c>
      <c r="B2324" t="s">
        <v>48224</v>
      </c>
      <c r="C2324" t="s">
        <v>48225</v>
      </c>
      <c r="D2324" t="s">
        <v>48226</v>
      </c>
      <c r="E2324" t="s">
        <v>48227</v>
      </c>
      <c r="F2324" t="s">
        <v>48228</v>
      </c>
      <c r="G2324" t="s">
        <v>48229</v>
      </c>
      <c r="H2324" t="s">
        <v>48230</v>
      </c>
      <c r="I2324" t="s">
        <v>48231</v>
      </c>
      <c r="J2324" t="s">
        <v>48232</v>
      </c>
      <c r="K2324" t="s">
        <v>48233</v>
      </c>
      <c r="L2324" t="s">
        <v>48234</v>
      </c>
      <c r="M2324" t="s">
        <v>48235</v>
      </c>
      <c r="N2324" t="s">
        <v>48236</v>
      </c>
      <c r="O2324">
        <f>-757.087712294229 -75.7694417467687 -718.391513590168</f>
        <v>-1551.2486676311657</v>
      </c>
      <c r="P2324">
        <f>-712.644242617957 -63.9239070543772 -405.229122585099</f>
        <v>-1181.7972722574332</v>
      </c>
      <c r="Q2324">
        <f>-460.6856721981 -11.4885929367504 -367.686658946193</f>
        <v>-839.86092408104344</v>
      </c>
      <c r="R2324" t="s">
        <v>48237</v>
      </c>
      <c r="S2324" t="s">
        <v>48238</v>
      </c>
      <c r="T2324" t="s">
        <v>48239</v>
      </c>
      <c r="U2324" t="s">
        <v>48240</v>
      </c>
      <c r="V2324" t="s">
        <v>48241</v>
      </c>
      <c r="W2324" t="s">
        <v>48242</v>
      </c>
      <c r="X2324" t="s">
        <v>48243</v>
      </c>
      <c r="Y2324" t="s">
        <v>48244</v>
      </c>
    </row>
    <row r="2325" spans="1:25" x14ac:dyDescent="0.3">
      <c r="A2325">
        <v>116200</v>
      </c>
      <c r="B2325" t="s">
        <v>48245</v>
      </c>
      <c r="C2325" t="s">
        <v>48246</v>
      </c>
      <c r="D2325" t="s">
        <v>48247</v>
      </c>
      <c r="E2325" t="s">
        <v>48248</v>
      </c>
      <c r="F2325" t="s">
        <v>48249</v>
      </c>
      <c r="G2325" t="s">
        <v>48250</v>
      </c>
      <c r="H2325" t="s">
        <v>48251</v>
      </c>
      <c r="I2325" t="s">
        <v>48252</v>
      </c>
      <c r="J2325" t="s">
        <v>48253</v>
      </c>
      <c r="K2325" t="s">
        <v>48254</v>
      </c>
      <c r="L2325" t="s">
        <v>48255</v>
      </c>
      <c r="M2325" t="s">
        <v>48256</v>
      </c>
      <c r="N2325" t="s">
        <v>48257</v>
      </c>
      <c r="O2325">
        <f>-757.144478848983 -75.8885210382268 -718.483146153395</f>
        <v>-1551.5161460406048</v>
      </c>
      <c r="P2325">
        <f>-712.651164160905 -64.2117351873605 -405.321554035213</f>
        <v>-1182.1844533834785</v>
      </c>
      <c r="Q2325">
        <f>-460.632719171905 -11.8420043156805 -368.089921674147</f>
        <v>-840.56464516173253</v>
      </c>
      <c r="R2325" t="s">
        <v>48258</v>
      </c>
      <c r="S2325" t="s">
        <v>48259</v>
      </c>
      <c r="T2325" t="s">
        <v>48260</v>
      </c>
      <c r="U2325" t="s">
        <v>48261</v>
      </c>
      <c r="V2325" t="s">
        <v>48262</v>
      </c>
      <c r="W2325" t="s">
        <v>48263</v>
      </c>
      <c r="X2325" t="s">
        <v>48264</v>
      </c>
      <c r="Y2325" t="s">
        <v>48265</v>
      </c>
    </row>
    <row r="2326" spans="1:25" x14ac:dyDescent="0.3">
      <c r="A2326">
        <v>116250</v>
      </c>
      <c r="B2326" t="s">
        <v>48266</v>
      </c>
      <c r="C2326" t="s">
        <v>48267</v>
      </c>
      <c r="D2326" t="s">
        <v>48268</v>
      </c>
      <c r="E2326" t="s">
        <v>48269</v>
      </c>
      <c r="F2326" t="s">
        <v>48270</v>
      </c>
      <c r="G2326" t="s">
        <v>48271</v>
      </c>
      <c r="H2326" t="s">
        <v>48272</v>
      </c>
      <c r="I2326" t="s">
        <v>48273</v>
      </c>
      <c r="J2326" t="s">
        <v>48274</v>
      </c>
      <c r="K2326" t="s">
        <v>48275</v>
      </c>
      <c r="L2326" t="s">
        <v>48276</v>
      </c>
      <c r="M2326" t="s">
        <v>48277</v>
      </c>
      <c r="N2326" t="s">
        <v>48278</v>
      </c>
      <c r="O2326">
        <f>-757.338096440753 -75.7535647858886 -718.579863805013</f>
        <v>-1551.6715250316547</v>
      </c>
      <c r="P2326">
        <f>-712.561173987591 -64.3612335376199 -405.448239516834</f>
        <v>-1182.370647042045</v>
      </c>
      <c r="Q2326">
        <f>-460.528472435667 -11.9526409658167 -368.368336840742</f>
        <v>-840.84945024222577</v>
      </c>
      <c r="R2326" t="s">
        <v>48279</v>
      </c>
      <c r="S2326" t="s">
        <v>48280</v>
      </c>
      <c r="T2326" t="s">
        <v>48281</v>
      </c>
      <c r="U2326" t="s">
        <v>48282</v>
      </c>
      <c r="V2326" t="s">
        <v>48283</v>
      </c>
      <c r="W2326" t="s">
        <v>48284</v>
      </c>
      <c r="X2326" t="s">
        <v>48285</v>
      </c>
      <c r="Y2326" t="s">
        <v>48286</v>
      </c>
    </row>
    <row r="2327" spans="1:25" x14ac:dyDescent="0.3">
      <c r="A2327">
        <v>116300</v>
      </c>
      <c r="B2327" t="s">
        <v>48287</v>
      </c>
      <c r="C2327" t="s">
        <v>48288</v>
      </c>
      <c r="D2327" t="s">
        <v>48289</v>
      </c>
      <c r="E2327" t="s">
        <v>48290</v>
      </c>
      <c r="F2327" t="s">
        <v>48291</v>
      </c>
      <c r="G2327" t="s">
        <v>48292</v>
      </c>
      <c r="H2327" t="s">
        <v>48293</v>
      </c>
      <c r="I2327" t="s">
        <v>48294</v>
      </c>
      <c r="J2327" t="s">
        <v>48295</v>
      </c>
      <c r="K2327" t="s">
        <v>48296</v>
      </c>
      <c r="L2327" t="s">
        <v>48297</v>
      </c>
      <c r="M2327" t="s">
        <v>48298</v>
      </c>
      <c r="N2327" t="s">
        <v>48299</v>
      </c>
      <c r="O2327">
        <f>-757.325948172278 -76.0138628607924 -718.458472650167</f>
        <v>-1551.7982836832375</v>
      </c>
      <c r="P2327">
        <f>-712.524016583537 -64.4404481795204 -405.336907954465</f>
        <v>-1182.3013727175226</v>
      </c>
      <c r="Q2327">
        <f>-460.525862388754 -11.835895815876 -368.300168614413</f>
        <v>-840.66192681904295</v>
      </c>
      <c r="R2327" t="s">
        <v>48300</v>
      </c>
      <c r="S2327" t="s">
        <v>48301</v>
      </c>
      <c r="T2327" t="s">
        <v>48302</v>
      </c>
      <c r="U2327" t="s">
        <v>48303</v>
      </c>
      <c r="V2327" t="s">
        <v>48304</v>
      </c>
      <c r="W2327" t="s">
        <v>48305</v>
      </c>
      <c r="X2327" t="s">
        <v>48306</v>
      </c>
      <c r="Y2327" t="s">
        <v>48307</v>
      </c>
    </row>
    <row r="2328" spans="1:25" x14ac:dyDescent="0.3">
      <c r="A2328">
        <v>116350</v>
      </c>
      <c r="B2328" t="s">
        <v>48308</v>
      </c>
      <c r="C2328" t="s">
        <v>48309</v>
      </c>
      <c r="D2328" t="s">
        <v>48310</v>
      </c>
      <c r="E2328" t="s">
        <v>48311</v>
      </c>
      <c r="F2328" t="s">
        <v>48312</v>
      </c>
      <c r="G2328" t="s">
        <v>48313</v>
      </c>
      <c r="H2328" t="s">
        <v>48314</v>
      </c>
      <c r="I2328" t="s">
        <v>48315</v>
      </c>
      <c r="J2328" t="s">
        <v>48316</v>
      </c>
      <c r="K2328" t="s">
        <v>48317</v>
      </c>
      <c r="L2328" t="s">
        <v>48318</v>
      </c>
      <c r="M2328" t="s">
        <v>48319</v>
      </c>
      <c r="N2328" t="s">
        <v>48320</v>
      </c>
      <c r="O2328">
        <f>-757.600965280954 -76.6032862147597 -718.127310312735</f>
        <v>-1552.3315618084487</v>
      </c>
      <c r="P2328">
        <f>-712.640194740652 -64.1849613696838 -405.061001080613</f>
        <v>-1181.8861571909488</v>
      </c>
      <c r="Q2328">
        <f>-460.720735241773 -11.2134947179475 -368.010920154636</f>
        <v>-839.94515011435647</v>
      </c>
      <c r="R2328" t="s">
        <v>48321</v>
      </c>
      <c r="S2328" t="s">
        <v>48322</v>
      </c>
      <c r="T2328" t="s">
        <v>48323</v>
      </c>
      <c r="U2328" t="s">
        <v>48324</v>
      </c>
      <c r="V2328" t="s">
        <v>48325</v>
      </c>
      <c r="W2328" t="s">
        <v>48326</v>
      </c>
      <c r="X2328" t="s">
        <v>48327</v>
      </c>
      <c r="Y2328" t="s">
        <v>48328</v>
      </c>
    </row>
    <row r="2329" spans="1:25" x14ac:dyDescent="0.3">
      <c r="A2329">
        <v>116400</v>
      </c>
      <c r="B2329" t="s">
        <v>48329</v>
      </c>
      <c r="C2329" t="s">
        <v>48330</v>
      </c>
      <c r="D2329" t="s">
        <v>48331</v>
      </c>
      <c r="E2329" t="s">
        <v>48332</v>
      </c>
      <c r="F2329" t="s">
        <v>48333</v>
      </c>
      <c r="G2329" t="s">
        <v>48334</v>
      </c>
      <c r="H2329" t="s">
        <v>48335</v>
      </c>
      <c r="I2329" t="s">
        <v>48336</v>
      </c>
      <c r="J2329" t="s">
        <v>48337</v>
      </c>
      <c r="K2329" t="s">
        <v>48338</v>
      </c>
      <c r="L2329" t="s">
        <v>48339</v>
      </c>
      <c r="M2329" t="s">
        <v>48340</v>
      </c>
      <c r="N2329" t="s">
        <v>48341</v>
      </c>
      <c r="O2329">
        <f>-757.226442937853 -76.8475508674119 -717.926848223615</f>
        <v>-1552.00084202888</v>
      </c>
      <c r="P2329">
        <f>-712.253430135284 -64.245547315398 -404.8697271095</f>
        <v>-1181.3687045601819</v>
      </c>
      <c r="Q2329">
        <f>-460.410688401692 -10.9599188199054 -367.749737807908</f>
        <v>-839.12034502950542</v>
      </c>
      <c r="R2329" t="s">
        <v>48342</v>
      </c>
      <c r="S2329" t="s">
        <v>48343</v>
      </c>
      <c r="T2329" t="s">
        <v>48344</v>
      </c>
      <c r="U2329" t="s">
        <v>48345</v>
      </c>
      <c r="V2329" t="s">
        <v>48346</v>
      </c>
      <c r="W2329" t="s">
        <v>48347</v>
      </c>
      <c r="X2329" t="s">
        <v>48348</v>
      </c>
      <c r="Y2329" t="s">
        <v>48349</v>
      </c>
    </row>
    <row r="2330" spans="1:25" x14ac:dyDescent="0.3">
      <c r="A2330">
        <v>116450</v>
      </c>
      <c r="B2330" t="s">
        <v>48350</v>
      </c>
      <c r="C2330" t="s">
        <v>48351</v>
      </c>
      <c r="D2330" t="s">
        <v>48352</v>
      </c>
      <c r="E2330" t="s">
        <v>48353</v>
      </c>
      <c r="F2330" t="s">
        <v>48354</v>
      </c>
      <c r="G2330" t="s">
        <v>48355</v>
      </c>
      <c r="H2330" t="s">
        <v>48356</v>
      </c>
      <c r="I2330" t="s">
        <v>48357</v>
      </c>
      <c r="J2330" t="s">
        <v>48358</v>
      </c>
      <c r="K2330" t="s">
        <v>48359</v>
      </c>
      <c r="L2330" t="s">
        <v>48360</v>
      </c>
      <c r="M2330" t="s">
        <v>48361</v>
      </c>
      <c r="N2330" t="s">
        <v>48362</v>
      </c>
      <c r="O2330">
        <f>-756.227577376825 -77.2882897219833 -717.655557612051</f>
        <v>-1551.1714247108594</v>
      </c>
      <c r="P2330">
        <f>-711.84442873391 -63.7356279807959 -404.553870918469</f>
        <v>-1180.1339276331751</v>
      </c>
      <c r="Q2330">
        <f>-460.290201232979 -9.42604225820924 -366.964593336491</f>
        <v>-836.68083682767929</v>
      </c>
      <c r="R2330" t="s">
        <v>48363</v>
      </c>
      <c r="S2330" t="s">
        <v>48364</v>
      </c>
      <c r="T2330" t="s">
        <v>48365</v>
      </c>
      <c r="U2330" t="s">
        <v>48366</v>
      </c>
      <c r="V2330" t="s">
        <v>48367</v>
      </c>
      <c r="W2330" t="s">
        <v>48368</v>
      </c>
      <c r="X2330" t="s">
        <v>48369</v>
      </c>
      <c r="Y2330" t="s">
        <v>48370</v>
      </c>
    </row>
    <row r="2331" spans="1:25" x14ac:dyDescent="0.3">
      <c r="A2331">
        <v>116500</v>
      </c>
      <c r="B2331" t="s">
        <v>48371</v>
      </c>
      <c r="C2331" t="s">
        <v>48372</v>
      </c>
      <c r="D2331" t="s">
        <v>48373</v>
      </c>
      <c r="E2331" t="s">
        <v>48374</v>
      </c>
      <c r="F2331" t="s">
        <v>48375</v>
      </c>
      <c r="G2331" t="s">
        <v>48376</v>
      </c>
      <c r="H2331" t="s">
        <v>48377</v>
      </c>
      <c r="I2331" t="s">
        <v>48378</v>
      </c>
      <c r="J2331" t="s">
        <v>48379</v>
      </c>
      <c r="K2331" t="s">
        <v>48380</v>
      </c>
      <c r="L2331" t="s">
        <v>48381</v>
      </c>
      <c r="M2331" t="s">
        <v>48382</v>
      </c>
      <c r="N2331" t="s">
        <v>48383</v>
      </c>
      <c r="O2331">
        <f>-756.053451287699 -77.289026745008 -717.550805705683</f>
        <v>-1550.89328373839</v>
      </c>
      <c r="P2331">
        <f>-711.901207153971 -63.6180402151092 -404.421580053271</f>
        <v>-1179.940827422351</v>
      </c>
      <c r="Q2331">
        <f>-460.547264615329 -8.61940209830982 -366.494886453657</f>
        <v>-835.66155316729578</v>
      </c>
      <c r="R2331" t="s">
        <v>48384</v>
      </c>
      <c r="S2331" t="s">
        <v>48385</v>
      </c>
      <c r="T2331" t="s">
        <v>48386</v>
      </c>
      <c r="U2331" t="s">
        <v>48387</v>
      </c>
      <c r="V2331" t="s">
        <v>48388</v>
      </c>
      <c r="W2331" t="s">
        <v>48389</v>
      </c>
      <c r="X2331" t="s">
        <v>48390</v>
      </c>
      <c r="Y2331" t="s">
        <v>48391</v>
      </c>
    </row>
    <row r="2332" spans="1:25" x14ac:dyDescent="0.3">
      <c r="A2332">
        <v>116550</v>
      </c>
      <c r="B2332" t="s">
        <v>48392</v>
      </c>
      <c r="C2332" t="s">
        <v>48393</v>
      </c>
      <c r="D2332" t="s">
        <v>48394</v>
      </c>
      <c r="E2332" t="s">
        <v>48395</v>
      </c>
      <c r="F2332" t="s">
        <v>48396</v>
      </c>
      <c r="G2332" t="s">
        <v>48397</v>
      </c>
      <c r="H2332" t="s">
        <v>48398</v>
      </c>
      <c r="I2332" t="s">
        <v>48399</v>
      </c>
      <c r="J2332" t="s">
        <v>48400</v>
      </c>
      <c r="K2332" t="s">
        <v>48401</v>
      </c>
      <c r="L2332" t="s">
        <v>48402</v>
      </c>
      <c r="M2332" t="s">
        <v>48403</v>
      </c>
      <c r="N2332" t="s">
        <v>48404</v>
      </c>
      <c r="O2332">
        <f>-756.085837261182 -77.2529670033289 -717.299838619201</f>
        <v>-1550.6386428837118</v>
      </c>
      <c r="P2332">
        <f>-711.840207000485 -63.1945129414914 -404.20105131484</f>
        <v>-1179.2357712568164</v>
      </c>
      <c r="Q2332">
        <f>-460.747498434836 -7.11637251482694 -366.125660571778</f>
        <v>-833.98953152144099</v>
      </c>
      <c r="R2332" t="s">
        <v>48405</v>
      </c>
      <c r="S2332" t="s">
        <v>48406</v>
      </c>
      <c r="T2332" t="s">
        <v>48407</v>
      </c>
      <c r="U2332" t="s">
        <v>48408</v>
      </c>
      <c r="V2332" t="s">
        <v>48409</v>
      </c>
      <c r="W2332" t="s">
        <v>48410</v>
      </c>
      <c r="X2332" t="s">
        <v>48411</v>
      </c>
      <c r="Y2332" t="s">
        <v>48412</v>
      </c>
    </row>
    <row r="2333" spans="1:25" x14ac:dyDescent="0.3">
      <c r="A2333">
        <v>116600</v>
      </c>
      <c r="B2333" t="s">
        <v>48413</v>
      </c>
      <c r="C2333" t="s">
        <v>48414</v>
      </c>
      <c r="D2333" t="s">
        <v>48415</v>
      </c>
      <c r="E2333" t="s">
        <v>48416</v>
      </c>
      <c r="F2333" t="s">
        <v>48417</v>
      </c>
      <c r="G2333" t="s">
        <v>48418</v>
      </c>
      <c r="H2333" t="s">
        <v>48419</v>
      </c>
      <c r="I2333" t="s">
        <v>48420</v>
      </c>
      <c r="J2333" t="s">
        <v>48421</v>
      </c>
      <c r="K2333" t="s">
        <v>48422</v>
      </c>
      <c r="L2333" t="s">
        <v>48423</v>
      </c>
      <c r="M2333" t="s">
        <v>48424</v>
      </c>
      <c r="N2333" t="s">
        <v>48425</v>
      </c>
      <c r="O2333">
        <f>-756.445508466388 -77.2338999234059 -717.139408358333</f>
        <v>-1550.8188167481269</v>
      </c>
      <c r="P2333">
        <f>-712.062942847574 -63.0415939660761 -404.066145440589</f>
        <v>-1179.1706822542392</v>
      </c>
      <c r="Q2333">
        <f>-460.982468430538 -6.72709155960069 -366.260008626732</f>
        <v>-833.96956861687067</v>
      </c>
      <c r="R2333" t="s">
        <v>48426</v>
      </c>
      <c r="S2333" t="s">
        <v>48427</v>
      </c>
      <c r="T2333" t="s">
        <v>48428</v>
      </c>
      <c r="U2333" t="s">
        <v>48429</v>
      </c>
      <c r="V2333" t="s">
        <v>48430</v>
      </c>
      <c r="W2333" t="s">
        <v>48431</v>
      </c>
      <c r="X2333" t="s">
        <v>48432</v>
      </c>
      <c r="Y2333" t="s">
        <v>48433</v>
      </c>
    </row>
    <row r="2334" spans="1:25" x14ac:dyDescent="0.3">
      <c r="A2334">
        <v>116650</v>
      </c>
      <c r="B2334" t="s">
        <v>48434</v>
      </c>
      <c r="C2334" t="s">
        <v>48435</v>
      </c>
      <c r="D2334" t="s">
        <v>48436</v>
      </c>
      <c r="E2334" t="s">
        <v>48437</v>
      </c>
      <c r="F2334" t="s">
        <v>48438</v>
      </c>
      <c r="G2334" t="s">
        <v>48439</v>
      </c>
      <c r="H2334" t="s">
        <v>48440</v>
      </c>
      <c r="I2334" t="s">
        <v>48441</v>
      </c>
      <c r="J2334" t="s">
        <v>48442</v>
      </c>
      <c r="K2334" t="s">
        <v>48443</v>
      </c>
      <c r="L2334" t="s">
        <v>48444</v>
      </c>
      <c r="M2334" t="s">
        <v>48445</v>
      </c>
      <c r="N2334" t="s">
        <v>48446</v>
      </c>
      <c r="O2334">
        <f>-757.075427742113 -76.4444180918867 -717.096472809421</f>
        <v>-1550.6163186434208</v>
      </c>
      <c r="P2334">
        <f>-712.339785243083 -62.4528731783926 -404.064246071741</f>
        <v>-1178.8569044932167</v>
      </c>
      <c r="Q2334">
        <f>-461.168332338274 -6.04361363477187 -367.010494927109</f>
        <v>-834.22244090015488</v>
      </c>
      <c r="R2334" t="s">
        <v>48447</v>
      </c>
      <c r="S2334" t="s">
        <v>48448</v>
      </c>
      <c r="T2334" t="s">
        <v>48449</v>
      </c>
      <c r="U2334" t="s">
        <v>48450</v>
      </c>
      <c r="V2334" t="s">
        <v>48451</v>
      </c>
      <c r="W2334" t="s">
        <v>48452</v>
      </c>
      <c r="X2334" t="s">
        <v>48453</v>
      </c>
      <c r="Y2334" t="s">
        <v>48454</v>
      </c>
    </row>
    <row r="2335" spans="1:25" x14ac:dyDescent="0.3">
      <c r="A2335">
        <v>116700</v>
      </c>
      <c r="B2335" t="s">
        <v>48455</v>
      </c>
      <c r="C2335" t="s">
        <v>48456</v>
      </c>
      <c r="D2335" t="s">
        <v>48457</v>
      </c>
      <c r="E2335" t="s">
        <v>48458</v>
      </c>
      <c r="F2335" t="s">
        <v>48459</v>
      </c>
      <c r="G2335" t="s">
        <v>48460</v>
      </c>
      <c r="H2335" t="s">
        <v>48461</v>
      </c>
      <c r="I2335" t="s">
        <v>48462</v>
      </c>
      <c r="J2335" t="s">
        <v>48463</v>
      </c>
      <c r="K2335" t="s">
        <v>48464</v>
      </c>
      <c r="L2335" t="s">
        <v>48465</v>
      </c>
      <c r="M2335" t="s">
        <v>48466</v>
      </c>
      <c r="N2335" t="s">
        <v>48467</v>
      </c>
      <c r="O2335">
        <f>-757.45652261666 -76.0596701135707 -717.041965957067</f>
        <v>-1550.5581586872977</v>
      </c>
      <c r="P2335">
        <f>-712.547059277837 -62.4025895035468 -404.01986605474</f>
        <v>-1178.9695148361238</v>
      </c>
      <c r="Q2335">
        <f>-461.280996390954 -6.27067120010315 -367.186974913672</f>
        <v>-834.73864250472911</v>
      </c>
      <c r="R2335" t="s">
        <v>48468</v>
      </c>
      <c r="S2335" t="s">
        <v>48469</v>
      </c>
      <c r="T2335" t="s">
        <v>48470</v>
      </c>
      <c r="U2335" t="s">
        <v>48471</v>
      </c>
      <c r="V2335" t="s">
        <v>48472</v>
      </c>
      <c r="W2335" t="s">
        <v>48473</v>
      </c>
      <c r="X2335" t="s">
        <v>48474</v>
      </c>
      <c r="Y2335" t="s">
        <v>48475</v>
      </c>
    </row>
    <row r="2336" spans="1:25" x14ac:dyDescent="0.3">
      <c r="A2336">
        <v>116750</v>
      </c>
      <c r="B2336" t="s">
        <v>48476</v>
      </c>
      <c r="C2336" t="s">
        <v>48477</v>
      </c>
      <c r="D2336" t="s">
        <v>48478</v>
      </c>
      <c r="E2336" t="s">
        <v>48479</v>
      </c>
      <c r="F2336" t="s">
        <v>48480</v>
      </c>
      <c r="G2336" t="s">
        <v>48481</v>
      </c>
      <c r="H2336" t="s">
        <v>48482</v>
      </c>
      <c r="I2336" t="s">
        <v>48483</v>
      </c>
      <c r="J2336" t="s">
        <v>48484</v>
      </c>
      <c r="K2336" t="s">
        <v>48485</v>
      </c>
      <c r="L2336" t="s">
        <v>48486</v>
      </c>
      <c r="M2336" t="s">
        <v>48487</v>
      </c>
      <c r="N2336" t="s">
        <v>48488</v>
      </c>
      <c r="O2336">
        <f>-758.643884531122 -75.2604844312414 -716.936048018171</f>
        <v>-1550.8404169805344</v>
      </c>
      <c r="P2336">
        <f>-713.341618153106 -61.9008800866352 -403.957799010371</f>
        <v>-1179.2002972501123</v>
      </c>
      <c r="Q2336">
        <f>-461.81619123517 -6.83548277925047 -367.286319053065</f>
        <v>-835.93799306748542</v>
      </c>
      <c r="R2336" t="s">
        <v>48489</v>
      </c>
      <c r="S2336" t="s">
        <v>48490</v>
      </c>
      <c r="T2336" t="s">
        <v>48491</v>
      </c>
      <c r="U2336" t="s">
        <v>48492</v>
      </c>
      <c r="V2336" t="s">
        <v>48493</v>
      </c>
      <c r="W2336" t="s">
        <v>48494</v>
      </c>
      <c r="X2336" t="s">
        <v>48495</v>
      </c>
      <c r="Y2336" t="s">
        <v>48496</v>
      </c>
    </row>
    <row r="2337" spans="1:25" x14ac:dyDescent="0.3">
      <c r="A2337">
        <v>116800</v>
      </c>
      <c r="B2337" t="s">
        <v>48497</v>
      </c>
      <c r="C2337" t="s">
        <v>48498</v>
      </c>
      <c r="D2337" t="s">
        <v>48499</v>
      </c>
      <c r="E2337" t="s">
        <v>48500</v>
      </c>
      <c r="F2337" t="s">
        <v>48501</v>
      </c>
      <c r="G2337" t="s">
        <v>48502</v>
      </c>
      <c r="H2337" t="s">
        <v>48503</v>
      </c>
      <c r="I2337" t="s">
        <v>48504</v>
      </c>
      <c r="J2337" t="s">
        <v>48505</v>
      </c>
      <c r="K2337" t="s">
        <v>48506</v>
      </c>
      <c r="L2337" t="s">
        <v>48507</v>
      </c>
      <c r="M2337" t="s">
        <v>48508</v>
      </c>
      <c r="N2337" t="s">
        <v>48509</v>
      </c>
      <c r="O2337">
        <f>-759.15089715194 -74.9228824827624 -716.917165399623</f>
        <v>-1550.9909450343253</v>
      </c>
      <c r="P2337">
        <f>-713.687265852586 -61.7548235964202 -403.954174030522</f>
        <v>-1179.3962634795282</v>
      </c>
      <c r="Q2337">
        <f>-461.997243953884 -7.41872494914446 -367.323423901253</f>
        <v>-836.73939280428147</v>
      </c>
      <c r="R2337" t="s">
        <v>48510</v>
      </c>
      <c r="S2337" t="s">
        <v>48511</v>
      </c>
      <c r="T2337" t="s">
        <v>48512</v>
      </c>
      <c r="U2337" t="s">
        <v>48513</v>
      </c>
      <c r="V2337" t="s">
        <v>48514</v>
      </c>
      <c r="W2337" t="s">
        <v>48515</v>
      </c>
      <c r="X2337" t="s">
        <v>48516</v>
      </c>
      <c r="Y2337" t="s">
        <v>48517</v>
      </c>
    </row>
    <row r="2338" spans="1:25" x14ac:dyDescent="0.3">
      <c r="A2338">
        <v>116850</v>
      </c>
      <c r="B2338" t="s">
        <v>48518</v>
      </c>
      <c r="C2338" t="s">
        <v>48519</v>
      </c>
      <c r="D2338" t="s">
        <v>48520</v>
      </c>
      <c r="E2338" t="s">
        <v>48521</v>
      </c>
      <c r="F2338" t="s">
        <v>48522</v>
      </c>
      <c r="G2338" t="s">
        <v>48523</v>
      </c>
      <c r="H2338" t="s">
        <v>48524</v>
      </c>
      <c r="I2338" t="s">
        <v>48525</v>
      </c>
      <c r="J2338" t="s">
        <v>48526</v>
      </c>
      <c r="K2338" t="s">
        <v>48527</v>
      </c>
      <c r="L2338" t="s">
        <v>48528</v>
      </c>
      <c r="M2338" t="s">
        <v>48529</v>
      </c>
      <c r="N2338" t="s">
        <v>48530</v>
      </c>
      <c r="O2338">
        <f>-760.444210233558 -74.253042673557 -716.910685254492</f>
        <v>-1551.6079381616071</v>
      </c>
      <c r="P2338">
        <f>-714.742565060035 -61.3431060181722 -403.971457593285</f>
        <v>-1180.0571286714921</v>
      </c>
      <c r="Q2338">
        <f>-462.78867259703 -8.16950341702341 -367.449105792396</f>
        <v>-838.40728180644942</v>
      </c>
      <c r="R2338" t="s">
        <v>48531</v>
      </c>
      <c r="S2338" t="s">
        <v>48532</v>
      </c>
      <c r="T2338" t="s">
        <v>48533</v>
      </c>
      <c r="U2338" t="s">
        <v>48534</v>
      </c>
      <c r="V2338" t="s">
        <v>48535</v>
      </c>
      <c r="W2338" t="s">
        <v>48536</v>
      </c>
      <c r="X2338" t="s">
        <v>48537</v>
      </c>
      <c r="Y2338" t="s">
        <v>48538</v>
      </c>
    </row>
    <row r="2339" spans="1:25" x14ac:dyDescent="0.3">
      <c r="A2339">
        <v>116900</v>
      </c>
      <c r="B2339" t="s">
        <v>48539</v>
      </c>
      <c r="C2339" t="s">
        <v>48540</v>
      </c>
      <c r="D2339" t="s">
        <v>48541</v>
      </c>
      <c r="E2339" t="s">
        <v>48542</v>
      </c>
      <c r="F2339" t="s">
        <v>48543</v>
      </c>
      <c r="G2339" t="s">
        <v>48544</v>
      </c>
      <c r="H2339" t="s">
        <v>48545</v>
      </c>
      <c r="I2339" t="s">
        <v>48546</v>
      </c>
      <c r="J2339" t="s">
        <v>48547</v>
      </c>
      <c r="K2339" t="s">
        <v>48548</v>
      </c>
      <c r="L2339" t="s">
        <v>48549</v>
      </c>
      <c r="M2339" t="s">
        <v>48550</v>
      </c>
      <c r="N2339" t="s">
        <v>48551</v>
      </c>
      <c r="O2339">
        <f>-761.007281882864 -74.0297504078756 -716.821075417173</f>
        <v>-1551.8581077079125</v>
      </c>
      <c r="P2339">
        <f>-715.234361197498 -61.3666312993362 -403.88222273527</f>
        <v>-1180.4832152321042</v>
      </c>
      <c r="Q2339">
        <f>-463.18872492653 -8.57604755148054 -367.437542630262</f>
        <v>-839.20231510827261</v>
      </c>
      <c r="R2339" t="s">
        <v>48552</v>
      </c>
      <c r="S2339" t="s">
        <v>48553</v>
      </c>
      <c r="T2339" t="s">
        <v>48554</v>
      </c>
      <c r="U2339" t="s">
        <v>48555</v>
      </c>
      <c r="V2339" t="s">
        <v>48556</v>
      </c>
      <c r="W2339" t="s">
        <v>48557</v>
      </c>
      <c r="X2339" t="s">
        <v>48558</v>
      </c>
      <c r="Y2339" t="s">
        <v>48559</v>
      </c>
    </row>
    <row r="2340" spans="1:25" x14ac:dyDescent="0.3">
      <c r="A2340">
        <v>116950</v>
      </c>
      <c r="B2340" t="s">
        <v>48560</v>
      </c>
      <c r="C2340" t="s">
        <v>48561</v>
      </c>
      <c r="D2340" t="s">
        <v>48562</v>
      </c>
      <c r="E2340" t="s">
        <v>48563</v>
      </c>
      <c r="F2340" t="s">
        <v>48564</v>
      </c>
      <c r="G2340" t="s">
        <v>48565</v>
      </c>
      <c r="H2340" t="s">
        <v>48566</v>
      </c>
      <c r="I2340" t="s">
        <v>48567</v>
      </c>
      <c r="J2340" t="s">
        <v>48568</v>
      </c>
      <c r="K2340" t="s">
        <v>48569</v>
      </c>
      <c r="L2340" t="s">
        <v>48570</v>
      </c>
      <c r="M2340" t="s">
        <v>48571</v>
      </c>
      <c r="N2340" t="s">
        <v>48572</v>
      </c>
      <c r="O2340">
        <f>-762.431688087561 -73.8347222539885 -716.675753469812</f>
        <v>-1552.9421638113615</v>
      </c>
      <c r="P2340">
        <f>-716.30372626071 -61.2445323224406 -403.78625787069</f>
        <v>-1181.3345164538407</v>
      </c>
      <c r="Q2340">
        <f>-464.092466975811 -9.18401667981811 -367.437061891097</f>
        <v>-840.71354554672621</v>
      </c>
      <c r="R2340" t="s">
        <v>48573</v>
      </c>
      <c r="S2340" t="s">
        <v>48574</v>
      </c>
      <c r="T2340" t="s">
        <v>48575</v>
      </c>
      <c r="U2340" t="s">
        <v>48576</v>
      </c>
      <c r="V2340" t="s">
        <v>48577</v>
      </c>
      <c r="W2340" t="s">
        <v>48578</v>
      </c>
      <c r="X2340" t="s">
        <v>48579</v>
      </c>
      <c r="Y2340" t="s">
        <v>48580</v>
      </c>
    </row>
    <row r="2341" spans="1:25" x14ac:dyDescent="0.3">
      <c r="A2341">
        <v>117000</v>
      </c>
      <c r="B2341" t="s">
        <v>48581</v>
      </c>
      <c r="C2341" t="s">
        <v>48582</v>
      </c>
      <c r="D2341" t="s">
        <v>48583</v>
      </c>
      <c r="E2341" t="s">
        <v>48584</v>
      </c>
      <c r="F2341" t="s">
        <v>48585</v>
      </c>
      <c r="G2341" t="s">
        <v>48586</v>
      </c>
      <c r="H2341" t="s">
        <v>48587</v>
      </c>
      <c r="I2341" t="s">
        <v>48588</v>
      </c>
      <c r="J2341" t="s">
        <v>48589</v>
      </c>
      <c r="K2341" t="s">
        <v>48590</v>
      </c>
      <c r="L2341" t="s">
        <v>48591</v>
      </c>
      <c r="M2341" t="s">
        <v>48592</v>
      </c>
      <c r="N2341" t="s">
        <v>48593</v>
      </c>
      <c r="O2341">
        <f>-763.180745812144 -73.7635687026434 -716.629812667469</f>
        <v>-1553.5741271822562</v>
      </c>
      <c r="P2341">
        <f>-716.81887082689 -61.2743094849877 -403.770707226598</f>
        <v>-1181.8638875384759</v>
      </c>
      <c r="Q2341">
        <f>-464.496543700332 -9.67699866869953 -367.532477923998</f>
        <v>-841.7060202930295</v>
      </c>
      <c r="R2341" t="s">
        <v>48594</v>
      </c>
      <c r="S2341" t="s">
        <v>48595</v>
      </c>
      <c r="T2341" t="s">
        <v>48596</v>
      </c>
      <c r="U2341" t="s">
        <v>48597</v>
      </c>
      <c r="V2341" t="s">
        <v>48598</v>
      </c>
      <c r="W2341" t="s">
        <v>48599</v>
      </c>
      <c r="X2341" t="s">
        <v>48600</v>
      </c>
      <c r="Y2341" t="s">
        <v>48601</v>
      </c>
    </row>
    <row r="2342" spans="1:25" x14ac:dyDescent="0.3">
      <c r="A2342">
        <v>117050</v>
      </c>
      <c r="B2342" t="s">
        <v>48602</v>
      </c>
      <c r="C2342" t="s">
        <v>48603</v>
      </c>
      <c r="D2342" t="s">
        <v>48604</v>
      </c>
      <c r="E2342" t="s">
        <v>48605</v>
      </c>
      <c r="F2342" t="s">
        <v>48606</v>
      </c>
      <c r="G2342" t="s">
        <v>48607</v>
      </c>
      <c r="H2342" t="s">
        <v>48608</v>
      </c>
      <c r="I2342" t="s">
        <v>48609</v>
      </c>
      <c r="J2342" t="s">
        <v>48610</v>
      </c>
      <c r="K2342" t="s">
        <v>48611</v>
      </c>
      <c r="L2342" t="s">
        <v>48612</v>
      </c>
      <c r="M2342" t="s">
        <v>48613</v>
      </c>
      <c r="N2342" t="s">
        <v>48614</v>
      </c>
      <c r="O2342">
        <f>-764.006971516777 -74.0719746521484 -716.652060380121</f>
        <v>-1554.7310065490465</v>
      </c>
      <c r="P2342">
        <f>-717.296891493128 -61.6119503020855 -403.843628550768</f>
        <v>-1182.7524703459815</v>
      </c>
      <c r="Q2342">
        <f>-464.774308879126 -10.5567381850624 -368.237315039207</f>
        <v>-843.56836210339543</v>
      </c>
      <c r="R2342" t="s">
        <v>48615</v>
      </c>
      <c r="S2342" t="s">
        <v>48616</v>
      </c>
      <c r="T2342" t="s">
        <v>48617</v>
      </c>
      <c r="U2342" t="s">
        <v>48618</v>
      </c>
      <c r="V2342" t="s">
        <v>48619</v>
      </c>
      <c r="W2342" t="s">
        <v>48620</v>
      </c>
      <c r="X2342" t="s">
        <v>48621</v>
      </c>
      <c r="Y2342" t="s">
        <v>48622</v>
      </c>
    </row>
    <row r="2343" spans="1:25" x14ac:dyDescent="0.3">
      <c r="A2343">
        <v>117100</v>
      </c>
      <c r="B2343" t="s">
        <v>48623</v>
      </c>
      <c r="C2343" t="s">
        <v>48624</v>
      </c>
      <c r="D2343" t="s">
        <v>48625</v>
      </c>
      <c r="E2343" t="s">
        <v>48626</v>
      </c>
      <c r="F2343" t="s">
        <v>48627</v>
      </c>
      <c r="G2343" t="s">
        <v>48628</v>
      </c>
      <c r="H2343" t="s">
        <v>48629</v>
      </c>
      <c r="I2343" t="s">
        <v>48630</v>
      </c>
      <c r="J2343" t="s">
        <v>48631</v>
      </c>
      <c r="K2343" t="s">
        <v>48632</v>
      </c>
      <c r="L2343" t="s">
        <v>48633</v>
      </c>
      <c r="M2343" t="s">
        <v>48634</v>
      </c>
      <c r="N2343" t="s">
        <v>48635</v>
      </c>
      <c r="O2343">
        <f>-764.491939156601 -74.1695715898206 -716.676839250548</f>
        <v>-1555.3383499969696</v>
      </c>
      <c r="P2343">
        <f>-717.529240578747 -61.7927300641338 -403.902816805291</f>
        <v>-1183.2247874481718</v>
      </c>
      <c r="Q2343">
        <f>-464.957023311777 -10.8669741153481 -368.464542608315</f>
        <v>-844.28854003544006</v>
      </c>
      <c r="R2343" t="s">
        <v>48636</v>
      </c>
      <c r="S2343" t="s">
        <v>48637</v>
      </c>
      <c r="T2343" t="s">
        <v>48638</v>
      </c>
      <c r="U2343" t="s">
        <v>48639</v>
      </c>
      <c r="V2343" t="s">
        <v>48640</v>
      </c>
      <c r="W2343" t="s">
        <v>48641</v>
      </c>
      <c r="X2343" t="s">
        <v>48642</v>
      </c>
      <c r="Y2343" t="s">
        <v>48643</v>
      </c>
    </row>
    <row r="2344" spans="1:25" x14ac:dyDescent="0.3">
      <c r="A2344">
        <v>117150</v>
      </c>
      <c r="B2344" t="s">
        <v>48644</v>
      </c>
      <c r="C2344" t="s">
        <v>48645</v>
      </c>
      <c r="D2344" t="s">
        <v>48646</v>
      </c>
      <c r="E2344" t="s">
        <v>48647</v>
      </c>
      <c r="F2344" t="s">
        <v>48648</v>
      </c>
      <c r="G2344" t="s">
        <v>48649</v>
      </c>
      <c r="H2344" t="s">
        <v>48650</v>
      </c>
      <c r="I2344" t="s">
        <v>48651</v>
      </c>
      <c r="J2344" t="s">
        <v>48652</v>
      </c>
      <c r="K2344" t="s">
        <v>48653</v>
      </c>
      <c r="L2344" t="s">
        <v>48654</v>
      </c>
      <c r="M2344" t="s">
        <v>48655</v>
      </c>
      <c r="N2344" t="s">
        <v>48656</v>
      </c>
      <c r="O2344">
        <f>-765.205496041894 -74.2777140328499 -716.680788547728</f>
        <v>-1556.1639986224718</v>
      </c>
      <c r="P2344">
        <f>-717.622026549174 -62.0709962727656 -403.994069722218</f>
        <v>-1183.6870925441576</v>
      </c>
      <c r="Q2344">
        <f>-464.995940799894 -11.1711712988088 -368.903672739141</f>
        <v>-845.0707848378438</v>
      </c>
      <c r="R2344" t="s">
        <v>48657</v>
      </c>
      <c r="S2344" t="s">
        <v>48658</v>
      </c>
      <c r="T2344" t="s">
        <v>48659</v>
      </c>
      <c r="U2344" t="s">
        <v>48660</v>
      </c>
      <c r="V2344" t="s">
        <v>48661</v>
      </c>
      <c r="W2344" t="s">
        <v>48662</v>
      </c>
      <c r="X2344" t="s">
        <v>48663</v>
      </c>
      <c r="Y2344" t="s">
        <v>48664</v>
      </c>
    </row>
    <row r="2345" spans="1:25" x14ac:dyDescent="0.3">
      <c r="A2345">
        <v>117200</v>
      </c>
      <c r="B2345" t="s">
        <v>48665</v>
      </c>
      <c r="C2345" t="s">
        <v>48666</v>
      </c>
      <c r="D2345" t="s">
        <v>48667</v>
      </c>
      <c r="E2345" t="s">
        <v>48668</v>
      </c>
      <c r="F2345" t="s">
        <v>48669</v>
      </c>
      <c r="G2345" t="s">
        <v>48670</v>
      </c>
      <c r="H2345" t="s">
        <v>48671</v>
      </c>
      <c r="I2345" t="s">
        <v>48672</v>
      </c>
      <c r="J2345" t="s">
        <v>48673</v>
      </c>
      <c r="K2345" t="s">
        <v>48674</v>
      </c>
      <c r="L2345" t="s">
        <v>48675</v>
      </c>
      <c r="M2345" t="s">
        <v>48676</v>
      </c>
      <c r="N2345" t="s">
        <v>48677</v>
      </c>
      <c r="O2345">
        <f>-765.279996016913 -74.4913390851254 -716.680056782351</f>
        <v>-1556.4513918843895</v>
      </c>
      <c r="P2345">
        <f>-717.35904475741 -62.4582239593465 -404.038157636446</f>
        <v>-1183.8554263532023</v>
      </c>
      <c r="Q2345">
        <f>-464.738114082461 -11.4645329005059 -369.047250384182</f>
        <v>-845.24989736714883</v>
      </c>
      <c r="R2345" t="s">
        <v>48678</v>
      </c>
      <c r="S2345" t="s">
        <v>48679</v>
      </c>
      <c r="T2345" t="s">
        <v>48680</v>
      </c>
      <c r="U2345" t="s">
        <v>48681</v>
      </c>
      <c r="V2345" t="s">
        <v>48682</v>
      </c>
      <c r="W2345" t="s">
        <v>48683</v>
      </c>
      <c r="X2345" t="s">
        <v>48684</v>
      </c>
      <c r="Y2345" t="s">
        <v>48685</v>
      </c>
    </row>
    <row r="2346" spans="1:25" x14ac:dyDescent="0.3">
      <c r="A2346">
        <v>117250</v>
      </c>
      <c r="B2346" t="s">
        <v>48686</v>
      </c>
      <c r="C2346" t="s">
        <v>48687</v>
      </c>
      <c r="D2346" t="s">
        <v>48688</v>
      </c>
      <c r="E2346" t="s">
        <v>48689</v>
      </c>
      <c r="F2346" t="s">
        <v>48690</v>
      </c>
      <c r="G2346" t="s">
        <v>48691</v>
      </c>
      <c r="H2346" t="s">
        <v>48692</v>
      </c>
      <c r="I2346" t="s">
        <v>48693</v>
      </c>
      <c r="J2346" t="s">
        <v>48694</v>
      </c>
      <c r="K2346" t="s">
        <v>48695</v>
      </c>
      <c r="L2346" t="s">
        <v>48696</v>
      </c>
      <c r="M2346" t="s">
        <v>48697</v>
      </c>
      <c r="N2346" t="s">
        <v>48698</v>
      </c>
      <c r="O2346">
        <f>-765.467579442371 -75.1812060927321 -716.538878339704</f>
        <v>-1557.187663874807</v>
      </c>
      <c r="P2346">
        <f>-717.247150395343 -63.292088660585 -403.937406026159</f>
        <v>-1184.4766450820871</v>
      </c>
      <c r="Q2346">
        <f>-464.713032322548 -11.8278407829519 -369.009323272186</f>
        <v>-845.55019637768589</v>
      </c>
      <c r="R2346" t="s">
        <v>48699</v>
      </c>
      <c r="S2346" t="s">
        <v>48700</v>
      </c>
      <c r="T2346" t="s">
        <v>48701</v>
      </c>
      <c r="U2346" t="s">
        <v>48702</v>
      </c>
      <c r="V2346" t="s">
        <v>48703</v>
      </c>
      <c r="W2346" t="s">
        <v>48704</v>
      </c>
      <c r="X2346" t="s">
        <v>48705</v>
      </c>
      <c r="Y2346" t="s">
        <v>48706</v>
      </c>
    </row>
    <row r="2347" spans="1:25" x14ac:dyDescent="0.3">
      <c r="A2347">
        <v>117300</v>
      </c>
      <c r="B2347" t="s">
        <v>48707</v>
      </c>
      <c r="C2347" t="s">
        <v>48708</v>
      </c>
      <c r="D2347" t="s">
        <v>48709</v>
      </c>
      <c r="E2347" t="s">
        <v>48710</v>
      </c>
      <c r="F2347" t="s">
        <v>48711</v>
      </c>
      <c r="G2347" t="s">
        <v>48712</v>
      </c>
      <c r="H2347" t="s">
        <v>48713</v>
      </c>
      <c r="I2347" t="s">
        <v>48714</v>
      </c>
      <c r="J2347" t="s">
        <v>48715</v>
      </c>
      <c r="K2347" t="s">
        <v>48716</v>
      </c>
      <c r="L2347" t="s">
        <v>48717</v>
      </c>
      <c r="M2347" t="s">
        <v>48718</v>
      </c>
      <c r="N2347" t="s">
        <v>48719</v>
      </c>
      <c r="O2347">
        <f>-765.452079254375 -75.689769786954 -716.505745271301</f>
        <v>-1557.64759431263</v>
      </c>
      <c r="P2347">
        <f>-717.226992744412 -63.5719712951427 -403.913928107309</f>
        <v>-1184.7128921468636</v>
      </c>
      <c r="Q2347">
        <f>-464.780163413211 -11.7290628842566 -368.914087627937</f>
        <v>-845.42331392540473</v>
      </c>
      <c r="R2347" t="s">
        <v>48720</v>
      </c>
      <c r="S2347" t="s">
        <v>48721</v>
      </c>
      <c r="T2347" t="s">
        <v>48722</v>
      </c>
      <c r="U2347" t="s">
        <v>48723</v>
      </c>
      <c r="V2347" t="s">
        <v>48724</v>
      </c>
      <c r="W2347" t="s">
        <v>48725</v>
      </c>
      <c r="X2347" t="s">
        <v>48726</v>
      </c>
      <c r="Y2347" t="s">
        <v>48727</v>
      </c>
    </row>
    <row r="2348" spans="1:25" x14ac:dyDescent="0.3">
      <c r="A2348">
        <v>117350</v>
      </c>
      <c r="B2348" t="s">
        <v>48728</v>
      </c>
      <c r="C2348" t="s">
        <v>48729</v>
      </c>
      <c r="D2348" t="s">
        <v>48730</v>
      </c>
      <c r="E2348" t="s">
        <v>48731</v>
      </c>
      <c r="F2348" t="s">
        <v>48732</v>
      </c>
      <c r="G2348" t="s">
        <v>48733</v>
      </c>
      <c r="H2348" t="s">
        <v>48734</v>
      </c>
      <c r="I2348" t="s">
        <v>48735</v>
      </c>
      <c r="J2348" t="s">
        <v>48736</v>
      </c>
      <c r="K2348" t="s">
        <v>48737</v>
      </c>
      <c r="L2348" t="s">
        <v>48738</v>
      </c>
      <c r="M2348" t="s">
        <v>48739</v>
      </c>
      <c r="N2348" t="s">
        <v>48740</v>
      </c>
      <c r="O2348">
        <f>-765.512140096134 -76.6756123905927 -716.387333228768</f>
        <v>-1558.5750857154949</v>
      </c>
      <c r="P2348">
        <f>-717.067213331404 -64.0017834927928 -403.851471206206</f>
        <v>-1184.9204680304028</v>
      </c>
      <c r="Q2348">
        <f>-464.898410159613 -11.115042462555 -368.412395424883</f>
        <v>-844.42584804705098</v>
      </c>
      <c r="R2348" t="s">
        <v>48741</v>
      </c>
      <c r="S2348" t="s">
        <v>48742</v>
      </c>
      <c r="T2348" t="s">
        <v>48743</v>
      </c>
      <c r="U2348" t="s">
        <v>48744</v>
      </c>
      <c r="V2348" t="s">
        <v>48745</v>
      </c>
      <c r="W2348" t="s">
        <v>48746</v>
      </c>
      <c r="X2348" t="s">
        <v>48747</v>
      </c>
      <c r="Y2348" t="s">
        <v>48748</v>
      </c>
    </row>
    <row r="2349" spans="1:25" x14ac:dyDescent="0.3">
      <c r="A2349">
        <v>117400</v>
      </c>
      <c r="B2349" t="s">
        <v>48749</v>
      </c>
      <c r="C2349" t="s">
        <v>48750</v>
      </c>
      <c r="D2349" t="s">
        <v>48751</v>
      </c>
      <c r="E2349" t="s">
        <v>48752</v>
      </c>
      <c r="F2349" t="s">
        <v>48753</v>
      </c>
      <c r="G2349" t="s">
        <v>48754</v>
      </c>
      <c r="H2349" t="s">
        <v>48755</v>
      </c>
      <c r="I2349" t="s">
        <v>48756</v>
      </c>
      <c r="J2349" t="s">
        <v>48757</v>
      </c>
      <c r="K2349" t="s">
        <v>48758</v>
      </c>
      <c r="L2349" t="s">
        <v>48759</v>
      </c>
      <c r="M2349" t="s">
        <v>48760</v>
      </c>
      <c r="N2349" t="s">
        <v>48761</v>
      </c>
      <c r="O2349">
        <f>-765.53883263312 -76.9152189135898 -716.42600259266</f>
        <v>-1558.8800541393698</v>
      </c>
      <c r="P2349">
        <f>-716.961988490047 -64.0453950818189 -403.918717200953</f>
        <v>-1184.9261007728189</v>
      </c>
      <c r="Q2349">
        <f>-464.992363941508 -10.4696553823119 -368.099254980732</f>
        <v>-843.56127430455194</v>
      </c>
      <c r="R2349" t="s">
        <v>48762</v>
      </c>
      <c r="S2349" t="s">
        <v>48763</v>
      </c>
      <c r="T2349" t="s">
        <v>48764</v>
      </c>
      <c r="U2349" t="s">
        <v>48765</v>
      </c>
      <c r="V2349" t="s">
        <v>48766</v>
      </c>
      <c r="W2349" t="s">
        <v>48767</v>
      </c>
      <c r="X2349" t="s">
        <v>48768</v>
      </c>
      <c r="Y2349" t="s">
        <v>48769</v>
      </c>
    </row>
    <row r="2350" spans="1:25" x14ac:dyDescent="0.3">
      <c r="A2350">
        <v>117450</v>
      </c>
      <c r="B2350" t="s">
        <v>48770</v>
      </c>
      <c r="C2350" t="s">
        <v>48771</v>
      </c>
      <c r="D2350" t="s">
        <v>48772</v>
      </c>
      <c r="E2350" t="s">
        <v>48773</v>
      </c>
      <c r="F2350" t="s">
        <v>48774</v>
      </c>
      <c r="G2350" t="s">
        <v>48775</v>
      </c>
      <c r="H2350" t="s">
        <v>48776</v>
      </c>
      <c r="I2350" t="s">
        <v>48777</v>
      </c>
      <c r="J2350" t="s">
        <v>48778</v>
      </c>
      <c r="K2350" t="s">
        <v>48779</v>
      </c>
      <c r="L2350" t="s">
        <v>48780</v>
      </c>
      <c r="M2350" t="s">
        <v>48781</v>
      </c>
      <c r="N2350" t="s">
        <v>48782</v>
      </c>
      <c r="O2350">
        <f>-764.873724168752 -77.1758122855022 -716.805881695058</f>
        <v>-1558.8554181493123</v>
      </c>
      <c r="P2350">
        <f>-716.739554292144 -64.4080679886231 -404.225899021404</f>
        <v>-1185.3735213021712</v>
      </c>
      <c r="Q2350">
        <f>-465.388407809947 -8.75251555310047 -367.251663031677</f>
        <v>-841.3925863947245</v>
      </c>
      <c r="R2350" t="s">
        <v>48783</v>
      </c>
      <c r="S2350" t="s">
        <v>48784</v>
      </c>
      <c r="T2350" t="s">
        <v>48785</v>
      </c>
      <c r="U2350" t="s">
        <v>48786</v>
      </c>
      <c r="V2350" t="s">
        <v>48787</v>
      </c>
      <c r="W2350" t="s">
        <v>48788</v>
      </c>
      <c r="X2350" t="s">
        <v>48789</v>
      </c>
      <c r="Y2350" t="s">
        <v>48790</v>
      </c>
    </row>
    <row r="2351" spans="1:25" x14ac:dyDescent="0.3">
      <c r="A2351">
        <v>117500</v>
      </c>
      <c r="B2351" t="s">
        <v>48791</v>
      </c>
      <c r="C2351" t="s">
        <v>48792</v>
      </c>
      <c r="D2351" t="s">
        <v>48793</v>
      </c>
      <c r="E2351" t="s">
        <v>48794</v>
      </c>
      <c r="F2351" t="s">
        <v>48795</v>
      </c>
      <c r="G2351" t="s">
        <v>48796</v>
      </c>
      <c r="H2351" t="s">
        <v>48797</v>
      </c>
      <c r="I2351" t="s">
        <v>48798</v>
      </c>
      <c r="J2351" t="s">
        <v>48799</v>
      </c>
      <c r="K2351" t="s">
        <v>48800</v>
      </c>
      <c r="L2351" t="s">
        <v>48801</v>
      </c>
      <c r="M2351" t="s">
        <v>48802</v>
      </c>
      <c r="N2351" t="s">
        <v>48803</v>
      </c>
      <c r="O2351">
        <f>-764.338478220672 -77.6443108327965 -716.970150221287</f>
        <v>-1558.9529392747554</v>
      </c>
      <c r="P2351">
        <f>-716.83711942985 -65.0208371150786 -404.287559466543</f>
        <v>-1186.1455160114715</v>
      </c>
      <c r="Q2351">
        <f>-465.929391080125 -7.82741870907012 -366.654700812825</f>
        <v>-840.41151060202014</v>
      </c>
      <c r="R2351" t="s">
        <v>48804</v>
      </c>
      <c r="S2351" t="s">
        <v>48805</v>
      </c>
      <c r="T2351" t="s">
        <v>48806</v>
      </c>
      <c r="U2351" t="s">
        <v>48807</v>
      </c>
      <c r="V2351" t="s">
        <v>48808</v>
      </c>
      <c r="W2351" t="s">
        <v>48809</v>
      </c>
      <c r="X2351" t="s">
        <v>48810</v>
      </c>
      <c r="Y2351" t="s">
        <v>48811</v>
      </c>
    </row>
    <row r="2352" spans="1:25" x14ac:dyDescent="0.3">
      <c r="A2352">
        <v>117550</v>
      </c>
      <c r="B2352" t="s">
        <v>48812</v>
      </c>
      <c r="C2352" t="s">
        <v>48813</v>
      </c>
      <c r="D2352" t="s">
        <v>48814</v>
      </c>
      <c r="E2352" t="s">
        <v>48815</v>
      </c>
      <c r="F2352" t="s">
        <v>48816</v>
      </c>
      <c r="G2352" t="s">
        <v>48817</v>
      </c>
      <c r="H2352" t="s">
        <v>48818</v>
      </c>
      <c r="I2352" t="s">
        <v>48819</v>
      </c>
      <c r="J2352" t="s">
        <v>48820</v>
      </c>
      <c r="K2352" t="s">
        <v>48821</v>
      </c>
      <c r="L2352" t="s">
        <v>48822</v>
      </c>
      <c r="M2352" t="s">
        <v>48823</v>
      </c>
      <c r="N2352" t="s">
        <v>48824</v>
      </c>
      <c r="O2352">
        <f>-764.012322309605 -78.993276842735 -717.067497948586</f>
        <v>-1560.0730971009261</v>
      </c>
      <c r="P2352">
        <f>-717.423629155209 -66.364655521746 -404.247699718533</f>
        <v>-1188.035984395488</v>
      </c>
      <c r="Q2352">
        <f>-467.207901457576 -6.56343352035037 -366.064921175021</f>
        <v>-839.83625615294739</v>
      </c>
      <c r="R2352" t="s">
        <v>48825</v>
      </c>
      <c r="S2352" t="s">
        <v>48826</v>
      </c>
      <c r="T2352" t="s">
        <v>48827</v>
      </c>
      <c r="U2352" t="s">
        <v>48828</v>
      </c>
      <c r="V2352" t="s">
        <v>48829</v>
      </c>
      <c r="W2352" t="s">
        <v>48830</v>
      </c>
      <c r="X2352" t="s">
        <v>48831</v>
      </c>
      <c r="Y2352" t="s">
        <v>48832</v>
      </c>
    </row>
    <row r="2353" spans="1:25" x14ac:dyDescent="0.3">
      <c r="A2353">
        <v>117600</v>
      </c>
      <c r="B2353" t="s">
        <v>48833</v>
      </c>
      <c r="C2353" t="s">
        <v>48834</v>
      </c>
      <c r="D2353" t="s">
        <v>48835</v>
      </c>
      <c r="E2353" t="s">
        <v>48836</v>
      </c>
      <c r="F2353" t="s">
        <v>48837</v>
      </c>
      <c r="G2353" t="s">
        <v>48838</v>
      </c>
      <c r="H2353" t="s">
        <v>48839</v>
      </c>
      <c r="I2353" t="s">
        <v>48840</v>
      </c>
      <c r="J2353" t="s">
        <v>48841</v>
      </c>
      <c r="K2353" t="s">
        <v>48842</v>
      </c>
      <c r="L2353" t="s">
        <v>48843</v>
      </c>
      <c r="M2353" t="s">
        <v>48844</v>
      </c>
      <c r="N2353" t="s">
        <v>48845</v>
      </c>
      <c r="O2353">
        <f>-764.427001260687 -79.4806847984999 -716.986616537826</f>
        <v>-1560.8943025970129</v>
      </c>
      <c r="P2353">
        <f>-717.638666381789 -66.8639606612417 -404.196229543526</f>
        <v>-1188.6988565865568</v>
      </c>
      <c r="Q2353">
        <f>-467.554784539032 -6.38342774610737 -366.219451137498</f>
        <v>-840.15766342263737</v>
      </c>
      <c r="R2353" t="s">
        <v>48846</v>
      </c>
      <c r="S2353" t="s">
        <v>48847</v>
      </c>
      <c r="T2353" t="s">
        <v>48848</v>
      </c>
      <c r="U2353" t="s">
        <v>48849</v>
      </c>
      <c r="V2353" t="s">
        <v>48850</v>
      </c>
      <c r="W2353" t="s">
        <v>48851</v>
      </c>
      <c r="X2353" t="s">
        <v>48852</v>
      </c>
      <c r="Y2353" t="s">
        <v>48853</v>
      </c>
    </row>
    <row r="2354" spans="1:25" x14ac:dyDescent="0.3">
      <c r="A2354">
        <v>117650</v>
      </c>
      <c r="B2354" t="s">
        <v>48854</v>
      </c>
      <c r="C2354" t="s">
        <v>48855</v>
      </c>
      <c r="D2354" t="s">
        <v>48856</v>
      </c>
      <c r="E2354" t="s">
        <v>48857</v>
      </c>
      <c r="F2354" t="s">
        <v>48858</v>
      </c>
      <c r="G2354" t="s">
        <v>48859</v>
      </c>
      <c r="H2354" t="s">
        <v>48860</v>
      </c>
      <c r="I2354" t="s">
        <v>48861</v>
      </c>
      <c r="J2354" t="s">
        <v>48862</v>
      </c>
      <c r="K2354" t="s">
        <v>48863</v>
      </c>
      <c r="L2354" t="s">
        <v>48864</v>
      </c>
      <c r="M2354" t="s">
        <v>48865</v>
      </c>
      <c r="N2354" t="s">
        <v>48866</v>
      </c>
      <c r="O2354">
        <f>-765.00842012407 -79.3605430706009 -717.141019955713</f>
        <v>-1561.509983150384</v>
      </c>
      <c r="P2354">
        <f>-717.451216130541 -66.6604776209258 -404.469825575774</f>
        <v>-1188.5815193272408</v>
      </c>
      <c r="Q2354">
        <f>-467.274588963227 -6.01293338975734 -367.381779916527</f>
        <v>-840.66930226951138</v>
      </c>
      <c r="R2354" t="s">
        <v>48867</v>
      </c>
      <c r="S2354" t="s">
        <v>48868</v>
      </c>
      <c r="T2354" t="s">
        <v>48869</v>
      </c>
      <c r="U2354" t="s">
        <v>48870</v>
      </c>
      <c r="V2354" t="s">
        <v>48871</v>
      </c>
      <c r="W2354" t="s">
        <v>48872</v>
      </c>
      <c r="X2354" t="s">
        <v>48873</v>
      </c>
      <c r="Y2354" t="s">
        <v>48874</v>
      </c>
    </row>
    <row r="2355" spans="1:25" x14ac:dyDescent="0.3">
      <c r="A2355">
        <v>117700</v>
      </c>
      <c r="B2355" t="s">
        <v>48875</v>
      </c>
      <c r="C2355" t="s">
        <v>48876</v>
      </c>
      <c r="D2355" t="s">
        <v>48877</v>
      </c>
      <c r="E2355" t="s">
        <v>48878</v>
      </c>
      <c r="F2355" t="s">
        <v>48879</v>
      </c>
      <c r="G2355" t="s">
        <v>48880</v>
      </c>
      <c r="H2355" t="s">
        <v>48881</v>
      </c>
      <c r="I2355" t="s">
        <v>48882</v>
      </c>
      <c r="J2355" t="s">
        <v>48883</v>
      </c>
      <c r="K2355" t="s">
        <v>48884</v>
      </c>
      <c r="L2355" t="s">
        <v>48885</v>
      </c>
      <c r="M2355" t="s">
        <v>48886</v>
      </c>
      <c r="N2355" t="s">
        <v>48887</v>
      </c>
      <c r="O2355">
        <f>-765.186648509362 -78.7511025293222 -717.356767066691</f>
        <v>-1561.2945181053751</v>
      </c>
      <c r="P2355">
        <f>-717.36967730022 -66.2462567296334 -404.717496796715</f>
        <v>-1188.3334308265685</v>
      </c>
      <c r="Q2355">
        <f>-467.159057193252 -5.5374996138853 -367.95945660139</f>
        <v>-840.65601340852731</v>
      </c>
      <c r="R2355" t="s">
        <v>48888</v>
      </c>
      <c r="S2355" t="s">
        <v>48889</v>
      </c>
      <c r="T2355" t="s">
        <v>48890</v>
      </c>
      <c r="U2355" t="s">
        <v>48891</v>
      </c>
      <c r="V2355" t="s">
        <v>48892</v>
      </c>
      <c r="W2355" t="s">
        <v>48893</v>
      </c>
      <c r="X2355" t="s">
        <v>48894</v>
      </c>
      <c r="Y2355" t="s">
        <v>48895</v>
      </c>
    </row>
    <row r="2356" spans="1:25" x14ac:dyDescent="0.3">
      <c r="A2356">
        <v>117750</v>
      </c>
      <c r="B2356" t="s">
        <v>48896</v>
      </c>
      <c r="C2356" t="s">
        <v>48897</v>
      </c>
      <c r="D2356" t="s">
        <v>48898</v>
      </c>
      <c r="E2356" t="s">
        <v>48899</v>
      </c>
      <c r="F2356" t="s">
        <v>48900</v>
      </c>
      <c r="G2356" t="s">
        <v>48901</v>
      </c>
      <c r="H2356" t="s">
        <v>48902</v>
      </c>
      <c r="I2356" t="s">
        <v>48903</v>
      </c>
      <c r="J2356" t="s">
        <v>48904</v>
      </c>
      <c r="K2356" t="s">
        <v>48905</v>
      </c>
      <c r="L2356" t="s">
        <v>48906</v>
      </c>
      <c r="M2356" t="s">
        <v>48907</v>
      </c>
      <c r="N2356" t="s">
        <v>48908</v>
      </c>
      <c r="O2356">
        <f>-765.829441194708 -77.3761014202746 -717.717799946729</f>
        <v>-1560.9233425617117</v>
      </c>
      <c r="P2356">
        <f>-717.877485817685 -65.6125106342456 -405.070282296639</f>
        <v>-1188.5602787485695</v>
      </c>
      <c r="Q2356">
        <f>-467.380859375795 -5.48899589658413 -369.312155759309</f>
        <v>-842.18201103168815</v>
      </c>
      <c r="R2356" t="s">
        <v>48909</v>
      </c>
      <c r="S2356" t="s">
        <v>48910</v>
      </c>
      <c r="T2356" t="s">
        <v>48911</v>
      </c>
      <c r="U2356" t="s">
        <v>48912</v>
      </c>
      <c r="V2356" t="s">
        <v>48913</v>
      </c>
      <c r="W2356" t="s">
        <v>48914</v>
      </c>
      <c r="X2356" t="s">
        <v>48915</v>
      </c>
      <c r="Y2356" t="s">
        <v>48916</v>
      </c>
    </row>
    <row r="2357" spans="1:25" x14ac:dyDescent="0.3">
      <c r="A2357">
        <v>117800</v>
      </c>
      <c r="B2357" t="s">
        <v>48917</v>
      </c>
      <c r="C2357" t="s">
        <v>48918</v>
      </c>
      <c r="D2357" t="s">
        <v>48919</v>
      </c>
      <c r="E2357" t="s">
        <v>48920</v>
      </c>
      <c r="F2357" t="s">
        <v>48921</v>
      </c>
      <c r="G2357" t="s">
        <v>48922</v>
      </c>
      <c r="H2357" t="s">
        <v>48923</v>
      </c>
      <c r="I2357" t="s">
        <v>48924</v>
      </c>
      <c r="J2357" t="s">
        <v>48925</v>
      </c>
      <c r="K2357" t="s">
        <v>48926</v>
      </c>
      <c r="L2357" t="s">
        <v>48927</v>
      </c>
      <c r="M2357" t="s">
        <v>48928</v>
      </c>
      <c r="N2357" t="s">
        <v>48929</v>
      </c>
      <c r="O2357">
        <f>-766.351226224551 -76.8636325639086 -717.711467074039</f>
        <v>-1560.9263258624987</v>
      </c>
      <c r="P2357">
        <f>-718.099298590595 -65.9647992194441 -405.078734242267</f>
        <v>-1189.1428320523062</v>
      </c>
      <c r="Q2357">
        <f>-467.279367940796 -6.67277289516619 -370.210248712765</f>
        <v>-844.16238954872722</v>
      </c>
      <c r="R2357" t="s">
        <v>48930</v>
      </c>
      <c r="S2357" t="s">
        <v>48931</v>
      </c>
      <c r="T2357" t="s">
        <v>48932</v>
      </c>
      <c r="U2357" t="s">
        <v>48933</v>
      </c>
      <c r="V2357" t="s">
        <v>48934</v>
      </c>
      <c r="W2357" t="s">
        <v>48935</v>
      </c>
      <c r="X2357" t="s">
        <v>48936</v>
      </c>
      <c r="Y2357" t="s">
        <v>48937</v>
      </c>
    </row>
    <row r="2358" spans="1:25" x14ac:dyDescent="0.3">
      <c r="A2358">
        <v>117850</v>
      </c>
      <c r="B2358" t="s">
        <v>48938</v>
      </c>
      <c r="C2358" t="s">
        <v>48939</v>
      </c>
      <c r="D2358" t="s">
        <v>48940</v>
      </c>
      <c r="E2358" t="s">
        <v>48941</v>
      </c>
      <c r="F2358" t="s">
        <v>48942</v>
      </c>
      <c r="G2358" t="s">
        <v>48943</v>
      </c>
      <c r="H2358" t="s">
        <v>48944</v>
      </c>
      <c r="I2358" t="s">
        <v>48945</v>
      </c>
      <c r="J2358" t="s">
        <v>48946</v>
      </c>
      <c r="K2358" t="s">
        <v>48947</v>
      </c>
      <c r="L2358" t="s">
        <v>48948</v>
      </c>
      <c r="M2358" t="s">
        <v>48949</v>
      </c>
      <c r="N2358" t="s">
        <v>48950</v>
      </c>
      <c r="O2358">
        <f>-767.898923287226 -76.2029463609242 -717.504905510943</f>
        <v>-1561.6067751590931</v>
      </c>
      <c r="P2358">
        <f>-719.065609610684 -66.8273519237382 -404.913093814523</f>
        <v>-1190.8060553489452</v>
      </c>
      <c r="Q2358">
        <f>-467.490551890232 -9.20675443317646 -372.790629955236</f>
        <v>-849.48793627864438</v>
      </c>
      <c r="R2358" t="s">
        <v>48951</v>
      </c>
      <c r="S2358" t="s">
        <v>48952</v>
      </c>
      <c r="T2358" t="s">
        <v>48953</v>
      </c>
      <c r="U2358" t="s">
        <v>48954</v>
      </c>
      <c r="V2358" t="s">
        <v>48955</v>
      </c>
      <c r="W2358" t="s">
        <v>48956</v>
      </c>
      <c r="X2358" t="s">
        <v>48957</v>
      </c>
      <c r="Y2358" t="s">
        <v>48958</v>
      </c>
    </row>
    <row r="2359" spans="1:25" x14ac:dyDescent="0.3">
      <c r="A2359">
        <v>117900</v>
      </c>
      <c r="B2359" t="s">
        <v>48959</v>
      </c>
      <c r="C2359" t="s">
        <v>48960</v>
      </c>
      <c r="D2359" t="s">
        <v>48961</v>
      </c>
      <c r="E2359" t="s">
        <v>48962</v>
      </c>
      <c r="F2359" t="s">
        <v>48963</v>
      </c>
      <c r="G2359" t="s">
        <v>48964</v>
      </c>
      <c r="H2359" t="s">
        <v>48965</v>
      </c>
      <c r="I2359" t="s">
        <v>48966</v>
      </c>
      <c r="J2359" t="s">
        <v>48967</v>
      </c>
      <c r="K2359" t="s">
        <v>48968</v>
      </c>
      <c r="L2359" t="s">
        <v>48969</v>
      </c>
      <c r="M2359" t="s">
        <v>48970</v>
      </c>
      <c r="N2359" t="s">
        <v>48971</v>
      </c>
      <c r="O2359">
        <f>-768.724275862903 -75.8196770104162 -717.423598430172</f>
        <v>-1561.9675513034913</v>
      </c>
      <c r="P2359">
        <f>-719.442198869941 -66.8146435116164 -404.891448049313</f>
        <v>-1191.1482904308705</v>
      </c>
      <c r="Q2359">
        <f>-467.526311277175 -10.0496760452195 -373.936732555774</f>
        <v>-851.51271987816847</v>
      </c>
      <c r="R2359" t="s">
        <v>48972</v>
      </c>
      <c r="S2359" t="s">
        <v>48973</v>
      </c>
      <c r="T2359" t="s">
        <v>48974</v>
      </c>
      <c r="U2359" t="s">
        <v>48975</v>
      </c>
      <c r="V2359" t="s">
        <v>48976</v>
      </c>
      <c r="W2359" t="s">
        <v>48977</v>
      </c>
      <c r="X2359" t="s">
        <v>48978</v>
      </c>
      <c r="Y2359" t="s">
        <v>48979</v>
      </c>
    </row>
    <row r="2360" spans="1:25" x14ac:dyDescent="0.3">
      <c r="A2360">
        <v>117950</v>
      </c>
      <c r="B2360" t="s">
        <v>48980</v>
      </c>
      <c r="C2360" t="s">
        <v>48981</v>
      </c>
      <c r="D2360" t="s">
        <v>48982</v>
      </c>
      <c r="E2360" t="s">
        <v>48983</v>
      </c>
      <c r="F2360" t="s">
        <v>48984</v>
      </c>
      <c r="G2360" t="s">
        <v>48985</v>
      </c>
      <c r="H2360" t="s">
        <v>48986</v>
      </c>
      <c r="I2360" t="s">
        <v>48987</v>
      </c>
      <c r="J2360" t="s">
        <v>48988</v>
      </c>
      <c r="K2360" t="s">
        <v>48989</v>
      </c>
      <c r="L2360" t="s">
        <v>48990</v>
      </c>
      <c r="M2360" t="s">
        <v>48991</v>
      </c>
      <c r="N2360" t="s">
        <v>48992</v>
      </c>
      <c r="O2360">
        <f>-769.777457762695 -74.457599028513 -717.636431805092</f>
        <v>-1561.8714885963</v>
      </c>
      <c r="P2360">
        <f>-719.913824478079 -66.5512054317219 -405.166814573571</f>
        <v>-1191.6318444833719</v>
      </c>
      <c r="Q2360">
        <f>-467.611372205079 -10.890014990679 -375.378442246559</f>
        <v>-853.87982944231703</v>
      </c>
      <c r="R2360" t="s">
        <v>48993</v>
      </c>
      <c r="S2360" t="s">
        <v>48994</v>
      </c>
      <c r="T2360" t="s">
        <v>48995</v>
      </c>
      <c r="U2360" t="s">
        <v>48996</v>
      </c>
      <c r="V2360" t="s">
        <v>48997</v>
      </c>
      <c r="W2360" t="s">
        <v>48998</v>
      </c>
      <c r="X2360" t="s">
        <v>48999</v>
      </c>
      <c r="Y2360" t="s">
        <v>49000</v>
      </c>
    </row>
    <row r="2361" spans="1:25" x14ac:dyDescent="0.3">
      <c r="A2361">
        <v>118000</v>
      </c>
      <c r="B2361" t="s">
        <v>49001</v>
      </c>
      <c r="C2361" t="s">
        <v>49002</v>
      </c>
      <c r="D2361" t="s">
        <v>49003</v>
      </c>
      <c r="E2361" t="s">
        <v>49004</v>
      </c>
      <c r="F2361" t="s">
        <v>49005</v>
      </c>
      <c r="G2361" t="s">
        <v>49006</v>
      </c>
      <c r="H2361" t="s">
        <v>49007</v>
      </c>
      <c r="I2361" t="s">
        <v>49008</v>
      </c>
      <c r="J2361" t="s">
        <v>49009</v>
      </c>
      <c r="K2361" t="s">
        <v>49010</v>
      </c>
      <c r="L2361" t="s">
        <v>49011</v>
      </c>
      <c r="M2361" t="s">
        <v>49012</v>
      </c>
      <c r="N2361" t="s">
        <v>49013</v>
      </c>
      <c r="O2361">
        <f>-770.453317154685 -73.849252163064 -717.735430473995</f>
        <v>-1562.0379997917439</v>
      </c>
      <c r="P2361">
        <f>-720.63204174662 -65.8797991667152 -405.260618782505</f>
        <v>-1191.7724596958401</v>
      </c>
      <c r="Q2361">
        <f>-468.155839746756 -11.0641256191632 -375.376059754746</f>
        <v>-854.59602512066522</v>
      </c>
      <c r="R2361" t="s">
        <v>49014</v>
      </c>
      <c r="S2361" t="s">
        <v>49015</v>
      </c>
      <c r="T2361" t="s">
        <v>49016</v>
      </c>
      <c r="U2361" t="s">
        <v>49017</v>
      </c>
      <c r="V2361" t="s">
        <v>49018</v>
      </c>
      <c r="W2361" t="s">
        <v>49019</v>
      </c>
      <c r="X2361" t="s">
        <v>49020</v>
      </c>
      <c r="Y2361" t="s">
        <v>49021</v>
      </c>
    </row>
    <row r="2362" spans="1:25" x14ac:dyDescent="0.3">
      <c r="A2362">
        <v>118050</v>
      </c>
      <c r="B2362" t="s">
        <v>49022</v>
      </c>
      <c r="C2362" t="s">
        <v>49023</v>
      </c>
      <c r="D2362" t="s">
        <v>49024</v>
      </c>
      <c r="E2362" t="s">
        <v>49025</v>
      </c>
      <c r="F2362" t="s">
        <v>49026</v>
      </c>
      <c r="G2362" t="s">
        <v>49027</v>
      </c>
      <c r="H2362" t="s">
        <v>49028</v>
      </c>
      <c r="I2362" t="s">
        <v>49029</v>
      </c>
      <c r="J2362" t="s">
        <v>49030</v>
      </c>
      <c r="K2362" t="s">
        <v>49031</v>
      </c>
      <c r="L2362" t="s">
        <v>49032</v>
      </c>
      <c r="M2362" t="s">
        <v>49033</v>
      </c>
      <c r="N2362" t="s">
        <v>49034</v>
      </c>
      <c r="O2362">
        <f>-771.81452590607 -72.4417546852264 -718.386036821368</f>
        <v>-1562.6423174126644</v>
      </c>
      <c r="P2362">
        <f>-722.398896180203 -64.1367097297928 -405.85551567269</f>
        <v>-1192.3911215826856</v>
      </c>
      <c r="Q2362">
        <f>-469.659924279363 -11.3690980974161 -374.540574446319</f>
        <v>-855.5695968230981</v>
      </c>
      <c r="R2362" t="s">
        <v>49035</v>
      </c>
      <c r="S2362" t="s">
        <v>49036</v>
      </c>
      <c r="T2362" t="s">
        <v>49037</v>
      </c>
      <c r="U2362" t="s">
        <v>49038</v>
      </c>
      <c r="V2362" t="s">
        <v>49039</v>
      </c>
      <c r="W2362" t="s">
        <v>49040</v>
      </c>
      <c r="X2362" t="s">
        <v>49041</v>
      </c>
      <c r="Y2362" t="s">
        <v>49042</v>
      </c>
    </row>
    <row r="2363" spans="1:25" x14ac:dyDescent="0.3">
      <c r="A2363">
        <v>118100</v>
      </c>
      <c r="B2363" t="s">
        <v>49043</v>
      </c>
      <c r="C2363" t="s">
        <v>49044</v>
      </c>
      <c r="D2363" t="s">
        <v>49045</v>
      </c>
      <c r="E2363" t="s">
        <v>49046</v>
      </c>
      <c r="F2363" t="s">
        <v>49047</v>
      </c>
      <c r="G2363" t="s">
        <v>49048</v>
      </c>
      <c r="H2363" t="s">
        <v>49049</v>
      </c>
      <c r="I2363" t="s">
        <v>49050</v>
      </c>
      <c r="J2363" t="s">
        <v>49051</v>
      </c>
      <c r="K2363" t="s">
        <v>49052</v>
      </c>
      <c r="L2363" t="s">
        <v>49053</v>
      </c>
      <c r="M2363" t="s">
        <v>49054</v>
      </c>
      <c r="N2363" t="s">
        <v>49055</v>
      </c>
      <c r="O2363">
        <f>-772.593482878475 -72.2693393199036 -718.636835150628</f>
        <v>-1563.4996573490066</v>
      </c>
      <c r="P2363">
        <f>-723.735417355362 -63.9202791548216 -406.019973110713</f>
        <v>-1193.6756696208965</v>
      </c>
      <c r="Q2363">
        <f>-470.92402762225 -12.108252645402 -373.709473115882</f>
        <v>-856.74175338353393</v>
      </c>
      <c r="R2363" t="s">
        <v>49056</v>
      </c>
      <c r="S2363" t="s">
        <v>49057</v>
      </c>
      <c r="T2363" t="s">
        <v>49058</v>
      </c>
      <c r="U2363" t="s">
        <v>49059</v>
      </c>
      <c r="V2363" t="s">
        <v>49060</v>
      </c>
      <c r="W2363" t="s">
        <v>49061</v>
      </c>
      <c r="X2363" t="s">
        <v>49062</v>
      </c>
      <c r="Y2363" t="s">
        <v>49063</v>
      </c>
    </row>
    <row r="2364" spans="1:25" x14ac:dyDescent="0.3">
      <c r="A2364">
        <v>118150</v>
      </c>
      <c r="B2364" t="s">
        <v>49064</v>
      </c>
      <c r="C2364" t="s">
        <v>49065</v>
      </c>
      <c r="D2364" t="s">
        <v>49066</v>
      </c>
      <c r="E2364" t="s">
        <v>49067</v>
      </c>
      <c r="F2364" t="s">
        <v>49068</v>
      </c>
      <c r="G2364" t="s">
        <v>49069</v>
      </c>
      <c r="H2364" t="s">
        <v>49070</v>
      </c>
      <c r="I2364" t="s">
        <v>49071</v>
      </c>
      <c r="J2364" t="s">
        <v>49072</v>
      </c>
      <c r="K2364" t="s">
        <v>49073</v>
      </c>
      <c r="L2364" t="s">
        <v>49074</v>
      </c>
      <c r="M2364" t="s">
        <v>49075</v>
      </c>
      <c r="N2364" t="s">
        <v>49076</v>
      </c>
      <c r="O2364">
        <f>-774.139989247445 -72.2083628207508 -719.0551711423</f>
        <v>-1565.4035232104957</v>
      </c>
      <c r="P2364">
        <f>-726.509752939685 -64.7569960329724 -406.226018371657</f>
        <v>-1197.4927673443144</v>
      </c>
      <c r="Q2364">
        <f>-473.607485805228 -14.4844632424131 -372.238507919698</f>
        <v>-860.33045696733916</v>
      </c>
      <c r="R2364" t="s">
        <v>49077</v>
      </c>
      <c r="S2364" t="s">
        <v>49078</v>
      </c>
      <c r="T2364" t="s">
        <v>49079</v>
      </c>
      <c r="U2364" t="s">
        <v>49080</v>
      </c>
      <c r="V2364" t="s">
        <v>49081</v>
      </c>
      <c r="W2364" t="s">
        <v>49082</v>
      </c>
      <c r="X2364" t="s">
        <v>49083</v>
      </c>
      <c r="Y2364" t="s">
        <v>49084</v>
      </c>
    </row>
    <row r="2365" spans="1:25" x14ac:dyDescent="0.3">
      <c r="A2365">
        <v>118200</v>
      </c>
      <c r="B2365" t="s">
        <v>49085</v>
      </c>
      <c r="C2365" t="s">
        <v>49086</v>
      </c>
      <c r="D2365" t="s">
        <v>49087</v>
      </c>
      <c r="E2365" t="s">
        <v>49088</v>
      </c>
      <c r="F2365" t="s">
        <v>49089</v>
      </c>
      <c r="G2365" t="s">
        <v>49090</v>
      </c>
      <c r="H2365" t="s">
        <v>49091</v>
      </c>
      <c r="I2365" t="s">
        <v>49092</v>
      </c>
      <c r="J2365" t="s">
        <v>49093</v>
      </c>
      <c r="K2365" t="s">
        <v>49094</v>
      </c>
      <c r="L2365" t="s">
        <v>49095</v>
      </c>
      <c r="M2365" t="s">
        <v>49096</v>
      </c>
      <c r="N2365" t="s">
        <v>49097</v>
      </c>
      <c r="O2365">
        <f>-774.887223357287 -72.3392739458648 -719.209869926377</f>
        <v>-1566.4363672295287</v>
      </c>
      <c r="P2365">
        <f>-727.875433920474 -65.0244386749405 -406.284053713333</f>
        <v>-1199.1839263087475</v>
      </c>
      <c r="Q2365">
        <f>-474.872326548542 -15.3630604204097 -372.148915246487</f>
        <v>-862.38430221543865</v>
      </c>
      <c r="R2365" t="s">
        <v>49098</v>
      </c>
      <c r="S2365" t="s">
        <v>49099</v>
      </c>
      <c r="T2365" t="s">
        <v>49100</v>
      </c>
      <c r="U2365" t="s">
        <v>49101</v>
      </c>
      <c r="V2365" t="s">
        <v>49102</v>
      </c>
      <c r="W2365" t="s">
        <v>49103</v>
      </c>
      <c r="X2365" t="s">
        <v>49104</v>
      </c>
      <c r="Y2365" t="s">
        <v>49105</v>
      </c>
    </row>
    <row r="2366" spans="1:25" x14ac:dyDescent="0.3">
      <c r="A2366">
        <v>118250</v>
      </c>
      <c r="B2366" t="s">
        <v>49106</v>
      </c>
      <c r="C2366" t="s">
        <v>49107</v>
      </c>
      <c r="D2366" t="s">
        <v>49108</v>
      </c>
      <c r="E2366" t="s">
        <v>49109</v>
      </c>
      <c r="F2366" t="s">
        <v>49110</v>
      </c>
      <c r="G2366" t="s">
        <v>49111</v>
      </c>
      <c r="H2366" t="s">
        <v>49112</v>
      </c>
      <c r="I2366" t="s">
        <v>49113</v>
      </c>
      <c r="J2366" t="s">
        <v>49114</v>
      </c>
      <c r="K2366" t="s">
        <v>49115</v>
      </c>
      <c r="L2366" t="s">
        <v>49116</v>
      </c>
      <c r="M2366" t="s">
        <v>49117</v>
      </c>
      <c r="N2366" t="s">
        <v>49118</v>
      </c>
      <c r="O2366">
        <f>-776.285073088343 -72.2005380574224 -719.656069424702</f>
        <v>-1568.1416805704673</v>
      </c>
      <c r="P2366">
        <f>-729.733190352301 -64.7743969147878 -406.664117892817</f>
        <v>-1201.1717051599057</v>
      </c>
      <c r="Q2366">
        <f>-476.655324025152 -15.670389606044 -372.277654695112</f>
        <v>-864.6033683263081</v>
      </c>
      <c r="R2366" t="s">
        <v>49119</v>
      </c>
      <c r="S2366" t="s">
        <v>49120</v>
      </c>
      <c r="T2366" t="s">
        <v>49121</v>
      </c>
      <c r="U2366" t="s">
        <v>49122</v>
      </c>
      <c r="V2366" t="s">
        <v>49123</v>
      </c>
      <c r="W2366" t="s">
        <v>49124</v>
      </c>
      <c r="X2366" t="s">
        <v>49125</v>
      </c>
      <c r="Y2366" t="s">
        <v>49126</v>
      </c>
    </row>
    <row r="2367" spans="1:25" x14ac:dyDescent="0.3">
      <c r="A2367">
        <v>118300</v>
      </c>
      <c r="B2367" t="s">
        <v>49127</v>
      </c>
      <c r="C2367" t="s">
        <v>49128</v>
      </c>
      <c r="D2367" t="s">
        <v>49129</v>
      </c>
      <c r="E2367" t="s">
        <v>49130</v>
      </c>
      <c r="F2367" t="s">
        <v>49131</v>
      </c>
      <c r="G2367" t="s">
        <v>49132</v>
      </c>
      <c r="H2367" t="s">
        <v>49133</v>
      </c>
      <c r="I2367" t="s">
        <v>49134</v>
      </c>
      <c r="J2367" t="s">
        <v>49135</v>
      </c>
      <c r="K2367" t="s">
        <v>49136</v>
      </c>
      <c r="L2367" t="s">
        <v>49137</v>
      </c>
      <c r="M2367" t="s">
        <v>49138</v>
      </c>
      <c r="N2367" t="s">
        <v>49139</v>
      </c>
      <c r="O2367">
        <f>-777.165472392695 -72.2242513765154 -719.842331840462</f>
        <v>-1569.2320556096724</v>
      </c>
      <c r="P2367">
        <f>-730.594194715726 -64.7508475532104 -406.85441106305</f>
        <v>-1202.1994533319864</v>
      </c>
      <c r="Q2367">
        <f>-477.57562289633 -15.6441203215918 -372.037697405511</f>
        <v>-865.25744062343279</v>
      </c>
      <c r="R2367" t="s">
        <v>49140</v>
      </c>
      <c r="S2367" t="s">
        <v>49141</v>
      </c>
      <c r="T2367" t="s">
        <v>49142</v>
      </c>
      <c r="U2367" t="s">
        <v>49143</v>
      </c>
      <c r="V2367" t="s">
        <v>49144</v>
      </c>
      <c r="W2367" t="s">
        <v>49145</v>
      </c>
      <c r="X2367" t="s">
        <v>49146</v>
      </c>
      <c r="Y2367" t="s">
        <v>49147</v>
      </c>
    </row>
    <row r="2368" spans="1:25" x14ac:dyDescent="0.3">
      <c r="A2368">
        <v>118350</v>
      </c>
      <c r="B2368" t="s">
        <v>49148</v>
      </c>
      <c r="C2368" t="s">
        <v>49149</v>
      </c>
      <c r="D2368" t="s">
        <v>49150</v>
      </c>
      <c r="E2368" t="s">
        <v>49151</v>
      </c>
      <c r="F2368" t="s">
        <v>49152</v>
      </c>
      <c r="G2368" t="s">
        <v>49153</v>
      </c>
      <c r="H2368" t="s">
        <v>49154</v>
      </c>
      <c r="I2368" t="s">
        <v>49155</v>
      </c>
      <c r="J2368" t="s">
        <v>49156</v>
      </c>
      <c r="K2368" t="s">
        <v>49157</v>
      </c>
      <c r="L2368" t="s">
        <v>49158</v>
      </c>
      <c r="M2368" t="s">
        <v>49159</v>
      </c>
      <c r="N2368" t="s">
        <v>49160</v>
      </c>
      <c r="O2368">
        <f>-778.94540485243 -72.5069407445008 -720.078444052435</f>
        <v>-1571.5307896493657</v>
      </c>
      <c r="P2368">
        <f>-732.115680811326 -64.7016028827895 -407.137225114209</f>
        <v>-1203.9545088083246</v>
      </c>
      <c r="Q2368">
        <f>-479.412573445725 -14.6720484741916 -371.357133126829</f>
        <v>-865.44175504674558</v>
      </c>
      <c r="R2368" t="s">
        <v>49161</v>
      </c>
      <c r="S2368" t="s">
        <v>49162</v>
      </c>
      <c r="T2368" t="s">
        <v>49163</v>
      </c>
      <c r="U2368" t="s">
        <v>49164</v>
      </c>
      <c r="V2368" t="s">
        <v>49165</v>
      </c>
      <c r="W2368" t="s">
        <v>49166</v>
      </c>
      <c r="X2368" t="s">
        <v>49167</v>
      </c>
      <c r="Y2368" t="s">
        <v>49168</v>
      </c>
    </row>
    <row r="2369" spans="1:25" x14ac:dyDescent="0.3">
      <c r="A2369">
        <v>118400</v>
      </c>
      <c r="B2369" t="s">
        <v>49169</v>
      </c>
      <c r="C2369" t="s">
        <v>49170</v>
      </c>
      <c r="D2369" t="s">
        <v>49171</v>
      </c>
      <c r="E2369" t="s">
        <v>49172</v>
      </c>
      <c r="F2369" t="s">
        <v>49173</v>
      </c>
      <c r="G2369" t="s">
        <v>49174</v>
      </c>
      <c r="H2369" t="s">
        <v>49175</v>
      </c>
      <c r="I2369" t="s">
        <v>49176</v>
      </c>
      <c r="J2369" t="s">
        <v>49177</v>
      </c>
      <c r="K2369" t="s">
        <v>49178</v>
      </c>
      <c r="L2369" t="s">
        <v>49179</v>
      </c>
      <c r="M2369" t="s">
        <v>49180</v>
      </c>
      <c r="N2369" t="s">
        <v>49181</v>
      </c>
      <c r="O2369">
        <f>-779.870405071504 -72.7037270564783 -720.057201814698</f>
        <v>-1572.6313339426804</v>
      </c>
      <c r="P2369">
        <f>-732.942655610585 -64.6958952085263 -407.135836481483</f>
        <v>-1204.7743873005943</v>
      </c>
      <c r="Q2369">
        <f>-480.359689613957 -14.0585440260418 -371.361985595295</f>
        <v>-865.78021923529377</v>
      </c>
      <c r="R2369" t="s">
        <v>49182</v>
      </c>
      <c r="S2369" t="s">
        <v>49183</v>
      </c>
      <c r="T2369" t="s">
        <v>49184</v>
      </c>
      <c r="U2369" t="s">
        <v>49185</v>
      </c>
      <c r="V2369" t="s">
        <v>49186</v>
      </c>
      <c r="W2369" t="s">
        <v>49187</v>
      </c>
      <c r="X2369" t="s">
        <v>49188</v>
      </c>
      <c r="Y2369" t="s">
        <v>49189</v>
      </c>
    </row>
    <row r="2370" spans="1:25" x14ac:dyDescent="0.3">
      <c r="A2370">
        <v>118450</v>
      </c>
      <c r="B2370" t="s">
        <v>49190</v>
      </c>
      <c r="C2370" t="s">
        <v>49191</v>
      </c>
      <c r="D2370" t="s">
        <v>49192</v>
      </c>
      <c r="E2370" t="s">
        <v>49193</v>
      </c>
      <c r="F2370" t="s">
        <v>49194</v>
      </c>
      <c r="G2370" t="s">
        <v>49195</v>
      </c>
      <c r="H2370" t="s">
        <v>49196</v>
      </c>
      <c r="I2370" t="s">
        <v>49197</v>
      </c>
      <c r="J2370" t="s">
        <v>49198</v>
      </c>
      <c r="K2370" t="s">
        <v>49199</v>
      </c>
      <c r="L2370" t="s">
        <v>49200</v>
      </c>
      <c r="M2370" t="s">
        <v>49201</v>
      </c>
      <c r="N2370" t="s">
        <v>49202</v>
      </c>
      <c r="O2370">
        <f>-781.296586088438 -72.9729177516467 -719.911848092546</f>
        <v>-1574.1813519326306</v>
      </c>
      <c r="P2370">
        <f>-734.293190950782 -64.6748988292259 -407.009373700373</f>
        <v>-1205.9774634803807</v>
      </c>
      <c r="Q2370">
        <f>-481.909320904363 -13.0486296720469 -371.243666171885</f>
        <v>-866.20161674829501</v>
      </c>
      <c r="R2370" t="s">
        <v>49203</v>
      </c>
      <c r="S2370" t="s">
        <v>49204</v>
      </c>
      <c r="T2370" t="s">
        <v>49205</v>
      </c>
      <c r="U2370" t="s">
        <v>49206</v>
      </c>
      <c r="V2370" t="s">
        <v>49207</v>
      </c>
      <c r="W2370" t="s">
        <v>49208</v>
      </c>
      <c r="X2370" t="s">
        <v>49209</v>
      </c>
      <c r="Y2370" t="s">
        <v>49210</v>
      </c>
    </row>
    <row r="2371" spans="1:25" x14ac:dyDescent="0.3">
      <c r="A2371">
        <v>118500</v>
      </c>
      <c r="B2371" t="s">
        <v>49211</v>
      </c>
      <c r="C2371" t="s">
        <v>49212</v>
      </c>
      <c r="D2371" t="s">
        <v>49213</v>
      </c>
      <c r="E2371" t="s">
        <v>49214</v>
      </c>
      <c r="F2371" t="s">
        <v>49215</v>
      </c>
      <c r="G2371" t="s">
        <v>49216</v>
      </c>
      <c r="H2371" t="s">
        <v>49217</v>
      </c>
      <c r="I2371" t="s">
        <v>49218</v>
      </c>
      <c r="J2371" t="s">
        <v>49219</v>
      </c>
      <c r="K2371" t="s">
        <v>49220</v>
      </c>
      <c r="L2371" t="s">
        <v>49221</v>
      </c>
      <c r="M2371" t="s">
        <v>49222</v>
      </c>
      <c r="N2371" t="s">
        <v>49223</v>
      </c>
      <c r="O2371">
        <f>-781.941053582549 -73.145124890578 -719.834908388409</f>
        <v>-1574.921086861536</v>
      </c>
      <c r="P2371">
        <f>-735.113607942608 -64.7206561016299 -406.909457275973</f>
        <v>-1206.7437213202109</v>
      </c>
      <c r="Q2371">
        <f>-482.828764623302 -12.6338242163615 -371.114145425809</f>
        <v>-866.57673426547251</v>
      </c>
      <c r="R2371" t="s">
        <v>49224</v>
      </c>
      <c r="S2371" t="s">
        <v>49225</v>
      </c>
      <c r="T2371" t="s">
        <v>49226</v>
      </c>
      <c r="U2371" t="s">
        <v>49227</v>
      </c>
      <c r="V2371" t="s">
        <v>49228</v>
      </c>
      <c r="W2371" t="s">
        <v>49229</v>
      </c>
      <c r="X2371" t="s">
        <v>49230</v>
      </c>
      <c r="Y2371" t="s">
        <v>49231</v>
      </c>
    </row>
    <row r="2372" spans="1:25" x14ac:dyDescent="0.3">
      <c r="A2372">
        <v>118550</v>
      </c>
      <c r="B2372" t="s">
        <v>49232</v>
      </c>
      <c r="C2372" t="s">
        <v>49233</v>
      </c>
      <c r="D2372" t="s">
        <v>49234</v>
      </c>
      <c r="E2372" t="s">
        <v>49235</v>
      </c>
      <c r="F2372" t="s">
        <v>49236</v>
      </c>
      <c r="G2372" t="s">
        <v>49237</v>
      </c>
      <c r="H2372" t="s">
        <v>49238</v>
      </c>
      <c r="I2372" t="s">
        <v>49239</v>
      </c>
      <c r="J2372" t="s">
        <v>49240</v>
      </c>
      <c r="K2372" t="s">
        <v>49241</v>
      </c>
      <c r="L2372" t="s">
        <v>49242</v>
      </c>
      <c r="M2372" t="s">
        <v>49243</v>
      </c>
      <c r="N2372" t="s">
        <v>49244</v>
      </c>
      <c r="O2372">
        <f>-783.147525380757 -73.4130033473118 -719.78046925481</f>
        <v>-1576.3409979828789</v>
      </c>
      <c r="P2372">
        <f>-736.220393276925 -64.9699697315991 -406.870439671826</f>
        <v>-1208.0608026803502</v>
      </c>
      <c r="Q2372">
        <f>-484.013582479562 -12.3656530989581 -371.281012695193</f>
        <v>-867.66024827371302</v>
      </c>
      <c r="R2372" t="s">
        <v>49245</v>
      </c>
      <c r="S2372" t="s">
        <v>49246</v>
      </c>
      <c r="T2372" t="s">
        <v>49247</v>
      </c>
      <c r="U2372" t="s">
        <v>49248</v>
      </c>
      <c r="V2372" t="s">
        <v>49249</v>
      </c>
      <c r="W2372" t="s">
        <v>49250</v>
      </c>
      <c r="X2372" t="s">
        <v>49251</v>
      </c>
      <c r="Y2372" t="s">
        <v>49252</v>
      </c>
    </row>
    <row r="2373" spans="1:25" x14ac:dyDescent="0.3">
      <c r="A2373">
        <v>118600</v>
      </c>
      <c r="B2373" t="s">
        <v>49253</v>
      </c>
      <c r="C2373" t="s">
        <v>49254</v>
      </c>
      <c r="D2373" t="s">
        <v>49255</v>
      </c>
      <c r="E2373" t="s">
        <v>49256</v>
      </c>
      <c r="F2373" t="s">
        <v>49257</v>
      </c>
      <c r="G2373" t="s">
        <v>49258</v>
      </c>
      <c r="H2373" t="s">
        <v>49259</v>
      </c>
      <c r="I2373" t="s">
        <v>49260</v>
      </c>
      <c r="J2373" t="s">
        <v>49261</v>
      </c>
      <c r="K2373" t="s">
        <v>49262</v>
      </c>
      <c r="L2373" t="s">
        <v>49263</v>
      </c>
      <c r="M2373" t="s">
        <v>49264</v>
      </c>
      <c r="N2373" t="s">
        <v>49265</v>
      </c>
      <c r="O2373">
        <f>-783.941335128749 -73.4570956080709 -719.733694554933</f>
        <v>-1577.1321252917528</v>
      </c>
      <c r="P2373">
        <f>-736.799223205475 -65.0606703102599 -406.854597500778</f>
        <v>-1208.714491016513</v>
      </c>
      <c r="Q2373">
        <f>-484.592070537298 -12.3359836325967 -371.446872003838</f>
        <v>-868.37492617373277</v>
      </c>
      <c r="R2373" t="s">
        <v>49266</v>
      </c>
      <c r="S2373" t="s">
        <v>49267</v>
      </c>
      <c r="T2373" t="s">
        <v>49268</v>
      </c>
      <c r="U2373" t="s">
        <v>49269</v>
      </c>
      <c r="V2373" t="s">
        <v>49270</v>
      </c>
      <c r="W2373" t="s">
        <v>49271</v>
      </c>
      <c r="X2373" t="s">
        <v>49272</v>
      </c>
      <c r="Y2373" t="s">
        <v>49273</v>
      </c>
    </row>
    <row r="2374" spans="1:25" x14ac:dyDescent="0.3">
      <c r="A2374">
        <v>118650</v>
      </c>
      <c r="B2374" t="s">
        <v>49274</v>
      </c>
      <c r="C2374" t="s">
        <v>49275</v>
      </c>
      <c r="D2374" t="s">
        <v>49276</v>
      </c>
      <c r="E2374" t="s">
        <v>49277</v>
      </c>
      <c r="F2374" t="s">
        <v>49278</v>
      </c>
      <c r="G2374" t="s">
        <v>49279</v>
      </c>
      <c r="H2374" t="s">
        <v>49280</v>
      </c>
      <c r="I2374" t="s">
        <v>49281</v>
      </c>
      <c r="J2374" t="s">
        <v>49282</v>
      </c>
      <c r="K2374" t="s">
        <v>49283</v>
      </c>
      <c r="L2374" t="s">
        <v>49284</v>
      </c>
      <c r="M2374" t="s">
        <v>49285</v>
      </c>
      <c r="N2374" t="s">
        <v>49286</v>
      </c>
      <c r="O2374">
        <f>-785.365926553672 -73.8675140124099 -719.51909305245</f>
        <v>-1578.7525336185317</v>
      </c>
      <c r="P2374">
        <f>-737.441002224644 -65.4780311641352 -406.758815792748</f>
        <v>-1209.6778491815271</v>
      </c>
      <c r="Q2374">
        <f>-485.162145180898 -12.7110423634565 -371.93010177117</f>
        <v>-869.80328931552447</v>
      </c>
      <c r="R2374" t="s">
        <v>49287</v>
      </c>
      <c r="S2374" t="s">
        <v>49288</v>
      </c>
      <c r="T2374" t="s">
        <v>49289</v>
      </c>
      <c r="U2374" t="s">
        <v>49290</v>
      </c>
      <c r="V2374" t="s">
        <v>49291</v>
      </c>
      <c r="W2374" t="s">
        <v>49292</v>
      </c>
      <c r="X2374" t="s">
        <v>49293</v>
      </c>
      <c r="Y2374" t="s">
        <v>49294</v>
      </c>
    </row>
    <row r="2375" spans="1:25" x14ac:dyDescent="0.3">
      <c r="A2375">
        <v>118700</v>
      </c>
      <c r="B2375" t="s">
        <v>49295</v>
      </c>
      <c r="C2375" t="s">
        <v>49296</v>
      </c>
      <c r="D2375" t="s">
        <v>49297</v>
      </c>
      <c r="E2375" t="s">
        <v>49298</v>
      </c>
      <c r="F2375" t="s">
        <v>49299</v>
      </c>
      <c r="G2375" t="s">
        <v>49300</v>
      </c>
      <c r="H2375" t="s">
        <v>49301</v>
      </c>
      <c r="I2375" t="s">
        <v>49302</v>
      </c>
      <c r="J2375" t="s">
        <v>49303</v>
      </c>
      <c r="K2375" t="s">
        <v>49304</v>
      </c>
      <c r="L2375" t="s">
        <v>49305</v>
      </c>
      <c r="M2375" t="s">
        <v>49306</v>
      </c>
      <c r="N2375" t="s">
        <v>49307</v>
      </c>
      <c r="O2375">
        <f>-785.982509543685 -74.1962410303215 -719.387868438539</f>
        <v>-1579.5666190125455</v>
      </c>
      <c r="P2375">
        <f>-737.852452821812 -65.6214204118239 -406.664086292205</f>
        <v>-1210.1379595258409</v>
      </c>
      <c r="Q2375">
        <f>-485.591376849922 -12.5873011548515 -372.113125278307</f>
        <v>-870.29180328308053</v>
      </c>
      <c r="R2375" t="s">
        <v>49308</v>
      </c>
      <c r="S2375" t="s">
        <v>49309</v>
      </c>
      <c r="T2375" t="s">
        <v>49310</v>
      </c>
      <c r="U2375" t="s">
        <v>49311</v>
      </c>
      <c r="V2375" t="s">
        <v>49312</v>
      </c>
      <c r="W2375" t="s">
        <v>49313</v>
      </c>
      <c r="X2375" t="s">
        <v>49314</v>
      </c>
      <c r="Y2375" t="s">
        <v>49315</v>
      </c>
    </row>
    <row r="2376" spans="1:25" x14ac:dyDescent="0.3">
      <c r="A2376">
        <v>118750</v>
      </c>
      <c r="B2376" t="s">
        <v>49316</v>
      </c>
      <c r="C2376" t="s">
        <v>49317</v>
      </c>
      <c r="D2376" t="s">
        <v>49318</v>
      </c>
      <c r="E2376" t="s">
        <v>49319</v>
      </c>
      <c r="F2376" t="s">
        <v>49320</v>
      </c>
      <c r="G2376" t="s">
        <v>49321</v>
      </c>
      <c r="H2376" t="s">
        <v>49322</v>
      </c>
      <c r="I2376" t="s">
        <v>49323</v>
      </c>
      <c r="J2376" t="s">
        <v>49324</v>
      </c>
      <c r="K2376" t="s">
        <v>49325</v>
      </c>
      <c r="L2376" t="s">
        <v>49326</v>
      </c>
      <c r="M2376" t="s">
        <v>49327</v>
      </c>
      <c r="N2376" t="s">
        <v>49328</v>
      </c>
      <c r="O2376">
        <f>-786.901435547592 -74.8224152529815 -719.224156128777</f>
        <v>-1580.9480069293504</v>
      </c>
      <c r="P2376">
        <f>-738.54701480891 -66.0287173426702 -406.541047855633</f>
        <v>-1211.1167800072133</v>
      </c>
      <c r="Q2376">
        <f>-486.328582991965 -12.5898581125807 -372.304052423422</f>
        <v>-871.22249352796769</v>
      </c>
      <c r="R2376" t="s">
        <v>49329</v>
      </c>
      <c r="S2376" t="s">
        <v>49330</v>
      </c>
      <c r="T2376" t="s">
        <v>49331</v>
      </c>
      <c r="U2376" t="s">
        <v>49332</v>
      </c>
      <c r="V2376" t="s">
        <v>49333</v>
      </c>
      <c r="W2376" t="s">
        <v>49334</v>
      </c>
      <c r="X2376" t="s">
        <v>49335</v>
      </c>
      <c r="Y2376" t="s">
        <v>49336</v>
      </c>
    </row>
    <row r="2377" spans="1:25" x14ac:dyDescent="0.3">
      <c r="A2377">
        <v>118800</v>
      </c>
      <c r="B2377" t="s">
        <v>49337</v>
      </c>
      <c r="C2377" t="s">
        <v>49338</v>
      </c>
      <c r="D2377" t="s">
        <v>49339</v>
      </c>
      <c r="E2377" t="s">
        <v>49340</v>
      </c>
      <c r="F2377" t="s">
        <v>49341</v>
      </c>
      <c r="G2377" t="s">
        <v>49342</v>
      </c>
      <c r="H2377" t="s">
        <v>49343</v>
      </c>
      <c r="I2377" t="s">
        <v>49344</v>
      </c>
      <c r="J2377" t="s">
        <v>49345</v>
      </c>
      <c r="K2377" t="s">
        <v>49346</v>
      </c>
      <c r="L2377" t="s">
        <v>49347</v>
      </c>
      <c r="M2377" t="s">
        <v>49348</v>
      </c>
      <c r="N2377" t="s">
        <v>49349</v>
      </c>
      <c r="O2377">
        <f>-787.188355212439 -75.1008720022317 -719.226637324071</f>
        <v>-1581.5158645387417</v>
      </c>
      <c r="P2377">
        <f>-738.772431411931 -66.2245153202261 -406.555515597496</f>
        <v>-1211.5524623296533</v>
      </c>
      <c r="Q2377">
        <f>-486.59063042153 -12.5573484741599 -372.405530330596</f>
        <v>-871.55350922628588</v>
      </c>
      <c r="R2377" t="s">
        <v>49350</v>
      </c>
      <c r="S2377" t="s">
        <v>49351</v>
      </c>
      <c r="T2377" t="s">
        <v>49352</v>
      </c>
      <c r="U2377" t="s">
        <v>49353</v>
      </c>
      <c r="V2377" t="s">
        <v>49354</v>
      </c>
      <c r="W2377" t="s">
        <v>49355</v>
      </c>
      <c r="X2377" t="s">
        <v>49356</v>
      </c>
      <c r="Y2377" t="s">
        <v>49357</v>
      </c>
    </row>
    <row r="2378" spans="1:25" x14ac:dyDescent="0.3">
      <c r="A2378">
        <v>118850</v>
      </c>
      <c r="B2378" t="s">
        <v>49358</v>
      </c>
      <c r="C2378" t="s">
        <v>49359</v>
      </c>
      <c r="D2378" t="s">
        <v>49360</v>
      </c>
      <c r="E2378" t="s">
        <v>49361</v>
      </c>
      <c r="F2378" t="s">
        <v>49362</v>
      </c>
      <c r="G2378" t="s">
        <v>49363</v>
      </c>
      <c r="H2378" t="s">
        <v>49364</v>
      </c>
      <c r="I2378" t="s">
        <v>49365</v>
      </c>
      <c r="J2378" t="s">
        <v>49366</v>
      </c>
      <c r="K2378" t="s">
        <v>49367</v>
      </c>
      <c r="L2378" t="s">
        <v>49368</v>
      </c>
      <c r="M2378" t="s">
        <v>49369</v>
      </c>
      <c r="N2378" t="s">
        <v>49370</v>
      </c>
      <c r="O2378">
        <f>-787.850605688115 -75.5126108686022 -719.276772747296</f>
        <v>-1582.6399893040134</v>
      </c>
      <c r="P2378">
        <f>-739.047155311531 -66.3590386797432 -406.673732435064</f>
        <v>-1212.0799264263383</v>
      </c>
      <c r="Q2378">
        <f>-486.854216894162 -12.6732653952233 -372.635653235155</f>
        <v>-872.16313552454039</v>
      </c>
      <c r="R2378" t="s">
        <v>49371</v>
      </c>
      <c r="S2378" t="s">
        <v>49372</v>
      </c>
      <c r="T2378" t="s">
        <v>49373</v>
      </c>
      <c r="U2378" t="s">
        <v>49374</v>
      </c>
      <c r="V2378" t="s">
        <v>49375</v>
      </c>
      <c r="W2378" t="s">
        <v>49376</v>
      </c>
      <c r="X2378" t="s">
        <v>49377</v>
      </c>
      <c r="Y2378" t="s">
        <v>49378</v>
      </c>
    </row>
    <row r="2379" spans="1:25" x14ac:dyDescent="0.3">
      <c r="A2379">
        <v>118900</v>
      </c>
      <c r="B2379" t="s">
        <v>49379</v>
      </c>
      <c r="C2379" t="s">
        <v>49380</v>
      </c>
      <c r="D2379" t="s">
        <v>49381</v>
      </c>
      <c r="E2379" t="s">
        <v>49382</v>
      </c>
      <c r="F2379" t="s">
        <v>49383</v>
      </c>
      <c r="G2379" t="s">
        <v>49384</v>
      </c>
      <c r="H2379" t="s">
        <v>49385</v>
      </c>
      <c r="I2379" t="s">
        <v>49386</v>
      </c>
      <c r="J2379" t="s">
        <v>49387</v>
      </c>
      <c r="K2379" t="s">
        <v>49388</v>
      </c>
      <c r="L2379" t="s">
        <v>49389</v>
      </c>
      <c r="M2379" t="s">
        <v>49390</v>
      </c>
      <c r="N2379" t="s">
        <v>49391</v>
      </c>
      <c r="O2379">
        <f>-788.064284875616 -75.7575649761191 -719.342133244203</f>
        <v>-1583.163983095938</v>
      </c>
      <c r="P2379">
        <f>-739.056342080022 -66.5152990655845 -406.773695113269</f>
        <v>-1212.3453362588755</v>
      </c>
      <c r="Q2379">
        <f>-486.869997574491 -12.698885652929 -372.893256066691</f>
        <v>-872.46213929411101</v>
      </c>
      <c r="R2379" t="s">
        <v>49392</v>
      </c>
      <c r="S2379" t="s">
        <v>49393</v>
      </c>
      <c r="T2379" t="s">
        <v>49394</v>
      </c>
      <c r="U2379" t="s">
        <v>49395</v>
      </c>
      <c r="V2379" t="s">
        <v>49396</v>
      </c>
      <c r="W2379" t="s">
        <v>49397</v>
      </c>
      <c r="X2379" t="s">
        <v>49398</v>
      </c>
      <c r="Y2379" t="s">
        <v>49399</v>
      </c>
    </row>
    <row r="2380" spans="1:25" x14ac:dyDescent="0.3">
      <c r="A2380">
        <v>118950</v>
      </c>
      <c r="B2380" t="s">
        <v>49400</v>
      </c>
      <c r="C2380" t="s">
        <v>49401</v>
      </c>
      <c r="D2380" t="s">
        <v>49402</v>
      </c>
      <c r="E2380" t="s">
        <v>49403</v>
      </c>
      <c r="F2380" t="s">
        <v>49404</v>
      </c>
      <c r="G2380" t="s">
        <v>49405</v>
      </c>
      <c r="H2380" t="s">
        <v>49406</v>
      </c>
      <c r="I2380" t="s">
        <v>49407</v>
      </c>
      <c r="J2380" t="s">
        <v>49408</v>
      </c>
      <c r="K2380" t="s">
        <v>49409</v>
      </c>
      <c r="L2380" t="s">
        <v>49410</v>
      </c>
      <c r="M2380" t="s">
        <v>49411</v>
      </c>
      <c r="N2380" t="s">
        <v>49412</v>
      </c>
      <c r="O2380">
        <f>-788.463311068097 -76.0699321782433 -719.529861032735</f>
        <v>-1584.0631042790753</v>
      </c>
      <c r="P2380">
        <f>-739.115854697638 -66.9266954001102 -407.012043878605</f>
        <v>-1213.0545939763533</v>
      </c>
      <c r="Q2380">
        <f>-487.009443862351 -12.7855186813583 -373.053656752156</f>
        <v>-872.84861929586532</v>
      </c>
      <c r="R2380" t="s">
        <v>49413</v>
      </c>
      <c r="S2380" t="s">
        <v>49414</v>
      </c>
      <c r="T2380" t="s">
        <v>49415</v>
      </c>
      <c r="U2380" t="s">
        <v>49416</v>
      </c>
      <c r="V2380" t="s">
        <v>49417</v>
      </c>
      <c r="W2380" t="s">
        <v>49418</v>
      </c>
      <c r="X2380" t="s">
        <v>49419</v>
      </c>
      <c r="Y2380" t="s">
        <v>49420</v>
      </c>
    </row>
    <row r="2381" spans="1:25" x14ac:dyDescent="0.3">
      <c r="A2381">
        <v>119000</v>
      </c>
      <c r="B2381" t="s">
        <v>49421</v>
      </c>
      <c r="C2381" t="s">
        <v>49422</v>
      </c>
      <c r="D2381" t="s">
        <v>49423</v>
      </c>
      <c r="E2381" t="s">
        <v>49424</v>
      </c>
      <c r="F2381" t="s">
        <v>49425</v>
      </c>
      <c r="G2381" t="s">
        <v>49426</v>
      </c>
      <c r="H2381" t="s">
        <v>49427</v>
      </c>
      <c r="I2381" t="s">
        <v>49428</v>
      </c>
      <c r="J2381" t="s">
        <v>49429</v>
      </c>
      <c r="K2381" t="s">
        <v>49430</v>
      </c>
      <c r="L2381" t="s">
        <v>49431</v>
      </c>
      <c r="M2381" t="s">
        <v>49432</v>
      </c>
      <c r="N2381" t="s">
        <v>49433</v>
      </c>
      <c r="O2381">
        <f>-788.451970177086 -76.2013091535175 -719.6831976309</f>
        <v>-1584.3364769615036</v>
      </c>
      <c r="P2381">
        <f>-739.239907896889 -67.3261234937597 -407.136267303303</f>
        <v>-1213.7022986939517</v>
      </c>
      <c r="Q2381">
        <f>-487.17833146641 -12.8844314277037 -373.325868663232</f>
        <v>-873.38863155734566</v>
      </c>
      <c r="R2381" t="s">
        <v>49434</v>
      </c>
      <c r="S2381" t="s">
        <v>49435</v>
      </c>
      <c r="T2381" t="s">
        <v>49436</v>
      </c>
      <c r="U2381" t="s">
        <v>49437</v>
      </c>
      <c r="V2381" t="s">
        <v>49438</v>
      </c>
      <c r="W2381" t="s">
        <v>49439</v>
      </c>
      <c r="X2381" t="s">
        <v>49440</v>
      </c>
      <c r="Y2381" t="s">
        <v>49441</v>
      </c>
    </row>
    <row r="2382" spans="1:25" x14ac:dyDescent="0.3">
      <c r="A2382">
        <v>119050</v>
      </c>
      <c r="B2382" t="s">
        <v>49442</v>
      </c>
      <c r="C2382" t="s">
        <v>49443</v>
      </c>
      <c r="D2382" t="s">
        <v>49444</v>
      </c>
      <c r="E2382" t="s">
        <v>49445</v>
      </c>
      <c r="F2382" t="s">
        <v>49446</v>
      </c>
      <c r="G2382" t="s">
        <v>49447</v>
      </c>
      <c r="H2382" t="s">
        <v>49448</v>
      </c>
      <c r="I2382" t="s">
        <v>49449</v>
      </c>
      <c r="J2382" t="s">
        <v>49450</v>
      </c>
      <c r="K2382" t="s">
        <v>49451</v>
      </c>
      <c r="L2382" t="s">
        <v>49452</v>
      </c>
      <c r="M2382" t="s">
        <v>49453</v>
      </c>
      <c r="N2382" t="s">
        <v>49454</v>
      </c>
      <c r="O2382">
        <f>-788.283826589519 -75.9966241964792 -720.1016661422</f>
        <v>-1584.3821169281982</v>
      </c>
      <c r="P2382">
        <f>-739.135362656097 -67.319493549041 -407.539125889817</f>
        <v>-1213.9939820949548</v>
      </c>
      <c r="Q2382">
        <f>-487.147376577511 -12.3053994697821 -374.109116516382</f>
        <v>-873.5618925636752</v>
      </c>
      <c r="R2382" t="s">
        <v>49455</v>
      </c>
      <c r="S2382" t="s">
        <v>49456</v>
      </c>
      <c r="T2382" t="s">
        <v>49457</v>
      </c>
      <c r="U2382" t="s">
        <v>49458</v>
      </c>
      <c r="V2382" t="s">
        <v>49459</v>
      </c>
      <c r="W2382" t="s">
        <v>49460</v>
      </c>
      <c r="X2382" t="s">
        <v>49461</v>
      </c>
      <c r="Y2382" t="s">
        <v>49462</v>
      </c>
    </row>
    <row r="2383" spans="1:25" x14ac:dyDescent="0.3">
      <c r="A2383">
        <v>119100</v>
      </c>
      <c r="B2383" t="s">
        <v>49463</v>
      </c>
      <c r="C2383" t="s">
        <v>49464</v>
      </c>
      <c r="D2383" t="s">
        <v>49465</v>
      </c>
      <c r="E2383" t="s">
        <v>49466</v>
      </c>
      <c r="F2383" t="s">
        <v>49467</v>
      </c>
      <c r="G2383" t="s">
        <v>49468</v>
      </c>
      <c r="H2383" t="s">
        <v>49469</v>
      </c>
      <c r="I2383" t="s">
        <v>49470</v>
      </c>
      <c r="J2383" t="s">
        <v>49471</v>
      </c>
      <c r="K2383" t="s">
        <v>49472</v>
      </c>
      <c r="L2383" t="s">
        <v>49473</v>
      </c>
      <c r="M2383" t="s">
        <v>49474</v>
      </c>
      <c r="N2383" t="s">
        <v>49475</v>
      </c>
      <c r="O2383">
        <f>-788.276131577186 -75.902654667919 -720.278092817675</f>
        <v>-1584.45687906278</v>
      </c>
      <c r="P2383">
        <f>-739.104541624153 -67.2896918970009 -407.717482151807</f>
        <v>-1214.1117156729608</v>
      </c>
      <c r="Q2383">
        <f>-487.141951342409 -12.0068190849304 -374.540319352647</f>
        <v>-873.68908977998638</v>
      </c>
      <c r="R2383" t="s">
        <v>49476</v>
      </c>
      <c r="S2383" t="s">
        <v>49477</v>
      </c>
      <c r="T2383" t="s">
        <v>49478</v>
      </c>
      <c r="U2383" t="s">
        <v>49479</v>
      </c>
      <c r="V2383" t="s">
        <v>49480</v>
      </c>
      <c r="W2383" t="s">
        <v>49481</v>
      </c>
      <c r="X2383" t="s">
        <v>49482</v>
      </c>
      <c r="Y2383" t="s">
        <v>49483</v>
      </c>
    </row>
    <row r="2384" spans="1:25" x14ac:dyDescent="0.3">
      <c r="A2384">
        <v>119150</v>
      </c>
      <c r="B2384" t="s">
        <v>49484</v>
      </c>
      <c r="C2384" t="s">
        <v>49485</v>
      </c>
      <c r="D2384" t="s">
        <v>49486</v>
      </c>
      <c r="E2384" t="s">
        <v>49487</v>
      </c>
      <c r="F2384" t="s">
        <v>49488</v>
      </c>
      <c r="G2384" t="s">
        <v>49489</v>
      </c>
      <c r="H2384" t="s">
        <v>49490</v>
      </c>
      <c r="I2384" t="s">
        <v>49491</v>
      </c>
      <c r="J2384" t="s">
        <v>49492</v>
      </c>
      <c r="K2384" t="s">
        <v>49493</v>
      </c>
      <c r="L2384" t="s">
        <v>49494</v>
      </c>
      <c r="M2384" t="s">
        <v>49495</v>
      </c>
      <c r="N2384" t="s">
        <v>49496</v>
      </c>
      <c r="O2384">
        <f>-788.238397808179 -75.3512713868322 -720.708165570643</f>
        <v>-1584.2978347656542</v>
      </c>
      <c r="P2384">
        <f>-738.874769080752 -67.640453304025 -408.154356663224</f>
        <v>-1214.669579048001</v>
      </c>
      <c r="Q2384">
        <f>-487.011250225288 -11.7599066973532 -375.226942402151</f>
        <v>-873.99809932479218</v>
      </c>
      <c r="R2384" t="s">
        <v>49497</v>
      </c>
      <c r="S2384" t="s">
        <v>49498</v>
      </c>
      <c r="T2384" t="s">
        <v>49499</v>
      </c>
      <c r="U2384" t="s">
        <v>49500</v>
      </c>
      <c r="V2384" t="s">
        <v>49501</v>
      </c>
      <c r="W2384" t="s">
        <v>49502</v>
      </c>
      <c r="X2384" t="s">
        <v>49503</v>
      </c>
      <c r="Y2384" t="s">
        <v>49504</v>
      </c>
    </row>
    <row r="2385" spans="1:25" x14ac:dyDescent="0.3">
      <c r="A2385">
        <v>119200</v>
      </c>
      <c r="B2385" t="s">
        <v>49505</v>
      </c>
      <c r="C2385" t="s">
        <v>49506</v>
      </c>
      <c r="D2385" t="s">
        <v>49507</v>
      </c>
      <c r="E2385" t="s">
        <v>49508</v>
      </c>
      <c r="F2385" t="s">
        <v>49509</v>
      </c>
      <c r="G2385" t="s">
        <v>49510</v>
      </c>
      <c r="H2385" t="s">
        <v>49511</v>
      </c>
      <c r="I2385" t="s">
        <v>49512</v>
      </c>
      <c r="J2385" t="s">
        <v>49513</v>
      </c>
      <c r="K2385" t="s">
        <v>49514</v>
      </c>
      <c r="L2385" t="s">
        <v>49515</v>
      </c>
      <c r="M2385" t="s">
        <v>49516</v>
      </c>
      <c r="N2385" t="s">
        <v>49517</v>
      </c>
      <c r="O2385">
        <f>-788.140951955601 -75.0036050948142 -720.951468986481</f>
        <v>-1584.0960260368963</v>
      </c>
      <c r="P2385">
        <f>-738.602140384041 -67.4301226271918 -408.421810439317</f>
        <v>-1214.4540734505499</v>
      </c>
      <c r="Q2385">
        <f>-486.774248637377 -11.3599036522608 -375.543966077786</f>
        <v>-873.67811836742385</v>
      </c>
      <c r="R2385" t="s">
        <v>49518</v>
      </c>
      <c r="S2385" t="s">
        <v>49519</v>
      </c>
      <c r="T2385" t="s">
        <v>49520</v>
      </c>
      <c r="U2385" t="s">
        <v>49521</v>
      </c>
      <c r="V2385" t="s">
        <v>49522</v>
      </c>
      <c r="W2385" t="s">
        <v>49523</v>
      </c>
      <c r="X2385" t="s">
        <v>49524</v>
      </c>
      <c r="Y2385" t="s">
        <v>49525</v>
      </c>
    </row>
    <row r="2386" spans="1:25" x14ac:dyDescent="0.3">
      <c r="A2386">
        <v>119250</v>
      </c>
      <c r="B2386" t="s">
        <v>49526</v>
      </c>
      <c r="C2386" t="s">
        <v>49527</v>
      </c>
      <c r="D2386" t="s">
        <v>49528</v>
      </c>
      <c r="E2386" t="s">
        <v>49529</v>
      </c>
      <c r="F2386" t="s">
        <v>49530</v>
      </c>
      <c r="G2386" t="s">
        <v>49531</v>
      </c>
      <c r="H2386" t="s">
        <v>49532</v>
      </c>
      <c r="I2386" t="s">
        <v>49533</v>
      </c>
      <c r="J2386" t="s">
        <v>49534</v>
      </c>
      <c r="K2386" t="s">
        <v>49535</v>
      </c>
      <c r="L2386" t="s">
        <v>49536</v>
      </c>
      <c r="M2386" t="s">
        <v>49537</v>
      </c>
      <c r="N2386" t="s">
        <v>49538</v>
      </c>
      <c r="O2386">
        <f>-787.660997716844 -74.1791162058908 -721.282579600647</f>
        <v>-1583.1226935233817</v>
      </c>
      <c r="P2386">
        <f>-737.937124649748 -67.3520971921255 -408.765112248282</f>
        <v>-1214.0543340901554</v>
      </c>
      <c r="Q2386">
        <f>-486.111682535073 -11.273331648777 -375.88482512679</f>
        <v>-873.26983931064001</v>
      </c>
      <c r="R2386" t="s">
        <v>49539</v>
      </c>
      <c r="S2386" t="s">
        <v>49540</v>
      </c>
      <c r="T2386" t="s">
        <v>49541</v>
      </c>
      <c r="U2386" t="s">
        <v>49542</v>
      </c>
      <c r="V2386" t="s">
        <v>49543</v>
      </c>
      <c r="W2386" t="s">
        <v>49544</v>
      </c>
      <c r="X2386" t="s">
        <v>49545</v>
      </c>
      <c r="Y2386" t="s">
        <v>49546</v>
      </c>
    </row>
    <row r="2387" spans="1:25" x14ac:dyDescent="0.3">
      <c r="A2387">
        <v>119300</v>
      </c>
      <c r="B2387" t="s">
        <v>49547</v>
      </c>
      <c r="C2387" t="s">
        <v>49548</v>
      </c>
      <c r="D2387" t="s">
        <v>49549</v>
      </c>
      <c r="E2387" t="s">
        <v>49550</v>
      </c>
      <c r="F2387" t="s">
        <v>49551</v>
      </c>
      <c r="G2387" t="s">
        <v>49552</v>
      </c>
      <c r="H2387" t="s">
        <v>49553</v>
      </c>
      <c r="I2387" t="s">
        <v>49554</v>
      </c>
      <c r="J2387" t="s">
        <v>49555</v>
      </c>
      <c r="K2387" t="s">
        <v>49556</v>
      </c>
      <c r="L2387" t="s">
        <v>49557</v>
      </c>
      <c r="M2387" t="s">
        <v>49558</v>
      </c>
      <c r="N2387" t="s">
        <v>49559</v>
      </c>
      <c r="O2387">
        <f>-787.492319839774 -73.5865728142339 -721.493541523127</f>
        <v>-1582.5724341771349</v>
      </c>
      <c r="P2387">
        <f>-737.757609129029 -66.9657392723709 -408.973496502353</f>
        <v>-1213.6968449037529</v>
      </c>
      <c r="Q2387">
        <f>-485.950584214457 -10.814558693002 -376.074906844755</f>
        <v>-872.8400497522141</v>
      </c>
      <c r="R2387" t="s">
        <v>49560</v>
      </c>
      <c r="S2387" t="s">
        <v>49561</v>
      </c>
      <c r="T2387" t="s">
        <v>49562</v>
      </c>
      <c r="U2387" t="s">
        <v>49563</v>
      </c>
      <c r="V2387" t="s">
        <v>49564</v>
      </c>
      <c r="W2387" t="s">
        <v>49565</v>
      </c>
      <c r="X2387" t="s">
        <v>49566</v>
      </c>
      <c r="Y2387" t="s">
        <v>49567</v>
      </c>
    </row>
    <row r="2388" spans="1:25" x14ac:dyDescent="0.3">
      <c r="A2388">
        <v>119350</v>
      </c>
      <c r="B2388" t="s">
        <v>49568</v>
      </c>
      <c r="C2388" t="s">
        <v>49569</v>
      </c>
      <c r="D2388" t="s">
        <v>49570</v>
      </c>
      <c r="E2388" t="s">
        <v>49571</v>
      </c>
      <c r="F2388" t="s">
        <v>49572</v>
      </c>
      <c r="G2388" t="s">
        <v>49573</v>
      </c>
      <c r="H2388" t="s">
        <v>49574</v>
      </c>
      <c r="I2388" t="s">
        <v>49575</v>
      </c>
      <c r="J2388" t="s">
        <v>49576</v>
      </c>
      <c r="K2388" t="s">
        <v>49577</v>
      </c>
      <c r="L2388" t="s">
        <v>49578</v>
      </c>
      <c r="M2388" t="s">
        <v>49579</v>
      </c>
      <c r="N2388" t="s">
        <v>49580</v>
      </c>
      <c r="O2388">
        <f>-786.552482036485 -72.3643971011552 -721.882563666447</f>
        <v>-1580.7994428040872</v>
      </c>
      <c r="P2388">
        <f>-736.95262303767 -66.450036531764 -409.326875738979</f>
        <v>-1212.729535308413</v>
      </c>
      <c r="Q2388">
        <f>-485.146613165738 -10.4124148294256 -376.228033637716</f>
        <v>-871.78706163287961</v>
      </c>
      <c r="R2388" t="s">
        <v>49581</v>
      </c>
      <c r="S2388" t="s">
        <v>49582</v>
      </c>
      <c r="T2388" t="s">
        <v>49583</v>
      </c>
      <c r="U2388" t="s">
        <v>49584</v>
      </c>
      <c r="V2388" t="s">
        <v>49585</v>
      </c>
      <c r="W2388" t="s">
        <v>49586</v>
      </c>
      <c r="X2388" t="s">
        <v>49587</v>
      </c>
      <c r="Y2388" t="s">
        <v>49588</v>
      </c>
    </row>
    <row r="2389" spans="1:25" x14ac:dyDescent="0.3">
      <c r="A2389">
        <v>119400</v>
      </c>
      <c r="B2389" t="s">
        <v>49589</v>
      </c>
      <c r="C2389" t="s">
        <v>49590</v>
      </c>
      <c r="D2389" t="s">
        <v>49591</v>
      </c>
      <c r="E2389" t="s">
        <v>49592</v>
      </c>
      <c r="F2389" t="s">
        <v>49593</v>
      </c>
      <c r="G2389" t="s">
        <v>49594</v>
      </c>
      <c r="H2389" t="s">
        <v>49595</v>
      </c>
      <c r="I2389" t="s">
        <v>49596</v>
      </c>
      <c r="J2389" t="s">
        <v>49597</v>
      </c>
      <c r="K2389" t="s">
        <v>49598</v>
      </c>
      <c r="L2389" t="s">
        <v>49599</v>
      </c>
      <c r="M2389" t="s">
        <v>49600</v>
      </c>
      <c r="N2389" t="s">
        <v>49601</v>
      </c>
      <c r="O2389">
        <f>-786.152837528547 -71.7864882616786 -722.012413171237</f>
        <v>-1579.9517389614625</v>
      </c>
      <c r="P2389">
        <f>-736.755134301489 -66.1837540563224 -409.418961693959</f>
        <v>-1212.3578500517704</v>
      </c>
      <c r="Q2389">
        <f>-484.925764288459 -10.2616559440426 -376.302232117571</f>
        <v>-871.48965235007267</v>
      </c>
      <c r="R2389" t="s">
        <v>49602</v>
      </c>
      <c r="S2389" t="s">
        <v>49603</v>
      </c>
      <c r="T2389" t="s">
        <v>49604</v>
      </c>
      <c r="U2389" t="s">
        <v>49605</v>
      </c>
      <c r="V2389" t="s">
        <v>49606</v>
      </c>
      <c r="W2389" t="s">
        <v>49607</v>
      </c>
      <c r="X2389" t="s">
        <v>49608</v>
      </c>
      <c r="Y2389" t="s">
        <v>49609</v>
      </c>
    </row>
    <row r="2390" spans="1:25" x14ac:dyDescent="0.3">
      <c r="A2390">
        <v>119450</v>
      </c>
      <c r="B2390" t="s">
        <v>49610</v>
      </c>
      <c r="C2390" t="s">
        <v>49611</v>
      </c>
      <c r="D2390" t="s">
        <v>49612</v>
      </c>
      <c r="E2390" t="s">
        <v>49613</v>
      </c>
      <c r="F2390" t="s">
        <v>49614</v>
      </c>
      <c r="G2390" t="s">
        <v>49615</v>
      </c>
      <c r="H2390" t="s">
        <v>49616</v>
      </c>
      <c r="I2390" t="s">
        <v>49617</v>
      </c>
      <c r="J2390" t="s">
        <v>49618</v>
      </c>
      <c r="K2390" t="s">
        <v>49619</v>
      </c>
      <c r="L2390" t="s">
        <v>49620</v>
      </c>
      <c r="M2390" t="s">
        <v>49621</v>
      </c>
      <c r="N2390" t="s">
        <v>49622</v>
      </c>
      <c r="O2390">
        <f>-785.538423925151 -70.675837534488 -722.310734028808</f>
        <v>-1578.5249954884471</v>
      </c>
      <c r="P2390">
        <f>-736.322469470456 -65.5812346850169 -409.679833474216</f>
        <v>-1211.5835376296889</v>
      </c>
      <c r="Q2390">
        <f>-484.357693045976 -10.2412424553193 -376.614837605298</f>
        <v>-871.21377310659341</v>
      </c>
      <c r="R2390" t="s">
        <v>49623</v>
      </c>
      <c r="S2390" t="s">
        <v>49624</v>
      </c>
      <c r="T2390" t="s">
        <v>49625</v>
      </c>
      <c r="U2390" t="s">
        <v>49626</v>
      </c>
      <c r="V2390" t="s">
        <v>49627</v>
      </c>
      <c r="W2390" t="s">
        <v>49628</v>
      </c>
      <c r="X2390" t="s">
        <v>49629</v>
      </c>
      <c r="Y2390" t="s">
        <v>49630</v>
      </c>
    </row>
    <row r="2391" spans="1:25" x14ac:dyDescent="0.3">
      <c r="A2391">
        <v>119500</v>
      </c>
      <c r="B2391" t="s">
        <v>49631</v>
      </c>
      <c r="C2391" t="s">
        <v>49632</v>
      </c>
      <c r="D2391" t="s">
        <v>49633</v>
      </c>
      <c r="E2391" t="s">
        <v>49634</v>
      </c>
      <c r="F2391" t="s">
        <v>49635</v>
      </c>
      <c r="G2391" t="s">
        <v>49636</v>
      </c>
      <c r="H2391" t="s">
        <v>49637</v>
      </c>
      <c r="I2391" t="s">
        <v>49638</v>
      </c>
      <c r="J2391" t="s">
        <v>49639</v>
      </c>
      <c r="K2391" t="s">
        <v>49640</v>
      </c>
      <c r="L2391" t="s">
        <v>49641</v>
      </c>
      <c r="M2391" t="s">
        <v>49642</v>
      </c>
      <c r="N2391" t="s">
        <v>49643</v>
      </c>
      <c r="O2391">
        <f>-785.560724938511 -69.979615653478 -722.483587333959</f>
        <v>-1578.0239279259481</v>
      </c>
      <c r="P2391">
        <f>-736.28498036548 -65.194269456169 -409.857367393351</f>
        <v>-1211.3366172149999</v>
      </c>
      <c r="Q2391">
        <f>-484.269894386381 -10.0757178416297 -376.806562060231</f>
        <v>-871.15217428824167</v>
      </c>
      <c r="R2391" t="s">
        <v>49644</v>
      </c>
      <c r="S2391" t="s">
        <v>49645</v>
      </c>
      <c r="T2391" t="s">
        <v>49646</v>
      </c>
      <c r="U2391" t="s">
        <v>49647</v>
      </c>
      <c r="V2391" t="s">
        <v>49648</v>
      </c>
      <c r="W2391" t="s">
        <v>49649</v>
      </c>
      <c r="X2391" t="s">
        <v>49650</v>
      </c>
      <c r="Y2391" t="s">
        <v>49651</v>
      </c>
    </row>
    <row r="2392" spans="1:25" x14ac:dyDescent="0.3">
      <c r="A2392">
        <v>119550</v>
      </c>
      <c r="B2392" t="s">
        <v>49652</v>
      </c>
      <c r="C2392" t="s">
        <v>49653</v>
      </c>
      <c r="D2392" t="s">
        <v>49654</v>
      </c>
      <c r="E2392" t="s">
        <v>49655</v>
      </c>
      <c r="F2392" t="s">
        <v>49656</v>
      </c>
      <c r="G2392" t="s">
        <v>49657</v>
      </c>
      <c r="H2392" t="s">
        <v>49658</v>
      </c>
      <c r="I2392" t="s">
        <v>49659</v>
      </c>
      <c r="J2392" t="s">
        <v>49660</v>
      </c>
      <c r="K2392" t="s">
        <v>49661</v>
      </c>
      <c r="L2392" t="s">
        <v>49662</v>
      </c>
      <c r="M2392" t="s">
        <v>49663</v>
      </c>
      <c r="N2392" t="s">
        <v>49664</v>
      </c>
      <c r="O2392">
        <f>-785.543696982206 -68.5491953305784 -723.12927475648</f>
        <v>-1577.2221670692643</v>
      </c>
      <c r="P2392">
        <f>-735.887471853734 -64.0373556600539 -410.559156221208</f>
        <v>-1210.4839837349959</v>
      </c>
      <c r="Q2392">
        <f>-483.794590252287 -9.27368486550404 -377.510225430402</f>
        <v>-870.57850054819301</v>
      </c>
      <c r="R2392" t="s">
        <v>49665</v>
      </c>
      <c r="S2392" t="s">
        <v>49666</v>
      </c>
      <c r="T2392" t="s">
        <v>49667</v>
      </c>
      <c r="U2392" t="s">
        <v>49668</v>
      </c>
      <c r="V2392" t="s">
        <v>49669</v>
      </c>
      <c r="W2392" t="s">
        <v>49670</v>
      </c>
      <c r="X2392" t="s">
        <v>49671</v>
      </c>
      <c r="Y2392" t="s">
        <v>49672</v>
      </c>
    </row>
    <row r="2393" spans="1:25" x14ac:dyDescent="0.3">
      <c r="A2393">
        <v>119600</v>
      </c>
      <c r="B2393" t="s">
        <v>49673</v>
      </c>
      <c r="C2393" t="s">
        <v>49674</v>
      </c>
      <c r="D2393" t="s">
        <v>49675</v>
      </c>
      <c r="E2393" t="s">
        <v>49676</v>
      </c>
      <c r="F2393" t="s">
        <v>49677</v>
      </c>
      <c r="G2393" t="s">
        <v>49678</v>
      </c>
      <c r="H2393" t="s">
        <v>49679</v>
      </c>
      <c r="I2393" t="s">
        <v>49680</v>
      </c>
      <c r="J2393" t="s">
        <v>49681</v>
      </c>
      <c r="K2393" t="s">
        <v>49682</v>
      </c>
      <c r="L2393" t="s">
        <v>49683</v>
      </c>
      <c r="M2393" t="s">
        <v>49684</v>
      </c>
      <c r="N2393" t="s">
        <v>49685</v>
      </c>
      <c r="O2393">
        <f>-785.514216233206 -68.6151585623452 -723.647720142084</f>
        <v>-1577.7770949376352</v>
      </c>
      <c r="P2393">
        <f>-735.667792461877 -64.0749130203869 -411.108277670172</f>
        <v>-1210.8509831524359</v>
      </c>
      <c r="Q2393">
        <f>-483.526175101292 -9.51411883938226 -378.096294763169</f>
        <v>-871.13658870384324</v>
      </c>
      <c r="R2393" t="s">
        <v>49686</v>
      </c>
      <c r="S2393" t="s">
        <v>49687</v>
      </c>
      <c r="T2393" t="s">
        <v>49688</v>
      </c>
      <c r="U2393" t="s">
        <v>49689</v>
      </c>
      <c r="V2393" t="s">
        <v>49690</v>
      </c>
      <c r="W2393" t="s">
        <v>49691</v>
      </c>
      <c r="X2393" t="s">
        <v>49692</v>
      </c>
      <c r="Y2393" t="s">
        <v>49693</v>
      </c>
    </row>
    <row r="2394" spans="1:25" x14ac:dyDescent="0.3">
      <c r="A2394">
        <v>119650</v>
      </c>
      <c r="B2394" t="s">
        <v>49694</v>
      </c>
      <c r="C2394" t="s">
        <v>49695</v>
      </c>
      <c r="D2394" t="s">
        <v>49696</v>
      </c>
      <c r="E2394" t="s">
        <v>49697</v>
      </c>
      <c r="F2394" t="s">
        <v>49698</v>
      </c>
      <c r="G2394" t="s">
        <v>49699</v>
      </c>
      <c r="H2394" t="s">
        <v>49700</v>
      </c>
      <c r="I2394" t="s">
        <v>49701</v>
      </c>
      <c r="J2394" t="s">
        <v>49702</v>
      </c>
      <c r="K2394" t="s">
        <v>49703</v>
      </c>
      <c r="L2394" t="s">
        <v>49704</v>
      </c>
      <c r="M2394" t="s">
        <v>49705</v>
      </c>
      <c r="N2394" t="s">
        <v>49706</v>
      </c>
      <c r="O2394">
        <f>-785.745292732214 -69.1000450859938 -724.423696676019</f>
        <v>-1579.2690344942266</v>
      </c>
      <c r="P2394">
        <f>-735.273131541393 -64.7970099040169 -411.981334300687</f>
        <v>-1212.0514757460969</v>
      </c>
      <c r="Q2394">
        <f>-483.016330026035 -10.5534420595993 -379.328387879721</f>
        <v>-872.89815996535526</v>
      </c>
      <c r="R2394" t="s">
        <v>49707</v>
      </c>
      <c r="S2394" t="s">
        <v>49708</v>
      </c>
      <c r="T2394" t="s">
        <v>49709</v>
      </c>
      <c r="U2394" t="s">
        <v>49710</v>
      </c>
      <c r="V2394" t="s">
        <v>49711</v>
      </c>
      <c r="W2394" t="s">
        <v>49712</v>
      </c>
      <c r="X2394" t="s">
        <v>49713</v>
      </c>
      <c r="Y2394" t="s">
        <v>49714</v>
      </c>
    </row>
    <row r="2395" spans="1:25" x14ac:dyDescent="0.3">
      <c r="A2395">
        <v>119700</v>
      </c>
      <c r="B2395" t="s">
        <v>49715</v>
      </c>
      <c r="C2395" t="s">
        <v>49716</v>
      </c>
      <c r="D2395" t="s">
        <v>49717</v>
      </c>
      <c r="E2395" t="s">
        <v>49718</v>
      </c>
      <c r="F2395" t="s">
        <v>49719</v>
      </c>
      <c r="G2395" t="s">
        <v>49720</v>
      </c>
      <c r="H2395" t="s">
        <v>49721</v>
      </c>
      <c r="I2395" t="s">
        <v>49722</v>
      </c>
      <c r="J2395" t="s">
        <v>49723</v>
      </c>
      <c r="K2395" t="s">
        <v>49724</v>
      </c>
      <c r="L2395" t="s">
        <v>49725</v>
      </c>
      <c r="M2395" t="s">
        <v>49726</v>
      </c>
      <c r="N2395" t="s">
        <v>49727</v>
      </c>
      <c r="O2395">
        <f>-785.852470900428 -69.1149841637757 -724.674212444549</f>
        <v>-1579.6416675087526</v>
      </c>
      <c r="P2395">
        <f>-734.995044075875 -64.8275670624748 -412.294292121797</f>
        <v>-1212.1169032601467</v>
      </c>
      <c r="Q2395">
        <f>-482.657590795662 -10.8551234714873 -379.815318718495</f>
        <v>-873.32803298564431</v>
      </c>
      <c r="R2395" t="s">
        <v>49728</v>
      </c>
      <c r="S2395" t="s">
        <v>49729</v>
      </c>
      <c r="T2395" t="s">
        <v>49730</v>
      </c>
      <c r="U2395" t="s">
        <v>49731</v>
      </c>
      <c r="V2395" t="s">
        <v>49732</v>
      </c>
      <c r="W2395" t="s">
        <v>49733</v>
      </c>
      <c r="X2395" t="s">
        <v>49734</v>
      </c>
      <c r="Y2395" t="s">
        <v>49735</v>
      </c>
    </row>
    <row r="2396" spans="1:25" x14ac:dyDescent="0.3">
      <c r="A2396">
        <v>119750</v>
      </c>
      <c r="B2396" t="s">
        <v>49736</v>
      </c>
      <c r="C2396" t="s">
        <v>49737</v>
      </c>
      <c r="D2396" t="s">
        <v>49738</v>
      </c>
      <c r="E2396" t="s">
        <v>49739</v>
      </c>
      <c r="F2396" t="s">
        <v>49740</v>
      </c>
      <c r="G2396" t="s">
        <v>49741</v>
      </c>
      <c r="H2396" t="s">
        <v>49742</v>
      </c>
      <c r="I2396" t="s">
        <v>49743</v>
      </c>
      <c r="J2396" t="s">
        <v>49744</v>
      </c>
      <c r="K2396" t="s">
        <v>49745</v>
      </c>
      <c r="L2396" t="s">
        <v>49746</v>
      </c>
      <c r="M2396" t="s">
        <v>49747</v>
      </c>
      <c r="N2396" t="s">
        <v>49748</v>
      </c>
      <c r="O2396">
        <f>-786.005262469232 -68.3350730446671 -724.610205662342</f>
        <v>-1578.9505411762411</v>
      </c>
      <c r="P2396">
        <f>-734.612867563346 -63.7137555564584 -412.322496615443</f>
        <v>-1210.6491197352475</v>
      </c>
      <c r="Q2396">
        <f>-482.184238949731 -10.2232532669605 -379.755770462892</f>
        <v>-872.16326267958357</v>
      </c>
      <c r="R2396" t="s">
        <v>49749</v>
      </c>
      <c r="S2396" t="s">
        <v>49750</v>
      </c>
      <c r="T2396" t="s">
        <v>49751</v>
      </c>
      <c r="U2396" t="s">
        <v>49752</v>
      </c>
      <c r="V2396" t="s">
        <v>49753</v>
      </c>
      <c r="W2396" t="s">
        <v>49754</v>
      </c>
      <c r="X2396" t="s">
        <v>49755</v>
      </c>
      <c r="Y2396" t="s">
        <v>49756</v>
      </c>
    </row>
    <row r="2397" spans="1:25" x14ac:dyDescent="0.3">
      <c r="A2397">
        <v>119800</v>
      </c>
      <c r="B2397" t="s">
        <v>49757</v>
      </c>
      <c r="C2397" t="s">
        <v>49758</v>
      </c>
      <c r="D2397" t="s">
        <v>49759</v>
      </c>
      <c r="E2397" t="s">
        <v>49760</v>
      </c>
      <c r="F2397" t="s">
        <v>49761</v>
      </c>
      <c r="G2397" t="s">
        <v>49762</v>
      </c>
      <c r="H2397" t="s">
        <v>49763</v>
      </c>
      <c r="I2397" t="s">
        <v>49764</v>
      </c>
      <c r="J2397" t="s">
        <v>49765</v>
      </c>
      <c r="K2397" t="s">
        <v>49766</v>
      </c>
      <c r="L2397" t="s">
        <v>49767</v>
      </c>
      <c r="M2397" t="s">
        <v>49768</v>
      </c>
      <c r="N2397" t="s">
        <v>49769</v>
      </c>
      <c r="O2397">
        <f>-786.213529941986 -67.7898894164234 -724.357457721106</f>
        <v>-1578.3608770795154</v>
      </c>
      <c r="P2397">
        <f>-734.641857403726 -63.0191646784785 -412.101408685915</f>
        <v>-1209.7624307681194</v>
      </c>
      <c r="Q2397">
        <f>-482.192499522188 -9.86996398484985 -379.13927194198</f>
        <v>-871.20173544901786</v>
      </c>
      <c r="R2397" t="s">
        <v>49770</v>
      </c>
      <c r="S2397" t="s">
        <v>49771</v>
      </c>
      <c r="T2397" t="s">
        <v>49772</v>
      </c>
      <c r="U2397" t="s">
        <v>49773</v>
      </c>
      <c r="V2397" t="s">
        <v>49774</v>
      </c>
      <c r="W2397" t="s">
        <v>49775</v>
      </c>
      <c r="X2397" t="s">
        <v>49776</v>
      </c>
      <c r="Y2397" t="s">
        <v>49777</v>
      </c>
    </row>
    <row r="2398" spans="1:25" x14ac:dyDescent="0.3">
      <c r="A2398">
        <v>119850</v>
      </c>
      <c r="B2398" t="s">
        <v>49778</v>
      </c>
      <c r="C2398" t="s">
        <v>49779</v>
      </c>
      <c r="D2398" t="s">
        <v>49780</v>
      </c>
      <c r="E2398" t="s">
        <v>49781</v>
      </c>
      <c r="F2398" t="s">
        <v>49782</v>
      </c>
      <c r="G2398" t="s">
        <v>49783</v>
      </c>
      <c r="H2398" t="s">
        <v>49784</v>
      </c>
      <c r="I2398" t="s">
        <v>49785</v>
      </c>
      <c r="J2398" t="s">
        <v>49786</v>
      </c>
      <c r="K2398" t="s">
        <v>49787</v>
      </c>
      <c r="L2398" t="s">
        <v>49788</v>
      </c>
      <c r="M2398" t="s">
        <v>49789</v>
      </c>
      <c r="N2398" t="s">
        <v>49790</v>
      </c>
      <c r="O2398">
        <f>-786.363645544841 -66.572787161836 -723.607540275629</f>
        <v>-1576.5439729823061</v>
      </c>
      <c r="P2398">
        <f>-734.091555948554 -61.1443521691519 -411.478892510839</f>
        <v>-1206.7148006285449</v>
      </c>
      <c r="Q2398">
        <f>-481.493191419811 -9.00420079599689 -378.04929099865</f>
        <v>-868.54668321445797</v>
      </c>
      <c r="R2398" t="s">
        <v>49791</v>
      </c>
      <c r="S2398" t="s">
        <v>49792</v>
      </c>
      <c r="T2398" t="s">
        <v>49793</v>
      </c>
      <c r="U2398" t="s">
        <v>49794</v>
      </c>
      <c r="V2398" t="s">
        <v>49795</v>
      </c>
      <c r="W2398" t="s">
        <v>49796</v>
      </c>
      <c r="X2398" t="s">
        <v>49797</v>
      </c>
      <c r="Y2398" t="s">
        <v>49798</v>
      </c>
    </row>
    <row r="2399" spans="1:25" x14ac:dyDescent="0.3">
      <c r="A2399">
        <v>119900</v>
      </c>
      <c r="B2399" t="s">
        <v>49799</v>
      </c>
      <c r="C2399" t="s">
        <v>49800</v>
      </c>
      <c r="D2399" t="s">
        <v>49801</v>
      </c>
      <c r="E2399" t="s">
        <v>49802</v>
      </c>
      <c r="F2399" t="s">
        <v>49803</v>
      </c>
      <c r="G2399" t="s">
        <v>49804</v>
      </c>
      <c r="H2399" t="s">
        <v>49805</v>
      </c>
      <c r="I2399" t="s">
        <v>49806</v>
      </c>
      <c r="J2399" t="s">
        <v>49807</v>
      </c>
      <c r="K2399" t="s">
        <v>49808</v>
      </c>
      <c r="L2399" t="s">
        <v>49809</v>
      </c>
      <c r="M2399" t="s">
        <v>49810</v>
      </c>
      <c r="N2399" t="s">
        <v>49811</v>
      </c>
      <c r="O2399">
        <f>-786.151941503967 -66.2614928540249 -723.164113412023</f>
        <v>-1575.5775477700149</v>
      </c>
      <c r="P2399">
        <f>-734.690458656455 -61.0732809002066 -410.896689591844</f>
        <v>-1206.6604291485055</v>
      </c>
      <c r="Q2399">
        <f>-481.883874517457 -9.0909602023155 -378.822689679937</f>
        <v>-869.79752439970957</v>
      </c>
      <c r="R2399" t="s">
        <v>49812</v>
      </c>
      <c r="S2399" t="s">
        <v>49813</v>
      </c>
      <c r="T2399" t="s">
        <v>49814</v>
      </c>
      <c r="U2399" t="s">
        <v>49815</v>
      </c>
      <c r="V2399" t="s">
        <v>49816</v>
      </c>
      <c r="W2399" t="s">
        <v>49817</v>
      </c>
      <c r="X2399" t="s">
        <v>49818</v>
      </c>
      <c r="Y2399" t="s">
        <v>49819</v>
      </c>
    </row>
    <row r="2400" spans="1:25" x14ac:dyDescent="0.3">
      <c r="A2400">
        <v>119950</v>
      </c>
      <c r="B2400" t="s">
        <v>49820</v>
      </c>
      <c r="C2400" t="s">
        <v>49821</v>
      </c>
      <c r="D2400" t="s">
        <v>49822</v>
      </c>
      <c r="E2400" t="s">
        <v>49823</v>
      </c>
      <c r="F2400" t="s">
        <v>49824</v>
      </c>
      <c r="G2400" t="s">
        <v>49825</v>
      </c>
      <c r="H2400" t="s">
        <v>49826</v>
      </c>
      <c r="I2400" t="s">
        <v>49827</v>
      </c>
      <c r="J2400" t="s">
        <v>49828</v>
      </c>
      <c r="K2400" t="s">
        <v>49829</v>
      </c>
      <c r="L2400" t="s">
        <v>49830</v>
      </c>
      <c r="M2400" t="s">
        <v>49831</v>
      </c>
      <c r="N2400" t="s">
        <v>49832</v>
      </c>
      <c r="O2400">
        <f>-786.002256236711 -64.9593651137952 -722.807586084138</f>
        <v>-1573.7692074346442</v>
      </c>
      <c r="P2400">
        <f>-734.516602135258 -61.6517276843465 -410.518434495903</f>
        <v>-1206.6867643155076</v>
      </c>
      <c r="Q2400">
        <f>-481.238475571477 -11.038090447759 -380.014143392293</f>
        <v>-872.29070941152895</v>
      </c>
      <c r="R2400" t="s">
        <v>49833</v>
      </c>
      <c r="S2400" t="s">
        <v>49834</v>
      </c>
      <c r="T2400" t="s">
        <v>49835</v>
      </c>
      <c r="U2400" t="s">
        <v>49836</v>
      </c>
      <c r="V2400" t="s">
        <v>49837</v>
      </c>
      <c r="W2400" t="s">
        <v>49838</v>
      </c>
      <c r="X2400" t="s">
        <v>49839</v>
      </c>
      <c r="Y2400" t="s">
        <v>49840</v>
      </c>
    </row>
    <row r="2401" spans="1:25" x14ac:dyDescent="0.3">
      <c r="A2401">
        <v>120000</v>
      </c>
      <c r="B2401" t="s">
        <v>49841</v>
      </c>
      <c r="C2401" t="s">
        <v>49842</v>
      </c>
      <c r="D2401" t="s">
        <v>49843</v>
      </c>
      <c r="E2401" t="s">
        <v>49844</v>
      </c>
      <c r="F2401" t="s">
        <v>49845</v>
      </c>
      <c r="G2401" t="s">
        <v>49846</v>
      </c>
      <c r="H2401" t="s">
        <v>49847</v>
      </c>
      <c r="I2401" t="s">
        <v>49848</v>
      </c>
      <c r="J2401" t="s">
        <v>49849</v>
      </c>
      <c r="K2401" t="s">
        <v>49850</v>
      </c>
      <c r="L2401" t="s">
        <v>49851</v>
      </c>
      <c r="M2401" t="s">
        <v>49852</v>
      </c>
      <c r="N2401" t="s">
        <v>49853</v>
      </c>
      <c r="O2401">
        <f>-786.239500402563 -64.4044397768375 -722.613932209905</f>
        <v>-1573.2578723893055</v>
      </c>
      <c r="P2401">
        <f>-734.174237192799 -61.2314982926948 -410.419574773612</f>
        <v>-1205.8253102591057</v>
      </c>
      <c r="Q2401">
        <f>-480.735499165357 -11.2503008075032 -380.20712186448</f>
        <v>-872.19292183734024</v>
      </c>
      <c r="R2401" t="s">
        <v>49854</v>
      </c>
      <c r="S2401" t="s">
        <v>49855</v>
      </c>
      <c r="T2401" t="s">
        <v>49856</v>
      </c>
      <c r="U2401" t="s">
        <v>49857</v>
      </c>
      <c r="V2401" t="s">
        <v>49858</v>
      </c>
      <c r="W2401" t="s">
        <v>49859</v>
      </c>
      <c r="X2401" t="s">
        <v>49860</v>
      </c>
      <c r="Y2401" t="s">
        <v>49861</v>
      </c>
    </row>
    <row r="2402" spans="1:25" x14ac:dyDescent="0.3">
      <c r="A2402">
        <v>120050</v>
      </c>
      <c r="B2402" t="s">
        <v>49862</v>
      </c>
      <c r="C2402" t="s">
        <v>49863</v>
      </c>
      <c r="D2402" t="s">
        <v>49864</v>
      </c>
      <c r="E2402" t="s">
        <v>49865</v>
      </c>
      <c r="F2402" t="s">
        <v>49866</v>
      </c>
      <c r="G2402" t="s">
        <v>49867</v>
      </c>
      <c r="H2402" t="s">
        <v>49868</v>
      </c>
      <c r="I2402" t="s">
        <v>49869</v>
      </c>
      <c r="J2402" t="s">
        <v>49870</v>
      </c>
      <c r="K2402" t="s">
        <v>49871</v>
      </c>
      <c r="L2402" t="s">
        <v>49872</v>
      </c>
      <c r="M2402" t="s">
        <v>49873</v>
      </c>
      <c r="N2402" t="s">
        <v>49874</v>
      </c>
      <c r="O2402">
        <f>-786.25990819536 -63.9884951955141 -722.274301664811</f>
        <v>-1572.522705055685</v>
      </c>
      <c r="P2402">
        <f>-733.049121033565 -60.3684743116733 -410.277991984556</f>
        <v>-1203.6955873297943</v>
      </c>
      <c r="Q2402">
        <f>-479.481537556632 -11.3209998143836 -379.6209569532</f>
        <v>-870.42349432421565</v>
      </c>
      <c r="R2402" t="s">
        <v>49875</v>
      </c>
      <c r="S2402" t="s">
        <v>49876</v>
      </c>
      <c r="T2402" t="s">
        <v>49877</v>
      </c>
      <c r="U2402" t="s">
        <v>49878</v>
      </c>
      <c r="V2402" t="s">
        <v>49879</v>
      </c>
      <c r="W2402" t="s">
        <v>49880</v>
      </c>
      <c r="X2402" t="s">
        <v>49881</v>
      </c>
      <c r="Y2402" t="s">
        <v>49882</v>
      </c>
    </row>
    <row r="2403" spans="1:25" x14ac:dyDescent="0.3">
      <c r="A2403">
        <v>120100</v>
      </c>
      <c r="B2403" t="s">
        <v>49883</v>
      </c>
      <c r="C2403" t="s">
        <v>49884</v>
      </c>
      <c r="D2403" t="s">
        <v>49885</v>
      </c>
      <c r="E2403" t="s">
        <v>49886</v>
      </c>
      <c r="F2403" t="s">
        <v>49887</v>
      </c>
      <c r="G2403" t="s">
        <v>49888</v>
      </c>
      <c r="H2403" t="s">
        <v>49889</v>
      </c>
      <c r="I2403" t="s">
        <v>49890</v>
      </c>
      <c r="J2403" t="s">
        <v>49891</v>
      </c>
      <c r="K2403" t="s">
        <v>49892</v>
      </c>
      <c r="L2403" t="s">
        <v>49893</v>
      </c>
      <c r="M2403" t="s">
        <v>49894</v>
      </c>
      <c r="N2403" t="s">
        <v>49895</v>
      </c>
      <c r="O2403">
        <f>-785.959062564411 -63.8483526735836 -722.175706297591</f>
        <v>-1571.9831215355857</v>
      </c>
      <c r="P2403">
        <f>-732.620909669432 -60.052635397321 -410.203164510845</f>
        <v>-1202.8767095775979</v>
      </c>
      <c r="Q2403">
        <f>-479.061746403374 -11.1884804556175 -379.18556848684</f>
        <v>-869.43579534583148</v>
      </c>
      <c r="R2403" t="s">
        <v>49896</v>
      </c>
      <c r="S2403" t="s">
        <v>49897</v>
      </c>
      <c r="T2403" t="s">
        <v>49898</v>
      </c>
      <c r="U2403" t="s">
        <v>49899</v>
      </c>
      <c r="V2403" t="s">
        <v>49900</v>
      </c>
      <c r="W2403" t="s">
        <v>49901</v>
      </c>
      <c r="X2403" t="s">
        <v>49902</v>
      </c>
      <c r="Y2403" t="s">
        <v>49903</v>
      </c>
    </row>
    <row r="2404" spans="1:25" x14ac:dyDescent="0.3">
      <c r="A2404">
        <v>120150</v>
      </c>
      <c r="B2404" t="s">
        <v>49904</v>
      </c>
      <c r="C2404" t="s">
        <v>49905</v>
      </c>
      <c r="D2404" t="s">
        <v>49906</v>
      </c>
      <c r="E2404" t="s">
        <v>49907</v>
      </c>
      <c r="F2404" t="s">
        <v>49908</v>
      </c>
      <c r="G2404" t="s">
        <v>49909</v>
      </c>
      <c r="H2404" t="s">
        <v>49910</v>
      </c>
      <c r="I2404" t="s">
        <v>49911</v>
      </c>
      <c r="J2404" t="s">
        <v>49912</v>
      </c>
      <c r="K2404" t="s">
        <v>49913</v>
      </c>
      <c r="L2404" t="s">
        <v>49914</v>
      </c>
      <c r="M2404" t="s">
        <v>49915</v>
      </c>
      <c r="N2404" t="s">
        <v>49916</v>
      </c>
      <c r="O2404">
        <f>-785.039340554835 -63.8742641564809 -722.020029572299</f>
        <v>-1570.933634283615</v>
      </c>
      <c r="P2404">
        <f>-732.187924061656 -59.5965414349375 -409.97101520986</f>
        <v>-1201.7554807064535</v>
      </c>
      <c r="Q2404">
        <f>-478.652749657538 -11.0282126723998 -378.299876123219</f>
        <v>-867.98083845315682</v>
      </c>
      <c r="R2404" t="s">
        <v>49917</v>
      </c>
      <c r="S2404" t="s">
        <v>49918</v>
      </c>
      <c r="T2404" t="s">
        <v>49919</v>
      </c>
      <c r="U2404" t="s">
        <v>49920</v>
      </c>
      <c r="V2404" t="s">
        <v>49921</v>
      </c>
      <c r="W2404" t="s">
        <v>49922</v>
      </c>
      <c r="X2404" t="s">
        <v>49923</v>
      </c>
      <c r="Y2404" t="s">
        <v>49924</v>
      </c>
    </row>
    <row r="2405" spans="1:25" x14ac:dyDescent="0.3">
      <c r="A2405">
        <v>120200</v>
      </c>
      <c r="B2405" t="s">
        <v>49925</v>
      </c>
      <c r="C2405" t="s">
        <v>49926</v>
      </c>
      <c r="D2405" t="s">
        <v>49927</v>
      </c>
      <c r="E2405" t="s">
        <v>49928</v>
      </c>
      <c r="F2405" t="s">
        <v>49929</v>
      </c>
      <c r="G2405" t="s">
        <v>49930</v>
      </c>
      <c r="H2405" t="s">
        <v>49931</v>
      </c>
      <c r="I2405" t="s">
        <v>49932</v>
      </c>
      <c r="J2405" t="s">
        <v>49933</v>
      </c>
      <c r="K2405" t="s">
        <v>49934</v>
      </c>
      <c r="L2405" t="s">
        <v>49935</v>
      </c>
      <c r="M2405" t="s">
        <v>49936</v>
      </c>
      <c r="N2405" t="s">
        <v>49937</v>
      </c>
      <c r="O2405">
        <f>-784.704803508139 -63.7657263798956 -721.89373825854</f>
        <v>-1570.3642681465744</v>
      </c>
      <c r="P2405">
        <f>-731.974907671261 -59.0467238570866 -409.830479479616</f>
        <v>-1200.8521110079637</v>
      </c>
      <c r="Q2405">
        <f>-478.508579374461 -10.4390047658012 -377.672104056225</f>
        <v>-866.61968819648723</v>
      </c>
      <c r="R2405" t="s">
        <v>49938</v>
      </c>
      <c r="S2405" t="s">
        <v>49939</v>
      </c>
      <c r="T2405" t="s">
        <v>49940</v>
      </c>
      <c r="U2405" t="s">
        <v>49941</v>
      </c>
      <c r="V2405" t="s">
        <v>49942</v>
      </c>
      <c r="W2405" t="s">
        <v>49943</v>
      </c>
      <c r="X2405" t="s">
        <v>49944</v>
      </c>
      <c r="Y2405" t="s">
        <v>49945</v>
      </c>
    </row>
    <row r="2406" spans="1:25" x14ac:dyDescent="0.3">
      <c r="A2406">
        <v>120250</v>
      </c>
      <c r="B2406" t="s">
        <v>49946</v>
      </c>
      <c r="C2406" t="s">
        <v>49947</v>
      </c>
      <c r="D2406" t="s">
        <v>49948</v>
      </c>
      <c r="E2406" t="s">
        <v>49949</v>
      </c>
      <c r="F2406" t="s">
        <v>49950</v>
      </c>
      <c r="G2406" t="s">
        <v>49951</v>
      </c>
      <c r="H2406" t="s">
        <v>49952</v>
      </c>
      <c r="I2406" t="s">
        <v>49953</v>
      </c>
      <c r="J2406" t="s">
        <v>49954</v>
      </c>
      <c r="K2406" t="s">
        <v>49955</v>
      </c>
      <c r="L2406" t="s">
        <v>49956</v>
      </c>
      <c r="M2406" t="s">
        <v>49957</v>
      </c>
      <c r="N2406" t="s">
        <v>49958</v>
      </c>
      <c r="O2406">
        <f>-783.812697926811 -63.9374750975328 -721.532914875179</f>
        <v>-1569.2830878995228</v>
      </c>
      <c r="P2406">
        <f>-731.830472266368 -58.2844946616863 -409.359789137836</f>
        <v>-1199.4747560658902</v>
      </c>
      <c r="Q2406">
        <f>-478.43281865364 -9.66448824417898 -376.682487709191</f>
        <v>-864.77979460700999</v>
      </c>
      <c r="R2406" t="s">
        <v>49959</v>
      </c>
      <c r="S2406" t="s">
        <v>49960</v>
      </c>
      <c r="T2406" t="s">
        <v>49961</v>
      </c>
      <c r="U2406" t="s">
        <v>49962</v>
      </c>
      <c r="V2406" t="s">
        <v>49963</v>
      </c>
      <c r="W2406" t="s">
        <v>49964</v>
      </c>
      <c r="X2406" t="s">
        <v>49965</v>
      </c>
      <c r="Y2406" t="s">
        <v>49966</v>
      </c>
    </row>
    <row r="2407" spans="1:25" x14ac:dyDescent="0.3">
      <c r="A2407">
        <v>120300</v>
      </c>
      <c r="B2407" t="s">
        <v>49967</v>
      </c>
      <c r="C2407" t="s">
        <v>49968</v>
      </c>
      <c r="D2407" t="s">
        <v>49969</v>
      </c>
      <c r="E2407" t="s">
        <v>49970</v>
      </c>
      <c r="F2407" t="s">
        <v>49971</v>
      </c>
      <c r="G2407" t="s">
        <v>49972</v>
      </c>
      <c r="H2407" t="s">
        <v>49973</v>
      </c>
      <c r="I2407" t="s">
        <v>49974</v>
      </c>
      <c r="J2407" t="s">
        <v>49975</v>
      </c>
      <c r="K2407" t="s">
        <v>49976</v>
      </c>
      <c r="L2407" t="s">
        <v>49977</v>
      </c>
      <c r="M2407" t="s">
        <v>49978</v>
      </c>
      <c r="N2407" t="s">
        <v>49979</v>
      </c>
      <c r="O2407">
        <f>-783.345622864142 -63.8272726664147 -721.418259732159</f>
        <v>-1568.5911552627158</v>
      </c>
      <c r="P2407">
        <f>-731.53218448911 -57.816683848969 -409.22377428876</f>
        <v>-1198.5726426268391</v>
      </c>
      <c r="Q2407">
        <f>-478.148720839743 -9.20385846945055 -376.426430730361</f>
        <v>-863.77901003955458</v>
      </c>
      <c r="R2407" t="s">
        <v>49980</v>
      </c>
      <c r="S2407" t="s">
        <v>49981</v>
      </c>
      <c r="T2407" t="s">
        <v>49982</v>
      </c>
      <c r="U2407" t="s">
        <v>49983</v>
      </c>
      <c r="V2407" t="s">
        <v>49984</v>
      </c>
      <c r="W2407" t="s">
        <v>49985</v>
      </c>
      <c r="X2407" t="s">
        <v>49986</v>
      </c>
      <c r="Y2407" t="s">
        <v>49987</v>
      </c>
    </row>
    <row r="2408" spans="1:25" x14ac:dyDescent="0.3">
      <c r="A2408">
        <v>120350</v>
      </c>
      <c r="B2408" t="s">
        <v>49988</v>
      </c>
      <c r="C2408" t="s">
        <v>49989</v>
      </c>
      <c r="D2408" t="s">
        <v>49990</v>
      </c>
      <c r="E2408" t="s">
        <v>49991</v>
      </c>
      <c r="F2408" t="s">
        <v>49992</v>
      </c>
      <c r="G2408" t="s">
        <v>49993</v>
      </c>
      <c r="H2408" t="s">
        <v>49994</v>
      </c>
      <c r="I2408" t="s">
        <v>49995</v>
      </c>
      <c r="J2408" t="s">
        <v>49996</v>
      </c>
      <c r="K2408" t="s">
        <v>49997</v>
      </c>
      <c r="L2408" t="s">
        <v>49998</v>
      </c>
      <c r="M2408" t="s">
        <v>49999</v>
      </c>
      <c r="N2408" t="s">
        <v>50000</v>
      </c>
      <c r="O2408">
        <f>-782.550524698408 -63.7024774755589 -721.192875068451</f>
        <v>-1567.445877242418</v>
      </c>
      <c r="P2408">
        <f>-731.397271870743 -57.3627173652958 -408.895997374484</f>
        <v>-1197.6559866105229</v>
      </c>
      <c r="Q2408">
        <f>-478.025188502806 -8.77431940668589 -375.97437904424</f>
        <v>-862.77388695373179</v>
      </c>
      <c r="R2408" t="s">
        <v>50001</v>
      </c>
      <c r="S2408" t="s">
        <v>50002</v>
      </c>
      <c r="T2408" t="s">
        <v>50003</v>
      </c>
      <c r="U2408" t="s">
        <v>50004</v>
      </c>
      <c r="V2408" t="s">
        <v>50005</v>
      </c>
      <c r="W2408" t="s">
        <v>50006</v>
      </c>
      <c r="X2408" t="s">
        <v>50007</v>
      </c>
      <c r="Y2408" t="s">
        <v>50008</v>
      </c>
    </row>
    <row r="2409" spans="1:25" x14ac:dyDescent="0.3">
      <c r="A2409">
        <v>120400</v>
      </c>
      <c r="B2409" t="s">
        <v>50009</v>
      </c>
      <c r="C2409" t="s">
        <v>50010</v>
      </c>
      <c r="D2409" t="s">
        <v>50011</v>
      </c>
      <c r="E2409" t="s">
        <v>50012</v>
      </c>
      <c r="F2409" t="s">
        <v>50013</v>
      </c>
      <c r="G2409" t="s">
        <v>50014</v>
      </c>
      <c r="H2409" t="s">
        <v>50015</v>
      </c>
      <c r="I2409" t="s">
        <v>50016</v>
      </c>
      <c r="J2409" t="s">
        <v>50017</v>
      </c>
      <c r="K2409" t="s">
        <v>50018</v>
      </c>
      <c r="L2409" t="s">
        <v>50019</v>
      </c>
      <c r="M2409" t="s">
        <v>50020</v>
      </c>
      <c r="N2409" t="s">
        <v>50021</v>
      </c>
      <c r="O2409">
        <f>-782.180193161434 -63.5522664156017 -721.058832984655</f>
        <v>-1566.7912925616906</v>
      </c>
      <c r="P2409">
        <f>-731.149493949139 -57.2047193515439 -408.742101690819</f>
        <v>-1197.0963149915019</v>
      </c>
      <c r="Q2409">
        <f>-477.795725165822 -8.59131459602713 -375.716722070735</f>
        <v>-862.10376183258404</v>
      </c>
      <c r="R2409" t="s">
        <v>50022</v>
      </c>
      <c r="S2409" t="s">
        <v>50023</v>
      </c>
      <c r="T2409" t="s">
        <v>50024</v>
      </c>
      <c r="U2409" t="s">
        <v>50025</v>
      </c>
      <c r="V2409" t="s">
        <v>50026</v>
      </c>
      <c r="W2409" t="s">
        <v>50027</v>
      </c>
      <c r="X2409" t="s">
        <v>50028</v>
      </c>
      <c r="Y2409" t="s">
        <v>50029</v>
      </c>
    </row>
    <row r="2410" spans="1:25" x14ac:dyDescent="0.3">
      <c r="A2410">
        <v>120450</v>
      </c>
      <c r="B2410" t="s">
        <v>50030</v>
      </c>
      <c r="C2410" t="s">
        <v>50031</v>
      </c>
      <c r="D2410" t="s">
        <v>50032</v>
      </c>
      <c r="E2410" t="s">
        <v>50033</v>
      </c>
      <c r="F2410" t="s">
        <v>50034</v>
      </c>
      <c r="G2410" t="s">
        <v>50035</v>
      </c>
      <c r="H2410" t="s">
        <v>50036</v>
      </c>
      <c r="I2410" t="s">
        <v>50037</v>
      </c>
      <c r="J2410" t="s">
        <v>50038</v>
      </c>
      <c r="K2410" t="s">
        <v>50039</v>
      </c>
      <c r="L2410" t="s">
        <v>50040</v>
      </c>
      <c r="M2410" t="s">
        <v>50041</v>
      </c>
      <c r="N2410" t="s">
        <v>50042</v>
      </c>
      <c r="O2410">
        <f>-781.454320454562 -63.4593920283628 -720.844789712506</f>
        <v>-1565.7585021954308</v>
      </c>
      <c r="P2410">
        <f>-731.240687070981 -56.8359159713441 -408.401290533338</f>
        <v>-1196.4778935756631</v>
      </c>
      <c r="Q2410">
        <f>-477.916069960912 -8.13217634835587 -375.285706048054</f>
        <v>-861.33395235732189</v>
      </c>
      <c r="R2410" t="s">
        <v>50043</v>
      </c>
      <c r="S2410" t="s">
        <v>50044</v>
      </c>
      <c r="T2410" t="s">
        <v>50045</v>
      </c>
      <c r="U2410" t="s">
        <v>50046</v>
      </c>
      <c r="V2410" t="s">
        <v>50047</v>
      </c>
      <c r="W2410" t="s">
        <v>50048</v>
      </c>
      <c r="X2410" t="s">
        <v>50049</v>
      </c>
      <c r="Y2410" t="s">
        <v>50050</v>
      </c>
    </row>
    <row r="2411" spans="1:25" x14ac:dyDescent="0.3">
      <c r="A2411">
        <v>120500</v>
      </c>
      <c r="B2411" t="s">
        <v>50051</v>
      </c>
      <c r="C2411" t="s">
        <v>50052</v>
      </c>
      <c r="D2411" t="s">
        <v>50053</v>
      </c>
      <c r="E2411" t="s">
        <v>50054</v>
      </c>
      <c r="F2411" t="s">
        <v>50055</v>
      </c>
      <c r="G2411" t="s">
        <v>50056</v>
      </c>
      <c r="H2411" t="s">
        <v>50057</v>
      </c>
      <c r="I2411" t="s">
        <v>50058</v>
      </c>
      <c r="J2411" t="s">
        <v>50059</v>
      </c>
      <c r="K2411" t="s">
        <v>50060</v>
      </c>
      <c r="L2411" t="s">
        <v>50061</v>
      </c>
      <c r="M2411" t="s">
        <v>50062</v>
      </c>
      <c r="N2411" t="s">
        <v>50063</v>
      </c>
      <c r="O2411">
        <f>-780.906346250758 -63.3879967582993 -720.846375582348</f>
        <v>-1565.1407185914054</v>
      </c>
      <c r="P2411">
        <f>-730.95587649893 -56.8007139900728 -408.359930523821</f>
        <v>-1196.1165210128238</v>
      </c>
      <c r="Q2411">
        <f>-477.694614249616 -7.92027120070361 -375.020655195071</f>
        <v>-860.63554064539062</v>
      </c>
      <c r="R2411" t="s">
        <v>50064</v>
      </c>
      <c r="S2411" t="s">
        <v>50065</v>
      </c>
      <c r="T2411" t="s">
        <v>50066</v>
      </c>
      <c r="U2411" t="s">
        <v>50067</v>
      </c>
      <c r="V2411" t="s">
        <v>50068</v>
      </c>
      <c r="W2411" t="s">
        <v>50069</v>
      </c>
      <c r="X2411" t="s">
        <v>50070</v>
      </c>
      <c r="Y2411" t="s">
        <v>50071</v>
      </c>
    </row>
    <row r="2412" spans="1:25" x14ac:dyDescent="0.3">
      <c r="A2412">
        <v>120550</v>
      </c>
      <c r="B2412" t="s">
        <v>50072</v>
      </c>
      <c r="C2412" t="s">
        <v>50073</v>
      </c>
      <c r="D2412" t="s">
        <v>50074</v>
      </c>
      <c r="E2412" t="s">
        <v>50075</v>
      </c>
      <c r="F2412" t="s">
        <v>50076</v>
      </c>
      <c r="G2412" t="s">
        <v>50077</v>
      </c>
      <c r="H2412" t="s">
        <v>50078</v>
      </c>
      <c r="I2412" t="s">
        <v>50079</v>
      </c>
      <c r="J2412" t="s">
        <v>50080</v>
      </c>
      <c r="K2412" t="s">
        <v>50081</v>
      </c>
      <c r="L2412" t="s">
        <v>50082</v>
      </c>
      <c r="M2412" t="s">
        <v>50083</v>
      </c>
      <c r="N2412" t="s">
        <v>50084</v>
      </c>
      <c r="O2412">
        <f>-779.786213336618 -63.1984229771585 -720.740349616125</f>
        <v>-1563.7249859299013</v>
      </c>
      <c r="P2412">
        <f>-730.570975437503 -55.8916879722342 -408.153286013285</f>
        <v>-1194.6159494230221</v>
      </c>
      <c r="Q2412">
        <f>-477.426586466206 -6.70966934822945 -374.3723051931</f>
        <v>-858.50856100753549</v>
      </c>
      <c r="R2412" t="s">
        <v>50085</v>
      </c>
      <c r="S2412" t="s">
        <v>50086</v>
      </c>
      <c r="T2412" t="s">
        <v>50087</v>
      </c>
      <c r="U2412" t="s">
        <v>50088</v>
      </c>
      <c r="V2412" t="s">
        <v>50089</v>
      </c>
      <c r="W2412" t="s">
        <v>50090</v>
      </c>
      <c r="X2412" t="s">
        <v>50091</v>
      </c>
      <c r="Y2412" t="s">
        <v>50092</v>
      </c>
    </row>
    <row r="2413" spans="1:25" x14ac:dyDescent="0.3">
      <c r="A2413">
        <v>120600</v>
      </c>
      <c r="B2413" t="s">
        <v>50093</v>
      </c>
      <c r="C2413" t="s">
        <v>50094</v>
      </c>
      <c r="D2413" t="s">
        <v>50095</v>
      </c>
      <c r="E2413" t="s">
        <v>50096</v>
      </c>
      <c r="F2413" t="s">
        <v>50097</v>
      </c>
      <c r="G2413" t="s">
        <v>50098</v>
      </c>
      <c r="H2413" t="s">
        <v>50099</v>
      </c>
      <c r="I2413" t="s">
        <v>50100</v>
      </c>
      <c r="J2413" t="s">
        <v>50101</v>
      </c>
      <c r="K2413" t="s">
        <v>50102</v>
      </c>
      <c r="L2413" t="s">
        <v>50103</v>
      </c>
      <c r="M2413" t="s">
        <v>50104</v>
      </c>
      <c r="N2413" t="s">
        <v>50105</v>
      </c>
      <c r="O2413">
        <f>-779.232988192194 -62.941478071918 -720.593555650639</f>
        <v>-1562.768021914751</v>
      </c>
      <c r="P2413">
        <f>-730.25707700376 -55.6304886622038 -407.969031941747</f>
        <v>-1193.8565976077107</v>
      </c>
      <c r="Q2413">
        <f>-477.179647958221 -6.21163505625805 -374.033390620518</f>
        <v>-857.42467363499702</v>
      </c>
      <c r="R2413" t="s">
        <v>50106</v>
      </c>
      <c r="S2413" t="s">
        <v>50107</v>
      </c>
      <c r="T2413" t="s">
        <v>50108</v>
      </c>
      <c r="U2413" t="s">
        <v>50109</v>
      </c>
      <c r="V2413" t="s">
        <v>50110</v>
      </c>
      <c r="W2413" t="s">
        <v>50111</v>
      </c>
      <c r="X2413" t="s">
        <v>50112</v>
      </c>
      <c r="Y2413" t="s">
        <v>50113</v>
      </c>
    </row>
    <row r="2414" spans="1:25" x14ac:dyDescent="0.3">
      <c r="A2414">
        <v>120650</v>
      </c>
      <c r="B2414" t="s">
        <v>50114</v>
      </c>
      <c r="C2414" t="s">
        <v>50115</v>
      </c>
      <c r="D2414" t="s">
        <v>50116</v>
      </c>
      <c r="E2414" t="s">
        <v>50117</v>
      </c>
      <c r="F2414" t="s">
        <v>50118</v>
      </c>
      <c r="G2414" t="s">
        <v>50119</v>
      </c>
      <c r="H2414" t="s">
        <v>50120</v>
      </c>
      <c r="I2414" t="s">
        <v>50121</v>
      </c>
      <c r="J2414" t="s">
        <v>50122</v>
      </c>
      <c r="K2414" t="s">
        <v>50123</v>
      </c>
      <c r="L2414" t="s">
        <v>50124</v>
      </c>
      <c r="M2414" t="s">
        <v>50125</v>
      </c>
      <c r="N2414" t="s">
        <v>50126</v>
      </c>
      <c r="O2414">
        <f>-778.528066439839 -62.4542052493402 -720.275024320616</f>
        <v>-1561.2572960097953</v>
      </c>
      <c r="P2414">
        <f>-729.773558419954 -54.7845389243469 -407.624518294904</f>
        <v>-1192.1826156392049</v>
      </c>
      <c r="Q2414">
        <f>-476.78041277204 -5.08929223048676 -373.464322681833</f>
        <v>-855.33402768435974</v>
      </c>
      <c r="R2414" t="s">
        <v>50127</v>
      </c>
      <c r="S2414" t="s">
        <v>50128</v>
      </c>
      <c r="T2414" t="s">
        <v>50129</v>
      </c>
      <c r="U2414" t="s">
        <v>50130</v>
      </c>
      <c r="V2414" t="s">
        <v>50131</v>
      </c>
      <c r="W2414" t="s">
        <v>50132</v>
      </c>
      <c r="X2414" t="s">
        <v>50133</v>
      </c>
      <c r="Y2414" t="s">
        <v>50134</v>
      </c>
    </row>
    <row r="2415" spans="1:25" x14ac:dyDescent="0.3">
      <c r="A2415">
        <v>120700</v>
      </c>
      <c r="B2415" t="s">
        <v>50135</v>
      </c>
      <c r="C2415" t="s">
        <v>50136</v>
      </c>
      <c r="D2415" t="s">
        <v>50137</v>
      </c>
      <c r="E2415" t="s">
        <v>50138</v>
      </c>
      <c r="F2415" t="s">
        <v>50139</v>
      </c>
      <c r="G2415" t="s">
        <v>50140</v>
      </c>
      <c r="H2415" t="s">
        <v>50141</v>
      </c>
      <c r="I2415" t="s">
        <v>50142</v>
      </c>
      <c r="J2415" t="s">
        <v>50143</v>
      </c>
      <c r="K2415" t="s">
        <v>50144</v>
      </c>
      <c r="L2415" t="s">
        <v>50145</v>
      </c>
      <c r="M2415" t="s">
        <v>50146</v>
      </c>
      <c r="N2415" t="s">
        <v>50147</v>
      </c>
      <c r="O2415">
        <f>-778.069896518398 -62.1600983862268 -720.094048994084</f>
        <v>-1560.3240438987086</v>
      </c>
      <c r="P2415">
        <f>-729.361854109508 -54.502619084197 -407.435879318166</f>
        <v>-1191.3003525118711</v>
      </c>
      <c r="Q2415">
        <f>-476.415504342418 -4.59677163871379 -373.23667072668</f>
        <v>-854.2489467078118</v>
      </c>
      <c r="R2415" t="s">
        <v>50148</v>
      </c>
      <c r="S2415" t="s">
        <v>50149</v>
      </c>
      <c r="T2415" t="s">
        <v>50150</v>
      </c>
      <c r="U2415" t="s">
        <v>50151</v>
      </c>
      <c r="V2415" t="s">
        <v>50152</v>
      </c>
      <c r="W2415" t="s">
        <v>50153</v>
      </c>
      <c r="X2415" t="s">
        <v>50154</v>
      </c>
      <c r="Y2415" t="s">
        <v>50155</v>
      </c>
    </row>
    <row r="2416" spans="1:25" x14ac:dyDescent="0.3">
      <c r="A2416">
        <v>120750</v>
      </c>
      <c r="B2416" t="s">
        <v>50156</v>
      </c>
      <c r="C2416" t="s">
        <v>50157</v>
      </c>
      <c r="D2416" t="s">
        <v>50158</v>
      </c>
      <c r="E2416" t="s">
        <v>50159</v>
      </c>
      <c r="F2416" t="s">
        <v>50160</v>
      </c>
      <c r="G2416" t="s">
        <v>50161</v>
      </c>
      <c r="H2416" t="s">
        <v>50162</v>
      </c>
      <c r="I2416" t="s">
        <v>50163</v>
      </c>
      <c r="J2416" t="s">
        <v>50164</v>
      </c>
      <c r="K2416" t="s">
        <v>50165</v>
      </c>
      <c r="L2416" t="s">
        <v>50166</v>
      </c>
      <c r="M2416" t="s">
        <v>50167</v>
      </c>
      <c r="N2416" t="s">
        <v>50168</v>
      </c>
      <c r="O2416">
        <f>-777.405341729855 -61.236041622175 -719.839384979952</f>
        <v>-1558.4807683319818</v>
      </c>
      <c r="P2416">
        <f>-728.687957806436 -53.3288501071806 -407.188859557312</f>
        <v>-1189.2056674709286</v>
      </c>
      <c r="Q2416">
        <f>-475.76220436761 -3.33669954046786 -372.963058643253</f>
        <v>-852.06196255133091</v>
      </c>
      <c r="R2416" t="s">
        <v>50169</v>
      </c>
      <c r="S2416" t="s">
        <v>50170</v>
      </c>
      <c r="T2416" t="s">
        <v>50171</v>
      </c>
      <c r="U2416" t="s">
        <v>50172</v>
      </c>
      <c r="V2416" t="s">
        <v>50173</v>
      </c>
      <c r="W2416" t="s">
        <v>50174</v>
      </c>
      <c r="X2416" t="s">
        <v>50175</v>
      </c>
      <c r="Y2416" t="s">
        <v>50176</v>
      </c>
    </row>
    <row r="2417" spans="1:25" x14ac:dyDescent="0.3">
      <c r="A2417">
        <v>120800</v>
      </c>
      <c r="B2417" t="s">
        <v>50177</v>
      </c>
      <c r="C2417" t="s">
        <v>50178</v>
      </c>
      <c r="D2417" t="s">
        <v>50179</v>
      </c>
      <c r="E2417" t="s">
        <v>50180</v>
      </c>
      <c r="F2417" t="s">
        <v>50181</v>
      </c>
      <c r="G2417" t="s">
        <v>50182</v>
      </c>
      <c r="H2417" t="s">
        <v>50183</v>
      </c>
      <c r="I2417" t="s">
        <v>50184</v>
      </c>
      <c r="J2417" t="s">
        <v>50185</v>
      </c>
      <c r="K2417" t="s">
        <v>50186</v>
      </c>
      <c r="L2417" t="s">
        <v>50187</v>
      </c>
      <c r="M2417" t="s">
        <v>50188</v>
      </c>
      <c r="N2417" t="s">
        <v>50189</v>
      </c>
      <c r="O2417">
        <f>-776.997345738832 -61.0987488112899 -719.766090209298</f>
        <v>-1557.86218475942</v>
      </c>
      <c r="P2417">
        <f>-728.45202830032 -53.1106118191458 -407.090879798999</f>
        <v>-1188.6535199184648</v>
      </c>
      <c r="Q2417">
        <f>-475.505301928797 -3.11570783836646 -373.024347911249</f>
        <v>-851.64535767841244</v>
      </c>
      <c r="R2417" t="s">
        <v>50190</v>
      </c>
      <c r="S2417" t="s">
        <v>50191</v>
      </c>
      <c r="T2417" t="s">
        <v>50192</v>
      </c>
      <c r="U2417" t="s">
        <v>50193</v>
      </c>
      <c r="V2417" t="s">
        <v>50194</v>
      </c>
      <c r="W2417" t="s">
        <v>50195</v>
      </c>
      <c r="X2417" t="s">
        <v>50196</v>
      </c>
      <c r="Y2417" t="s">
        <v>50197</v>
      </c>
    </row>
    <row r="2418" spans="1:25" x14ac:dyDescent="0.3">
      <c r="A2418">
        <v>120850</v>
      </c>
      <c r="B2418" t="s">
        <v>50198</v>
      </c>
      <c r="C2418" t="s">
        <v>50199</v>
      </c>
      <c r="D2418" t="s">
        <v>50200</v>
      </c>
      <c r="E2418" t="s">
        <v>50201</v>
      </c>
      <c r="F2418" t="s">
        <v>50202</v>
      </c>
      <c r="G2418" t="s">
        <v>50203</v>
      </c>
      <c r="H2418" t="s">
        <v>50204</v>
      </c>
      <c r="I2418" t="s">
        <v>50205</v>
      </c>
      <c r="J2418" t="s">
        <v>50206</v>
      </c>
      <c r="K2418" t="s">
        <v>50207</v>
      </c>
      <c r="L2418" t="s">
        <v>50208</v>
      </c>
      <c r="M2418" t="s">
        <v>50209</v>
      </c>
      <c r="N2418" t="s">
        <v>50210</v>
      </c>
      <c r="O2418">
        <f>-776.452684166592 -60.9940720618629 -719.935027902711</f>
        <v>-1557.3817841311659</v>
      </c>
      <c r="P2418">
        <f>-727.858166943867 -53.2649220374517 -407.261078907207</f>
        <v>-1188.3841678885256</v>
      </c>
      <c r="Q2418">
        <f>-474.898870135725 -3.01298842934648 -373.668726036016</f>
        <v>-851.58058460108748</v>
      </c>
      <c r="R2418" t="s">
        <v>50211</v>
      </c>
      <c r="S2418" t="s">
        <v>50212</v>
      </c>
      <c r="T2418" t="s">
        <v>50213</v>
      </c>
      <c r="U2418" t="s">
        <v>50214</v>
      </c>
      <c r="V2418" t="s">
        <v>50215</v>
      </c>
      <c r="W2418" t="s">
        <v>50216</v>
      </c>
      <c r="X2418" t="s">
        <v>50217</v>
      </c>
      <c r="Y2418" t="s">
        <v>50218</v>
      </c>
    </row>
    <row r="2419" spans="1:25" x14ac:dyDescent="0.3">
      <c r="A2419">
        <v>120900</v>
      </c>
      <c r="B2419" t="s">
        <v>50219</v>
      </c>
      <c r="C2419" t="s">
        <v>50220</v>
      </c>
      <c r="D2419" t="s">
        <v>50221</v>
      </c>
      <c r="E2419" t="s">
        <v>50222</v>
      </c>
      <c r="F2419" t="s">
        <v>50223</v>
      </c>
      <c r="G2419" t="s">
        <v>50224</v>
      </c>
      <c r="H2419" t="s">
        <v>50225</v>
      </c>
      <c r="I2419" t="s">
        <v>50226</v>
      </c>
      <c r="J2419" t="s">
        <v>50227</v>
      </c>
      <c r="K2419" t="s">
        <v>50228</v>
      </c>
      <c r="L2419" t="s">
        <v>50229</v>
      </c>
      <c r="M2419" t="s">
        <v>50230</v>
      </c>
      <c r="N2419" t="s">
        <v>50231</v>
      </c>
      <c r="O2419">
        <f>-776.175082167355 -61.360130079559 -720.048320568234</f>
        <v>-1557.5835328151479</v>
      </c>
      <c r="P2419">
        <f>-727.689166670364 -53.6385047950171 -407.357319679743</f>
        <v>-1188.6849911451241</v>
      </c>
      <c r="Q2419">
        <f>-474.697113074322 -3.34821758852081 -374.07140097478</f>
        <v>-852.11673163762271</v>
      </c>
      <c r="R2419" t="s">
        <v>50232</v>
      </c>
      <c r="S2419" t="s">
        <v>50233</v>
      </c>
      <c r="T2419" t="s">
        <v>50234</v>
      </c>
      <c r="U2419" t="s">
        <v>50235</v>
      </c>
      <c r="V2419" t="s">
        <v>50236</v>
      </c>
      <c r="W2419" t="s">
        <v>50237</v>
      </c>
      <c r="X2419" t="s">
        <v>50238</v>
      </c>
      <c r="Y2419" t="s">
        <v>50239</v>
      </c>
    </row>
    <row r="2420" spans="1:25" x14ac:dyDescent="0.3">
      <c r="A2420">
        <v>120950</v>
      </c>
      <c r="B2420" t="s">
        <v>50240</v>
      </c>
      <c r="C2420" t="s">
        <v>50241</v>
      </c>
      <c r="D2420" t="s">
        <v>50242</v>
      </c>
      <c r="E2420" t="s">
        <v>50243</v>
      </c>
      <c r="F2420" t="s">
        <v>50244</v>
      </c>
      <c r="G2420" t="s">
        <v>50245</v>
      </c>
      <c r="H2420" t="s">
        <v>50246</v>
      </c>
      <c r="I2420" t="s">
        <v>50247</v>
      </c>
      <c r="J2420" t="s">
        <v>50248</v>
      </c>
      <c r="K2420" t="s">
        <v>50249</v>
      </c>
      <c r="L2420" t="s">
        <v>50250</v>
      </c>
      <c r="M2420" t="s">
        <v>50251</v>
      </c>
      <c r="N2420" t="s">
        <v>50252</v>
      </c>
      <c r="O2420">
        <f>-775.828000366644 -62.43668887177 -720.755158310388</f>
        <v>-1559.0198475488019</v>
      </c>
      <c r="P2420">
        <f>-727.310731079151 -54.9604436791089 -408.063050347595</f>
        <v>-1190.3342251058548</v>
      </c>
      <c r="Q2420">
        <f>-474.27326526286 -4.81558832026599 -374.902114370062</f>
        <v>-853.99096795318792</v>
      </c>
      <c r="R2420" t="s">
        <v>50253</v>
      </c>
      <c r="S2420" t="s">
        <v>50254</v>
      </c>
      <c r="T2420" t="s">
        <v>50255</v>
      </c>
      <c r="U2420" t="s">
        <v>50256</v>
      </c>
      <c r="V2420" t="s">
        <v>50257</v>
      </c>
      <c r="W2420" t="s">
        <v>50258</v>
      </c>
      <c r="X2420" t="s">
        <v>50259</v>
      </c>
      <c r="Y2420" t="s">
        <v>50260</v>
      </c>
    </row>
    <row r="2421" spans="1:25" x14ac:dyDescent="0.3">
      <c r="A2421">
        <v>121000</v>
      </c>
      <c r="B2421" t="s">
        <v>50261</v>
      </c>
      <c r="C2421" t="s">
        <v>50262</v>
      </c>
      <c r="D2421" t="s">
        <v>50263</v>
      </c>
      <c r="E2421" t="s">
        <v>50264</v>
      </c>
      <c r="F2421" t="s">
        <v>50265</v>
      </c>
      <c r="G2421" t="s">
        <v>50266</v>
      </c>
      <c r="H2421" t="s">
        <v>50267</v>
      </c>
      <c r="I2421" t="s">
        <v>50268</v>
      </c>
      <c r="J2421" t="s">
        <v>50269</v>
      </c>
      <c r="K2421" t="s">
        <v>50270</v>
      </c>
      <c r="L2421" t="s">
        <v>50271</v>
      </c>
      <c r="M2421" t="s">
        <v>50272</v>
      </c>
      <c r="N2421" t="s">
        <v>50273</v>
      </c>
      <c r="O2421">
        <f>-775.876530598491 -63.1466417680406 -721.13468596781</f>
        <v>-1560.1578583343417</v>
      </c>
      <c r="P2421">
        <f>-727.163174942574 -55.5402348156815 -408.476188248138</f>
        <v>-1191.1795980063935</v>
      </c>
      <c r="Q2421">
        <f>-474.123655815474 -5.42270647808755 -375.291075941823</f>
        <v>-854.83743823538452</v>
      </c>
      <c r="R2421" t="s">
        <v>50274</v>
      </c>
      <c r="S2421" t="s">
        <v>50275</v>
      </c>
      <c r="T2421" t="s">
        <v>50276</v>
      </c>
      <c r="U2421" t="s">
        <v>50277</v>
      </c>
      <c r="V2421" t="s">
        <v>50278</v>
      </c>
      <c r="W2421" t="s">
        <v>50279</v>
      </c>
      <c r="X2421" t="s">
        <v>50280</v>
      </c>
      <c r="Y2421" t="s">
        <v>50281</v>
      </c>
    </row>
    <row r="2422" spans="1:25" x14ac:dyDescent="0.3">
      <c r="A2422">
        <v>121050</v>
      </c>
      <c r="B2422" t="s">
        <v>50282</v>
      </c>
      <c r="C2422" t="s">
        <v>50283</v>
      </c>
      <c r="D2422" t="s">
        <v>50284</v>
      </c>
      <c r="E2422" t="s">
        <v>50285</v>
      </c>
      <c r="F2422" t="s">
        <v>50286</v>
      </c>
      <c r="G2422" t="s">
        <v>50287</v>
      </c>
      <c r="H2422" t="s">
        <v>50288</v>
      </c>
      <c r="I2422" t="s">
        <v>50289</v>
      </c>
      <c r="J2422" t="s">
        <v>50290</v>
      </c>
      <c r="K2422" t="s">
        <v>50291</v>
      </c>
      <c r="L2422" t="s">
        <v>50292</v>
      </c>
      <c r="M2422" t="s">
        <v>50293</v>
      </c>
      <c r="N2422" t="s">
        <v>50294</v>
      </c>
      <c r="O2422">
        <f>-775.835777715618 -64.1606283250387 -721.439901462091</f>
        <v>-1561.4363075027477</v>
      </c>
      <c r="P2422">
        <f>-727.030301486811 -56.2717241574467 -408.802759710441</f>
        <v>-1192.1047853546988</v>
      </c>
      <c r="Q2422">
        <f>-474.020356791037 -6.15815174804425 -375.386205942657</f>
        <v>-855.56471448173829</v>
      </c>
      <c r="R2422" t="s">
        <v>50295</v>
      </c>
      <c r="S2422" t="s">
        <v>50296</v>
      </c>
      <c r="T2422" t="s">
        <v>50297</v>
      </c>
      <c r="U2422" t="s">
        <v>50298</v>
      </c>
      <c r="V2422" t="s">
        <v>50299</v>
      </c>
      <c r="W2422" t="s">
        <v>50300</v>
      </c>
      <c r="X2422" t="s">
        <v>50301</v>
      </c>
      <c r="Y2422" t="s">
        <v>50302</v>
      </c>
    </row>
    <row r="2423" spans="1:25" x14ac:dyDescent="0.3">
      <c r="A2423">
        <v>121100</v>
      </c>
      <c r="B2423" t="s">
        <v>50303</v>
      </c>
      <c r="C2423" t="s">
        <v>50304</v>
      </c>
      <c r="D2423" t="s">
        <v>50305</v>
      </c>
      <c r="E2423" t="s">
        <v>50306</v>
      </c>
      <c r="F2423" t="s">
        <v>50307</v>
      </c>
      <c r="G2423" t="s">
        <v>50308</v>
      </c>
      <c r="H2423" t="s">
        <v>50309</v>
      </c>
      <c r="I2423" t="s">
        <v>50310</v>
      </c>
      <c r="J2423" t="s">
        <v>50311</v>
      </c>
      <c r="K2423" t="s">
        <v>50312</v>
      </c>
      <c r="L2423" t="s">
        <v>50313</v>
      </c>
      <c r="M2423" t="s">
        <v>50314</v>
      </c>
      <c r="N2423" t="s">
        <v>50315</v>
      </c>
      <c r="O2423">
        <f>-775.914922557371 -64.3453691178117 -721.471723985695</f>
        <v>-1561.7320156608778</v>
      </c>
      <c r="P2423">
        <f>-727.098973952899 -56.3627368033672 -408.838580268398</f>
        <v>-1192.3002910246641</v>
      </c>
      <c r="Q2423">
        <f>-474.116743214366 -6.21253986504348 -375.268859199654</f>
        <v>-855.5981422790635</v>
      </c>
      <c r="R2423" t="s">
        <v>50316</v>
      </c>
      <c r="S2423" t="s">
        <v>50317</v>
      </c>
      <c r="T2423" t="s">
        <v>50318</v>
      </c>
      <c r="U2423" t="s">
        <v>50319</v>
      </c>
      <c r="V2423" t="s">
        <v>50320</v>
      </c>
      <c r="W2423" t="s">
        <v>50321</v>
      </c>
      <c r="X2423" t="s">
        <v>50322</v>
      </c>
      <c r="Y2423" t="s">
        <v>50323</v>
      </c>
    </row>
    <row r="2424" spans="1:25" x14ac:dyDescent="0.3">
      <c r="A2424">
        <v>121150</v>
      </c>
      <c r="B2424" t="s">
        <v>50324</v>
      </c>
      <c r="C2424" t="s">
        <v>50325</v>
      </c>
      <c r="D2424" t="s">
        <v>50326</v>
      </c>
      <c r="E2424" t="s">
        <v>50327</v>
      </c>
      <c r="F2424" t="s">
        <v>50328</v>
      </c>
      <c r="G2424" t="s">
        <v>50329</v>
      </c>
      <c r="H2424" t="s">
        <v>50330</v>
      </c>
      <c r="I2424" t="s">
        <v>50331</v>
      </c>
      <c r="J2424" t="s">
        <v>50332</v>
      </c>
      <c r="K2424" t="s">
        <v>50333</v>
      </c>
      <c r="L2424" t="s">
        <v>50334</v>
      </c>
      <c r="M2424" t="s">
        <v>50335</v>
      </c>
      <c r="N2424" t="s">
        <v>50336</v>
      </c>
      <c r="O2424">
        <f>-776.303814300254 -64.2538220544179 -721.243376271787</f>
        <v>-1561.8010126264589</v>
      </c>
      <c r="P2424">
        <f>-727.425909724531 -56.1561478433791 -408.622903289199</f>
        <v>-1192.2049608571092</v>
      </c>
      <c r="Q2424">
        <f>-474.397415945059 -6.27307093372747 -375.00245984197</f>
        <v>-855.6729467207565</v>
      </c>
      <c r="R2424" t="s">
        <v>50337</v>
      </c>
      <c r="S2424" t="s">
        <v>50338</v>
      </c>
      <c r="T2424" t="s">
        <v>50339</v>
      </c>
      <c r="U2424" t="s">
        <v>50340</v>
      </c>
      <c r="V2424" t="s">
        <v>50341</v>
      </c>
      <c r="W2424" t="s">
        <v>50342</v>
      </c>
      <c r="X2424" t="s">
        <v>50343</v>
      </c>
      <c r="Y2424" t="s">
        <v>50344</v>
      </c>
    </row>
    <row r="2425" spans="1:25" x14ac:dyDescent="0.3">
      <c r="A2425">
        <v>121200</v>
      </c>
      <c r="B2425" t="s">
        <v>50345</v>
      </c>
      <c r="C2425" t="s">
        <v>50346</v>
      </c>
      <c r="D2425" t="s">
        <v>50347</v>
      </c>
      <c r="E2425" t="s">
        <v>50348</v>
      </c>
      <c r="F2425" t="s">
        <v>50349</v>
      </c>
      <c r="G2425" t="s">
        <v>50350</v>
      </c>
      <c r="H2425" t="s">
        <v>50351</v>
      </c>
      <c r="I2425" t="s">
        <v>50352</v>
      </c>
      <c r="J2425" t="s">
        <v>50353</v>
      </c>
      <c r="K2425" t="s">
        <v>50354</v>
      </c>
      <c r="L2425" t="s">
        <v>50355</v>
      </c>
      <c r="M2425" t="s">
        <v>50356</v>
      </c>
      <c r="N2425" t="s">
        <v>50357</v>
      </c>
      <c r="O2425">
        <f>-776.550627635118 -63.9426984942415 -721.113568273071</f>
        <v>-1561.6068944024305</v>
      </c>
      <c r="P2425">
        <f>-727.619225198551 -56.0572207066402 -408.496015694617</f>
        <v>-1192.1724615998082</v>
      </c>
      <c r="Q2425">
        <f>-474.546817249704 -6.34600228155887 -374.952573388191</f>
        <v>-855.84539291945384</v>
      </c>
      <c r="R2425" t="s">
        <v>50358</v>
      </c>
      <c r="S2425" t="s">
        <v>50359</v>
      </c>
      <c r="T2425" t="s">
        <v>50360</v>
      </c>
      <c r="U2425" t="s">
        <v>50361</v>
      </c>
      <c r="V2425" t="s">
        <v>50362</v>
      </c>
      <c r="W2425" t="s">
        <v>50363</v>
      </c>
      <c r="X2425" t="s">
        <v>50364</v>
      </c>
      <c r="Y2425" t="s">
        <v>50365</v>
      </c>
    </row>
    <row r="2426" spans="1:25" x14ac:dyDescent="0.3">
      <c r="A2426">
        <v>121250</v>
      </c>
      <c r="B2426" t="s">
        <v>50366</v>
      </c>
      <c r="C2426" t="s">
        <v>50367</v>
      </c>
      <c r="D2426" t="s">
        <v>50368</v>
      </c>
      <c r="E2426" t="s">
        <v>50369</v>
      </c>
      <c r="F2426" t="s">
        <v>50370</v>
      </c>
      <c r="G2426" t="s">
        <v>50371</v>
      </c>
      <c r="H2426" t="s">
        <v>50372</v>
      </c>
      <c r="I2426" t="s">
        <v>50373</v>
      </c>
      <c r="J2426" t="s">
        <v>50374</v>
      </c>
      <c r="K2426" t="s">
        <v>50375</v>
      </c>
      <c r="L2426" t="s">
        <v>50376</v>
      </c>
      <c r="M2426" t="s">
        <v>50377</v>
      </c>
      <c r="N2426" t="s">
        <v>50378</v>
      </c>
      <c r="O2426">
        <f>-777.409226277597 -63.5181965508302 -720.870460397602</f>
        <v>-1561.7978832260292</v>
      </c>
      <c r="P2426">
        <f>-728.293441929414 -56.1209442487625 -408.269913252208</f>
        <v>-1192.6842994303845</v>
      </c>
      <c r="Q2426">
        <f>-475.117698764044 -6.86810481011526 -374.829343459753</f>
        <v>-856.81514703391224</v>
      </c>
      <c r="R2426" t="s">
        <v>50379</v>
      </c>
      <c r="S2426" t="s">
        <v>50380</v>
      </c>
      <c r="T2426" t="s">
        <v>50381</v>
      </c>
      <c r="U2426" t="s">
        <v>50382</v>
      </c>
      <c r="V2426" t="s">
        <v>50383</v>
      </c>
      <c r="W2426" t="s">
        <v>50384</v>
      </c>
      <c r="X2426" t="s">
        <v>50385</v>
      </c>
      <c r="Y2426" t="s">
        <v>50386</v>
      </c>
    </row>
    <row r="2427" spans="1:25" x14ac:dyDescent="0.3">
      <c r="A2427">
        <v>121300</v>
      </c>
      <c r="B2427" t="s">
        <v>50387</v>
      </c>
      <c r="C2427" t="s">
        <v>50388</v>
      </c>
      <c r="D2427" t="s">
        <v>50389</v>
      </c>
      <c r="E2427" t="s">
        <v>50390</v>
      </c>
      <c r="F2427" t="s">
        <v>50391</v>
      </c>
      <c r="G2427" t="s">
        <v>50392</v>
      </c>
      <c r="H2427" t="s">
        <v>50393</v>
      </c>
      <c r="I2427" t="s">
        <v>50394</v>
      </c>
      <c r="J2427" t="s">
        <v>50395</v>
      </c>
      <c r="K2427" t="s">
        <v>50396</v>
      </c>
      <c r="L2427" t="s">
        <v>50397</v>
      </c>
      <c r="M2427" t="s">
        <v>50398</v>
      </c>
      <c r="N2427" t="s">
        <v>50399</v>
      </c>
      <c r="O2427">
        <f>-777.831334550083 -63.5293496458519 -720.776876131459</f>
        <v>-1562.1375603273939</v>
      </c>
      <c r="P2427">
        <f>-728.743124472769 -56.2933115279225 -408.168253168667</f>
        <v>-1193.2046891693585</v>
      </c>
      <c r="Q2427">
        <f>-475.527097319143 -7.19339807661481 -374.808074382487</f>
        <v>-857.5285697782449</v>
      </c>
      <c r="R2427" t="s">
        <v>50400</v>
      </c>
      <c r="S2427" t="s">
        <v>50401</v>
      </c>
      <c r="T2427" t="s">
        <v>50402</v>
      </c>
      <c r="U2427" t="s">
        <v>50403</v>
      </c>
      <c r="V2427" t="s">
        <v>50404</v>
      </c>
      <c r="W2427" t="s">
        <v>50405</v>
      </c>
      <c r="X2427" t="s">
        <v>50406</v>
      </c>
      <c r="Y2427" t="s">
        <v>50407</v>
      </c>
    </row>
    <row r="2428" spans="1:25" x14ac:dyDescent="0.3">
      <c r="A2428">
        <v>121350</v>
      </c>
      <c r="B2428" t="s">
        <v>50408</v>
      </c>
      <c r="C2428" t="s">
        <v>50409</v>
      </c>
      <c r="D2428" t="s">
        <v>50410</v>
      </c>
      <c r="E2428" t="s">
        <v>50411</v>
      </c>
      <c r="F2428" t="s">
        <v>50412</v>
      </c>
      <c r="G2428" t="s">
        <v>50413</v>
      </c>
      <c r="H2428" t="s">
        <v>50414</v>
      </c>
      <c r="I2428" t="s">
        <v>50415</v>
      </c>
      <c r="J2428" t="s">
        <v>50416</v>
      </c>
      <c r="K2428" t="s">
        <v>50417</v>
      </c>
      <c r="L2428" t="s">
        <v>50418</v>
      </c>
      <c r="M2428" t="s">
        <v>50419</v>
      </c>
      <c r="N2428" t="s">
        <v>50420</v>
      </c>
      <c r="O2428">
        <f>-778.712814282204 -63.0208324157329 -720.422124341643</f>
        <v>-1562.15577103958</v>
      </c>
      <c r="P2428">
        <f>-729.344849334392 -56.2222847072615 -407.847662593992</f>
        <v>-1193.4147966356454</v>
      </c>
      <c r="Q2428">
        <f>-476.085250761689 -7.39527629364147 -374.417343710601</f>
        <v>-857.89787076593143</v>
      </c>
      <c r="R2428" t="s">
        <v>50421</v>
      </c>
      <c r="S2428" t="s">
        <v>50422</v>
      </c>
      <c r="T2428" t="s">
        <v>50423</v>
      </c>
      <c r="U2428" t="s">
        <v>50424</v>
      </c>
      <c r="V2428" t="s">
        <v>50425</v>
      </c>
      <c r="W2428" t="s">
        <v>50426</v>
      </c>
      <c r="X2428" t="s">
        <v>50427</v>
      </c>
      <c r="Y2428" t="s">
        <v>50428</v>
      </c>
    </row>
    <row r="2429" spans="1:25" x14ac:dyDescent="0.3">
      <c r="A2429">
        <v>121400</v>
      </c>
      <c r="B2429" t="s">
        <v>50429</v>
      </c>
      <c r="C2429" t="s">
        <v>50430</v>
      </c>
      <c r="D2429" t="s">
        <v>50431</v>
      </c>
      <c r="E2429" t="s">
        <v>50432</v>
      </c>
      <c r="F2429" t="s">
        <v>50433</v>
      </c>
      <c r="G2429" t="s">
        <v>50434</v>
      </c>
      <c r="H2429" t="s">
        <v>50435</v>
      </c>
      <c r="I2429" t="s">
        <v>50436</v>
      </c>
      <c r="J2429" t="s">
        <v>50437</v>
      </c>
      <c r="K2429" t="s">
        <v>50438</v>
      </c>
      <c r="L2429" t="s">
        <v>50439</v>
      </c>
      <c r="M2429" t="s">
        <v>50440</v>
      </c>
      <c r="N2429" t="s">
        <v>50441</v>
      </c>
      <c r="O2429">
        <f>-779.020771700871 -62.6719947806823 -720.099398262479</f>
        <v>-1561.7921647440323</v>
      </c>
      <c r="P2429">
        <f>-729.678891774447 -55.76113002229 -407.523345874051</f>
        <v>-1192.9633676707881</v>
      </c>
      <c r="Q2429">
        <f>-476.419931753436 -6.86920157098916 -374.183903946608</f>
        <v>-857.47303727103315</v>
      </c>
      <c r="R2429" t="s">
        <v>50442</v>
      </c>
      <c r="S2429" t="s">
        <v>50443</v>
      </c>
      <c r="T2429" t="s">
        <v>50444</v>
      </c>
      <c r="U2429" t="s">
        <v>50445</v>
      </c>
      <c r="V2429" t="s">
        <v>50446</v>
      </c>
      <c r="W2429" t="s">
        <v>50447</v>
      </c>
      <c r="X2429" t="s">
        <v>50448</v>
      </c>
      <c r="Y2429" t="s">
        <v>50449</v>
      </c>
    </row>
    <row r="2430" spans="1:25" x14ac:dyDescent="0.3">
      <c r="A2430">
        <v>121450</v>
      </c>
      <c r="B2430" t="s">
        <v>50450</v>
      </c>
      <c r="C2430" t="s">
        <v>50451</v>
      </c>
      <c r="D2430" t="s">
        <v>50452</v>
      </c>
      <c r="E2430" t="s">
        <v>50453</v>
      </c>
      <c r="F2430" t="s">
        <v>50454</v>
      </c>
      <c r="G2430" t="s">
        <v>50455</v>
      </c>
      <c r="H2430" t="s">
        <v>50456</v>
      </c>
      <c r="I2430" t="s">
        <v>50457</v>
      </c>
      <c r="J2430" t="s">
        <v>50458</v>
      </c>
      <c r="K2430" t="s">
        <v>50459</v>
      </c>
      <c r="L2430" t="s">
        <v>50460</v>
      </c>
      <c r="M2430" t="s">
        <v>50461</v>
      </c>
      <c r="N2430" t="s">
        <v>50462</v>
      </c>
      <c r="O2430">
        <f>-779.311818403304 -62.1510542632293 -719.59342769309</f>
        <v>-1561.0563003596233</v>
      </c>
      <c r="P2430">
        <f>-730.317943636342 -54.8218097084771 -406.972054404222</f>
        <v>-1192.111807749041</v>
      </c>
      <c r="Q2430">
        <f>-477.136271476467 -5.39100245294185 -373.840634001797</f>
        <v>-856.36790793120588</v>
      </c>
      <c r="R2430" t="s">
        <v>50463</v>
      </c>
      <c r="S2430" t="s">
        <v>50464</v>
      </c>
      <c r="T2430" t="s">
        <v>50465</v>
      </c>
      <c r="U2430" t="s">
        <v>50466</v>
      </c>
      <c r="V2430" t="s">
        <v>50467</v>
      </c>
      <c r="W2430" t="s">
        <v>50468</v>
      </c>
      <c r="X2430" t="s">
        <v>50469</v>
      </c>
      <c r="Y2430" t="s">
        <v>50470</v>
      </c>
    </row>
    <row r="2431" spans="1:25" x14ac:dyDescent="0.3">
      <c r="A2431">
        <v>121500</v>
      </c>
      <c r="B2431" t="s">
        <v>50471</v>
      </c>
      <c r="C2431" t="s">
        <v>50472</v>
      </c>
      <c r="D2431" t="s">
        <v>50473</v>
      </c>
      <c r="E2431" t="s">
        <v>50474</v>
      </c>
      <c r="F2431" t="s">
        <v>50475</v>
      </c>
      <c r="G2431" t="s">
        <v>50476</v>
      </c>
      <c r="H2431" t="s">
        <v>50477</v>
      </c>
      <c r="I2431" t="s">
        <v>50478</v>
      </c>
      <c r="J2431" t="s">
        <v>50479</v>
      </c>
      <c r="K2431" t="s">
        <v>50480</v>
      </c>
      <c r="L2431" t="s">
        <v>50481</v>
      </c>
      <c r="M2431" t="s">
        <v>50482</v>
      </c>
      <c r="N2431" t="s">
        <v>50483</v>
      </c>
      <c r="O2431">
        <f>-779.296853468062 -61.9859050973773 -719.543489463612</f>
        <v>-1560.8262480290514</v>
      </c>
      <c r="P2431">
        <f>-730.520723384962 -54.7618912134133 -406.885791954942</f>
        <v>-1192.1684065533173</v>
      </c>
      <c r="Q2431">
        <f>-477.395682689509 -4.97013905444123 -373.861881445133</f>
        <v>-856.22770318908329</v>
      </c>
      <c r="R2431" t="s">
        <v>50484</v>
      </c>
      <c r="S2431" t="s">
        <v>50485</v>
      </c>
      <c r="T2431" t="s">
        <v>50486</v>
      </c>
      <c r="U2431" t="s">
        <v>50487</v>
      </c>
      <c r="V2431" t="s">
        <v>50488</v>
      </c>
      <c r="W2431" t="s">
        <v>50489</v>
      </c>
      <c r="X2431" t="s">
        <v>50490</v>
      </c>
      <c r="Y2431" t="s">
        <v>50491</v>
      </c>
    </row>
    <row r="2432" spans="1:25" x14ac:dyDescent="0.3">
      <c r="A2432">
        <v>121550</v>
      </c>
      <c r="B2432" t="s">
        <v>50492</v>
      </c>
      <c r="C2432" t="s">
        <v>50493</v>
      </c>
      <c r="D2432" t="s">
        <v>50494</v>
      </c>
      <c r="E2432" t="s">
        <v>50495</v>
      </c>
      <c r="F2432" t="s">
        <v>50496</v>
      </c>
      <c r="G2432" t="s">
        <v>50497</v>
      </c>
      <c r="H2432" t="s">
        <v>50498</v>
      </c>
      <c r="I2432" t="s">
        <v>50499</v>
      </c>
      <c r="J2432" t="s">
        <v>50500</v>
      </c>
      <c r="K2432" t="s">
        <v>50501</v>
      </c>
      <c r="L2432" t="s">
        <v>50502</v>
      </c>
      <c r="M2432" t="s">
        <v>50503</v>
      </c>
      <c r="N2432" t="s">
        <v>50504</v>
      </c>
      <c r="O2432">
        <f>-779.49024494701 -62.1756583366191 -719.640963003416</f>
        <v>-1561.3068662870451</v>
      </c>
      <c r="P2432">
        <f>-730.381858284776 -54.9524929545137 -407.035174431809</f>
        <v>-1192.3695256710987</v>
      </c>
      <c r="Q2432">
        <f>-477.436505525059 -4.32830628791385 -373.900559779662</f>
        <v>-855.66537159263476</v>
      </c>
      <c r="R2432" t="s">
        <v>50505</v>
      </c>
      <c r="S2432" t="s">
        <v>50506</v>
      </c>
      <c r="T2432" t="s">
        <v>50507</v>
      </c>
      <c r="U2432" t="s">
        <v>50508</v>
      </c>
      <c r="V2432" t="s">
        <v>50509</v>
      </c>
      <c r="W2432" t="s">
        <v>50510</v>
      </c>
      <c r="X2432" t="s">
        <v>50511</v>
      </c>
      <c r="Y2432" t="s">
        <v>50512</v>
      </c>
    </row>
    <row r="2433" spans="1:25" x14ac:dyDescent="0.3">
      <c r="A2433">
        <v>121600</v>
      </c>
      <c r="B2433" t="s">
        <v>50513</v>
      </c>
      <c r="C2433" t="s">
        <v>50514</v>
      </c>
      <c r="D2433" t="s">
        <v>50515</v>
      </c>
      <c r="E2433" t="s">
        <v>50516</v>
      </c>
      <c r="F2433" t="s">
        <v>50517</v>
      </c>
      <c r="G2433" t="s">
        <v>50518</v>
      </c>
      <c r="H2433" t="s">
        <v>50519</v>
      </c>
      <c r="I2433" t="s">
        <v>50520</v>
      </c>
      <c r="J2433" t="s">
        <v>50521</v>
      </c>
      <c r="K2433" t="s">
        <v>50522</v>
      </c>
      <c r="L2433" t="s">
        <v>50523</v>
      </c>
      <c r="M2433" t="s">
        <v>50524</v>
      </c>
      <c r="N2433" t="s">
        <v>50525</v>
      </c>
      <c r="O2433">
        <f>-779.446779708341 -62.6866681592144 -719.698672720788</f>
        <v>-1561.8321205883433</v>
      </c>
      <c r="P2433">
        <f>-730.385980032597 -55.2786833663031 -407.089746314689</f>
        <v>-1192.7544097135892</v>
      </c>
      <c r="Q2433">
        <f>-477.555571447268 -4.11822063701015 -373.901772337753</f>
        <v>-855.57556442203122</v>
      </c>
      <c r="R2433" t="s">
        <v>50526</v>
      </c>
      <c r="S2433" t="s">
        <v>50527</v>
      </c>
      <c r="T2433" t="s">
        <v>50528</v>
      </c>
      <c r="U2433" t="s">
        <v>50529</v>
      </c>
      <c r="V2433" t="s">
        <v>50530</v>
      </c>
      <c r="W2433" t="s">
        <v>50531</v>
      </c>
      <c r="X2433" t="s">
        <v>50532</v>
      </c>
      <c r="Y2433" t="s">
        <v>50533</v>
      </c>
    </row>
    <row r="2434" spans="1:25" x14ac:dyDescent="0.3">
      <c r="A2434">
        <v>121650</v>
      </c>
      <c r="B2434" t="s">
        <v>50534</v>
      </c>
      <c r="C2434" t="s">
        <v>50535</v>
      </c>
      <c r="D2434" t="s">
        <v>50536</v>
      </c>
      <c r="E2434" t="s">
        <v>50537</v>
      </c>
      <c r="F2434" t="s">
        <v>50538</v>
      </c>
      <c r="G2434" t="s">
        <v>50539</v>
      </c>
      <c r="H2434" t="s">
        <v>50540</v>
      </c>
      <c r="I2434" t="s">
        <v>50541</v>
      </c>
      <c r="J2434" t="s">
        <v>50542</v>
      </c>
      <c r="K2434" t="s">
        <v>50543</v>
      </c>
      <c r="L2434" t="s">
        <v>50544</v>
      </c>
      <c r="M2434" t="s">
        <v>50545</v>
      </c>
      <c r="N2434" t="s">
        <v>50546</v>
      </c>
      <c r="O2434">
        <f>-779.367708884706 -63.492767597269 -719.936138158619</f>
        <v>-1562.7966146405938</v>
      </c>
      <c r="P2434">
        <f>-730.391307385132 -56.0136410626155 -407.315736180566</f>
        <v>-1193.7206846283134</v>
      </c>
      <c r="Q2434">
        <f>-477.833712545272 -3.6956297826498 -373.856063114189</f>
        <v>-855.38540544211082</v>
      </c>
      <c r="R2434" t="s">
        <v>50547</v>
      </c>
      <c r="S2434" t="s">
        <v>50548</v>
      </c>
      <c r="T2434" t="s">
        <v>50549</v>
      </c>
      <c r="U2434" t="s">
        <v>50550</v>
      </c>
      <c r="V2434" t="s">
        <v>50551</v>
      </c>
      <c r="W2434" t="s">
        <v>50552</v>
      </c>
      <c r="X2434" t="s">
        <v>50553</v>
      </c>
      <c r="Y2434" t="s">
        <v>50554</v>
      </c>
    </row>
    <row r="2435" spans="1:25" x14ac:dyDescent="0.3">
      <c r="A2435">
        <v>121700</v>
      </c>
      <c r="B2435" t="s">
        <v>50555</v>
      </c>
      <c r="C2435" t="s">
        <v>50556</v>
      </c>
      <c r="D2435" t="s">
        <v>50557</v>
      </c>
      <c r="E2435" t="s">
        <v>50558</v>
      </c>
      <c r="F2435" t="s">
        <v>50559</v>
      </c>
      <c r="G2435" t="s">
        <v>50560</v>
      </c>
      <c r="H2435" t="s">
        <v>50561</v>
      </c>
      <c r="I2435" t="s">
        <v>50562</v>
      </c>
      <c r="J2435" t="s">
        <v>50563</v>
      </c>
      <c r="K2435" t="s">
        <v>50564</v>
      </c>
      <c r="L2435" t="s">
        <v>50565</v>
      </c>
      <c r="M2435" t="s">
        <v>50566</v>
      </c>
      <c r="N2435" t="s">
        <v>50567</v>
      </c>
      <c r="O2435">
        <f>-779.393995355269 -63.8603395828154 -720.044884306433</f>
        <v>-1563.2992192445174</v>
      </c>
      <c r="P2435">
        <f>-730.394743132102 -56.1749980726622 -407.433002937287</f>
        <v>-1194.0027441420511</v>
      </c>
      <c r="Q2435">
        <f>-477.935260617552 -3.42753745321988 -373.906954512356</f>
        <v>-855.26975258312791</v>
      </c>
      <c r="R2435" t="s">
        <v>50568</v>
      </c>
      <c r="S2435" t="s">
        <v>50569</v>
      </c>
      <c r="T2435" t="s">
        <v>50570</v>
      </c>
      <c r="U2435" t="s">
        <v>50571</v>
      </c>
      <c r="V2435" t="s">
        <v>50572</v>
      </c>
      <c r="W2435" t="s">
        <v>50573</v>
      </c>
      <c r="X2435" t="s">
        <v>50574</v>
      </c>
      <c r="Y2435" t="s">
        <v>50575</v>
      </c>
    </row>
    <row r="2436" spans="1:25" x14ac:dyDescent="0.3">
      <c r="A2436">
        <v>121750</v>
      </c>
      <c r="B2436" t="s">
        <v>50576</v>
      </c>
      <c r="C2436" t="s">
        <v>50577</v>
      </c>
      <c r="D2436" t="s">
        <v>50578</v>
      </c>
      <c r="E2436" t="s">
        <v>50579</v>
      </c>
      <c r="F2436" t="s">
        <v>50580</v>
      </c>
      <c r="G2436" t="s">
        <v>50581</v>
      </c>
      <c r="H2436" t="s">
        <v>50582</v>
      </c>
      <c r="I2436" t="s">
        <v>50583</v>
      </c>
      <c r="J2436" t="s">
        <v>50584</v>
      </c>
      <c r="K2436" t="s">
        <v>50585</v>
      </c>
      <c r="L2436" t="s">
        <v>50586</v>
      </c>
      <c r="M2436" t="s">
        <v>50587</v>
      </c>
      <c r="N2436" t="s">
        <v>50588</v>
      </c>
      <c r="O2436">
        <f>-779.529209355553 -64.7455650373399 -720.091247077416</f>
        <v>-1564.3660214703091</v>
      </c>
      <c r="P2436">
        <f>-730.441718383346 -56.8685853520337 -407.497879241495</f>
        <v>-1194.8081829768748</v>
      </c>
      <c r="Q2436">
        <f>-478.069473532283 -3.59559687033584 -374.147411643554</f>
        <v>-855.81248204617282</v>
      </c>
      <c r="R2436" t="s">
        <v>50589</v>
      </c>
      <c r="S2436" t="s">
        <v>50590</v>
      </c>
      <c r="T2436" t="s">
        <v>50591</v>
      </c>
      <c r="U2436" t="s">
        <v>50592</v>
      </c>
      <c r="V2436" t="s">
        <v>50593</v>
      </c>
      <c r="W2436" t="s">
        <v>50594</v>
      </c>
      <c r="X2436" t="s">
        <v>50595</v>
      </c>
      <c r="Y2436" t="s">
        <v>50596</v>
      </c>
    </row>
    <row r="2437" spans="1:25" x14ac:dyDescent="0.3">
      <c r="A2437">
        <v>121800</v>
      </c>
      <c r="B2437" t="s">
        <v>50597</v>
      </c>
      <c r="C2437" t="s">
        <v>50598</v>
      </c>
      <c r="D2437" t="s">
        <v>50599</v>
      </c>
      <c r="E2437" t="s">
        <v>50600</v>
      </c>
      <c r="F2437" t="s">
        <v>50601</v>
      </c>
      <c r="G2437" t="s">
        <v>50602</v>
      </c>
      <c r="H2437" t="s">
        <v>50603</v>
      </c>
      <c r="I2437" t="s">
        <v>50604</v>
      </c>
      <c r="J2437" t="s">
        <v>50605</v>
      </c>
      <c r="K2437" t="s">
        <v>50606</v>
      </c>
      <c r="L2437" t="s">
        <v>50607</v>
      </c>
      <c r="M2437" t="s">
        <v>50608</v>
      </c>
      <c r="N2437" t="s">
        <v>50609</v>
      </c>
      <c r="O2437">
        <f>-779.734451192974 -65.0900869347354 -720.103400002401</f>
        <v>-1564.9279381301103</v>
      </c>
      <c r="P2437">
        <f>-730.505288597026 -57.1775079012289 -407.533323488519</f>
        <v>-1195.2161199867739</v>
      </c>
      <c r="Q2437">
        <f>-478.156567462058 -3.6893468106714 -374.349176787308</f>
        <v>-856.19509106003738</v>
      </c>
      <c r="R2437" t="s">
        <v>50610</v>
      </c>
      <c r="S2437" t="s">
        <v>50611</v>
      </c>
      <c r="T2437" t="s">
        <v>50612</v>
      </c>
      <c r="U2437" t="s">
        <v>50613</v>
      </c>
      <c r="V2437" t="s">
        <v>50614</v>
      </c>
      <c r="W2437" t="s">
        <v>50615</v>
      </c>
      <c r="X2437" t="s">
        <v>50616</v>
      </c>
      <c r="Y2437" t="s">
        <v>50617</v>
      </c>
    </row>
    <row r="2438" spans="1:25" x14ac:dyDescent="0.3">
      <c r="A2438">
        <v>121850</v>
      </c>
      <c r="B2438" t="s">
        <v>50618</v>
      </c>
      <c r="C2438" t="s">
        <v>50619</v>
      </c>
      <c r="D2438" t="s">
        <v>50620</v>
      </c>
      <c r="E2438" t="s">
        <v>50621</v>
      </c>
      <c r="F2438" t="s">
        <v>50622</v>
      </c>
      <c r="G2438" t="s">
        <v>50623</v>
      </c>
      <c r="H2438" t="s">
        <v>50624</v>
      </c>
      <c r="I2438" t="s">
        <v>50625</v>
      </c>
      <c r="J2438" t="s">
        <v>50626</v>
      </c>
      <c r="K2438" t="s">
        <v>50627</v>
      </c>
      <c r="L2438" t="s">
        <v>50628</v>
      </c>
      <c r="M2438" t="s">
        <v>50629</v>
      </c>
      <c r="N2438" t="s">
        <v>50630</v>
      </c>
      <c r="O2438">
        <f>-779.771733181125 -65.7848130791976 -720.118615117032</f>
        <v>-1565.6751613773547</v>
      </c>
      <c r="P2438">
        <f>-730.433135738269 -57.9275908947673 -407.564328891463</f>
        <v>-1195.9250555244994</v>
      </c>
      <c r="Q2438">
        <f>-478.142756703885 -3.96845402617578 -374.70120308572</f>
        <v>-856.81241381578081</v>
      </c>
      <c r="R2438" t="s">
        <v>50631</v>
      </c>
      <c r="S2438" t="s">
        <v>50632</v>
      </c>
      <c r="T2438" t="s">
        <v>50633</v>
      </c>
      <c r="U2438" t="s">
        <v>50634</v>
      </c>
      <c r="V2438" t="s">
        <v>50635</v>
      </c>
      <c r="W2438" t="s">
        <v>50636</v>
      </c>
      <c r="X2438" t="s">
        <v>50637</v>
      </c>
      <c r="Y2438" t="s">
        <v>50638</v>
      </c>
    </row>
    <row r="2439" spans="1:25" x14ac:dyDescent="0.3">
      <c r="A2439">
        <v>121900</v>
      </c>
      <c r="B2439" t="s">
        <v>50639</v>
      </c>
      <c r="C2439" t="s">
        <v>50640</v>
      </c>
      <c r="D2439" t="s">
        <v>50641</v>
      </c>
      <c r="E2439" t="s">
        <v>50642</v>
      </c>
      <c r="F2439" t="s">
        <v>50643</v>
      </c>
      <c r="G2439" t="s">
        <v>50644</v>
      </c>
      <c r="H2439" t="s">
        <v>50645</v>
      </c>
      <c r="I2439" t="s">
        <v>50646</v>
      </c>
      <c r="J2439" t="s">
        <v>50647</v>
      </c>
      <c r="K2439" t="s">
        <v>50648</v>
      </c>
      <c r="L2439" t="s">
        <v>50649</v>
      </c>
      <c r="M2439" t="s">
        <v>50650</v>
      </c>
      <c r="N2439" t="s">
        <v>50651</v>
      </c>
      <c r="O2439">
        <f>-779.829399612726 -66.033720164716 -720.077046100349</f>
        <v>-1565.9401658777911</v>
      </c>
      <c r="P2439">
        <f>-730.382021607567 -58.1926754575288 -407.539605936827</f>
        <v>-1196.114303001923</v>
      </c>
      <c r="Q2439">
        <f>-478.101315832384 -4.14949392392032 -374.738551331635</f>
        <v>-856.9893610879393</v>
      </c>
      <c r="R2439" t="s">
        <v>50652</v>
      </c>
      <c r="S2439" t="s">
        <v>50653</v>
      </c>
      <c r="T2439" t="s">
        <v>50654</v>
      </c>
      <c r="U2439" t="s">
        <v>50655</v>
      </c>
      <c r="V2439" t="s">
        <v>50656</v>
      </c>
      <c r="W2439" t="s">
        <v>50657</v>
      </c>
      <c r="X2439" t="s">
        <v>50658</v>
      </c>
      <c r="Y2439" t="s">
        <v>50659</v>
      </c>
    </row>
    <row r="2440" spans="1:25" x14ac:dyDescent="0.3">
      <c r="A2440">
        <v>121950</v>
      </c>
      <c r="B2440" t="s">
        <v>50660</v>
      </c>
      <c r="C2440" t="s">
        <v>50661</v>
      </c>
      <c r="D2440" t="s">
        <v>50662</v>
      </c>
      <c r="E2440" t="s">
        <v>50663</v>
      </c>
      <c r="F2440" t="s">
        <v>50664</v>
      </c>
      <c r="G2440" t="s">
        <v>50665</v>
      </c>
      <c r="H2440" t="s">
        <v>50666</v>
      </c>
      <c r="I2440" t="s">
        <v>50667</v>
      </c>
      <c r="J2440" t="s">
        <v>50668</v>
      </c>
      <c r="K2440" t="s">
        <v>50669</v>
      </c>
      <c r="L2440" t="s">
        <v>50670</v>
      </c>
      <c r="M2440" t="s">
        <v>50671</v>
      </c>
      <c r="N2440" t="s">
        <v>50672</v>
      </c>
      <c r="O2440">
        <f>-779.916512621912 -66.5285036336711 -720.112262037335</f>
        <v>-1566.557278292918</v>
      </c>
      <c r="P2440">
        <f>-730.409943093262 -58.4436943705446 -407.590538415959</f>
        <v>-1196.4441758797655</v>
      </c>
      <c r="Q2440">
        <f>-478.09076721908 -4.53319356141355 -374.867984224764</f>
        <v>-857.49194500525755</v>
      </c>
      <c r="R2440" t="s">
        <v>50673</v>
      </c>
      <c r="S2440" t="s">
        <v>50674</v>
      </c>
      <c r="T2440" t="s">
        <v>50675</v>
      </c>
      <c r="U2440" t="s">
        <v>50676</v>
      </c>
      <c r="V2440" t="s">
        <v>50677</v>
      </c>
      <c r="W2440" t="s">
        <v>50678</v>
      </c>
      <c r="X2440" t="s">
        <v>50679</v>
      </c>
      <c r="Y2440" t="s">
        <v>50680</v>
      </c>
    </row>
    <row r="2441" spans="1:25" x14ac:dyDescent="0.3">
      <c r="A2441">
        <v>122000</v>
      </c>
      <c r="B2441" t="s">
        <v>50681</v>
      </c>
      <c r="C2441" t="s">
        <v>50682</v>
      </c>
      <c r="D2441" t="s">
        <v>50683</v>
      </c>
      <c r="E2441" t="s">
        <v>50684</v>
      </c>
      <c r="F2441" t="s">
        <v>50685</v>
      </c>
      <c r="G2441" t="s">
        <v>50686</v>
      </c>
      <c r="H2441" t="s">
        <v>50687</v>
      </c>
      <c r="I2441" t="s">
        <v>50688</v>
      </c>
      <c r="J2441" t="s">
        <v>50689</v>
      </c>
      <c r="K2441" t="s">
        <v>50690</v>
      </c>
      <c r="L2441" t="s">
        <v>50691</v>
      </c>
      <c r="M2441" t="s">
        <v>50692</v>
      </c>
      <c r="N2441" t="s">
        <v>50693</v>
      </c>
      <c r="O2441">
        <f>-779.870159464693 -66.7861845891705 -720.169170475044</f>
        <v>-1566.8255145289074</v>
      </c>
      <c r="P2441">
        <f>-730.386944151518 -58.6711899652175 -407.644435342928</f>
        <v>-1196.7025694596637</v>
      </c>
      <c r="Q2441">
        <f>-478.047502599396 -4.89911473605935 -374.850788561954</f>
        <v>-857.79740589740936</v>
      </c>
      <c r="R2441" t="s">
        <v>50694</v>
      </c>
      <c r="S2441" t="s">
        <v>50695</v>
      </c>
      <c r="T2441" t="s">
        <v>50696</v>
      </c>
      <c r="U2441" t="s">
        <v>50697</v>
      </c>
      <c r="V2441" t="s">
        <v>50698</v>
      </c>
      <c r="W2441" t="s">
        <v>50699</v>
      </c>
      <c r="X2441" t="s">
        <v>50700</v>
      </c>
      <c r="Y2441" t="s">
        <v>50701</v>
      </c>
    </row>
    <row r="2442" spans="1:25" x14ac:dyDescent="0.3">
      <c r="A2442">
        <v>122050</v>
      </c>
      <c r="B2442" t="s">
        <v>50702</v>
      </c>
      <c r="C2442" t="s">
        <v>50703</v>
      </c>
      <c r="D2442" t="s">
        <v>50704</v>
      </c>
      <c r="E2442" t="s">
        <v>50705</v>
      </c>
      <c r="F2442" t="s">
        <v>50706</v>
      </c>
      <c r="G2442" t="s">
        <v>50707</v>
      </c>
      <c r="H2442" t="s">
        <v>50708</v>
      </c>
      <c r="I2442" t="s">
        <v>50709</v>
      </c>
      <c r="J2442" t="s">
        <v>50710</v>
      </c>
      <c r="K2442" t="s">
        <v>50711</v>
      </c>
      <c r="L2442" t="s">
        <v>50712</v>
      </c>
      <c r="M2442" t="s">
        <v>50713</v>
      </c>
      <c r="N2442" t="s">
        <v>50714</v>
      </c>
      <c r="O2442">
        <f>-779.70501237089 -67.2377031647175 -720.371504348338</f>
        <v>-1567.3142198839455</v>
      </c>
      <c r="P2442">
        <f>-730.345023649857 -58.895611102794 -407.833101221737</f>
        <v>-1197.073735974388</v>
      </c>
      <c r="Q2442">
        <f>-477.957101529529 -5.44869263199939 -374.881461678769</f>
        <v>-858.28725584029735</v>
      </c>
      <c r="R2442" t="s">
        <v>50715</v>
      </c>
      <c r="S2442" t="s">
        <v>50716</v>
      </c>
      <c r="T2442" t="s">
        <v>50717</v>
      </c>
      <c r="U2442" t="s">
        <v>50718</v>
      </c>
      <c r="V2442" t="s">
        <v>50719</v>
      </c>
      <c r="W2442" t="s">
        <v>50720</v>
      </c>
      <c r="X2442" t="s">
        <v>50721</v>
      </c>
      <c r="Y2442" t="s">
        <v>50722</v>
      </c>
    </row>
    <row r="2443" spans="1:25" x14ac:dyDescent="0.3">
      <c r="A2443">
        <v>122100</v>
      </c>
      <c r="B2443" t="s">
        <v>50723</v>
      </c>
      <c r="C2443" t="s">
        <v>50724</v>
      </c>
      <c r="D2443" t="s">
        <v>50725</v>
      </c>
      <c r="E2443" t="s">
        <v>50726</v>
      </c>
      <c r="F2443" t="s">
        <v>50727</v>
      </c>
      <c r="G2443" t="s">
        <v>50728</v>
      </c>
      <c r="H2443" t="s">
        <v>50729</v>
      </c>
      <c r="I2443" t="s">
        <v>50730</v>
      </c>
      <c r="J2443" t="s">
        <v>50731</v>
      </c>
      <c r="K2443" t="s">
        <v>50732</v>
      </c>
      <c r="L2443" t="s">
        <v>50733</v>
      </c>
      <c r="M2443" t="s">
        <v>50734</v>
      </c>
      <c r="N2443" t="s">
        <v>50735</v>
      </c>
      <c r="O2443">
        <f>-779.606875672237 -67.4190116748873 -720.489389614757</f>
        <v>-1567.5152769618821</v>
      </c>
      <c r="P2443">
        <f>-730.235427693291 -59.117748191512 -407.951856361263</f>
        <v>-1197.3050322460658</v>
      </c>
      <c r="Q2443">
        <f>-477.8200244905 -5.86409937474241 -374.898225285011</f>
        <v>-858.58234915025332</v>
      </c>
      <c r="R2443" t="s">
        <v>50736</v>
      </c>
      <c r="S2443" t="s">
        <v>50737</v>
      </c>
      <c r="T2443" t="s">
        <v>50738</v>
      </c>
      <c r="U2443" t="s">
        <v>50739</v>
      </c>
      <c r="V2443" t="s">
        <v>50740</v>
      </c>
      <c r="W2443" t="s">
        <v>50741</v>
      </c>
      <c r="X2443" t="s">
        <v>50742</v>
      </c>
      <c r="Y2443" t="s">
        <v>50743</v>
      </c>
    </row>
    <row r="2444" spans="1:25" x14ac:dyDescent="0.3">
      <c r="A2444">
        <v>122150</v>
      </c>
      <c r="B2444" t="s">
        <v>50744</v>
      </c>
      <c r="C2444" t="s">
        <v>50745</v>
      </c>
      <c r="D2444" t="s">
        <v>50746</v>
      </c>
      <c r="E2444" t="s">
        <v>50747</v>
      </c>
      <c r="F2444" t="s">
        <v>50748</v>
      </c>
      <c r="G2444" t="s">
        <v>50749</v>
      </c>
      <c r="H2444" t="s">
        <v>50750</v>
      </c>
      <c r="I2444" t="s">
        <v>50751</v>
      </c>
      <c r="J2444" t="s">
        <v>50752</v>
      </c>
      <c r="K2444" t="s">
        <v>50753</v>
      </c>
      <c r="L2444" t="s">
        <v>50754</v>
      </c>
      <c r="M2444" t="s">
        <v>50755</v>
      </c>
      <c r="N2444" t="s">
        <v>50756</v>
      </c>
      <c r="O2444">
        <f>-779.346163371679 -67.5558847873131 -720.67745246325</f>
        <v>-1567.579500622242</v>
      </c>
      <c r="P2444">
        <f>-729.986178164501 -59.1600651060485 -408.140727367062</f>
        <v>-1197.2869706376114</v>
      </c>
      <c r="Q2444">
        <f>-477.513353548243 -6.14582914329844 -375.141538554193</f>
        <v>-858.80072124573439</v>
      </c>
      <c r="R2444" t="s">
        <v>50757</v>
      </c>
      <c r="S2444" t="s">
        <v>50758</v>
      </c>
      <c r="T2444" t="s">
        <v>50759</v>
      </c>
      <c r="U2444" t="s">
        <v>50760</v>
      </c>
      <c r="V2444" t="s">
        <v>50761</v>
      </c>
      <c r="W2444" t="s">
        <v>50762</v>
      </c>
      <c r="X2444" t="s">
        <v>50763</v>
      </c>
      <c r="Y2444" t="s">
        <v>50764</v>
      </c>
    </row>
    <row r="2445" spans="1:25" x14ac:dyDescent="0.3">
      <c r="A2445">
        <v>122200</v>
      </c>
      <c r="B2445" t="s">
        <v>50765</v>
      </c>
      <c r="C2445" t="s">
        <v>50766</v>
      </c>
      <c r="D2445" t="s">
        <v>50767</v>
      </c>
      <c r="E2445" t="s">
        <v>50768</v>
      </c>
      <c r="F2445" t="s">
        <v>50769</v>
      </c>
      <c r="G2445" t="s">
        <v>50770</v>
      </c>
      <c r="H2445" t="s">
        <v>50771</v>
      </c>
      <c r="I2445" t="s">
        <v>50772</v>
      </c>
      <c r="J2445" t="s">
        <v>50773</v>
      </c>
      <c r="K2445" t="s">
        <v>50774</v>
      </c>
      <c r="L2445" t="s">
        <v>50775</v>
      </c>
      <c r="M2445" t="s">
        <v>50776</v>
      </c>
      <c r="N2445" t="s">
        <v>50777</v>
      </c>
      <c r="O2445">
        <f>-779.122010667767 -67.6033534047269 -720.729944035245</f>
        <v>-1567.4553081077388</v>
      </c>
      <c r="P2445">
        <f>-729.769180972985 -59.215800455366 -408.191667468124</f>
        <v>-1197.1766488964749</v>
      </c>
      <c r="Q2445">
        <f>-477.287526071059 -6.22775595489929 -375.216706228895</f>
        <v>-858.73198825485338</v>
      </c>
      <c r="R2445" t="s">
        <v>50778</v>
      </c>
      <c r="S2445" t="s">
        <v>50779</v>
      </c>
      <c r="T2445" t="s">
        <v>50780</v>
      </c>
      <c r="U2445" t="s">
        <v>50781</v>
      </c>
      <c r="V2445" t="s">
        <v>50782</v>
      </c>
      <c r="W2445" t="s">
        <v>50783</v>
      </c>
      <c r="X2445" t="s">
        <v>50784</v>
      </c>
      <c r="Y2445" t="s">
        <v>50785</v>
      </c>
    </row>
    <row r="2446" spans="1:25" x14ac:dyDescent="0.3">
      <c r="A2446">
        <v>122250</v>
      </c>
      <c r="B2446" t="s">
        <v>50786</v>
      </c>
      <c r="C2446" t="s">
        <v>50787</v>
      </c>
      <c r="D2446" t="s">
        <v>50788</v>
      </c>
      <c r="E2446" t="s">
        <v>50789</v>
      </c>
      <c r="F2446" t="s">
        <v>50790</v>
      </c>
      <c r="G2446" t="s">
        <v>50791</v>
      </c>
      <c r="H2446" t="s">
        <v>50792</v>
      </c>
      <c r="I2446" t="s">
        <v>50793</v>
      </c>
      <c r="J2446" t="s">
        <v>50794</v>
      </c>
      <c r="K2446" t="s">
        <v>50795</v>
      </c>
      <c r="L2446" t="s">
        <v>50796</v>
      </c>
      <c r="M2446" t="s">
        <v>50797</v>
      </c>
      <c r="N2446" t="s">
        <v>50798</v>
      </c>
      <c r="O2446">
        <f>-778.585146964899 -67.4831117605725 -720.771676457578</f>
        <v>-1566.8399351830494</v>
      </c>
      <c r="P2446">
        <f>-729.241156549656 -59.2213412271037 -408.228676405108</f>
        <v>-1196.6911741818676</v>
      </c>
      <c r="Q2446">
        <f>-476.764077350135 -6.12648027267687 -375.390684360779</f>
        <v>-858.28124198359092</v>
      </c>
      <c r="R2446" t="s">
        <v>50799</v>
      </c>
      <c r="S2446" t="s">
        <v>50800</v>
      </c>
      <c r="T2446" t="s">
        <v>50801</v>
      </c>
      <c r="U2446" t="s">
        <v>50802</v>
      </c>
      <c r="V2446" t="s">
        <v>50803</v>
      </c>
      <c r="W2446" t="s">
        <v>50804</v>
      </c>
      <c r="X2446" t="s">
        <v>50805</v>
      </c>
      <c r="Y2446" t="s">
        <v>50806</v>
      </c>
    </row>
    <row r="2447" spans="1:25" x14ac:dyDescent="0.3">
      <c r="A2447">
        <v>122300</v>
      </c>
      <c r="B2447" t="s">
        <v>50807</v>
      </c>
      <c r="C2447" t="s">
        <v>50808</v>
      </c>
      <c r="D2447" t="s">
        <v>50809</v>
      </c>
      <c r="E2447" t="s">
        <v>50810</v>
      </c>
      <c r="F2447" t="s">
        <v>50811</v>
      </c>
      <c r="G2447" t="s">
        <v>50812</v>
      </c>
      <c r="H2447" t="s">
        <v>50813</v>
      </c>
      <c r="I2447" t="s">
        <v>50814</v>
      </c>
      <c r="J2447" t="s">
        <v>50815</v>
      </c>
      <c r="K2447" t="s">
        <v>50816</v>
      </c>
      <c r="L2447" t="s">
        <v>50817</v>
      </c>
      <c r="M2447" t="s">
        <v>50818</v>
      </c>
      <c r="N2447" t="s">
        <v>50819</v>
      </c>
      <c r="O2447">
        <f>-778.18782264938 -67.5276247543354 -720.727781235854</f>
        <v>-1566.4432286395695</v>
      </c>
      <c r="P2447">
        <f>-728.9070851818 -59.1413076117758 -408.178036194252</f>
        <v>-1196.2264289878278</v>
      </c>
      <c r="Q2447">
        <f>-476.437884627033 -5.96002905829459 -375.41897480608</f>
        <v>-857.81688849140755</v>
      </c>
      <c r="R2447" t="s">
        <v>50820</v>
      </c>
      <c r="S2447" t="s">
        <v>50821</v>
      </c>
      <c r="T2447" t="s">
        <v>50822</v>
      </c>
      <c r="U2447" t="s">
        <v>50823</v>
      </c>
      <c r="V2447" t="s">
        <v>50824</v>
      </c>
      <c r="W2447" t="s">
        <v>50825</v>
      </c>
      <c r="X2447" t="s">
        <v>50826</v>
      </c>
      <c r="Y2447" t="s">
        <v>50827</v>
      </c>
    </row>
    <row r="2448" spans="1:25" x14ac:dyDescent="0.3">
      <c r="A2448">
        <v>122350</v>
      </c>
      <c r="B2448" t="s">
        <v>50828</v>
      </c>
      <c r="C2448" t="s">
        <v>50829</v>
      </c>
      <c r="D2448" t="s">
        <v>50830</v>
      </c>
      <c r="E2448" t="s">
        <v>50831</v>
      </c>
      <c r="F2448" t="s">
        <v>50832</v>
      </c>
      <c r="G2448" t="s">
        <v>50833</v>
      </c>
      <c r="H2448" t="s">
        <v>50834</v>
      </c>
      <c r="I2448" t="s">
        <v>50835</v>
      </c>
      <c r="J2448" t="s">
        <v>50836</v>
      </c>
      <c r="K2448" t="s">
        <v>50837</v>
      </c>
      <c r="L2448" t="s">
        <v>50838</v>
      </c>
      <c r="M2448" t="s">
        <v>50839</v>
      </c>
      <c r="N2448" t="s">
        <v>50840</v>
      </c>
      <c r="O2448">
        <f>-777.308076468164 -67.63413523127 -720.557377208996</f>
        <v>-1565.4995889084298</v>
      </c>
      <c r="P2448">
        <f>-727.98889231978 -59.156854540013 -408.016205638134</f>
        <v>-1195.1619524979269</v>
      </c>
      <c r="Q2448">
        <f>-475.568886717359 -5.81350438881304 -375.142087869061</f>
        <v>-856.52447897523302</v>
      </c>
      <c r="R2448" t="s">
        <v>50841</v>
      </c>
      <c r="S2448" t="s">
        <v>50842</v>
      </c>
      <c r="T2448" t="s">
        <v>50843</v>
      </c>
      <c r="U2448" t="s">
        <v>50844</v>
      </c>
      <c r="V2448" t="s">
        <v>50845</v>
      </c>
      <c r="W2448" t="s">
        <v>50846</v>
      </c>
      <c r="X2448" t="s">
        <v>50847</v>
      </c>
      <c r="Y2448" t="s">
        <v>50848</v>
      </c>
    </row>
    <row r="2449" spans="1:25" x14ac:dyDescent="0.3">
      <c r="A2449">
        <v>122400</v>
      </c>
      <c r="B2449" t="s">
        <v>50849</v>
      </c>
      <c r="C2449" t="s">
        <v>50850</v>
      </c>
      <c r="D2449" t="s">
        <v>50851</v>
      </c>
      <c r="E2449" t="s">
        <v>50852</v>
      </c>
      <c r="F2449" t="s">
        <v>50853</v>
      </c>
      <c r="G2449" t="s">
        <v>50854</v>
      </c>
      <c r="H2449" t="s">
        <v>50855</v>
      </c>
      <c r="I2449" t="s">
        <v>50856</v>
      </c>
      <c r="J2449" t="s">
        <v>50857</v>
      </c>
      <c r="K2449" t="s">
        <v>50858</v>
      </c>
      <c r="L2449" t="s">
        <v>50859</v>
      </c>
      <c r="M2449" t="s">
        <v>50860</v>
      </c>
      <c r="N2449" t="s">
        <v>50861</v>
      </c>
      <c r="O2449">
        <f>-776.898388324427 -67.8297832952615 -720.413579172866</f>
        <v>-1565.1417507925544</v>
      </c>
      <c r="P2449">
        <f>-727.680716433308 -59.1895249557169 -407.860987583653</f>
        <v>-1194.7312289726779</v>
      </c>
      <c r="Q2449">
        <f>-475.263026264469 -5.84209855597101 -374.976625200459</f>
        <v>-856.08175002089899</v>
      </c>
      <c r="R2449" t="s">
        <v>50862</v>
      </c>
      <c r="S2449" t="s">
        <v>50863</v>
      </c>
      <c r="T2449" t="s">
        <v>50864</v>
      </c>
      <c r="U2449" t="s">
        <v>50865</v>
      </c>
      <c r="V2449" t="s">
        <v>50866</v>
      </c>
      <c r="W2449" t="s">
        <v>50867</v>
      </c>
      <c r="X2449" t="s">
        <v>50868</v>
      </c>
      <c r="Y2449" t="s">
        <v>50869</v>
      </c>
    </row>
    <row r="2450" spans="1:25" x14ac:dyDescent="0.3">
      <c r="A2450">
        <v>122450</v>
      </c>
      <c r="B2450" t="s">
        <v>50870</v>
      </c>
      <c r="C2450" t="s">
        <v>50871</v>
      </c>
      <c r="D2450" t="s">
        <v>50872</v>
      </c>
      <c r="E2450" t="s">
        <v>50873</v>
      </c>
      <c r="F2450" t="s">
        <v>50874</v>
      </c>
      <c r="G2450" t="s">
        <v>50875</v>
      </c>
      <c r="H2450" t="s">
        <v>50876</v>
      </c>
      <c r="I2450" t="s">
        <v>50877</v>
      </c>
      <c r="J2450" t="s">
        <v>50878</v>
      </c>
      <c r="K2450" t="s">
        <v>50879</v>
      </c>
      <c r="L2450" t="s">
        <v>50880</v>
      </c>
      <c r="M2450" t="s">
        <v>50881</v>
      </c>
      <c r="N2450" t="s">
        <v>50882</v>
      </c>
      <c r="O2450">
        <f>-776.290868204777 -68.0525176121209 -720.123672735942</f>
        <v>-1564.4670585528399</v>
      </c>
      <c r="P2450">
        <f>-727.120216991945 -59.108571369321 -407.572208935336</f>
        <v>-1193.800997296602</v>
      </c>
      <c r="Q2450">
        <f>-474.6747890469 -6.02415676902569 -374.475053653812</f>
        <v>-855.17399946973774</v>
      </c>
      <c r="R2450" t="s">
        <v>50883</v>
      </c>
      <c r="S2450" t="s">
        <v>50884</v>
      </c>
      <c r="T2450" t="s">
        <v>50885</v>
      </c>
      <c r="U2450" t="s">
        <v>50886</v>
      </c>
      <c r="V2450" t="s">
        <v>50887</v>
      </c>
      <c r="W2450" t="s">
        <v>50888</v>
      </c>
      <c r="X2450" t="s">
        <v>50889</v>
      </c>
      <c r="Y2450" t="s">
        <v>50890</v>
      </c>
    </row>
    <row r="2451" spans="1:25" x14ac:dyDescent="0.3">
      <c r="A2451">
        <v>122500</v>
      </c>
      <c r="B2451" t="s">
        <v>50891</v>
      </c>
      <c r="C2451" t="s">
        <v>50892</v>
      </c>
      <c r="D2451" t="s">
        <v>50893</v>
      </c>
      <c r="E2451" t="s">
        <v>50894</v>
      </c>
      <c r="F2451" t="s">
        <v>50895</v>
      </c>
      <c r="G2451" t="s">
        <v>50896</v>
      </c>
      <c r="H2451" t="s">
        <v>50897</v>
      </c>
      <c r="I2451" t="s">
        <v>50898</v>
      </c>
      <c r="J2451" t="s">
        <v>50899</v>
      </c>
      <c r="K2451" t="s">
        <v>50900</v>
      </c>
      <c r="L2451" t="s">
        <v>50901</v>
      </c>
      <c r="M2451" t="s">
        <v>50902</v>
      </c>
      <c r="N2451" t="s">
        <v>50903</v>
      </c>
      <c r="O2451">
        <f>-776.05199186495 -68.1480656413182 -719.931753651675</f>
        <v>-1564.131811157943</v>
      </c>
      <c r="P2451">
        <f>-726.88370878556 -59.0153252572027 -407.385182527589</f>
        <v>-1193.2842165703516</v>
      </c>
      <c r="Q2451">
        <f>-474.408993862098 -5.99691248024374 -374.406321623214</f>
        <v>-854.81222796555573</v>
      </c>
      <c r="R2451" t="s">
        <v>50904</v>
      </c>
      <c r="S2451" t="s">
        <v>50905</v>
      </c>
      <c r="T2451" t="s">
        <v>50906</v>
      </c>
      <c r="U2451" t="s">
        <v>50907</v>
      </c>
      <c r="V2451" t="s">
        <v>50908</v>
      </c>
      <c r="W2451" t="s">
        <v>50909</v>
      </c>
      <c r="X2451" t="s">
        <v>50910</v>
      </c>
      <c r="Y2451" t="s">
        <v>50911</v>
      </c>
    </row>
    <row r="2452" spans="1:25" x14ac:dyDescent="0.3">
      <c r="A2452">
        <v>122550</v>
      </c>
      <c r="B2452" t="s">
        <v>50912</v>
      </c>
      <c r="C2452" t="s">
        <v>50913</v>
      </c>
      <c r="D2452" t="s">
        <v>50914</v>
      </c>
      <c r="E2452" t="s">
        <v>50915</v>
      </c>
      <c r="F2452" t="s">
        <v>50916</v>
      </c>
      <c r="G2452" t="s">
        <v>50917</v>
      </c>
      <c r="H2452" t="s">
        <v>50918</v>
      </c>
      <c r="I2452" t="s">
        <v>50919</v>
      </c>
      <c r="J2452" t="s">
        <v>50920</v>
      </c>
      <c r="K2452" t="s">
        <v>50921</v>
      </c>
      <c r="L2452" t="s">
        <v>50922</v>
      </c>
      <c r="M2452" t="s">
        <v>50923</v>
      </c>
      <c r="N2452" t="s">
        <v>50924</v>
      </c>
      <c r="O2452">
        <f>-775.384696263117 -68.0260758019258 -719.778808894923</f>
        <v>-1563.189580959966</v>
      </c>
      <c r="P2452">
        <f>-726.108320539936 -58.9998632416584 -407.246365419385</f>
        <v>-1192.3545492009794</v>
      </c>
      <c r="Q2452">
        <f>-473.568499662354 -6.1982134618454 -374.418191713397</f>
        <v>-854.18490483759638</v>
      </c>
      <c r="R2452" t="s">
        <v>50925</v>
      </c>
      <c r="S2452" t="s">
        <v>50926</v>
      </c>
      <c r="T2452" t="s">
        <v>50927</v>
      </c>
      <c r="U2452" t="s">
        <v>50928</v>
      </c>
      <c r="V2452" t="s">
        <v>50929</v>
      </c>
      <c r="W2452" t="s">
        <v>50930</v>
      </c>
      <c r="X2452" t="s">
        <v>50931</v>
      </c>
      <c r="Y2452" t="s">
        <v>50932</v>
      </c>
    </row>
    <row r="2453" spans="1:25" x14ac:dyDescent="0.3">
      <c r="A2453">
        <v>122600</v>
      </c>
      <c r="B2453" t="s">
        <v>50933</v>
      </c>
      <c r="C2453" t="s">
        <v>50934</v>
      </c>
      <c r="D2453" t="s">
        <v>50935</v>
      </c>
      <c r="E2453" t="s">
        <v>50936</v>
      </c>
      <c r="F2453" t="s">
        <v>50937</v>
      </c>
      <c r="G2453" t="s">
        <v>50938</v>
      </c>
      <c r="H2453" t="s">
        <v>50939</v>
      </c>
      <c r="I2453" t="s">
        <v>50940</v>
      </c>
      <c r="J2453" t="s">
        <v>50941</v>
      </c>
      <c r="K2453" t="s">
        <v>50942</v>
      </c>
      <c r="L2453" t="s">
        <v>50943</v>
      </c>
      <c r="M2453" t="s">
        <v>50944</v>
      </c>
      <c r="N2453" t="s">
        <v>50945</v>
      </c>
      <c r="O2453">
        <f>-775.163187153593 -67.8967209840166 -719.781642852238</f>
        <v>-1562.8415509898475</v>
      </c>
      <c r="P2453">
        <f>-725.758268578488 -58.665994897998 -407.275422427678</f>
        <v>-1191.699685904164</v>
      </c>
      <c r="Q2453">
        <f>-473.194606201716 -6.01620222233373 -374.386827309977</f>
        <v>-853.59763573402665</v>
      </c>
      <c r="R2453" t="s">
        <v>50946</v>
      </c>
      <c r="S2453" t="s">
        <v>50947</v>
      </c>
      <c r="T2453" t="s">
        <v>50948</v>
      </c>
      <c r="U2453" t="s">
        <v>50949</v>
      </c>
      <c r="V2453" t="s">
        <v>50950</v>
      </c>
      <c r="W2453" t="s">
        <v>50951</v>
      </c>
      <c r="X2453" t="s">
        <v>50952</v>
      </c>
      <c r="Y2453" t="s">
        <v>50953</v>
      </c>
    </row>
    <row r="2454" spans="1:25" x14ac:dyDescent="0.3">
      <c r="A2454">
        <v>122650</v>
      </c>
      <c r="B2454" t="s">
        <v>50954</v>
      </c>
      <c r="C2454" t="s">
        <v>50955</v>
      </c>
      <c r="D2454" t="s">
        <v>50956</v>
      </c>
      <c r="E2454" t="s">
        <v>50957</v>
      </c>
      <c r="F2454" t="s">
        <v>50958</v>
      </c>
      <c r="G2454" t="s">
        <v>50959</v>
      </c>
      <c r="H2454" t="s">
        <v>50960</v>
      </c>
      <c r="I2454" t="s">
        <v>50961</v>
      </c>
      <c r="J2454" t="s">
        <v>50962</v>
      </c>
      <c r="K2454" t="s">
        <v>50963</v>
      </c>
      <c r="L2454" t="s">
        <v>50964</v>
      </c>
      <c r="M2454" t="s">
        <v>50965</v>
      </c>
      <c r="N2454" t="s">
        <v>50966</v>
      </c>
      <c r="O2454">
        <f>-774.758391065735 -67.636609244955 -719.807513303271</f>
        <v>-1562.2025136139609</v>
      </c>
      <c r="P2454">
        <f>-725.302466775845 -58.3153459140981 -407.312127503595</f>
        <v>-1190.9299401935382</v>
      </c>
      <c r="Q2454">
        <f>-472.670279893645 -5.88846797899032 -374.594104388216</f>
        <v>-853.15285226085132</v>
      </c>
      <c r="R2454" t="s">
        <v>50967</v>
      </c>
      <c r="S2454" t="s">
        <v>50968</v>
      </c>
      <c r="T2454" t="s">
        <v>50969</v>
      </c>
      <c r="U2454" t="s">
        <v>50970</v>
      </c>
      <c r="V2454" t="s">
        <v>50971</v>
      </c>
      <c r="W2454" t="s">
        <v>50972</v>
      </c>
      <c r="X2454" t="s">
        <v>50973</v>
      </c>
      <c r="Y2454" t="s">
        <v>50974</v>
      </c>
    </row>
    <row r="2455" spans="1:25" x14ac:dyDescent="0.3">
      <c r="A2455">
        <v>122700</v>
      </c>
      <c r="B2455" t="s">
        <v>50975</v>
      </c>
      <c r="C2455" t="s">
        <v>50976</v>
      </c>
      <c r="D2455" t="s">
        <v>50977</v>
      </c>
      <c r="E2455" t="s">
        <v>50978</v>
      </c>
      <c r="F2455" t="s">
        <v>50979</v>
      </c>
      <c r="G2455" t="s">
        <v>50980</v>
      </c>
      <c r="H2455" t="s">
        <v>50981</v>
      </c>
      <c r="I2455" t="s">
        <v>50982</v>
      </c>
      <c r="J2455" t="s">
        <v>50983</v>
      </c>
      <c r="K2455" t="s">
        <v>50984</v>
      </c>
      <c r="L2455" t="s">
        <v>50985</v>
      </c>
      <c r="M2455" t="s">
        <v>50986</v>
      </c>
      <c r="N2455" t="s">
        <v>50987</v>
      </c>
      <c r="O2455">
        <f>-774.577896069671 -67.3221331130496 -719.8594956424</f>
        <v>-1561.7595248251207</v>
      </c>
      <c r="P2455">
        <f>-725.060541530489 -58.0148000889656 -407.373247167913</f>
        <v>-1190.4485887873675</v>
      </c>
      <c r="Q2455">
        <f>-472.385367202716 -5.70240984639622 -374.80506933689</f>
        <v>-852.89284638600225</v>
      </c>
      <c r="R2455" t="s">
        <v>50988</v>
      </c>
      <c r="S2455" t="s">
        <v>50989</v>
      </c>
      <c r="T2455" t="s">
        <v>50990</v>
      </c>
      <c r="U2455" t="s">
        <v>50991</v>
      </c>
      <c r="V2455" t="s">
        <v>50992</v>
      </c>
      <c r="W2455" t="s">
        <v>50993</v>
      </c>
      <c r="X2455" t="s">
        <v>50994</v>
      </c>
      <c r="Y2455" t="s">
        <v>50995</v>
      </c>
    </row>
    <row r="2456" spans="1:25" x14ac:dyDescent="0.3">
      <c r="A2456">
        <v>122750</v>
      </c>
      <c r="B2456" t="s">
        <v>50996</v>
      </c>
      <c r="C2456" t="s">
        <v>50997</v>
      </c>
      <c r="D2456" t="s">
        <v>50998</v>
      </c>
      <c r="E2456" t="s">
        <v>50999</v>
      </c>
      <c r="F2456" t="s">
        <v>51000</v>
      </c>
      <c r="G2456" t="s">
        <v>51001</v>
      </c>
      <c r="H2456" t="s">
        <v>51002</v>
      </c>
      <c r="I2456" t="s">
        <v>51003</v>
      </c>
      <c r="J2456" t="s">
        <v>51004</v>
      </c>
      <c r="K2456" t="s">
        <v>51005</v>
      </c>
      <c r="L2456" t="s">
        <v>51006</v>
      </c>
      <c r="M2456" t="s">
        <v>51007</v>
      </c>
      <c r="N2456" t="s">
        <v>51008</v>
      </c>
      <c r="O2456">
        <f>-774.471638927812 -66.8050421508938 -719.87302169481</f>
        <v>-1561.1497027735159</v>
      </c>
      <c r="P2456">
        <f>-724.770471088394 -57.6019214787646 -407.412889030148</f>
        <v>-1189.7852815973065</v>
      </c>
      <c r="Q2456">
        <f>-472.039549955558 -5.44557524745937 -375.027343302098</f>
        <v>-852.51246850511541</v>
      </c>
      <c r="R2456" t="s">
        <v>51009</v>
      </c>
      <c r="S2456" t="s">
        <v>51010</v>
      </c>
      <c r="T2456" t="s">
        <v>51011</v>
      </c>
      <c r="U2456" t="s">
        <v>51012</v>
      </c>
      <c r="V2456" t="s">
        <v>51013</v>
      </c>
      <c r="W2456" t="s">
        <v>51014</v>
      </c>
      <c r="X2456" t="s">
        <v>51015</v>
      </c>
      <c r="Y2456" t="s">
        <v>51016</v>
      </c>
    </row>
    <row r="2457" spans="1:25" x14ac:dyDescent="0.3">
      <c r="A2457">
        <v>122800</v>
      </c>
      <c r="B2457" t="s">
        <v>51017</v>
      </c>
      <c r="C2457" t="s">
        <v>51018</v>
      </c>
      <c r="D2457" t="s">
        <v>51019</v>
      </c>
      <c r="E2457" t="s">
        <v>51020</v>
      </c>
      <c r="F2457" t="s">
        <v>51021</v>
      </c>
      <c r="G2457" t="s">
        <v>51022</v>
      </c>
      <c r="H2457" t="s">
        <v>51023</v>
      </c>
      <c r="I2457" t="s">
        <v>51024</v>
      </c>
      <c r="J2457" t="s">
        <v>51025</v>
      </c>
      <c r="K2457" t="s">
        <v>51026</v>
      </c>
      <c r="L2457" t="s">
        <v>51027</v>
      </c>
      <c r="M2457" t="s">
        <v>51028</v>
      </c>
      <c r="N2457" t="s">
        <v>51029</v>
      </c>
      <c r="O2457">
        <f>-774.435698487007 -66.5623005735633 -719.890100074192</f>
        <v>-1560.8880991347623</v>
      </c>
      <c r="P2457">
        <f>-724.72124144105 -57.3511470048893 -407.432338404296</f>
        <v>-1189.5047268502353</v>
      </c>
      <c r="Q2457">
        <f>-471.977490971455 -5.21486677083999 -375.114195109546</f>
        <v>-852.30655285184093</v>
      </c>
      <c r="R2457" t="s">
        <v>51030</v>
      </c>
      <c r="S2457" t="s">
        <v>51031</v>
      </c>
      <c r="T2457" t="s">
        <v>51032</v>
      </c>
      <c r="U2457" t="s">
        <v>51033</v>
      </c>
      <c r="V2457" t="s">
        <v>51034</v>
      </c>
      <c r="W2457" t="s">
        <v>51035</v>
      </c>
      <c r="X2457" t="s">
        <v>51036</v>
      </c>
      <c r="Y2457" t="s">
        <v>51037</v>
      </c>
    </row>
    <row r="2458" spans="1:25" x14ac:dyDescent="0.3">
      <c r="A2458">
        <v>122850</v>
      </c>
      <c r="B2458" t="s">
        <v>51038</v>
      </c>
      <c r="C2458" t="s">
        <v>51039</v>
      </c>
      <c r="D2458" t="s">
        <v>51040</v>
      </c>
      <c r="E2458" t="s">
        <v>51041</v>
      </c>
      <c r="F2458" t="s">
        <v>51042</v>
      </c>
      <c r="G2458" t="s">
        <v>51043</v>
      </c>
      <c r="H2458" t="s">
        <v>51044</v>
      </c>
      <c r="I2458" t="s">
        <v>51045</v>
      </c>
      <c r="J2458" t="s">
        <v>51046</v>
      </c>
      <c r="K2458" t="s">
        <v>51047</v>
      </c>
      <c r="L2458" t="s">
        <v>51048</v>
      </c>
      <c r="M2458" t="s">
        <v>51049</v>
      </c>
      <c r="N2458" t="s">
        <v>51050</v>
      </c>
      <c r="O2458">
        <f>-774.172506498554 -66.1315265094902 -719.985198574938</f>
        <v>-1560.2892315829822</v>
      </c>
      <c r="P2458">
        <f>-724.545145081276 -57.0354982127806 -407.510220258247</f>
        <v>-1189.0908635523035</v>
      </c>
      <c r="Q2458">
        <f>-471.767946572155 -5.11093225948184 -375.112447170856</f>
        <v>-851.99132600249277</v>
      </c>
      <c r="R2458" t="s">
        <v>51051</v>
      </c>
      <c r="S2458" t="s">
        <v>51052</v>
      </c>
      <c r="T2458" t="s">
        <v>51053</v>
      </c>
      <c r="U2458" t="s">
        <v>51054</v>
      </c>
      <c r="V2458" t="s">
        <v>51055</v>
      </c>
      <c r="W2458" t="s">
        <v>51056</v>
      </c>
      <c r="X2458" t="s">
        <v>51057</v>
      </c>
      <c r="Y2458" t="s">
        <v>51058</v>
      </c>
    </row>
    <row r="2459" spans="1:25" x14ac:dyDescent="0.3">
      <c r="A2459">
        <v>122900</v>
      </c>
      <c r="B2459" t="s">
        <v>51059</v>
      </c>
      <c r="C2459" t="s">
        <v>51060</v>
      </c>
      <c r="D2459" t="s">
        <v>51061</v>
      </c>
      <c r="E2459" t="s">
        <v>51062</v>
      </c>
      <c r="F2459" t="s">
        <v>51063</v>
      </c>
      <c r="G2459" t="s">
        <v>51064</v>
      </c>
      <c r="H2459" t="s">
        <v>51065</v>
      </c>
      <c r="I2459" t="s">
        <v>51066</v>
      </c>
      <c r="J2459" t="s">
        <v>51067</v>
      </c>
      <c r="K2459" t="s">
        <v>51068</v>
      </c>
      <c r="L2459" t="s">
        <v>51069</v>
      </c>
      <c r="M2459" t="s">
        <v>51070</v>
      </c>
      <c r="N2459" t="s">
        <v>51071</v>
      </c>
      <c r="O2459">
        <f>-774.068363212702 -65.9236838717577 -720.011872127158</f>
        <v>-1560.0039192116178</v>
      </c>
      <c r="P2459">
        <f>-724.514769538775 -56.8486247720907 -407.52464069139</f>
        <v>-1188.8880350022557</v>
      </c>
      <c r="Q2459">
        <f>-471.713293444167 -5.10714951960358 -375.02452389866</f>
        <v>-851.84496686243051</v>
      </c>
      <c r="R2459" t="s">
        <v>51072</v>
      </c>
      <c r="S2459" t="s">
        <v>51073</v>
      </c>
      <c r="T2459" t="s">
        <v>51074</v>
      </c>
      <c r="U2459" t="s">
        <v>51075</v>
      </c>
      <c r="V2459" t="s">
        <v>51076</v>
      </c>
      <c r="W2459" t="s">
        <v>51077</v>
      </c>
      <c r="X2459" t="s">
        <v>51078</v>
      </c>
      <c r="Y2459" t="s">
        <v>51079</v>
      </c>
    </row>
    <row r="2460" spans="1:25" x14ac:dyDescent="0.3">
      <c r="A2460">
        <v>122950</v>
      </c>
      <c r="B2460" t="s">
        <v>51080</v>
      </c>
      <c r="C2460" t="s">
        <v>51081</v>
      </c>
      <c r="D2460" t="s">
        <v>51082</v>
      </c>
      <c r="E2460" t="s">
        <v>51083</v>
      </c>
      <c r="F2460" t="s">
        <v>51084</v>
      </c>
      <c r="G2460" t="s">
        <v>51085</v>
      </c>
      <c r="H2460" t="s">
        <v>51086</v>
      </c>
      <c r="I2460" t="s">
        <v>51087</v>
      </c>
      <c r="J2460" t="s">
        <v>51088</v>
      </c>
      <c r="K2460" t="s">
        <v>51089</v>
      </c>
      <c r="L2460" t="s">
        <v>51090</v>
      </c>
      <c r="M2460" t="s">
        <v>51091</v>
      </c>
      <c r="N2460" t="s">
        <v>51092</v>
      </c>
      <c r="O2460">
        <f>-773.800547473483 -65.9157869766882 -720.144826024061</f>
        <v>-1559.8611604742323</v>
      </c>
      <c r="P2460">
        <f>-724.339379393304 -56.8082954678796 -407.643916088994</f>
        <v>-1188.7915909501776</v>
      </c>
      <c r="Q2460">
        <f>-471.478123900926 -5.45411164880215 -374.994581172758</f>
        <v>-851.92681672248614</v>
      </c>
      <c r="R2460" t="s">
        <v>51093</v>
      </c>
      <c r="S2460" t="s">
        <v>51094</v>
      </c>
      <c r="T2460" t="s">
        <v>51095</v>
      </c>
      <c r="U2460" t="s">
        <v>51096</v>
      </c>
      <c r="V2460" t="s">
        <v>51097</v>
      </c>
      <c r="W2460" t="s">
        <v>51098</v>
      </c>
      <c r="X2460" t="s">
        <v>51099</v>
      </c>
      <c r="Y2460" t="s">
        <v>51100</v>
      </c>
    </row>
    <row r="2461" spans="1:25" x14ac:dyDescent="0.3">
      <c r="A2461">
        <v>123000</v>
      </c>
      <c r="B2461" t="s">
        <v>51101</v>
      </c>
      <c r="C2461" t="s">
        <v>51102</v>
      </c>
      <c r="D2461" t="s">
        <v>51103</v>
      </c>
      <c r="E2461" t="s">
        <v>51104</v>
      </c>
      <c r="F2461" t="s">
        <v>51105</v>
      </c>
      <c r="G2461" t="s">
        <v>51106</v>
      </c>
      <c r="H2461" t="s">
        <v>51107</v>
      </c>
      <c r="I2461" t="s">
        <v>51108</v>
      </c>
      <c r="J2461" t="s">
        <v>51109</v>
      </c>
      <c r="K2461" t="s">
        <v>51110</v>
      </c>
      <c r="L2461" t="s">
        <v>51111</v>
      </c>
      <c r="M2461" t="s">
        <v>51112</v>
      </c>
      <c r="N2461" t="s">
        <v>51113</v>
      </c>
      <c r="O2461">
        <f>-773.66088739444 -65.935665401802 -720.286918983301</f>
        <v>-1559.883471779543</v>
      </c>
      <c r="P2461">
        <f>-724.241961872293 -56.8828694539548 -407.77782177825</f>
        <v>-1188.9026531044979</v>
      </c>
      <c r="Q2461">
        <f>-471.359305353167 -5.69761490160931 -375.029565064563</f>
        <v>-852.08648531933932</v>
      </c>
      <c r="R2461" t="s">
        <v>51114</v>
      </c>
      <c r="S2461" t="s">
        <v>51115</v>
      </c>
      <c r="T2461" t="s">
        <v>51116</v>
      </c>
      <c r="U2461" t="s">
        <v>51117</v>
      </c>
      <c r="V2461" t="s">
        <v>51118</v>
      </c>
      <c r="W2461" t="s">
        <v>51119</v>
      </c>
      <c r="X2461" t="s">
        <v>51120</v>
      </c>
      <c r="Y2461" t="s">
        <v>51121</v>
      </c>
    </row>
    <row r="2462" spans="1:25" x14ac:dyDescent="0.3">
      <c r="A2462">
        <v>123050</v>
      </c>
      <c r="B2462" t="s">
        <v>51122</v>
      </c>
      <c r="C2462" t="s">
        <v>51123</v>
      </c>
      <c r="D2462" t="s">
        <v>51124</v>
      </c>
      <c r="E2462" t="s">
        <v>51125</v>
      </c>
      <c r="F2462" t="s">
        <v>51126</v>
      </c>
      <c r="G2462" t="s">
        <v>51127</v>
      </c>
      <c r="H2462" t="s">
        <v>51128</v>
      </c>
      <c r="I2462" t="s">
        <v>51129</v>
      </c>
      <c r="J2462" t="s">
        <v>51130</v>
      </c>
      <c r="K2462" t="s">
        <v>51131</v>
      </c>
      <c r="L2462" t="s">
        <v>51132</v>
      </c>
      <c r="M2462" t="s">
        <v>51133</v>
      </c>
      <c r="N2462" t="s">
        <v>51134</v>
      </c>
      <c r="O2462">
        <f>-773.185914667617 -65.8399054413953 -720.386859527926</f>
        <v>-1559.4126796369383</v>
      </c>
      <c r="P2462">
        <f>-723.930380449068 -56.9317299261877 -407.84775172491</f>
        <v>-1188.7098621001658</v>
      </c>
      <c r="Q2462">
        <f>-471.008102311724 -5.98123513210749 -375.038700789729</f>
        <v>-852.02803823356044</v>
      </c>
      <c r="R2462" t="s">
        <v>51135</v>
      </c>
      <c r="S2462" t="s">
        <v>51136</v>
      </c>
      <c r="T2462" t="s">
        <v>51137</v>
      </c>
      <c r="U2462" t="s">
        <v>51138</v>
      </c>
      <c r="V2462" t="s">
        <v>51139</v>
      </c>
      <c r="W2462" t="s">
        <v>51140</v>
      </c>
      <c r="X2462" t="s">
        <v>51141</v>
      </c>
      <c r="Y2462" t="s">
        <v>51142</v>
      </c>
    </row>
    <row r="2463" spans="1:25" x14ac:dyDescent="0.3">
      <c r="A2463">
        <v>123100</v>
      </c>
      <c r="B2463" t="s">
        <v>51143</v>
      </c>
      <c r="C2463" t="s">
        <v>51144</v>
      </c>
      <c r="D2463" t="s">
        <v>51145</v>
      </c>
      <c r="E2463" t="s">
        <v>51146</v>
      </c>
      <c r="F2463" t="s">
        <v>51147</v>
      </c>
      <c r="G2463" t="s">
        <v>51148</v>
      </c>
      <c r="H2463" t="s">
        <v>51149</v>
      </c>
      <c r="I2463" t="s">
        <v>51150</v>
      </c>
      <c r="J2463" t="s">
        <v>51151</v>
      </c>
      <c r="K2463" t="s">
        <v>51152</v>
      </c>
      <c r="L2463" t="s">
        <v>51153</v>
      </c>
      <c r="M2463" t="s">
        <v>51154</v>
      </c>
      <c r="N2463" t="s">
        <v>51155</v>
      </c>
      <c r="O2463">
        <f>-772.911974656452 -65.7253065749296 -720.391165325573</f>
        <v>-1559.0284465569546</v>
      </c>
      <c r="P2463">
        <f>-723.583528694221 -56.9146682954345 -407.860776821623</f>
        <v>-1188.3589738112785</v>
      </c>
      <c r="Q2463">
        <f>-470.649444556403 -6.03072158642499 -375.039884070964</f>
        <v>-851.72005021379198</v>
      </c>
      <c r="R2463" t="s">
        <v>51156</v>
      </c>
      <c r="S2463" t="s">
        <v>51157</v>
      </c>
      <c r="T2463" t="s">
        <v>51158</v>
      </c>
      <c r="U2463" t="s">
        <v>51159</v>
      </c>
      <c r="V2463" t="s">
        <v>51160</v>
      </c>
      <c r="W2463" t="s">
        <v>51161</v>
      </c>
      <c r="X2463" t="s">
        <v>51162</v>
      </c>
      <c r="Y2463" t="s">
        <v>51163</v>
      </c>
    </row>
    <row r="2464" spans="1:25" x14ac:dyDescent="0.3">
      <c r="A2464">
        <v>123150</v>
      </c>
      <c r="B2464" t="s">
        <v>51164</v>
      </c>
      <c r="C2464" t="s">
        <v>51165</v>
      </c>
      <c r="D2464" t="s">
        <v>51166</v>
      </c>
      <c r="E2464" t="s">
        <v>51167</v>
      </c>
      <c r="F2464" t="s">
        <v>51168</v>
      </c>
      <c r="G2464" t="s">
        <v>51169</v>
      </c>
      <c r="H2464" t="s">
        <v>51170</v>
      </c>
      <c r="I2464" t="s">
        <v>51171</v>
      </c>
      <c r="J2464" t="s">
        <v>51172</v>
      </c>
      <c r="K2464" t="s">
        <v>51173</v>
      </c>
      <c r="L2464" t="s">
        <v>51174</v>
      </c>
      <c r="M2464" t="s">
        <v>51175</v>
      </c>
      <c r="N2464" t="s">
        <v>51176</v>
      </c>
      <c r="O2464">
        <f>-772.335334256474 -65.8647157748876 -720.222195922712</f>
        <v>-1558.4222459540736</v>
      </c>
      <c r="P2464">
        <f>-723.182088425998 -57.2420161261227 -407.658982705541</f>
        <v>-1188.0830872576616</v>
      </c>
      <c r="Q2464">
        <f>-470.236413221852 -6.27136713662412 -375.062614735205</f>
        <v>-851.5703950936811</v>
      </c>
      <c r="R2464" t="s">
        <v>51177</v>
      </c>
      <c r="S2464" t="s">
        <v>51178</v>
      </c>
      <c r="T2464" t="s">
        <v>51179</v>
      </c>
      <c r="U2464" t="s">
        <v>51180</v>
      </c>
      <c r="V2464" t="s">
        <v>51181</v>
      </c>
      <c r="W2464" t="s">
        <v>51182</v>
      </c>
      <c r="X2464" t="s">
        <v>51183</v>
      </c>
      <c r="Y2464" t="s">
        <v>51184</v>
      </c>
    </row>
    <row r="2465" spans="1:25" x14ac:dyDescent="0.3">
      <c r="A2465">
        <v>123200</v>
      </c>
      <c r="B2465" t="s">
        <v>51185</v>
      </c>
      <c r="C2465" t="s">
        <v>51186</v>
      </c>
      <c r="D2465" t="s">
        <v>51187</v>
      </c>
      <c r="E2465" t="s">
        <v>51188</v>
      </c>
      <c r="F2465" t="s">
        <v>51189</v>
      </c>
      <c r="G2465" t="s">
        <v>51190</v>
      </c>
      <c r="H2465" t="s">
        <v>51191</v>
      </c>
      <c r="I2465" t="s">
        <v>51192</v>
      </c>
      <c r="J2465" t="s">
        <v>51193</v>
      </c>
      <c r="K2465" t="s">
        <v>51194</v>
      </c>
      <c r="L2465" t="s">
        <v>51195</v>
      </c>
      <c r="M2465" t="s">
        <v>51196</v>
      </c>
      <c r="N2465" t="s">
        <v>51197</v>
      </c>
      <c r="O2465">
        <f>-772.068012653927 -65.871683617341 -720.102587760167</f>
        <v>-1558.042284031435</v>
      </c>
      <c r="P2465">
        <f>-722.815970298854 -57.3457628427145 -407.552193543879</f>
        <v>-1187.7139266854476</v>
      </c>
      <c r="Q2465">
        <f>-469.891474140685 -6.26340716919049 -374.966365212905</f>
        <v>-851.12124652278044</v>
      </c>
      <c r="R2465" t="s">
        <v>51198</v>
      </c>
      <c r="S2465" t="s">
        <v>51199</v>
      </c>
      <c r="T2465" t="s">
        <v>51200</v>
      </c>
      <c r="U2465" t="s">
        <v>51201</v>
      </c>
      <c r="V2465" t="s">
        <v>51202</v>
      </c>
      <c r="W2465" t="s">
        <v>51203</v>
      </c>
      <c r="X2465" t="s">
        <v>51204</v>
      </c>
      <c r="Y2465" t="s">
        <v>51205</v>
      </c>
    </row>
    <row r="2466" spans="1:25" x14ac:dyDescent="0.3">
      <c r="A2466">
        <v>123250</v>
      </c>
      <c r="B2466" t="s">
        <v>51206</v>
      </c>
      <c r="C2466" t="s">
        <v>51207</v>
      </c>
      <c r="D2466" t="s">
        <v>51208</v>
      </c>
      <c r="E2466" t="s">
        <v>51209</v>
      </c>
      <c r="F2466" t="s">
        <v>51210</v>
      </c>
      <c r="G2466" t="s">
        <v>51211</v>
      </c>
      <c r="H2466" t="s">
        <v>51212</v>
      </c>
      <c r="I2466" t="s">
        <v>51213</v>
      </c>
      <c r="J2466" t="s">
        <v>51214</v>
      </c>
      <c r="K2466" t="s">
        <v>51215</v>
      </c>
      <c r="L2466" t="s">
        <v>51216</v>
      </c>
      <c r="M2466" t="s">
        <v>51217</v>
      </c>
      <c r="N2466" t="s">
        <v>51218</v>
      </c>
      <c r="O2466">
        <f>-771.504651675085 -65.9390134505857 -719.886041494199</f>
        <v>-1557.3297066198697</v>
      </c>
      <c r="P2466">
        <f>-722.199466681063 -57.3946107264378 -407.344553181181</f>
        <v>-1186.9386305886819</v>
      </c>
      <c r="Q2466">
        <f>-469.325540354248 -6.10985048749785 -374.684924826797</f>
        <v>-850.12031566854284</v>
      </c>
      <c r="R2466" t="s">
        <v>51219</v>
      </c>
      <c r="S2466" t="s">
        <v>51220</v>
      </c>
      <c r="T2466" t="s">
        <v>51221</v>
      </c>
      <c r="U2466" t="s">
        <v>51222</v>
      </c>
      <c r="V2466" t="s">
        <v>51223</v>
      </c>
      <c r="W2466" t="s">
        <v>51224</v>
      </c>
      <c r="X2466" t="s">
        <v>51225</v>
      </c>
      <c r="Y2466" t="s">
        <v>51226</v>
      </c>
    </row>
    <row r="2467" spans="1:25" x14ac:dyDescent="0.3">
      <c r="A2467">
        <v>123300</v>
      </c>
      <c r="B2467" t="s">
        <v>51227</v>
      </c>
      <c r="C2467" t="s">
        <v>51228</v>
      </c>
      <c r="D2467" t="s">
        <v>51229</v>
      </c>
      <c r="E2467" t="s">
        <v>51230</v>
      </c>
      <c r="F2467" t="s">
        <v>51231</v>
      </c>
      <c r="G2467" t="s">
        <v>51232</v>
      </c>
      <c r="H2467" t="s">
        <v>51233</v>
      </c>
      <c r="I2467" t="s">
        <v>51234</v>
      </c>
      <c r="J2467" t="s">
        <v>51235</v>
      </c>
      <c r="K2467" t="s">
        <v>51236</v>
      </c>
      <c r="L2467" t="s">
        <v>51237</v>
      </c>
      <c r="M2467" t="s">
        <v>51238</v>
      </c>
      <c r="N2467" t="s">
        <v>51239</v>
      </c>
      <c r="O2467">
        <f>-771.248243780274 -66.0531782260948 -719.872054116326</f>
        <v>-1557.1734761226949</v>
      </c>
      <c r="P2467">
        <f>-721.926127731191 -57.4364090748911 -407.335367663651</f>
        <v>-1186.6979044697332</v>
      </c>
      <c r="Q2467">
        <f>-469.098448216985 -6.00255666566704 -374.551916406092</f>
        <v>-849.65292128874398</v>
      </c>
      <c r="R2467" t="s">
        <v>51240</v>
      </c>
      <c r="S2467" t="s">
        <v>51241</v>
      </c>
      <c r="T2467" t="s">
        <v>51242</v>
      </c>
      <c r="U2467" t="s">
        <v>51243</v>
      </c>
      <c r="V2467" t="s">
        <v>51244</v>
      </c>
      <c r="W2467" t="s">
        <v>51245</v>
      </c>
      <c r="X2467" t="s">
        <v>51246</v>
      </c>
      <c r="Y2467" t="s">
        <v>51247</v>
      </c>
    </row>
    <row r="2468" spans="1:25" x14ac:dyDescent="0.3">
      <c r="A2468">
        <v>123350</v>
      </c>
      <c r="B2468" t="s">
        <v>51248</v>
      </c>
      <c r="C2468" t="s">
        <v>51249</v>
      </c>
      <c r="D2468" t="s">
        <v>51250</v>
      </c>
      <c r="E2468" t="s">
        <v>51251</v>
      </c>
      <c r="F2468" t="s">
        <v>51252</v>
      </c>
      <c r="G2468" t="s">
        <v>51253</v>
      </c>
      <c r="H2468" t="s">
        <v>51254</v>
      </c>
      <c r="I2468" t="s">
        <v>51255</v>
      </c>
      <c r="J2468" t="s">
        <v>51256</v>
      </c>
      <c r="K2468" t="s">
        <v>51257</v>
      </c>
      <c r="L2468" t="s">
        <v>51258</v>
      </c>
      <c r="M2468" t="s">
        <v>51259</v>
      </c>
      <c r="N2468" t="s">
        <v>51260</v>
      </c>
      <c r="O2468">
        <f>-770.659589573487 -66.5929879483629 -719.96973708361</f>
        <v>-1557.2223146054598</v>
      </c>
      <c r="P2468">
        <f>-721.407150769672 -57.8054013219626 -407.426599829048</f>
        <v>-1186.6391519206825</v>
      </c>
      <c r="Q2468">
        <f>-468.649723081604 -6.06345602073816 -374.585658272365</f>
        <v>-849.29883737470709</v>
      </c>
      <c r="R2468" t="s">
        <v>51261</v>
      </c>
      <c r="S2468" t="s">
        <v>51262</v>
      </c>
      <c r="T2468" t="s">
        <v>51263</v>
      </c>
      <c r="U2468" t="s">
        <v>51264</v>
      </c>
      <c r="V2468" t="s">
        <v>51265</v>
      </c>
      <c r="W2468" t="s">
        <v>51266</v>
      </c>
      <c r="X2468" t="s">
        <v>51267</v>
      </c>
      <c r="Y2468" t="s">
        <v>51268</v>
      </c>
    </row>
    <row r="2469" spans="1:25" x14ac:dyDescent="0.3">
      <c r="A2469">
        <v>123400</v>
      </c>
      <c r="B2469" t="s">
        <v>51269</v>
      </c>
      <c r="C2469" t="s">
        <v>51270</v>
      </c>
      <c r="D2469" t="s">
        <v>51271</v>
      </c>
      <c r="E2469" t="s">
        <v>51272</v>
      </c>
      <c r="F2469" t="s">
        <v>51273</v>
      </c>
      <c r="G2469" t="s">
        <v>51274</v>
      </c>
      <c r="H2469" t="s">
        <v>51275</v>
      </c>
      <c r="I2469" t="s">
        <v>51276</v>
      </c>
      <c r="J2469" t="s">
        <v>51277</v>
      </c>
      <c r="K2469" t="s">
        <v>51278</v>
      </c>
      <c r="L2469" t="s">
        <v>51279</v>
      </c>
      <c r="M2469" t="s">
        <v>51280</v>
      </c>
      <c r="N2469" t="s">
        <v>51281</v>
      </c>
      <c r="O2469">
        <f>-770.398303948001 -66.8530703306676 -720.014792547259</f>
        <v>-1557.2661668259275</v>
      </c>
      <c r="P2469">
        <f>-721.165309316814 -58.0731059663729 -407.468468346857</f>
        <v>-1186.7068836300439</v>
      </c>
      <c r="Q2469">
        <f>-468.414582501061 -6.23990232413212 -374.719567976657</f>
        <v>-849.3740528018501</v>
      </c>
      <c r="R2469" t="s">
        <v>51282</v>
      </c>
      <c r="S2469" t="s">
        <v>51283</v>
      </c>
      <c r="T2469" t="s">
        <v>51284</v>
      </c>
      <c r="U2469" t="s">
        <v>51285</v>
      </c>
      <c r="V2469" t="s">
        <v>51286</v>
      </c>
      <c r="W2469" t="s">
        <v>51287</v>
      </c>
      <c r="X2469" t="s">
        <v>51288</v>
      </c>
      <c r="Y2469" t="s">
        <v>51289</v>
      </c>
    </row>
    <row r="2470" spans="1:25" x14ac:dyDescent="0.3">
      <c r="A2470">
        <v>123450</v>
      </c>
      <c r="B2470" t="s">
        <v>51290</v>
      </c>
      <c r="C2470" t="s">
        <v>51291</v>
      </c>
      <c r="D2470" t="s">
        <v>51292</v>
      </c>
      <c r="E2470" t="s">
        <v>51293</v>
      </c>
      <c r="F2470" t="s">
        <v>51294</v>
      </c>
      <c r="G2470" t="s">
        <v>51295</v>
      </c>
      <c r="H2470" t="s">
        <v>51296</v>
      </c>
      <c r="I2470" t="s">
        <v>51297</v>
      </c>
      <c r="J2470" t="s">
        <v>51298</v>
      </c>
      <c r="K2470" t="s">
        <v>51299</v>
      </c>
      <c r="L2470" t="s">
        <v>51300</v>
      </c>
      <c r="M2470" t="s">
        <v>51301</v>
      </c>
      <c r="N2470" t="s">
        <v>51302</v>
      </c>
      <c r="O2470">
        <f>-770.233800815252 -67.2571071812827 -720.086918306755</f>
        <v>-1557.5778263032898</v>
      </c>
      <c r="P2470">
        <f>-720.918248985938 -58.5222445958241 -407.552396680595</f>
        <v>-1186.9928902623572</v>
      </c>
      <c r="Q2470">
        <f>-468.180588258537 -6.50503030673804 -374.996057382967</f>
        <v>-849.68167594824206</v>
      </c>
      <c r="R2470" t="s">
        <v>51303</v>
      </c>
      <c r="S2470" t="s">
        <v>51304</v>
      </c>
      <c r="T2470" t="s">
        <v>51305</v>
      </c>
      <c r="U2470" t="s">
        <v>51306</v>
      </c>
      <c r="V2470" t="s">
        <v>51307</v>
      </c>
      <c r="W2470" t="s">
        <v>51308</v>
      </c>
      <c r="X2470" t="s">
        <v>51309</v>
      </c>
      <c r="Y2470" t="s">
        <v>51310</v>
      </c>
    </row>
    <row r="2471" spans="1:25" x14ac:dyDescent="0.3">
      <c r="A2471">
        <v>123500</v>
      </c>
      <c r="B2471" t="s">
        <v>51311</v>
      </c>
      <c r="C2471" t="s">
        <v>51312</v>
      </c>
      <c r="D2471" t="s">
        <v>51313</v>
      </c>
      <c r="E2471" t="s">
        <v>51314</v>
      </c>
      <c r="F2471" t="s">
        <v>51315</v>
      </c>
      <c r="G2471" t="s">
        <v>51316</v>
      </c>
      <c r="H2471" t="s">
        <v>51317</v>
      </c>
      <c r="I2471" t="s">
        <v>51318</v>
      </c>
      <c r="J2471" t="s">
        <v>51319</v>
      </c>
      <c r="K2471" t="s">
        <v>51320</v>
      </c>
      <c r="L2471" t="s">
        <v>51321</v>
      </c>
      <c r="M2471" t="s">
        <v>51322</v>
      </c>
      <c r="N2471" t="s">
        <v>51323</v>
      </c>
      <c r="O2471">
        <f>-770.195809125488 -67.4269163182175 -720.140792472656</f>
        <v>-1557.7635179163617</v>
      </c>
      <c r="P2471">
        <f>-720.80460043101 -58.7030414776088 -407.617932017878</f>
        <v>-1187.1255739264968</v>
      </c>
      <c r="Q2471">
        <f>-468.075202694849 -6.59079412103233 -375.149150768945</f>
        <v>-849.81514758482626</v>
      </c>
      <c r="R2471" t="s">
        <v>51324</v>
      </c>
      <c r="S2471" t="s">
        <v>51325</v>
      </c>
      <c r="T2471" t="s">
        <v>51326</v>
      </c>
      <c r="U2471" t="s">
        <v>51327</v>
      </c>
      <c r="V2471" t="s">
        <v>51328</v>
      </c>
      <c r="W2471" t="s">
        <v>51329</v>
      </c>
      <c r="X2471" t="s">
        <v>51330</v>
      </c>
      <c r="Y2471" t="s">
        <v>51331</v>
      </c>
    </row>
    <row r="2472" spans="1:25" x14ac:dyDescent="0.3">
      <c r="A2472">
        <v>123550</v>
      </c>
      <c r="B2472" t="s">
        <v>51332</v>
      </c>
      <c r="C2472" t="s">
        <v>51333</v>
      </c>
      <c r="D2472" t="s">
        <v>51334</v>
      </c>
      <c r="E2472" t="s">
        <v>51335</v>
      </c>
      <c r="F2472" t="s">
        <v>51336</v>
      </c>
      <c r="G2472" t="s">
        <v>51337</v>
      </c>
      <c r="H2472" t="s">
        <v>51338</v>
      </c>
      <c r="I2472" t="s">
        <v>51339</v>
      </c>
      <c r="J2472" t="s">
        <v>51340</v>
      </c>
      <c r="K2472" t="s">
        <v>51341</v>
      </c>
      <c r="L2472" t="s">
        <v>51342</v>
      </c>
      <c r="M2472" t="s">
        <v>51343</v>
      </c>
      <c r="N2472" t="s">
        <v>51344</v>
      </c>
      <c r="O2472">
        <f>-770.131841715964 -67.7689042524476 -720.212752733113</f>
        <v>-1558.1134987015246</v>
      </c>
      <c r="P2472">
        <f>-720.709338702752 -58.8966915799208 -407.69900555485</f>
        <v>-1187.3050358375228</v>
      </c>
      <c r="Q2472">
        <f>-468.038987766312 -6.50352428075394 -375.222800824032</f>
        <v>-849.76531287109788</v>
      </c>
      <c r="R2472" t="s">
        <v>51345</v>
      </c>
      <c r="S2472" t="s">
        <v>51346</v>
      </c>
      <c r="T2472" t="s">
        <v>51347</v>
      </c>
      <c r="U2472" t="s">
        <v>51348</v>
      </c>
      <c r="V2472" t="s">
        <v>51349</v>
      </c>
      <c r="W2472" t="s">
        <v>51350</v>
      </c>
      <c r="X2472" t="s">
        <v>51351</v>
      </c>
      <c r="Y2472" t="s">
        <v>51352</v>
      </c>
    </row>
    <row r="2473" spans="1:25" x14ac:dyDescent="0.3">
      <c r="A2473">
        <v>123600</v>
      </c>
      <c r="B2473" t="s">
        <v>51353</v>
      </c>
      <c r="C2473" t="s">
        <v>51354</v>
      </c>
      <c r="D2473" t="s">
        <v>51355</v>
      </c>
      <c r="E2473" t="s">
        <v>51356</v>
      </c>
      <c r="F2473" t="s">
        <v>51357</v>
      </c>
      <c r="G2473" t="s">
        <v>51358</v>
      </c>
      <c r="H2473" t="s">
        <v>51359</v>
      </c>
      <c r="I2473" t="s">
        <v>51360</v>
      </c>
      <c r="J2473" t="s">
        <v>51361</v>
      </c>
      <c r="K2473" t="s">
        <v>51362</v>
      </c>
      <c r="L2473" t="s">
        <v>51363</v>
      </c>
      <c r="M2473" t="s">
        <v>51364</v>
      </c>
      <c r="N2473" t="s">
        <v>51365</v>
      </c>
      <c r="O2473">
        <f>-770.029032813809 -67.9905897933838 -720.218019805076</f>
        <v>-1558.2376424122688</v>
      </c>
      <c r="P2473">
        <f>-720.523528324513 -59.093105550282 -407.718053056258</f>
        <v>-1187.3346869310531</v>
      </c>
      <c r="Q2473">
        <f>-467.902630167091 -6.53307251326419 -375.127510876768</f>
        <v>-849.56321355712316</v>
      </c>
      <c r="R2473" t="s">
        <v>51366</v>
      </c>
      <c r="S2473" t="s">
        <v>51367</v>
      </c>
      <c r="T2473" t="s">
        <v>51368</v>
      </c>
      <c r="U2473" t="s">
        <v>51369</v>
      </c>
      <c r="V2473" t="s">
        <v>51370</v>
      </c>
      <c r="W2473" t="s">
        <v>51371</v>
      </c>
      <c r="X2473" t="s">
        <v>51372</v>
      </c>
      <c r="Y2473" t="s">
        <v>51373</v>
      </c>
    </row>
    <row r="2474" spans="1:25" x14ac:dyDescent="0.3">
      <c r="A2474">
        <v>123650</v>
      </c>
      <c r="B2474" t="s">
        <v>51374</v>
      </c>
      <c r="C2474" t="s">
        <v>51375</v>
      </c>
      <c r="D2474" t="s">
        <v>51376</v>
      </c>
      <c r="E2474" t="s">
        <v>51377</v>
      </c>
      <c r="F2474" t="s">
        <v>51378</v>
      </c>
      <c r="G2474" t="s">
        <v>51379</v>
      </c>
      <c r="H2474" t="s">
        <v>51380</v>
      </c>
      <c r="I2474" t="s">
        <v>51381</v>
      </c>
      <c r="J2474" t="s">
        <v>51382</v>
      </c>
      <c r="K2474" t="s">
        <v>51383</v>
      </c>
      <c r="L2474" t="s">
        <v>51384</v>
      </c>
      <c r="M2474" t="s">
        <v>51385</v>
      </c>
      <c r="N2474" t="s">
        <v>51386</v>
      </c>
      <c r="O2474">
        <f>-769.920386026125 -68.6036774529741 -720.136228660942</f>
        <v>-1558.6602921400413</v>
      </c>
      <c r="P2474">
        <f>-720.500526501129 -59.1421789030812 -407.639340685296</f>
        <v>-1187.2820460895064</v>
      </c>
      <c r="Q2474">
        <f>-467.904771275945 -6.44808921421281 -375.069519741893</f>
        <v>-849.42238023205073</v>
      </c>
      <c r="R2474" t="s">
        <v>51387</v>
      </c>
      <c r="S2474" t="s">
        <v>51388</v>
      </c>
      <c r="T2474" t="s">
        <v>51389</v>
      </c>
      <c r="U2474" t="s">
        <v>51390</v>
      </c>
      <c r="V2474" t="s">
        <v>51391</v>
      </c>
      <c r="W2474" t="s">
        <v>51392</v>
      </c>
      <c r="X2474" t="s">
        <v>51393</v>
      </c>
      <c r="Y2474" t="s">
        <v>51394</v>
      </c>
    </row>
    <row r="2475" spans="1:25" x14ac:dyDescent="0.3">
      <c r="A2475">
        <v>123700</v>
      </c>
      <c r="B2475" t="s">
        <v>51395</v>
      </c>
      <c r="C2475" t="s">
        <v>51396</v>
      </c>
      <c r="D2475" t="s">
        <v>51397</v>
      </c>
      <c r="E2475" t="s">
        <v>51398</v>
      </c>
      <c r="F2475" t="s">
        <v>51399</v>
      </c>
      <c r="G2475" t="s">
        <v>51400</v>
      </c>
      <c r="H2475" t="s">
        <v>51401</v>
      </c>
      <c r="I2475" t="s">
        <v>51402</v>
      </c>
      <c r="J2475" t="s">
        <v>51403</v>
      </c>
      <c r="K2475" t="s">
        <v>51404</v>
      </c>
      <c r="L2475" t="s">
        <v>51405</v>
      </c>
      <c r="M2475" t="s">
        <v>51406</v>
      </c>
      <c r="N2475" t="s">
        <v>51407</v>
      </c>
      <c r="O2475">
        <f>-769.822812655518 -68.8994732266051 -720.081956270318</f>
        <v>-1558.804242152441</v>
      </c>
      <c r="P2475">
        <f>-720.403942971142 -59.5488893000027 -407.581592949587</f>
        <v>-1187.5344252207317</v>
      </c>
      <c r="Q2475">
        <f>-467.825617396916 -6.77832969337237 -375.000445111002</f>
        <v>-849.60439220129047</v>
      </c>
      <c r="R2475" t="s">
        <v>51408</v>
      </c>
      <c r="S2475" t="s">
        <v>51409</v>
      </c>
      <c r="T2475" t="s">
        <v>51410</v>
      </c>
      <c r="U2475" t="s">
        <v>51411</v>
      </c>
      <c r="V2475" t="s">
        <v>51412</v>
      </c>
      <c r="W2475" t="s">
        <v>51413</v>
      </c>
      <c r="X2475" t="s">
        <v>51414</v>
      </c>
      <c r="Y2475" t="s">
        <v>51415</v>
      </c>
    </row>
    <row r="2476" spans="1:25" x14ac:dyDescent="0.3">
      <c r="A2476">
        <v>123750</v>
      </c>
      <c r="B2476" t="s">
        <v>51416</v>
      </c>
      <c r="C2476" t="s">
        <v>51417</v>
      </c>
      <c r="D2476" t="s">
        <v>51418</v>
      </c>
      <c r="E2476" t="s">
        <v>51419</v>
      </c>
      <c r="F2476" t="s">
        <v>51420</v>
      </c>
      <c r="G2476" t="s">
        <v>51421</v>
      </c>
      <c r="H2476" t="s">
        <v>51422</v>
      </c>
      <c r="I2476" t="s">
        <v>51423</v>
      </c>
      <c r="J2476" t="s">
        <v>51424</v>
      </c>
      <c r="K2476" t="s">
        <v>51425</v>
      </c>
      <c r="L2476" t="s">
        <v>51426</v>
      </c>
      <c r="M2476" t="s">
        <v>51427</v>
      </c>
      <c r="N2476" t="s">
        <v>51428</v>
      </c>
      <c r="O2476">
        <f>-769.793165664433 -69.2798100972329 -720.005408079738</f>
        <v>-1559.078383841404</v>
      </c>
      <c r="P2476">
        <f>-720.433748284596 -59.7314416280742 -407.501442284884</f>
        <v>-1187.6666321975542</v>
      </c>
      <c r="Q2476">
        <f>-467.897924755949 -6.68202421911201 -375.043888215485</f>
        <v>-849.62383719054606</v>
      </c>
      <c r="R2476" t="s">
        <v>51429</v>
      </c>
      <c r="S2476" t="s">
        <v>51430</v>
      </c>
      <c r="T2476" t="s">
        <v>51431</v>
      </c>
      <c r="U2476" t="s">
        <v>51432</v>
      </c>
      <c r="V2476" t="s">
        <v>51433</v>
      </c>
      <c r="W2476" t="s">
        <v>51434</v>
      </c>
      <c r="X2476" t="s">
        <v>51435</v>
      </c>
      <c r="Y2476" t="s">
        <v>51436</v>
      </c>
    </row>
    <row r="2477" spans="1:25" x14ac:dyDescent="0.3">
      <c r="A2477">
        <v>123800</v>
      </c>
      <c r="B2477" t="s">
        <v>51437</v>
      </c>
      <c r="C2477" t="s">
        <v>51438</v>
      </c>
      <c r="D2477" t="s">
        <v>51439</v>
      </c>
      <c r="E2477" t="s">
        <v>51440</v>
      </c>
      <c r="F2477" t="s">
        <v>51441</v>
      </c>
      <c r="G2477" t="s">
        <v>51442</v>
      </c>
      <c r="H2477" t="s">
        <v>51443</v>
      </c>
      <c r="I2477" t="s">
        <v>51444</v>
      </c>
      <c r="J2477" t="s">
        <v>51445</v>
      </c>
      <c r="K2477" t="s">
        <v>51446</v>
      </c>
      <c r="L2477" t="s">
        <v>51447</v>
      </c>
      <c r="M2477" t="s">
        <v>51448</v>
      </c>
      <c r="N2477" t="s">
        <v>51449</v>
      </c>
      <c r="O2477">
        <f>-769.816976303698 -69.4516785968269 -719.92951531556</f>
        <v>-1559.1981702160849</v>
      </c>
      <c r="P2477">
        <f>-720.361367656727 -59.8336885775943 -407.442950594686</f>
        <v>-1187.6380068290073</v>
      </c>
      <c r="Q2477">
        <f>-467.84168380792 -6.6793322687929 -375.031746115619</f>
        <v>-849.5527621923319</v>
      </c>
      <c r="R2477" t="s">
        <v>51450</v>
      </c>
      <c r="S2477" t="s">
        <v>51451</v>
      </c>
      <c r="T2477" t="s">
        <v>51452</v>
      </c>
      <c r="U2477" t="s">
        <v>51453</v>
      </c>
      <c r="V2477" t="s">
        <v>51454</v>
      </c>
      <c r="W2477" t="s">
        <v>51455</v>
      </c>
      <c r="X2477" t="s">
        <v>51456</v>
      </c>
      <c r="Y2477" t="s">
        <v>51457</v>
      </c>
    </row>
    <row r="2478" spans="1:25" x14ac:dyDescent="0.3">
      <c r="A2478">
        <v>123850</v>
      </c>
      <c r="B2478" t="s">
        <v>51458</v>
      </c>
      <c r="C2478" t="s">
        <v>51459</v>
      </c>
      <c r="D2478" t="s">
        <v>51460</v>
      </c>
      <c r="E2478" t="s">
        <v>51461</v>
      </c>
      <c r="F2478" t="s">
        <v>51462</v>
      </c>
      <c r="G2478" t="s">
        <v>51463</v>
      </c>
      <c r="H2478" t="s">
        <v>51464</v>
      </c>
      <c r="I2478" t="s">
        <v>51465</v>
      </c>
      <c r="J2478" t="s">
        <v>51466</v>
      </c>
      <c r="K2478" t="s">
        <v>51467</v>
      </c>
      <c r="L2478" t="s">
        <v>51468</v>
      </c>
      <c r="M2478" t="s">
        <v>51469</v>
      </c>
      <c r="N2478" t="s">
        <v>51470</v>
      </c>
      <c r="O2478">
        <f>-769.764121669062 -69.9563771887181 -719.803335823925</f>
        <v>-1559.523834681705</v>
      </c>
      <c r="P2478">
        <f>-720.159383605769 -60.2024367514593 -407.344727708394</f>
        <v>-1187.7065480656224</v>
      </c>
      <c r="Q2478">
        <f>-467.682894943765 -6.79043124818213 -375.021020312283</f>
        <v>-849.49434650423018</v>
      </c>
      <c r="R2478" t="s">
        <v>51471</v>
      </c>
      <c r="S2478" t="s">
        <v>51472</v>
      </c>
      <c r="T2478" t="s">
        <v>51473</v>
      </c>
      <c r="U2478" t="s">
        <v>51474</v>
      </c>
      <c r="V2478" t="s">
        <v>51475</v>
      </c>
      <c r="W2478" t="s">
        <v>51476</v>
      </c>
      <c r="X2478" t="s">
        <v>51477</v>
      </c>
      <c r="Y2478" t="s">
        <v>51478</v>
      </c>
    </row>
    <row r="2479" spans="1:25" x14ac:dyDescent="0.3">
      <c r="A2479">
        <v>123900</v>
      </c>
      <c r="B2479" t="s">
        <v>51479</v>
      </c>
      <c r="C2479" t="s">
        <v>51480</v>
      </c>
      <c r="D2479" t="s">
        <v>51481</v>
      </c>
      <c r="E2479" t="s">
        <v>51482</v>
      </c>
      <c r="F2479" t="s">
        <v>51483</v>
      </c>
      <c r="G2479" t="s">
        <v>51484</v>
      </c>
      <c r="H2479" t="s">
        <v>51485</v>
      </c>
      <c r="I2479" t="s">
        <v>51486</v>
      </c>
      <c r="J2479" t="s">
        <v>51487</v>
      </c>
      <c r="K2479" t="s">
        <v>51488</v>
      </c>
      <c r="L2479" t="s">
        <v>51489</v>
      </c>
      <c r="M2479" t="s">
        <v>51490</v>
      </c>
      <c r="N2479" t="s">
        <v>51491</v>
      </c>
      <c r="O2479">
        <f>-769.853000547247 -70.2154204893532 -719.727561987867</f>
        <v>-1559.7959830244672</v>
      </c>
      <c r="P2479">
        <f>-720.279718051206 -60.3396023828391 -407.267775510661</f>
        <v>-1187.8870959447061</v>
      </c>
      <c r="Q2479">
        <f>-467.825033980432 -6.80475836431378 -374.9764837135</f>
        <v>-849.60627605824584</v>
      </c>
      <c r="R2479" t="s">
        <v>51492</v>
      </c>
      <c r="S2479" t="s">
        <v>51493</v>
      </c>
      <c r="T2479" t="s">
        <v>51494</v>
      </c>
      <c r="U2479" t="s">
        <v>51495</v>
      </c>
      <c r="V2479" t="s">
        <v>51496</v>
      </c>
      <c r="W2479" t="s">
        <v>51497</v>
      </c>
      <c r="X2479" t="s">
        <v>51498</v>
      </c>
      <c r="Y2479" t="s">
        <v>51499</v>
      </c>
    </row>
    <row r="2480" spans="1:25" x14ac:dyDescent="0.3">
      <c r="A2480">
        <v>123950</v>
      </c>
      <c r="B2480" t="s">
        <v>51500</v>
      </c>
      <c r="C2480" t="s">
        <v>51501</v>
      </c>
      <c r="D2480" t="s">
        <v>51502</v>
      </c>
      <c r="E2480" t="s">
        <v>51503</v>
      </c>
      <c r="F2480" t="s">
        <v>51504</v>
      </c>
      <c r="G2480" t="s">
        <v>51505</v>
      </c>
      <c r="H2480" t="s">
        <v>51506</v>
      </c>
      <c r="I2480" t="s">
        <v>51507</v>
      </c>
      <c r="J2480" t="s">
        <v>51508</v>
      </c>
      <c r="K2480" t="s">
        <v>51509</v>
      </c>
      <c r="L2480" t="s">
        <v>51510</v>
      </c>
      <c r="M2480" t="s">
        <v>51511</v>
      </c>
      <c r="N2480" t="s">
        <v>51512</v>
      </c>
      <c r="O2480">
        <f>-770.015762240796 -70.863738871258 -719.606470164355</f>
        <v>-1560.4859712764089</v>
      </c>
      <c r="P2480">
        <f>-720.558828580304 -60.8220019711357 -407.133473049074</f>
        <v>-1188.5143036005136</v>
      </c>
      <c r="Q2480">
        <f>-468.128112688857 -7.20225472009429 -374.796254492182</f>
        <v>-850.12662190113338</v>
      </c>
      <c r="R2480" t="s">
        <v>51513</v>
      </c>
      <c r="S2480" t="s">
        <v>51514</v>
      </c>
      <c r="T2480" t="s">
        <v>51515</v>
      </c>
      <c r="U2480" t="s">
        <v>51516</v>
      </c>
      <c r="V2480" t="s">
        <v>51517</v>
      </c>
      <c r="W2480" t="s">
        <v>51518</v>
      </c>
      <c r="X2480" t="s">
        <v>51519</v>
      </c>
      <c r="Y2480" t="s">
        <v>51520</v>
      </c>
    </row>
    <row r="2481" spans="1:25" x14ac:dyDescent="0.3">
      <c r="A2481">
        <v>124000</v>
      </c>
      <c r="B2481" t="s">
        <v>51521</v>
      </c>
      <c r="C2481" t="s">
        <v>51522</v>
      </c>
      <c r="D2481" t="s">
        <v>51523</v>
      </c>
      <c r="E2481" t="s">
        <v>51524</v>
      </c>
      <c r="F2481" t="s">
        <v>51525</v>
      </c>
      <c r="G2481" t="s">
        <v>51526</v>
      </c>
      <c r="H2481" t="s">
        <v>51527</v>
      </c>
      <c r="I2481" t="s">
        <v>51528</v>
      </c>
      <c r="J2481" t="s">
        <v>51529</v>
      </c>
      <c r="K2481" t="s">
        <v>51530</v>
      </c>
      <c r="L2481" t="s">
        <v>51531</v>
      </c>
      <c r="M2481" t="s">
        <v>51532</v>
      </c>
      <c r="N2481" t="s">
        <v>51533</v>
      </c>
      <c r="O2481">
        <f>-770.293384576604 -71.1015476954872 -719.513623240173</f>
        <v>-1560.9085555122642</v>
      </c>
      <c r="P2481">
        <f>-720.800140875203 -61.0608479780367 -407.046390270685</f>
        <v>-1188.9073791239248</v>
      </c>
      <c r="Q2481">
        <f>-468.363370175814 -7.52440424276801 -374.618401777484</f>
        <v>-850.50617619606601</v>
      </c>
      <c r="R2481" t="s">
        <v>51534</v>
      </c>
      <c r="S2481" t="s">
        <v>51535</v>
      </c>
      <c r="T2481" t="s">
        <v>51536</v>
      </c>
      <c r="U2481" t="s">
        <v>51537</v>
      </c>
      <c r="V2481" t="s">
        <v>51538</v>
      </c>
      <c r="W2481" t="s">
        <v>51539</v>
      </c>
      <c r="X2481" t="s">
        <v>51540</v>
      </c>
      <c r="Y2481" t="s">
        <v>51541</v>
      </c>
    </row>
    <row r="2482" spans="1:25" x14ac:dyDescent="0.3">
      <c r="A2482">
        <v>124050</v>
      </c>
      <c r="B2482" t="s">
        <v>51542</v>
      </c>
      <c r="C2482" t="s">
        <v>51543</v>
      </c>
      <c r="D2482" t="s">
        <v>51544</v>
      </c>
      <c r="E2482" t="s">
        <v>51545</v>
      </c>
      <c r="F2482" t="s">
        <v>51546</v>
      </c>
      <c r="G2482" t="s">
        <v>51547</v>
      </c>
      <c r="H2482" t="s">
        <v>51548</v>
      </c>
      <c r="I2482" t="s">
        <v>51549</v>
      </c>
      <c r="J2482" t="s">
        <v>51550</v>
      </c>
      <c r="K2482" t="s">
        <v>51551</v>
      </c>
      <c r="L2482" t="s">
        <v>51552</v>
      </c>
      <c r="M2482" t="s">
        <v>51553</v>
      </c>
      <c r="N2482" t="s">
        <v>51554</v>
      </c>
      <c r="O2482">
        <f>-770.773517273689 -71.3621703722051 -719.367813955585</f>
        <v>-1561.503501601479</v>
      </c>
      <c r="P2482">
        <f>-721.107134141813 -61.068754665763 -406.936259044278</f>
        <v>-1189.1121478518539</v>
      </c>
      <c r="Q2482">
        <f>-468.657056846926 -7.61079724693104 -374.481894535946</f>
        <v>-850.74974862980309</v>
      </c>
      <c r="R2482" t="s">
        <v>51555</v>
      </c>
      <c r="S2482" t="s">
        <v>51556</v>
      </c>
      <c r="T2482" t="s">
        <v>51557</v>
      </c>
      <c r="U2482" t="s">
        <v>51558</v>
      </c>
      <c r="V2482" t="s">
        <v>51559</v>
      </c>
      <c r="W2482" t="s">
        <v>51560</v>
      </c>
      <c r="X2482" t="s">
        <v>51561</v>
      </c>
      <c r="Y2482" t="s">
        <v>51562</v>
      </c>
    </row>
    <row r="2483" spans="1:25" x14ac:dyDescent="0.3">
      <c r="A2483">
        <v>124100</v>
      </c>
      <c r="B2483" t="s">
        <v>51563</v>
      </c>
      <c r="C2483" t="s">
        <v>51564</v>
      </c>
      <c r="D2483" t="s">
        <v>51565</v>
      </c>
      <c r="E2483" t="s">
        <v>51566</v>
      </c>
      <c r="F2483" t="s">
        <v>51567</v>
      </c>
      <c r="G2483" t="s">
        <v>51568</v>
      </c>
      <c r="H2483" t="s">
        <v>51569</v>
      </c>
      <c r="I2483" t="s">
        <v>51570</v>
      </c>
      <c r="J2483" t="s">
        <v>51571</v>
      </c>
      <c r="K2483" t="s">
        <v>51572</v>
      </c>
      <c r="L2483" t="s">
        <v>51573</v>
      </c>
      <c r="M2483" t="s">
        <v>51574</v>
      </c>
      <c r="N2483" t="s">
        <v>51575</v>
      </c>
      <c r="O2483">
        <f>-770.927980784864 -71.4643093565023 -719.320947390006</f>
        <v>-1561.7132375313722</v>
      </c>
      <c r="P2483">
        <f>-721.306699247752 -61.1230366446846 -406.883853203593</f>
        <v>-1189.3135890960295</v>
      </c>
      <c r="Q2483">
        <f>-468.842173583482 -7.70056745349075 -374.483131283423</f>
        <v>-851.02587232039582</v>
      </c>
      <c r="R2483" t="s">
        <v>51576</v>
      </c>
      <c r="S2483" t="s">
        <v>51577</v>
      </c>
      <c r="T2483" t="s">
        <v>51578</v>
      </c>
      <c r="U2483" t="s">
        <v>51579</v>
      </c>
      <c r="V2483" t="s">
        <v>51580</v>
      </c>
      <c r="W2483" t="s">
        <v>51581</v>
      </c>
      <c r="X2483" t="s">
        <v>51582</v>
      </c>
      <c r="Y2483" t="s">
        <v>51583</v>
      </c>
    </row>
    <row r="2484" spans="1:25" x14ac:dyDescent="0.3">
      <c r="A2484">
        <v>124150</v>
      </c>
      <c r="B2484" t="s">
        <v>51584</v>
      </c>
      <c r="C2484" t="s">
        <v>51585</v>
      </c>
      <c r="D2484" t="s">
        <v>51586</v>
      </c>
      <c r="E2484" t="s">
        <v>51587</v>
      </c>
      <c r="F2484" t="s">
        <v>51588</v>
      </c>
      <c r="G2484" t="s">
        <v>51589</v>
      </c>
      <c r="H2484" t="s">
        <v>51590</v>
      </c>
      <c r="I2484" t="s">
        <v>51591</v>
      </c>
      <c r="J2484" t="s">
        <v>51592</v>
      </c>
      <c r="K2484" t="s">
        <v>51593</v>
      </c>
      <c r="L2484" t="s">
        <v>51594</v>
      </c>
      <c r="M2484" t="s">
        <v>51595</v>
      </c>
      <c r="N2484" t="s">
        <v>51596</v>
      </c>
      <c r="O2484">
        <f>-771.420947396548 -71.4829707830716 -719.322570971233</f>
        <v>-1562.2264891508526</v>
      </c>
      <c r="P2484">
        <f>-721.775358561306 -61.3343055027565 -406.882968162493</f>
        <v>-1189.9926322265555</v>
      </c>
      <c r="Q2484">
        <f>-469.304006960439 -7.91373466309665 -374.533021414318</f>
        <v>-851.75076303785363</v>
      </c>
      <c r="R2484" t="s">
        <v>51597</v>
      </c>
      <c r="S2484" t="s">
        <v>51598</v>
      </c>
      <c r="T2484" t="s">
        <v>51599</v>
      </c>
      <c r="U2484" t="s">
        <v>51600</v>
      </c>
      <c r="V2484" t="s">
        <v>51601</v>
      </c>
      <c r="W2484" t="s">
        <v>51602</v>
      </c>
      <c r="X2484" t="s">
        <v>51603</v>
      </c>
      <c r="Y2484" t="s">
        <v>51604</v>
      </c>
    </row>
    <row r="2485" spans="1:25" x14ac:dyDescent="0.3">
      <c r="A2485">
        <v>124200</v>
      </c>
      <c r="B2485" t="s">
        <v>51605</v>
      </c>
      <c r="C2485" t="s">
        <v>51606</v>
      </c>
      <c r="D2485" t="s">
        <v>51607</v>
      </c>
      <c r="E2485" t="s">
        <v>51608</v>
      </c>
      <c r="F2485" t="s">
        <v>51609</v>
      </c>
      <c r="G2485" t="s">
        <v>51610</v>
      </c>
      <c r="H2485" t="s">
        <v>51611</v>
      </c>
      <c r="I2485" t="s">
        <v>51612</v>
      </c>
      <c r="J2485" t="s">
        <v>51613</v>
      </c>
      <c r="K2485" t="s">
        <v>51614</v>
      </c>
      <c r="L2485" t="s">
        <v>51615</v>
      </c>
      <c r="M2485" t="s">
        <v>51616</v>
      </c>
      <c r="N2485" t="s">
        <v>51617</v>
      </c>
      <c r="O2485">
        <f>-771.764710660359 -71.4594700784173 -719.34228893031</f>
        <v>-1562.5664696690865</v>
      </c>
      <c r="P2485">
        <f>-721.983060517106 -61.2859103701253 -406.925031349917</f>
        <v>-1190.1940022371482</v>
      </c>
      <c r="Q2485">
        <f>-469.503913136413 -7.90067100728947 -374.578037739926</f>
        <v>-851.98262188362855</v>
      </c>
      <c r="R2485" t="s">
        <v>51618</v>
      </c>
      <c r="S2485" t="s">
        <v>51619</v>
      </c>
      <c r="T2485" t="s">
        <v>51620</v>
      </c>
      <c r="U2485" t="s">
        <v>51621</v>
      </c>
      <c r="V2485" t="s">
        <v>51622</v>
      </c>
      <c r="W2485" t="s">
        <v>51623</v>
      </c>
      <c r="X2485" t="s">
        <v>51624</v>
      </c>
      <c r="Y2485" t="s">
        <v>51625</v>
      </c>
    </row>
    <row r="2486" spans="1:25" x14ac:dyDescent="0.3">
      <c r="A2486">
        <v>124250</v>
      </c>
      <c r="B2486" t="s">
        <v>51626</v>
      </c>
      <c r="C2486" t="s">
        <v>51627</v>
      </c>
      <c r="D2486" t="s">
        <v>51628</v>
      </c>
      <c r="E2486" t="s">
        <v>51629</v>
      </c>
      <c r="F2486" t="s">
        <v>51630</v>
      </c>
      <c r="G2486" t="s">
        <v>51631</v>
      </c>
      <c r="H2486" t="s">
        <v>51632</v>
      </c>
      <c r="I2486" t="s">
        <v>51633</v>
      </c>
      <c r="J2486" t="s">
        <v>51634</v>
      </c>
      <c r="K2486" t="s">
        <v>51635</v>
      </c>
      <c r="L2486" t="s">
        <v>51636</v>
      </c>
      <c r="M2486" t="s">
        <v>51637</v>
      </c>
      <c r="N2486" t="s">
        <v>51638</v>
      </c>
      <c r="O2486">
        <f>-772.451766504035 -71.3951852705522 -719.32522680115</f>
        <v>-1563.1721785757372</v>
      </c>
      <c r="P2486">
        <f>-722.554453904812 -61.1868722517295 -406.927765260024</f>
        <v>-1190.6690914165656</v>
      </c>
      <c r="Q2486">
        <f>-470.082579456595 -7.76895174347828 -374.577527718677</f>
        <v>-852.42905891875034</v>
      </c>
      <c r="R2486" t="s">
        <v>51639</v>
      </c>
      <c r="S2486" t="s">
        <v>51640</v>
      </c>
      <c r="T2486" t="s">
        <v>51641</v>
      </c>
      <c r="U2486" t="s">
        <v>51642</v>
      </c>
      <c r="V2486" t="s">
        <v>51643</v>
      </c>
      <c r="W2486" t="s">
        <v>51644</v>
      </c>
      <c r="X2486" t="s">
        <v>51645</v>
      </c>
      <c r="Y2486" t="s">
        <v>51646</v>
      </c>
    </row>
    <row r="2487" spans="1:25" x14ac:dyDescent="0.3">
      <c r="A2487">
        <v>124300</v>
      </c>
      <c r="B2487" t="s">
        <v>51647</v>
      </c>
      <c r="C2487" t="s">
        <v>51648</v>
      </c>
      <c r="D2487" t="s">
        <v>51649</v>
      </c>
      <c r="E2487" t="s">
        <v>51650</v>
      </c>
      <c r="F2487" t="s">
        <v>51651</v>
      </c>
      <c r="G2487" t="s">
        <v>51652</v>
      </c>
      <c r="H2487" t="s">
        <v>51653</v>
      </c>
      <c r="I2487" t="s">
        <v>51654</v>
      </c>
      <c r="J2487" t="s">
        <v>51655</v>
      </c>
      <c r="K2487" t="s">
        <v>51656</v>
      </c>
      <c r="L2487" t="s">
        <v>51657</v>
      </c>
      <c r="M2487" t="s">
        <v>51658</v>
      </c>
      <c r="N2487" t="s">
        <v>51659</v>
      </c>
      <c r="O2487">
        <f>-772.72477208728 -71.3785693673899 -719.305951904053</f>
        <v>-1563.4092933587231</v>
      </c>
      <c r="P2487">
        <f>-722.831898249178 -61.1474432408265 -406.908525636424</f>
        <v>-1190.8878671264285</v>
      </c>
      <c r="Q2487">
        <f>-470.390505918607 -7.57435890731153 -374.577383140916</f>
        <v>-852.54224796683457</v>
      </c>
      <c r="R2487" t="s">
        <v>51660</v>
      </c>
      <c r="S2487" t="s">
        <v>51661</v>
      </c>
      <c r="T2487" t="s">
        <v>51662</v>
      </c>
      <c r="U2487" t="s">
        <v>51663</v>
      </c>
      <c r="V2487" t="s">
        <v>51664</v>
      </c>
      <c r="W2487" t="s">
        <v>51665</v>
      </c>
      <c r="X2487" t="s">
        <v>51666</v>
      </c>
      <c r="Y2487" t="s">
        <v>51667</v>
      </c>
    </row>
    <row r="2488" spans="1:25" x14ac:dyDescent="0.3">
      <c r="A2488">
        <v>124350</v>
      </c>
      <c r="B2488" t="s">
        <v>51668</v>
      </c>
      <c r="C2488" t="s">
        <v>51669</v>
      </c>
      <c r="D2488" t="s">
        <v>51670</v>
      </c>
      <c r="E2488" t="s">
        <v>51671</v>
      </c>
      <c r="F2488" t="s">
        <v>51672</v>
      </c>
      <c r="G2488" t="s">
        <v>51673</v>
      </c>
      <c r="H2488" t="s">
        <v>51674</v>
      </c>
      <c r="I2488" t="s">
        <v>51675</v>
      </c>
      <c r="J2488" t="s">
        <v>51676</v>
      </c>
      <c r="K2488" t="s">
        <v>51677</v>
      </c>
      <c r="L2488" t="s">
        <v>51678</v>
      </c>
      <c r="M2488" t="s">
        <v>51679</v>
      </c>
      <c r="N2488" t="s">
        <v>51680</v>
      </c>
      <c r="O2488">
        <f>-773.050697780022 -71.2047574647784 -719.276080688932</f>
        <v>-1563.5315359337324</v>
      </c>
      <c r="P2488">
        <f>-723.317401215286 -60.9918905892996 -406.852594937171</f>
        <v>-1191.1618867417567</v>
      </c>
      <c r="Q2488">
        <f>-470.953903148896 -6.9486429710671 -374.696130359864</f>
        <v>-852.59867647982719</v>
      </c>
      <c r="R2488" t="s">
        <v>51681</v>
      </c>
      <c r="S2488" t="s">
        <v>51682</v>
      </c>
      <c r="T2488" t="s">
        <v>51683</v>
      </c>
      <c r="U2488" t="s">
        <v>51684</v>
      </c>
      <c r="V2488" t="s">
        <v>51685</v>
      </c>
      <c r="W2488" t="s">
        <v>51686</v>
      </c>
      <c r="X2488" t="s">
        <v>51687</v>
      </c>
      <c r="Y2488" t="s">
        <v>51688</v>
      </c>
    </row>
    <row r="2489" spans="1:25" x14ac:dyDescent="0.3">
      <c r="A2489">
        <v>124400</v>
      </c>
      <c r="B2489" t="s">
        <v>51689</v>
      </c>
      <c r="C2489" t="s">
        <v>51690</v>
      </c>
      <c r="D2489" t="s">
        <v>51691</v>
      </c>
      <c r="E2489" t="s">
        <v>51692</v>
      </c>
      <c r="F2489" t="s">
        <v>51693</v>
      </c>
      <c r="G2489" t="s">
        <v>51694</v>
      </c>
      <c r="H2489" t="s">
        <v>51695</v>
      </c>
      <c r="I2489" t="s">
        <v>51696</v>
      </c>
      <c r="J2489" t="s">
        <v>51697</v>
      </c>
      <c r="K2489" t="s">
        <v>51698</v>
      </c>
      <c r="L2489" t="s">
        <v>51699</v>
      </c>
      <c r="M2489" t="s">
        <v>51700</v>
      </c>
      <c r="N2489" t="s">
        <v>51701</v>
      </c>
      <c r="O2489">
        <f>-773.269715479709 -71.0550721925752 -719.318755018076</f>
        <v>-1563.6435426903602</v>
      </c>
      <c r="P2489">
        <f>-723.528562542529 -60.8872888954179 -406.895054103629</f>
        <v>-1191.3109055415759</v>
      </c>
      <c r="Q2489">
        <f>-471.196791809064 -6.69412772494911 -374.741384977527</f>
        <v>-852.63230451154004</v>
      </c>
      <c r="R2489" t="s">
        <v>51702</v>
      </c>
      <c r="S2489" t="s">
        <v>51703</v>
      </c>
      <c r="T2489" t="s">
        <v>51704</v>
      </c>
      <c r="U2489" t="s">
        <v>51705</v>
      </c>
      <c r="V2489" t="s">
        <v>51706</v>
      </c>
      <c r="W2489" t="s">
        <v>51707</v>
      </c>
      <c r="X2489" t="s">
        <v>51708</v>
      </c>
      <c r="Y2489" t="s">
        <v>51709</v>
      </c>
    </row>
    <row r="2490" spans="1:25" x14ac:dyDescent="0.3">
      <c r="A2490">
        <v>124450</v>
      </c>
      <c r="B2490" t="s">
        <v>51710</v>
      </c>
      <c r="C2490" t="s">
        <v>51711</v>
      </c>
      <c r="D2490" t="s">
        <v>51712</v>
      </c>
      <c r="E2490" t="s">
        <v>51713</v>
      </c>
      <c r="F2490" t="s">
        <v>51714</v>
      </c>
      <c r="G2490" t="s">
        <v>51715</v>
      </c>
      <c r="H2490" t="s">
        <v>51716</v>
      </c>
      <c r="I2490" t="s">
        <v>51717</v>
      </c>
      <c r="J2490" t="s">
        <v>51718</v>
      </c>
      <c r="K2490" t="s">
        <v>51719</v>
      </c>
      <c r="L2490" t="s">
        <v>51720</v>
      </c>
      <c r="M2490" t="s">
        <v>51721</v>
      </c>
      <c r="N2490" t="s">
        <v>51722</v>
      </c>
      <c r="O2490">
        <f>-773.786888071057 -70.6079669454814 -719.393582108959</f>
        <v>-1563.7884371254972</v>
      </c>
      <c r="P2490">
        <f>-723.924348918779 -60.5858680017411 -406.984494905392</f>
        <v>-1191.494711825912</v>
      </c>
      <c r="Q2490">
        <f>-471.633704877193 -6.23657672521722 -374.772109611601</f>
        <v>-852.64239121401124</v>
      </c>
      <c r="R2490" t="s">
        <v>51723</v>
      </c>
      <c r="S2490" t="s">
        <v>51724</v>
      </c>
      <c r="T2490" t="s">
        <v>51725</v>
      </c>
      <c r="U2490" t="s">
        <v>51726</v>
      </c>
      <c r="V2490" t="s">
        <v>51727</v>
      </c>
      <c r="W2490" t="s">
        <v>51728</v>
      </c>
      <c r="X2490" t="s">
        <v>51729</v>
      </c>
      <c r="Y2490" t="s">
        <v>51730</v>
      </c>
    </row>
    <row r="2491" spans="1:25" x14ac:dyDescent="0.3">
      <c r="A2491">
        <v>124500</v>
      </c>
      <c r="B2491" t="s">
        <v>51731</v>
      </c>
      <c r="C2491" t="s">
        <v>51732</v>
      </c>
      <c r="D2491" t="s">
        <v>51733</v>
      </c>
      <c r="E2491" t="s">
        <v>51734</v>
      </c>
      <c r="F2491" t="s">
        <v>51735</v>
      </c>
      <c r="G2491" t="s">
        <v>51736</v>
      </c>
      <c r="H2491" t="s">
        <v>51737</v>
      </c>
      <c r="I2491" t="s">
        <v>51738</v>
      </c>
      <c r="J2491" t="s">
        <v>51739</v>
      </c>
      <c r="K2491" t="s">
        <v>51740</v>
      </c>
      <c r="L2491" t="s">
        <v>51741</v>
      </c>
      <c r="M2491" t="s">
        <v>51742</v>
      </c>
      <c r="N2491" t="s">
        <v>51743</v>
      </c>
      <c r="O2491">
        <f>-774.038969969853 -70.3473388644254 -719.468110379168</f>
        <v>-1563.8544192134464</v>
      </c>
      <c r="P2491">
        <f>-724.21687168017 -60.2455374140477 -407.055035082765</f>
        <v>-1191.5174441769827</v>
      </c>
      <c r="Q2491">
        <f>-471.928565026688 -5.87530492847623 -374.859695973567</f>
        <v>-852.66356592873126</v>
      </c>
      <c r="R2491" t="s">
        <v>51744</v>
      </c>
      <c r="S2491" t="s">
        <v>51745</v>
      </c>
      <c r="T2491" t="s">
        <v>51746</v>
      </c>
      <c r="U2491" t="s">
        <v>51747</v>
      </c>
      <c r="V2491" t="s">
        <v>51748</v>
      </c>
      <c r="W2491" t="s">
        <v>51749</v>
      </c>
      <c r="X2491" t="s">
        <v>51750</v>
      </c>
      <c r="Y2491" t="s">
        <v>51751</v>
      </c>
    </row>
    <row r="2492" spans="1:25" x14ac:dyDescent="0.3">
      <c r="A2492">
        <v>124550</v>
      </c>
      <c r="B2492" t="s">
        <v>51752</v>
      </c>
      <c r="C2492" t="s">
        <v>51753</v>
      </c>
      <c r="D2492" t="s">
        <v>51754</v>
      </c>
      <c r="E2492" t="s">
        <v>51755</v>
      </c>
      <c r="F2492" t="s">
        <v>51756</v>
      </c>
      <c r="G2492" t="s">
        <v>51757</v>
      </c>
      <c r="H2492" t="s">
        <v>51758</v>
      </c>
      <c r="I2492" t="s">
        <v>51759</v>
      </c>
      <c r="J2492" t="s">
        <v>51760</v>
      </c>
      <c r="K2492" t="s">
        <v>51761</v>
      </c>
      <c r="L2492" t="s">
        <v>51762</v>
      </c>
      <c r="M2492" t="s">
        <v>51763</v>
      </c>
      <c r="N2492" t="s">
        <v>51764</v>
      </c>
      <c r="O2492">
        <f>-774.408873780596 -69.6344636123652 -719.696790307421</f>
        <v>-1563.7401277003821</v>
      </c>
      <c r="P2492">
        <f>-724.722016634149 -60.4575957229547 -407.233683985947</f>
        <v>-1192.4132963430507</v>
      </c>
      <c r="Q2492">
        <f>-472.488592510456 -5.7957593606186 -375.102314976524</f>
        <v>-853.38666684759858</v>
      </c>
      <c r="R2492" t="s">
        <v>51765</v>
      </c>
      <c r="S2492" t="s">
        <v>51766</v>
      </c>
      <c r="T2492" t="s">
        <v>51767</v>
      </c>
      <c r="U2492" t="s">
        <v>51768</v>
      </c>
      <c r="V2492" t="s">
        <v>51769</v>
      </c>
      <c r="W2492" t="s">
        <v>51770</v>
      </c>
      <c r="X2492" t="s">
        <v>51771</v>
      </c>
      <c r="Y2492" t="s">
        <v>51772</v>
      </c>
    </row>
    <row r="2493" spans="1:25" x14ac:dyDescent="0.3">
      <c r="A2493">
        <v>124600</v>
      </c>
      <c r="B2493" t="s">
        <v>51773</v>
      </c>
      <c r="C2493" t="s">
        <v>51774</v>
      </c>
      <c r="D2493" t="s">
        <v>51775</v>
      </c>
      <c r="E2493" t="s">
        <v>51776</v>
      </c>
      <c r="F2493" t="s">
        <v>51777</v>
      </c>
      <c r="G2493" t="s">
        <v>51778</v>
      </c>
      <c r="H2493" t="s">
        <v>51779</v>
      </c>
      <c r="I2493" t="s">
        <v>51780</v>
      </c>
      <c r="J2493" t="s">
        <v>51781</v>
      </c>
      <c r="K2493" t="s">
        <v>51782</v>
      </c>
      <c r="L2493" t="s">
        <v>51783</v>
      </c>
      <c r="M2493" t="s">
        <v>51784</v>
      </c>
      <c r="N2493" t="s">
        <v>51785</v>
      </c>
      <c r="O2493">
        <f>-774.537907225066 -69.280839140715 -719.807211920817</f>
        <v>-1563.625958286598</v>
      </c>
      <c r="P2493">
        <f>-724.686145023495 -60.326744240748 -407.363978396</f>
        <v>-1192.3768676602431</v>
      </c>
      <c r="Q2493">
        <f>-472.480240065157 -5.57220693001864 -375.173797703192</f>
        <v>-853.22624469836762</v>
      </c>
      <c r="R2493" t="s">
        <v>51786</v>
      </c>
      <c r="S2493" t="s">
        <v>51787</v>
      </c>
      <c r="T2493" t="s">
        <v>51788</v>
      </c>
      <c r="U2493" t="s">
        <v>51789</v>
      </c>
      <c r="V2493" t="s">
        <v>51790</v>
      </c>
      <c r="W2493" t="s">
        <v>51791</v>
      </c>
      <c r="X2493" t="s">
        <v>51792</v>
      </c>
      <c r="Y2493" t="s">
        <v>51793</v>
      </c>
    </row>
    <row r="2494" spans="1:25" x14ac:dyDescent="0.3">
      <c r="A2494">
        <v>124650</v>
      </c>
      <c r="B2494" t="s">
        <v>51794</v>
      </c>
      <c r="C2494" t="s">
        <v>51795</v>
      </c>
      <c r="D2494" t="s">
        <v>51796</v>
      </c>
      <c r="E2494" t="s">
        <v>51797</v>
      </c>
      <c r="F2494" t="s">
        <v>51798</v>
      </c>
      <c r="G2494" t="s">
        <v>51799</v>
      </c>
      <c r="H2494" t="s">
        <v>51800</v>
      </c>
      <c r="I2494" t="s">
        <v>51801</v>
      </c>
      <c r="J2494" t="s">
        <v>51802</v>
      </c>
      <c r="K2494" t="s">
        <v>51803</v>
      </c>
      <c r="L2494" t="s">
        <v>51804</v>
      </c>
      <c r="M2494" t="s">
        <v>51805</v>
      </c>
      <c r="N2494" t="s">
        <v>51806</v>
      </c>
      <c r="O2494">
        <f>-774.768559882388 -68.99997683479 -719.9068082699</f>
        <v>-1563.675344987078</v>
      </c>
      <c r="P2494">
        <f>-724.974760236171 -60.0873243239696 -407.453206820048</f>
        <v>-1192.5152913801887</v>
      </c>
      <c r="Q2494">
        <f>-472.831753667096 -5.15268884247553 -375.078776446746</f>
        <v>-853.06321895631754</v>
      </c>
      <c r="R2494" t="s">
        <v>51807</v>
      </c>
      <c r="S2494" t="s">
        <v>51808</v>
      </c>
      <c r="T2494" t="s">
        <v>51809</v>
      </c>
      <c r="U2494" t="s">
        <v>51810</v>
      </c>
      <c r="V2494" t="s">
        <v>51811</v>
      </c>
      <c r="W2494" t="s">
        <v>51812</v>
      </c>
      <c r="X2494" t="s">
        <v>51813</v>
      </c>
      <c r="Y2494" t="s">
        <v>51814</v>
      </c>
    </row>
    <row r="2495" spans="1:25" x14ac:dyDescent="0.3">
      <c r="A2495">
        <v>124700</v>
      </c>
      <c r="B2495" t="s">
        <v>51815</v>
      </c>
      <c r="C2495" t="s">
        <v>51816</v>
      </c>
      <c r="D2495" t="s">
        <v>51817</v>
      </c>
      <c r="E2495" t="s">
        <v>51818</v>
      </c>
      <c r="F2495" t="s">
        <v>51819</v>
      </c>
      <c r="G2495" t="s">
        <v>51820</v>
      </c>
      <c r="H2495" t="s">
        <v>51821</v>
      </c>
      <c r="I2495" t="s">
        <v>51822</v>
      </c>
      <c r="J2495" t="s">
        <v>51823</v>
      </c>
      <c r="K2495" t="s">
        <v>51824</v>
      </c>
      <c r="L2495" t="s">
        <v>51825</v>
      </c>
      <c r="M2495" t="s">
        <v>51826</v>
      </c>
      <c r="N2495" t="s">
        <v>51827</v>
      </c>
      <c r="O2495">
        <f>-774.781498765278 -68.8334348179985 -720.025272100708</f>
        <v>-1563.6402056839845</v>
      </c>
      <c r="P2495">
        <f>-725.223776936787 -60.0246276099206 -407.530952029879</f>
        <v>-1192.7793565765865</v>
      </c>
      <c r="Q2495">
        <f>-473.11600216167 -5.00399227841808 -375.028122350277</f>
        <v>-853.14811679036507</v>
      </c>
      <c r="R2495" t="s">
        <v>51828</v>
      </c>
      <c r="S2495" t="s">
        <v>51829</v>
      </c>
      <c r="T2495" t="s">
        <v>51830</v>
      </c>
      <c r="U2495" t="s">
        <v>51831</v>
      </c>
      <c r="V2495" t="s">
        <v>51832</v>
      </c>
      <c r="W2495" t="s">
        <v>51833</v>
      </c>
      <c r="X2495" t="s">
        <v>51834</v>
      </c>
      <c r="Y2495" t="s">
        <v>51835</v>
      </c>
    </row>
    <row r="2496" spans="1:25" x14ac:dyDescent="0.3">
      <c r="A2496">
        <v>124750</v>
      </c>
      <c r="B2496" t="s">
        <v>51836</v>
      </c>
      <c r="C2496" t="s">
        <v>51837</v>
      </c>
      <c r="D2496" t="s">
        <v>51838</v>
      </c>
      <c r="E2496" t="s">
        <v>51839</v>
      </c>
      <c r="F2496" t="s">
        <v>51840</v>
      </c>
      <c r="G2496" t="s">
        <v>51841</v>
      </c>
      <c r="H2496" t="s">
        <v>51842</v>
      </c>
      <c r="I2496" t="s">
        <v>51843</v>
      </c>
      <c r="J2496" t="s">
        <v>51844</v>
      </c>
      <c r="K2496" t="s">
        <v>51845</v>
      </c>
      <c r="L2496" t="s">
        <v>51846</v>
      </c>
      <c r="M2496" t="s">
        <v>51847</v>
      </c>
      <c r="N2496" t="s">
        <v>51848</v>
      </c>
      <c r="O2496">
        <f>-774.924826512548 -68.5173906995929 -720.213083663921</f>
        <v>-1563.6553008760618</v>
      </c>
      <c r="P2496">
        <f>-725.83253213794 -60.0770183691052 -407.635225683238</f>
        <v>-1193.5447761902833</v>
      </c>
      <c r="Q2496">
        <f>-473.768145095159 -5.02491597984522 -374.850509262309</f>
        <v>-853.64357033731324</v>
      </c>
      <c r="R2496" t="s">
        <v>51849</v>
      </c>
      <c r="S2496" t="s">
        <v>51850</v>
      </c>
      <c r="T2496" t="s">
        <v>51851</v>
      </c>
      <c r="U2496" t="s">
        <v>51852</v>
      </c>
      <c r="V2496" t="s">
        <v>51853</v>
      </c>
      <c r="W2496" t="s">
        <v>51854</v>
      </c>
      <c r="X2496" t="s">
        <v>51855</v>
      </c>
      <c r="Y2496" t="s">
        <v>51856</v>
      </c>
    </row>
    <row r="2497" spans="1:25" x14ac:dyDescent="0.3">
      <c r="A2497">
        <v>124800</v>
      </c>
      <c r="B2497" t="s">
        <v>51857</v>
      </c>
      <c r="C2497" t="s">
        <v>51858</v>
      </c>
      <c r="D2497" t="s">
        <v>51859</v>
      </c>
      <c r="E2497" t="s">
        <v>51860</v>
      </c>
      <c r="F2497" t="s">
        <v>51861</v>
      </c>
      <c r="G2497" t="s">
        <v>51862</v>
      </c>
      <c r="H2497" t="s">
        <v>51863</v>
      </c>
      <c r="I2497" t="s">
        <v>51864</v>
      </c>
      <c r="J2497" t="s">
        <v>51865</v>
      </c>
      <c r="K2497" t="s">
        <v>51866</v>
      </c>
      <c r="L2497" t="s">
        <v>51867</v>
      </c>
      <c r="M2497" t="s">
        <v>51868</v>
      </c>
      <c r="N2497" t="s">
        <v>51869</v>
      </c>
      <c r="O2497">
        <f>-775.056483222052 -68.3785603602962 -720.25475799381</f>
        <v>-1563.6898015761581</v>
      </c>
      <c r="P2497">
        <f>-726.051538759109 -59.9892125813428 -407.66185022685</f>
        <v>-1193.7026015673018</v>
      </c>
      <c r="Q2497">
        <f>-473.986385221481 -4.98226044257854 -374.807514741763</f>
        <v>-853.77616040582257</v>
      </c>
      <c r="R2497" t="s">
        <v>51870</v>
      </c>
      <c r="S2497" t="s">
        <v>51871</v>
      </c>
      <c r="T2497" t="s">
        <v>51872</v>
      </c>
      <c r="U2497" t="s">
        <v>51873</v>
      </c>
      <c r="V2497" t="s">
        <v>51874</v>
      </c>
      <c r="W2497" t="s">
        <v>51875</v>
      </c>
      <c r="X2497" t="s">
        <v>51876</v>
      </c>
      <c r="Y2497" t="s">
        <v>51877</v>
      </c>
    </row>
    <row r="2498" spans="1:25" x14ac:dyDescent="0.3">
      <c r="A2498">
        <v>124850</v>
      </c>
      <c r="B2498" t="s">
        <v>51878</v>
      </c>
      <c r="C2498" t="s">
        <v>51879</v>
      </c>
      <c r="D2498" t="s">
        <v>51880</v>
      </c>
      <c r="E2498" t="s">
        <v>51881</v>
      </c>
      <c r="F2498" t="s">
        <v>51882</v>
      </c>
      <c r="G2498" t="s">
        <v>51883</v>
      </c>
      <c r="H2498" t="s">
        <v>51884</v>
      </c>
      <c r="I2498" t="s">
        <v>51885</v>
      </c>
      <c r="J2498" t="s">
        <v>51886</v>
      </c>
      <c r="K2498" t="s">
        <v>51887</v>
      </c>
      <c r="L2498" t="s">
        <v>51888</v>
      </c>
      <c r="M2498" t="s">
        <v>51889</v>
      </c>
      <c r="N2498" t="s">
        <v>51890</v>
      </c>
      <c r="O2498">
        <f>-775.02658359047 -68.0455856498713 -720.408349538182</f>
        <v>-1563.4805187785232</v>
      </c>
      <c r="P2498">
        <f>-726.267932530732 -59.7960474907907 -407.773243861727</f>
        <v>-1193.8372238832496</v>
      </c>
      <c r="Q2498">
        <f>-474.256986917431 -4.68298486737012 -374.681473529654</f>
        <v>-853.62144531445506</v>
      </c>
      <c r="R2498" t="s">
        <v>51891</v>
      </c>
      <c r="S2498" t="s">
        <v>51892</v>
      </c>
      <c r="T2498" t="s">
        <v>51893</v>
      </c>
      <c r="U2498" t="s">
        <v>51894</v>
      </c>
      <c r="V2498" t="s">
        <v>51895</v>
      </c>
      <c r="W2498" t="s">
        <v>51896</v>
      </c>
      <c r="X2498" t="s">
        <v>51897</v>
      </c>
      <c r="Y2498" t="s">
        <v>51898</v>
      </c>
    </row>
    <row r="2499" spans="1:25" x14ac:dyDescent="0.3">
      <c r="A2499">
        <v>124900</v>
      </c>
      <c r="B2499" t="s">
        <v>51899</v>
      </c>
      <c r="C2499" t="s">
        <v>51900</v>
      </c>
      <c r="D2499" t="s">
        <v>51901</v>
      </c>
      <c r="E2499" t="s">
        <v>51902</v>
      </c>
      <c r="F2499" t="s">
        <v>51903</v>
      </c>
      <c r="G2499" t="s">
        <v>51904</v>
      </c>
      <c r="H2499" t="s">
        <v>51905</v>
      </c>
      <c r="I2499" t="s">
        <v>51906</v>
      </c>
      <c r="J2499" t="s">
        <v>51907</v>
      </c>
      <c r="K2499" t="s">
        <v>51908</v>
      </c>
      <c r="L2499" t="s">
        <v>51909</v>
      </c>
      <c r="M2499" t="s">
        <v>51910</v>
      </c>
      <c r="N2499" t="s">
        <v>51911</v>
      </c>
      <c r="O2499">
        <f>-774.913702050183 -67.9768666112848 -720.47347370673</f>
        <v>-1563.3640423681977</v>
      </c>
      <c r="P2499">
        <f>-726.434847582642 -59.7501998526459 -407.794310902621</f>
        <v>-1193.9793583379089</v>
      </c>
      <c r="Q2499">
        <f>-474.456729183373 -4.58474760575382 -374.539927148905</f>
        <v>-853.58140393803183</v>
      </c>
      <c r="R2499" t="s">
        <v>51912</v>
      </c>
      <c r="S2499" t="s">
        <v>51913</v>
      </c>
      <c r="T2499" t="s">
        <v>51914</v>
      </c>
      <c r="U2499" t="s">
        <v>51915</v>
      </c>
      <c r="V2499" t="s">
        <v>51916</v>
      </c>
      <c r="W2499" t="s">
        <v>51917</v>
      </c>
      <c r="X2499" t="s">
        <v>51918</v>
      </c>
      <c r="Y2499" t="s">
        <v>51919</v>
      </c>
    </row>
    <row r="2500" spans="1:25" x14ac:dyDescent="0.3">
      <c r="A2500">
        <v>124950</v>
      </c>
      <c r="B2500" t="s">
        <v>51920</v>
      </c>
      <c r="C2500" t="s">
        <v>51921</v>
      </c>
      <c r="D2500" t="s">
        <v>51922</v>
      </c>
      <c r="E2500" t="s">
        <v>51923</v>
      </c>
      <c r="F2500" t="s">
        <v>51924</v>
      </c>
      <c r="G2500" t="s">
        <v>51925</v>
      </c>
      <c r="H2500" t="s">
        <v>51926</v>
      </c>
      <c r="I2500" t="s">
        <v>51927</v>
      </c>
      <c r="J2500" t="s">
        <v>51928</v>
      </c>
      <c r="K2500" t="s">
        <v>51929</v>
      </c>
      <c r="L2500" t="s">
        <v>51930</v>
      </c>
      <c r="M2500" t="s">
        <v>51931</v>
      </c>
      <c r="N2500" t="s">
        <v>51932</v>
      </c>
      <c r="O2500">
        <f>-774.330403196779 -68.1919348054846 -720.640843049398</f>
        <v>-1563.1631810516615</v>
      </c>
      <c r="P2500">
        <f>-726.504562820598 -59.9245309887262 -407.862149578733</f>
        <v>-1194.2912433880574</v>
      </c>
      <c r="Q2500">
        <f>-474.537376558449 -4.89878404620481 -374.295465888039</f>
        <v>-853.73162649269284</v>
      </c>
      <c r="R2500" t="s">
        <v>51933</v>
      </c>
      <c r="S2500" t="s">
        <v>51934</v>
      </c>
      <c r="T2500" t="s">
        <v>51935</v>
      </c>
      <c r="U2500" t="s">
        <v>51936</v>
      </c>
      <c r="V2500" t="s">
        <v>51937</v>
      </c>
      <c r="W2500" t="s">
        <v>51938</v>
      </c>
      <c r="X2500" t="s">
        <v>51939</v>
      </c>
      <c r="Y2500" t="s">
        <v>51940</v>
      </c>
    </row>
    <row r="2501" spans="1:25" x14ac:dyDescent="0.3">
      <c r="A2501">
        <v>125000</v>
      </c>
      <c r="B2501" t="s">
        <v>51941</v>
      </c>
      <c r="C2501" t="s">
        <v>51942</v>
      </c>
      <c r="D2501" t="s">
        <v>51943</v>
      </c>
      <c r="E2501" t="s">
        <v>51944</v>
      </c>
      <c r="F2501" t="s">
        <v>51945</v>
      </c>
      <c r="G2501" t="s">
        <v>51946</v>
      </c>
      <c r="H2501" t="s">
        <v>51947</v>
      </c>
      <c r="I2501" t="s">
        <v>51948</v>
      </c>
      <c r="J2501" t="s">
        <v>51949</v>
      </c>
      <c r="K2501" t="s">
        <v>51950</v>
      </c>
      <c r="L2501" t="s">
        <v>51951</v>
      </c>
      <c r="M2501" t="s">
        <v>51952</v>
      </c>
      <c r="N2501" t="s">
        <v>51953</v>
      </c>
      <c r="O2501">
        <f>-774.071488599221 -68.3397392038196 -720.713359392008</f>
        <v>-1563.1245871950487</v>
      </c>
      <c r="P2501">
        <f>-726.578837921965 -60.0066986165398 -407.885649996079</f>
        <v>-1194.4711865345839</v>
      </c>
      <c r="Q2501">
        <f>-474.577952182094 -5.19187790579713 -374.226657696103</f>
        <v>-853.9964877839941</v>
      </c>
      <c r="R2501" t="s">
        <v>51954</v>
      </c>
      <c r="S2501" t="s">
        <v>51955</v>
      </c>
      <c r="T2501" t="s">
        <v>51956</v>
      </c>
      <c r="U2501" t="s">
        <v>51957</v>
      </c>
      <c r="V2501" t="s">
        <v>51958</v>
      </c>
      <c r="W2501" t="s">
        <v>51959</v>
      </c>
      <c r="X2501" t="s">
        <v>51960</v>
      </c>
      <c r="Y2501" t="s">
        <v>51961</v>
      </c>
    </row>
    <row r="2502" spans="1:25" x14ac:dyDescent="0.3">
      <c r="A2502">
        <v>125050</v>
      </c>
      <c r="B2502" t="s">
        <v>51962</v>
      </c>
      <c r="C2502" t="s">
        <v>51963</v>
      </c>
      <c r="D2502" t="s">
        <v>51964</v>
      </c>
      <c r="E2502" t="s">
        <v>51965</v>
      </c>
      <c r="F2502" t="s">
        <v>51966</v>
      </c>
      <c r="G2502" t="s">
        <v>51967</v>
      </c>
      <c r="H2502" t="s">
        <v>51968</v>
      </c>
      <c r="I2502" t="s">
        <v>51969</v>
      </c>
      <c r="J2502" t="s">
        <v>51970</v>
      </c>
      <c r="K2502" t="s">
        <v>51971</v>
      </c>
      <c r="L2502" t="s">
        <v>51972</v>
      </c>
      <c r="M2502" t="s">
        <v>51973</v>
      </c>
      <c r="N2502" t="s">
        <v>51974</v>
      </c>
      <c r="O2502">
        <f>-772.956173150277 -68.6264053140339 -721.057139443685</f>
        <v>-1562.6397179079959</v>
      </c>
      <c r="P2502">
        <f>-726.618302224087 -60.3825201069531 -408.053725238221</f>
        <v>-1195.0545475692611</v>
      </c>
      <c r="Q2502">
        <f>-474.594184200166 -5.93830477453275 -373.969370960327</f>
        <v>-854.50185993502578</v>
      </c>
      <c r="R2502" t="s">
        <v>51975</v>
      </c>
      <c r="S2502" t="s">
        <v>51976</v>
      </c>
      <c r="T2502" t="s">
        <v>51977</v>
      </c>
      <c r="U2502" t="s">
        <v>51978</v>
      </c>
      <c r="V2502" t="s">
        <v>51979</v>
      </c>
      <c r="W2502" t="s">
        <v>51980</v>
      </c>
      <c r="X2502" t="s">
        <v>51981</v>
      </c>
      <c r="Y2502" t="s">
        <v>51982</v>
      </c>
    </row>
    <row r="2503" spans="1:25" x14ac:dyDescent="0.3">
      <c r="A2503">
        <v>125100</v>
      </c>
      <c r="B2503" t="s">
        <v>51983</v>
      </c>
      <c r="C2503" t="s">
        <v>51984</v>
      </c>
      <c r="D2503" t="s">
        <v>51985</v>
      </c>
      <c r="E2503" t="s">
        <v>51986</v>
      </c>
      <c r="F2503" t="s">
        <v>51987</v>
      </c>
      <c r="G2503" t="s">
        <v>51988</v>
      </c>
      <c r="H2503" t="s">
        <v>51989</v>
      </c>
      <c r="I2503" t="s">
        <v>51990</v>
      </c>
      <c r="J2503" t="s">
        <v>51991</v>
      </c>
      <c r="K2503" t="s">
        <v>51992</v>
      </c>
      <c r="L2503" t="s">
        <v>51993</v>
      </c>
      <c r="M2503" t="s">
        <v>51994</v>
      </c>
      <c r="N2503" t="s">
        <v>51995</v>
      </c>
      <c r="O2503">
        <f>-772.240778746783 -68.6808221333752 -721.318573198025</f>
        <v>-1562.2401740781831</v>
      </c>
      <c r="P2503">
        <f>-726.758206234239 -60.3823671194825 -408.191303611421</f>
        <v>-1195.3318769651426</v>
      </c>
      <c r="Q2503">
        <f>-474.759901287182 -6.09793598493775 -373.664615945703</f>
        <v>-854.52245321782277</v>
      </c>
      <c r="R2503" t="s">
        <v>51996</v>
      </c>
      <c r="S2503" t="s">
        <v>51997</v>
      </c>
      <c r="T2503" t="s">
        <v>51998</v>
      </c>
      <c r="U2503" t="s">
        <v>51999</v>
      </c>
      <c r="V2503" t="s">
        <v>52000</v>
      </c>
      <c r="W2503" t="s">
        <v>52001</v>
      </c>
      <c r="X2503" t="s">
        <v>52002</v>
      </c>
      <c r="Y2503" t="s">
        <v>52003</v>
      </c>
    </row>
    <row r="2504" spans="1:25" x14ac:dyDescent="0.3">
      <c r="A2504">
        <v>125150</v>
      </c>
      <c r="B2504" t="s">
        <v>52004</v>
      </c>
      <c r="C2504" t="s">
        <v>52005</v>
      </c>
      <c r="D2504" t="s">
        <v>52006</v>
      </c>
      <c r="E2504" t="s">
        <v>52007</v>
      </c>
      <c r="F2504" t="s">
        <v>52008</v>
      </c>
      <c r="G2504" t="s">
        <v>52009</v>
      </c>
      <c r="H2504" t="s">
        <v>52010</v>
      </c>
      <c r="I2504" t="s">
        <v>52011</v>
      </c>
      <c r="J2504" t="s">
        <v>52012</v>
      </c>
      <c r="K2504" t="s">
        <v>52013</v>
      </c>
      <c r="L2504" t="s">
        <v>52014</v>
      </c>
      <c r="M2504" t="s">
        <v>52015</v>
      </c>
      <c r="N2504" t="s">
        <v>52016</v>
      </c>
      <c r="O2504">
        <f>-770.642340120758 -68.7953949385201 -721.933907324055</f>
        <v>-1561.371642383333</v>
      </c>
      <c r="P2504">
        <f>-726.836943527428 -60.7304750113176 -408.561503831833</f>
        <v>-1196.1289223705787</v>
      </c>
      <c r="Q2504">
        <f>-474.894010382223 -6.68942304526149 -373.257442976684</f>
        <v>-854.84087640416851</v>
      </c>
      <c r="R2504" t="s">
        <v>52017</v>
      </c>
      <c r="S2504" t="s">
        <v>52018</v>
      </c>
      <c r="T2504" t="s">
        <v>52019</v>
      </c>
      <c r="U2504" t="s">
        <v>52020</v>
      </c>
      <c r="V2504" t="s">
        <v>52021</v>
      </c>
      <c r="W2504" t="s">
        <v>52022</v>
      </c>
      <c r="X2504" t="s">
        <v>52023</v>
      </c>
      <c r="Y2504" t="s">
        <v>52024</v>
      </c>
    </row>
    <row r="2505" spans="1:25" x14ac:dyDescent="0.3">
      <c r="A2505">
        <v>125200</v>
      </c>
      <c r="B2505" t="s">
        <v>52025</v>
      </c>
      <c r="C2505" t="s">
        <v>52026</v>
      </c>
      <c r="D2505" t="s">
        <v>52027</v>
      </c>
      <c r="E2505" t="s">
        <v>52028</v>
      </c>
      <c r="F2505" t="s">
        <v>52029</v>
      </c>
      <c r="G2505" t="s">
        <v>52030</v>
      </c>
      <c r="H2505" t="s">
        <v>52031</v>
      </c>
      <c r="I2505" t="s">
        <v>52032</v>
      </c>
      <c r="J2505" t="s">
        <v>52033</v>
      </c>
      <c r="K2505" t="s">
        <v>52034</v>
      </c>
      <c r="L2505" t="s">
        <v>52035</v>
      </c>
      <c r="M2505" t="s">
        <v>52036</v>
      </c>
      <c r="N2505" t="s">
        <v>52037</v>
      </c>
      <c r="O2505">
        <f>-769.654684589933 -68.7704136615262 -722.285477506069</f>
        <v>-1560.7105757575282</v>
      </c>
      <c r="P2505">
        <f>-726.509431463645 -60.8052589668666 -408.81915002643</f>
        <v>-1196.1338404569417</v>
      </c>
      <c r="Q2505">
        <f>-474.548910686573 -7.03440760274452 -373.22931267997</f>
        <v>-854.81263096928751</v>
      </c>
      <c r="R2505" t="s">
        <v>52038</v>
      </c>
      <c r="S2505" t="s">
        <v>52039</v>
      </c>
      <c r="T2505" t="s">
        <v>52040</v>
      </c>
      <c r="U2505" t="s">
        <v>52041</v>
      </c>
      <c r="V2505" t="s">
        <v>52042</v>
      </c>
      <c r="W2505" t="s">
        <v>52043</v>
      </c>
      <c r="X2505" t="s">
        <v>52044</v>
      </c>
      <c r="Y2505" t="s">
        <v>52045</v>
      </c>
    </row>
    <row r="2506" spans="1:25" x14ac:dyDescent="0.3">
      <c r="A2506">
        <v>125250</v>
      </c>
      <c r="B2506" t="s">
        <v>52046</v>
      </c>
      <c r="C2506" t="s">
        <v>52047</v>
      </c>
      <c r="D2506" t="s">
        <v>52048</v>
      </c>
      <c r="E2506" t="s">
        <v>52049</v>
      </c>
      <c r="F2506" t="s">
        <v>52050</v>
      </c>
      <c r="G2506" t="s">
        <v>52051</v>
      </c>
      <c r="H2506" t="s">
        <v>52052</v>
      </c>
      <c r="I2506" t="s">
        <v>52053</v>
      </c>
      <c r="J2506" t="s">
        <v>52054</v>
      </c>
      <c r="K2506" t="s">
        <v>52055</v>
      </c>
      <c r="L2506" t="s">
        <v>52056</v>
      </c>
      <c r="M2506" t="s">
        <v>52057</v>
      </c>
      <c r="N2506" t="s">
        <v>52058</v>
      </c>
      <c r="O2506">
        <f>-766.834726587154 -69.237879564771 -722.934390923126</f>
        <v>-1559.006997075051</v>
      </c>
      <c r="P2506">
        <f>-726.60858554109 -61.6989150885752 -409.06950991431</f>
        <v>-1197.3770105439751</v>
      </c>
      <c r="Q2506">
        <f>-474.648133441149 -8.29310206069431 -372.933528221134</f>
        <v>-855.87476372297738</v>
      </c>
      <c r="R2506" t="s">
        <v>52059</v>
      </c>
      <c r="S2506" t="s">
        <v>52060</v>
      </c>
      <c r="T2506" t="s">
        <v>52061</v>
      </c>
      <c r="U2506" t="s">
        <v>52062</v>
      </c>
      <c r="V2506" t="s">
        <v>52063</v>
      </c>
      <c r="W2506" t="s">
        <v>52064</v>
      </c>
      <c r="X2506" t="s">
        <v>52065</v>
      </c>
      <c r="Y2506" t="s">
        <v>52066</v>
      </c>
    </row>
    <row r="2507" spans="1:25" x14ac:dyDescent="0.3">
      <c r="A2507">
        <v>125300</v>
      </c>
      <c r="B2507" t="s">
        <v>52067</v>
      </c>
      <c r="C2507" t="s">
        <v>52068</v>
      </c>
      <c r="D2507" t="s">
        <v>52069</v>
      </c>
      <c r="E2507" t="s">
        <v>52070</v>
      </c>
      <c r="F2507" t="s">
        <v>52071</v>
      </c>
      <c r="G2507" t="s">
        <v>52072</v>
      </c>
      <c r="H2507" t="s">
        <v>52073</v>
      </c>
      <c r="I2507" t="s">
        <v>52074</v>
      </c>
      <c r="J2507" t="s">
        <v>52075</v>
      </c>
      <c r="K2507" t="s">
        <v>52076</v>
      </c>
      <c r="L2507" t="s">
        <v>52077</v>
      </c>
      <c r="M2507" t="s">
        <v>52078</v>
      </c>
      <c r="N2507" t="s">
        <v>52079</v>
      </c>
      <c r="O2507">
        <f>-764.696414277181 -69.5797013707033 -723.290700121094</f>
        <v>-1557.5668157689784</v>
      </c>
      <c r="P2507">
        <f>-726.479476126559 -62.3428882662956 -409.167652648559</f>
        <v>-1197.9900170414137</v>
      </c>
      <c r="Q2507">
        <f>-474.565421607111 -9.08797867814837 -372.489135267187</f>
        <v>-856.14253555244636</v>
      </c>
      <c r="R2507" t="s">
        <v>52080</v>
      </c>
      <c r="S2507" t="s">
        <v>52081</v>
      </c>
      <c r="T2507" t="s">
        <v>52082</v>
      </c>
      <c r="U2507" t="s">
        <v>52083</v>
      </c>
      <c r="V2507" t="s">
        <v>52084</v>
      </c>
      <c r="W2507" t="s">
        <v>52085</v>
      </c>
      <c r="X2507" t="s">
        <v>52086</v>
      </c>
      <c r="Y2507" t="s">
        <v>52087</v>
      </c>
    </row>
    <row r="2508" spans="1:25" x14ac:dyDescent="0.3">
      <c r="A2508">
        <v>125350</v>
      </c>
      <c r="B2508" t="s">
        <v>52088</v>
      </c>
      <c r="C2508" t="s">
        <v>52089</v>
      </c>
      <c r="D2508" t="s">
        <v>52090</v>
      </c>
      <c r="E2508" t="s">
        <v>52091</v>
      </c>
      <c r="F2508" t="s">
        <v>52092</v>
      </c>
      <c r="G2508" t="s">
        <v>52093</v>
      </c>
      <c r="H2508" t="s">
        <v>52094</v>
      </c>
      <c r="I2508" t="s">
        <v>52095</v>
      </c>
      <c r="J2508" t="s">
        <v>52096</v>
      </c>
      <c r="K2508" t="s">
        <v>52097</v>
      </c>
      <c r="L2508" t="s">
        <v>52098</v>
      </c>
      <c r="M2508" t="s">
        <v>52099</v>
      </c>
      <c r="N2508" t="s">
        <v>52100</v>
      </c>
      <c r="O2508">
        <f>-759.678983944543 -70.4994154536764 -724.085264770234</f>
        <v>-1554.2636641684535</v>
      </c>
      <c r="P2508">
        <f>-727.47908850564 -62.8106338558357 -409.299200780032</f>
        <v>-1199.5889231415076</v>
      </c>
      <c r="Q2508">
        <f>-475.828006362287 -9.43577100324319 -371.025334662683</f>
        <v>-856.28911202821314</v>
      </c>
      <c r="R2508" t="s">
        <v>52101</v>
      </c>
      <c r="S2508" t="s">
        <v>52102</v>
      </c>
      <c r="T2508" t="s">
        <v>52103</v>
      </c>
      <c r="U2508" t="s">
        <v>52104</v>
      </c>
      <c r="V2508" t="s">
        <v>52105</v>
      </c>
      <c r="W2508" t="s">
        <v>52106</v>
      </c>
      <c r="X2508" t="s">
        <v>52107</v>
      </c>
      <c r="Y2508" t="s">
        <v>52108</v>
      </c>
    </row>
    <row r="2509" spans="1:25" x14ac:dyDescent="0.3">
      <c r="A2509">
        <v>125400</v>
      </c>
      <c r="B2509" t="s">
        <v>52109</v>
      </c>
      <c r="C2509" t="s">
        <v>52110</v>
      </c>
      <c r="D2509" t="s">
        <v>52111</v>
      </c>
      <c r="E2509" t="s">
        <v>52112</v>
      </c>
      <c r="F2509" t="s">
        <v>52113</v>
      </c>
      <c r="G2509" t="s">
        <v>52114</v>
      </c>
      <c r="H2509" t="s">
        <v>52115</v>
      </c>
      <c r="I2509" t="s">
        <v>52116</v>
      </c>
      <c r="J2509" t="s">
        <v>52117</v>
      </c>
      <c r="K2509" t="s">
        <v>52118</v>
      </c>
      <c r="L2509" t="s">
        <v>52119</v>
      </c>
      <c r="M2509" t="s">
        <v>52120</v>
      </c>
      <c r="N2509" t="s">
        <v>52121</v>
      </c>
      <c r="O2509">
        <f>-756.591217713679 -71.0295386825235 -724.582560054614</f>
        <v>-1552.2033164508166</v>
      </c>
      <c r="P2509">
        <f>-728.113432656705 -62.9697751238659 -409.447380566298</f>
        <v>-1200.5305883468689</v>
      </c>
      <c r="Q2509">
        <f>-476.636619071167 -9.49607965833502 -370.178337690921</f>
        <v>-856.31103642042308</v>
      </c>
      <c r="R2509" t="s">
        <v>52122</v>
      </c>
      <c r="S2509" t="s">
        <v>52123</v>
      </c>
      <c r="T2509" t="s">
        <v>52124</v>
      </c>
      <c r="U2509" t="s">
        <v>52125</v>
      </c>
      <c r="V2509" t="s">
        <v>52126</v>
      </c>
      <c r="W2509" t="s">
        <v>52127</v>
      </c>
      <c r="X2509" t="s">
        <v>52128</v>
      </c>
      <c r="Y2509" t="s">
        <v>52129</v>
      </c>
    </row>
    <row r="2510" spans="1:25" x14ac:dyDescent="0.3">
      <c r="A2510">
        <v>125450</v>
      </c>
      <c r="B2510" t="s">
        <v>52130</v>
      </c>
      <c r="C2510" t="s">
        <v>52131</v>
      </c>
      <c r="D2510" t="s">
        <v>52132</v>
      </c>
      <c r="E2510" t="s">
        <v>52133</v>
      </c>
      <c r="F2510" t="s">
        <v>52134</v>
      </c>
      <c r="G2510" t="s">
        <v>52135</v>
      </c>
      <c r="H2510" t="s">
        <v>52136</v>
      </c>
      <c r="I2510" t="s">
        <v>52137</v>
      </c>
      <c r="J2510" t="s">
        <v>52138</v>
      </c>
      <c r="K2510" t="s">
        <v>52139</v>
      </c>
      <c r="L2510" t="s">
        <v>52140</v>
      </c>
      <c r="M2510" t="s">
        <v>52141</v>
      </c>
      <c r="N2510" t="s">
        <v>52142</v>
      </c>
      <c r="O2510">
        <f>-750.491881538321 -71.7670349124323 -725.537893239502</f>
        <v>-1547.7968096902553</v>
      </c>
      <c r="P2510">
        <f>-729.892788908972 -62.3594834272965 -409.827004984513</f>
        <v>-1202.0792773207813</v>
      </c>
      <c r="Q2510">
        <f>-478.818454505089 -8.60986129460366 -368.417840157166</f>
        <v>-855.84615595685864</v>
      </c>
      <c r="R2510" t="s">
        <v>52143</v>
      </c>
      <c r="S2510" t="s">
        <v>52144</v>
      </c>
      <c r="T2510" t="s">
        <v>52145</v>
      </c>
      <c r="U2510" t="s">
        <v>52146</v>
      </c>
      <c r="V2510" t="s">
        <v>52147</v>
      </c>
      <c r="W2510" t="s">
        <v>52148</v>
      </c>
      <c r="X2510" t="s">
        <v>52149</v>
      </c>
      <c r="Y2510" t="s">
        <v>52150</v>
      </c>
    </row>
    <row r="2511" spans="1:25" x14ac:dyDescent="0.3">
      <c r="A2511">
        <v>125500</v>
      </c>
      <c r="B2511" t="s">
        <v>52151</v>
      </c>
      <c r="C2511" t="s">
        <v>52152</v>
      </c>
      <c r="D2511" t="s">
        <v>52153</v>
      </c>
      <c r="E2511" t="s">
        <v>52154</v>
      </c>
      <c r="F2511" t="s">
        <v>52155</v>
      </c>
      <c r="G2511" t="s">
        <v>52156</v>
      </c>
      <c r="H2511" t="s">
        <v>52157</v>
      </c>
      <c r="I2511" t="s">
        <v>52158</v>
      </c>
      <c r="J2511" t="s">
        <v>52159</v>
      </c>
      <c r="K2511" t="s">
        <v>52160</v>
      </c>
      <c r="L2511" t="s">
        <v>52161</v>
      </c>
      <c r="M2511" t="s">
        <v>52162</v>
      </c>
      <c r="N2511" t="s">
        <v>52163</v>
      </c>
      <c r="O2511">
        <f>-747.313161192888 -72.0145129137452 -726.018509005835</f>
        <v>-1545.3461831124682</v>
      </c>
      <c r="P2511">
        <f>-730.55231611392 -62.0007934202872 -410.09923070135</f>
        <v>-1202.6523402355572</v>
      </c>
      <c r="Q2511">
        <f>-479.701389653272 -8.01404503580557 -367.65720578369</f>
        <v>-855.37264047276756</v>
      </c>
      <c r="R2511" t="s">
        <v>52164</v>
      </c>
      <c r="S2511" t="s">
        <v>52165</v>
      </c>
      <c r="T2511" t="s">
        <v>52166</v>
      </c>
      <c r="U2511" t="s">
        <v>52167</v>
      </c>
      <c r="V2511" t="s">
        <v>52168</v>
      </c>
      <c r="W2511" t="s">
        <v>52169</v>
      </c>
      <c r="X2511" t="s">
        <v>52170</v>
      </c>
      <c r="Y2511" t="s">
        <v>52171</v>
      </c>
    </row>
    <row r="2512" spans="1:25" x14ac:dyDescent="0.3">
      <c r="A2512">
        <v>125550</v>
      </c>
      <c r="B2512" t="s">
        <v>52172</v>
      </c>
      <c r="C2512" t="s">
        <v>52173</v>
      </c>
      <c r="D2512" t="s">
        <v>52174</v>
      </c>
      <c r="E2512" t="s">
        <v>52175</v>
      </c>
      <c r="F2512" t="s">
        <v>52176</v>
      </c>
      <c r="G2512" t="s">
        <v>52177</v>
      </c>
      <c r="H2512" t="s">
        <v>52178</v>
      </c>
      <c r="I2512" t="s">
        <v>52179</v>
      </c>
      <c r="J2512" t="s">
        <v>52180</v>
      </c>
      <c r="K2512" t="s">
        <v>52181</v>
      </c>
      <c r="L2512" t="s">
        <v>52182</v>
      </c>
      <c r="M2512" t="s">
        <v>52183</v>
      </c>
      <c r="N2512" t="s">
        <v>52184</v>
      </c>
      <c r="O2512">
        <f>-740.667019630796 -72.4790164927872 -726.999002373334</f>
        <v>-1540.1450384969171</v>
      </c>
      <c r="P2512">
        <f>-730.922867743144 -61.1410803618439 -410.830216118806</f>
        <v>-1202.894164223794</v>
      </c>
      <c r="Q2512">
        <f>-480.616444173323 -6.54434427540104 -366.020095002885</f>
        <v>-853.18088345160902</v>
      </c>
      <c r="R2512" t="s">
        <v>52185</v>
      </c>
      <c r="S2512" t="s">
        <v>52186</v>
      </c>
      <c r="T2512" t="s">
        <v>52187</v>
      </c>
      <c r="U2512" t="s">
        <v>52188</v>
      </c>
      <c r="V2512" t="s">
        <v>52189</v>
      </c>
      <c r="W2512" t="s">
        <v>52190</v>
      </c>
      <c r="X2512" t="s">
        <v>52191</v>
      </c>
      <c r="Y2512" t="s">
        <v>52192</v>
      </c>
    </row>
    <row r="2513" spans="1:25" x14ac:dyDescent="0.3">
      <c r="A2513">
        <v>125600</v>
      </c>
      <c r="B2513" t="s">
        <v>52193</v>
      </c>
      <c r="C2513" t="s">
        <v>52194</v>
      </c>
      <c r="D2513" t="s">
        <v>52195</v>
      </c>
      <c r="E2513" t="s">
        <v>52196</v>
      </c>
      <c r="F2513" t="s">
        <v>52197</v>
      </c>
      <c r="G2513" t="s">
        <v>52198</v>
      </c>
      <c r="H2513" t="s">
        <v>52199</v>
      </c>
      <c r="I2513" t="s">
        <v>52200</v>
      </c>
      <c r="J2513" t="s">
        <v>52201</v>
      </c>
      <c r="K2513" t="s">
        <v>52202</v>
      </c>
      <c r="L2513" t="s">
        <v>52203</v>
      </c>
      <c r="M2513" t="s">
        <v>52204</v>
      </c>
      <c r="N2513" t="s">
        <v>52205</v>
      </c>
      <c r="O2513">
        <f>-737.307335264958 -73.0519502285706 -727.349950524038</f>
        <v>-1537.7092360175666</v>
      </c>
      <c r="P2513">
        <f>-730.826363845983 -60.9271471345344 -411.126669596674</f>
        <v>-1202.8801805771914</v>
      </c>
      <c r="Q2513">
        <f>-480.825482904036 -5.95396860347091 -365.087874294179</f>
        <v>-851.86732580168587</v>
      </c>
      <c r="R2513" t="s">
        <v>52206</v>
      </c>
      <c r="S2513" t="s">
        <v>52207</v>
      </c>
      <c r="T2513" t="s">
        <v>52208</v>
      </c>
      <c r="U2513" t="s">
        <v>52209</v>
      </c>
      <c r="V2513" t="s">
        <v>52210</v>
      </c>
      <c r="W2513" t="s">
        <v>52211</v>
      </c>
      <c r="X2513" t="s">
        <v>52212</v>
      </c>
      <c r="Y2513" t="s">
        <v>52213</v>
      </c>
    </row>
    <row r="2514" spans="1:25" x14ac:dyDescent="0.3">
      <c r="A2514">
        <v>125650</v>
      </c>
      <c r="B2514" t="s">
        <v>52214</v>
      </c>
      <c r="C2514" t="s">
        <v>52215</v>
      </c>
      <c r="D2514" t="s">
        <v>52216</v>
      </c>
      <c r="E2514" t="s">
        <v>52217</v>
      </c>
      <c r="F2514" t="s">
        <v>52218</v>
      </c>
      <c r="G2514" t="s">
        <v>52219</v>
      </c>
      <c r="H2514" t="s">
        <v>52220</v>
      </c>
      <c r="I2514" t="s">
        <v>52221</v>
      </c>
      <c r="J2514" t="s">
        <v>52222</v>
      </c>
      <c r="K2514" t="s">
        <v>52223</v>
      </c>
      <c r="L2514" t="s">
        <v>52224</v>
      </c>
      <c r="M2514" t="s">
        <v>52225</v>
      </c>
      <c r="N2514" t="s">
        <v>52226</v>
      </c>
      <c r="O2514">
        <f>-730.411842979265 -74.5641071188561 -727.975261666175</f>
        <v>-1532.9512117642962</v>
      </c>
      <c r="P2514">
        <f>-730.170798446472 -60.7825495600341 -411.753504837458</f>
        <v>-1202.706852843964</v>
      </c>
      <c r="Q2514">
        <f>-480.762402821895 -5.12685589173543 -363.380184904037</f>
        <v>-849.26944361766743</v>
      </c>
      <c r="R2514" t="s">
        <v>52227</v>
      </c>
      <c r="S2514" t="s">
        <v>52228</v>
      </c>
      <c r="T2514" t="s">
        <v>52229</v>
      </c>
      <c r="U2514" t="s">
        <v>52230</v>
      </c>
      <c r="V2514" t="s">
        <v>52231</v>
      </c>
      <c r="W2514" t="s">
        <v>52232</v>
      </c>
      <c r="X2514" t="s">
        <v>52233</v>
      </c>
      <c r="Y2514" t="s">
        <v>52234</v>
      </c>
    </row>
    <row r="2515" spans="1:25" x14ac:dyDescent="0.3">
      <c r="A2515">
        <v>125700</v>
      </c>
      <c r="B2515" t="s">
        <v>52235</v>
      </c>
      <c r="C2515" t="s">
        <v>52236</v>
      </c>
      <c r="D2515" t="s">
        <v>52237</v>
      </c>
      <c r="E2515" t="s">
        <v>52238</v>
      </c>
      <c r="F2515" t="s">
        <v>52239</v>
      </c>
      <c r="G2515" t="s">
        <v>52240</v>
      </c>
      <c r="H2515" t="s">
        <v>52241</v>
      </c>
      <c r="I2515" t="s">
        <v>52242</v>
      </c>
      <c r="J2515" t="s">
        <v>52243</v>
      </c>
      <c r="K2515" t="s">
        <v>52244</v>
      </c>
      <c r="L2515" t="s">
        <v>52245</v>
      </c>
      <c r="M2515" t="s">
        <v>52246</v>
      </c>
      <c r="N2515" t="s">
        <v>52247</v>
      </c>
      <c r="O2515">
        <f>-726.872487108493 -75.4710594275837 -728.325922209411</f>
        <v>-1530.6694687454878</v>
      </c>
      <c r="P2515">
        <f>-729.362161345047 -61.0448028768899 -412.142635003834</f>
        <v>-1202.5495992257709</v>
      </c>
      <c r="Q2515">
        <f>-480.267327833952 -5.02103522138054 -362.593060812448</f>
        <v>-847.88142386778054</v>
      </c>
      <c r="R2515" t="s">
        <v>52248</v>
      </c>
      <c r="S2515" t="s">
        <v>52249</v>
      </c>
      <c r="T2515" t="s">
        <v>52250</v>
      </c>
      <c r="U2515" t="s">
        <v>52251</v>
      </c>
      <c r="V2515" t="s">
        <v>52252</v>
      </c>
      <c r="W2515" t="s">
        <v>52253</v>
      </c>
      <c r="X2515" t="s">
        <v>52254</v>
      </c>
      <c r="Y2515" t="s">
        <v>52255</v>
      </c>
    </row>
    <row r="2516" spans="1:25" x14ac:dyDescent="0.3">
      <c r="A2516">
        <v>125750</v>
      </c>
      <c r="B2516" t="s">
        <v>52256</v>
      </c>
      <c r="C2516" t="s">
        <v>52257</v>
      </c>
      <c r="D2516" t="s">
        <v>52258</v>
      </c>
      <c r="E2516" t="s">
        <v>52259</v>
      </c>
      <c r="F2516" t="s">
        <v>52260</v>
      </c>
      <c r="G2516" t="s">
        <v>52261</v>
      </c>
      <c r="H2516" t="s">
        <v>52262</v>
      </c>
      <c r="I2516" t="s">
        <v>52263</v>
      </c>
      <c r="J2516" t="s">
        <v>52264</v>
      </c>
      <c r="K2516" t="s">
        <v>52265</v>
      </c>
      <c r="L2516" t="s">
        <v>52266</v>
      </c>
      <c r="M2516" t="s">
        <v>52267</v>
      </c>
      <c r="N2516" t="s">
        <v>52268</v>
      </c>
      <c r="O2516">
        <f>-720.257053483818 -77.1864684988586 -728.697254864429</f>
        <v>-1526.1407768471058</v>
      </c>
      <c r="P2516">
        <f>-727.754205946186 -61.027010426471 -412.676861454255</f>
        <v>-1201.4580778269119</v>
      </c>
      <c r="Q2516">
        <f>-479.179253351181 -4.37774966079655 -361.262227958417</f>
        <v>-844.81923097039453</v>
      </c>
      <c r="R2516" t="s">
        <v>52269</v>
      </c>
      <c r="S2516" t="s">
        <v>52270</v>
      </c>
      <c r="T2516" t="s">
        <v>52271</v>
      </c>
      <c r="U2516" t="s">
        <v>52272</v>
      </c>
      <c r="V2516" t="s">
        <v>52273</v>
      </c>
      <c r="W2516" t="s">
        <v>52274</v>
      </c>
      <c r="X2516" t="s">
        <v>52275</v>
      </c>
      <c r="Y2516" t="s">
        <v>52276</v>
      </c>
    </row>
    <row r="2517" spans="1:25" x14ac:dyDescent="0.3">
      <c r="A2517">
        <v>125800</v>
      </c>
      <c r="B2517" t="s">
        <v>52277</v>
      </c>
      <c r="C2517" t="s">
        <v>52278</v>
      </c>
      <c r="D2517" t="s">
        <v>52279</v>
      </c>
      <c r="E2517" t="s">
        <v>52280</v>
      </c>
      <c r="F2517" t="s">
        <v>52281</v>
      </c>
      <c r="G2517" t="s">
        <v>52282</v>
      </c>
      <c r="H2517" t="s">
        <v>52283</v>
      </c>
      <c r="I2517" t="s">
        <v>52284</v>
      </c>
      <c r="J2517" t="s">
        <v>52285</v>
      </c>
      <c r="K2517" t="s">
        <v>52286</v>
      </c>
      <c r="L2517" t="s">
        <v>52287</v>
      </c>
      <c r="M2517" t="s">
        <v>52288</v>
      </c>
      <c r="N2517" t="s">
        <v>52289</v>
      </c>
      <c r="O2517">
        <f>-717.175703722749 -77.8067794063243 -728.826680414862</f>
        <v>-1523.8091635439353</v>
      </c>
      <c r="P2517">
        <f>-726.710888390323 -61.0498455196205 -412.892366404292</f>
        <v>-1200.6531003142354</v>
      </c>
      <c r="Q2517">
        <f>-478.404066348052 -4.0833455174502 -360.541544587256</f>
        <v>-843.02895645275817</v>
      </c>
      <c r="R2517" t="s">
        <v>52290</v>
      </c>
      <c r="S2517" t="s">
        <v>52291</v>
      </c>
      <c r="T2517" t="s">
        <v>52292</v>
      </c>
      <c r="U2517" t="s">
        <v>52293</v>
      </c>
      <c r="V2517" t="s">
        <v>52294</v>
      </c>
      <c r="W2517" t="s">
        <v>52295</v>
      </c>
      <c r="X2517" t="s">
        <v>52296</v>
      </c>
      <c r="Y2517" t="s">
        <v>52297</v>
      </c>
    </row>
    <row r="2518" spans="1:25" x14ac:dyDescent="0.3">
      <c r="A2518">
        <v>125850</v>
      </c>
      <c r="B2518" t="s">
        <v>52298</v>
      </c>
      <c r="C2518" t="s">
        <v>52299</v>
      </c>
      <c r="D2518" t="s">
        <v>52300</v>
      </c>
      <c r="E2518" t="s">
        <v>52301</v>
      </c>
      <c r="F2518" t="s">
        <v>52302</v>
      </c>
      <c r="G2518" t="s">
        <v>52303</v>
      </c>
      <c r="H2518" t="s">
        <v>52304</v>
      </c>
      <c r="I2518" t="s">
        <v>52305</v>
      </c>
      <c r="J2518" t="s">
        <v>52306</v>
      </c>
      <c r="K2518" t="s">
        <v>52307</v>
      </c>
      <c r="L2518" t="s">
        <v>52308</v>
      </c>
      <c r="M2518" t="s">
        <v>52309</v>
      </c>
      <c r="N2518" t="s">
        <v>52310</v>
      </c>
      <c r="O2518">
        <f>-711.328767537981 -79.3197571108858 -729.052576509074</f>
        <v>-1519.7011011579407</v>
      </c>
      <c r="P2518">
        <f>-724.690864609815 -61.0962164948746 -413.338259174957</f>
        <v>-1199.1253402796465</v>
      </c>
      <c r="Q2518">
        <f>-476.959719685985 -3.26747360210902 -359.2348270306</f>
        <v>-839.46202031869404</v>
      </c>
      <c r="R2518" t="s">
        <v>52311</v>
      </c>
      <c r="S2518" t="s">
        <v>52312</v>
      </c>
      <c r="T2518" t="s">
        <v>52313</v>
      </c>
      <c r="U2518" t="s">
        <v>52314</v>
      </c>
      <c r="V2518" t="s">
        <v>52315</v>
      </c>
      <c r="W2518" t="s">
        <v>52316</v>
      </c>
      <c r="X2518" t="s">
        <v>52317</v>
      </c>
      <c r="Y2518" t="s">
        <v>52318</v>
      </c>
    </row>
    <row r="2519" spans="1:25" x14ac:dyDescent="0.3">
      <c r="A2519">
        <v>125900</v>
      </c>
      <c r="B2519" t="s">
        <v>52319</v>
      </c>
      <c r="C2519" t="s">
        <v>52320</v>
      </c>
      <c r="D2519" t="s">
        <v>52321</v>
      </c>
      <c r="E2519" t="s">
        <v>52322</v>
      </c>
      <c r="F2519" t="s">
        <v>52323</v>
      </c>
      <c r="G2519" t="s">
        <v>52324</v>
      </c>
      <c r="H2519" t="s">
        <v>52325</v>
      </c>
      <c r="I2519" t="s">
        <v>52326</v>
      </c>
      <c r="J2519" t="s">
        <v>52327</v>
      </c>
      <c r="K2519" t="s">
        <v>52328</v>
      </c>
      <c r="L2519" t="s">
        <v>52329</v>
      </c>
      <c r="M2519" t="s">
        <v>52330</v>
      </c>
      <c r="N2519" t="s">
        <v>52331</v>
      </c>
      <c r="O2519">
        <f>-708.584053460811 -80.0495383666794 -729.088149008298</f>
        <v>-1517.7217408357883</v>
      </c>
      <c r="P2519">
        <f>-723.762993717088 -61.2320727217264 -413.49076770411</f>
        <v>-1198.4858341429244</v>
      </c>
      <c r="Q2519">
        <f>-476.320359075914 -2.9600260673476 -358.549669205535</f>
        <v>-837.83005434879658</v>
      </c>
      <c r="R2519" t="s">
        <v>52332</v>
      </c>
      <c r="S2519" t="s">
        <v>52333</v>
      </c>
      <c r="T2519" t="s">
        <v>52334</v>
      </c>
      <c r="U2519" t="s">
        <v>52335</v>
      </c>
      <c r="V2519" t="s">
        <v>52336</v>
      </c>
      <c r="W2519" t="s">
        <v>52337</v>
      </c>
      <c r="X2519" t="s">
        <v>52338</v>
      </c>
      <c r="Y2519" t="s">
        <v>52339</v>
      </c>
    </row>
    <row r="2520" spans="1:25" x14ac:dyDescent="0.3">
      <c r="A2520">
        <v>125950</v>
      </c>
      <c r="B2520" t="s">
        <v>52340</v>
      </c>
      <c r="C2520" t="s">
        <v>52341</v>
      </c>
      <c r="D2520" t="s">
        <v>52342</v>
      </c>
      <c r="E2520" t="s">
        <v>52343</v>
      </c>
      <c r="F2520" t="s">
        <v>52344</v>
      </c>
      <c r="G2520" t="s">
        <v>52345</v>
      </c>
      <c r="H2520" t="s">
        <v>52346</v>
      </c>
      <c r="I2520" t="s">
        <v>52347</v>
      </c>
      <c r="J2520" t="s">
        <v>52348</v>
      </c>
      <c r="K2520" t="s">
        <v>52349</v>
      </c>
      <c r="L2520" t="s">
        <v>52350</v>
      </c>
      <c r="M2520" t="s">
        <v>52351</v>
      </c>
      <c r="N2520" t="s">
        <v>52352</v>
      </c>
      <c r="O2520">
        <f>-703.463206664109 -81.2290514955814 -728.878832600813</f>
        <v>-1513.5710907605035</v>
      </c>
      <c r="P2520">
        <f>-721.404606451458 -61.3139156559307 -413.493836960548</f>
        <v>-1196.2123590679366</v>
      </c>
      <c r="Q2520">
        <f>-474.485604602354 -2.24178768844695 -357.07118263938</f>
        <v>-833.79857493018096</v>
      </c>
      <c r="R2520" t="s">
        <v>52353</v>
      </c>
      <c r="S2520" t="s">
        <v>52354</v>
      </c>
      <c r="T2520" t="s">
        <v>52355</v>
      </c>
      <c r="U2520" t="s">
        <v>52356</v>
      </c>
      <c r="V2520" t="s">
        <v>52357</v>
      </c>
      <c r="W2520" t="s">
        <v>52358</v>
      </c>
      <c r="X2520" t="s">
        <v>52359</v>
      </c>
      <c r="Y2520" t="s">
        <v>52360</v>
      </c>
    </row>
    <row r="2521" spans="1:25" x14ac:dyDescent="0.3">
      <c r="A2521">
        <v>126000</v>
      </c>
      <c r="B2521" t="s">
        <v>52361</v>
      </c>
      <c r="C2521" t="s">
        <v>52362</v>
      </c>
      <c r="D2521" t="s">
        <v>52363</v>
      </c>
      <c r="E2521" t="s">
        <v>52364</v>
      </c>
      <c r="F2521" t="s">
        <v>52365</v>
      </c>
      <c r="G2521" t="s">
        <v>52366</v>
      </c>
      <c r="H2521" t="s">
        <v>52367</v>
      </c>
      <c r="I2521" t="s">
        <v>52368</v>
      </c>
      <c r="J2521" t="s">
        <v>52369</v>
      </c>
      <c r="K2521" t="s">
        <v>52370</v>
      </c>
      <c r="L2521" t="s">
        <v>52371</v>
      </c>
      <c r="M2521" t="s">
        <v>52372</v>
      </c>
      <c r="N2521" t="s">
        <v>52373</v>
      </c>
      <c r="O2521">
        <f>-701.351599848056 -81.6438463767254 -728.710958022524</f>
        <v>-1511.7064042473053</v>
      </c>
      <c r="P2521">
        <f>-720.504342584523 -61.2854237940037 -413.425557048037</f>
        <v>-1195.2153234265636</v>
      </c>
      <c r="Q2521">
        <f>-473.765799610895 -1.82237751851017 -356.625301552372</f>
        <v>-832.21347868177713</v>
      </c>
      <c r="R2521" t="s">
        <v>52374</v>
      </c>
      <c r="S2521" t="s">
        <v>52375</v>
      </c>
      <c r="T2521" t="s">
        <v>52376</v>
      </c>
      <c r="U2521" t="s">
        <v>52377</v>
      </c>
      <c r="V2521" t="s">
        <v>52378</v>
      </c>
      <c r="W2521" t="s">
        <v>52379</v>
      </c>
      <c r="X2521" t="s">
        <v>52380</v>
      </c>
      <c r="Y2521" t="s">
        <v>52381</v>
      </c>
    </row>
    <row r="2522" spans="1:25" x14ac:dyDescent="0.3">
      <c r="A2522">
        <v>126050</v>
      </c>
      <c r="B2522" t="s">
        <v>52382</v>
      </c>
      <c r="C2522" t="s">
        <v>52383</v>
      </c>
      <c r="D2522" t="s">
        <v>52384</v>
      </c>
      <c r="E2522" t="s">
        <v>52385</v>
      </c>
      <c r="F2522" t="s">
        <v>52386</v>
      </c>
      <c r="G2522" t="s">
        <v>52387</v>
      </c>
      <c r="H2522" t="s">
        <v>52388</v>
      </c>
      <c r="I2522" t="s">
        <v>52389</v>
      </c>
      <c r="J2522" t="s">
        <v>52390</v>
      </c>
      <c r="K2522" t="s">
        <v>52391</v>
      </c>
      <c r="L2522" t="s">
        <v>52392</v>
      </c>
      <c r="M2522" t="s">
        <v>52393</v>
      </c>
      <c r="N2522" t="s">
        <v>52394</v>
      </c>
      <c r="O2522">
        <f>-697.283436979582 -82.5369582812248 -728.422000002254</f>
        <v>-1508.2423952630606</v>
      </c>
      <c r="P2522">
        <f>-718.945747904914 -61.2020667266274 -413.363659596219</f>
        <v>-1193.5114742277606</v>
      </c>
      <c r="Q2522">
        <f>-472.476307503407 -1.08430118959313 -356.085902379534</f>
        <v>-829.64651107253417</v>
      </c>
      <c r="R2522" t="s">
        <v>52395</v>
      </c>
      <c r="S2522" t="s">
        <v>52396</v>
      </c>
      <c r="T2522" t="s">
        <v>52397</v>
      </c>
      <c r="U2522" t="s">
        <v>52398</v>
      </c>
      <c r="V2522" t="s">
        <v>52399</v>
      </c>
      <c r="W2522" t="s">
        <v>52400</v>
      </c>
      <c r="X2522" t="s">
        <v>52401</v>
      </c>
      <c r="Y2522" t="s">
        <v>52402</v>
      </c>
    </row>
    <row r="2523" spans="1:25" x14ac:dyDescent="0.3">
      <c r="A2523">
        <v>126100</v>
      </c>
      <c r="B2523" t="s">
        <v>52403</v>
      </c>
      <c r="C2523" t="s">
        <v>52404</v>
      </c>
      <c r="D2523" t="s">
        <v>52405</v>
      </c>
      <c r="E2523" t="s">
        <v>52406</v>
      </c>
      <c r="F2523" t="s">
        <v>52407</v>
      </c>
      <c r="G2523" t="s">
        <v>52408</v>
      </c>
      <c r="H2523" t="s">
        <v>52409</v>
      </c>
      <c r="I2523" t="s">
        <v>52410</v>
      </c>
      <c r="J2523" t="s">
        <v>52411</v>
      </c>
      <c r="K2523" t="s">
        <v>52412</v>
      </c>
      <c r="L2523" t="s">
        <v>52413</v>
      </c>
      <c r="M2523" t="s">
        <v>52414</v>
      </c>
      <c r="N2523" t="s">
        <v>52415</v>
      </c>
      <c r="O2523">
        <f>-695.341223280851 -82.8427969972206 -728.330528384574</f>
        <v>-1506.5145486626457</v>
      </c>
      <c r="P2523">
        <f>-718.459551563892 -61.2553485044225 -413.392909884374</f>
        <v>-1193.1078099526885</v>
      </c>
      <c r="Q2523">
        <f>-472.111702254018 -0.740124855446311 -356.010643759881</f>
        <v>-828.86247086934532</v>
      </c>
      <c r="R2523" t="s">
        <v>52416</v>
      </c>
      <c r="S2523" t="s">
        <v>52417</v>
      </c>
      <c r="T2523" t="s">
        <v>52418</v>
      </c>
      <c r="U2523" t="s">
        <v>52419</v>
      </c>
      <c r="V2523" t="s">
        <v>52420</v>
      </c>
      <c r="W2523" t="s">
        <v>52421</v>
      </c>
      <c r="X2523" t="s">
        <v>52422</v>
      </c>
      <c r="Y2523" t="s">
        <v>52423</v>
      </c>
    </row>
    <row r="2524" spans="1:25" x14ac:dyDescent="0.3">
      <c r="A2524">
        <v>126150</v>
      </c>
      <c r="B2524" t="s">
        <v>52424</v>
      </c>
      <c r="C2524" t="s">
        <v>52425</v>
      </c>
      <c r="D2524" t="s">
        <v>52426</v>
      </c>
      <c r="E2524" t="s">
        <v>52427</v>
      </c>
      <c r="F2524" t="s">
        <v>52428</v>
      </c>
      <c r="G2524" t="s">
        <v>52429</v>
      </c>
      <c r="H2524" t="s">
        <v>52430</v>
      </c>
      <c r="I2524" t="s">
        <v>52431</v>
      </c>
      <c r="J2524" t="s">
        <v>52432</v>
      </c>
      <c r="K2524" t="s">
        <v>52433</v>
      </c>
      <c r="L2524" t="s">
        <v>52434</v>
      </c>
      <c r="M2524" t="s">
        <v>52435</v>
      </c>
      <c r="N2524" t="s">
        <v>52436</v>
      </c>
      <c r="O2524">
        <f>-691.856876380989 -83.64270607557 -728.236896158569</f>
        <v>-1503.7364786151279</v>
      </c>
      <c r="P2524">
        <f>-717.618130448532 -61.7563499033829 -413.525053144853</f>
        <v>-1192.8995334967681</v>
      </c>
      <c r="Q2524">
        <f>-471.524377949991 -0.603677657439675 -355.729777493553</f>
        <v>-827.85783310098373</v>
      </c>
      <c r="R2524" t="s">
        <v>52437</v>
      </c>
      <c r="S2524" t="s">
        <v>52438</v>
      </c>
      <c r="T2524" t="s">
        <v>52439</v>
      </c>
      <c r="U2524" t="s">
        <v>52440</v>
      </c>
      <c r="V2524" t="s">
        <v>52441</v>
      </c>
      <c r="W2524" t="s">
        <v>52442</v>
      </c>
      <c r="X2524" t="s">
        <v>52443</v>
      </c>
      <c r="Y2524" t="s">
        <v>52444</v>
      </c>
    </row>
    <row r="2525" spans="1:25" x14ac:dyDescent="0.3">
      <c r="A2525">
        <v>126200</v>
      </c>
      <c r="B2525" t="s">
        <v>52445</v>
      </c>
      <c r="C2525" t="s">
        <v>52446</v>
      </c>
      <c r="D2525" t="s">
        <v>52447</v>
      </c>
      <c r="E2525" t="s">
        <v>52448</v>
      </c>
      <c r="F2525" t="s">
        <v>52449</v>
      </c>
      <c r="G2525" t="s">
        <v>52450</v>
      </c>
      <c r="H2525" t="s">
        <v>52451</v>
      </c>
      <c r="I2525" t="s">
        <v>52452</v>
      </c>
      <c r="J2525" t="s">
        <v>52453</v>
      </c>
      <c r="K2525" t="s">
        <v>52454</v>
      </c>
      <c r="L2525" t="s">
        <v>52455</v>
      </c>
      <c r="M2525" t="s">
        <v>52456</v>
      </c>
      <c r="N2525" t="s">
        <v>52457</v>
      </c>
      <c r="O2525">
        <f>-690.517180709682 -83.8698038234754 -728.156594235754</f>
        <v>-1502.5435787689114</v>
      </c>
      <c r="P2525">
        <f>-717.241519602461 -61.624539170658 -413.550227695514</f>
        <v>-1192.416286468633</v>
      </c>
      <c r="Q2525">
        <f>-471.180234554611 -0.524914852353959 -355.560698114533</f>
        <v>-827.26584752149802</v>
      </c>
      <c r="R2525" t="s">
        <v>52458</v>
      </c>
      <c r="S2525" t="s">
        <v>52459</v>
      </c>
      <c r="T2525" t="s">
        <v>52460</v>
      </c>
      <c r="U2525" t="s">
        <v>52461</v>
      </c>
      <c r="V2525" t="s">
        <v>52462</v>
      </c>
      <c r="W2525" t="s">
        <v>52463</v>
      </c>
      <c r="X2525" t="s">
        <v>52464</v>
      </c>
      <c r="Y2525" t="s">
        <v>52465</v>
      </c>
    </row>
    <row r="2526" spans="1:25" x14ac:dyDescent="0.3">
      <c r="A2526">
        <v>126250</v>
      </c>
      <c r="B2526" t="s">
        <v>52466</v>
      </c>
      <c r="C2526" t="s">
        <v>52467</v>
      </c>
      <c r="D2526" t="s">
        <v>52468</v>
      </c>
      <c r="E2526" t="s">
        <v>52469</v>
      </c>
      <c r="F2526" t="s">
        <v>52470</v>
      </c>
      <c r="G2526" t="s">
        <v>52471</v>
      </c>
      <c r="H2526" t="s">
        <v>52472</v>
      </c>
      <c r="I2526" t="s">
        <v>52473</v>
      </c>
      <c r="J2526" t="s">
        <v>52474</v>
      </c>
      <c r="K2526" t="s">
        <v>52475</v>
      </c>
      <c r="L2526" t="s">
        <v>52476</v>
      </c>
      <c r="M2526" t="s">
        <v>52477</v>
      </c>
      <c r="N2526" t="s">
        <v>52478</v>
      </c>
      <c r="O2526">
        <f>-688.142334640743 -84.2479479659464 -728.066500976872</f>
        <v>-1500.4567835835614</v>
      </c>
      <c r="P2526">
        <f>-716.247563796062 -61.4405697051532 -413.62072845224</f>
        <v>-1191.3088619534551</v>
      </c>
      <c r="Q2526">
        <f>-470.256159396845 -0.420352251821214 -355.252577681601</f>
        <v>-825.92908933026729</v>
      </c>
      <c r="R2526" t="s">
        <v>52479</v>
      </c>
      <c r="S2526" t="s">
        <v>52480</v>
      </c>
      <c r="T2526" t="s">
        <v>52481</v>
      </c>
      <c r="U2526" t="s">
        <v>52482</v>
      </c>
      <c r="V2526" t="s">
        <v>52483</v>
      </c>
      <c r="W2526" t="s">
        <v>52484</v>
      </c>
      <c r="X2526" t="s">
        <v>52485</v>
      </c>
      <c r="Y2526" t="s">
        <v>52486</v>
      </c>
    </row>
    <row r="2527" spans="1:25" x14ac:dyDescent="0.3">
      <c r="A2527">
        <v>126300</v>
      </c>
      <c r="B2527" t="s">
        <v>52487</v>
      </c>
      <c r="C2527" t="s">
        <v>52488</v>
      </c>
      <c r="D2527" t="s">
        <v>52489</v>
      </c>
      <c r="E2527" t="s">
        <v>52490</v>
      </c>
      <c r="F2527" t="s">
        <v>52491</v>
      </c>
      <c r="G2527" t="s">
        <v>52492</v>
      </c>
      <c r="H2527" t="s">
        <v>52493</v>
      </c>
      <c r="I2527" t="s">
        <v>52494</v>
      </c>
      <c r="J2527" t="s">
        <v>52495</v>
      </c>
      <c r="K2527" t="s">
        <v>52496</v>
      </c>
      <c r="L2527" t="s">
        <v>52497</v>
      </c>
      <c r="M2527" t="s">
        <v>52498</v>
      </c>
      <c r="N2527" t="s">
        <v>52499</v>
      </c>
      <c r="O2527">
        <f>-687.189049667687 -84.3728074154697 -728.086988529335</f>
        <v>-1499.6488456124916</v>
      </c>
      <c r="P2527">
        <f>-715.867227012339 -61.3442359990224 -413.709067870037</f>
        <v>-1190.9205308813985</v>
      </c>
      <c r="Q2527">
        <f>-469.972574019441 -0.289099123723645 -354.971112261806</f>
        <v>-825.23278540497063</v>
      </c>
      <c r="R2527" t="s">
        <v>52500</v>
      </c>
      <c r="S2527" t="s">
        <v>52501</v>
      </c>
      <c r="T2527" t="s">
        <v>52502</v>
      </c>
      <c r="U2527" t="s">
        <v>52503</v>
      </c>
      <c r="V2527" t="s">
        <v>52504</v>
      </c>
      <c r="W2527" t="s">
        <v>52505</v>
      </c>
      <c r="X2527" t="s">
        <v>52506</v>
      </c>
      <c r="Y2527" t="s">
        <v>52507</v>
      </c>
    </row>
    <row r="2528" spans="1:25" x14ac:dyDescent="0.3">
      <c r="A2528">
        <v>126350</v>
      </c>
      <c r="B2528" t="s">
        <v>52508</v>
      </c>
      <c r="C2528" t="s">
        <v>52509</v>
      </c>
      <c r="D2528" t="s">
        <v>52510</v>
      </c>
      <c r="E2528" t="s">
        <v>52511</v>
      </c>
      <c r="F2528" t="s">
        <v>52512</v>
      </c>
      <c r="G2528" t="s">
        <v>52513</v>
      </c>
      <c r="H2528" t="s">
        <v>52514</v>
      </c>
      <c r="I2528" t="s">
        <v>52515</v>
      </c>
      <c r="J2528" t="s">
        <v>52516</v>
      </c>
      <c r="K2528" t="s">
        <v>52517</v>
      </c>
      <c r="L2528" t="s">
        <v>52518</v>
      </c>
      <c r="M2528" t="s">
        <v>52519</v>
      </c>
      <c r="N2528" t="s">
        <v>52520</v>
      </c>
      <c r="O2528">
        <f>-685.509796170607 -84.5616505097098 -728.136046304709</f>
        <v>-1498.207492985026</v>
      </c>
      <c r="P2528">
        <f>-715.137269810555 -61.3932422154244 -413.856414461155</f>
        <v>-1190.3869264871344</v>
      </c>
      <c r="Q2528">
        <f>-469.48501967348 -0.211530935398969 -354.243148805128</f>
        <v>-823.93969941400701</v>
      </c>
      <c r="R2528" t="s">
        <v>52521</v>
      </c>
      <c r="S2528" t="s">
        <v>52522</v>
      </c>
      <c r="T2528" t="s">
        <v>52523</v>
      </c>
      <c r="U2528" t="s">
        <v>52524</v>
      </c>
      <c r="V2528" t="s">
        <v>52525</v>
      </c>
      <c r="W2528" t="s">
        <v>52526</v>
      </c>
      <c r="X2528" t="s">
        <v>52527</v>
      </c>
      <c r="Y2528" t="s">
        <v>52528</v>
      </c>
    </row>
    <row r="2529" spans="1:25" x14ac:dyDescent="0.3">
      <c r="A2529">
        <v>126400</v>
      </c>
      <c r="B2529" t="s">
        <v>52529</v>
      </c>
      <c r="C2529" t="s">
        <v>52530</v>
      </c>
      <c r="D2529" t="s">
        <v>52531</v>
      </c>
      <c r="E2529" t="s">
        <v>52532</v>
      </c>
      <c r="F2529" t="s">
        <v>52533</v>
      </c>
      <c r="G2529" t="s">
        <v>52534</v>
      </c>
      <c r="H2529" t="s">
        <v>52535</v>
      </c>
      <c r="I2529" t="s">
        <v>52536</v>
      </c>
      <c r="J2529" t="s">
        <v>52537</v>
      </c>
      <c r="K2529" t="s">
        <v>52538</v>
      </c>
      <c r="L2529" t="s">
        <v>52539</v>
      </c>
      <c r="M2529" t="s">
        <v>52540</v>
      </c>
      <c r="N2529" t="s">
        <v>52541</v>
      </c>
      <c r="O2529">
        <f>-684.736730110264 -84.7898587525326 -728.126820611442</f>
        <v>-1497.6534094742387</v>
      </c>
      <c r="P2529">
        <f>-714.915094263126 -61.3934573853819 -413.916588289884</f>
        <v>-1190.2251399383917</v>
      </c>
      <c r="Q2529">
        <f>-469.350365966593 -0.0727691104359565 -354.084952864361</f>
        <v>-823.50808794138993</v>
      </c>
      <c r="R2529" t="s">
        <v>52542</v>
      </c>
      <c r="S2529" t="s">
        <v>52543</v>
      </c>
      <c r="T2529" t="s">
        <v>52544</v>
      </c>
      <c r="U2529" t="s">
        <v>52545</v>
      </c>
      <c r="V2529" t="s">
        <v>52546</v>
      </c>
      <c r="W2529" t="s">
        <v>52547</v>
      </c>
      <c r="X2529" t="s">
        <v>52548</v>
      </c>
      <c r="Y2529" t="s">
        <v>52549</v>
      </c>
    </row>
    <row r="2530" spans="1:25" x14ac:dyDescent="0.3">
      <c r="A2530">
        <v>126450</v>
      </c>
      <c r="B2530" t="s">
        <v>52550</v>
      </c>
      <c r="C2530" t="s">
        <v>52551</v>
      </c>
      <c r="D2530" t="s">
        <v>52552</v>
      </c>
      <c r="E2530" t="s">
        <v>52553</v>
      </c>
      <c r="F2530" t="s">
        <v>52554</v>
      </c>
      <c r="G2530" t="s">
        <v>52555</v>
      </c>
      <c r="H2530" t="s">
        <v>52556</v>
      </c>
      <c r="I2530" t="s">
        <v>52557</v>
      </c>
      <c r="J2530" t="s">
        <v>52558</v>
      </c>
      <c r="K2530" t="s">
        <v>52559</v>
      </c>
      <c r="L2530" t="s">
        <v>52560</v>
      </c>
      <c r="M2530" t="s">
        <v>52561</v>
      </c>
      <c r="N2530" t="s">
        <v>52562</v>
      </c>
      <c r="O2530">
        <f>-683.627865622283 -84.7578708279666 -728.18980676344</f>
        <v>-1496.5755432136896</v>
      </c>
      <c r="P2530">
        <f>-714.370426294215 -61.4339822131149 -414.028954893</f>
        <v>-1189.8333634003297</v>
      </c>
      <c r="Q2530" t="s">
        <v>52563</v>
      </c>
      <c r="R2530" t="s">
        <v>52564</v>
      </c>
      <c r="S2530" t="s">
        <v>52565</v>
      </c>
      <c r="T2530" t="s">
        <v>52566</v>
      </c>
      <c r="U2530" t="s">
        <v>52567</v>
      </c>
      <c r="V2530" t="s">
        <v>52568</v>
      </c>
      <c r="W2530" t="s">
        <v>52569</v>
      </c>
      <c r="X2530" t="s">
        <v>52570</v>
      </c>
      <c r="Y2530" t="s">
        <v>52571</v>
      </c>
    </row>
    <row r="2531" spans="1:25" x14ac:dyDescent="0.3">
      <c r="A2531">
        <v>126500</v>
      </c>
      <c r="B2531" t="s">
        <v>52572</v>
      </c>
      <c r="C2531" t="s">
        <v>52573</v>
      </c>
      <c r="D2531" t="s">
        <v>52574</v>
      </c>
      <c r="E2531" t="s">
        <v>52575</v>
      </c>
      <c r="F2531" t="s">
        <v>52576</v>
      </c>
      <c r="G2531" t="s">
        <v>52577</v>
      </c>
      <c r="H2531" t="s">
        <v>52578</v>
      </c>
      <c r="I2531" t="s">
        <v>52579</v>
      </c>
      <c r="J2531" t="s">
        <v>52580</v>
      </c>
      <c r="K2531" t="s">
        <v>52581</v>
      </c>
      <c r="L2531" t="s">
        <v>52582</v>
      </c>
      <c r="M2531" t="s">
        <v>52583</v>
      </c>
      <c r="N2531" t="s">
        <v>52584</v>
      </c>
      <c r="O2531">
        <f>-683.168509731753 -84.9144268104105 -728.211688231469</f>
        <v>-1496.2946247736327</v>
      </c>
      <c r="P2531">
        <f>-714.085604634533 -61.8424947201465 -414.049461010929</f>
        <v>-1189.9775603656085</v>
      </c>
      <c r="Q2531">
        <f>-468.639373113148 -0.24390334748 -354.017281974764</f>
        <v>-822.90055843539199</v>
      </c>
      <c r="R2531" t="s">
        <v>52585</v>
      </c>
      <c r="S2531" t="s">
        <v>52586</v>
      </c>
      <c r="T2531" t="s">
        <v>52587</v>
      </c>
      <c r="U2531" t="s">
        <v>52588</v>
      </c>
      <c r="V2531" t="s">
        <v>52589</v>
      </c>
      <c r="W2531" t="s">
        <v>52590</v>
      </c>
      <c r="X2531" t="s">
        <v>52591</v>
      </c>
      <c r="Y2531" t="s">
        <v>52592</v>
      </c>
    </row>
    <row r="2532" spans="1:25" x14ac:dyDescent="0.3">
      <c r="A2532">
        <v>126550</v>
      </c>
      <c r="B2532" t="s">
        <v>52593</v>
      </c>
      <c r="C2532" t="s">
        <v>52594</v>
      </c>
      <c r="D2532" t="s">
        <v>52595</v>
      </c>
      <c r="E2532" t="s">
        <v>52596</v>
      </c>
      <c r="F2532" t="s">
        <v>52597</v>
      </c>
      <c r="G2532" t="s">
        <v>52598</v>
      </c>
      <c r="H2532" t="s">
        <v>52599</v>
      </c>
      <c r="I2532" t="s">
        <v>52600</v>
      </c>
      <c r="J2532" t="s">
        <v>52601</v>
      </c>
      <c r="K2532" t="s">
        <v>52602</v>
      </c>
      <c r="L2532" t="s">
        <v>52603</v>
      </c>
      <c r="M2532" t="s">
        <v>52604</v>
      </c>
      <c r="N2532" t="s">
        <v>52605</v>
      </c>
      <c r="O2532">
        <f>-682.768854289871 -85.1599360825394 -728.391079926239</f>
        <v>-1496.3198702986492</v>
      </c>
      <c r="P2532">
        <f>-713.356315272759 -62.2550307170823 -414.184244267356</f>
        <v>-1189.7955902571973</v>
      </c>
      <c r="Q2532">
        <f>-467.875543012781 -0.513706448926769 -354.440827789611</f>
        <v>-822.8300772513187</v>
      </c>
      <c r="R2532" t="s">
        <v>52606</v>
      </c>
      <c r="S2532" t="s">
        <v>52607</v>
      </c>
      <c r="T2532" t="s">
        <v>52608</v>
      </c>
      <c r="U2532" t="s">
        <v>52609</v>
      </c>
      <c r="V2532" t="s">
        <v>52610</v>
      </c>
      <c r="W2532" t="s">
        <v>52611</v>
      </c>
      <c r="X2532" t="s">
        <v>52612</v>
      </c>
      <c r="Y2532" t="s">
        <v>52613</v>
      </c>
    </row>
    <row r="2533" spans="1:25" x14ac:dyDescent="0.3">
      <c r="A2533">
        <v>126600</v>
      </c>
      <c r="B2533" t="s">
        <v>52614</v>
      </c>
      <c r="C2533" t="s">
        <v>52615</v>
      </c>
      <c r="D2533" t="s">
        <v>52616</v>
      </c>
      <c r="E2533" t="s">
        <v>52617</v>
      </c>
      <c r="F2533" t="s">
        <v>52618</v>
      </c>
      <c r="G2533" t="s">
        <v>52619</v>
      </c>
      <c r="H2533" t="s">
        <v>52620</v>
      </c>
      <c r="I2533" t="s">
        <v>52621</v>
      </c>
      <c r="J2533" t="s">
        <v>52622</v>
      </c>
      <c r="K2533" t="s">
        <v>52623</v>
      </c>
      <c r="L2533" t="s">
        <v>52624</v>
      </c>
      <c r="M2533" t="s">
        <v>52625</v>
      </c>
      <c r="N2533" t="s">
        <v>52626</v>
      </c>
      <c r="O2533">
        <f>-682.750341811094 -85.3008503869523 -728.533315804747</f>
        <v>-1496.5845080027934</v>
      </c>
      <c r="P2533">
        <f>-712.720459246322 -62.9104604053573 -414.229804501493</f>
        <v>-1189.8607241531722</v>
      </c>
      <c r="Q2533">
        <f>-467.208727749894 -1.07963545299299 -354.707259369429</f>
        <v>-822.99562257231605</v>
      </c>
      <c r="R2533" t="s">
        <v>52627</v>
      </c>
      <c r="S2533" t="s">
        <v>52628</v>
      </c>
      <c r="T2533" t="s">
        <v>52629</v>
      </c>
      <c r="U2533" t="s">
        <v>52630</v>
      </c>
      <c r="V2533" t="s">
        <v>52631</v>
      </c>
      <c r="W2533" t="s">
        <v>52632</v>
      </c>
      <c r="X2533" t="s">
        <v>52633</v>
      </c>
      <c r="Y2533" t="s">
        <v>52634</v>
      </c>
    </row>
    <row r="2534" spans="1:25" x14ac:dyDescent="0.3">
      <c r="A2534">
        <v>126650</v>
      </c>
      <c r="B2534" t="s">
        <v>52635</v>
      </c>
      <c r="C2534" t="s">
        <v>52636</v>
      </c>
      <c r="D2534" t="s">
        <v>52637</v>
      </c>
      <c r="E2534" t="s">
        <v>52638</v>
      </c>
      <c r="F2534" t="s">
        <v>52639</v>
      </c>
      <c r="G2534" t="s">
        <v>52640</v>
      </c>
      <c r="H2534" t="s">
        <v>52641</v>
      </c>
      <c r="I2534" t="s">
        <v>52642</v>
      </c>
      <c r="J2534" t="s">
        <v>52643</v>
      </c>
      <c r="K2534" t="s">
        <v>52644</v>
      </c>
      <c r="L2534" t="s">
        <v>52645</v>
      </c>
      <c r="M2534" t="s">
        <v>52646</v>
      </c>
      <c r="N2534" t="s">
        <v>52647</v>
      </c>
      <c r="O2534">
        <f>-683.262901978717 -85.6182625884703 -728.981108940841</f>
        <v>-1497.8622735080282</v>
      </c>
      <c r="P2534">
        <f>-711.420247735706 -64.0656982932212 -414.451566469028</f>
        <v>-1189.9375124979551</v>
      </c>
      <c r="Q2534">
        <f>-465.764724577425 -2.46106106959746 -355.288225364493</f>
        <v>-823.51401101151544</v>
      </c>
      <c r="R2534" t="s">
        <v>52648</v>
      </c>
      <c r="S2534" t="s">
        <v>52649</v>
      </c>
      <c r="T2534" t="s">
        <v>52650</v>
      </c>
      <c r="U2534" t="s">
        <v>52651</v>
      </c>
      <c r="V2534" t="s">
        <v>52652</v>
      </c>
      <c r="W2534" t="s">
        <v>52653</v>
      </c>
      <c r="X2534" t="s">
        <v>52654</v>
      </c>
      <c r="Y2534" t="s">
        <v>52655</v>
      </c>
    </row>
    <row r="2535" spans="1:25" x14ac:dyDescent="0.3">
      <c r="A2535">
        <v>126700</v>
      </c>
      <c r="B2535" t="s">
        <v>52656</v>
      </c>
      <c r="C2535" t="s">
        <v>52657</v>
      </c>
      <c r="D2535" t="s">
        <v>52658</v>
      </c>
      <c r="E2535" t="s">
        <v>52659</v>
      </c>
      <c r="F2535" t="s">
        <v>52660</v>
      </c>
      <c r="G2535" t="s">
        <v>52661</v>
      </c>
      <c r="H2535" t="s">
        <v>52662</v>
      </c>
      <c r="I2535" t="s">
        <v>52663</v>
      </c>
      <c r="J2535" t="s">
        <v>52664</v>
      </c>
      <c r="K2535" t="s">
        <v>52665</v>
      </c>
      <c r="L2535" t="s">
        <v>52666</v>
      </c>
      <c r="M2535" t="s">
        <v>52667</v>
      </c>
      <c r="N2535" t="s">
        <v>52668</v>
      </c>
      <c r="O2535">
        <f>-683.884710204788 -85.9017334973544 -729.307764080125</f>
        <v>-1499.0942077822674</v>
      </c>
      <c r="P2535">
        <f>-710.927270147526 -64.8561835519556 -414.64608432352</f>
        <v>-1190.4295380230014</v>
      </c>
      <c r="Q2535">
        <f>-465.173074583195 -3.59041357384604 -355.54059751491</f>
        <v>-824.30408567195104</v>
      </c>
      <c r="R2535" t="s">
        <v>52669</v>
      </c>
      <c r="S2535" t="s">
        <v>52670</v>
      </c>
      <c r="T2535" t="s">
        <v>52671</v>
      </c>
      <c r="U2535" t="s">
        <v>52672</v>
      </c>
      <c r="V2535" t="s">
        <v>52673</v>
      </c>
      <c r="W2535" t="s">
        <v>52674</v>
      </c>
      <c r="X2535" t="s">
        <v>52675</v>
      </c>
      <c r="Y2535" t="s">
        <v>52676</v>
      </c>
    </row>
    <row r="2536" spans="1:25" x14ac:dyDescent="0.3">
      <c r="A2536">
        <v>126750</v>
      </c>
      <c r="B2536" t="s">
        <v>52677</v>
      </c>
      <c r="C2536" t="s">
        <v>52678</v>
      </c>
      <c r="D2536" t="s">
        <v>52679</v>
      </c>
      <c r="E2536" t="s">
        <v>52680</v>
      </c>
      <c r="F2536" t="s">
        <v>52681</v>
      </c>
      <c r="G2536" t="s">
        <v>52682</v>
      </c>
      <c r="H2536" t="s">
        <v>52683</v>
      </c>
      <c r="I2536" t="s">
        <v>52684</v>
      </c>
      <c r="J2536" t="s">
        <v>52685</v>
      </c>
      <c r="K2536" t="s">
        <v>52686</v>
      </c>
      <c r="L2536" t="s">
        <v>52687</v>
      </c>
      <c r="M2536" t="s">
        <v>52688</v>
      </c>
      <c r="N2536" t="s">
        <v>52689</v>
      </c>
      <c r="O2536">
        <f>-685.23592986163 -86.8198251276096 -729.70645685623</f>
        <v>-1501.7622118454697</v>
      </c>
      <c r="P2536">
        <f>-710.057392745072 -66.958502183493 -414.784848535007</f>
        <v>-1191.800743463572</v>
      </c>
      <c r="Q2536">
        <f>-464.156525427848 -6.19424979607675 -355.771821294721</f>
        <v>-826.12259651864576</v>
      </c>
      <c r="R2536" t="s">
        <v>52690</v>
      </c>
      <c r="S2536" t="s">
        <v>52691</v>
      </c>
      <c r="T2536" t="s">
        <v>52692</v>
      </c>
      <c r="U2536" t="s">
        <v>52693</v>
      </c>
      <c r="V2536" t="s">
        <v>52694</v>
      </c>
      <c r="W2536" t="s">
        <v>52695</v>
      </c>
      <c r="X2536" t="s">
        <v>52696</v>
      </c>
      <c r="Y2536" t="s">
        <v>52697</v>
      </c>
    </row>
    <row r="2537" spans="1:25" x14ac:dyDescent="0.3">
      <c r="A2537">
        <v>126800</v>
      </c>
      <c r="B2537" t="s">
        <v>52698</v>
      </c>
      <c r="C2537" t="s">
        <v>52699</v>
      </c>
      <c r="D2537" t="s">
        <v>52700</v>
      </c>
      <c r="E2537" t="s">
        <v>52701</v>
      </c>
      <c r="F2537" t="s">
        <v>52702</v>
      </c>
      <c r="G2537" t="s">
        <v>52703</v>
      </c>
      <c r="H2537" t="s">
        <v>52704</v>
      </c>
      <c r="I2537" t="s">
        <v>52705</v>
      </c>
      <c r="J2537" t="s">
        <v>52706</v>
      </c>
      <c r="K2537" t="s">
        <v>52707</v>
      </c>
      <c r="L2537" t="s">
        <v>52708</v>
      </c>
      <c r="M2537" t="s">
        <v>52709</v>
      </c>
      <c r="N2537" t="s">
        <v>52710</v>
      </c>
      <c r="O2537">
        <f>-685.651480592066 -87.5688664362756 -729.714214877652</f>
        <v>-1502.9345619059936</v>
      </c>
      <c r="P2537">
        <f>-709.458824445294 -67.9637015742162 -414.698386034538</f>
        <v>-1192.1209120540482</v>
      </c>
      <c r="Q2537">
        <f>-463.439048083707 -7.53719974347109 -355.834605889251</f>
        <v>-826.81085371642916</v>
      </c>
      <c r="R2537" t="s">
        <v>52711</v>
      </c>
      <c r="S2537" t="s">
        <v>52712</v>
      </c>
      <c r="T2537" t="s">
        <v>52713</v>
      </c>
      <c r="U2537" t="s">
        <v>52714</v>
      </c>
      <c r="V2537" t="s">
        <v>52715</v>
      </c>
      <c r="W2537" t="s">
        <v>52716</v>
      </c>
      <c r="X2537" t="s">
        <v>52717</v>
      </c>
      <c r="Y2537" t="s">
        <v>52718</v>
      </c>
    </row>
    <row r="2538" spans="1:25" x14ac:dyDescent="0.3">
      <c r="A2538">
        <v>126850</v>
      </c>
      <c r="B2538" t="s">
        <v>52719</v>
      </c>
      <c r="C2538" t="s">
        <v>52720</v>
      </c>
      <c r="D2538" t="s">
        <v>52721</v>
      </c>
      <c r="E2538" t="s">
        <v>52722</v>
      </c>
      <c r="F2538" t="s">
        <v>52723</v>
      </c>
      <c r="G2538" t="s">
        <v>52724</v>
      </c>
      <c r="H2538" t="s">
        <v>52725</v>
      </c>
      <c r="I2538" t="s">
        <v>52726</v>
      </c>
      <c r="J2538" t="s">
        <v>52727</v>
      </c>
      <c r="K2538" t="s">
        <v>52728</v>
      </c>
      <c r="L2538" t="s">
        <v>52729</v>
      </c>
      <c r="M2538" t="s">
        <v>52730</v>
      </c>
      <c r="N2538" t="s">
        <v>52731</v>
      </c>
      <c r="O2538">
        <f>-686.258853263307 -88.7750641292087 -729.446063361438</f>
        <v>-1504.4799807539534</v>
      </c>
      <c r="P2538">
        <f>-708.481120211626 -69.9537435200373 -414.266597290697</f>
        <v>-1192.7014610223603</v>
      </c>
      <c r="Q2538">
        <f>-462.214719225787 -9.88418150800226 -356.072396064787</f>
        <v>-828.17129679857624</v>
      </c>
      <c r="R2538" t="s">
        <v>52732</v>
      </c>
      <c r="S2538" t="s">
        <v>52733</v>
      </c>
      <c r="T2538" t="s">
        <v>52734</v>
      </c>
      <c r="U2538" t="s">
        <v>52735</v>
      </c>
      <c r="V2538" t="s">
        <v>52736</v>
      </c>
      <c r="W2538" t="s">
        <v>52737</v>
      </c>
      <c r="X2538" t="s">
        <v>52738</v>
      </c>
      <c r="Y2538" t="s">
        <v>52739</v>
      </c>
    </row>
    <row r="2539" spans="1:25" x14ac:dyDescent="0.3">
      <c r="A2539">
        <v>126900</v>
      </c>
      <c r="B2539" t="s">
        <v>52740</v>
      </c>
      <c r="C2539" t="s">
        <v>52741</v>
      </c>
      <c r="D2539" t="s">
        <v>52742</v>
      </c>
      <c r="E2539" t="s">
        <v>52743</v>
      </c>
      <c r="F2539" t="s">
        <v>52744</v>
      </c>
      <c r="G2539" t="s">
        <v>52745</v>
      </c>
      <c r="H2539" t="s">
        <v>52746</v>
      </c>
      <c r="I2539" t="s">
        <v>52747</v>
      </c>
      <c r="J2539" t="s">
        <v>52748</v>
      </c>
      <c r="K2539" t="s">
        <v>52749</v>
      </c>
      <c r="L2539" t="s">
        <v>52750</v>
      </c>
      <c r="M2539" t="s">
        <v>52751</v>
      </c>
      <c r="N2539" t="s">
        <v>52752</v>
      </c>
      <c r="O2539">
        <f>-687.04904600058 -88.9491619175649 -729.454399558798</f>
        <v>-1505.4526074769428</v>
      </c>
      <c r="P2539">
        <f>-708.713146389852 -70.2834503915481 -414.226859885137</f>
        <v>-1193.223456666537</v>
      </c>
      <c r="Q2539">
        <f>-462.41176238879 -10.0902766105648 -356.308873948271</f>
        <v>-828.81091294762587</v>
      </c>
      <c r="R2539" t="s">
        <v>52753</v>
      </c>
      <c r="S2539" t="s">
        <v>52754</v>
      </c>
      <c r="T2539" t="s">
        <v>52755</v>
      </c>
      <c r="U2539" t="s">
        <v>52756</v>
      </c>
      <c r="V2539" t="s">
        <v>52757</v>
      </c>
      <c r="W2539" t="s">
        <v>52758</v>
      </c>
      <c r="X2539" t="s">
        <v>52759</v>
      </c>
      <c r="Y2539" t="s">
        <v>52760</v>
      </c>
    </row>
    <row r="2540" spans="1:25" x14ac:dyDescent="0.3">
      <c r="A2540">
        <v>126950</v>
      </c>
      <c r="B2540" t="s">
        <v>52761</v>
      </c>
      <c r="C2540" t="s">
        <v>52762</v>
      </c>
      <c r="D2540" t="s">
        <v>52763</v>
      </c>
      <c r="E2540" t="s">
        <v>52764</v>
      </c>
      <c r="F2540" t="s">
        <v>52765</v>
      </c>
      <c r="G2540" t="s">
        <v>52766</v>
      </c>
      <c r="H2540" t="s">
        <v>52767</v>
      </c>
      <c r="I2540" t="s">
        <v>52768</v>
      </c>
      <c r="J2540" t="s">
        <v>52769</v>
      </c>
      <c r="K2540" t="s">
        <v>52770</v>
      </c>
      <c r="L2540" t="s">
        <v>52771</v>
      </c>
      <c r="M2540" t="s">
        <v>52772</v>
      </c>
      <c r="N2540" t="s">
        <v>52773</v>
      </c>
      <c r="O2540">
        <f>-688.477732507888 -89.2734799196364 -729.529982218692</f>
        <v>-1507.2811946462166</v>
      </c>
      <c r="P2540">
        <f>-709.104181542081 -71.4675100492186 -414.182946646503</f>
        <v>-1194.7546382378027</v>
      </c>
      <c r="Q2540">
        <f>-462.940604984943 -10.1207274537956 -356.893592973531</f>
        <v>-829.95492541226963</v>
      </c>
      <c r="R2540" t="s">
        <v>52774</v>
      </c>
      <c r="S2540" t="s">
        <v>52775</v>
      </c>
      <c r="T2540" t="s">
        <v>52776</v>
      </c>
      <c r="U2540" t="s">
        <v>52777</v>
      </c>
      <c r="V2540" t="s">
        <v>52778</v>
      </c>
      <c r="W2540" t="s">
        <v>52779</v>
      </c>
      <c r="X2540" t="s">
        <v>52780</v>
      </c>
      <c r="Y2540" t="s">
        <v>52781</v>
      </c>
    </row>
    <row r="2541" spans="1:25" x14ac:dyDescent="0.3">
      <c r="A2541">
        <v>127000</v>
      </c>
      <c r="B2541" t="s">
        <v>52782</v>
      </c>
      <c r="C2541" t="s">
        <v>52783</v>
      </c>
      <c r="D2541" t="s">
        <v>52784</v>
      </c>
      <c r="E2541" t="s">
        <v>52785</v>
      </c>
      <c r="F2541" t="s">
        <v>52786</v>
      </c>
      <c r="G2541" t="s">
        <v>52787</v>
      </c>
      <c r="H2541" t="s">
        <v>52788</v>
      </c>
      <c r="I2541" t="s">
        <v>52789</v>
      </c>
      <c r="J2541" t="s">
        <v>52790</v>
      </c>
      <c r="K2541" t="s">
        <v>52791</v>
      </c>
      <c r="L2541" t="s">
        <v>52792</v>
      </c>
      <c r="M2541" t="s">
        <v>52793</v>
      </c>
      <c r="N2541" t="s">
        <v>52794</v>
      </c>
      <c r="O2541">
        <f>-689.438812951453 -89.274171025635 -729.531693169344</f>
        <v>-1508.244677146432</v>
      </c>
      <c r="P2541">
        <f>-709.340915435753 -71.9506355915021 -414.111442149243</f>
        <v>-1195.4029931764981</v>
      </c>
      <c r="Q2541">
        <f>-463.220156671503 -10.0874462947381 -357.194122086806</f>
        <v>-830.50172505304704</v>
      </c>
      <c r="R2541" t="s">
        <v>52795</v>
      </c>
      <c r="S2541" t="s">
        <v>52796</v>
      </c>
      <c r="T2541" t="s">
        <v>52797</v>
      </c>
      <c r="U2541" t="s">
        <v>52798</v>
      </c>
      <c r="V2541" t="s">
        <v>52799</v>
      </c>
      <c r="W2541" t="s">
        <v>52800</v>
      </c>
      <c r="X2541" t="s">
        <v>52801</v>
      </c>
      <c r="Y2541" t="s">
        <v>52802</v>
      </c>
    </row>
    <row r="2542" spans="1:25" x14ac:dyDescent="0.3">
      <c r="A2542">
        <v>127050</v>
      </c>
      <c r="B2542" t="s">
        <v>52803</v>
      </c>
      <c r="C2542" t="s">
        <v>52804</v>
      </c>
      <c r="D2542" t="s">
        <v>52805</v>
      </c>
      <c r="E2542" t="s">
        <v>52806</v>
      </c>
      <c r="F2542" t="s">
        <v>52807</v>
      </c>
      <c r="G2542" t="s">
        <v>52808</v>
      </c>
      <c r="H2542" t="s">
        <v>52809</v>
      </c>
      <c r="I2542" t="s">
        <v>52810</v>
      </c>
      <c r="J2542" t="s">
        <v>52811</v>
      </c>
      <c r="K2542" t="s">
        <v>52812</v>
      </c>
      <c r="L2542" t="s">
        <v>52813</v>
      </c>
      <c r="M2542" t="s">
        <v>52814</v>
      </c>
      <c r="N2542" t="s">
        <v>52815</v>
      </c>
      <c r="O2542">
        <f>-691.547394242973 -89.6069526666793 -729.439749142418</f>
        <v>-1510.5940960520702</v>
      </c>
      <c r="P2542">
        <f>-710.464403646901 -72.728700758232 -413.934796856188</f>
        <v>-1197.1279012613209</v>
      </c>
      <c r="Q2542">
        <f>-464.333394848077 -9.98132716002692 -358.038495181437</f>
        <v>-832.35321718954083</v>
      </c>
      <c r="R2542" t="s">
        <v>52816</v>
      </c>
      <c r="S2542" t="s">
        <v>52817</v>
      </c>
      <c r="T2542" t="s">
        <v>52818</v>
      </c>
      <c r="U2542" t="s">
        <v>52819</v>
      </c>
      <c r="V2542" t="s">
        <v>52820</v>
      </c>
      <c r="W2542" t="s">
        <v>52821</v>
      </c>
      <c r="X2542" t="s">
        <v>52822</v>
      </c>
      <c r="Y2542" t="s">
        <v>52823</v>
      </c>
    </row>
    <row r="2543" spans="1:25" x14ac:dyDescent="0.3">
      <c r="A2543">
        <v>127100</v>
      </c>
      <c r="B2543" t="s">
        <v>52824</v>
      </c>
      <c r="C2543" t="s">
        <v>52825</v>
      </c>
      <c r="D2543" t="s">
        <v>52826</v>
      </c>
      <c r="E2543" t="s">
        <v>52827</v>
      </c>
      <c r="F2543" t="s">
        <v>52828</v>
      </c>
      <c r="G2543" t="s">
        <v>52829</v>
      </c>
      <c r="H2543" t="s">
        <v>52830</v>
      </c>
      <c r="I2543" t="s">
        <v>52831</v>
      </c>
      <c r="J2543" t="s">
        <v>52832</v>
      </c>
      <c r="K2543" t="s">
        <v>52833</v>
      </c>
      <c r="L2543" t="s">
        <v>52834</v>
      </c>
      <c r="M2543" t="s">
        <v>52835</v>
      </c>
      <c r="N2543" t="s">
        <v>52836</v>
      </c>
      <c r="O2543">
        <f>-692.81311025993 -89.700267443947 -729.520556635583</f>
        <v>-1512.0339343394601</v>
      </c>
      <c r="P2543">
        <f>-711.411298059538 -72.8396273717306 -413.995647351778</f>
        <v>-1198.2465727830465</v>
      </c>
      <c r="Q2543">
        <f>-465.327717819014 -9.6575963481373 -358.381252061378</f>
        <v>-833.36656622852934</v>
      </c>
      <c r="R2543" t="s">
        <v>52837</v>
      </c>
      <c r="S2543" t="s">
        <v>52838</v>
      </c>
      <c r="T2543" t="s">
        <v>52839</v>
      </c>
      <c r="U2543" t="s">
        <v>52840</v>
      </c>
      <c r="V2543" t="s">
        <v>52841</v>
      </c>
      <c r="W2543" t="s">
        <v>52842</v>
      </c>
      <c r="X2543" t="s">
        <v>52843</v>
      </c>
      <c r="Y2543" t="s">
        <v>52844</v>
      </c>
    </row>
    <row r="2544" spans="1:25" x14ac:dyDescent="0.3">
      <c r="A2544">
        <v>127150</v>
      </c>
      <c r="B2544" t="s">
        <v>52845</v>
      </c>
      <c r="C2544" t="s">
        <v>52846</v>
      </c>
      <c r="D2544" t="s">
        <v>52847</v>
      </c>
      <c r="E2544" t="s">
        <v>52848</v>
      </c>
      <c r="F2544" t="s">
        <v>52849</v>
      </c>
      <c r="G2544" t="s">
        <v>52850</v>
      </c>
      <c r="H2544" t="s">
        <v>52851</v>
      </c>
      <c r="I2544" t="s">
        <v>52852</v>
      </c>
      <c r="J2544" t="s">
        <v>52853</v>
      </c>
      <c r="K2544" t="s">
        <v>52854</v>
      </c>
      <c r="L2544" t="s">
        <v>52855</v>
      </c>
      <c r="M2544" t="s">
        <v>52856</v>
      </c>
      <c r="N2544" t="s">
        <v>52857</v>
      </c>
      <c r="O2544">
        <f>-695.698044199468 -89.7882798246592 -729.765206713857</f>
        <v>-1515.251530737984</v>
      </c>
      <c r="P2544">
        <f>-713.589618155394 -73.1070182450235 -414.189744172262</f>
        <v>-1200.8863805726794</v>
      </c>
      <c r="Q2544">
        <f>-467.668380713214 -9.10714093139904 -358.793073283952</f>
        <v>-835.56859492856506</v>
      </c>
      <c r="R2544" t="s">
        <v>52858</v>
      </c>
      <c r="S2544" t="s">
        <v>52859</v>
      </c>
      <c r="T2544" t="s">
        <v>52860</v>
      </c>
      <c r="U2544" t="s">
        <v>52861</v>
      </c>
      <c r="V2544" t="s">
        <v>52862</v>
      </c>
      <c r="W2544" t="s">
        <v>52863</v>
      </c>
      <c r="X2544" t="s">
        <v>52864</v>
      </c>
      <c r="Y2544" t="s">
        <v>52865</v>
      </c>
    </row>
    <row r="2545" spans="1:25" x14ac:dyDescent="0.3">
      <c r="A2545">
        <v>127200</v>
      </c>
      <c r="B2545" t="s">
        <v>52866</v>
      </c>
      <c r="C2545" t="s">
        <v>52867</v>
      </c>
      <c r="D2545" t="s">
        <v>52868</v>
      </c>
      <c r="E2545" t="s">
        <v>52869</v>
      </c>
      <c r="F2545" t="s">
        <v>52870</v>
      </c>
      <c r="G2545" t="s">
        <v>52871</v>
      </c>
      <c r="H2545" t="s">
        <v>52872</v>
      </c>
      <c r="I2545" t="s">
        <v>52873</v>
      </c>
      <c r="J2545" t="s">
        <v>52874</v>
      </c>
      <c r="K2545" t="s">
        <v>52875</v>
      </c>
      <c r="L2545" t="s">
        <v>52876</v>
      </c>
      <c r="M2545" t="s">
        <v>52877</v>
      </c>
      <c r="N2545" t="s">
        <v>52878</v>
      </c>
      <c r="O2545">
        <f>-697.191274103142 -89.9111587376044 -729.806797292388</f>
        <v>-1516.9092301331343</v>
      </c>
      <c r="P2545">
        <f>-714.682609324271 -73.3743940285606 -414.201350633231</f>
        <v>-1202.2583539860625</v>
      </c>
      <c r="Q2545">
        <f>-468.773307009057 -9.14313917040704 -359.019696188212</f>
        <v>-836.93614236767598</v>
      </c>
      <c r="R2545" t="s">
        <v>52879</v>
      </c>
      <c r="S2545" t="s">
        <v>52880</v>
      </c>
      <c r="T2545" t="s">
        <v>52881</v>
      </c>
      <c r="U2545" t="s">
        <v>52882</v>
      </c>
      <c r="V2545" t="s">
        <v>52883</v>
      </c>
      <c r="W2545" t="s">
        <v>52884</v>
      </c>
      <c r="X2545" t="s">
        <v>52885</v>
      </c>
      <c r="Y2545" t="s">
        <v>52886</v>
      </c>
    </row>
    <row r="2546" spans="1:25" x14ac:dyDescent="0.3">
      <c r="A2546">
        <v>127250</v>
      </c>
      <c r="B2546" t="s">
        <v>52887</v>
      </c>
      <c r="C2546" t="s">
        <v>52888</v>
      </c>
      <c r="D2546" t="s">
        <v>52889</v>
      </c>
      <c r="E2546" t="s">
        <v>52890</v>
      </c>
      <c r="F2546" t="s">
        <v>52891</v>
      </c>
      <c r="G2546" t="s">
        <v>52892</v>
      </c>
      <c r="H2546" t="s">
        <v>52893</v>
      </c>
      <c r="I2546" t="s">
        <v>52894</v>
      </c>
      <c r="J2546" t="s">
        <v>52895</v>
      </c>
      <c r="K2546" t="s">
        <v>52896</v>
      </c>
      <c r="L2546" t="s">
        <v>52897</v>
      </c>
      <c r="M2546" t="s">
        <v>52898</v>
      </c>
      <c r="N2546" t="s">
        <v>52899</v>
      </c>
      <c r="O2546">
        <f>-700.968521672932 -89.9451591380448 -729.739836519791</f>
        <v>-1520.6535173307677</v>
      </c>
      <c r="P2546">
        <f>-716.858983316537 -73.224971157729 -414.059429394006</f>
        <v>-1204.1433838682719</v>
      </c>
      <c r="Q2546">
        <f>-470.700465915603 -9.21781950521199 -359.73469204565</f>
        <v>-839.65297746646502</v>
      </c>
      <c r="R2546" t="s">
        <v>52900</v>
      </c>
      <c r="S2546" t="s">
        <v>52901</v>
      </c>
      <c r="T2546" t="s">
        <v>52902</v>
      </c>
      <c r="U2546" t="s">
        <v>52903</v>
      </c>
      <c r="V2546" t="s">
        <v>52904</v>
      </c>
      <c r="W2546" t="s">
        <v>52905</v>
      </c>
      <c r="X2546" t="s">
        <v>52906</v>
      </c>
      <c r="Y2546" t="s">
        <v>52907</v>
      </c>
    </row>
    <row r="2547" spans="1:25" x14ac:dyDescent="0.3">
      <c r="A2547">
        <v>127300</v>
      </c>
      <c r="B2547" t="s">
        <v>52908</v>
      </c>
      <c r="C2547" t="s">
        <v>52909</v>
      </c>
      <c r="D2547" t="s">
        <v>52910</v>
      </c>
      <c r="E2547" t="s">
        <v>52911</v>
      </c>
      <c r="F2547" t="s">
        <v>52912</v>
      </c>
      <c r="G2547" t="s">
        <v>52913</v>
      </c>
      <c r="H2547" t="s">
        <v>52914</v>
      </c>
      <c r="I2547" t="s">
        <v>52915</v>
      </c>
      <c r="J2547" t="s">
        <v>52916</v>
      </c>
      <c r="K2547" t="s">
        <v>52917</v>
      </c>
      <c r="L2547" t="s">
        <v>52918</v>
      </c>
      <c r="M2547" t="s">
        <v>52919</v>
      </c>
      <c r="N2547" t="s">
        <v>52920</v>
      </c>
      <c r="O2547">
        <f>-702.969510919887 -89.8950079026383 -729.707795645771</f>
        <v>-1522.5723144682961</v>
      </c>
      <c r="P2547">
        <f>-718.059055335358 -73.0497715152626 -413.994648695637</f>
        <v>-1205.1034755462576</v>
      </c>
      <c r="Q2547">
        <f>-471.71203238218 -9.21032635448182 -360.332060190179</f>
        <v>-841.2544189268408</v>
      </c>
      <c r="R2547" t="s">
        <v>52921</v>
      </c>
      <c r="S2547" t="s">
        <v>52922</v>
      </c>
      <c r="T2547" t="s">
        <v>52923</v>
      </c>
      <c r="U2547" t="s">
        <v>52924</v>
      </c>
      <c r="V2547" t="s">
        <v>52925</v>
      </c>
      <c r="W2547" t="s">
        <v>52926</v>
      </c>
      <c r="X2547" t="s">
        <v>52927</v>
      </c>
      <c r="Y2547" t="s">
        <v>52928</v>
      </c>
    </row>
    <row r="2548" spans="1:25" x14ac:dyDescent="0.3">
      <c r="A2548">
        <v>127350</v>
      </c>
      <c r="B2548" t="s">
        <v>52929</v>
      </c>
      <c r="C2548" t="s">
        <v>52930</v>
      </c>
      <c r="D2548" t="s">
        <v>52931</v>
      </c>
      <c r="E2548" t="s">
        <v>52932</v>
      </c>
      <c r="F2548" t="s">
        <v>52933</v>
      </c>
      <c r="G2548" t="s">
        <v>52934</v>
      </c>
      <c r="H2548" t="s">
        <v>52935</v>
      </c>
      <c r="I2548" t="s">
        <v>52936</v>
      </c>
      <c r="J2548" t="s">
        <v>52937</v>
      </c>
      <c r="K2548" t="s">
        <v>52938</v>
      </c>
      <c r="L2548" t="s">
        <v>52939</v>
      </c>
      <c r="M2548" t="s">
        <v>52940</v>
      </c>
      <c r="N2548" t="s">
        <v>52941</v>
      </c>
      <c r="O2548">
        <f>-706.622006335307 -89.6692933808858 -729.729974540917</f>
        <v>-1526.0212742571098</v>
      </c>
      <c r="P2548">
        <f>-720.048993058279 -72.5990565574721 -413.954078916103</f>
        <v>-1206.6021285318541</v>
      </c>
      <c r="Q2548">
        <f>-473.187637156321 -9.98759534083047 -361.215881083652</f>
        <v>-844.39111358080345</v>
      </c>
      <c r="R2548" t="s">
        <v>52942</v>
      </c>
      <c r="S2548" t="s">
        <v>52943</v>
      </c>
      <c r="T2548" t="s">
        <v>52944</v>
      </c>
      <c r="U2548" t="s">
        <v>52945</v>
      </c>
      <c r="V2548" t="s">
        <v>52946</v>
      </c>
      <c r="W2548" t="s">
        <v>52947</v>
      </c>
      <c r="X2548" t="s">
        <v>52948</v>
      </c>
      <c r="Y2548" t="s">
        <v>52949</v>
      </c>
    </row>
    <row r="2549" spans="1:25" x14ac:dyDescent="0.3">
      <c r="A2549">
        <v>127400</v>
      </c>
      <c r="B2549" t="s">
        <v>52950</v>
      </c>
      <c r="C2549" t="s">
        <v>52951</v>
      </c>
      <c r="D2549" t="s">
        <v>52952</v>
      </c>
      <c r="E2549" t="s">
        <v>52953</v>
      </c>
      <c r="F2549" t="s">
        <v>52954</v>
      </c>
      <c r="G2549" t="s">
        <v>52955</v>
      </c>
      <c r="H2549" t="s">
        <v>52956</v>
      </c>
      <c r="I2549" t="s">
        <v>52957</v>
      </c>
      <c r="J2549" t="s">
        <v>52958</v>
      </c>
      <c r="K2549" t="s">
        <v>52959</v>
      </c>
      <c r="L2549" t="s">
        <v>52960</v>
      </c>
      <c r="M2549" t="s">
        <v>52961</v>
      </c>
      <c r="N2549" t="s">
        <v>52962</v>
      </c>
      <c r="O2549">
        <f>-708.195503805907 -89.5033332492333 -729.62051931699</f>
        <v>-1527.3193563721302</v>
      </c>
      <c r="P2549">
        <f>-720.769247817156 -72.3936262970435 -413.81150091419</f>
        <v>-1206.9743750283897</v>
      </c>
      <c r="Q2549">
        <f>-473.546030259511 -10.5793700222812 -361.833172665882</f>
        <v>-845.95857294767416</v>
      </c>
      <c r="R2549" t="s">
        <v>52963</v>
      </c>
      <c r="S2549" t="s">
        <v>52964</v>
      </c>
      <c r="T2549" t="s">
        <v>52965</v>
      </c>
      <c r="U2549" t="s">
        <v>52966</v>
      </c>
      <c r="V2549" t="s">
        <v>52967</v>
      </c>
      <c r="W2549" t="s">
        <v>52968</v>
      </c>
      <c r="X2549" t="s">
        <v>52969</v>
      </c>
      <c r="Y2549" t="s">
        <v>52970</v>
      </c>
    </row>
    <row r="2550" spans="1:25" x14ac:dyDescent="0.3">
      <c r="A2550">
        <v>127450</v>
      </c>
      <c r="B2550" t="s">
        <v>52971</v>
      </c>
      <c r="C2550" t="s">
        <v>52972</v>
      </c>
      <c r="D2550" t="s">
        <v>52973</v>
      </c>
      <c r="E2550" t="s">
        <v>52974</v>
      </c>
      <c r="F2550" t="s">
        <v>52975</v>
      </c>
      <c r="G2550" t="s">
        <v>52976</v>
      </c>
      <c r="H2550" t="s">
        <v>52977</v>
      </c>
      <c r="I2550" t="s">
        <v>52978</v>
      </c>
      <c r="J2550" t="s">
        <v>52979</v>
      </c>
      <c r="K2550" t="s">
        <v>52980</v>
      </c>
      <c r="L2550" t="s">
        <v>52981</v>
      </c>
      <c r="M2550" t="s">
        <v>52982</v>
      </c>
      <c r="N2550" t="s">
        <v>52983</v>
      </c>
      <c r="O2550">
        <f>-711.254819315551 -89.2881369475488 -729.220261914205</f>
        <v>-1529.7632181773047</v>
      </c>
      <c r="P2550">
        <f>-721.635628640709 -71.7032643974117 -413.357617599804</f>
        <v>-1206.6965106379246</v>
      </c>
      <c r="Q2550">
        <f>-473.512640384551 -13.0339747042347 -362.025254994705</f>
        <v>-848.57187008349069</v>
      </c>
      <c r="R2550" t="s">
        <v>52984</v>
      </c>
      <c r="S2550" t="s">
        <v>52985</v>
      </c>
      <c r="T2550" t="s">
        <v>52986</v>
      </c>
      <c r="U2550" t="s">
        <v>52987</v>
      </c>
      <c r="V2550" t="s">
        <v>52988</v>
      </c>
      <c r="W2550" t="s">
        <v>52989</v>
      </c>
      <c r="X2550" t="s">
        <v>52990</v>
      </c>
      <c r="Y2550" t="s">
        <v>52991</v>
      </c>
    </row>
    <row r="2551" spans="1:25" x14ac:dyDescent="0.3">
      <c r="A2551">
        <v>127500</v>
      </c>
      <c r="B2551" t="s">
        <v>52992</v>
      </c>
      <c r="C2551" t="s">
        <v>52993</v>
      </c>
      <c r="D2551" t="s">
        <v>52994</v>
      </c>
      <c r="E2551" t="s">
        <v>52995</v>
      </c>
      <c r="F2551" t="s">
        <v>52996</v>
      </c>
      <c r="G2551" t="s">
        <v>52997</v>
      </c>
      <c r="H2551" t="s">
        <v>52998</v>
      </c>
      <c r="I2551" t="s">
        <v>52999</v>
      </c>
      <c r="J2551" t="s">
        <v>53000</v>
      </c>
      <c r="K2551" t="s">
        <v>53001</v>
      </c>
      <c r="L2551" t="s">
        <v>53002</v>
      </c>
      <c r="M2551" t="s">
        <v>53003</v>
      </c>
      <c r="N2551" t="s">
        <v>53004</v>
      </c>
      <c r="O2551">
        <f>-712.885762114638 -88.9533559636718 -729.016275400839</f>
        <v>-1530.8553934791489</v>
      </c>
      <c r="P2551">
        <f>-722.22869775714 -71.242984563484 -413.128326836131</f>
        <v>-1206.600009156755</v>
      </c>
      <c r="Q2551">
        <f>-473.662244212327 -13.9422784850738 -362.399707598772</f>
        <v>-850.00423029617286</v>
      </c>
      <c r="R2551" t="s">
        <v>53005</v>
      </c>
      <c r="S2551" t="s">
        <v>53006</v>
      </c>
      <c r="T2551" t="s">
        <v>53007</v>
      </c>
      <c r="U2551" t="s">
        <v>53008</v>
      </c>
      <c r="V2551" t="s">
        <v>53009</v>
      </c>
      <c r="W2551" t="s">
        <v>53010</v>
      </c>
      <c r="X2551" t="s">
        <v>53011</v>
      </c>
      <c r="Y2551" t="s">
        <v>53012</v>
      </c>
    </row>
    <row r="2552" spans="1:25" x14ac:dyDescent="0.3">
      <c r="A2552">
        <v>127550</v>
      </c>
      <c r="B2552" t="s">
        <v>53013</v>
      </c>
      <c r="C2552" t="s">
        <v>53014</v>
      </c>
      <c r="D2552" t="s">
        <v>53015</v>
      </c>
      <c r="E2552" t="s">
        <v>53016</v>
      </c>
      <c r="F2552" t="s">
        <v>53017</v>
      </c>
      <c r="G2552" t="s">
        <v>53018</v>
      </c>
      <c r="H2552" t="s">
        <v>53019</v>
      </c>
      <c r="I2552" t="s">
        <v>53020</v>
      </c>
      <c r="J2552" t="s">
        <v>53021</v>
      </c>
      <c r="K2552" t="s">
        <v>53022</v>
      </c>
      <c r="L2552" t="s">
        <v>53023</v>
      </c>
      <c r="M2552" t="s">
        <v>53024</v>
      </c>
      <c r="N2552" t="s">
        <v>53025</v>
      </c>
      <c r="O2552">
        <f>-715.524509716333 -88.1410648613603 -728.60533684557</f>
        <v>-1532.2709114232634</v>
      </c>
      <c r="P2552">
        <f>-723.095249800051 -70.9169914577208 -412.643061159567</f>
        <v>-1206.6553024173388</v>
      </c>
      <c r="Q2552">
        <f>-473.895531609942 -15.7394248263888 -362.672807715868</f>
        <v>-852.30776415219884</v>
      </c>
      <c r="R2552" t="s">
        <v>53026</v>
      </c>
      <c r="S2552" t="s">
        <v>53027</v>
      </c>
      <c r="T2552" t="s">
        <v>53028</v>
      </c>
      <c r="U2552" t="s">
        <v>53029</v>
      </c>
      <c r="V2552" t="s">
        <v>53030</v>
      </c>
      <c r="W2552" t="s">
        <v>53031</v>
      </c>
      <c r="X2552" t="s">
        <v>53032</v>
      </c>
      <c r="Y2552" t="s">
        <v>53033</v>
      </c>
    </row>
    <row r="2553" spans="1:25" x14ac:dyDescent="0.3">
      <c r="A2553">
        <v>127600</v>
      </c>
      <c r="B2553" t="s">
        <v>53034</v>
      </c>
      <c r="C2553" t="s">
        <v>53035</v>
      </c>
      <c r="D2553" t="s">
        <v>53036</v>
      </c>
      <c r="E2553" t="s">
        <v>53037</v>
      </c>
      <c r="F2553" t="s">
        <v>53038</v>
      </c>
      <c r="G2553" t="s">
        <v>53039</v>
      </c>
      <c r="H2553" t="s">
        <v>53040</v>
      </c>
      <c r="I2553" t="s">
        <v>53041</v>
      </c>
      <c r="J2553" t="s">
        <v>53042</v>
      </c>
      <c r="K2553" t="s">
        <v>53043</v>
      </c>
      <c r="L2553" t="s">
        <v>53044</v>
      </c>
      <c r="M2553" t="s">
        <v>53045</v>
      </c>
      <c r="N2553" t="s">
        <v>53046</v>
      </c>
      <c r="O2553">
        <f>-716.666242136891 -87.8779111522265 -728.357560294678</f>
        <v>-1532.9017135837955</v>
      </c>
      <c r="P2553">
        <f>-723.665089675042 -70.8365726398504 -412.37195338135</f>
        <v>-1206.8736156962425</v>
      </c>
      <c r="Q2553">
        <f>-474.250260619173 -16.5866550696201 -362.459268273951</f>
        <v>-853.29618396274418</v>
      </c>
      <c r="R2553" t="s">
        <v>53047</v>
      </c>
      <c r="S2553" t="s">
        <v>53048</v>
      </c>
      <c r="T2553" t="s">
        <v>53049</v>
      </c>
      <c r="U2553" t="s">
        <v>53050</v>
      </c>
      <c r="V2553" t="s">
        <v>53051</v>
      </c>
      <c r="W2553" t="s">
        <v>53052</v>
      </c>
      <c r="X2553" t="s">
        <v>53053</v>
      </c>
      <c r="Y2553" t="s">
        <v>53054</v>
      </c>
    </row>
    <row r="2554" spans="1:25" x14ac:dyDescent="0.3">
      <c r="A2554">
        <v>127650</v>
      </c>
      <c r="B2554" t="s">
        <v>53055</v>
      </c>
      <c r="C2554" t="s">
        <v>53056</v>
      </c>
      <c r="D2554" t="s">
        <v>53057</v>
      </c>
      <c r="E2554" t="s">
        <v>53058</v>
      </c>
      <c r="F2554" t="s">
        <v>53059</v>
      </c>
      <c r="G2554" t="s">
        <v>53060</v>
      </c>
      <c r="H2554" t="s">
        <v>53061</v>
      </c>
      <c r="I2554" t="s">
        <v>53062</v>
      </c>
      <c r="J2554" t="s">
        <v>53063</v>
      </c>
      <c r="K2554" t="s">
        <v>53064</v>
      </c>
      <c r="L2554" t="s">
        <v>53065</v>
      </c>
      <c r="M2554" t="s">
        <v>53066</v>
      </c>
      <c r="N2554" t="s">
        <v>53067</v>
      </c>
      <c r="O2554">
        <f>-718.456000082462 -87.4300613278836 -727.786440430334</f>
        <v>-1533.6725018406796</v>
      </c>
      <c r="P2554">
        <f>-724.900882402904 -69.8565250534252 -411.818276454868</f>
        <v>-1206.5756839111973</v>
      </c>
      <c r="Q2554">
        <f>-475.138800556009 -16.6960782640799 -362.473444238923</f>
        <v>-854.30832305901185</v>
      </c>
      <c r="R2554" t="s">
        <v>53068</v>
      </c>
      <c r="S2554" t="s">
        <v>53069</v>
      </c>
      <c r="T2554" t="s">
        <v>53070</v>
      </c>
      <c r="U2554" t="s">
        <v>53071</v>
      </c>
      <c r="V2554" t="s">
        <v>53072</v>
      </c>
      <c r="W2554" t="s">
        <v>53073</v>
      </c>
      <c r="X2554" t="s">
        <v>53074</v>
      </c>
      <c r="Y2554" t="s">
        <v>53075</v>
      </c>
    </row>
    <row r="2555" spans="1:25" x14ac:dyDescent="0.3">
      <c r="A2555">
        <v>127700</v>
      </c>
      <c r="B2555" t="s">
        <v>53076</v>
      </c>
      <c r="C2555" t="s">
        <v>53077</v>
      </c>
      <c r="D2555" t="s">
        <v>53078</v>
      </c>
      <c r="E2555" t="s">
        <v>53079</v>
      </c>
      <c r="F2555" t="s">
        <v>53080</v>
      </c>
      <c r="G2555" t="s">
        <v>53081</v>
      </c>
      <c r="H2555" t="s">
        <v>53082</v>
      </c>
      <c r="I2555" t="s">
        <v>53083</v>
      </c>
      <c r="J2555" t="s">
        <v>53084</v>
      </c>
      <c r="K2555" t="s">
        <v>53085</v>
      </c>
      <c r="L2555" t="s">
        <v>53086</v>
      </c>
      <c r="M2555" t="s">
        <v>53087</v>
      </c>
      <c r="N2555" t="s">
        <v>53088</v>
      </c>
      <c r="O2555">
        <f>-719.119728584409 -87.2172603562694 -727.537031937493</f>
        <v>-1533.8740208781715</v>
      </c>
      <c r="P2555">
        <f>-725.401864632576 -69.6624744189928 -411.564689033833</f>
        <v>-1206.6290280854018</v>
      </c>
      <c r="Q2555">
        <f>-475.5321531809 -17.0865776860139 -362.138360253239</f>
        <v>-854.75709112015295</v>
      </c>
      <c r="R2555" t="s">
        <v>53089</v>
      </c>
      <c r="S2555" t="s">
        <v>53090</v>
      </c>
      <c r="T2555" t="s">
        <v>53091</v>
      </c>
      <c r="U2555" t="s">
        <v>53092</v>
      </c>
      <c r="V2555" t="s">
        <v>53093</v>
      </c>
      <c r="W2555" t="s">
        <v>53094</v>
      </c>
      <c r="X2555" t="s">
        <v>53095</v>
      </c>
      <c r="Y2555" t="s">
        <v>53096</v>
      </c>
    </row>
    <row r="2556" spans="1:25" x14ac:dyDescent="0.3">
      <c r="A2556">
        <v>127750</v>
      </c>
      <c r="B2556" t="s">
        <v>53097</v>
      </c>
      <c r="C2556" t="s">
        <v>53098</v>
      </c>
      <c r="D2556" t="s">
        <v>53099</v>
      </c>
      <c r="E2556" t="s">
        <v>53100</v>
      </c>
      <c r="F2556" t="s">
        <v>53101</v>
      </c>
      <c r="G2556" t="s">
        <v>53102</v>
      </c>
      <c r="H2556" t="s">
        <v>53103</v>
      </c>
      <c r="I2556" t="s">
        <v>53104</v>
      </c>
      <c r="J2556" t="s">
        <v>53105</v>
      </c>
      <c r="K2556" t="s">
        <v>53106</v>
      </c>
      <c r="L2556" t="s">
        <v>53107</v>
      </c>
      <c r="M2556" t="s">
        <v>53108</v>
      </c>
      <c r="N2556" t="s">
        <v>53109</v>
      </c>
      <c r="O2556">
        <f>-720.043148393996 -86.3995204894554 -727.259350717507</f>
        <v>-1533.7020196009585</v>
      </c>
      <c r="P2556">
        <f>-726.228991002459 -68.1435670241292 -411.324717134945</f>
        <v>-1205.6972751615331</v>
      </c>
      <c r="Q2556">
        <f>-476.424222601449 -15.9152883561183 -361.206961722884</f>
        <v>-853.5464726804513</v>
      </c>
      <c r="R2556" t="s">
        <v>53110</v>
      </c>
      <c r="S2556" t="s">
        <v>53111</v>
      </c>
      <c r="T2556" t="s">
        <v>53112</v>
      </c>
      <c r="U2556" t="s">
        <v>53113</v>
      </c>
      <c r="V2556" t="s">
        <v>53114</v>
      </c>
      <c r="W2556" t="s">
        <v>53115</v>
      </c>
      <c r="X2556" t="s">
        <v>53116</v>
      </c>
      <c r="Y2556" t="s">
        <v>53117</v>
      </c>
    </row>
    <row r="2557" spans="1:25" x14ac:dyDescent="0.3">
      <c r="A2557">
        <v>127800</v>
      </c>
      <c r="B2557" t="s">
        <v>53118</v>
      </c>
      <c r="C2557" t="s">
        <v>53119</v>
      </c>
      <c r="D2557" t="s">
        <v>53120</v>
      </c>
      <c r="E2557" t="s">
        <v>53121</v>
      </c>
      <c r="F2557" t="s">
        <v>53122</v>
      </c>
      <c r="G2557" t="s">
        <v>53123</v>
      </c>
      <c r="H2557" t="s">
        <v>53124</v>
      </c>
      <c r="I2557" t="s">
        <v>53125</v>
      </c>
      <c r="J2557" t="s">
        <v>53126</v>
      </c>
      <c r="K2557" t="s">
        <v>53127</v>
      </c>
      <c r="L2557" t="s">
        <v>53128</v>
      </c>
      <c r="M2557" t="s">
        <v>53129</v>
      </c>
      <c r="N2557" t="s">
        <v>53130</v>
      </c>
      <c r="O2557">
        <f>-720.228143031785 -85.8517725155345 -727.299858101486</f>
        <v>-1533.3797736488054</v>
      </c>
      <c r="P2557">
        <f>-726.542027666348 -67.4819967177102 -411.374525371712</f>
        <v>-1205.3985497557701</v>
      </c>
      <c r="Q2557">
        <f>-476.863735456236 -15.0828269898511 -360.806773549777</f>
        <v>-852.75333599586406</v>
      </c>
      <c r="R2557" t="s">
        <v>53131</v>
      </c>
      <c r="S2557" t="s">
        <v>53132</v>
      </c>
      <c r="T2557" t="s">
        <v>53133</v>
      </c>
      <c r="U2557" t="s">
        <v>53134</v>
      </c>
      <c r="V2557" t="s">
        <v>53135</v>
      </c>
      <c r="W2557" t="s">
        <v>53136</v>
      </c>
      <c r="X2557" t="s">
        <v>53137</v>
      </c>
      <c r="Y2557" t="s">
        <v>53138</v>
      </c>
    </row>
    <row r="2558" spans="1:25" x14ac:dyDescent="0.3">
      <c r="A2558">
        <v>127850</v>
      </c>
      <c r="B2558" t="s">
        <v>53139</v>
      </c>
      <c r="C2558" t="s">
        <v>53140</v>
      </c>
      <c r="D2558" t="s">
        <v>53141</v>
      </c>
      <c r="E2558" t="s">
        <v>53142</v>
      </c>
      <c r="F2558" t="s">
        <v>53143</v>
      </c>
      <c r="G2558" t="s">
        <v>53144</v>
      </c>
      <c r="H2558" t="s">
        <v>53145</v>
      </c>
      <c r="I2558" t="s">
        <v>53146</v>
      </c>
      <c r="J2558" t="s">
        <v>53147</v>
      </c>
      <c r="K2558" t="s">
        <v>53148</v>
      </c>
      <c r="L2558" t="s">
        <v>53149</v>
      </c>
      <c r="M2558" t="s">
        <v>53150</v>
      </c>
      <c r="N2558" t="s">
        <v>53151</v>
      </c>
      <c r="O2558">
        <f>-720.44150608244 -84.5759362329609 -727.550927782757</f>
        <v>-1532.5683700981579</v>
      </c>
      <c r="P2558">
        <f>-727.071503171731 -65.935399298636 -411.647916850773</f>
        <v>-1204.6548193211399</v>
      </c>
      <c r="Q2558">
        <f>-477.54784054974 -13.2382136223671 -360.628134109065</f>
        <v>-851.41418828117207</v>
      </c>
      <c r="R2558" t="s">
        <v>53152</v>
      </c>
      <c r="S2558" t="s">
        <v>53153</v>
      </c>
      <c r="T2558" t="s">
        <v>53154</v>
      </c>
      <c r="U2558" t="s">
        <v>53155</v>
      </c>
      <c r="V2558" t="s">
        <v>53156</v>
      </c>
      <c r="W2558" t="s">
        <v>53157</v>
      </c>
      <c r="X2558" t="s">
        <v>53158</v>
      </c>
      <c r="Y2558" t="s">
        <v>53159</v>
      </c>
    </row>
    <row r="2559" spans="1:25" x14ac:dyDescent="0.3">
      <c r="A2559">
        <v>127900</v>
      </c>
      <c r="B2559" t="s">
        <v>53160</v>
      </c>
      <c r="C2559" t="s">
        <v>53161</v>
      </c>
      <c r="D2559" t="s">
        <v>53162</v>
      </c>
      <c r="E2559" t="s">
        <v>53163</v>
      </c>
      <c r="F2559" t="s">
        <v>53164</v>
      </c>
      <c r="G2559" t="s">
        <v>53165</v>
      </c>
      <c r="H2559" t="s">
        <v>53166</v>
      </c>
      <c r="I2559" t="s">
        <v>53167</v>
      </c>
      <c r="J2559" t="s">
        <v>53168</v>
      </c>
      <c r="K2559" t="s">
        <v>53169</v>
      </c>
      <c r="L2559" t="s">
        <v>53170</v>
      </c>
      <c r="M2559" t="s">
        <v>53171</v>
      </c>
      <c r="N2559" t="s">
        <v>53172</v>
      </c>
      <c r="O2559">
        <f>-720.664311678369 -83.9623749345822 -727.573882157377</f>
        <v>-1532.2005687703281</v>
      </c>
      <c r="P2559">
        <f>-727.26006970677 -65.5704560693055 -411.655490727828</f>
        <v>-1204.4860165039036</v>
      </c>
      <c r="Q2559">
        <f>-477.718690816541 -12.9589991160174 -360.634112028028</f>
        <v>-851.31180196058654</v>
      </c>
      <c r="R2559" t="s">
        <v>53173</v>
      </c>
      <c r="S2559" t="s">
        <v>53174</v>
      </c>
      <c r="T2559" t="s">
        <v>53175</v>
      </c>
      <c r="U2559" t="s">
        <v>53176</v>
      </c>
      <c r="V2559" t="s">
        <v>53177</v>
      </c>
      <c r="W2559" t="s">
        <v>53178</v>
      </c>
      <c r="X2559" t="s">
        <v>53179</v>
      </c>
      <c r="Y2559" t="s">
        <v>53180</v>
      </c>
    </row>
    <row r="2560" spans="1:25" x14ac:dyDescent="0.3">
      <c r="A2560">
        <v>127950</v>
      </c>
      <c r="B2560" t="s">
        <v>53181</v>
      </c>
      <c r="C2560" t="s">
        <v>53182</v>
      </c>
      <c r="D2560" t="s">
        <v>53183</v>
      </c>
      <c r="E2560" t="s">
        <v>53184</v>
      </c>
      <c r="F2560" t="s">
        <v>53185</v>
      </c>
      <c r="G2560" t="s">
        <v>53186</v>
      </c>
      <c r="H2560" t="s">
        <v>53187</v>
      </c>
      <c r="I2560" t="s">
        <v>53188</v>
      </c>
      <c r="J2560" t="s">
        <v>53189</v>
      </c>
      <c r="K2560" t="s">
        <v>53190</v>
      </c>
      <c r="L2560" t="s">
        <v>53191</v>
      </c>
      <c r="M2560" t="s">
        <v>53192</v>
      </c>
      <c r="N2560" t="s">
        <v>53193</v>
      </c>
      <c r="O2560">
        <f>-720.209216669395 -82.8554004737975 -727.795803391569</f>
        <v>-1530.8604205347615</v>
      </c>
      <c r="P2560">
        <f>-727.194623917048 -65.0920025176783 -411.849797063258</f>
        <v>-1204.1364234979844</v>
      </c>
      <c r="Q2560">
        <f>-477.591169665461 -12.6729217242776 -360.933777067319</f>
        <v>-851.19786845705767</v>
      </c>
      <c r="R2560" t="s">
        <v>53194</v>
      </c>
      <c r="S2560" t="s">
        <v>53195</v>
      </c>
      <c r="T2560" t="s">
        <v>53196</v>
      </c>
      <c r="U2560" t="s">
        <v>53197</v>
      </c>
      <c r="V2560" t="s">
        <v>53198</v>
      </c>
      <c r="W2560" t="s">
        <v>53199</v>
      </c>
      <c r="X2560" t="s">
        <v>53200</v>
      </c>
      <c r="Y2560" t="s">
        <v>53201</v>
      </c>
    </row>
    <row r="2561" spans="1:25" x14ac:dyDescent="0.3">
      <c r="A2561">
        <v>128000</v>
      </c>
      <c r="B2561" t="s">
        <v>53202</v>
      </c>
      <c r="C2561" t="s">
        <v>53203</v>
      </c>
      <c r="D2561" t="s">
        <v>53204</v>
      </c>
      <c r="E2561" t="s">
        <v>53205</v>
      </c>
      <c r="F2561" t="s">
        <v>53206</v>
      </c>
      <c r="G2561" t="s">
        <v>53207</v>
      </c>
      <c r="H2561" t="s">
        <v>53208</v>
      </c>
      <c r="I2561" t="s">
        <v>53209</v>
      </c>
      <c r="J2561" t="s">
        <v>53210</v>
      </c>
      <c r="K2561" t="s">
        <v>53211</v>
      </c>
      <c r="L2561" t="s">
        <v>53212</v>
      </c>
      <c r="M2561" t="s">
        <v>53213</v>
      </c>
      <c r="N2561" t="s">
        <v>53214</v>
      </c>
      <c r="O2561">
        <f>-719.751352058542 -82.1061815743603 -727.971578184211</f>
        <v>-1529.8291118171132</v>
      </c>
      <c r="P2561">
        <f>-726.860784986423 -64.8394881266011 -412.000804119567</f>
        <v>-1203.7010772325912</v>
      </c>
      <c r="Q2561">
        <f>-477.27024099037 -12.5360218974261 -360.903370470993</f>
        <v>-850.70963335878912</v>
      </c>
      <c r="R2561" t="s">
        <v>53215</v>
      </c>
      <c r="S2561" t="s">
        <v>53216</v>
      </c>
      <c r="T2561" t="s">
        <v>53217</v>
      </c>
      <c r="U2561" t="s">
        <v>53218</v>
      </c>
      <c r="V2561" t="s">
        <v>53219</v>
      </c>
      <c r="W2561" t="s">
        <v>53220</v>
      </c>
      <c r="X2561" t="s">
        <v>53221</v>
      </c>
      <c r="Y2561" t="s">
        <v>53222</v>
      </c>
    </row>
    <row r="2562" spans="1:25" x14ac:dyDescent="0.3">
      <c r="A2562">
        <v>128050</v>
      </c>
      <c r="B2562" t="s">
        <v>53223</v>
      </c>
      <c r="C2562" t="s">
        <v>53224</v>
      </c>
      <c r="D2562" t="s">
        <v>53225</v>
      </c>
      <c r="E2562" t="s">
        <v>53226</v>
      </c>
      <c r="F2562" t="s">
        <v>53227</v>
      </c>
      <c r="G2562" t="s">
        <v>53228</v>
      </c>
      <c r="H2562" t="s">
        <v>53229</v>
      </c>
      <c r="I2562" t="s">
        <v>53230</v>
      </c>
      <c r="J2562" t="s">
        <v>53231</v>
      </c>
      <c r="K2562" t="s">
        <v>53232</v>
      </c>
      <c r="L2562" t="s">
        <v>53233</v>
      </c>
      <c r="M2562" t="s">
        <v>53234</v>
      </c>
      <c r="N2562" t="s">
        <v>53235</v>
      </c>
      <c r="O2562">
        <f>-718.595578550306 -81.0417147308872 -728.24834571502</f>
        <v>-1527.8856389962132</v>
      </c>
      <c r="P2562">
        <f>-726.113314289684 -64.2097265644613 -412.263566546322</f>
        <v>-1202.5866074004673</v>
      </c>
      <c r="Q2562">
        <f>-476.555375314586 -12.0027573696423 -360.908378900253</f>
        <v>-849.4665115844814</v>
      </c>
      <c r="R2562" t="s">
        <v>53236</v>
      </c>
      <c r="S2562" t="s">
        <v>53237</v>
      </c>
      <c r="T2562" t="s">
        <v>53238</v>
      </c>
      <c r="U2562" t="s">
        <v>53239</v>
      </c>
      <c r="V2562" t="s">
        <v>53240</v>
      </c>
      <c r="W2562" t="s">
        <v>53241</v>
      </c>
      <c r="X2562" t="s">
        <v>53242</v>
      </c>
      <c r="Y2562" t="s">
        <v>53243</v>
      </c>
    </row>
    <row r="2563" spans="1:25" x14ac:dyDescent="0.3">
      <c r="A2563">
        <v>128100</v>
      </c>
      <c r="B2563" t="s">
        <v>53244</v>
      </c>
      <c r="C2563" t="s">
        <v>53245</v>
      </c>
      <c r="D2563" t="s">
        <v>53246</v>
      </c>
      <c r="E2563" t="s">
        <v>53247</v>
      </c>
      <c r="F2563" t="s">
        <v>53248</v>
      </c>
      <c r="G2563" t="s">
        <v>53249</v>
      </c>
      <c r="H2563" t="s">
        <v>53250</v>
      </c>
      <c r="I2563" t="s">
        <v>53251</v>
      </c>
      <c r="J2563" t="s">
        <v>53252</v>
      </c>
      <c r="K2563" t="s">
        <v>53253</v>
      </c>
      <c r="L2563" t="s">
        <v>53254</v>
      </c>
      <c r="M2563" t="s">
        <v>53255</v>
      </c>
      <c r="N2563" t="s">
        <v>53256</v>
      </c>
      <c r="O2563">
        <f>-717.973538051399 -80.4604655626149 -728.365643578223</f>
        <v>-1526.799647192237</v>
      </c>
      <c r="P2563">
        <f>-725.461656417563 -63.8439509131131 -412.368697354713</f>
        <v>-1201.674304685389</v>
      </c>
      <c r="Q2563">
        <f>-475.944372082886 -11.5860030258525 -360.868548963746</f>
        <v>-848.39892407248453</v>
      </c>
      <c r="R2563" t="s">
        <v>53257</v>
      </c>
      <c r="S2563" t="s">
        <v>53258</v>
      </c>
      <c r="T2563" t="s">
        <v>53259</v>
      </c>
      <c r="U2563" t="s">
        <v>53260</v>
      </c>
      <c r="V2563" t="s">
        <v>53261</v>
      </c>
      <c r="W2563" t="s">
        <v>53262</v>
      </c>
      <c r="X2563" t="s">
        <v>53263</v>
      </c>
      <c r="Y2563" t="s">
        <v>53264</v>
      </c>
    </row>
    <row r="2564" spans="1:25" x14ac:dyDescent="0.3">
      <c r="A2564">
        <v>128150</v>
      </c>
      <c r="B2564" t="s">
        <v>53265</v>
      </c>
      <c r="C2564" t="s">
        <v>53266</v>
      </c>
      <c r="D2564" t="s">
        <v>53267</v>
      </c>
      <c r="E2564" t="s">
        <v>53268</v>
      </c>
      <c r="F2564" t="s">
        <v>53269</v>
      </c>
      <c r="G2564" t="s">
        <v>53270</v>
      </c>
      <c r="H2564" t="s">
        <v>53271</v>
      </c>
      <c r="I2564" t="s">
        <v>53272</v>
      </c>
      <c r="J2564" t="s">
        <v>53273</v>
      </c>
      <c r="K2564" t="s">
        <v>53274</v>
      </c>
      <c r="L2564" t="s">
        <v>53275</v>
      </c>
      <c r="M2564" t="s">
        <v>53276</v>
      </c>
      <c r="N2564" t="s">
        <v>53277</v>
      </c>
      <c r="O2564">
        <f>-717.073869312188 -79.2838731606164 -728.428369254505</f>
        <v>-1524.7861117273094</v>
      </c>
      <c r="P2564">
        <f>-724.345893795421 -62.7506292879186 -412.422034962123</f>
        <v>-1199.5185580454627</v>
      </c>
      <c r="Q2564">
        <f>-474.938222261163 -10.1761030633813 -360.713800493087</f>
        <v>-845.82812581763119</v>
      </c>
      <c r="R2564" t="s">
        <v>53278</v>
      </c>
      <c r="S2564" t="s">
        <v>53279</v>
      </c>
      <c r="T2564" t="s">
        <v>53280</v>
      </c>
      <c r="U2564" t="s">
        <v>53281</v>
      </c>
      <c r="V2564" t="s">
        <v>53282</v>
      </c>
      <c r="W2564" t="s">
        <v>53283</v>
      </c>
      <c r="X2564" t="s">
        <v>53284</v>
      </c>
      <c r="Y2564" t="s">
        <v>53285</v>
      </c>
    </row>
    <row r="2565" spans="1:25" x14ac:dyDescent="0.3">
      <c r="A2565">
        <v>128200</v>
      </c>
      <c r="B2565" t="s">
        <v>53286</v>
      </c>
      <c r="C2565" t="s">
        <v>53287</v>
      </c>
      <c r="D2565" t="s">
        <v>53288</v>
      </c>
      <c r="E2565" t="s">
        <v>53289</v>
      </c>
      <c r="F2565" t="s">
        <v>53290</v>
      </c>
      <c r="G2565" t="s">
        <v>53291</v>
      </c>
      <c r="H2565" t="s">
        <v>53292</v>
      </c>
      <c r="I2565" t="s">
        <v>53293</v>
      </c>
      <c r="J2565" t="s">
        <v>53294</v>
      </c>
      <c r="K2565" t="s">
        <v>53295</v>
      </c>
      <c r="L2565" t="s">
        <v>53296</v>
      </c>
      <c r="M2565" t="s">
        <v>53297</v>
      </c>
      <c r="N2565" t="s">
        <v>53298</v>
      </c>
      <c r="O2565">
        <f>-716.561234381975 -78.8047829755817 -728.387845652721</f>
        <v>-1523.7538630102777</v>
      </c>
      <c r="P2565">
        <f>-723.741528907609 -62.1271788786876 -412.387018972383</f>
        <v>-1198.2557267586794</v>
      </c>
      <c r="Q2565">
        <f>-474.383065358728 -9.39119774365213 -360.605132025224</f>
        <v>-844.37939512760408</v>
      </c>
      <c r="R2565" t="s">
        <v>53299</v>
      </c>
      <c r="S2565" t="s">
        <v>53300</v>
      </c>
      <c r="T2565" t="s">
        <v>53301</v>
      </c>
      <c r="U2565" t="s">
        <v>53302</v>
      </c>
      <c r="V2565" t="s">
        <v>53303</v>
      </c>
      <c r="W2565" t="s">
        <v>53304</v>
      </c>
      <c r="X2565" t="s">
        <v>53305</v>
      </c>
      <c r="Y2565" t="s">
        <v>53306</v>
      </c>
    </row>
    <row r="2566" spans="1:25" x14ac:dyDescent="0.3">
      <c r="A2566">
        <v>128250</v>
      </c>
      <c r="B2566" t="s">
        <v>53307</v>
      </c>
      <c r="C2566" t="s">
        <v>53308</v>
      </c>
      <c r="D2566" t="s">
        <v>53309</v>
      </c>
      <c r="E2566" t="s">
        <v>53310</v>
      </c>
      <c r="F2566" t="s">
        <v>53311</v>
      </c>
      <c r="G2566" t="s">
        <v>53312</v>
      </c>
      <c r="H2566" t="s">
        <v>53313</v>
      </c>
      <c r="I2566" t="s">
        <v>53314</v>
      </c>
      <c r="J2566" t="s">
        <v>53315</v>
      </c>
      <c r="K2566" t="s">
        <v>53316</v>
      </c>
      <c r="L2566" t="s">
        <v>53317</v>
      </c>
      <c r="M2566" t="s">
        <v>53318</v>
      </c>
      <c r="N2566" t="s">
        <v>53319</v>
      </c>
      <c r="O2566">
        <f>-715.65240544336 -78.0274957320685 -728.272044765265</f>
        <v>-1521.9519459406933</v>
      </c>
      <c r="P2566">
        <f>-722.567541033509 -61.9080886556628 -412.2363112849</f>
        <v>-1196.7119409740717</v>
      </c>
      <c r="Q2566">
        <f>-473.362661839887 -8.21092203519584 -360.704055674083</f>
        <v>-842.27763954916577</v>
      </c>
      <c r="R2566" t="s">
        <v>53320</v>
      </c>
      <c r="S2566" t="s">
        <v>53321</v>
      </c>
      <c r="T2566" t="s">
        <v>53322</v>
      </c>
      <c r="U2566" t="s">
        <v>53323</v>
      </c>
      <c r="V2566" t="s">
        <v>53324</v>
      </c>
      <c r="W2566" t="s">
        <v>53325</v>
      </c>
      <c r="X2566" t="s">
        <v>53326</v>
      </c>
      <c r="Y2566" t="s">
        <v>53327</v>
      </c>
    </row>
    <row r="2567" spans="1:25" x14ac:dyDescent="0.3">
      <c r="A2567">
        <v>128300</v>
      </c>
      <c r="B2567" t="s">
        <v>53328</v>
      </c>
      <c r="C2567" t="s">
        <v>53329</v>
      </c>
      <c r="D2567" t="s">
        <v>53330</v>
      </c>
      <c r="E2567" t="s">
        <v>53331</v>
      </c>
      <c r="F2567" t="s">
        <v>53332</v>
      </c>
      <c r="G2567" t="s">
        <v>53333</v>
      </c>
      <c r="H2567" t="s">
        <v>53334</v>
      </c>
      <c r="I2567" t="s">
        <v>53335</v>
      </c>
      <c r="J2567" t="s">
        <v>53336</v>
      </c>
      <c r="K2567" t="s">
        <v>53337</v>
      </c>
      <c r="L2567" t="s">
        <v>53338</v>
      </c>
      <c r="M2567" t="s">
        <v>53339</v>
      </c>
      <c r="N2567" t="s">
        <v>53340</v>
      </c>
      <c r="O2567">
        <f>-715.293696637206 -77.7506894991209 -728.262379456206</f>
        <v>-1521.3067655925329</v>
      </c>
      <c r="P2567">
        <f>-722.174458955004 -61.6565563589031 -412.224664266299</f>
        <v>-1196.0556795802061</v>
      </c>
      <c r="Q2567">
        <f>-473.07533122297 -7.42809224332291 -360.737116117356</f>
        <v>-841.24053958364891</v>
      </c>
      <c r="R2567" t="s">
        <v>53341</v>
      </c>
      <c r="S2567" t="s">
        <v>53342</v>
      </c>
      <c r="T2567" t="s">
        <v>53343</v>
      </c>
      <c r="U2567" t="s">
        <v>53344</v>
      </c>
      <c r="V2567" t="s">
        <v>53345</v>
      </c>
      <c r="W2567" t="s">
        <v>53346</v>
      </c>
      <c r="X2567" t="s">
        <v>53347</v>
      </c>
      <c r="Y2567" t="s">
        <v>53348</v>
      </c>
    </row>
    <row r="2568" spans="1:25" x14ac:dyDescent="0.3">
      <c r="A2568">
        <v>128350</v>
      </c>
      <c r="B2568" t="s">
        <v>53349</v>
      </c>
      <c r="C2568" t="s">
        <v>53350</v>
      </c>
      <c r="D2568" t="s">
        <v>53351</v>
      </c>
      <c r="E2568" t="s">
        <v>53352</v>
      </c>
      <c r="F2568" t="s">
        <v>53353</v>
      </c>
      <c r="G2568" t="s">
        <v>53354</v>
      </c>
      <c r="H2568" t="s">
        <v>53355</v>
      </c>
      <c r="I2568" t="s">
        <v>53356</v>
      </c>
      <c r="J2568" t="s">
        <v>53357</v>
      </c>
      <c r="K2568" t="s">
        <v>53358</v>
      </c>
      <c r="L2568" t="s">
        <v>53359</v>
      </c>
      <c r="M2568" t="s">
        <v>53360</v>
      </c>
      <c r="N2568" t="s">
        <v>53361</v>
      </c>
      <c r="O2568">
        <f>-714.804690956622 -77.5186385790234 -728.336569669558</f>
        <v>-1520.6598992052036</v>
      </c>
      <c r="P2568">
        <f>-721.549336545168 -62.0452858333279 -412.264997334083</f>
        <v>-1195.8596197125789</v>
      </c>
      <c r="Q2568">
        <f>-472.676082141351 -6.57229154303673 -361.011556105642</f>
        <v>-840.25992979002967</v>
      </c>
      <c r="R2568" t="s">
        <v>53362</v>
      </c>
      <c r="S2568" t="s">
        <v>53363</v>
      </c>
      <c r="T2568" t="s">
        <v>53364</v>
      </c>
      <c r="U2568" t="s">
        <v>53365</v>
      </c>
      <c r="V2568" t="s">
        <v>53366</v>
      </c>
      <c r="W2568" t="s">
        <v>53367</v>
      </c>
      <c r="X2568" t="s">
        <v>53368</v>
      </c>
      <c r="Y2568" t="s">
        <v>53369</v>
      </c>
    </row>
    <row r="2569" spans="1:25" x14ac:dyDescent="0.3">
      <c r="A2569">
        <v>128400</v>
      </c>
      <c r="B2569" t="s">
        <v>53370</v>
      </c>
      <c r="C2569" t="s">
        <v>53371</v>
      </c>
      <c r="D2569" t="s">
        <v>53372</v>
      </c>
      <c r="E2569" t="s">
        <v>53373</v>
      </c>
      <c r="F2569" t="s">
        <v>53374</v>
      </c>
      <c r="G2569" t="s">
        <v>53375</v>
      </c>
      <c r="H2569" t="s">
        <v>53376</v>
      </c>
      <c r="I2569" t="s">
        <v>53377</v>
      </c>
      <c r="J2569" t="s">
        <v>53378</v>
      </c>
      <c r="K2569" t="s">
        <v>53379</v>
      </c>
      <c r="L2569" t="s">
        <v>53380</v>
      </c>
      <c r="M2569" t="s">
        <v>53381</v>
      </c>
      <c r="N2569" t="s">
        <v>53382</v>
      </c>
      <c r="O2569">
        <f>-714.855089500834 -77.5827333410218 -728.440763344828</f>
        <v>-1520.8785861866838</v>
      </c>
      <c r="P2569">
        <f>-721.350199528611 -62.2300583663291 -412.358103389797</f>
        <v>-1195.9383612847371</v>
      </c>
      <c r="Q2569">
        <f>-472.580911496336 -6.11808930155144 -361.295867862713</f>
        <v>-839.99486866060045</v>
      </c>
      <c r="R2569" t="s">
        <v>53383</v>
      </c>
      <c r="S2569" t="s">
        <v>53384</v>
      </c>
      <c r="T2569" t="s">
        <v>53385</v>
      </c>
      <c r="U2569" t="s">
        <v>53386</v>
      </c>
      <c r="V2569" t="s">
        <v>53387</v>
      </c>
      <c r="W2569" t="s">
        <v>53388</v>
      </c>
      <c r="X2569" t="s">
        <v>53389</v>
      </c>
      <c r="Y2569" t="s">
        <v>53390</v>
      </c>
    </row>
    <row r="2570" spans="1:25" x14ac:dyDescent="0.3">
      <c r="A2570">
        <v>128450</v>
      </c>
      <c r="B2570" t="s">
        <v>53391</v>
      </c>
      <c r="C2570" t="s">
        <v>53392</v>
      </c>
      <c r="D2570" t="s">
        <v>53393</v>
      </c>
      <c r="E2570" t="s">
        <v>53394</v>
      </c>
      <c r="F2570" t="s">
        <v>53395</v>
      </c>
      <c r="G2570" t="s">
        <v>53396</v>
      </c>
      <c r="H2570" t="s">
        <v>53397</v>
      </c>
      <c r="I2570" t="s">
        <v>53398</v>
      </c>
      <c r="J2570" t="s">
        <v>53399</v>
      </c>
      <c r="K2570" t="s">
        <v>53400</v>
      </c>
      <c r="L2570" t="s">
        <v>53401</v>
      </c>
      <c r="M2570" t="s">
        <v>53402</v>
      </c>
      <c r="N2570" t="s">
        <v>53403</v>
      </c>
      <c r="O2570">
        <f>-715.356220487981 -77.8440148331724 -728.76521261251</f>
        <v>-1521.9654479336634</v>
      </c>
      <c r="P2570">
        <f>-721.585814519651 -62.7630073790683 -412.663938919331</f>
        <v>-1197.0127608180503</v>
      </c>
      <c r="Q2570">
        <f>-473.012419038066 -5.80633837300729 -361.583101402949</f>
        <v>-840.40185881402226</v>
      </c>
      <c r="R2570" t="s">
        <v>53404</v>
      </c>
      <c r="S2570" t="s">
        <v>53405</v>
      </c>
      <c r="T2570" t="s">
        <v>53406</v>
      </c>
      <c r="U2570" t="s">
        <v>53407</v>
      </c>
      <c r="V2570" t="s">
        <v>53408</v>
      </c>
      <c r="W2570" t="s">
        <v>53409</v>
      </c>
      <c r="X2570" t="s">
        <v>53410</v>
      </c>
      <c r="Y2570" t="s">
        <v>53411</v>
      </c>
    </row>
    <row r="2571" spans="1:25" x14ac:dyDescent="0.3">
      <c r="A2571">
        <v>128500</v>
      </c>
      <c r="B2571" t="s">
        <v>53412</v>
      </c>
      <c r="C2571" t="s">
        <v>53413</v>
      </c>
      <c r="D2571" t="s">
        <v>53414</v>
      </c>
      <c r="E2571" t="s">
        <v>53415</v>
      </c>
      <c r="F2571" t="s">
        <v>53416</v>
      </c>
      <c r="G2571" t="s">
        <v>53417</v>
      </c>
      <c r="H2571" t="s">
        <v>53418</v>
      </c>
      <c r="I2571" t="s">
        <v>53419</v>
      </c>
      <c r="J2571" t="s">
        <v>53420</v>
      </c>
      <c r="K2571" t="s">
        <v>53421</v>
      </c>
      <c r="L2571" t="s">
        <v>53422</v>
      </c>
      <c r="M2571" t="s">
        <v>53423</v>
      </c>
      <c r="N2571" t="s">
        <v>53424</v>
      </c>
      <c r="O2571">
        <f>-715.659687471812 -77.6617855366067 -729.083570501206</f>
        <v>-1522.4050435096246</v>
      </c>
      <c r="P2571">
        <f>-721.881693145995 -62.8426269323134 -412.969816235685</f>
        <v>-1197.6941363139933</v>
      </c>
      <c r="Q2571">
        <f>-473.45084979253 -5.4722322689081 -361.659265363161</f>
        <v>-840.58234742459911</v>
      </c>
      <c r="R2571" t="s">
        <v>53425</v>
      </c>
      <c r="S2571" t="s">
        <v>53426</v>
      </c>
      <c r="T2571" t="s">
        <v>53427</v>
      </c>
      <c r="U2571" t="s">
        <v>53428</v>
      </c>
      <c r="V2571" t="s">
        <v>53429</v>
      </c>
      <c r="W2571" t="s">
        <v>53430</v>
      </c>
      <c r="X2571" t="s">
        <v>53431</v>
      </c>
      <c r="Y2571" t="s">
        <v>53432</v>
      </c>
    </row>
    <row r="2572" spans="1:25" x14ac:dyDescent="0.3">
      <c r="A2572">
        <v>128550</v>
      </c>
      <c r="B2572" t="s">
        <v>53433</v>
      </c>
      <c r="C2572" t="s">
        <v>53434</v>
      </c>
      <c r="D2572" t="s">
        <v>53435</v>
      </c>
      <c r="E2572" t="s">
        <v>53436</v>
      </c>
      <c r="F2572" t="s">
        <v>53437</v>
      </c>
      <c r="G2572" t="s">
        <v>53438</v>
      </c>
      <c r="H2572" t="s">
        <v>53439</v>
      </c>
      <c r="I2572" t="s">
        <v>53440</v>
      </c>
      <c r="J2572" t="s">
        <v>53441</v>
      </c>
      <c r="K2572" t="s">
        <v>53442</v>
      </c>
      <c r="L2572" t="s">
        <v>53443</v>
      </c>
      <c r="M2572" t="s">
        <v>53444</v>
      </c>
      <c r="N2572" t="s">
        <v>53445</v>
      </c>
      <c r="O2572">
        <f>-715.899455134331 -76.4570249922701 -730.29684703646</f>
        <v>-1522.653327163061</v>
      </c>
      <c r="P2572">
        <f>-722.559919033778 -62.3590502762293 -414.158963307477</f>
        <v>-1199.0779326174843</v>
      </c>
      <c r="Q2572">
        <f>-474.569268279423 -3.78731755509784 -362.082109445782</f>
        <v>-840.43869528030291</v>
      </c>
      <c r="R2572" t="s">
        <v>53446</v>
      </c>
      <c r="S2572" t="s">
        <v>53447</v>
      </c>
      <c r="T2572" t="s">
        <v>53448</v>
      </c>
      <c r="U2572" t="s">
        <v>53449</v>
      </c>
      <c r="V2572" t="s">
        <v>53450</v>
      </c>
      <c r="W2572" t="s">
        <v>53451</v>
      </c>
      <c r="X2572" t="s">
        <v>53452</v>
      </c>
      <c r="Y2572" t="s">
        <v>53453</v>
      </c>
    </row>
    <row r="2573" spans="1:25" x14ac:dyDescent="0.3">
      <c r="A2573">
        <v>128600</v>
      </c>
      <c r="B2573" t="s">
        <v>53454</v>
      </c>
      <c r="C2573" t="s">
        <v>53455</v>
      </c>
      <c r="D2573" t="s">
        <v>53456</v>
      </c>
      <c r="E2573" t="s">
        <v>53457</v>
      </c>
      <c r="F2573" t="s">
        <v>53458</v>
      </c>
      <c r="G2573" t="s">
        <v>53459</v>
      </c>
      <c r="H2573" t="s">
        <v>53460</v>
      </c>
      <c r="I2573" t="s">
        <v>53461</v>
      </c>
      <c r="J2573" t="s">
        <v>53462</v>
      </c>
      <c r="K2573" t="s">
        <v>53463</v>
      </c>
      <c r="L2573" t="s">
        <v>53464</v>
      </c>
      <c r="M2573" t="s">
        <v>53465</v>
      </c>
      <c r="N2573" t="s">
        <v>53466</v>
      </c>
      <c r="O2573">
        <f>-716.516644881427 -75.5717001605183 -731.005910894524</f>
        <v>-1523.0942559364694</v>
      </c>
      <c r="P2573">
        <f>-723.476193880845 -61.9436550861672 -414.854046146877</f>
        <v>-1200.2738951138892</v>
      </c>
      <c r="Q2573">
        <f>-475.724638478257 -2.69166337225852 -362.409859441139</f>
        <v>-840.82616129165456</v>
      </c>
      <c r="R2573" t="s">
        <v>53467</v>
      </c>
      <c r="S2573" t="s">
        <v>53468</v>
      </c>
      <c r="T2573" t="s">
        <v>53469</v>
      </c>
      <c r="U2573" t="s">
        <v>53470</v>
      </c>
      <c r="V2573" t="s">
        <v>53471</v>
      </c>
      <c r="W2573" t="s">
        <v>53472</v>
      </c>
      <c r="X2573" t="s">
        <v>53473</v>
      </c>
      <c r="Y2573" t="s">
        <v>53474</v>
      </c>
    </row>
    <row r="2574" spans="1:25" x14ac:dyDescent="0.3">
      <c r="A2574">
        <v>128650</v>
      </c>
      <c r="B2574" t="s">
        <v>53475</v>
      </c>
      <c r="C2574" t="s">
        <v>53476</v>
      </c>
      <c r="D2574" t="s">
        <v>53477</v>
      </c>
      <c r="E2574" t="s">
        <v>53478</v>
      </c>
      <c r="F2574" t="s">
        <v>53479</v>
      </c>
      <c r="G2574" t="s">
        <v>53480</v>
      </c>
      <c r="H2574" t="s">
        <v>53481</v>
      </c>
      <c r="I2574" t="s">
        <v>53482</v>
      </c>
      <c r="J2574" t="s">
        <v>53483</v>
      </c>
      <c r="K2574" t="s">
        <v>53484</v>
      </c>
      <c r="L2574" t="s">
        <v>53485</v>
      </c>
      <c r="M2574" t="s">
        <v>53486</v>
      </c>
      <c r="N2574" t="s">
        <v>53487</v>
      </c>
      <c r="O2574">
        <f>-718.140763474936 -74.1235823899926 -732.110166932105</f>
        <v>-1524.3745127970337</v>
      </c>
      <c r="P2574">
        <f>-725.242642128207 -61.5014562861625 -415.919730726547</f>
        <v>-1202.6638291409165</v>
      </c>
      <c r="Q2574">
        <f>-477.772537789531 -1.16350666281119 -363.384944993812</f>
        <v>-842.32098944615416</v>
      </c>
      <c r="R2574" t="s">
        <v>53488</v>
      </c>
      <c r="S2574" t="s">
        <v>53489</v>
      </c>
      <c r="T2574" t="s">
        <v>53490</v>
      </c>
      <c r="U2574" t="s">
        <v>53491</v>
      </c>
      <c r="V2574" t="s">
        <v>53492</v>
      </c>
      <c r="W2574" t="s">
        <v>53493</v>
      </c>
      <c r="X2574" t="s">
        <v>53494</v>
      </c>
      <c r="Y2574" t="s">
        <v>53495</v>
      </c>
    </row>
    <row r="2575" spans="1:25" x14ac:dyDescent="0.3">
      <c r="A2575">
        <v>128700</v>
      </c>
      <c r="B2575" t="s">
        <v>53496</v>
      </c>
      <c r="C2575" t="s">
        <v>53497</v>
      </c>
      <c r="D2575" t="s">
        <v>53498</v>
      </c>
      <c r="E2575" t="s">
        <v>53499</v>
      </c>
      <c r="F2575" t="s">
        <v>53500</v>
      </c>
      <c r="G2575" t="s">
        <v>53501</v>
      </c>
      <c r="H2575" t="s">
        <v>53502</v>
      </c>
      <c r="I2575" t="s">
        <v>53503</v>
      </c>
      <c r="J2575" t="s">
        <v>53504</v>
      </c>
      <c r="K2575" t="s">
        <v>53505</v>
      </c>
      <c r="L2575" t="s">
        <v>53506</v>
      </c>
      <c r="M2575" t="s">
        <v>53507</v>
      </c>
      <c r="N2575" t="s">
        <v>53508</v>
      </c>
      <c r="O2575">
        <f>-719.555604108527 -73.4744952972451 -732.508118394783</f>
        <v>-1525.538217800555</v>
      </c>
      <c r="P2575">
        <f>-726.216131908569 -61.4218286384723 -416.285724683075</f>
        <v>-1203.9236852301162</v>
      </c>
      <c r="Q2575">
        <f>-478.754663883718 -0.874098905866731 -363.952103493813</f>
        <v>-843.58086628339777</v>
      </c>
      <c r="R2575" t="s">
        <v>53509</v>
      </c>
      <c r="S2575" t="s">
        <v>53510</v>
      </c>
      <c r="T2575" t="s">
        <v>53511</v>
      </c>
      <c r="U2575" t="s">
        <v>53512</v>
      </c>
      <c r="V2575" t="s">
        <v>53513</v>
      </c>
      <c r="W2575" t="s">
        <v>53514</v>
      </c>
      <c r="X2575" t="s">
        <v>53515</v>
      </c>
      <c r="Y2575" t="s">
        <v>53516</v>
      </c>
    </row>
    <row r="2576" spans="1:25" x14ac:dyDescent="0.3">
      <c r="A2576">
        <v>128750</v>
      </c>
      <c r="B2576" t="s">
        <v>53517</v>
      </c>
      <c r="C2576" t="s">
        <v>53518</v>
      </c>
      <c r="D2576" t="s">
        <v>53519</v>
      </c>
      <c r="E2576" t="s">
        <v>53520</v>
      </c>
      <c r="F2576" t="s">
        <v>53521</v>
      </c>
      <c r="G2576" t="s">
        <v>53522</v>
      </c>
      <c r="H2576" t="s">
        <v>53523</v>
      </c>
      <c r="I2576" t="s">
        <v>53524</v>
      </c>
      <c r="J2576" t="s">
        <v>53525</v>
      </c>
      <c r="K2576" t="s">
        <v>53526</v>
      </c>
      <c r="L2576" t="s">
        <v>53527</v>
      </c>
      <c r="M2576" t="s">
        <v>53528</v>
      </c>
      <c r="N2576" t="s">
        <v>53529</v>
      </c>
      <c r="O2576">
        <f>-722.481124381952 -72.7798797899027 -732.911575197856</f>
        <v>-1528.1725793697105</v>
      </c>
      <c r="P2576">
        <f>-728.124911346403 -61.2909348974497 -416.648390485729</f>
        <v>-1206.0642367295818</v>
      </c>
      <c r="Q2576">
        <f>-480.471514900404 -0.861006296312326 -365.091517977166</f>
        <v>-846.42403917388231</v>
      </c>
      <c r="R2576" t="s">
        <v>53530</v>
      </c>
      <c r="S2576" t="s">
        <v>53531</v>
      </c>
      <c r="T2576" t="s">
        <v>53532</v>
      </c>
      <c r="U2576" t="s">
        <v>53533</v>
      </c>
      <c r="V2576" t="s">
        <v>53534</v>
      </c>
      <c r="W2576" t="s">
        <v>53535</v>
      </c>
      <c r="X2576" t="s">
        <v>53536</v>
      </c>
      <c r="Y2576" t="s">
        <v>53537</v>
      </c>
    </row>
    <row r="2577" spans="1:25" x14ac:dyDescent="0.3">
      <c r="A2577">
        <v>128800</v>
      </c>
      <c r="B2577" t="s">
        <v>53538</v>
      </c>
      <c r="C2577" t="s">
        <v>53539</v>
      </c>
      <c r="D2577" t="s">
        <v>53540</v>
      </c>
      <c r="E2577" t="s">
        <v>53541</v>
      </c>
      <c r="F2577" t="s">
        <v>53542</v>
      </c>
      <c r="G2577" t="s">
        <v>53543</v>
      </c>
      <c r="H2577" t="s">
        <v>53544</v>
      </c>
      <c r="I2577" t="s">
        <v>53545</v>
      </c>
      <c r="J2577" t="s">
        <v>53546</v>
      </c>
      <c r="K2577" t="s">
        <v>53547</v>
      </c>
      <c r="L2577" t="s">
        <v>53548</v>
      </c>
      <c r="M2577" t="s">
        <v>53549</v>
      </c>
      <c r="N2577" t="s">
        <v>53550</v>
      </c>
      <c r="O2577">
        <f>-723.833656352909 -72.5826363581139 -732.926188126907</f>
        <v>-1529.34248083793</v>
      </c>
      <c r="P2577">
        <f>-729.036021187917 -61.2993641980254 -416.648115373064</f>
        <v>-1206.9835007590063</v>
      </c>
      <c r="Q2577">
        <f>-481.247837043773 -1.10093813485901 -365.470162416229</f>
        <v>-847.81893759486104</v>
      </c>
      <c r="R2577" t="s">
        <v>53551</v>
      </c>
      <c r="S2577" t="s">
        <v>53552</v>
      </c>
      <c r="T2577" t="s">
        <v>53553</v>
      </c>
      <c r="U2577" t="s">
        <v>53554</v>
      </c>
      <c r="V2577" t="s">
        <v>53555</v>
      </c>
      <c r="W2577" t="s">
        <v>53556</v>
      </c>
      <c r="X2577" t="s">
        <v>53557</v>
      </c>
      <c r="Y2577" t="s">
        <v>53558</v>
      </c>
    </row>
    <row r="2578" spans="1:25" x14ac:dyDescent="0.3">
      <c r="A2578">
        <v>128850</v>
      </c>
      <c r="B2578" t="s">
        <v>53559</v>
      </c>
      <c r="C2578" t="s">
        <v>53560</v>
      </c>
      <c r="D2578" t="s">
        <v>53561</v>
      </c>
      <c r="E2578" t="s">
        <v>53562</v>
      </c>
      <c r="F2578" t="s">
        <v>53563</v>
      </c>
      <c r="G2578" t="s">
        <v>53564</v>
      </c>
      <c r="H2578" t="s">
        <v>53565</v>
      </c>
      <c r="I2578" t="s">
        <v>53566</v>
      </c>
      <c r="J2578" t="s">
        <v>53567</v>
      </c>
      <c r="K2578" t="s">
        <v>53568</v>
      </c>
      <c r="L2578" t="s">
        <v>53569</v>
      </c>
      <c r="M2578" t="s">
        <v>53570</v>
      </c>
      <c r="N2578" t="s">
        <v>53571</v>
      </c>
      <c r="O2578">
        <f>-725.770231628818 -72.1532244487162 -733.036268285352</f>
        <v>-1530.9597243628862</v>
      </c>
      <c r="P2578">
        <f>-730.561920007109 -61.1635115873712 -416.741431647557</f>
        <v>-1208.4668632420373</v>
      </c>
      <c r="Q2578">
        <f>-482.596138339173 -1.55577457057552 -365.732427046101</f>
        <v>-849.88433995584955</v>
      </c>
      <c r="R2578" t="s">
        <v>53572</v>
      </c>
      <c r="S2578" t="s">
        <v>53573</v>
      </c>
      <c r="T2578" t="s">
        <v>53574</v>
      </c>
      <c r="U2578" t="s">
        <v>53575</v>
      </c>
      <c r="V2578" t="s">
        <v>53576</v>
      </c>
      <c r="W2578" t="s">
        <v>53577</v>
      </c>
      <c r="X2578" t="s">
        <v>53578</v>
      </c>
      <c r="Y2578" t="s">
        <v>53579</v>
      </c>
    </row>
    <row r="2579" spans="1:25" x14ac:dyDescent="0.3">
      <c r="A2579">
        <v>128900</v>
      </c>
      <c r="B2579" t="s">
        <v>53580</v>
      </c>
      <c r="C2579" t="s">
        <v>53581</v>
      </c>
      <c r="D2579" t="s">
        <v>53582</v>
      </c>
      <c r="E2579" t="s">
        <v>53583</v>
      </c>
      <c r="F2579" t="s">
        <v>53584</v>
      </c>
      <c r="G2579" t="s">
        <v>53585</v>
      </c>
      <c r="H2579" t="s">
        <v>53586</v>
      </c>
      <c r="I2579" t="s">
        <v>53587</v>
      </c>
      <c r="J2579" t="s">
        <v>53588</v>
      </c>
      <c r="K2579" t="s">
        <v>53589</v>
      </c>
      <c r="L2579" t="s">
        <v>53590</v>
      </c>
      <c r="M2579" t="s">
        <v>53591</v>
      </c>
      <c r="N2579" t="s">
        <v>53592</v>
      </c>
      <c r="O2579">
        <f>-726.733260648904 -72.1777658556121 -732.960843503952</f>
        <v>-1531.871870008468</v>
      </c>
      <c r="P2579">
        <f>-731.665815774997 -61.2680494785793 -416.665362981273</f>
        <v>-1209.5992282348493</v>
      </c>
      <c r="Q2579">
        <f>-483.58966928711 -2.13521319774554 -365.640068744396</f>
        <v>-851.36495122925157</v>
      </c>
      <c r="R2579" t="s">
        <v>53593</v>
      </c>
      <c r="S2579" t="s">
        <v>53594</v>
      </c>
      <c r="T2579" t="s">
        <v>53595</v>
      </c>
      <c r="U2579" t="s">
        <v>53596</v>
      </c>
      <c r="V2579" t="s">
        <v>53597</v>
      </c>
      <c r="W2579" t="s">
        <v>53598</v>
      </c>
      <c r="X2579" t="s">
        <v>53599</v>
      </c>
      <c r="Y2579" t="s">
        <v>53600</v>
      </c>
    </row>
    <row r="2580" spans="1:25" x14ac:dyDescent="0.3">
      <c r="A2580">
        <v>128950</v>
      </c>
      <c r="B2580" t="s">
        <v>53601</v>
      </c>
      <c r="C2580" t="s">
        <v>53602</v>
      </c>
      <c r="D2580" t="s">
        <v>53603</v>
      </c>
      <c r="E2580" t="s">
        <v>53604</v>
      </c>
      <c r="F2580" t="s">
        <v>53605</v>
      </c>
      <c r="G2580" t="s">
        <v>53606</v>
      </c>
      <c r="H2580" t="s">
        <v>53607</v>
      </c>
      <c r="I2580" t="s">
        <v>53608</v>
      </c>
      <c r="J2580" t="s">
        <v>53609</v>
      </c>
      <c r="K2580" t="s">
        <v>53610</v>
      </c>
      <c r="L2580" t="s">
        <v>53611</v>
      </c>
      <c r="M2580" t="s">
        <v>53612</v>
      </c>
      <c r="N2580" t="s">
        <v>53613</v>
      </c>
      <c r="O2580">
        <f>-728.785583714576 -73.464890468563 -732.535639162757</f>
        <v>-1534.786113345896</v>
      </c>
      <c r="P2580">
        <f>-733.521507808857 -62.4264505317949 -416.241619160654</f>
        <v>-1212.1895775013058</v>
      </c>
      <c r="Q2580">
        <f>-485.127648773022 -4.75455972620921 -365.089862599047</f>
        <v>-854.97207109827821</v>
      </c>
      <c r="R2580" t="s">
        <v>53614</v>
      </c>
      <c r="S2580" t="s">
        <v>53615</v>
      </c>
      <c r="T2580" t="s">
        <v>53616</v>
      </c>
      <c r="U2580" t="s">
        <v>53617</v>
      </c>
      <c r="V2580" t="s">
        <v>53618</v>
      </c>
      <c r="W2580" t="s">
        <v>53619</v>
      </c>
      <c r="X2580" t="s">
        <v>53620</v>
      </c>
      <c r="Y2580" t="s">
        <v>53621</v>
      </c>
    </row>
    <row r="2581" spans="1:25" x14ac:dyDescent="0.3">
      <c r="A2581">
        <v>129000</v>
      </c>
      <c r="B2581" t="s">
        <v>53622</v>
      </c>
      <c r="C2581" t="s">
        <v>53623</v>
      </c>
      <c r="D2581" t="s">
        <v>53624</v>
      </c>
      <c r="E2581" t="s">
        <v>53625</v>
      </c>
      <c r="F2581" t="s">
        <v>53626</v>
      </c>
      <c r="G2581" t="s">
        <v>53627</v>
      </c>
      <c r="H2581" t="s">
        <v>53628</v>
      </c>
      <c r="I2581" t="s">
        <v>53629</v>
      </c>
      <c r="J2581" t="s">
        <v>53630</v>
      </c>
      <c r="K2581" t="s">
        <v>53631</v>
      </c>
      <c r="L2581" t="s">
        <v>53632</v>
      </c>
      <c r="M2581" t="s">
        <v>53633</v>
      </c>
      <c r="N2581" t="s">
        <v>53634</v>
      </c>
      <c r="O2581">
        <f>-729.265725417789 -74.2690835678463 -732.396108795699</f>
        <v>-1535.9309177813343</v>
      </c>
      <c r="P2581">
        <f>-733.901123169149 -62.7520202543822 -416.117652229194</f>
        <v>-1212.7707956527252</v>
      </c>
      <c r="Q2581">
        <f>-485.321806589052 -5.86190218478373 -364.992022644067</f>
        <v>-856.17573141790274</v>
      </c>
      <c r="R2581" t="s">
        <v>53635</v>
      </c>
      <c r="S2581" t="s">
        <v>53636</v>
      </c>
      <c r="T2581" t="s">
        <v>53637</v>
      </c>
      <c r="U2581" t="s">
        <v>53638</v>
      </c>
      <c r="V2581" t="s">
        <v>53639</v>
      </c>
      <c r="W2581" t="s">
        <v>53640</v>
      </c>
      <c r="X2581" t="s">
        <v>53641</v>
      </c>
      <c r="Y2581" t="s">
        <v>53642</v>
      </c>
    </row>
    <row r="2582" spans="1:25" x14ac:dyDescent="0.3">
      <c r="A2582">
        <v>129050</v>
      </c>
      <c r="B2582" t="s">
        <v>53643</v>
      </c>
      <c r="C2582" t="s">
        <v>53644</v>
      </c>
      <c r="D2582" t="s">
        <v>53645</v>
      </c>
      <c r="E2582" t="s">
        <v>53646</v>
      </c>
      <c r="F2582" t="s">
        <v>53647</v>
      </c>
      <c r="G2582" t="s">
        <v>53648</v>
      </c>
      <c r="H2582" t="s">
        <v>53649</v>
      </c>
      <c r="I2582" t="s">
        <v>53650</v>
      </c>
      <c r="J2582" t="s">
        <v>53651</v>
      </c>
      <c r="K2582" t="s">
        <v>53652</v>
      </c>
      <c r="L2582" t="s">
        <v>53653</v>
      </c>
      <c r="M2582" t="s">
        <v>53654</v>
      </c>
      <c r="N2582" t="s">
        <v>53655</v>
      </c>
      <c r="O2582">
        <f>-728.239412233194 -75.7413675876935 -732.332372637432</f>
        <v>-1536.3131524583196</v>
      </c>
      <c r="P2582">
        <f>-733.588231230589 -63.5733730800443 -416.089596334946</f>
        <v>-1213.2512006455795</v>
      </c>
      <c r="Q2582">
        <f>-484.939729588016 -7.47660730985604 -364.425791943483</f>
        <v>-856.84212884135502</v>
      </c>
      <c r="R2582" t="s">
        <v>53656</v>
      </c>
      <c r="S2582" t="s">
        <v>53657</v>
      </c>
      <c r="T2582" t="s">
        <v>53658</v>
      </c>
      <c r="U2582" t="s">
        <v>53659</v>
      </c>
      <c r="V2582" t="s">
        <v>53660</v>
      </c>
      <c r="W2582" t="s">
        <v>53661</v>
      </c>
      <c r="X2582" t="s">
        <v>53662</v>
      </c>
      <c r="Y2582" t="s">
        <v>53663</v>
      </c>
    </row>
    <row r="2583" spans="1:25" x14ac:dyDescent="0.3">
      <c r="A2583">
        <v>129100</v>
      </c>
      <c r="B2583" t="s">
        <v>53664</v>
      </c>
      <c r="C2583" t="s">
        <v>53665</v>
      </c>
      <c r="D2583" t="s">
        <v>53666</v>
      </c>
      <c r="E2583" t="s">
        <v>53667</v>
      </c>
      <c r="F2583" t="s">
        <v>53668</v>
      </c>
      <c r="G2583" t="s">
        <v>53669</v>
      </c>
      <c r="H2583" t="s">
        <v>53670</v>
      </c>
      <c r="I2583" t="s">
        <v>53671</v>
      </c>
      <c r="J2583" t="s">
        <v>53672</v>
      </c>
      <c r="K2583" t="s">
        <v>53673</v>
      </c>
      <c r="L2583" t="s">
        <v>53674</v>
      </c>
      <c r="M2583" t="s">
        <v>53675</v>
      </c>
      <c r="N2583" t="s">
        <v>53676</v>
      </c>
      <c r="O2583">
        <f>-727.172384665136 -76.5530713464675 -732.228027130485</f>
        <v>-1535.9534831420883</v>
      </c>
      <c r="P2583">
        <f>-733.471587642592 -63.8345241435541 -416.024373580579</f>
        <v>-1213.330485366725</v>
      </c>
      <c r="Q2583">
        <f>-484.955465884438 -7.51979117552037 -363.961976540585</f>
        <v>-856.43723360054332</v>
      </c>
      <c r="R2583" t="s">
        <v>53677</v>
      </c>
      <c r="S2583" t="s">
        <v>53678</v>
      </c>
      <c r="T2583" t="s">
        <v>53679</v>
      </c>
      <c r="U2583" t="s">
        <v>53680</v>
      </c>
      <c r="V2583" t="s">
        <v>53681</v>
      </c>
      <c r="W2583" t="s">
        <v>53682</v>
      </c>
      <c r="X2583" t="s">
        <v>53683</v>
      </c>
      <c r="Y2583" t="s">
        <v>53684</v>
      </c>
    </row>
    <row r="2584" spans="1:25" x14ac:dyDescent="0.3">
      <c r="A2584">
        <v>129150</v>
      </c>
      <c r="B2584" t="s">
        <v>53685</v>
      </c>
      <c r="C2584" t="s">
        <v>53686</v>
      </c>
      <c r="D2584" t="s">
        <v>53687</v>
      </c>
      <c r="E2584" t="s">
        <v>53688</v>
      </c>
      <c r="F2584" t="s">
        <v>53689</v>
      </c>
      <c r="G2584" t="s">
        <v>53690</v>
      </c>
      <c r="H2584" t="s">
        <v>53691</v>
      </c>
      <c r="I2584" t="s">
        <v>53692</v>
      </c>
      <c r="J2584" t="s">
        <v>53693</v>
      </c>
      <c r="K2584" t="s">
        <v>53694</v>
      </c>
      <c r="L2584" t="s">
        <v>53695</v>
      </c>
      <c r="M2584" t="s">
        <v>53696</v>
      </c>
      <c r="N2584" t="s">
        <v>53697</v>
      </c>
      <c r="O2584">
        <f>-726.256880155308 -77.1477175068494 -731.966194373275</f>
        <v>-1535.3707920354323</v>
      </c>
      <c r="P2584">
        <f>-733.922229353627 -63.9754377640818 -415.811285530634</f>
        <v>-1213.7089526483428</v>
      </c>
      <c r="Q2584">
        <f>-485.905975287598 -6.28471171203137 -362.879321680146</f>
        <v>-855.07000867977536</v>
      </c>
      <c r="R2584" t="s">
        <v>53698</v>
      </c>
      <c r="S2584" t="s">
        <v>53699</v>
      </c>
      <c r="T2584" t="s">
        <v>53700</v>
      </c>
      <c r="U2584" t="s">
        <v>53701</v>
      </c>
      <c r="V2584" t="s">
        <v>53702</v>
      </c>
      <c r="W2584" t="s">
        <v>53703</v>
      </c>
      <c r="X2584" t="s">
        <v>53704</v>
      </c>
      <c r="Y2584" t="s">
        <v>53705</v>
      </c>
    </row>
    <row r="2585" spans="1:25" x14ac:dyDescent="0.3">
      <c r="A2585">
        <v>129200</v>
      </c>
      <c r="B2585" t="s">
        <v>53706</v>
      </c>
      <c r="C2585" t="s">
        <v>53707</v>
      </c>
      <c r="D2585" t="s">
        <v>53708</v>
      </c>
      <c r="E2585" t="s">
        <v>53709</v>
      </c>
      <c r="F2585" t="s">
        <v>53710</v>
      </c>
      <c r="G2585" t="s">
        <v>53711</v>
      </c>
      <c r="H2585" t="s">
        <v>53712</v>
      </c>
      <c r="I2585" t="s">
        <v>53713</v>
      </c>
      <c r="J2585" t="s">
        <v>53714</v>
      </c>
      <c r="K2585" t="s">
        <v>53715</v>
      </c>
      <c r="L2585" t="s">
        <v>53716</v>
      </c>
      <c r="M2585" t="s">
        <v>53717</v>
      </c>
      <c r="N2585" t="s">
        <v>53718</v>
      </c>
      <c r="O2585">
        <f>-726.11036229033 -77.1278543704311 -731.898612459417</f>
        <v>-1535.1368291201782</v>
      </c>
      <c r="P2585">
        <f>-734.044663080459 -63.7175527445218 -415.760398493187</f>
        <v>-1213.5226143181678</v>
      </c>
      <c r="Q2585">
        <f>-486.255813122957 -5.32777072833323 -362.531123731171</f>
        <v>-854.11470758246128</v>
      </c>
      <c r="R2585" t="s">
        <v>53719</v>
      </c>
      <c r="S2585" t="s">
        <v>53720</v>
      </c>
      <c r="T2585" t="s">
        <v>53721</v>
      </c>
      <c r="U2585" t="s">
        <v>53722</v>
      </c>
      <c r="V2585" t="s">
        <v>53723</v>
      </c>
      <c r="W2585" t="s">
        <v>53724</v>
      </c>
      <c r="X2585" t="s">
        <v>53725</v>
      </c>
      <c r="Y2585" t="s">
        <v>53726</v>
      </c>
    </row>
    <row r="2586" spans="1:25" x14ac:dyDescent="0.3">
      <c r="A2586">
        <v>129250</v>
      </c>
      <c r="B2586" t="s">
        <v>53727</v>
      </c>
      <c r="C2586" t="s">
        <v>53728</v>
      </c>
      <c r="D2586" t="s">
        <v>53729</v>
      </c>
      <c r="E2586" t="s">
        <v>53730</v>
      </c>
      <c r="F2586" t="s">
        <v>53731</v>
      </c>
      <c r="G2586" t="s">
        <v>53732</v>
      </c>
      <c r="H2586" t="s">
        <v>53733</v>
      </c>
      <c r="I2586" t="s">
        <v>53734</v>
      </c>
      <c r="J2586" t="s">
        <v>53735</v>
      </c>
      <c r="K2586" t="s">
        <v>53736</v>
      </c>
      <c r="L2586" t="s">
        <v>53737</v>
      </c>
      <c r="M2586" t="s">
        <v>53738</v>
      </c>
      <c r="N2586" t="s">
        <v>53739</v>
      </c>
      <c r="O2586">
        <f>-725.382539279825 -76.9715850707948 -731.888272582265</f>
        <v>-1534.2423969328847</v>
      </c>
      <c r="P2586">
        <f>-734.006710033516 -63.2456906086736 -415.781552181253</f>
        <v>-1213.0339528234426</v>
      </c>
      <c r="Q2586">
        <f>-486.629679910294 -3.3135776775398 -362.351336687047</f>
        <v>-852.29459427488086</v>
      </c>
      <c r="R2586" t="s">
        <v>53740</v>
      </c>
      <c r="S2586" t="s">
        <v>53741</v>
      </c>
      <c r="T2586" t="s">
        <v>53742</v>
      </c>
      <c r="U2586" t="s">
        <v>53743</v>
      </c>
      <c r="V2586" t="s">
        <v>53744</v>
      </c>
      <c r="W2586" t="s">
        <v>53745</v>
      </c>
      <c r="X2586" t="s">
        <v>53746</v>
      </c>
      <c r="Y2586" t="s">
        <v>53747</v>
      </c>
    </row>
    <row r="2587" spans="1:25" x14ac:dyDescent="0.3">
      <c r="A2587">
        <v>129300</v>
      </c>
      <c r="B2587" t="s">
        <v>53748</v>
      </c>
      <c r="C2587" t="s">
        <v>53749</v>
      </c>
      <c r="D2587" t="s">
        <v>53750</v>
      </c>
      <c r="E2587" t="s">
        <v>53751</v>
      </c>
      <c r="F2587" t="s">
        <v>53752</v>
      </c>
      <c r="G2587" t="s">
        <v>53753</v>
      </c>
      <c r="H2587" t="s">
        <v>53754</v>
      </c>
      <c r="I2587" t="s">
        <v>53755</v>
      </c>
      <c r="J2587" t="s">
        <v>53756</v>
      </c>
      <c r="K2587" t="s">
        <v>53757</v>
      </c>
      <c r="L2587" t="s">
        <v>53758</v>
      </c>
      <c r="M2587" t="s">
        <v>53759</v>
      </c>
      <c r="N2587" t="s">
        <v>53760</v>
      </c>
      <c r="O2587">
        <f>-724.644217409771 -77.044443317094 -731.830431371415</f>
        <v>-1533.51909209828</v>
      </c>
      <c r="P2587">
        <f>-733.848554598089 -63.5244999646636 -415.731277527971</f>
        <v>-1213.1043320907236</v>
      </c>
      <c r="Q2587">
        <f>-486.730867241602 -2.70186353989334 -362.107864344961</f>
        <v>-851.54059512645631</v>
      </c>
      <c r="R2587" t="s">
        <v>53761</v>
      </c>
      <c r="S2587" t="s">
        <v>53762</v>
      </c>
      <c r="T2587" t="s">
        <v>53763</v>
      </c>
      <c r="U2587" t="s">
        <v>53764</v>
      </c>
      <c r="V2587" t="s">
        <v>53765</v>
      </c>
      <c r="W2587" t="s">
        <v>53766</v>
      </c>
      <c r="X2587" t="s">
        <v>53767</v>
      </c>
      <c r="Y2587" t="s">
        <v>53768</v>
      </c>
    </row>
    <row r="2588" spans="1:25" x14ac:dyDescent="0.3">
      <c r="A2588">
        <v>129350</v>
      </c>
      <c r="B2588" t="s">
        <v>53769</v>
      </c>
      <c r="C2588" t="s">
        <v>53770</v>
      </c>
      <c r="D2588" t="s">
        <v>53771</v>
      </c>
      <c r="E2588" t="s">
        <v>53772</v>
      </c>
      <c r="F2588" t="s">
        <v>53773</v>
      </c>
      <c r="G2588" t="s">
        <v>53774</v>
      </c>
      <c r="H2588" t="s">
        <v>53775</v>
      </c>
      <c r="I2588" t="s">
        <v>53776</v>
      </c>
      <c r="J2588" t="s">
        <v>53777</v>
      </c>
      <c r="K2588" t="s">
        <v>53778</v>
      </c>
      <c r="L2588" t="s">
        <v>53779</v>
      </c>
      <c r="M2588" t="s">
        <v>53780</v>
      </c>
      <c r="N2588" t="s">
        <v>53781</v>
      </c>
      <c r="O2588">
        <f>-723.313598386623 -77.1521423854704 -731.808686043986</f>
        <v>-1532.2744268160793</v>
      </c>
      <c r="P2588">
        <f>-733.966391158107 -63.854603581437 -415.745492599284</f>
        <v>-1213.566487338828</v>
      </c>
      <c r="Q2588">
        <f>-487.414888775338 -1.41185637952799 -361.382612266532</f>
        <v>-850.20935742139795</v>
      </c>
      <c r="R2588" t="s">
        <v>53782</v>
      </c>
      <c r="S2588" t="s">
        <v>53783</v>
      </c>
      <c r="T2588" t="s">
        <v>53784</v>
      </c>
      <c r="U2588" t="s">
        <v>53785</v>
      </c>
      <c r="V2588" t="s">
        <v>53786</v>
      </c>
      <c r="W2588" t="s">
        <v>53787</v>
      </c>
      <c r="X2588" t="s">
        <v>53788</v>
      </c>
      <c r="Y2588" t="s">
        <v>53789</v>
      </c>
    </row>
    <row r="2589" spans="1:25" x14ac:dyDescent="0.3">
      <c r="A2589">
        <v>129400</v>
      </c>
      <c r="B2589" t="s">
        <v>53790</v>
      </c>
      <c r="C2589" t="s">
        <v>53791</v>
      </c>
      <c r="D2589" t="s">
        <v>53792</v>
      </c>
      <c r="E2589" t="s">
        <v>53793</v>
      </c>
      <c r="F2589" t="s">
        <v>53794</v>
      </c>
      <c r="G2589" t="s">
        <v>53795</v>
      </c>
      <c r="H2589" t="s">
        <v>53796</v>
      </c>
      <c r="I2589" t="s">
        <v>53797</v>
      </c>
      <c r="J2589" t="s">
        <v>53798</v>
      </c>
      <c r="K2589" t="s">
        <v>53799</v>
      </c>
      <c r="L2589" t="s">
        <v>53800</v>
      </c>
      <c r="M2589" t="s">
        <v>53801</v>
      </c>
      <c r="N2589" t="s">
        <v>53802</v>
      </c>
      <c r="O2589">
        <f>-722.74203702102 -77.0766191496573 -731.935821662594</f>
        <v>-1531.7544778332713</v>
      </c>
      <c r="P2589">
        <f>-733.891375488581 -63.7078660721877 -415.892937438769</f>
        <v>-1213.4921789995378</v>
      </c>
      <c r="Q2589">
        <f>-487.535836770326 -0.878242096847544 -361.089380920769</f>
        <v>-849.50345978794257</v>
      </c>
      <c r="R2589" t="s">
        <v>53803</v>
      </c>
      <c r="S2589" t="s">
        <v>53804</v>
      </c>
      <c r="T2589" t="s">
        <v>53805</v>
      </c>
      <c r="U2589" t="s">
        <v>53806</v>
      </c>
      <c r="V2589" t="s">
        <v>53807</v>
      </c>
      <c r="W2589" t="s">
        <v>53808</v>
      </c>
      <c r="X2589" t="s">
        <v>53809</v>
      </c>
      <c r="Y2589" t="s">
        <v>53810</v>
      </c>
    </row>
    <row r="2590" spans="1:25" x14ac:dyDescent="0.3">
      <c r="A2590">
        <v>129450</v>
      </c>
      <c r="B2590" t="s">
        <v>53811</v>
      </c>
      <c r="C2590" t="s">
        <v>53812</v>
      </c>
      <c r="D2590" t="s">
        <v>53813</v>
      </c>
      <c r="E2590" t="s">
        <v>53814</v>
      </c>
      <c r="F2590" t="s">
        <v>53815</v>
      </c>
      <c r="G2590" t="s">
        <v>53816</v>
      </c>
      <c r="H2590" t="s">
        <v>53817</v>
      </c>
      <c r="I2590" t="s">
        <v>53818</v>
      </c>
      <c r="J2590" t="s">
        <v>53819</v>
      </c>
      <c r="K2590" t="s">
        <v>53820</v>
      </c>
      <c r="L2590" t="s">
        <v>53821</v>
      </c>
      <c r="M2590" t="s">
        <v>53822</v>
      </c>
      <c r="N2590" t="s">
        <v>53823</v>
      </c>
      <c r="O2590">
        <f>-721.922857435757 -77.0999937564441 -732.423887265432</f>
        <v>-1531.446738457633</v>
      </c>
      <c r="P2590">
        <f>-733.463557120843 -63.9186335759625 -416.387067287227</f>
        <v>-1213.7692579840325</v>
      </c>
      <c r="Q2590">
        <f>-487.091438515652 -1.36491539224539 -361.342644636191</f>
        <v>-849.79899854408836</v>
      </c>
      <c r="R2590" t="s">
        <v>53824</v>
      </c>
      <c r="S2590" t="s">
        <v>53825</v>
      </c>
      <c r="T2590" t="s">
        <v>53826</v>
      </c>
      <c r="U2590" t="s">
        <v>53827</v>
      </c>
      <c r="V2590" t="s">
        <v>53828</v>
      </c>
      <c r="W2590" t="s">
        <v>53829</v>
      </c>
      <c r="X2590" t="s">
        <v>53830</v>
      </c>
      <c r="Y2590" t="s">
        <v>53831</v>
      </c>
    </row>
    <row r="2591" spans="1:25" x14ac:dyDescent="0.3">
      <c r="A2591">
        <v>129500</v>
      </c>
      <c r="B2591" t="s">
        <v>53832</v>
      </c>
      <c r="C2591" t="s">
        <v>53833</v>
      </c>
      <c r="D2591" t="s">
        <v>53834</v>
      </c>
      <c r="E2591" t="s">
        <v>53835</v>
      </c>
      <c r="F2591" t="s">
        <v>53836</v>
      </c>
      <c r="G2591" t="s">
        <v>53837</v>
      </c>
      <c r="H2591" t="s">
        <v>53838</v>
      </c>
      <c r="I2591" t="s">
        <v>53839</v>
      </c>
      <c r="J2591" t="s">
        <v>53840</v>
      </c>
      <c r="K2591" t="s">
        <v>53841</v>
      </c>
      <c r="L2591" t="s">
        <v>53842</v>
      </c>
      <c r="M2591" t="s">
        <v>53843</v>
      </c>
      <c r="N2591" t="s">
        <v>53844</v>
      </c>
      <c r="O2591">
        <f>-721.947757540698 -77.2995725650198 -732.647234708043</f>
        <v>-1531.894564813761</v>
      </c>
      <c r="P2591">
        <f>-733.315193882145 -64.8075885210817 -416.576181005657</f>
        <v>-1214.6989634088836</v>
      </c>
      <c r="Q2591">
        <f>-486.749828782397 -2.25671731433704 -362.40079598493</f>
        <v>-851.40734208166407</v>
      </c>
      <c r="R2591" t="s">
        <v>53845</v>
      </c>
      <c r="S2591" t="s">
        <v>53846</v>
      </c>
      <c r="T2591" t="s">
        <v>53847</v>
      </c>
      <c r="U2591" t="s">
        <v>53848</v>
      </c>
      <c r="V2591" t="s">
        <v>53849</v>
      </c>
      <c r="W2591" t="s">
        <v>53850</v>
      </c>
      <c r="X2591" t="s">
        <v>53851</v>
      </c>
      <c r="Y2591" t="s">
        <v>53852</v>
      </c>
    </row>
    <row r="2592" spans="1:25" x14ac:dyDescent="0.3">
      <c r="A2592">
        <v>129550</v>
      </c>
      <c r="B2592" t="s">
        <v>53853</v>
      </c>
      <c r="C2592" t="s">
        <v>53854</v>
      </c>
      <c r="D2592" t="s">
        <v>53855</v>
      </c>
      <c r="E2592" t="s">
        <v>53856</v>
      </c>
      <c r="F2592" t="s">
        <v>53857</v>
      </c>
      <c r="G2592" t="s">
        <v>53858</v>
      </c>
      <c r="H2592" t="s">
        <v>53859</v>
      </c>
      <c r="I2592" t="s">
        <v>53860</v>
      </c>
      <c r="J2592" t="s">
        <v>53861</v>
      </c>
      <c r="K2592" t="s">
        <v>53862</v>
      </c>
      <c r="L2592" t="s">
        <v>53863</v>
      </c>
      <c r="M2592" t="s">
        <v>53864</v>
      </c>
      <c r="N2592" t="s">
        <v>53865</v>
      </c>
      <c r="O2592">
        <f>-722.609319956191 -77.0409324014609 -733.041449473137</f>
        <v>-1532.691701830789</v>
      </c>
      <c r="P2592">
        <f>-733.222729304425 -66.880421907282 -416.860653538963</f>
        <v>-1216.9638047506701</v>
      </c>
      <c r="Q2592">
        <f>-485.925824892232 -4.82135408823069 -365.528662131539</f>
        <v>-856.27584111200167</v>
      </c>
      <c r="R2592" t="s">
        <v>53866</v>
      </c>
      <c r="S2592" t="s">
        <v>53867</v>
      </c>
      <c r="T2592" t="s">
        <v>53868</v>
      </c>
      <c r="U2592" t="s">
        <v>53869</v>
      </c>
      <c r="V2592" t="s">
        <v>53870</v>
      </c>
      <c r="W2592" t="s">
        <v>53871</v>
      </c>
      <c r="X2592" t="s">
        <v>53872</v>
      </c>
      <c r="Y2592" t="s">
        <v>53873</v>
      </c>
    </row>
    <row r="2593" spans="1:25" x14ac:dyDescent="0.3">
      <c r="A2593">
        <v>129600</v>
      </c>
      <c r="B2593" t="s">
        <v>53874</v>
      </c>
      <c r="C2593" t="s">
        <v>53875</v>
      </c>
      <c r="D2593" t="s">
        <v>53876</v>
      </c>
      <c r="E2593" t="s">
        <v>53877</v>
      </c>
      <c r="F2593" t="s">
        <v>53878</v>
      </c>
      <c r="G2593" t="s">
        <v>53879</v>
      </c>
      <c r="H2593" t="s">
        <v>53880</v>
      </c>
      <c r="I2593" t="s">
        <v>53881</v>
      </c>
      <c r="J2593" t="s">
        <v>53882</v>
      </c>
      <c r="K2593" t="s">
        <v>53883</v>
      </c>
      <c r="L2593" t="s">
        <v>53884</v>
      </c>
      <c r="M2593" t="s">
        <v>53885</v>
      </c>
      <c r="N2593" t="s">
        <v>53886</v>
      </c>
      <c r="O2593">
        <f>-723.207921591696 -76.6419827359523 -733.184098168857</f>
        <v>-1533.0340024965053</v>
      </c>
      <c r="P2593">
        <f>-733.351534859747 -67.6288993035546 -416.952975420836</f>
        <v>-1217.9334095841375</v>
      </c>
      <c r="Q2593">
        <f>-485.658763979097 -6.49169607905287 -366.429825954979</f>
        <v>-858.5802860131289</v>
      </c>
      <c r="R2593" t="s">
        <v>53887</v>
      </c>
      <c r="S2593" t="s">
        <v>53888</v>
      </c>
      <c r="T2593" t="s">
        <v>53889</v>
      </c>
      <c r="U2593" t="s">
        <v>53890</v>
      </c>
      <c r="V2593" t="s">
        <v>53891</v>
      </c>
      <c r="W2593" t="s">
        <v>53892</v>
      </c>
      <c r="X2593" t="s">
        <v>53893</v>
      </c>
      <c r="Y2593" t="s">
        <v>53894</v>
      </c>
    </row>
    <row r="2594" spans="1:25" x14ac:dyDescent="0.3">
      <c r="A2594">
        <v>129650</v>
      </c>
      <c r="B2594" t="s">
        <v>53895</v>
      </c>
      <c r="C2594" t="s">
        <v>53896</v>
      </c>
      <c r="D2594" t="s">
        <v>53897</v>
      </c>
      <c r="E2594" t="s">
        <v>53898</v>
      </c>
      <c r="F2594" t="s">
        <v>53899</v>
      </c>
      <c r="G2594" t="s">
        <v>53900</v>
      </c>
      <c r="H2594" t="s">
        <v>53901</v>
      </c>
      <c r="I2594" t="s">
        <v>53902</v>
      </c>
      <c r="J2594" t="s">
        <v>53903</v>
      </c>
      <c r="K2594" t="s">
        <v>53904</v>
      </c>
      <c r="L2594" t="s">
        <v>53905</v>
      </c>
      <c r="M2594" t="s">
        <v>53906</v>
      </c>
      <c r="N2594" t="s">
        <v>53907</v>
      </c>
      <c r="O2594">
        <f>-724.325109326926 -76.1791767540699 -733.219037909859</f>
        <v>-1533.7233239908551</v>
      </c>
      <c r="P2594">
        <f>-733.257178256946 -67.9229299603053 -416.93076736357</f>
        <v>-1218.1108755808214</v>
      </c>
      <c r="Q2594">
        <f>-484.949428903628 -9.14011391762847 -366.632609940146</f>
        <v>-860.72215276140241</v>
      </c>
      <c r="R2594" t="s">
        <v>53908</v>
      </c>
      <c r="S2594" t="s">
        <v>53909</v>
      </c>
      <c r="T2594" t="s">
        <v>53910</v>
      </c>
      <c r="U2594" t="s">
        <v>53911</v>
      </c>
      <c r="V2594" t="s">
        <v>53912</v>
      </c>
      <c r="W2594" t="s">
        <v>53913</v>
      </c>
      <c r="X2594" t="s">
        <v>53914</v>
      </c>
      <c r="Y2594" t="s">
        <v>53915</v>
      </c>
    </row>
    <row r="2595" spans="1:25" x14ac:dyDescent="0.3">
      <c r="A2595">
        <v>129700</v>
      </c>
      <c r="B2595" t="s">
        <v>53916</v>
      </c>
      <c r="C2595" t="s">
        <v>53917</v>
      </c>
      <c r="D2595" t="s">
        <v>53918</v>
      </c>
      <c r="E2595" t="s">
        <v>53919</v>
      </c>
      <c r="F2595" t="s">
        <v>53920</v>
      </c>
      <c r="G2595" t="s">
        <v>53921</v>
      </c>
      <c r="H2595" t="s">
        <v>53922</v>
      </c>
      <c r="I2595" t="s">
        <v>53923</v>
      </c>
      <c r="J2595" t="s">
        <v>53924</v>
      </c>
      <c r="K2595" t="s">
        <v>53925</v>
      </c>
      <c r="L2595" t="s">
        <v>53926</v>
      </c>
      <c r="M2595" t="s">
        <v>53927</v>
      </c>
      <c r="N2595" t="s">
        <v>53928</v>
      </c>
      <c r="O2595">
        <f>-724.325957407865 -76.2436808810469 -733.235638580447</f>
        <v>-1533.8052768693587</v>
      </c>
      <c r="P2595">
        <f>-733.110097128781 -68.1723492704793 -416.938492729418</f>
        <v>-1218.2209391286783</v>
      </c>
      <c r="Q2595">
        <f>-484.556966121718 -10.331945177742 -366.759813744599</f>
        <v>-861.64872504405901</v>
      </c>
      <c r="R2595" t="s">
        <v>53929</v>
      </c>
      <c r="S2595" t="s">
        <v>53930</v>
      </c>
      <c r="T2595" t="s">
        <v>53931</v>
      </c>
      <c r="U2595" t="s">
        <v>53932</v>
      </c>
      <c r="V2595" t="s">
        <v>53933</v>
      </c>
      <c r="W2595" t="s">
        <v>53934</v>
      </c>
      <c r="X2595" t="s">
        <v>53935</v>
      </c>
      <c r="Y2595" t="s">
        <v>53936</v>
      </c>
    </row>
    <row r="2596" spans="1:25" x14ac:dyDescent="0.3">
      <c r="A2596">
        <v>129750</v>
      </c>
      <c r="B2596" t="s">
        <v>53937</v>
      </c>
      <c r="C2596" t="s">
        <v>53938</v>
      </c>
      <c r="D2596" t="s">
        <v>53939</v>
      </c>
      <c r="E2596" t="s">
        <v>53940</v>
      </c>
      <c r="F2596" t="s">
        <v>53941</v>
      </c>
      <c r="G2596" t="s">
        <v>53942</v>
      </c>
      <c r="H2596" t="s">
        <v>53943</v>
      </c>
      <c r="I2596" t="s">
        <v>53944</v>
      </c>
      <c r="J2596" t="s">
        <v>53945</v>
      </c>
      <c r="K2596" t="s">
        <v>53946</v>
      </c>
      <c r="L2596" t="s">
        <v>53947</v>
      </c>
      <c r="M2596" t="s">
        <v>53948</v>
      </c>
      <c r="N2596" t="s">
        <v>53949</v>
      </c>
      <c r="O2596">
        <f>-724.10851753425 -76.1476310111289 -733.453900133799</f>
        <v>-1533.7100486791778</v>
      </c>
      <c r="P2596">
        <f>-733.588434203977 -68.8991597387237 -417.156828217266</f>
        <v>-1219.6444221599668</v>
      </c>
      <c r="Q2596">
        <f>-484.600771537059 -11.9950292894457 -368.073772205724</f>
        <v>-864.66957303222875</v>
      </c>
      <c r="R2596" t="s">
        <v>53950</v>
      </c>
      <c r="S2596" t="s">
        <v>53951</v>
      </c>
      <c r="T2596" t="s">
        <v>53952</v>
      </c>
      <c r="U2596" t="s">
        <v>53953</v>
      </c>
      <c r="V2596" t="s">
        <v>53954</v>
      </c>
      <c r="W2596" t="s">
        <v>53955</v>
      </c>
      <c r="X2596" t="s">
        <v>53956</v>
      </c>
      <c r="Y2596" t="s">
        <v>53957</v>
      </c>
    </row>
    <row r="2597" spans="1:25" x14ac:dyDescent="0.3">
      <c r="A2597">
        <v>129800</v>
      </c>
      <c r="B2597" t="s">
        <v>53958</v>
      </c>
      <c r="C2597" t="s">
        <v>53959</v>
      </c>
      <c r="D2597" t="s">
        <v>53960</v>
      </c>
      <c r="E2597" t="s">
        <v>53961</v>
      </c>
      <c r="F2597" t="s">
        <v>53962</v>
      </c>
      <c r="G2597" t="s">
        <v>53963</v>
      </c>
      <c r="H2597" t="s">
        <v>53964</v>
      </c>
      <c r="I2597" t="s">
        <v>53965</v>
      </c>
      <c r="J2597" t="s">
        <v>53966</v>
      </c>
      <c r="K2597" t="s">
        <v>53967</v>
      </c>
      <c r="L2597" t="s">
        <v>53968</v>
      </c>
      <c r="M2597" t="s">
        <v>53969</v>
      </c>
      <c r="N2597" t="s">
        <v>53970</v>
      </c>
      <c r="O2597">
        <f>-724.16359811338 -76.131617612039 -733.532639425662</f>
        <v>-1533.8278551510809</v>
      </c>
      <c r="P2597">
        <f>-734.041884082262 -69.5841900751559 -417.232512959625</f>
        <v>-1220.8585871170428</v>
      </c>
      <c r="Q2597">
        <f>-484.796832006761 -13.0624213321362 -369.021489954026</f>
        <v>-866.88074329292317</v>
      </c>
      <c r="R2597" t="s">
        <v>53971</v>
      </c>
      <c r="S2597" t="s">
        <v>53972</v>
      </c>
      <c r="T2597" t="s">
        <v>53973</v>
      </c>
      <c r="U2597" t="s">
        <v>53974</v>
      </c>
      <c r="V2597" t="s">
        <v>53975</v>
      </c>
      <c r="W2597" t="s">
        <v>53976</v>
      </c>
      <c r="X2597" t="s">
        <v>53977</v>
      </c>
      <c r="Y2597" t="s">
        <v>53978</v>
      </c>
    </row>
    <row r="2598" spans="1:25" x14ac:dyDescent="0.3">
      <c r="A2598">
        <v>129850</v>
      </c>
      <c r="B2598" t="s">
        <v>53979</v>
      </c>
      <c r="C2598" t="s">
        <v>53980</v>
      </c>
      <c r="D2598" t="s">
        <v>53981</v>
      </c>
      <c r="E2598" t="s">
        <v>53982</v>
      </c>
      <c r="F2598" t="s">
        <v>53983</v>
      </c>
      <c r="G2598" t="s">
        <v>53984</v>
      </c>
      <c r="H2598" t="s">
        <v>53985</v>
      </c>
      <c r="I2598" t="s">
        <v>53986</v>
      </c>
      <c r="J2598" t="s">
        <v>53987</v>
      </c>
      <c r="K2598" t="s">
        <v>53988</v>
      </c>
      <c r="L2598" t="s">
        <v>53989</v>
      </c>
      <c r="M2598" t="s">
        <v>53990</v>
      </c>
      <c r="N2598" t="s">
        <v>53991</v>
      </c>
      <c r="O2598">
        <f>-724.98143166107 -75.8259724161867 -733.778245237889</f>
        <v>-1534.5856493151457</v>
      </c>
      <c r="P2598">
        <f>-734.714874676364 -71.1032651811997 -417.441078118696</f>
        <v>-1223.2592179762598</v>
      </c>
      <c r="Q2598">
        <f>-485.03802830714 -14.4291541891375 -371.706536098425</f>
        <v>-871.17371859470245</v>
      </c>
      <c r="R2598" t="s">
        <v>53992</v>
      </c>
      <c r="S2598" t="s">
        <v>53993</v>
      </c>
      <c r="T2598" t="s">
        <v>53994</v>
      </c>
      <c r="U2598" t="s">
        <v>53995</v>
      </c>
      <c r="V2598" t="s">
        <v>53996</v>
      </c>
      <c r="W2598" t="s">
        <v>53997</v>
      </c>
      <c r="X2598" t="s">
        <v>53998</v>
      </c>
      <c r="Y2598" t="s">
        <v>53999</v>
      </c>
    </row>
    <row r="2599" spans="1:25" x14ac:dyDescent="0.3">
      <c r="A2599">
        <v>129900</v>
      </c>
      <c r="B2599" t="s">
        <v>54000</v>
      </c>
      <c r="C2599" t="s">
        <v>54001</v>
      </c>
      <c r="D2599" t="s">
        <v>54002</v>
      </c>
      <c r="E2599" t="s">
        <v>54003</v>
      </c>
      <c r="F2599" t="s">
        <v>54004</v>
      </c>
      <c r="G2599" t="s">
        <v>54005</v>
      </c>
      <c r="H2599" t="s">
        <v>54006</v>
      </c>
      <c r="I2599" t="s">
        <v>54007</v>
      </c>
      <c r="J2599" t="s">
        <v>54008</v>
      </c>
      <c r="K2599" t="s">
        <v>54009</v>
      </c>
      <c r="L2599" t="s">
        <v>54010</v>
      </c>
      <c r="M2599" t="s">
        <v>54011</v>
      </c>
      <c r="N2599" t="s">
        <v>54012</v>
      </c>
      <c r="O2599">
        <f>-725.444741053619 -75.5001100184161 -733.9297018541</f>
        <v>-1534.874552926135</v>
      </c>
      <c r="P2599">
        <f>-734.824198878673 -71.179486864419 -417.576272196907</f>
        <v>-1223.5799579399991</v>
      </c>
      <c r="Q2599">
        <f>-485.071766200771 -14.3728442861727 -372.423446540093</f>
        <v>-871.86805702703668</v>
      </c>
      <c r="R2599" t="s">
        <v>54013</v>
      </c>
      <c r="S2599" t="s">
        <v>54014</v>
      </c>
      <c r="T2599" t="s">
        <v>54015</v>
      </c>
      <c r="U2599" t="s">
        <v>54016</v>
      </c>
      <c r="V2599" t="s">
        <v>54017</v>
      </c>
      <c r="W2599" t="s">
        <v>54018</v>
      </c>
      <c r="X2599" t="s">
        <v>54019</v>
      </c>
      <c r="Y2599" t="s">
        <v>54020</v>
      </c>
    </row>
    <row r="2600" spans="1:25" x14ac:dyDescent="0.3">
      <c r="A2600">
        <v>129950</v>
      </c>
      <c r="B2600" t="s">
        <v>54021</v>
      </c>
      <c r="C2600" t="s">
        <v>54022</v>
      </c>
      <c r="D2600" t="s">
        <v>54023</v>
      </c>
      <c r="E2600" t="s">
        <v>54024</v>
      </c>
      <c r="F2600" t="s">
        <v>54025</v>
      </c>
      <c r="G2600" t="s">
        <v>54026</v>
      </c>
      <c r="H2600" t="s">
        <v>54027</v>
      </c>
      <c r="I2600" t="s">
        <v>54028</v>
      </c>
      <c r="J2600" t="s">
        <v>54029</v>
      </c>
      <c r="K2600" t="s">
        <v>54030</v>
      </c>
      <c r="L2600" t="s">
        <v>54031</v>
      </c>
      <c r="M2600" t="s">
        <v>54032</v>
      </c>
      <c r="N2600" t="s">
        <v>54033</v>
      </c>
      <c r="O2600">
        <f>-726.324134176297 -75.0970535956915 -734.226606369581</f>
        <v>-1535.6477941415694</v>
      </c>
      <c r="P2600">
        <f>-735.207775612147 -70.8358413465389 -417.857895219186</f>
        <v>-1223.9015121778718</v>
      </c>
      <c r="Q2600">
        <f>-485.345360476864 -14.5211119604555 -372.697270479269</f>
        <v>-872.56374291658858</v>
      </c>
      <c r="R2600" t="s">
        <v>54034</v>
      </c>
      <c r="S2600" t="s">
        <v>54035</v>
      </c>
      <c r="T2600" t="s">
        <v>54036</v>
      </c>
      <c r="U2600" t="s">
        <v>54037</v>
      </c>
      <c r="V2600" t="s">
        <v>54038</v>
      </c>
      <c r="W2600" t="s">
        <v>54039</v>
      </c>
      <c r="X2600" t="s">
        <v>54040</v>
      </c>
      <c r="Y2600" t="s">
        <v>54041</v>
      </c>
    </row>
    <row r="2601" spans="1:25" x14ac:dyDescent="0.3">
      <c r="A2601">
        <v>130000</v>
      </c>
      <c r="B2601" t="s">
        <v>54042</v>
      </c>
      <c r="C2601" t="s">
        <v>54043</v>
      </c>
      <c r="D2601" t="s">
        <v>54044</v>
      </c>
      <c r="E2601" t="s">
        <v>54045</v>
      </c>
      <c r="F2601" t="s">
        <v>54046</v>
      </c>
      <c r="G2601" t="s">
        <v>54047</v>
      </c>
      <c r="H2601" t="s">
        <v>54048</v>
      </c>
      <c r="I2601" t="s">
        <v>54049</v>
      </c>
      <c r="J2601" t="s">
        <v>54050</v>
      </c>
      <c r="K2601" t="s">
        <v>54051</v>
      </c>
      <c r="L2601" t="s">
        <v>54052</v>
      </c>
      <c r="M2601" t="s">
        <v>54053</v>
      </c>
      <c r="N2601" t="s">
        <v>54054</v>
      </c>
      <c r="O2601">
        <f>-726.596271893599 -74.8346640907223 -734.328456325421</f>
        <v>-1535.7593923097425</v>
      </c>
      <c r="P2601">
        <f>-735.04506651866 -70.7108106166766 -417.946172888627</f>
        <v>-1223.7020500239635</v>
      </c>
      <c r="Q2601">
        <f>-485.609219926075 -13.7116736825758 -371.31018047309</f>
        <v>-870.63107408174073</v>
      </c>
      <c r="R2601" t="s">
        <v>54055</v>
      </c>
      <c r="S2601" t="s">
        <v>54056</v>
      </c>
      <c r="T2601" t="s">
        <v>54057</v>
      </c>
      <c r="U2601" t="s">
        <v>54058</v>
      </c>
      <c r="V2601" t="s">
        <v>54059</v>
      </c>
      <c r="W2601" t="s">
        <v>54060</v>
      </c>
      <c r="X2601" t="s">
        <v>54061</v>
      </c>
      <c r="Y2601" t="s">
        <v>54062</v>
      </c>
    </row>
    <row r="2602" spans="1:25" x14ac:dyDescent="0.3">
      <c r="A2602">
        <v>130050</v>
      </c>
      <c r="B2602" t="s">
        <v>54063</v>
      </c>
      <c r="C2602" t="s">
        <v>54064</v>
      </c>
      <c r="D2602" t="s">
        <v>54065</v>
      </c>
      <c r="E2602" t="s">
        <v>54066</v>
      </c>
      <c r="F2602" t="s">
        <v>54067</v>
      </c>
      <c r="G2602" t="s">
        <v>54068</v>
      </c>
      <c r="H2602" t="s">
        <v>54069</v>
      </c>
      <c r="I2602" t="s">
        <v>54070</v>
      </c>
      <c r="J2602" t="s">
        <v>54071</v>
      </c>
      <c r="K2602" t="s">
        <v>54072</v>
      </c>
      <c r="L2602" t="s">
        <v>54073</v>
      </c>
      <c r="M2602" t="s">
        <v>54074</v>
      </c>
      <c r="N2602" t="s">
        <v>54075</v>
      </c>
      <c r="O2602">
        <f>-726.554066863094 -74.982586520249 -734.047991280893</f>
        <v>-1535.5846446642361</v>
      </c>
      <c r="P2602">
        <f>-734.222426372213 -69.3801117591306 -417.668472734278</f>
        <v>-1221.2710108656215</v>
      </c>
      <c r="Q2602">
        <f>-485.612334901807 -10.5084132975619 -368.994497014998</f>
        <v>-865.11524521436695</v>
      </c>
      <c r="R2602" t="s">
        <v>54076</v>
      </c>
      <c r="S2602" t="s">
        <v>54077</v>
      </c>
      <c r="T2602" t="s">
        <v>54078</v>
      </c>
      <c r="U2602" t="s">
        <v>54079</v>
      </c>
      <c r="V2602" t="s">
        <v>54080</v>
      </c>
      <c r="W2602" t="s">
        <v>54081</v>
      </c>
      <c r="X2602" t="s">
        <v>54082</v>
      </c>
      <c r="Y2602" t="s">
        <v>54083</v>
      </c>
    </row>
    <row r="2603" spans="1:25" x14ac:dyDescent="0.3">
      <c r="A2603">
        <v>130100</v>
      </c>
      <c r="B2603" t="s">
        <v>54084</v>
      </c>
      <c r="C2603" t="s">
        <v>54085</v>
      </c>
      <c r="D2603" t="s">
        <v>54086</v>
      </c>
      <c r="E2603" t="s">
        <v>54087</v>
      </c>
      <c r="F2603" t="s">
        <v>54088</v>
      </c>
      <c r="G2603" t="s">
        <v>54089</v>
      </c>
      <c r="H2603" t="s">
        <v>54090</v>
      </c>
      <c r="I2603" t="s">
        <v>54091</v>
      </c>
      <c r="J2603" t="s">
        <v>54092</v>
      </c>
      <c r="K2603" t="s">
        <v>54093</v>
      </c>
      <c r="L2603" t="s">
        <v>54094</v>
      </c>
      <c r="M2603" t="s">
        <v>54095</v>
      </c>
      <c r="N2603" t="s">
        <v>54096</v>
      </c>
      <c r="O2603">
        <f>-726.249429656234 -75.1542315386607 -733.781248755024</f>
        <v>-1535.1849099499186</v>
      </c>
      <c r="P2603">
        <f>-733.55545636904 -68.8064047329387 -417.407295202254</f>
        <v>-1219.7691563042326</v>
      </c>
      <c r="Q2603">
        <f>-485.185260072275 -9.40038805852942 -368.160552680203</f>
        <v>-862.74620081100738</v>
      </c>
      <c r="R2603" t="s">
        <v>54097</v>
      </c>
      <c r="S2603" t="s">
        <v>54098</v>
      </c>
      <c r="T2603" t="s">
        <v>54099</v>
      </c>
      <c r="U2603" t="s">
        <v>54100</v>
      </c>
      <c r="V2603" t="s">
        <v>54101</v>
      </c>
      <c r="W2603" t="s">
        <v>54102</v>
      </c>
      <c r="X2603" t="s">
        <v>54103</v>
      </c>
      <c r="Y2603" t="s">
        <v>54104</v>
      </c>
    </row>
    <row r="2604" spans="1:25" x14ac:dyDescent="0.3">
      <c r="A2604">
        <v>130150</v>
      </c>
      <c r="B2604" t="s">
        <v>54105</v>
      </c>
      <c r="C2604" t="s">
        <v>54106</v>
      </c>
      <c r="D2604" t="s">
        <v>54107</v>
      </c>
      <c r="E2604" t="s">
        <v>54108</v>
      </c>
      <c r="F2604" t="s">
        <v>54109</v>
      </c>
      <c r="G2604" t="s">
        <v>54110</v>
      </c>
      <c r="H2604" t="s">
        <v>54111</v>
      </c>
      <c r="I2604" t="s">
        <v>54112</v>
      </c>
      <c r="J2604" t="s">
        <v>54113</v>
      </c>
      <c r="K2604" t="s">
        <v>54114</v>
      </c>
      <c r="L2604" t="s">
        <v>54115</v>
      </c>
      <c r="M2604" t="s">
        <v>54116</v>
      </c>
      <c r="N2604" t="s">
        <v>54117</v>
      </c>
      <c r="O2604">
        <f>-726.0215271928 -74.6492452511329 -733.374761273153</f>
        <v>-1534.0455337170861</v>
      </c>
      <c r="P2604">
        <f>-733.010488702434 -67.6655467080532 -417.007005542853</f>
        <v>-1217.6830409533402</v>
      </c>
      <c r="Q2604">
        <f>-485.141713570959 -6.91893693873408 -366.877315258061</f>
        <v>-858.93796576775412</v>
      </c>
      <c r="R2604" t="s">
        <v>54118</v>
      </c>
      <c r="S2604" t="s">
        <v>54119</v>
      </c>
      <c r="T2604" t="s">
        <v>54120</v>
      </c>
      <c r="U2604" t="s">
        <v>54121</v>
      </c>
      <c r="V2604" t="s">
        <v>54122</v>
      </c>
      <c r="W2604" t="s">
        <v>54123</v>
      </c>
      <c r="X2604" t="s">
        <v>54124</v>
      </c>
      <c r="Y2604" t="s">
        <v>54125</v>
      </c>
    </row>
    <row r="2605" spans="1:25" x14ac:dyDescent="0.3">
      <c r="A2605">
        <v>130200</v>
      </c>
      <c r="B2605" t="s">
        <v>54126</v>
      </c>
      <c r="C2605" t="s">
        <v>54127</v>
      </c>
      <c r="D2605" t="s">
        <v>54128</v>
      </c>
      <c r="E2605" t="s">
        <v>54129</v>
      </c>
      <c r="F2605" t="s">
        <v>54130</v>
      </c>
      <c r="G2605" t="s">
        <v>54131</v>
      </c>
      <c r="H2605" t="s">
        <v>54132</v>
      </c>
      <c r="I2605" t="s">
        <v>54133</v>
      </c>
      <c r="J2605" t="s">
        <v>54134</v>
      </c>
      <c r="K2605" t="s">
        <v>54135</v>
      </c>
      <c r="L2605" t="s">
        <v>54136</v>
      </c>
      <c r="M2605" t="s">
        <v>54137</v>
      </c>
      <c r="N2605" t="s">
        <v>54138</v>
      </c>
      <c r="O2605">
        <f>-726.008673557967 -74.1169253013893 -733.286062066482</f>
        <v>-1533.4116609258383</v>
      </c>
      <c r="P2605">
        <f>-733.221193752986 -66.5126315010641 -416.937618494517</f>
        <v>-1216.6714437485671</v>
      </c>
      <c r="Q2605">
        <f>-485.628592916264 -4.83728359372253 -366.57707694896</f>
        <v>-857.0429534589465</v>
      </c>
      <c r="R2605" t="s">
        <v>54139</v>
      </c>
      <c r="S2605" t="s">
        <v>54140</v>
      </c>
      <c r="T2605" t="s">
        <v>54141</v>
      </c>
      <c r="U2605" t="s">
        <v>54142</v>
      </c>
      <c r="V2605" t="s">
        <v>54143</v>
      </c>
      <c r="W2605" t="s">
        <v>54144</v>
      </c>
      <c r="X2605" t="s">
        <v>54145</v>
      </c>
      <c r="Y2605" t="s">
        <v>54146</v>
      </c>
    </row>
    <row r="2606" spans="1:25" x14ac:dyDescent="0.3">
      <c r="A2606">
        <v>130250</v>
      </c>
      <c r="B2606" t="s">
        <v>54147</v>
      </c>
      <c r="C2606" t="s">
        <v>54148</v>
      </c>
      <c r="D2606" t="s">
        <v>54149</v>
      </c>
      <c r="E2606" t="s">
        <v>54150</v>
      </c>
      <c r="F2606" t="s">
        <v>54151</v>
      </c>
      <c r="G2606" t="s">
        <v>54152</v>
      </c>
      <c r="H2606" t="s">
        <v>54153</v>
      </c>
      <c r="I2606" t="s">
        <v>54154</v>
      </c>
      <c r="J2606" t="s">
        <v>54155</v>
      </c>
      <c r="K2606" t="s">
        <v>54156</v>
      </c>
      <c r="L2606" t="s">
        <v>54157</v>
      </c>
      <c r="M2606" t="s">
        <v>54158</v>
      </c>
      <c r="N2606" t="s">
        <v>54159</v>
      </c>
      <c r="O2606">
        <f>-726.824757004302 -72.9734506162786 -733.206653980304</f>
        <v>-1533.0048616008846</v>
      </c>
      <c r="P2606">
        <f>-734.496149510787 -64.9020424119699 -416.880581601646</f>
        <v>-1216.2787735244028</v>
      </c>
      <c r="Q2606">
        <f>-487.243721124344 -2.69908886410508 -365.509129246834</f>
        <v>-855.45193923528313</v>
      </c>
      <c r="R2606" t="s">
        <v>54160</v>
      </c>
      <c r="S2606" t="s">
        <v>54161</v>
      </c>
      <c r="T2606" t="s">
        <v>54162</v>
      </c>
      <c r="U2606" t="s">
        <v>54163</v>
      </c>
      <c r="V2606" t="s">
        <v>54164</v>
      </c>
      <c r="W2606" t="s">
        <v>54165</v>
      </c>
      <c r="X2606" t="s">
        <v>54166</v>
      </c>
      <c r="Y2606" t="s">
        <v>54167</v>
      </c>
    </row>
    <row r="2607" spans="1:25" x14ac:dyDescent="0.3">
      <c r="A2607">
        <v>130300</v>
      </c>
      <c r="B2607" t="s">
        <v>54168</v>
      </c>
      <c r="C2607" t="s">
        <v>54169</v>
      </c>
      <c r="D2607" t="s">
        <v>54170</v>
      </c>
      <c r="E2607" t="s">
        <v>54171</v>
      </c>
      <c r="F2607" t="s">
        <v>54172</v>
      </c>
      <c r="G2607" t="s">
        <v>54173</v>
      </c>
      <c r="H2607" t="s">
        <v>54174</v>
      </c>
      <c r="I2607" t="s">
        <v>54175</v>
      </c>
      <c r="J2607" t="s">
        <v>54176</v>
      </c>
      <c r="K2607" t="s">
        <v>54177</v>
      </c>
      <c r="L2607" t="s">
        <v>54178</v>
      </c>
      <c r="M2607" t="s">
        <v>54179</v>
      </c>
      <c r="N2607" t="s">
        <v>54180</v>
      </c>
      <c r="O2607">
        <f>-727.765187482775 -72.7853403673269 -733.020649318391</f>
        <v>-1533.5711771684928</v>
      </c>
      <c r="P2607">
        <f>-735.021924046797 -64.8161694628695 -416.682133976314</f>
        <v>-1216.5202274859805</v>
      </c>
      <c r="Q2607">
        <f>-487.835013695091 -2.52767314580205 -365.098618417089</f>
        <v>-855.46130525798208</v>
      </c>
      <c r="R2607" t="s">
        <v>54181</v>
      </c>
      <c r="S2607" t="s">
        <v>54182</v>
      </c>
      <c r="T2607" t="s">
        <v>54183</v>
      </c>
      <c r="U2607" t="s">
        <v>54184</v>
      </c>
      <c r="V2607" t="s">
        <v>54185</v>
      </c>
      <c r="W2607" t="s">
        <v>54186</v>
      </c>
      <c r="X2607" t="s">
        <v>54187</v>
      </c>
      <c r="Y2607" t="s">
        <v>54188</v>
      </c>
    </row>
    <row r="2608" spans="1:25" x14ac:dyDescent="0.3">
      <c r="A2608">
        <v>130350</v>
      </c>
      <c r="B2608" t="s">
        <v>54189</v>
      </c>
      <c r="C2608" t="s">
        <v>54190</v>
      </c>
      <c r="D2608" t="s">
        <v>54191</v>
      </c>
      <c r="E2608" t="s">
        <v>54192</v>
      </c>
      <c r="F2608" t="s">
        <v>54193</v>
      </c>
      <c r="G2608" t="s">
        <v>54194</v>
      </c>
      <c r="H2608" t="s">
        <v>54195</v>
      </c>
      <c r="I2608" t="s">
        <v>54196</v>
      </c>
      <c r="J2608" t="s">
        <v>54197</v>
      </c>
      <c r="K2608" t="s">
        <v>54198</v>
      </c>
      <c r="L2608" t="s">
        <v>54199</v>
      </c>
      <c r="M2608" t="s">
        <v>54200</v>
      </c>
      <c r="N2608" t="s">
        <v>54201</v>
      </c>
      <c r="O2608">
        <f>-729.498792165228 -73.027258412865 -732.451269470436</f>
        <v>-1534.977320048529</v>
      </c>
      <c r="P2608">
        <f>-734.838581835659 -64.6142174286319 -416.086107961211</f>
        <v>-1215.538907225502</v>
      </c>
      <c r="Q2608">
        <f>-487.299691797538 -3.31368108840206 -365.009920906382</f>
        <v>-855.6232937923221</v>
      </c>
      <c r="R2608" t="s">
        <v>54202</v>
      </c>
      <c r="S2608" t="s">
        <v>54203</v>
      </c>
      <c r="T2608" t="s">
        <v>54204</v>
      </c>
      <c r="U2608" t="s">
        <v>54205</v>
      </c>
      <c r="V2608" t="s">
        <v>54206</v>
      </c>
      <c r="W2608" t="s">
        <v>54207</v>
      </c>
      <c r="X2608" t="s">
        <v>54208</v>
      </c>
      <c r="Y2608" t="s">
        <v>54209</v>
      </c>
    </row>
    <row r="2609" spans="1:25" x14ac:dyDescent="0.3">
      <c r="A2609">
        <v>130400</v>
      </c>
      <c r="B2609" t="s">
        <v>54210</v>
      </c>
      <c r="C2609" t="s">
        <v>54211</v>
      </c>
      <c r="D2609" t="s">
        <v>54212</v>
      </c>
      <c r="E2609" t="s">
        <v>54213</v>
      </c>
      <c r="F2609" t="s">
        <v>54214</v>
      </c>
      <c r="G2609" t="s">
        <v>54215</v>
      </c>
      <c r="H2609" t="s">
        <v>54216</v>
      </c>
      <c r="I2609" t="s">
        <v>54217</v>
      </c>
      <c r="J2609" t="s">
        <v>54218</v>
      </c>
      <c r="K2609" t="s">
        <v>54219</v>
      </c>
      <c r="L2609" t="s">
        <v>54220</v>
      </c>
      <c r="M2609" t="s">
        <v>54221</v>
      </c>
      <c r="N2609" t="s">
        <v>54222</v>
      </c>
      <c r="O2609">
        <f>-729.915534665784 -72.9960485501342 -732.238191885889</f>
        <v>-1535.1497751018073</v>
      </c>
      <c r="P2609">
        <f>-734.018664541756 -64.4856113381629 -415.857162868944</f>
        <v>-1214.3614387488628</v>
      </c>
      <c r="Q2609">
        <f>-486.205725217792 -3.82175914777076 -365.352803611345</f>
        <v>-855.38028797690777</v>
      </c>
      <c r="R2609" t="s">
        <v>54223</v>
      </c>
      <c r="S2609" t="s">
        <v>54224</v>
      </c>
      <c r="T2609" t="s">
        <v>54225</v>
      </c>
      <c r="U2609" t="s">
        <v>54226</v>
      </c>
      <c r="V2609" t="s">
        <v>54227</v>
      </c>
      <c r="W2609" t="s">
        <v>54228</v>
      </c>
      <c r="X2609" t="s">
        <v>54229</v>
      </c>
      <c r="Y2609" t="s">
        <v>54230</v>
      </c>
    </row>
    <row r="2610" spans="1:25" x14ac:dyDescent="0.3">
      <c r="A2610">
        <v>130450</v>
      </c>
      <c r="B2610" t="s">
        <v>54231</v>
      </c>
      <c r="C2610" t="s">
        <v>54232</v>
      </c>
      <c r="D2610" t="s">
        <v>54233</v>
      </c>
      <c r="E2610" t="s">
        <v>54234</v>
      </c>
      <c r="F2610" t="s">
        <v>54235</v>
      </c>
      <c r="G2610" t="s">
        <v>54236</v>
      </c>
      <c r="H2610" t="s">
        <v>54237</v>
      </c>
      <c r="I2610" t="s">
        <v>54238</v>
      </c>
      <c r="J2610" t="s">
        <v>54239</v>
      </c>
      <c r="K2610" t="s">
        <v>54240</v>
      </c>
      <c r="L2610" t="s">
        <v>54241</v>
      </c>
      <c r="M2610" t="s">
        <v>54242</v>
      </c>
      <c r="N2610" t="s">
        <v>54243</v>
      </c>
      <c r="O2610">
        <f>-731.020169610565 -72.623549558075 -732.184983580283</f>
        <v>-1535.8287027489228</v>
      </c>
      <c r="P2610">
        <f>-733.63301698978 -64.0624682426965 -415.789576699871</f>
        <v>-1213.4850619323474</v>
      </c>
      <c r="Q2610">
        <f>-485.512012423347 -3.7577028317337 -366.37951546586</f>
        <v>-855.64923072094075</v>
      </c>
      <c r="R2610" t="s">
        <v>54244</v>
      </c>
      <c r="S2610" t="s">
        <v>54245</v>
      </c>
      <c r="T2610" t="s">
        <v>54246</v>
      </c>
      <c r="U2610" t="s">
        <v>54247</v>
      </c>
      <c r="V2610" t="s">
        <v>54248</v>
      </c>
      <c r="W2610" t="s">
        <v>54249</v>
      </c>
      <c r="X2610" t="s">
        <v>54250</v>
      </c>
      <c r="Y2610" t="s">
        <v>54251</v>
      </c>
    </row>
    <row r="2611" spans="1:25" x14ac:dyDescent="0.3">
      <c r="A2611">
        <v>130500</v>
      </c>
      <c r="B2611" t="s">
        <v>54252</v>
      </c>
      <c r="C2611" t="s">
        <v>54253</v>
      </c>
      <c r="D2611" t="s">
        <v>54254</v>
      </c>
      <c r="E2611" t="s">
        <v>54255</v>
      </c>
      <c r="F2611" t="s">
        <v>54256</v>
      </c>
      <c r="G2611" t="s">
        <v>54257</v>
      </c>
      <c r="H2611" t="s">
        <v>54258</v>
      </c>
      <c r="I2611" t="s">
        <v>54259</v>
      </c>
      <c r="J2611" t="s">
        <v>54260</v>
      </c>
      <c r="K2611" t="s">
        <v>54261</v>
      </c>
      <c r="L2611" t="s">
        <v>54262</v>
      </c>
      <c r="M2611" t="s">
        <v>54263</v>
      </c>
      <c r="N2611" t="s">
        <v>54264</v>
      </c>
      <c r="O2611">
        <f>-731.707032093709 -72.6931702159991 -732.301624358957</f>
        <v>-1536.701826668665</v>
      </c>
      <c r="P2611">
        <f>-733.684876928442 -64.8148425682878 -415.883759032715</f>
        <v>-1214.3834785294448</v>
      </c>
      <c r="Q2611">
        <f>-485.580889915265 -4.25501555754454 -366.700355496084</f>
        <v>-856.53626096889354</v>
      </c>
      <c r="R2611" t="s">
        <v>54265</v>
      </c>
      <c r="S2611" t="s">
        <v>54266</v>
      </c>
      <c r="T2611" t="s">
        <v>54267</v>
      </c>
      <c r="U2611" t="s">
        <v>54268</v>
      </c>
      <c r="V2611" t="s">
        <v>54269</v>
      </c>
      <c r="W2611" t="s">
        <v>54270</v>
      </c>
      <c r="X2611" t="s">
        <v>54271</v>
      </c>
      <c r="Y2611" t="s">
        <v>54272</v>
      </c>
    </row>
    <row r="2612" spans="1:25" x14ac:dyDescent="0.3">
      <c r="A2612">
        <v>130550</v>
      </c>
      <c r="B2612" t="s">
        <v>54273</v>
      </c>
      <c r="C2612" t="s">
        <v>54274</v>
      </c>
      <c r="D2612" t="s">
        <v>54275</v>
      </c>
      <c r="E2612" t="s">
        <v>54276</v>
      </c>
      <c r="F2612" t="s">
        <v>54277</v>
      </c>
      <c r="G2612" t="s">
        <v>54278</v>
      </c>
      <c r="H2612" t="s">
        <v>54279</v>
      </c>
      <c r="I2612" t="s">
        <v>54280</v>
      </c>
      <c r="J2612" t="s">
        <v>54281</v>
      </c>
      <c r="K2612" t="s">
        <v>54282</v>
      </c>
      <c r="L2612" t="s">
        <v>54283</v>
      </c>
      <c r="M2612" t="s">
        <v>54284</v>
      </c>
      <c r="N2612" t="s">
        <v>54285</v>
      </c>
      <c r="O2612">
        <f>-733.502118583803 -73.1500070371428 -732.577307488719</f>
        <v>-1539.229433109665</v>
      </c>
      <c r="P2612">
        <f>-734.491117452342 -66.2503284549364 -416.131983387209</f>
        <v>-1216.8734292944873</v>
      </c>
      <c r="Q2612">
        <f>-486.612618169912 -4.58230402646132 -367.189390916479</f>
        <v>-858.3843131128524</v>
      </c>
      <c r="R2612" t="s">
        <v>54286</v>
      </c>
      <c r="S2612" t="s">
        <v>54287</v>
      </c>
      <c r="T2612" t="s">
        <v>54288</v>
      </c>
      <c r="U2612" t="s">
        <v>54289</v>
      </c>
      <c r="V2612" t="s">
        <v>54290</v>
      </c>
      <c r="W2612" t="s">
        <v>54291</v>
      </c>
      <c r="X2612" t="s">
        <v>54292</v>
      </c>
      <c r="Y2612" t="s">
        <v>54293</v>
      </c>
    </row>
    <row r="2613" spans="1:25" x14ac:dyDescent="0.3">
      <c r="A2613">
        <v>130600</v>
      </c>
      <c r="B2613" t="s">
        <v>54294</v>
      </c>
      <c r="C2613" t="s">
        <v>54295</v>
      </c>
      <c r="D2613" t="s">
        <v>54296</v>
      </c>
      <c r="E2613" t="s">
        <v>54297</v>
      </c>
      <c r="F2613" t="s">
        <v>54298</v>
      </c>
      <c r="G2613" t="s">
        <v>54299</v>
      </c>
      <c r="H2613" t="s">
        <v>54300</v>
      </c>
      <c r="I2613" t="s">
        <v>54301</v>
      </c>
      <c r="J2613" t="s">
        <v>54302</v>
      </c>
      <c r="K2613" t="s">
        <v>54303</v>
      </c>
      <c r="L2613" t="s">
        <v>54304</v>
      </c>
      <c r="M2613" t="s">
        <v>54305</v>
      </c>
      <c r="N2613" t="s">
        <v>54306</v>
      </c>
      <c r="O2613">
        <f>-734.661468623664 -73.1256734756359 -732.63379189505</f>
        <v>-1540.42093399435</v>
      </c>
      <c r="P2613">
        <f>-734.716949930904 -66.5633194479231 -416.179863461504</f>
        <v>-1217.4601328403312</v>
      </c>
      <c r="Q2613">
        <f>-486.887585687906 -4.69891730380209 -367.235705219943</f>
        <v>-858.82220821165106</v>
      </c>
      <c r="R2613" t="s">
        <v>54307</v>
      </c>
      <c r="S2613" t="s">
        <v>54308</v>
      </c>
      <c r="T2613" t="s">
        <v>54309</v>
      </c>
      <c r="U2613" t="s">
        <v>54310</v>
      </c>
      <c r="V2613" t="s">
        <v>54311</v>
      </c>
      <c r="W2613" t="s">
        <v>54312</v>
      </c>
      <c r="X2613" t="s">
        <v>54313</v>
      </c>
      <c r="Y2613" t="s">
        <v>54314</v>
      </c>
    </row>
    <row r="2614" spans="1:25" x14ac:dyDescent="0.3">
      <c r="A2614">
        <v>130650</v>
      </c>
      <c r="B2614" t="s">
        <v>54315</v>
      </c>
      <c r="C2614" t="s">
        <v>54316</v>
      </c>
      <c r="D2614" t="s">
        <v>54317</v>
      </c>
      <c r="E2614" t="s">
        <v>54318</v>
      </c>
      <c r="F2614" t="s">
        <v>54319</v>
      </c>
      <c r="G2614" t="s">
        <v>54320</v>
      </c>
      <c r="H2614" t="s">
        <v>54321</v>
      </c>
      <c r="I2614" t="s">
        <v>54322</v>
      </c>
      <c r="J2614" t="s">
        <v>54323</v>
      </c>
      <c r="K2614" t="s">
        <v>54324</v>
      </c>
      <c r="L2614" t="s">
        <v>54325</v>
      </c>
      <c r="M2614" t="s">
        <v>54326</v>
      </c>
      <c r="N2614" t="s">
        <v>54327</v>
      </c>
      <c r="O2614">
        <f>-737.480281558176 -72.6108284629795 -732.963157846138</f>
        <v>-1543.0542678672934</v>
      </c>
      <c r="P2614">
        <f>-735.582903706282 -65.8200159441947 -416.519632306312</f>
        <v>-1217.9225519567885</v>
      </c>
      <c r="Q2614">
        <f>-487.604387702989 -4.16891720531225 -368.065180675278</f>
        <v>-859.83848558357931</v>
      </c>
      <c r="R2614" t="s">
        <v>54328</v>
      </c>
      <c r="S2614" t="s">
        <v>54329</v>
      </c>
      <c r="T2614" t="s">
        <v>54330</v>
      </c>
      <c r="U2614" t="s">
        <v>54331</v>
      </c>
      <c r="V2614" t="s">
        <v>54332</v>
      </c>
      <c r="W2614" t="s">
        <v>54333</v>
      </c>
      <c r="X2614" t="s">
        <v>54334</v>
      </c>
      <c r="Y2614" t="s">
        <v>54335</v>
      </c>
    </row>
    <row r="2615" spans="1:25" x14ac:dyDescent="0.3">
      <c r="A2615">
        <v>130700</v>
      </c>
      <c r="B2615" t="s">
        <v>54336</v>
      </c>
      <c r="C2615" t="s">
        <v>54337</v>
      </c>
      <c r="D2615" t="s">
        <v>54338</v>
      </c>
      <c r="E2615" t="s">
        <v>54339</v>
      </c>
      <c r="F2615" t="s">
        <v>54340</v>
      </c>
      <c r="G2615" t="s">
        <v>54341</v>
      </c>
      <c r="H2615" t="s">
        <v>54342</v>
      </c>
      <c r="I2615" t="s">
        <v>54343</v>
      </c>
      <c r="J2615" t="s">
        <v>54344</v>
      </c>
      <c r="K2615" t="s">
        <v>54345</v>
      </c>
      <c r="L2615" t="s">
        <v>54346</v>
      </c>
      <c r="M2615" t="s">
        <v>54347</v>
      </c>
      <c r="N2615" t="s">
        <v>54348</v>
      </c>
      <c r="O2615">
        <f>-739.224690793953 -72.1116704995682 -733.261383902181</f>
        <v>-1544.5977451957021</v>
      </c>
      <c r="P2615">
        <f>-736.544721148007 -65.3403210420138 -416.823225039157</f>
        <v>-1218.7082672291779</v>
      </c>
      <c r="Q2615">
        <f>-488.526704814307 -3.57367122217397 -368.718991546497</f>
        <v>-860.81936758297797</v>
      </c>
      <c r="R2615" t="s">
        <v>54349</v>
      </c>
      <c r="S2615" t="s">
        <v>54350</v>
      </c>
      <c r="T2615" t="s">
        <v>54351</v>
      </c>
      <c r="U2615" t="s">
        <v>54352</v>
      </c>
      <c r="V2615" t="s">
        <v>54353</v>
      </c>
      <c r="W2615" t="s">
        <v>54354</v>
      </c>
      <c r="X2615" t="s">
        <v>54355</v>
      </c>
      <c r="Y2615" t="s">
        <v>54356</v>
      </c>
    </row>
    <row r="2616" spans="1:25" x14ac:dyDescent="0.3">
      <c r="A2616">
        <v>130750</v>
      </c>
      <c r="B2616" t="s">
        <v>54357</v>
      </c>
      <c r="C2616" t="s">
        <v>54358</v>
      </c>
      <c r="D2616" t="s">
        <v>54359</v>
      </c>
      <c r="E2616" t="s">
        <v>54360</v>
      </c>
      <c r="F2616" t="s">
        <v>54361</v>
      </c>
      <c r="G2616" t="s">
        <v>54362</v>
      </c>
      <c r="H2616" t="s">
        <v>54363</v>
      </c>
      <c r="I2616" t="s">
        <v>54364</v>
      </c>
      <c r="J2616" t="s">
        <v>54365</v>
      </c>
      <c r="K2616" t="s">
        <v>54366</v>
      </c>
      <c r="L2616" t="s">
        <v>54367</v>
      </c>
      <c r="M2616" t="s">
        <v>54368</v>
      </c>
      <c r="N2616" t="s">
        <v>54369</v>
      </c>
      <c r="O2616">
        <f>-743.440571642101 -70.8280631584064 -733.712693383704</f>
        <v>-1547.9813281842114</v>
      </c>
      <c r="P2616">
        <f>-739.3431554972 -65.3233127493563 -417.265041471061</f>
        <v>-1221.9315097176172</v>
      </c>
      <c r="Q2616">
        <f>-491.372099526131 -2.92514341361561 -369.73698372613</f>
        <v>-864.03422666587664</v>
      </c>
      <c r="R2616" t="s">
        <v>54370</v>
      </c>
      <c r="S2616" t="s">
        <v>54371</v>
      </c>
      <c r="T2616" t="s">
        <v>54372</v>
      </c>
      <c r="U2616" t="s">
        <v>54373</v>
      </c>
      <c r="V2616" t="s">
        <v>54374</v>
      </c>
      <c r="W2616" t="s">
        <v>54375</v>
      </c>
      <c r="X2616" t="s">
        <v>54376</v>
      </c>
      <c r="Y2616" t="s">
        <v>54377</v>
      </c>
    </row>
    <row r="2617" spans="1:25" x14ac:dyDescent="0.3">
      <c r="A2617">
        <v>130800</v>
      </c>
      <c r="B2617" t="s">
        <v>54378</v>
      </c>
      <c r="C2617" t="s">
        <v>54379</v>
      </c>
      <c r="D2617" t="s">
        <v>54380</v>
      </c>
      <c r="E2617" t="s">
        <v>54381</v>
      </c>
      <c r="F2617" t="s">
        <v>54382</v>
      </c>
      <c r="G2617" t="s">
        <v>54383</v>
      </c>
      <c r="H2617" t="s">
        <v>54384</v>
      </c>
      <c r="I2617" t="s">
        <v>54385</v>
      </c>
      <c r="J2617" t="s">
        <v>54386</v>
      </c>
      <c r="K2617" t="s">
        <v>54387</v>
      </c>
      <c r="L2617" t="s">
        <v>54388</v>
      </c>
      <c r="M2617" t="s">
        <v>54389</v>
      </c>
      <c r="N2617" t="s">
        <v>54390</v>
      </c>
      <c r="O2617">
        <f>-745.528512505757 -70.3004386839207 -733.892824190605</f>
        <v>-1549.7217753802827</v>
      </c>
      <c r="P2617">
        <f>-740.684936271911 -65.2625279020322 -417.447874622138</f>
        <v>-1223.3953387960812</v>
      </c>
      <c r="Q2617">
        <f>-492.719002051862 -2.69636556984142 -370.115074685088</f>
        <v>-865.53044230679143</v>
      </c>
      <c r="R2617" t="s">
        <v>54391</v>
      </c>
      <c r="S2617" t="s">
        <v>54392</v>
      </c>
      <c r="T2617" t="s">
        <v>54393</v>
      </c>
      <c r="U2617" t="s">
        <v>54394</v>
      </c>
      <c r="V2617" t="s">
        <v>54395</v>
      </c>
      <c r="W2617" t="s">
        <v>54396</v>
      </c>
      <c r="X2617" t="s">
        <v>54397</v>
      </c>
      <c r="Y2617" t="s">
        <v>54398</v>
      </c>
    </row>
    <row r="2618" spans="1:25" x14ac:dyDescent="0.3">
      <c r="A2618">
        <v>130850</v>
      </c>
      <c r="B2618" t="s">
        <v>54399</v>
      </c>
      <c r="C2618" t="s">
        <v>54400</v>
      </c>
      <c r="D2618" t="s">
        <v>54401</v>
      </c>
      <c r="E2618" t="s">
        <v>54402</v>
      </c>
      <c r="F2618" t="s">
        <v>54403</v>
      </c>
      <c r="G2618" t="s">
        <v>54404</v>
      </c>
      <c r="H2618" t="s">
        <v>54405</v>
      </c>
      <c r="I2618" t="s">
        <v>54406</v>
      </c>
      <c r="J2618" t="s">
        <v>54407</v>
      </c>
      <c r="K2618" t="s">
        <v>54408</v>
      </c>
      <c r="L2618" t="s">
        <v>54409</v>
      </c>
      <c r="M2618" t="s">
        <v>54410</v>
      </c>
      <c r="N2618" t="s">
        <v>54411</v>
      </c>
      <c r="O2618">
        <f>-748.66182545373 -69.3082896720314 -734.545288853751</f>
        <v>-1552.5154039795125</v>
      </c>
      <c r="P2618">
        <f>-742.503024466298 -64.8882217623109 -418.113986047164</f>
        <v>-1225.5052322757729</v>
      </c>
      <c r="Q2618">
        <f>-494.356841420785 -2.76663688254257 -371.141342093869</f>
        <v>-868.26482039719656</v>
      </c>
      <c r="R2618" t="s">
        <v>54412</v>
      </c>
      <c r="S2618" t="s">
        <v>54413</v>
      </c>
      <c r="T2618" t="s">
        <v>54414</v>
      </c>
      <c r="U2618" t="s">
        <v>54415</v>
      </c>
      <c r="V2618" t="s">
        <v>54416</v>
      </c>
      <c r="W2618" t="s">
        <v>54417</v>
      </c>
      <c r="X2618" t="s">
        <v>54418</v>
      </c>
      <c r="Y2618" t="s">
        <v>54419</v>
      </c>
    </row>
    <row r="2619" spans="1:25" x14ac:dyDescent="0.3">
      <c r="A2619">
        <v>130900</v>
      </c>
      <c r="B2619" t="s">
        <v>54420</v>
      </c>
      <c r="C2619" t="s">
        <v>54421</v>
      </c>
      <c r="D2619" t="s">
        <v>54422</v>
      </c>
      <c r="E2619" t="s">
        <v>54423</v>
      </c>
      <c r="F2619" t="s">
        <v>54424</v>
      </c>
      <c r="G2619" t="s">
        <v>54425</v>
      </c>
      <c r="H2619" t="s">
        <v>54426</v>
      </c>
      <c r="I2619" t="s">
        <v>54427</v>
      </c>
      <c r="J2619" t="s">
        <v>54428</v>
      </c>
      <c r="K2619" t="s">
        <v>54429</v>
      </c>
      <c r="L2619" t="s">
        <v>54430</v>
      </c>
      <c r="M2619" t="s">
        <v>54431</v>
      </c>
      <c r="N2619" t="s">
        <v>54432</v>
      </c>
      <c r="O2619">
        <f>-750.573123190689 -69.0704057416103 -734.831427317516</f>
        <v>-1554.4749562498155</v>
      </c>
      <c r="P2619">
        <f>-744.13910741968 -64.5822987807783 -418.406637115765</f>
        <v>-1227.1280433162233</v>
      </c>
      <c r="Q2619">
        <f>-495.915256578433 -2.80658932881943 -371.388676790025</f>
        <v>-870.11052269727747</v>
      </c>
      <c r="R2619" t="s">
        <v>54433</v>
      </c>
      <c r="S2619" t="s">
        <v>54434</v>
      </c>
      <c r="T2619" t="s">
        <v>54435</v>
      </c>
      <c r="U2619" t="s">
        <v>54436</v>
      </c>
      <c r="V2619" t="s">
        <v>54437</v>
      </c>
      <c r="W2619" t="s">
        <v>54438</v>
      </c>
      <c r="X2619" t="s">
        <v>54439</v>
      </c>
      <c r="Y2619" t="s">
        <v>54440</v>
      </c>
    </row>
    <row r="2620" spans="1:25" x14ac:dyDescent="0.3">
      <c r="A2620">
        <v>130950</v>
      </c>
      <c r="B2620" t="s">
        <v>54441</v>
      </c>
      <c r="C2620" t="s">
        <v>54442</v>
      </c>
      <c r="D2620" t="s">
        <v>54443</v>
      </c>
      <c r="E2620" t="s">
        <v>54444</v>
      </c>
      <c r="F2620" t="s">
        <v>54445</v>
      </c>
      <c r="G2620" t="s">
        <v>54446</v>
      </c>
      <c r="H2620" t="s">
        <v>54447</v>
      </c>
      <c r="I2620" t="s">
        <v>54448</v>
      </c>
      <c r="J2620" t="s">
        <v>54449</v>
      </c>
      <c r="K2620" t="s">
        <v>54450</v>
      </c>
      <c r="L2620" t="s">
        <v>54451</v>
      </c>
      <c r="M2620" t="s">
        <v>54452</v>
      </c>
      <c r="N2620" t="s">
        <v>54453</v>
      </c>
      <c r="O2620">
        <f>-754.65369690822 -68.8046897423108 -735.181854046243</f>
        <v>-1558.6402406967736</v>
      </c>
      <c r="P2620">
        <f>-747.590437902858 -64.5668619147348 -418.767076601339</f>
        <v>-1230.9243764189318</v>
      </c>
      <c r="Q2620">
        <f>-499.227338943718 -3.68294790890354 -371.322537829801</f>
        <v>-874.23282468242246</v>
      </c>
      <c r="R2620" t="s">
        <v>54454</v>
      </c>
      <c r="S2620" t="s">
        <v>54455</v>
      </c>
      <c r="T2620" t="s">
        <v>54456</v>
      </c>
      <c r="U2620" t="s">
        <v>54457</v>
      </c>
      <c r="V2620" t="s">
        <v>54458</v>
      </c>
      <c r="W2620" t="s">
        <v>54459</v>
      </c>
      <c r="X2620" t="s">
        <v>54460</v>
      </c>
      <c r="Y2620" t="s">
        <v>54461</v>
      </c>
    </row>
    <row r="2621" spans="1:25" x14ac:dyDescent="0.3">
      <c r="A2621">
        <v>131000</v>
      </c>
      <c r="B2621" t="s">
        <v>54462</v>
      </c>
      <c r="C2621" t="s">
        <v>54463</v>
      </c>
      <c r="D2621" t="s">
        <v>54464</v>
      </c>
      <c r="E2621" t="s">
        <v>54465</v>
      </c>
      <c r="F2621" t="s">
        <v>54466</v>
      </c>
      <c r="G2621" t="s">
        <v>54467</v>
      </c>
      <c r="H2621" t="s">
        <v>54468</v>
      </c>
      <c r="I2621" t="s">
        <v>54469</v>
      </c>
      <c r="J2621" t="s">
        <v>54470</v>
      </c>
      <c r="K2621" t="s">
        <v>54471</v>
      </c>
      <c r="L2621" t="s">
        <v>54472</v>
      </c>
      <c r="M2621" t="s">
        <v>54473</v>
      </c>
      <c r="N2621" t="s">
        <v>54474</v>
      </c>
      <c r="O2621">
        <f>-756.421019013004 -68.3448704346849 -735.106888403301</f>
        <v>-1559.8727778509899</v>
      </c>
      <c r="P2621">
        <f>-748.821854664635 -64.4696205701841 -418.699786230557</f>
        <v>-1231.9912614653761</v>
      </c>
      <c r="Q2621">
        <f>-500.343897035737 -4.33243654360604 -370.905522117006</f>
        <v>-875.58185569634907</v>
      </c>
      <c r="R2621" t="s">
        <v>54475</v>
      </c>
      <c r="S2621" t="s">
        <v>54476</v>
      </c>
      <c r="T2621" t="s">
        <v>54477</v>
      </c>
      <c r="U2621" t="s">
        <v>54478</v>
      </c>
      <c r="V2621" t="s">
        <v>54479</v>
      </c>
      <c r="W2621" t="s">
        <v>54480</v>
      </c>
      <c r="X2621" t="s">
        <v>54481</v>
      </c>
      <c r="Y2621" t="s">
        <v>54482</v>
      </c>
    </row>
    <row r="2622" spans="1:25" x14ac:dyDescent="0.3">
      <c r="A2622">
        <v>131050</v>
      </c>
      <c r="B2622" t="s">
        <v>54483</v>
      </c>
      <c r="C2622" t="s">
        <v>54484</v>
      </c>
      <c r="D2622" t="s">
        <v>54485</v>
      </c>
      <c r="E2622" t="s">
        <v>54486</v>
      </c>
      <c r="F2622" t="s">
        <v>54487</v>
      </c>
      <c r="G2622" t="s">
        <v>54488</v>
      </c>
      <c r="H2622" t="s">
        <v>54489</v>
      </c>
      <c r="I2622" t="s">
        <v>54490</v>
      </c>
      <c r="J2622" t="s">
        <v>54491</v>
      </c>
      <c r="K2622" t="s">
        <v>54492</v>
      </c>
      <c r="L2622" t="s">
        <v>54493</v>
      </c>
      <c r="M2622" t="s">
        <v>54494</v>
      </c>
      <c r="N2622" t="s">
        <v>54495</v>
      </c>
      <c r="O2622">
        <f>-759.845698580164 -68.0750168145137 -734.936262007057</f>
        <v>-1562.8569774017346</v>
      </c>
      <c r="P2622">
        <f>-751.267671226598 -64.399616728007 -418.551887177394</f>
        <v>-1234.219175131999</v>
      </c>
      <c r="Q2622">
        <f>-502.755542606967 -5.2800827682272 -369.677595699566</f>
        <v>-877.71322107476021</v>
      </c>
      <c r="R2622" t="s">
        <v>54496</v>
      </c>
      <c r="S2622" t="s">
        <v>54497</v>
      </c>
      <c r="T2622" t="s">
        <v>54498</v>
      </c>
      <c r="U2622" t="s">
        <v>54499</v>
      </c>
      <c r="V2622" t="s">
        <v>54500</v>
      </c>
      <c r="W2622" t="s">
        <v>54501</v>
      </c>
      <c r="X2622" t="s">
        <v>54502</v>
      </c>
      <c r="Y2622" t="s">
        <v>54503</v>
      </c>
    </row>
    <row r="2623" spans="1:25" x14ac:dyDescent="0.3">
      <c r="A2623">
        <v>131100</v>
      </c>
      <c r="B2623" t="s">
        <v>54504</v>
      </c>
      <c r="C2623" t="s">
        <v>54505</v>
      </c>
      <c r="D2623" t="s">
        <v>54506</v>
      </c>
      <c r="E2623" t="s">
        <v>54507</v>
      </c>
      <c r="F2623" t="s">
        <v>54508</v>
      </c>
      <c r="G2623" t="s">
        <v>54509</v>
      </c>
      <c r="H2623" t="s">
        <v>54510</v>
      </c>
      <c r="I2623" t="s">
        <v>54511</v>
      </c>
      <c r="J2623" t="s">
        <v>54512</v>
      </c>
      <c r="K2623" t="s">
        <v>54513</v>
      </c>
      <c r="L2623" t="s">
        <v>54514</v>
      </c>
      <c r="M2623" t="s">
        <v>54515</v>
      </c>
      <c r="N2623" t="s">
        <v>54516</v>
      </c>
      <c r="O2623">
        <f>-761.174997454254 -68.15000552314 -735.063434513982</f>
        <v>-1564.388437491376</v>
      </c>
      <c r="P2623">
        <f>-752.26215425567 -64.5087225406021 -418.68797120751</f>
        <v>-1235.4588480037821</v>
      </c>
      <c r="Q2623">
        <f>-503.861423896411 -5.40009593264995 -369.238079645471</f>
        <v>-878.49959947453192</v>
      </c>
      <c r="R2623" t="s">
        <v>54517</v>
      </c>
      <c r="S2623" t="s">
        <v>54518</v>
      </c>
      <c r="T2623" t="s">
        <v>54519</v>
      </c>
      <c r="U2623" t="s">
        <v>54520</v>
      </c>
      <c r="V2623" t="s">
        <v>54521</v>
      </c>
      <c r="W2623" t="s">
        <v>54522</v>
      </c>
      <c r="X2623" t="s">
        <v>54523</v>
      </c>
      <c r="Y2623" t="s">
        <v>54524</v>
      </c>
    </row>
    <row r="2624" spans="1:25" x14ac:dyDescent="0.3">
      <c r="A2624">
        <v>131150</v>
      </c>
      <c r="B2624" t="s">
        <v>54525</v>
      </c>
      <c r="C2624" t="s">
        <v>54526</v>
      </c>
      <c r="D2624" t="s">
        <v>54527</v>
      </c>
      <c r="E2624" t="s">
        <v>54528</v>
      </c>
      <c r="F2624" t="s">
        <v>54529</v>
      </c>
      <c r="G2624" t="s">
        <v>54530</v>
      </c>
      <c r="H2624" t="s">
        <v>54531</v>
      </c>
      <c r="I2624" t="s">
        <v>54532</v>
      </c>
      <c r="J2624" t="s">
        <v>54533</v>
      </c>
      <c r="K2624" t="s">
        <v>54534</v>
      </c>
      <c r="L2624" t="s">
        <v>54535</v>
      </c>
      <c r="M2624" t="s">
        <v>54536</v>
      </c>
      <c r="N2624" t="s">
        <v>54537</v>
      </c>
      <c r="O2624">
        <f>-763.035743335038 -67.8756493190463 -735.303846014624</f>
        <v>-1566.2152386687083</v>
      </c>
      <c r="P2624">
        <f>-753.742132418222 -64.7940243015441 -418.933278980237</f>
        <v>-1237.469435700003</v>
      </c>
      <c r="Q2624">
        <f>-505.732689018974 -5.18205282928716 -368.14179750814</f>
        <v>-879.05653935640112</v>
      </c>
      <c r="R2624" t="s">
        <v>54538</v>
      </c>
      <c r="S2624" t="s">
        <v>54539</v>
      </c>
      <c r="T2624" t="s">
        <v>54540</v>
      </c>
      <c r="U2624" t="s">
        <v>54541</v>
      </c>
      <c r="V2624" t="s">
        <v>54542</v>
      </c>
      <c r="W2624" t="s">
        <v>54543</v>
      </c>
      <c r="X2624" t="s">
        <v>54544</v>
      </c>
      <c r="Y2624" t="s">
        <v>54545</v>
      </c>
    </row>
    <row r="2625" spans="1:25" x14ac:dyDescent="0.3">
      <c r="A2625">
        <v>131200</v>
      </c>
      <c r="B2625" t="s">
        <v>54546</v>
      </c>
      <c r="C2625" t="s">
        <v>54547</v>
      </c>
      <c r="D2625" t="s">
        <v>54548</v>
      </c>
      <c r="E2625" t="s">
        <v>54549</v>
      </c>
      <c r="F2625" t="s">
        <v>54550</v>
      </c>
      <c r="G2625" t="s">
        <v>54551</v>
      </c>
      <c r="H2625" t="s">
        <v>54552</v>
      </c>
      <c r="I2625" t="s">
        <v>54553</v>
      </c>
      <c r="J2625" t="s">
        <v>54554</v>
      </c>
      <c r="K2625" t="s">
        <v>54555</v>
      </c>
      <c r="L2625" t="s">
        <v>54556</v>
      </c>
      <c r="M2625" t="s">
        <v>54557</v>
      </c>
      <c r="N2625" t="s">
        <v>54558</v>
      </c>
      <c r="O2625">
        <f>-764.001868873368 -67.8177032392625 -735.196238191386</f>
        <v>-1567.0158103040167</v>
      </c>
      <c r="P2625">
        <f>-754.782376303201 -64.852766643922 -418.822431917301</f>
        <v>-1238.457574864424</v>
      </c>
      <c r="Q2625">
        <f>-506.989261363733 -4.752147238009 -367.553682238166</f>
        <v>-879.29509083990797</v>
      </c>
      <c r="R2625" t="s">
        <v>54559</v>
      </c>
      <c r="S2625" t="s">
        <v>54560</v>
      </c>
      <c r="T2625" t="s">
        <v>54561</v>
      </c>
      <c r="U2625" t="s">
        <v>54562</v>
      </c>
      <c r="V2625" t="s">
        <v>54563</v>
      </c>
      <c r="W2625" t="s">
        <v>54564</v>
      </c>
      <c r="X2625" t="s">
        <v>54565</v>
      </c>
      <c r="Y2625" t="s">
        <v>54566</v>
      </c>
    </row>
    <row r="2626" spans="1:25" x14ac:dyDescent="0.3">
      <c r="A2626">
        <v>131250</v>
      </c>
      <c r="B2626" t="s">
        <v>54567</v>
      </c>
      <c r="C2626" t="s">
        <v>54568</v>
      </c>
      <c r="D2626" t="s">
        <v>54569</v>
      </c>
      <c r="E2626" t="s">
        <v>54570</v>
      </c>
      <c r="F2626" t="s">
        <v>54571</v>
      </c>
      <c r="G2626" t="s">
        <v>54572</v>
      </c>
      <c r="H2626" t="s">
        <v>54573</v>
      </c>
      <c r="I2626" t="s">
        <v>54574</v>
      </c>
      <c r="J2626" t="s">
        <v>54575</v>
      </c>
      <c r="K2626" t="s">
        <v>54576</v>
      </c>
      <c r="L2626" t="s">
        <v>54577</v>
      </c>
      <c r="M2626" t="s">
        <v>54578</v>
      </c>
      <c r="N2626" t="s">
        <v>54579</v>
      </c>
      <c r="O2626">
        <f>-765.315227833579 -67.6290757400911 -734.775822851191</f>
        <v>-1567.7201264248611</v>
      </c>
      <c r="P2626">
        <f>-755.506267681078 -65.6013182851048 -418.412197903358</f>
        <v>-1239.5197838695408</v>
      </c>
      <c r="Q2626">
        <f>-508.06697235877 -4.73032515761133 -366.348871733898</f>
        <v>-879.14616925027929</v>
      </c>
      <c r="R2626" t="s">
        <v>54580</v>
      </c>
      <c r="S2626" t="s">
        <v>54581</v>
      </c>
      <c r="T2626" t="s">
        <v>54582</v>
      </c>
      <c r="U2626" t="s">
        <v>54583</v>
      </c>
      <c r="V2626" t="s">
        <v>54584</v>
      </c>
      <c r="W2626" t="s">
        <v>54585</v>
      </c>
      <c r="X2626" t="s">
        <v>54586</v>
      </c>
      <c r="Y2626" t="s">
        <v>54587</v>
      </c>
    </row>
    <row r="2627" spans="1:25" x14ac:dyDescent="0.3">
      <c r="A2627">
        <v>131300</v>
      </c>
      <c r="B2627" t="s">
        <v>54588</v>
      </c>
      <c r="C2627" t="s">
        <v>54589</v>
      </c>
      <c r="D2627" t="s">
        <v>54590</v>
      </c>
      <c r="E2627" t="s">
        <v>54591</v>
      </c>
      <c r="F2627" t="s">
        <v>54592</v>
      </c>
      <c r="G2627" t="s">
        <v>54593</v>
      </c>
      <c r="H2627" t="s">
        <v>54594</v>
      </c>
      <c r="I2627" t="s">
        <v>54595</v>
      </c>
      <c r="J2627" t="s">
        <v>54596</v>
      </c>
      <c r="K2627" t="s">
        <v>54597</v>
      </c>
      <c r="L2627" t="s">
        <v>54598</v>
      </c>
      <c r="M2627" t="s">
        <v>54599</v>
      </c>
      <c r="N2627" t="s">
        <v>54600</v>
      </c>
      <c r="O2627">
        <f>-766.055169722135 -67.6023560132826 -734.400937258159</f>
        <v>-1568.0584629935765</v>
      </c>
      <c r="P2627">
        <f>-755.649417586871 -65.7964306143754 -418.055193914728</f>
        <v>-1239.5010421159743</v>
      </c>
      <c r="Q2627">
        <f>-508.281343774491 -4.67320843949324 -365.94910771628</f>
        <v>-878.90365993026421</v>
      </c>
      <c r="R2627" t="s">
        <v>54601</v>
      </c>
      <c r="S2627" t="s">
        <v>54602</v>
      </c>
      <c r="T2627" t="s">
        <v>54603</v>
      </c>
      <c r="U2627" t="s">
        <v>54604</v>
      </c>
      <c r="V2627" t="s">
        <v>54605</v>
      </c>
      <c r="W2627" t="s">
        <v>54606</v>
      </c>
      <c r="X2627" t="s">
        <v>54607</v>
      </c>
      <c r="Y2627" t="s">
        <v>54608</v>
      </c>
    </row>
    <row r="2628" spans="1:25" x14ac:dyDescent="0.3">
      <c r="A2628">
        <v>131350</v>
      </c>
      <c r="B2628" t="s">
        <v>54609</v>
      </c>
      <c r="C2628" t="s">
        <v>54610</v>
      </c>
      <c r="D2628" t="s">
        <v>54611</v>
      </c>
      <c r="E2628" t="s">
        <v>54612</v>
      </c>
      <c r="F2628" t="s">
        <v>54613</v>
      </c>
      <c r="G2628" t="s">
        <v>54614</v>
      </c>
      <c r="H2628" t="s">
        <v>54615</v>
      </c>
      <c r="I2628" t="s">
        <v>54616</v>
      </c>
      <c r="J2628" t="s">
        <v>54617</v>
      </c>
      <c r="K2628" t="s">
        <v>54618</v>
      </c>
      <c r="L2628" t="s">
        <v>54619</v>
      </c>
      <c r="M2628" t="s">
        <v>54620</v>
      </c>
      <c r="N2628" t="s">
        <v>54621</v>
      </c>
      <c r="O2628">
        <f>-767.308717372949 -67.0489210447356 -733.602737180762</f>
        <v>-1567.9603755984467</v>
      </c>
      <c r="P2628">
        <f>-755.217416326672 -66.083259319405 -417.313216853331</f>
        <v>-1238.6138924994079</v>
      </c>
      <c r="Q2628">
        <f>-507.808949948497 -4.38529749088343 -366.08370554235</f>
        <v>-878.27795298173044</v>
      </c>
      <c r="R2628" t="s">
        <v>54622</v>
      </c>
      <c r="S2628" t="s">
        <v>54623</v>
      </c>
      <c r="T2628" t="s">
        <v>54624</v>
      </c>
      <c r="U2628" t="s">
        <v>54625</v>
      </c>
      <c r="V2628" t="s">
        <v>54626</v>
      </c>
      <c r="W2628" t="s">
        <v>54627</v>
      </c>
      <c r="X2628" t="s">
        <v>54628</v>
      </c>
      <c r="Y2628" t="s">
        <v>54629</v>
      </c>
    </row>
    <row r="2629" spans="1:25" x14ac:dyDescent="0.3">
      <c r="A2629">
        <v>131400</v>
      </c>
      <c r="B2629" t="s">
        <v>54630</v>
      </c>
      <c r="C2629" t="s">
        <v>54631</v>
      </c>
      <c r="D2629" t="s">
        <v>54632</v>
      </c>
      <c r="E2629" t="s">
        <v>54633</v>
      </c>
      <c r="F2629" t="s">
        <v>54634</v>
      </c>
      <c r="G2629" t="s">
        <v>54635</v>
      </c>
      <c r="H2629" t="s">
        <v>54636</v>
      </c>
      <c r="I2629" t="s">
        <v>54637</v>
      </c>
      <c r="J2629" t="s">
        <v>54638</v>
      </c>
      <c r="K2629" t="s">
        <v>54639</v>
      </c>
      <c r="L2629" t="s">
        <v>54640</v>
      </c>
      <c r="M2629" t="s">
        <v>54641</v>
      </c>
      <c r="N2629" t="s">
        <v>54642</v>
      </c>
      <c r="O2629">
        <f>-767.756339389907 -66.6654010235045 -733.331081250599</f>
        <v>-1567.7528216640105</v>
      </c>
      <c r="P2629">
        <f>-754.578841826099 -66.3907389111273 -417.083539474958</f>
        <v>-1238.0531202121842</v>
      </c>
      <c r="Q2629">
        <f>-507.154170693206 -4.30208941321098 -366.40673847304</f>
        <v>-877.86299857945698</v>
      </c>
      <c r="R2629" t="s">
        <v>54643</v>
      </c>
      <c r="S2629" t="s">
        <v>54644</v>
      </c>
      <c r="T2629" t="s">
        <v>54645</v>
      </c>
      <c r="U2629" t="s">
        <v>54646</v>
      </c>
      <c r="V2629" t="s">
        <v>54647</v>
      </c>
      <c r="W2629" t="s">
        <v>54648</v>
      </c>
      <c r="X2629" t="s">
        <v>54649</v>
      </c>
      <c r="Y2629" t="s">
        <v>54650</v>
      </c>
    </row>
    <row r="2630" spans="1:25" x14ac:dyDescent="0.3">
      <c r="A2630">
        <v>131450</v>
      </c>
      <c r="B2630" t="s">
        <v>54651</v>
      </c>
      <c r="C2630" t="s">
        <v>54652</v>
      </c>
      <c r="D2630" t="s">
        <v>54653</v>
      </c>
      <c r="E2630" t="s">
        <v>54654</v>
      </c>
      <c r="F2630" t="s">
        <v>54655</v>
      </c>
      <c r="G2630" t="s">
        <v>54656</v>
      </c>
      <c r="H2630" t="s">
        <v>54657</v>
      </c>
      <c r="I2630" t="s">
        <v>54658</v>
      </c>
      <c r="J2630" t="s">
        <v>54659</v>
      </c>
      <c r="K2630" t="s">
        <v>54660</v>
      </c>
      <c r="L2630" t="s">
        <v>54661</v>
      </c>
      <c r="M2630" t="s">
        <v>54662</v>
      </c>
      <c r="N2630" t="s">
        <v>54663</v>
      </c>
      <c r="O2630">
        <f>-768.051674407207 -66.0393673047729 -733.138233080934</f>
        <v>-1567.2292747929139</v>
      </c>
      <c r="P2630">
        <f>-752.577860380256 -67.0930080471351 -416.996417360471</f>
        <v>-1236.6672857878621</v>
      </c>
      <c r="Q2630">
        <f>-505.22392580148 -4.047885732042 -367.162529096939</f>
        <v>-876.43434063046107</v>
      </c>
      <c r="R2630" t="s">
        <v>54664</v>
      </c>
      <c r="S2630" t="s">
        <v>54665</v>
      </c>
      <c r="T2630" t="s">
        <v>54666</v>
      </c>
      <c r="U2630" t="s">
        <v>54667</v>
      </c>
      <c r="V2630" t="s">
        <v>54668</v>
      </c>
      <c r="W2630" t="s">
        <v>54669</v>
      </c>
      <c r="X2630" t="s">
        <v>54670</v>
      </c>
      <c r="Y2630" t="s">
        <v>54671</v>
      </c>
    </row>
    <row r="2631" spans="1:25" x14ac:dyDescent="0.3">
      <c r="A2631">
        <v>131500</v>
      </c>
      <c r="B2631" t="s">
        <v>54672</v>
      </c>
      <c r="C2631" t="s">
        <v>54673</v>
      </c>
      <c r="D2631" t="s">
        <v>54674</v>
      </c>
      <c r="E2631" t="s">
        <v>54675</v>
      </c>
      <c r="F2631" t="s">
        <v>54676</v>
      </c>
      <c r="G2631" t="s">
        <v>54677</v>
      </c>
      <c r="H2631" t="s">
        <v>54678</v>
      </c>
      <c r="I2631" t="s">
        <v>54679</v>
      </c>
      <c r="J2631" t="s">
        <v>54680</v>
      </c>
      <c r="K2631" t="s">
        <v>54681</v>
      </c>
      <c r="L2631" t="s">
        <v>54682</v>
      </c>
      <c r="M2631" t="s">
        <v>54683</v>
      </c>
      <c r="N2631" t="s">
        <v>54684</v>
      </c>
      <c r="O2631">
        <f>-767.900623986593 -65.9152306845426 -733.130902417446</f>
        <v>-1566.9467570885818</v>
      </c>
      <c r="P2631">
        <f>-751.461463079699 -67.7536811975071 -417.041413349921</f>
        <v>-1236.2565576271272</v>
      </c>
      <c r="Q2631">
        <f>-504.200173888884 -4.12175987654723 -367.494620123233</f>
        <v>-875.8165538886642</v>
      </c>
      <c r="R2631" t="s">
        <v>54685</v>
      </c>
      <c r="S2631" t="s">
        <v>54686</v>
      </c>
      <c r="T2631" t="s">
        <v>54687</v>
      </c>
      <c r="U2631" t="s">
        <v>54688</v>
      </c>
      <c r="V2631" t="s">
        <v>54689</v>
      </c>
      <c r="W2631" t="s">
        <v>54690</v>
      </c>
      <c r="X2631" t="s">
        <v>54691</v>
      </c>
      <c r="Y2631" t="s">
        <v>54692</v>
      </c>
    </row>
    <row r="2632" spans="1:25" x14ac:dyDescent="0.3">
      <c r="A2632">
        <v>131550</v>
      </c>
      <c r="B2632" t="s">
        <v>54693</v>
      </c>
      <c r="C2632" t="s">
        <v>54694</v>
      </c>
      <c r="D2632" t="s">
        <v>54695</v>
      </c>
      <c r="E2632" t="s">
        <v>54696</v>
      </c>
      <c r="F2632" t="s">
        <v>54697</v>
      </c>
      <c r="G2632" t="s">
        <v>54698</v>
      </c>
      <c r="H2632" t="s">
        <v>54699</v>
      </c>
      <c r="I2632" t="s">
        <v>54700</v>
      </c>
      <c r="J2632" t="s">
        <v>54701</v>
      </c>
      <c r="K2632" t="s">
        <v>54702</v>
      </c>
      <c r="L2632" t="s">
        <v>54703</v>
      </c>
      <c r="M2632" t="s">
        <v>54704</v>
      </c>
      <c r="N2632" t="s">
        <v>54705</v>
      </c>
      <c r="O2632">
        <f>-766.990815759543 -65.8465463294765 -733.233280282251</f>
        <v>-1566.0706423712704</v>
      </c>
      <c r="P2632">
        <f>-749.061333184236 -68.7657485854522 -417.233017416094</f>
        <v>-1235.0600991857823</v>
      </c>
      <c r="Q2632">
        <f>-502.014356005876 -3.9015594303271 -368.218313405646</f>
        <v>-874.13422884184911</v>
      </c>
      <c r="R2632" t="s">
        <v>54706</v>
      </c>
      <c r="S2632" t="s">
        <v>54707</v>
      </c>
      <c r="T2632" t="s">
        <v>54708</v>
      </c>
      <c r="U2632" t="s">
        <v>54709</v>
      </c>
      <c r="V2632" t="s">
        <v>54710</v>
      </c>
      <c r="W2632" t="s">
        <v>54711</v>
      </c>
      <c r="X2632" t="s">
        <v>54712</v>
      </c>
      <c r="Y2632" t="s">
        <v>54713</v>
      </c>
    </row>
    <row r="2633" spans="1:25" x14ac:dyDescent="0.3">
      <c r="A2633">
        <v>131600</v>
      </c>
      <c r="B2633" t="s">
        <v>54714</v>
      </c>
      <c r="C2633" t="s">
        <v>54715</v>
      </c>
      <c r="D2633" t="s">
        <v>54716</v>
      </c>
      <c r="E2633" t="s">
        <v>54717</v>
      </c>
      <c r="F2633" t="s">
        <v>54718</v>
      </c>
      <c r="G2633" t="s">
        <v>54719</v>
      </c>
      <c r="H2633" t="s">
        <v>54720</v>
      </c>
      <c r="I2633" t="s">
        <v>54721</v>
      </c>
      <c r="J2633" t="s">
        <v>54722</v>
      </c>
      <c r="K2633" t="s">
        <v>54723</v>
      </c>
      <c r="L2633" t="s">
        <v>54724</v>
      </c>
      <c r="M2633" t="s">
        <v>54725</v>
      </c>
      <c r="N2633" t="s">
        <v>54726</v>
      </c>
      <c r="O2633">
        <f>-766.205747571978 -65.5577413760532 -733.33019744889</f>
        <v>-1565.0936863969212</v>
      </c>
      <c r="P2633">
        <f>-747.49175972387 -69.1294138625144 -417.382105229626</f>
        <v>-1234.0032788160104</v>
      </c>
      <c r="Q2633">
        <f>-500.555809119 -3.68619214683872 -368.578034238393</f>
        <v>-872.82003550423178</v>
      </c>
      <c r="R2633" t="s">
        <v>54727</v>
      </c>
      <c r="S2633" t="s">
        <v>54728</v>
      </c>
      <c r="T2633" t="s">
        <v>54729</v>
      </c>
      <c r="U2633" t="s">
        <v>54730</v>
      </c>
      <c r="V2633" t="s">
        <v>54731</v>
      </c>
      <c r="W2633" t="s">
        <v>54732</v>
      </c>
      <c r="X2633" t="s">
        <v>54733</v>
      </c>
      <c r="Y2633" t="s">
        <v>54734</v>
      </c>
    </row>
    <row r="2634" spans="1:25" x14ac:dyDescent="0.3">
      <c r="A2634">
        <v>131650</v>
      </c>
      <c r="B2634" t="s">
        <v>54735</v>
      </c>
      <c r="C2634" t="s">
        <v>54736</v>
      </c>
      <c r="D2634" t="s">
        <v>54737</v>
      </c>
      <c r="E2634" t="s">
        <v>54738</v>
      </c>
      <c r="F2634" t="s">
        <v>54739</v>
      </c>
      <c r="G2634" t="s">
        <v>54740</v>
      </c>
      <c r="H2634" t="s">
        <v>54741</v>
      </c>
      <c r="I2634" t="s">
        <v>54742</v>
      </c>
      <c r="J2634" t="s">
        <v>54743</v>
      </c>
      <c r="K2634" t="s">
        <v>54744</v>
      </c>
      <c r="L2634" t="s">
        <v>54745</v>
      </c>
      <c r="M2634" t="s">
        <v>54746</v>
      </c>
      <c r="N2634" t="s">
        <v>54747</v>
      </c>
      <c r="O2634">
        <f>-764.877387498362 -64.8755100512731 -733.45826879066</f>
        <v>-1563.2111663402952</v>
      </c>
      <c r="P2634">
        <f>-744.547047414747 -69.3918268763314 -417.622157557723</f>
        <v>-1231.5610318488013</v>
      </c>
      <c r="Q2634">
        <f>-497.805766448023 -2.9868382628058 -369.133007387552</f>
        <v>-869.92561209838084</v>
      </c>
      <c r="R2634" t="s">
        <v>54748</v>
      </c>
      <c r="S2634" t="s">
        <v>54749</v>
      </c>
      <c r="T2634" t="s">
        <v>54750</v>
      </c>
      <c r="U2634" t="s">
        <v>54751</v>
      </c>
      <c r="V2634" t="s">
        <v>54752</v>
      </c>
      <c r="W2634" t="s">
        <v>54753</v>
      </c>
      <c r="X2634" t="s">
        <v>54754</v>
      </c>
      <c r="Y2634" t="s">
        <v>54755</v>
      </c>
    </row>
    <row r="2635" spans="1:25" x14ac:dyDescent="0.3">
      <c r="A2635">
        <v>131700</v>
      </c>
      <c r="B2635" t="s">
        <v>54756</v>
      </c>
      <c r="C2635" t="s">
        <v>54757</v>
      </c>
      <c r="D2635" t="s">
        <v>54758</v>
      </c>
      <c r="E2635" t="s">
        <v>54759</v>
      </c>
      <c r="F2635" t="s">
        <v>54760</v>
      </c>
      <c r="G2635" t="s">
        <v>54761</v>
      </c>
      <c r="H2635" t="s">
        <v>54762</v>
      </c>
      <c r="I2635" t="s">
        <v>54763</v>
      </c>
      <c r="J2635" t="s">
        <v>54764</v>
      </c>
      <c r="K2635" t="s">
        <v>54765</v>
      </c>
      <c r="L2635" t="s">
        <v>54766</v>
      </c>
      <c r="M2635" t="s">
        <v>54767</v>
      </c>
      <c r="N2635" t="s">
        <v>54768</v>
      </c>
      <c r="O2635">
        <f>-764.16525009399 -64.3575411286531 -733.384246002691</f>
        <v>-1561.9070372253341</v>
      </c>
      <c r="P2635">
        <f>-742.894281438774 -69.291611116618 -417.616255778314</f>
        <v>-1229.8021483337061</v>
      </c>
      <c r="Q2635">
        <f>-496.246630760543 -2.50790532702217 -369.170955414828</f>
        <v>-867.92549150239313</v>
      </c>
      <c r="R2635" t="s">
        <v>54769</v>
      </c>
      <c r="S2635" t="s">
        <v>54770</v>
      </c>
      <c r="T2635" t="s">
        <v>54771</v>
      </c>
      <c r="U2635" t="s">
        <v>54772</v>
      </c>
      <c r="V2635" t="s">
        <v>54773</v>
      </c>
      <c r="W2635" t="s">
        <v>54774</v>
      </c>
      <c r="X2635" t="s">
        <v>54775</v>
      </c>
      <c r="Y2635" t="s">
        <v>54776</v>
      </c>
    </row>
    <row r="2636" spans="1:25" x14ac:dyDescent="0.3">
      <c r="A2636">
        <v>131750</v>
      </c>
      <c r="B2636" t="s">
        <v>54777</v>
      </c>
      <c r="C2636" t="s">
        <v>54778</v>
      </c>
      <c r="D2636" t="s">
        <v>54779</v>
      </c>
      <c r="E2636" t="s">
        <v>54780</v>
      </c>
      <c r="F2636" t="s">
        <v>54781</v>
      </c>
      <c r="G2636" t="s">
        <v>54782</v>
      </c>
      <c r="H2636" t="s">
        <v>54783</v>
      </c>
      <c r="I2636" t="s">
        <v>54784</v>
      </c>
      <c r="J2636" t="s">
        <v>54785</v>
      </c>
      <c r="K2636" t="s">
        <v>54786</v>
      </c>
      <c r="L2636" t="s">
        <v>54787</v>
      </c>
      <c r="M2636" t="s">
        <v>54788</v>
      </c>
      <c r="N2636" t="s">
        <v>54789</v>
      </c>
      <c r="O2636">
        <f>-762.392769938976 -63.3873938333065 -733.270831180468</f>
        <v>-1559.0509949527504</v>
      </c>
      <c r="P2636">
        <f>-738.966258477577 -68.5923228965009 -417.659763493706</f>
        <v>-1225.2183448677838</v>
      </c>
      <c r="Q2636">
        <f>-492.492000089245 -1.34294454320229 -368.977609411434</f>
        <v>-862.81255404388128</v>
      </c>
      <c r="R2636" t="s">
        <v>54790</v>
      </c>
      <c r="S2636" t="s">
        <v>54791</v>
      </c>
      <c r="T2636" t="s">
        <v>54792</v>
      </c>
      <c r="U2636" t="s">
        <v>54793</v>
      </c>
      <c r="V2636" t="s">
        <v>54794</v>
      </c>
      <c r="W2636" t="s">
        <v>54795</v>
      </c>
      <c r="X2636" t="s">
        <v>54796</v>
      </c>
      <c r="Y2636" t="s">
        <v>54797</v>
      </c>
    </row>
    <row r="2637" spans="1:25" x14ac:dyDescent="0.3">
      <c r="A2637">
        <v>131800</v>
      </c>
      <c r="B2637" t="s">
        <v>54798</v>
      </c>
      <c r="C2637" t="s">
        <v>54799</v>
      </c>
      <c r="D2637" t="s">
        <v>54800</v>
      </c>
      <c r="E2637" t="s">
        <v>54801</v>
      </c>
      <c r="F2637" t="s">
        <v>54802</v>
      </c>
      <c r="G2637" t="s">
        <v>54803</v>
      </c>
      <c r="H2637" t="s">
        <v>54804</v>
      </c>
      <c r="I2637" t="s">
        <v>54805</v>
      </c>
      <c r="J2637" t="s">
        <v>54806</v>
      </c>
      <c r="K2637" t="s">
        <v>54807</v>
      </c>
      <c r="L2637" t="s">
        <v>54808</v>
      </c>
      <c r="M2637" t="s">
        <v>54809</v>
      </c>
      <c r="N2637" t="s">
        <v>54810</v>
      </c>
      <c r="O2637">
        <f>-761.524702235656 -62.9229258048263 -733.166007097325</f>
        <v>-1557.6136351378073</v>
      </c>
      <c r="P2637">
        <f>-736.986937696043 -68.1617760527463 -417.639981002737</f>
        <v>-1222.7886947515262</v>
      </c>
      <c r="Q2637">
        <f>-490.602489275029 -0.633362554566702 -368.888924992666</f>
        <v>-860.12477682226165</v>
      </c>
      <c r="R2637" t="s">
        <v>54811</v>
      </c>
      <c r="S2637" t="s">
        <v>54812</v>
      </c>
      <c r="T2637" t="s">
        <v>54813</v>
      </c>
      <c r="U2637" t="s">
        <v>54814</v>
      </c>
      <c r="V2637" t="s">
        <v>54815</v>
      </c>
      <c r="W2637" t="s">
        <v>54816</v>
      </c>
      <c r="X2637" t="s">
        <v>54817</v>
      </c>
      <c r="Y2637" t="s">
        <v>54818</v>
      </c>
    </row>
    <row r="2638" spans="1:25" x14ac:dyDescent="0.3">
      <c r="A2638">
        <v>131850</v>
      </c>
      <c r="B2638" t="s">
        <v>54819</v>
      </c>
      <c r="C2638" t="s">
        <v>54820</v>
      </c>
      <c r="D2638" t="s">
        <v>54821</v>
      </c>
      <c r="E2638" t="s">
        <v>54822</v>
      </c>
      <c r="F2638" t="s">
        <v>54823</v>
      </c>
      <c r="G2638" t="s">
        <v>54824</v>
      </c>
      <c r="H2638" t="s">
        <v>54825</v>
      </c>
      <c r="I2638" t="s">
        <v>54826</v>
      </c>
      <c r="J2638" t="s">
        <v>54827</v>
      </c>
      <c r="K2638" t="s">
        <v>54828</v>
      </c>
      <c r="L2638" t="s">
        <v>54829</v>
      </c>
      <c r="M2638" t="s">
        <v>54830</v>
      </c>
      <c r="N2638" t="s">
        <v>54831</v>
      </c>
      <c r="O2638">
        <f>-759.539868349231 -61.7250707618628 -732.904903065292</f>
        <v>-1554.1698421763858</v>
      </c>
      <c r="P2638">
        <f>-732.86040001367 -67.2755151655647 -417.55802465065</f>
        <v>-1217.6939398298846</v>
      </c>
      <c r="Q2638" t="s">
        <v>54832</v>
      </c>
      <c r="R2638" t="s">
        <v>54833</v>
      </c>
      <c r="S2638" t="s">
        <v>54834</v>
      </c>
      <c r="T2638" t="s">
        <v>54835</v>
      </c>
      <c r="U2638" t="s">
        <v>54836</v>
      </c>
      <c r="V2638" t="s">
        <v>54837</v>
      </c>
      <c r="W2638" t="s">
        <v>54838</v>
      </c>
      <c r="X2638" t="s">
        <v>54839</v>
      </c>
      <c r="Y2638" t="s">
        <v>54840</v>
      </c>
    </row>
    <row r="2639" spans="1:25" x14ac:dyDescent="0.3">
      <c r="A2639">
        <v>131900</v>
      </c>
      <c r="B2639" t="s">
        <v>54841</v>
      </c>
      <c r="C2639" t="s">
        <v>54842</v>
      </c>
      <c r="D2639" t="s">
        <v>54843</v>
      </c>
      <c r="E2639" t="s">
        <v>54844</v>
      </c>
      <c r="F2639" t="s">
        <v>54845</v>
      </c>
      <c r="G2639" t="s">
        <v>54846</v>
      </c>
      <c r="H2639" t="s">
        <v>54847</v>
      </c>
      <c r="I2639" t="s">
        <v>54848</v>
      </c>
      <c r="J2639" t="s">
        <v>54849</v>
      </c>
      <c r="K2639" t="s">
        <v>54850</v>
      </c>
      <c r="L2639" t="s">
        <v>54851</v>
      </c>
      <c r="M2639" t="s">
        <v>54852</v>
      </c>
      <c r="N2639" t="s">
        <v>54853</v>
      </c>
      <c r="O2639">
        <f>-758.478729420184 -61.3331884095508 -732.685926762873</f>
        <v>-1552.4978445926076</v>
      </c>
      <c r="P2639">
        <f>-730.885899809473 -66.9415284194695 -417.418789102647</f>
        <v>-1215.2462173315894</v>
      </c>
      <c r="Q2639" t="s">
        <v>54854</v>
      </c>
      <c r="R2639" t="s">
        <v>54855</v>
      </c>
      <c r="S2639" t="s">
        <v>54856</v>
      </c>
      <c r="T2639" t="s">
        <v>54857</v>
      </c>
      <c r="U2639" t="s">
        <v>54858</v>
      </c>
      <c r="V2639" t="s">
        <v>54859</v>
      </c>
      <c r="W2639" t="s">
        <v>54860</v>
      </c>
      <c r="X2639" t="s">
        <v>54861</v>
      </c>
      <c r="Y2639" t="s">
        <v>54862</v>
      </c>
    </row>
    <row r="2640" spans="1:25" x14ac:dyDescent="0.3">
      <c r="A2640">
        <v>131950</v>
      </c>
      <c r="B2640" t="s">
        <v>54863</v>
      </c>
      <c r="C2640" t="s">
        <v>54864</v>
      </c>
      <c r="D2640" t="s">
        <v>54865</v>
      </c>
      <c r="E2640" t="s">
        <v>54866</v>
      </c>
      <c r="F2640" t="s">
        <v>54867</v>
      </c>
      <c r="G2640" t="s">
        <v>54868</v>
      </c>
      <c r="H2640" t="s">
        <v>54869</v>
      </c>
      <c r="I2640" t="s">
        <v>54870</v>
      </c>
      <c r="J2640" t="s">
        <v>54871</v>
      </c>
      <c r="K2640" t="s">
        <v>54872</v>
      </c>
      <c r="L2640" t="s">
        <v>54873</v>
      </c>
      <c r="M2640" t="s">
        <v>54874</v>
      </c>
      <c r="N2640" t="s">
        <v>54875</v>
      </c>
      <c r="O2640">
        <f>-756.532390450574 -60.9763632576253 -731.876589795258</f>
        <v>-1549.3853435034573</v>
      </c>
      <c r="P2640">
        <f>-726.829983346986 -66.2589181543601 -416.795584025723</f>
        <v>-1209.884485527069</v>
      </c>
      <c r="Q2640" t="s">
        <v>54876</v>
      </c>
      <c r="R2640" t="s">
        <v>54877</v>
      </c>
      <c r="S2640" t="s">
        <v>54878</v>
      </c>
      <c r="T2640" t="s">
        <v>54879</v>
      </c>
      <c r="U2640" t="s">
        <v>54880</v>
      </c>
      <c r="V2640" t="s">
        <v>54881</v>
      </c>
      <c r="W2640" t="s">
        <v>54882</v>
      </c>
      <c r="X2640" t="s">
        <v>54883</v>
      </c>
      <c r="Y2640" t="s">
        <v>54884</v>
      </c>
    </row>
    <row r="2641" spans="1:25" x14ac:dyDescent="0.3">
      <c r="A2641">
        <v>132000</v>
      </c>
      <c r="B2641" t="s">
        <v>54885</v>
      </c>
      <c r="C2641" t="s">
        <v>54886</v>
      </c>
      <c r="D2641" t="s">
        <v>54887</v>
      </c>
      <c r="E2641" t="s">
        <v>54888</v>
      </c>
      <c r="F2641" t="s">
        <v>54889</v>
      </c>
      <c r="G2641" t="s">
        <v>54890</v>
      </c>
      <c r="H2641" t="s">
        <v>54891</v>
      </c>
      <c r="I2641" t="s">
        <v>54892</v>
      </c>
      <c r="J2641" t="s">
        <v>54893</v>
      </c>
      <c r="K2641" t="s">
        <v>54894</v>
      </c>
      <c r="L2641" t="s">
        <v>54895</v>
      </c>
      <c r="M2641" t="s">
        <v>54896</v>
      </c>
      <c r="N2641" t="s">
        <v>54897</v>
      </c>
      <c r="O2641">
        <f>-755.563719190382 -61.1412558474908 -731.266549448807</f>
        <v>-1547.9715244866798</v>
      </c>
      <c r="P2641">
        <f>-724.686446912561 -66.2691292230347 -416.295983780045</f>
        <v>-1207.2515599156407</v>
      </c>
      <c r="Q2641">
        <f>-477.758301453237 -0.121623483625854 -368.411018862051</f>
        <v>-846.29094379891376</v>
      </c>
      <c r="R2641" t="s">
        <v>54898</v>
      </c>
      <c r="S2641" t="s">
        <v>54899</v>
      </c>
      <c r="T2641" t="s">
        <v>54900</v>
      </c>
      <c r="U2641" t="s">
        <v>54901</v>
      </c>
      <c r="V2641" t="s">
        <v>54902</v>
      </c>
      <c r="W2641" t="s">
        <v>54903</v>
      </c>
      <c r="X2641" t="s">
        <v>54904</v>
      </c>
      <c r="Y2641" t="s">
        <v>54905</v>
      </c>
    </row>
    <row r="2642" spans="1:25" x14ac:dyDescent="0.3">
      <c r="A2642">
        <v>132050</v>
      </c>
      <c r="B2642" t="s">
        <v>54906</v>
      </c>
      <c r="C2642" t="s">
        <v>54907</v>
      </c>
      <c r="D2642" t="s">
        <v>54908</v>
      </c>
      <c r="E2642" t="s">
        <v>54909</v>
      </c>
      <c r="F2642" t="s">
        <v>54910</v>
      </c>
      <c r="G2642" t="s">
        <v>54911</v>
      </c>
      <c r="H2642" t="s">
        <v>54912</v>
      </c>
      <c r="I2642" t="s">
        <v>54913</v>
      </c>
      <c r="J2642" t="s">
        <v>54914</v>
      </c>
      <c r="K2642" t="s">
        <v>54915</v>
      </c>
      <c r="L2642" t="s">
        <v>54916</v>
      </c>
      <c r="M2642" t="s">
        <v>54917</v>
      </c>
      <c r="N2642" t="s">
        <v>54918</v>
      </c>
      <c r="O2642">
        <f>-753.825631280128 -61.5288359345618 -729.315271668475</f>
        <v>-1544.6697388831649</v>
      </c>
      <c r="P2642">
        <f>-719.895664216743 -66.2328195253644 -414.652203233605</f>
        <v>-1200.7806869757123</v>
      </c>
      <c r="Q2642">
        <f>-472.264689414849 -1.57637005739889 -368.386515413676</f>
        <v>-842.2275748859239</v>
      </c>
      <c r="R2642" t="s">
        <v>54919</v>
      </c>
      <c r="S2642" t="s">
        <v>54920</v>
      </c>
      <c r="T2642" t="s">
        <v>54921</v>
      </c>
      <c r="U2642" t="s">
        <v>54922</v>
      </c>
      <c r="V2642" t="s">
        <v>54923</v>
      </c>
      <c r="W2642" t="s">
        <v>54924</v>
      </c>
      <c r="X2642" t="s">
        <v>54925</v>
      </c>
      <c r="Y2642" t="s">
        <v>54926</v>
      </c>
    </row>
    <row r="2643" spans="1:25" x14ac:dyDescent="0.3">
      <c r="A2643">
        <v>132100</v>
      </c>
      <c r="B2643" t="s">
        <v>54927</v>
      </c>
      <c r="C2643" t="s">
        <v>54928</v>
      </c>
      <c r="D2643" t="s">
        <v>54929</v>
      </c>
      <c r="E2643" t="s">
        <v>54930</v>
      </c>
      <c r="F2643" t="s">
        <v>54931</v>
      </c>
      <c r="G2643" t="s">
        <v>54932</v>
      </c>
      <c r="H2643" t="s">
        <v>54933</v>
      </c>
      <c r="I2643" t="s">
        <v>54934</v>
      </c>
      <c r="J2643" t="s">
        <v>54935</v>
      </c>
      <c r="K2643" t="s">
        <v>54936</v>
      </c>
      <c r="L2643" t="s">
        <v>54937</v>
      </c>
      <c r="M2643" t="s">
        <v>54938</v>
      </c>
      <c r="N2643" t="s">
        <v>54939</v>
      </c>
      <c r="O2643">
        <f>-753.115631207984 -61.5171730491281 -728.152031595743</f>
        <v>-1542.7848358528552</v>
      </c>
      <c r="P2643">
        <f>-717.607845101664 -66.107197250685 -413.661361815088</f>
        <v>-1197.3764041674369</v>
      </c>
      <c r="Q2643">
        <f>-469.567054593464 -2.07198935780298 -368.74688479915</f>
        <v>-840.38592875041695</v>
      </c>
      <c r="R2643" t="s">
        <v>54940</v>
      </c>
      <c r="S2643" t="s">
        <v>54941</v>
      </c>
      <c r="T2643" t="s">
        <v>54942</v>
      </c>
      <c r="U2643" t="s">
        <v>54943</v>
      </c>
      <c r="V2643" t="s">
        <v>54944</v>
      </c>
      <c r="W2643" t="s">
        <v>54945</v>
      </c>
      <c r="X2643" t="s">
        <v>54946</v>
      </c>
      <c r="Y2643" t="s">
        <v>54947</v>
      </c>
    </row>
    <row r="2644" spans="1:25" x14ac:dyDescent="0.3">
      <c r="A2644">
        <v>132150</v>
      </c>
      <c r="B2644" t="s">
        <v>54948</v>
      </c>
      <c r="C2644" t="s">
        <v>54949</v>
      </c>
      <c r="D2644" t="s">
        <v>54950</v>
      </c>
      <c r="E2644" t="s">
        <v>54951</v>
      </c>
      <c r="F2644" t="s">
        <v>54952</v>
      </c>
      <c r="G2644" t="s">
        <v>54953</v>
      </c>
      <c r="H2644" t="s">
        <v>54954</v>
      </c>
      <c r="I2644" t="s">
        <v>54955</v>
      </c>
      <c r="J2644" t="s">
        <v>54956</v>
      </c>
      <c r="K2644" t="s">
        <v>54957</v>
      </c>
      <c r="L2644" t="s">
        <v>54958</v>
      </c>
      <c r="M2644" t="s">
        <v>54959</v>
      </c>
      <c r="N2644" t="s">
        <v>54960</v>
      </c>
      <c r="O2644">
        <f>-752.460599040384 -62.0178846301951 -725.969056041337</f>
        <v>-1540.4475397119161</v>
      </c>
      <c r="P2644">
        <f>-713.658600573531 -66.1760872722664 -411.861838167972</f>
        <v>-1191.6965260137695</v>
      </c>
      <c r="Q2644">
        <f>-464.800852667607 -3.68921593179107 -369.349965434822</f>
        <v>-837.84003403422003</v>
      </c>
      <c r="R2644" t="s">
        <v>54961</v>
      </c>
      <c r="S2644" t="s">
        <v>54962</v>
      </c>
      <c r="T2644" t="s">
        <v>54963</v>
      </c>
      <c r="U2644" t="s">
        <v>54964</v>
      </c>
      <c r="V2644" t="s">
        <v>54965</v>
      </c>
      <c r="W2644" t="s">
        <v>54966</v>
      </c>
      <c r="X2644" t="s">
        <v>54967</v>
      </c>
      <c r="Y2644" t="s">
        <v>54968</v>
      </c>
    </row>
    <row r="2645" spans="1:25" x14ac:dyDescent="0.3">
      <c r="A2645">
        <v>132200</v>
      </c>
      <c r="B2645" t="s">
        <v>54969</v>
      </c>
      <c r="C2645" t="s">
        <v>54970</v>
      </c>
      <c r="D2645" t="s">
        <v>54971</v>
      </c>
      <c r="E2645" t="s">
        <v>54972</v>
      </c>
      <c r="F2645" t="s">
        <v>54973</v>
      </c>
      <c r="G2645" t="s">
        <v>54974</v>
      </c>
      <c r="H2645" t="s">
        <v>54975</v>
      </c>
      <c r="I2645" t="s">
        <v>54976</v>
      </c>
      <c r="J2645" t="s">
        <v>54977</v>
      </c>
      <c r="K2645" t="s">
        <v>54978</v>
      </c>
      <c r="L2645" t="s">
        <v>54979</v>
      </c>
      <c r="M2645" t="s">
        <v>54980</v>
      </c>
      <c r="N2645" t="s">
        <v>54981</v>
      </c>
      <c r="O2645">
        <f>-752.157181799972 -62.3919147039478 -724.976339202227</f>
        <v>-1539.5254357061467</v>
      </c>
      <c r="P2645">
        <f>-711.623576308656 -66.5066234538899 -411.087325997928</f>
        <v>-1189.217525760474</v>
      </c>
      <c r="Q2645">
        <f>-462.444334719698 -4.52932511573454 -369.728248295934</f>
        <v>-836.70190813136651</v>
      </c>
      <c r="R2645" t="s">
        <v>54982</v>
      </c>
      <c r="S2645" t="s">
        <v>54983</v>
      </c>
      <c r="T2645" t="s">
        <v>54984</v>
      </c>
      <c r="U2645" t="s">
        <v>54985</v>
      </c>
      <c r="V2645" t="s">
        <v>54986</v>
      </c>
      <c r="W2645" t="s">
        <v>54987</v>
      </c>
      <c r="X2645" t="s">
        <v>54988</v>
      </c>
      <c r="Y2645" t="s">
        <v>54989</v>
      </c>
    </row>
    <row r="2646" spans="1:25" x14ac:dyDescent="0.3">
      <c r="A2646">
        <v>132250</v>
      </c>
      <c r="B2646" t="s">
        <v>54990</v>
      </c>
      <c r="C2646" t="s">
        <v>54991</v>
      </c>
      <c r="D2646" t="s">
        <v>54992</v>
      </c>
      <c r="E2646" t="s">
        <v>54993</v>
      </c>
      <c r="F2646" t="s">
        <v>54994</v>
      </c>
      <c r="G2646" t="s">
        <v>54995</v>
      </c>
      <c r="H2646" t="s">
        <v>54996</v>
      </c>
      <c r="I2646" t="s">
        <v>54997</v>
      </c>
      <c r="J2646" t="s">
        <v>54998</v>
      </c>
      <c r="K2646" t="s">
        <v>54999</v>
      </c>
      <c r="L2646" t="s">
        <v>55000</v>
      </c>
      <c r="M2646" t="s">
        <v>55001</v>
      </c>
      <c r="N2646" t="s">
        <v>55002</v>
      </c>
      <c r="O2646">
        <f>-749.30415093852 -63.8554125626954 -723.986858008354</f>
        <v>-1537.1464215095693</v>
      </c>
      <c r="P2646">
        <f>-707.100205982612 -66.5655008647034 -410.302907155236</f>
        <v>-1183.9686140025515</v>
      </c>
      <c r="Q2646">
        <f>-457.284210166016 -5.96424512167619 -370.78707480029</f>
        <v>-834.03553008798212</v>
      </c>
      <c r="R2646" t="s">
        <v>55003</v>
      </c>
      <c r="S2646" t="s">
        <v>55004</v>
      </c>
      <c r="T2646" t="s">
        <v>55005</v>
      </c>
      <c r="U2646" t="s">
        <v>55006</v>
      </c>
      <c r="V2646" t="s">
        <v>55007</v>
      </c>
      <c r="W2646" t="s">
        <v>55008</v>
      </c>
      <c r="X2646" t="s">
        <v>55009</v>
      </c>
      <c r="Y2646" t="s">
        <v>55010</v>
      </c>
    </row>
    <row r="2647" spans="1:25" x14ac:dyDescent="0.3">
      <c r="A2647">
        <v>132300</v>
      </c>
      <c r="B2647" t="s">
        <v>55011</v>
      </c>
      <c r="C2647" t="s">
        <v>55012</v>
      </c>
      <c r="D2647" t="s">
        <v>55013</v>
      </c>
      <c r="E2647" t="s">
        <v>55014</v>
      </c>
      <c r="F2647" t="s">
        <v>55015</v>
      </c>
      <c r="G2647" t="s">
        <v>55016</v>
      </c>
      <c r="H2647" t="s">
        <v>55017</v>
      </c>
      <c r="I2647" t="s">
        <v>55018</v>
      </c>
      <c r="J2647" t="s">
        <v>55019</v>
      </c>
      <c r="K2647" t="s">
        <v>55020</v>
      </c>
      <c r="L2647" t="s">
        <v>55021</v>
      </c>
      <c r="M2647" t="s">
        <v>55022</v>
      </c>
      <c r="N2647" t="s">
        <v>55023</v>
      </c>
      <c r="O2647">
        <f>-747.30174776826 -64.7129739973759 -723.848954798644</f>
        <v>-1535.86367656428</v>
      </c>
      <c r="P2647">
        <f>-705.101344372137 -66.9723272608501 -410.160855348772</f>
        <v>-1182.234526981759</v>
      </c>
      <c r="Q2647">
        <f>-455.108085178466 -7.01953608060899 -370.777238890543</f>
        <v>-832.904860149618</v>
      </c>
      <c r="R2647" t="s">
        <v>55024</v>
      </c>
      <c r="S2647" t="s">
        <v>55025</v>
      </c>
      <c r="T2647" t="s">
        <v>55026</v>
      </c>
      <c r="U2647" t="s">
        <v>55027</v>
      </c>
      <c r="V2647" t="s">
        <v>55028</v>
      </c>
      <c r="W2647" t="s">
        <v>55029</v>
      </c>
      <c r="X2647" t="s">
        <v>55030</v>
      </c>
      <c r="Y2647" t="s">
        <v>55031</v>
      </c>
    </row>
    <row r="2648" spans="1:25" x14ac:dyDescent="0.3">
      <c r="A2648">
        <v>132350</v>
      </c>
      <c r="B2648" t="s">
        <v>55032</v>
      </c>
      <c r="C2648" t="s">
        <v>55033</v>
      </c>
      <c r="D2648" t="s">
        <v>55034</v>
      </c>
      <c r="E2648" t="s">
        <v>55035</v>
      </c>
      <c r="F2648" t="s">
        <v>55036</v>
      </c>
      <c r="G2648" t="s">
        <v>55037</v>
      </c>
      <c r="H2648" t="s">
        <v>55038</v>
      </c>
      <c r="I2648" t="s">
        <v>55039</v>
      </c>
      <c r="J2648" t="s">
        <v>55040</v>
      </c>
      <c r="K2648" t="s">
        <v>55041</v>
      </c>
      <c r="L2648" t="s">
        <v>55042</v>
      </c>
      <c r="M2648" t="s">
        <v>55043</v>
      </c>
      <c r="N2648" t="s">
        <v>55044</v>
      </c>
      <c r="O2648">
        <f>-743.03491714989 -66.9230282766332 -723.998833294912</f>
        <v>-1533.9567787214351</v>
      </c>
      <c r="P2648">
        <f>-702.236252111087 -67.3262418506888 -410.117563119642</f>
        <v>-1179.6800570814178</v>
      </c>
      <c r="Q2648">
        <f>-452.063709945121 -8.25040367234101 -370.546894004762</f>
        <v>-830.86100762222395</v>
      </c>
      <c r="R2648" t="s">
        <v>55045</v>
      </c>
      <c r="S2648" t="s">
        <v>55046</v>
      </c>
      <c r="T2648" t="s">
        <v>55047</v>
      </c>
      <c r="U2648" t="s">
        <v>55048</v>
      </c>
      <c r="V2648" t="s">
        <v>55049</v>
      </c>
      <c r="W2648" t="s">
        <v>55050</v>
      </c>
      <c r="X2648" t="s">
        <v>55051</v>
      </c>
      <c r="Y2648" t="s">
        <v>55052</v>
      </c>
    </row>
    <row r="2649" spans="1:25" x14ac:dyDescent="0.3">
      <c r="A2649">
        <v>132400</v>
      </c>
      <c r="B2649" t="s">
        <v>55053</v>
      </c>
      <c r="C2649" t="s">
        <v>55054</v>
      </c>
      <c r="D2649" t="s">
        <v>55055</v>
      </c>
      <c r="E2649" t="s">
        <v>55056</v>
      </c>
      <c r="F2649" t="s">
        <v>55057</v>
      </c>
      <c r="G2649" t="s">
        <v>55058</v>
      </c>
      <c r="H2649" t="s">
        <v>55059</v>
      </c>
      <c r="I2649" t="s">
        <v>55060</v>
      </c>
      <c r="J2649" t="s">
        <v>55061</v>
      </c>
      <c r="K2649" t="s">
        <v>55062</v>
      </c>
      <c r="L2649" t="s">
        <v>55063</v>
      </c>
      <c r="M2649" t="s">
        <v>55064</v>
      </c>
      <c r="N2649" t="s">
        <v>55065</v>
      </c>
      <c r="O2649">
        <f>-740.560797006865 -68.06924430868 -724.277229609178</f>
        <v>-1532.907270924723</v>
      </c>
      <c r="P2649">
        <f>-700.341014838105 -67.7705650927237 -410.321146242767</f>
        <v>-1178.4327261735957</v>
      </c>
      <c r="Q2649">
        <f>-450.068693869015 -9.19231225639828 -370.64223884611</f>
        <v>-829.90324497152324</v>
      </c>
      <c r="R2649" t="s">
        <v>55066</v>
      </c>
      <c r="S2649" t="s">
        <v>55067</v>
      </c>
      <c r="T2649" t="s">
        <v>55068</v>
      </c>
      <c r="U2649" t="s">
        <v>55069</v>
      </c>
      <c r="V2649" t="s">
        <v>55070</v>
      </c>
      <c r="W2649" t="s">
        <v>55071</v>
      </c>
      <c r="X2649" t="s">
        <v>55072</v>
      </c>
      <c r="Y2649" t="s">
        <v>55073</v>
      </c>
    </row>
    <row r="2650" spans="1:25" x14ac:dyDescent="0.3">
      <c r="A2650">
        <v>132450</v>
      </c>
      <c r="B2650" t="s">
        <v>55074</v>
      </c>
      <c r="C2650" t="s">
        <v>55075</v>
      </c>
      <c r="D2650" t="s">
        <v>55076</v>
      </c>
      <c r="E2650" t="s">
        <v>55077</v>
      </c>
      <c r="F2650" t="s">
        <v>55078</v>
      </c>
      <c r="G2650" t="s">
        <v>55079</v>
      </c>
      <c r="H2650" t="s">
        <v>55080</v>
      </c>
      <c r="I2650" t="s">
        <v>55081</v>
      </c>
      <c r="J2650" t="s">
        <v>55082</v>
      </c>
      <c r="K2650" t="s">
        <v>55083</v>
      </c>
      <c r="L2650" t="s">
        <v>55084</v>
      </c>
      <c r="M2650" t="s">
        <v>55085</v>
      </c>
      <c r="N2650" t="s">
        <v>55086</v>
      </c>
      <c r="O2650">
        <f>-736.187816446183 -69.8941175169221 -725.429765573489</f>
        <v>-1531.5116995365941</v>
      </c>
      <c r="P2650">
        <f>-696.984498783243 -68.0010037679044 -411.350630582792</f>
        <v>-1176.3361331339395</v>
      </c>
      <c r="Q2650">
        <f>-446.676018207801 -9.77350619126946 -371.384384766417</f>
        <v>-827.83390916548751</v>
      </c>
      <c r="R2650" t="s">
        <v>55087</v>
      </c>
      <c r="S2650" t="s">
        <v>55088</v>
      </c>
      <c r="T2650" t="s">
        <v>55089</v>
      </c>
      <c r="U2650" t="s">
        <v>55090</v>
      </c>
      <c r="V2650" t="s">
        <v>55091</v>
      </c>
      <c r="W2650" t="s">
        <v>55092</v>
      </c>
      <c r="X2650" t="s">
        <v>55093</v>
      </c>
      <c r="Y2650" t="s">
        <v>55094</v>
      </c>
    </row>
    <row r="2651" spans="1:25" x14ac:dyDescent="0.3">
      <c r="A2651">
        <v>132500</v>
      </c>
      <c r="B2651" t="s">
        <v>55095</v>
      </c>
      <c r="C2651" t="s">
        <v>55096</v>
      </c>
      <c r="D2651" t="s">
        <v>55097</v>
      </c>
      <c r="E2651" t="s">
        <v>55098</v>
      </c>
      <c r="F2651" t="s">
        <v>55099</v>
      </c>
      <c r="G2651" t="s">
        <v>55100</v>
      </c>
      <c r="H2651" t="s">
        <v>55101</v>
      </c>
      <c r="I2651" t="s">
        <v>55102</v>
      </c>
      <c r="J2651" t="s">
        <v>55103</v>
      </c>
      <c r="K2651" t="s">
        <v>55104</v>
      </c>
      <c r="L2651" t="s">
        <v>55105</v>
      </c>
      <c r="M2651" t="s">
        <v>55106</v>
      </c>
      <c r="N2651" t="s">
        <v>55107</v>
      </c>
      <c r="O2651">
        <f>-734.347771145551 -70.7064504689447 -725.912738657041</f>
        <v>-1530.9669602715367</v>
      </c>
      <c r="P2651">
        <f>-695.664025330164 -68.4643518164512 -411.771430131222</f>
        <v>-1175.8998072778372</v>
      </c>
      <c r="Q2651">
        <f>-445.482350062364 -9.86792520687527 -371.550857918903</f>
        <v>-826.90113318814224</v>
      </c>
      <c r="R2651" t="s">
        <v>55108</v>
      </c>
      <c r="S2651" t="s">
        <v>55109</v>
      </c>
      <c r="T2651" t="s">
        <v>55110</v>
      </c>
      <c r="U2651" t="s">
        <v>55111</v>
      </c>
      <c r="V2651" t="s">
        <v>55112</v>
      </c>
      <c r="W2651" t="s">
        <v>55113</v>
      </c>
      <c r="X2651" t="s">
        <v>55114</v>
      </c>
      <c r="Y2651" t="s">
        <v>55115</v>
      </c>
    </row>
    <row r="2652" spans="1:25" x14ac:dyDescent="0.3">
      <c r="A2652">
        <v>132550</v>
      </c>
      <c r="B2652" t="s">
        <v>55116</v>
      </c>
      <c r="C2652" t="s">
        <v>55117</v>
      </c>
      <c r="D2652" t="s">
        <v>55118</v>
      </c>
      <c r="E2652" t="s">
        <v>55119</v>
      </c>
      <c r="F2652" t="s">
        <v>55120</v>
      </c>
      <c r="G2652" t="s">
        <v>55121</v>
      </c>
      <c r="H2652" t="s">
        <v>55122</v>
      </c>
      <c r="I2652" t="s">
        <v>55123</v>
      </c>
      <c r="J2652" t="s">
        <v>55124</v>
      </c>
      <c r="K2652" t="s">
        <v>55125</v>
      </c>
      <c r="L2652" t="s">
        <v>55126</v>
      </c>
      <c r="M2652" t="s">
        <v>55127</v>
      </c>
      <c r="N2652" t="s">
        <v>55128</v>
      </c>
      <c r="O2652">
        <f>-731.637107608312 -71.6464364111232 -726.616429783211</f>
        <v>-1529.8999738026462</v>
      </c>
      <c r="P2652">
        <f>-693.530327244134 -68.7819278910529 -412.409675378755</f>
        <v>-1174.721930513942</v>
      </c>
      <c r="Q2652">
        <f>-443.818355931755 -8.56474256973979 -371.66806195986</f>
        <v>-824.05116046135481</v>
      </c>
      <c r="R2652" t="s">
        <v>55129</v>
      </c>
      <c r="S2652" t="s">
        <v>55130</v>
      </c>
      <c r="T2652" t="s">
        <v>55131</v>
      </c>
      <c r="U2652" t="s">
        <v>55132</v>
      </c>
      <c r="V2652" t="s">
        <v>55133</v>
      </c>
      <c r="W2652" t="s">
        <v>55134</v>
      </c>
      <c r="X2652" t="s">
        <v>55135</v>
      </c>
      <c r="Y2652" t="s">
        <v>55136</v>
      </c>
    </row>
    <row r="2653" spans="1:25" x14ac:dyDescent="0.3">
      <c r="A2653">
        <v>132600</v>
      </c>
      <c r="B2653" t="s">
        <v>55137</v>
      </c>
      <c r="C2653" t="s">
        <v>55138</v>
      </c>
      <c r="D2653" t="s">
        <v>55139</v>
      </c>
      <c r="E2653" t="s">
        <v>55140</v>
      </c>
      <c r="F2653" t="s">
        <v>55141</v>
      </c>
      <c r="G2653" t="s">
        <v>55142</v>
      </c>
      <c r="H2653" t="s">
        <v>55143</v>
      </c>
      <c r="I2653" t="s">
        <v>55144</v>
      </c>
      <c r="J2653" t="s">
        <v>55145</v>
      </c>
      <c r="K2653" t="s">
        <v>55146</v>
      </c>
      <c r="L2653" t="s">
        <v>55147</v>
      </c>
      <c r="M2653" t="s">
        <v>55148</v>
      </c>
      <c r="N2653" t="s">
        <v>55149</v>
      </c>
      <c r="O2653">
        <f>-730.645932090128 -71.6799152597027 -726.575105207271</f>
        <v>-1528.9009525571018</v>
      </c>
      <c r="P2653">
        <f>-692.570148182258 -68.9045362371292 -412.363870050549</f>
        <v>-1173.8385544699361</v>
      </c>
      <c r="Q2653">
        <f>-443.120127939114 -7.54937150230762 -371.715536688145</f>
        <v>-822.38503612956663</v>
      </c>
      <c r="R2653" t="s">
        <v>55150</v>
      </c>
      <c r="S2653" t="s">
        <v>55151</v>
      </c>
      <c r="T2653" t="s">
        <v>55152</v>
      </c>
      <c r="U2653" t="s">
        <v>55153</v>
      </c>
      <c r="V2653" t="s">
        <v>55154</v>
      </c>
      <c r="W2653" t="s">
        <v>55155</v>
      </c>
      <c r="X2653" t="s">
        <v>55156</v>
      </c>
      <c r="Y2653" t="s">
        <v>55157</v>
      </c>
    </row>
    <row r="2654" spans="1:25" x14ac:dyDescent="0.3">
      <c r="A2654">
        <v>132650</v>
      </c>
      <c r="B2654" t="s">
        <v>55158</v>
      </c>
      <c r="C2654" t="s">
        <v>55159</v>
      </c>
      <c r="D2654" t="s">
        <v>55160</v>
      </c>
      <c r="E2654" t="s">
        <v>55161</v>
      </c>
      <c r="F2654" t="s">
        <v>55162</v>
      </c>
      <c r="G2654" t="s">
        <v>55163</v>
      </c>
      <c r="H2654" t="s">
        <v>55164</v>
      </c>
      <c r="I2654" t="s">
        <v>55165</v>
      </c>
      <c r="J2654" t="s">
        <v>55166</v>
      </c>
      <c r="K2654" t="s">
        <v>55167</v>
      </c>
      <c r="L2654" t="s">
        <v>55168</v>
      </c>
      <c r="M2654" t="s">
        <v>55169</v>
      </c>
      <c r="N2654" t="s">
        <v>55170</v>
      </c>
      <c r="O2654">
        <f>-729.221896281966 -71.0873756044155 -725.967211192947</f>
        <v>-1526.2764830793285</v>
      </c>
      <c r="P2654">
        <f>-691.094141112004 -67.7214427212189 -411.768054604114</f>
        <v>-1170.583638437337</v>
      </c>
      <c r="Q2654">
        <f>-442.117060102551 -4.27688023076121 -371.428865626643</f>
        <v>-817.8228059599553</v>
      </c>
      <c r="R2654" t="s">
        <v>55171</v>
      </c>
      <c r="S2654" t="s">
        <v>55172</v>
      </c>
      <c r="T2654" t="s">
        <v>55173</v>
      </c>
      <c r="U2654" t="s">
        <v>55174</v>
      </c>
      <c r="V2654" t="s">
        <v>55175</v>
      </c>
      <c r="W2654" t="s">
        <v>55176</v>
      </c>
      <c r="X2654" t="s">
        <v>55177</v>
      </c>
      <c r="Y2654" t="s">
        <v>55178</v>
      </c>
    </row>
    <row r="2655" spans="1:25" x14ac:dyDescent="0.3">
      <c r="A2655">
        <v>132700</v>
      </c>
      <c r="B2655" t="s">
        <v>55179</v>
      </c>
      <c r="C2655" t="s">
        <v>55180</v>
      </c>
      <c r="D2655" t="s">
        <v>55181</v>
      </c>
      <c r="E2655" t="s">
        <v>55182</v>
      </c>
      <c r="F2655" t="s">
        <v>55183</v>
      </c>
      <c r="G2655" t="s">
        <v>55184</v>
      </c>
      <c r="H2655" t="s">
        <v>55185</v>
      </c>
      <c r="I2655" t="s">
        <v>55186</v>
      </c>
      <c r="J2655" t="s">
        <v>55187</v>
      </c>
      <c r="K2655" t="s">
        <v>55188</v>
      </c>
      <c r="L2655" t="s">
        <v>55189</v>
      </c>
      <c r="M2655" t="s">
        <v>55190</v>
      </c>
      <c r="N2655" t="s">
        <v>55191</v>
      </c>
      <c r="O2655">
        <f>-728.834271566489 -70.987694413383 -725.710236489997</f>
        <v>-1525.5322024698689</v>
      </c>
      <c r="P2655">
        <f>-690.764745458216 -67.4387683069783 -411.505937269852</f>
        <v>-1169.7094510350462</v>
      </c>
      <c r="Q2655">
        <f>-442.070056365009 -2.72783053896046 -371.437778484389</f>
        <v>-816.23566538835848</v>
      </c>
      <c r="R2655" t="s">
        <v>55192</v>
      </c>
      <c r="S2655" t="s">
        <v>55193</v>
      </c>
      <c r="T2655" t="s">
        <v>55194</v>
      </c>
      <c r="U2655" t="s">
        <v>55195</v>
      </c>
      <c r="V2655" t="s">
        <v>55196</v>
      </c>
      <c r="W2655" t="s">
        <v>55197</v>
      </c>
      <c r="X2655" t="s">
        <v>55198</v>
      </c>
      <c r="Y2655" t="s">
        <v>55199</v>
      </c>
    </row>
    <row r="2656" spans="1:25" x14ac:dyDescent="0.3">
      <c r="A2656">
        <v>132750</v>
      </c>
      <c r="B2656" t="s">
        <v>55200</v>
      </c>
      <c r="C2656" t="s">
        <v>55201</v>
      </c>
      <c r="D2656" t="s">
        <v>55202</v>
      </c>
      <c r="E2656" t="s">
        <v>55203</v>
      </c>
      <c r="F2656" t="s">
        <v>55204</v>
      </c>
      <c r="G2656" t="s">
        <v>55205</v>
      </c>
      <c r="H2656" t="s">
        <v>55206</v>
      </c>
      <c r="I2656" t="s">
        <v>55207</v>
      </c>
      <c r="J2656" t="s">
        <v>55208</v>
      </c>
      <c r="K2656" t="s">
        <v>55209</v>
      </c>
      <c r="L2656" t="s">
        <v>55210</v>
      </c>
      <c r="M2656" t="s">
        <v>55211</v>
      </c>
      <c r="N2656" t="s">
        <v>55212</v>
      </c>
      <c r="O2656">
        <f>-728.49046705099 -70.6209875157754 -725.476576461077</f>
        <v>-1524.5880310278424</v>
      </c>
      <c r="P2656">
        <f>-689.996142691361 -66.8440507658615 -411.326775530925</f>
        <v>-1168.1669689881476</v>
      </c>
      <c r="Q2656" t="s">
        <v>55213</v>
      </c>
      <c r="R2656" t="s">
        <v>55214</v>
      </c>
      <c r="S2656" t="s">
        <v>55215</v>
      </c>
      <c r="T2656" t="s">
        <v>55216</v>
      </c>
      <c r="U2656" t="s">
        <v>55217</v>
      </c>
      <c r="V2656" t="s">
        <v>55218</v>
      </c>
      <c r="W2656" t="s">
        <v>55219</v>
      </c>
      <c r="X2656" t="s">
        <v>55220</v>
      </c>
      <c r="Y2656" t="s">
        <v>55221</v>
      </c>
    </row>
    <row r="2657" spans="1:25" x14ac:dyDescent="0.3">
      <c r="A2657">
        <v>132800</v>
      </c>
      <c r="B2657" t="s">
        <v>55222</v>
      </c>
      <c r="C2657" t="s">
        <v>55223</v>
      </c>
      <c r="D2657" t="s">
        <v>55224</v>
      </c>
      <c r="E2657" t="s">
        <v>55225</v>
      </c>
      <c r="F2657" t="s">
        <v>55226</v>
      </c>
      <c r="G2657" t="s">
        <v>55227</v>
      </c>
      <c r="H2657" t="s">
        <v>55228</v>
      </c>
      <c r="I2657" t="s">
        <v>55229</v>
      </c>
      <c r="J2657" t="s">
        <v>55230</v>
      </c>
      <c r="K2657" t="s">
        <v>55231</v>
      </c>
      <c r="L2657" t="s">
        <v>55232</v>
      </c>
      <c r="M2657" t="s">
        <v>55233</v>
      </c>
      <c r="N2657" t="s">
        <v>55234</v>
      </c>
      <c r="O2657">
        <f>-728.713803162048 -70.4840725807594 -725.376324910798</f>
        <v>-1524.5742006536052</v>
      </c>
      <c r="P2657">
        <f>-689.520434810441 -66.9060348237383 -411.310606399102</f>
        <v>-1167.7370760332813</v>
      </c>
      <c r="Q2657" t="s">
        <v>55235</v>
      </c>
      <c r="R2657" t="s">
        <v>55236</v>
      </c>
      <c r="S2657" t="s">
        <v>55237</v>
      </c>
      <c r="T2657" t="s">
        <v>55238</v>
      </c>
      <c r="U2657" t="s">
        <v>55239</v>
      </c>
      <c r="V2657" t="s">
        <v>55240</v>
      </c>
      <c r="W2657" t="s">
        <v>55241</v>
      </c>
      <c r="X2657" t="s">
        <v>55242</v>
      </c>
      <c r="Y2657" t="s">
        <v>55243</v>
      </c>
    </row>
    <row r="2658" spans="1:25" x14ac:dyDescent="0.3">
      <c r="A2658">
        <v>132850</v>
      </c>
      <c r="B2658" t="s">
        <v>55244</v>
      </c>
      <c r="C2658" t="s">
        <v>55245</v>
      </c>
      <c r="D2658" t="s">
        <v>55246</v>
      </c>
      <c r="E2658" t="s">
        <v>55247</v>
      </c>
      <c r="F2658" t="s">
        <v>55248</v>
      </c>
      <c r="G2658" t="s">
        <v>55249</v>
      </c>
      <c r="H2658" t="s">
        <v>55250</v>
      </c>
      <c r="I2658" t="s">
        <v>55251</v>
      </c>
      <c r="J2658" t="s">
        <v>55252</v>
      </c>
      <c r="K2658" t="s">
        <v>55253</v>
      </c>
      <c r="L2658" t="s">
        <v>55254</v>
      </c>
      <c r="M2658" t="s">
        <v>55255</v>
      </c>
      <c r="N2658" t="s">
        <v>55256</v>
      </c>
      <c r="O2658">
        <f>-729.350230264524 -70.6791919971063 -725.170816601749</f>
        <v>-1525.2002388633794</v>
      </c>
      <c r="P2658">
        <f>-688.647839955263 -67.4363863582207 -411.293450526059</f>
        <v>-1167.3776768395428</v>
      </c>
      <c r="Q2658">
        <f>-440.323060656067 -0.0800367629642551 -373.346084440992</f>
        <v>-813.74918186002333</v>
      </c>
      <c r="R2658" t="s">
        <v>55257</v>
      </c>
      <c r="S2658" t="s">
        <v>55258</v>
      </c>
      <c r="T2658" t="s">
        <v>55259</v>
      </c>
      <c r="U2658" t="s">
        <v>55260</v>
      </c>
      <c r="V2658" t="s">
        <v>55261</v>
      </c>
      <c r="W2658" t="s">
        <v>55262</v>
      </c>
      <c r="X2658" t="s">
        <v>55263</v>
      </c>
      <c r="Y2658" t="s">
        <v>55264</v>
      </c>
    </row>
    <row r="2659" spans="1:25" x14ac:dyDescent="0.3">
      <c r="A2659">
        <v>132900</v>
      </c>
      <c r="B2659" t="s">
        <v>55265</v>
      </c>
      <c r="C2659" t="s">
        <v>55266</v>
      </c>
      <c r="D2659" t="s">
        <v>55267</v>
      </c>
      <c r="E2659" t="s">
        <v>55268</v>
      </c>
      <c r="F2659" t="s">
        <v>55269</v>
      </c>
      <c r="G2659" t="s">
        <v>55270</v>
      </c>
      <c r="H2659" t="s">
        <v>55271</v>
      </c>
      <c r="I2659" t="s">
        <v>55272</v>
      </c>
      <c r="J2659" t="s">
        <v>55273</v>
      </c>
      <c r="K2659" t="s">
        <v>55274</v>
      </c>
      <c r="L2659" t="s">
        <v>55275</v>
      </c>
      <c r="M2659" t="s">
        <v>55276</v>
      </c>
      <c r="N2659" t="s">
        <v>55277</v>
      </c>
      <c r="O2659">
        <f>-729.618454926808 -70.7738082146179 -725.067009782773</f>
        <v>-1525.459272924199</v>
      </c>
      <c r="P2659">
        <f>-688.358787995521 -67.7532105444343 -411.260261623391</f>
        <v>-1167.3722601633463</v>
      </c>
      <c r="Q2659">
        <f>-439.867314577021 -0.663231097251128 -373.93692982672</f>
        <v>-814.46747550099212</v>
      </c>
      <c r="R2659" t="s">
        <v>55278</v>
      </c>
      <c r="S2659" t="s">
        <v>55279</v>
      </c>
      <c r="T2659" t="s">
        <v>55280</v>
      </c>
      <c r="U2659" t="s">
        <v>55281</v>
      </c>
      <c r="V2659" t="s">
        <v>55282</v>
      </c>
      <c r="W2659" t="s">
        <v>55283</v>
      </c>
      <c r="X2659" t="s">
        <v>55284</v>
      </c>
      <c r="Y2659" t="s">
        <v>55285</v>
      </c>
    </row>
    <row r="2660" spans="1:25" x14ac:dyDescent="0.3">
      <c r="A2660">
        <v>132950</v>
      </c>
      <c r="B2660" t="s">
        <v>55286</v>
      </c>
      <c r="C2660" t="s">
        <v>55287</v>
      </c>
      <c r="D2660" t="s">
        <v>55288</v>
      </c>
      <c r="E2660" t="s">
        <v>55289</v>
      </c>
      <c r="F2660" t="s">
        <v>55290</v>
      </c>
      <c r="G2660" t="s">
        <v>55291</v>
      </c>
      <c r="H2660" t="s">
        <v>55292</v>
      </c>
      <c r="I2660" t="s">
        <v>55293</v>
      </c>
      <c r="J2660" t="s">
        <v>55294</v>
      </c>
      <c r="K2660" t="s">
        <v>55295</v>
      </c>
      <c r="L2660" t="s">
        <v>55296</v>
      </c>
      <c r="M2660" t="s">
        <v>55297</v>
      </c>
      <c r="N2660" t="s">
        <v>55298</v>
      </c>
      <c r="O2660">
        <f>-729.47520583133 -70.3235251942729 -725.102678829731</f>
        <v>-1524.9014098553339</v>
      </c>
      <c r="P2660">
        <f>-687.282744188775 -68.1600087501795 -411.412921745053</f>
        <v>-1166.8556746840075</v>
      </c>
      <c r="Q2660">
        <f>-438.48877013375 -1.69638101667692 -374.996340888949</f>
        <v>-815.18149203937594</v>
      </c>
      <c r="R2660" t="s">
        <v>55299</v>
      </c>
      <c r="S2660" t="s">
        <v>55300</v>
      </c>
      <c r="T2660" t="s">
        <v>55301</v>
      </c>
      <c r="U2660" t="s">
        <v>55302</v>
      </c>
      <c r="V2660" t="s">
        <v>55303</v>
      </c>
      <c r="W2660" t="s">
        <v>55304</v>
      </c>
      <c r="X2660" t="s">
        <v>55305</v>
      </c>
      <c r="Y2660" t="s">
        <v>55306</v>
      </c>
    </row>
    <row r="2661" spans="1:25" x14ac:dyDescent="0.3">
      <c r="A2661">
        <v>133000</v>
      </c>
      <c r="B2661" t="s">
        <v>55307</v>
      </c>
      <c r="C2661" t="s">
        <v>55308</v>
      </c>
      <c r="D2661" t="s">
        <v>55309</v>
      </c>
      <c r="E2661" t="s">
        <v>55310</v>
      </c>
      <c r="F2661" t="s">
        <v>55311</v>
      </c>
      <c r="G2661" t="s">
        <v>55312</v>
      </c>
      <c r="H2661" t="s">
        <v>55313</v>
      </c>
      <c r="I2661" t="s">
        <v>55314</v>
      </c>
      <c r="J2661" t="s">
        <v>55315</v>
      </c>
      <c r="K2661" t="s">
        <v>55316</v>
      </c>
      <c r="L2661" t="s">
        <v>55317</v>
      </c>
      <c r="M2661" t="s">
        <v>55318</v>
      </c>
      <c r="N2661" t="s">
        <v>55319</v>
      </c>
      <c r="O2661">
        <f>-728.891934770845 -69.6856508951087 -725.068010975308</f>
        <v>-1523.6455966412616</v>
      </c>
      <c r="P2661">
        <f>-686.239690347471 -68.032269700002 -411.437336559927</f>
        <v>-1165.7092966073999</v>
      </c>
      <c r="Q2661">
        <f>-437.214699338298 -2.15903316988783 -375.530508472408</f>
        <v>-814.90424098059384</v>
      </c>
      <c r="R2661" t="s">
        <v>55320</v>
      </c>
      <c r="S2661" t="s">
        <v>55321</v>
      </c>
      <c r="T2661" t="s">
        <v>55322</v>
      </c>
      <c r="U2661" t="s">
        <v>55323</v>
      </c>
      <c r="V2661" t="s">
        <v>55324</v>
      </c>
      <c r="W2661" t="s">
        <v>55325</v>
      </c>
      <c r="X2661" t="s">
        <v>55326</v>
      </c>
      <c r="Y2661" t="s">
        <v>55327</v>
      </c>
    </row>
    <row r="2662" spans="1:25" x14ac:dyDescent="0.3">
      <c r="A2662">
        <v>133050</v>
      </c>
      <c r="B2662" t="s">
        <v>55328</v>
      </c>
      <c r="C2662" t="s">
        <v>55329</v>
      </c>
      <c r="D2662" t="s">
        <v>55330</v>
      </c>
      <c r="E2662" t="s">
        <v>55331</v>
      </c>
      <c r="F2662" t="s">
        <v>55332</v>
      </c>
      <c r="G2662" t="s">
        <v>55333</v>
      </c>
      <c r="H2662" t="s">
        <v>55334</v>
      </c>
      <c r="I2662" t="s">
        <v>55335</v>
      </c>
      <c r="J2662" t="s">
        <v>55336</v>
      </c>
      <c r="K2662" t="s">
        <v>55337</v>
      </c>
      <c r="L2662" t="s">
        <v>55338</v>
      </c>
      <c r="M2662" t="s">
        <v>55339</v>
      </c>
      <c r="N2662" t="s">
        <v>55340</v>
      </c>
      <c r="O2662">
        <f>-728.583960319868 -69.4409777787823 -725.10319473153</f>
        <v>-1523.1281328301802</v>
      </c>
      <c r="P2662">
        <f>-685.661185319099 -68.0892795438799 -411.507964034848</f>
        <v>-1165.2584288978269</v>
      </c>
      <c r="Q2662">
        <f>-436.578310792492 -2.40783941299787 -375.651136447169</f>
        <v>-814.63728665265887</v>
      </c>
      <c r="R2662" t="s">
        <v>55341</v>
      </c>
      <c r="S2662" t="s">
        <v>55342</v>
      </c>
      <c r="T2662" t="s">
        <v>55343</v>
      </c>
      <c r="U2662" t="s">
        <v>55344</v>
      </c>
      <c r="V2662" t="s">
        <v>55345</v>
      </c>
      <c r="W2662" t="s">
        <v>55346</v>
      </c>
      <c r="X2662" t="s">
        <v>55347</v>
      </c>
      <c r="Y2662" t="s">
        <v>55348</v>
      </c>
    </row>
    <row r="2663" spans="1:25" x14ac:dyDescent="0.3">
      <c r="A2663">
        <v>133100</v>
      </c>
      <c r="B2663" t="s">
        <v>55349</v>
      </c>
      <c r="C2663" t="s">
        <v>55350</v>
      </c>
      <c r="D2663" t="s">
        <v>55351</v>
      </c>
      <c r="E2663" t="s">
        <v>55352</v>
      </c>
      <c r="F2663" t="s">
        <v>55353</v>
      </c>
      <c r="G2663" t="s">
        <v>55354</v>
      </c>
      <c r="H2663" t="s">
        <v>55355</v>
      </c>
      <c r="I2663" t="s">
        <v>55356</v>
      </c>
      <c r="J2663" t="s">
        <v>55357</v>
      </c>
      <c r="K2663" t="s">
        <v>55358</v>
      </c>
      <c r="L2663" t="s">
        <v>55359</v>
      </c>
      <c r="M2663" t="s">
        <v>55360</v>
      </c>
      <c r="N2663" t="s">
        <v>55361</v>
      </c>
      <c r="O2663">
        <f>-728.1820145005 -69.3481699429999 -725.113518481963</f>
        <v>-1522.643702925463</v>
      </c>
      <c r="P2663">
        <f>-685.107854875643 -68.2322967052442 -411.537980422056</f>
        <v>-1164.8781320029432</v>
      </c>
      <c r="Q2663">
        <f>-436.037441636269 -2.51163733885096 -375.666524370467</f>
        <v>-814.21560334558694</v>
      </c>
      <c r="R2663" t="s">
        <v>55362</v>
      </c>
      <c r="S2663" t="s">
        <v>55363</v>
      </c>
      <c r="T2663" t="s">
        <v>55364</v>
      </c>
      <c r="U2663" t="s">
        <v>55365</v>
      </c>
      <c r="V2663" t="s">
        <v>55366</v>
      </c>
      <c r="W2663" t="s">
        <v>55367</v>
      </c>
      <c r="X2663" t="s">
        <v>55368</v>
      </c>
      <c r="Y2663" t="s">
        <v>55369</v>
      </c>
    </row>
    <row r="2664" spans="1:25" x14ac:dyDescent="0.3">
      <c r="A2664">
        <v>133150</v>
      </c>
      <c r="B2664" t="s">
        <v>55370</v>
      </c>
      <c r="C2664" t="s">
        <v>55371</v>
      </c>
      <c r="D2664" t="s">
        <v>55372</v>
      </c>
      <c r="E2664" t="s">
        <v>55373</v>
      </c>
      <c r="F2664" t="s">
        <v>55374</v>
      </c>
      <c r="G2664" t="s">
        <v>55375</v>
      </c>
      <c r="H2664" t="s">
        <v>55376</v>
      </c>
      <c r="I2664" t="s">
        <v>55377</v>
      </c>
      <c r="J2664" t="s">
        <v>55378</v>
      </c>
      <c r="K2664" t="s">
        <v>55379</v>
      </c>
      <c r="L2664" t="s">
        <v>55380</v>
      </c>
      <c r="M2664" t="s">
        <v>55381</v>
      </c>
      <c r="N2664" t="s">
        <v>55382</v>
      </c>
      <c r="O2664">
        <f>-726.66747760615 -69.5766208170826 -725.231728237381</f>
        <v>-1521.4758266606136</v>
      </c>
      <c r="P2664">
        <f>-683.522409295467 -68.7784068423582 -411.665086153741</f>
        <v>-1163.9659022915662</v>
      </c>
      <c r="Q2664">
        <f>-434.538317763873 -2.95915057843331 -375.37723829164</f>
        <v>-812.87470663394629</v>
      </c>
      <c r="R2664" t="s">
        <v>55383</v>
      </c>
      <c r="S2664" t="s">
        <v>55384</v>
      </c>
      <c r="T2664" t="s">
        <v>55385</v>
      </c>
      <c r="U2664" t="s">
        <v>55386</v>
      </c>
      <c r="V2664" t="s">
        <v>55387</v>
      </c>
      <c r="W2664" t="s">
        <v>55388</v>
      </c>
      <c r="X2664" t="s">
        <v>55389</v>
      </c>
      <c r="Y2664" t="s">
        <v>55390</v>
      </c>
    </row>
    <row r="2665" spans="1:25" x14ac:dyDescent="0.3">
      <c r="A2665">
        <v>133200</v>
      </c>
      <c r="B2665" t="s">
        <v>55391</v>
      </c>
      <c r="C2665" t="s">
        <v>55392</v>
      </c>
      <c r="D2665" t="s">
        <v>55393</v>
      </c>
      <c r="E2665" t="s">
        <v>55394</v>
      </c>
      <c r="F2665" t="s">
        <v>55395</v>
      </c>
      <c r="G2665" t="s">
        <v>55396</v>
      </c>
      <c r="H2665" t="s">
        <v>55397</v>
      </c>
      <c r="I2665" t="s">
        <v>55398</v>
      </c>
      <c r="J2665" t="s">
        <v>55399</v>
      </c>
      <c r="K2665" t="s">
        <v>55400</v>
      </c>
      <c r="L2665" t="s">
        <v>55401</v>
      </c>
      <c r="M2665" t="s">
        <v>55402</v>
      </c>
      <c r="N2665" t="s">
        <v>55403</v>
      </c>
      <c r="O2665">
        <f>-725.444975632407 -70.5361841622171 -725.319441877299</f>
        <v>-1521.3006016719232</v>
      </c>
      <c r="P2665">
        <f>-682.670547167897 -69.6396850154688 -411.702294837661</f>
        <v>-1164.0125270210267</v>
      </c>
      <c r="Q2665">
        <f>-433.765581107655 -3.69163641195428 -375.106685357766</f>
        <v>-812.56390287737531</v>
      </c>
      <c r="R2665" t="s">
        <v>55404</v>
      </c>
      <c r="S2665" t="s">
        <v>55405</v>
      </c>
      <c r="T2665" t="s">
        <v>55406</v>
      </c>
      <c r="U2665" t="s">
        <v>55407</v>
      </c>
      <c r="V2665" t="s">
        <v>55408</v>
      </c>
      <c r="W2665" t="s">
        <v>55409</v>
      </c>
      <c r="X2665" t="s">
        <v>55410</v>
      </c>
      <c r="Y2665" t="s">
        <v>55411</v>
      </c>
    </row>
    <row r="2666" spans="1:25" x14ac:dyDescent="0.3">
      <c r="A2666">
        <v>133250</v>
      </c>
      <c r="B2666" t="s">
        <v>55412</v>
      </c>
      <c r="C2666" t="s">
        <v>55413</v>
      </c>
      <c r="D2666" t="s">
        <v>55414</v>
      </c>
      <c r="E2666" t="s">
        <v>55415</v>
      </c>
      <c r="F2666" t="s">
        <v>55416</v>
      </c>
      <c r="G2666" t="s">
        <v>55417</v>
      </c>
      <c r="H2666" t="s">
        <v>55418</v>
      </c>
      <c r="I2666" t="s">
        <v>55419</v>
      </c>
      <c r="J2666" t="s">
        <v>55420</v>
      </c>
      <c r="K2666" t="s">
        <v>55421</v>
      </c>
      <c r="L2666" t="s">
        <v>55422</v>
      </c>
      <c r="M2666" t="s">
        <v>55423</v>
      </c>
      <c r="N2666" t="s">
        <v>55424</v>
      </c>
      <c r="O2666">
        <f>-723.218465396674 -72.1067356661513 -725.522868151867</f>
        <v>-1520.8480692146923</v>
      </c>
      <c r="P2666">
        <f>-681.340516318682 -71.4651197353305 -411.784113001467</f>
        <v>-1164.5897490554796</v>
      </c>
      <c r="Q2666">
        <f>-432.784290598263 -4.67132707699966 -374.361122839601</f>
        <v>-811.81674051486368</v>
      </c>
      <c r="R2666" t="s">
        <v>55425</v>
      </c>
      <c r="S2666" t="s">
        <v>55426</v>
      </c>
      <c r="T2666" t="s">
        <v>55427</v>
      </c>
      <c r="U2666" t="s">
        <v>55428</v>
      </c>
      <c r="V2666" t="s">
        <v>55429</v>
      </c>
      <c r="W2666" t="s">
        <v>55430</v>
      </c>
      <c r="X2666" t="s">
        <v>55431</v>
      </c>
      <c r="Y2666" t="s">
        <v>55432</v>
      </c>
    </row>
    <row r="2667" spans="1:25" x14ac:dyDescent="0.3">
      <c r="A2667">
        <v>133300</v>
      </c>
      <c r="B2667" t="s">
        <v>55433</v>
      </c>
      <c r="C2667" t="s">
        <v>55434</v>
      </c>
      <c r="D2667" t="s">
        <v>55435</v>
      </c>
      <c r="E2667" t="s">
        <v>55436</v>
      </c>
      <c r="F2667" t="s">
        <v>55437</v>
      </c>
      <c r="G2667" t="s">
        <v>55438</v>
      </c>
      <c r="H2667" t="s">
        <v>55439</v>
      </c>
      <c r="I2667" t="s">
        <v>55440</v>
      </c>
      <c r="J2667" t="s">
        <v>55441</v>
      </c>
      <c r="K2667" t="s">
        <v>55442</v>
      </c>
      <c r="L2667" t="s">
        <v>55443</v>
      </c>
      <c r="M2667" t="s">
        <v>55444</v>
      </c>
      <c r="N2667" t="s">
        <v>55445</v>
      </c>
      <c r="O2667">
        <f>-722.330161889876 -72.5267911377889 -725.692225486678</f>
        <v>-1520.5491785143429</v>
      </c>
      <c r="P2667">
        <f>-681.006307155533 -72.1524887454193 -411.879565997851</f>
        <v>-1165.0383618988033</v>
      </c>
      <c r="Q2667">
        <f>-432.652004834142 -4.90056767016563 -373.940945407152</f>
        <v>-811.49351791145966</v>
      </c>
      <c r="R2667" t="s">
        <v>55446</v>
      </c>
      <c r="S2667" t="s">
        <v>55447</v>
      </c>
      <c r="T2667" t="s">
        <v>55448</v>
      </c>
      <c r="U2667" t="s">
        <v>55449</v>
      </c>
      <c r="V2667" t="s">
        <v>55450</v>
      </c>
      <c r="W2667" t="s">
        <v>55451</v>
      </c>
      <c r="X2667" t="s">
        <v>55452</v>
      </c>
      <c r="Y2667" t="s">
        <v>55453</v>
      </c>
    </row>
    <row r="2668" spans="1:25" x14ac:dyDescent="0.3">
      <c r="A2668">
        <v>133350</v>
      </c>
      <c r="B2668" t="s">
        <v>55454</v>
      </c>
      <c r="C2668" t="s">
        <v>55455</v>
      </c>
      <c r="D2668" t="s">
        <v>55456</v>
      </c>
      <c r="E2668" t="s">
        <v>55457</v>
      </c>
      <c r="F2668" t="s">
        <v>55458</v>
      </c>
      <c r="G2668" t="s">
        <v>55459</v>
      </c>
      <c r="H2668" t="s">
        <v>55460</v>
      </c>
      <c r="I2668" t="s">
        <v>55461</v>
      </c>
      <c r="J2668" t="s">
        <v>55462</v>
      </c>
      <c r="K2668" t="s">
        <v>55463</v>
      </c>
      <c r="L2668" t="s">
        <v>55464</v>
      </c>
      <c r="M2668" t="s">
        <v>55465</v>
      </c>
      <c r="N2668" t="s">
        <v>55466</v>
      </c>
      <c r="O2668">
        <f>-720.480336282215 -72.7108431651759 -726.254045701012</f>
        <v>-1519.4452251484031</v>
      </c>
      <c r="P2668">
        <f>-680.386623516126 -72.924014300434 -412.281672666705</f>
        <v>-1165.592310483265</v>
      </c>
      <c r="Q2668">
        <f>-432.438595106598 -4.81998057388341 -373.22155916773</f>
        <v>-810.48013484821138</v>
      </c>
      <c r="R2668" t="s">
        <v>55467</v>
      </c>
      <c r="S2668" t="s">
        <v>55468</v>
      </c>
      <c r="T2668" t="s">
        <v>55469</v>
      </c>
      <c r="U2668" t="s">
        <v>55470</v>
      </c>
      <c r="V2668" t="s">
        <v>55471</v>
      </c>
      <c r="W2668" t="s">
        <v>55472</v>
      </c>
      <c r="X2668" t="s">
        <v>55473</v>
      </c>
      <c r="Y2668" t="s">
        <v>55474</v>
      </c>
    </row>
    <row r="2669" spans="1:25" x14ac:dyDescent="0.3">
      <c r="A2669">
        <v>133400</v>
      </c>
      <c r="B2669" t="s">
        <v>55475</v>
      </c>
      <c r="C2669" t="s">
        <v>55476</v>
      </c>
      <c r="D2669" t="s">
        <v>55477</v>
      </c>
      <c r="E2669" t="s">
        <v>55478</v>
      </c>
      <c r="F2669" t="s">
        <v>55479</v>
      </c>
      <c r="G2669" t="s">
        <v>55480</v>
      </c>
      <c r="H2669" t="s">
        <v>55481</v>
      </c>
      <c r="I2669" t="s">
        <v>55482</v>
      </c>
      <c r="J2669" t="s">
        <v>55483</v>
      </c>
      <c r="K2669" t="s">
        <v>55484</v>
      </c>
      <c r="L2669" t="s">
        <v>55485</v>
      </c>
      <c r="M2669" t="s">
        <v>55486</v>
      </c>
      <c r="N2669" t="s">
        <v>55487</v>
      </c>
      <c r="O2669">
        <f>-719.71698759885 -72.4190584047333 -726.580465981444</f>
        <v>-1518.7165119850274</v>
      </c>
      <c r="P2669">
        <f>-680.231271378131 -72.9486099188782 -412.531473845832</f>
        <v>-1165.7113551428413</v>
      </c>
      <c r="Q2669">
        <f>-432.425487984435 -4.58417705147349 -373.026052553853</f>
        <v>-810.03571758976148</v>
      </c>
      <c r="R2669" t="s">
        <v>55488</v>
      </c>
      <c r="S2669" t="s">
        <v>55489</v>
      </c>
      <c r="T2669" t="s">
        <v>55490</v>
      </c>
      <c r="U2669" t="s">
        <v>55491</v>
      </c>
      <c r="V2669" t="s">
        <v>55492</v>
      </c>
      <c r="W2669" t="s">
        <v>55493</v>
      </c>
      <c r="X2669" t="s">
        <v>55494</v>
      </c>
      <c r="Y2669" t="s">
        <v>55495</v>
      </c>
    </row>
    <row r="2670" spans="1:25" x14ac:dyDescent="0.3">
      <c r="A2670">
        <v>133450</v>
      </c>
      <c r="B2670" t="s">
        <v>55496</v>
      </c>
      <c r="C2670" t="s">
        <v>55497</v>
      </c>
      <c r="D2670" t="s">
        <v>55498</v>
      </c>
      <c r="E2670" t="s">
        <v>55499</v>
      </c>
      <c r="F2670" t="s">
        <v>55500</v>
      </c>
      <c r="G2670" t="s">
        <v>55501</v>
      </c>
      <c r="H2670" t="s">
        <v>55502</v>
      </c>
      <c r="I2670" t="s">
        <v>55503</v>
      </c>
      <c r="J2670" t="s">
        <v>55504</v>
      </c>
      <c r="K2670" t="s">
        <v>55505</v>
      </c>
      <c r="L2670" t="s">
        <v>55506</v>
      </c>
      <c r="M2670" t="s">
        <v>55507</v>
      </c>
      <c r="N2670" t="s">
        <v>55508</v>
      </c>
      <c r="O2670">
        <f>-718.466207494905 -71.4033726872024 -727.076233980408</f>
        <v>-1516.9458141625155</v>
      </c>
      <c r="P2670">
        <f>-679.852950681345 -73.103908269765 -412.922840436184</f>
        <v>-1165.8796993872941</v>
      </c>
      <c r="Q2670">
        <f>-432.242646425916 -4.45902038753707 -372.685325639863</f>
        <v>-809.386992453316</v>
      </c>
      <c r="R2670" t="s">
        <v>55509</v>
      </c>
      <c r="S2670" t="s">
        <v>55510</v>
      </c>
      <c r="T2670" t="s">
        <v>55511</v>
      </c>
      <c r="U2670" t="s">
        <v>55512</v>
      </c>
      <c r="V2670" t="s">
        <v>55513</v>
      </c>
      <c r="W2670" t="s">
        <v>55514</v>
      </c>
      <c r="X2670" t="s">
        <v>55515</v>
      </c>
      <c r="Y2670" t="s">
        <v>55516</v>
      </c>
    </row>
    <row r="2671" spans="1:25" x14ac:dyDescent="0.3">
      <c r="A2671">
        <v>133500</v>
      </c>
      <c r="B2671" t="s">
        <v>55517</v>
      </c>
      <c r="C2671" t="s">
        <v>55518</v>
      </c>
      <c r="D2671" t="s">
        <v>55519</v>
      </c>
      <c r="E2671" t="s">
        <v>55520</v>
      </c>
      <c r="F2671" t="s">
        <v>55521</v>
      </c>
      <c r="G2671" t="s">
        <v>55522</v>
      </c>
      <c r="H2671" t="s">
        <v>55523</v>
      </c>
      <c r="I2671" t="s">
        <v>55524</v>
      </c>
      <c r="J2671" t="s">
        <v>55525</v>
      </c>
      <c r="K2671" t="s">
        <v>55526</v>
      </c>
      <c r="L2671" t="s">
        <v>55527</v>
      </c>
      <c r="M2671" t="s">
        <v>55528</v>
      </c>
      <c r="N2671" t="s">
        <v>55529</v>
      </c>
      <c r="O2671">
        <f>-718.280773472053 -70.6734589792482 -727.142440446203</f>
        <v>-1516.096672897504</v>
      </c>
      <c r="P2671">
        <f>-679.934640604179 -72.8263127848124 -412.959140713121</f>
        <v>-1165.7200941021124</v>
      </c>
      <c r="Q2671">
        <f>-432.330435212283 -4.29620565021173 -372.489765445427</f>
        <v>-809.11640630792181</v>
      </c>
      <c r="R2671" t="s">
        <v>55530</v>
      </c>
      <c r="S2671" t="s">
        <v>55531</v>
      </c>
      <c r="T2671" t="s">
        <v>55532</v>
      </c>
      <c r="U2671" t="s">
        <v>55533</v>
      </c>
      <c r="V2671" t="s">
        <v>55534</v>
      </c>
      <c r="W2671" t="s">
        <v>55535</v>
      </c>
      <c r="X2671" t="s">
        <v>55536</v>
      </c>
      <c r="Y2671" t="s">
        <v>55537</v>
      </c>
    </row>
    <row r="2672" spans="1:25" x14ac:dyDescent="0.3">
      <c r="A2672">
        <v>133550</v>
      </c>
      <c r="B2672" t="s">
        <v>55538</v>
      </c>
      <c r="C2672" t="s">
        <v>55539</v>
      </c>
      <c r="D2672" t="s">
        <v>55540</v>
      </c>
      <c r="E2672" t="s">
        <v>55541</v>
      </c>
      <c r="F2672" t="s">
        <v>55542</v>
      </c>
      <c r="G2672" t="s">
        <v>55543</v>
      </c>
      <c r="H2672" t="s">
        <v>55544</v>
      </c>
      <c r="I2672" t="s">
        <v>55545</v>
      </c>
      <c r="J2672" t="s">
        <v>55546</v>
      </c>
      <c r="K2672" t="s">
        <v>55547</v>
      </c>
      <c r="L2672" t="s">
        <v>55548</v>
      </c>
      <c r="M2672" t="s">
        <v>55549</v>
      </c>
      <c r="N2672" t="s">
        <v>55550</v>
      </c>
      <c r="O2672">
        <f>-717.950779219797 -69.3074404386239 -727.461126766687</f>
        <v>-1514.7193464251079</v>
      </c>
      <c r="P2672">
        <f>-679.857505564578 -72.3979342899374 -413.254898687339</f>
        <v>-1165.5103385418545</v>
      </c>
      <c r="Q2672">
        <f>-432.108491125882 -4.53403854127191 -372.548895478745</f>
        <v>-809.19142514589885</v>
      </c>
      <c r="R2672" t="s">
        <v>55551</v>
      </c>
      <c r="S2672" t="s">
        <v>55552</v>
      </c>
      <c r="T2672" t="s">
        <v>55553</v>
      </c>
      <c r="U2672" t="s">
        <v>55554</v>
      </c>
      <c r="V2672" t="s">
        <v>55555</v>
      </c>
      <c r="W2672" t="s">
        <v>55556</v>
      </c>
      <c r="X2672" t="s">
        <v>55557</v>
      </c>
      <c r="Y2672" t="s">
        <v>55558</v>
      </c>
    </row>
    <row r="2673" spans="1:25" x14ac:dyDescent="0.3">
      <c r="A2673">
        <v>133600</v>
      </c>
      <c r="B2673" t="s">
        <v>55559</v>
      </c>
      <c r="C2673" t="s">
        <v>55560</v>
      </c>
      <c r="D2673" t="s">
        <v>55561</v>
      </c>
      <c r="E2673" t="s">
        <v>55562</v>
      </c>
      <c r="F2673" t="s">
        <v>55563</v>
      </c>
      <c r="G2673" t="s">
        <v>55564</v>
      </c>
      <c r="H2673" t="s">
        <v>55565</v>
      </c>
      <c r="I2673" t="s">
        <v>55566</v>
      </c>
      <c r="J2673" t="s">
        <v>55567</v>
      </c>
      <c r="K2673" t="s">
        <v>55568</v>
      </c>
      <c r="L2673" t="s">
        <v>55569</v>
      </c>
      <c r="M2673" t="s">
        <v>55570</v>
      </c>
      <c r="N2673" t="s">
        <v>55571</v>
      </c>
      <c r="O2673">
        <f>-717.829148630657 -68.6617382700063 -727.633621941746</f>
        <v>-1514.1245088424093</v>
      </c>
      <c r="P2673">
        <f>-679.891378498696 -72.1986900478721 -413.413382602947</f>
        <v>-1165.5034511495151</v>
      </c>
      <c r="Q2673">
        <f>-432.054483507607 -4.72545919695995 -372.592905022161</f>
        <v>-809.37284772672797</v>
      </c>
      <c r="R2673" t="s">
        <v>55572</v>
      </c>
      <c r="S2673" t="s">
        <v>55573</v>
      </c>
      <c r="T2673" t="s">
        <v>55574</v>
      </c>
      <c r="U2673" t="s">
        <v>55575</v>
      </c>
      <c r="V2673" t="s">
        <v>55576</v>
      </c>
      <c r="W2673" t="s">
        <v>55577</v>
      </c>
      <c r="X2673" t="s">
        <v>55578</v>
      </c>
      <c r="Y2673" t="s">
        <v>55579</v>
      </c>
    </row>
    <row r="2674" spans="1:25" x14ac:dyDescent="0.3">
      <c r="A2674">
        <v>133650</v>
      </c>
      <c r="B2674" t="s">
        <v>55580</v>
      </c>
      <c r="C2674" t="s">
        <v>55581</v>
      </c>
      <c r="D2674" t="s">
        <v>55582</v>
      </c>
      <c r="E2674" t="s">
        <v>55583</v>
      </c>
      <c r="F2674" t="s">
        <v>55584</v>
      </c>
      <c r="G2674" t="s">
        <v>55585</v>
      </c>
      <c r="H2674" t="s">
        <v>55586</v>
      </c>
      <c r="I2674" t="s">
        <v>55587</v>
      </c>
      <c r="J2674" t="s">
        <v>55588</v>
      </c>
      <c r="K2674" t="s">
        <v>55589</v>
      </c>
      <c r="L2674" t="s">
        <v>55590</v>
      </c>
      <c r="M2674" t="s">
        <v>55591</v>
      </c>
      <c r="N2674" t="s">
        <v>55592</v>
      </c>
      <c r="O2674">
        <f>-717.052549534814 -68.2613568269212 -728.225479257277</f>
        <v>-1513.5393856190121</v>
      </c>
      <c r="P2674">
        <f>-679.924035653113 -72.648783336143 -413.919301824796</f>
        <v>-1166.492120814052</v>
      </c>
      <c r="Q2674">
        <f>-431.977200410397 -5.86141846519922 -372.640816365205</f>
        <v>-810.47943524080119</v>
      </c>
      <c r="R2674" t="s">
        <v>55593</v>
      </c>
      <c r="S2674" t="s">
        <v>55594</v>
      </c>
      <c r="T2674" t="s">
        <v>55595</v>
      </c>
      <c r="U2674" t="s">
        <v>55596</v>
      </c>
      <c r="V2674" t="s">
        <v>55597</v>
      </c>
      <c r="W2674" t="s">
        <v>55598</v>
      </c>
      <c r="X2674" t="s">
        <v>55599</v>
      </c>
      <c r="Y2674" t="s">
        <v>55600</v>
      </c>
    </row>
    <row r="2675" spans="1:25" x14ac:dyDescent="0.3">
      <c r="A2675">
        <v>133700</v>
      </c>
      <c r="B2675" t="s">
        <v>55601</v>
      </c>
      <c r="C2675" t="s">
        <v>55602</v>
      </c>
      <c r="D2675" t="s">
        <v>55603</v>
      </c>
      <c r="E2675" t="s">
        <v>55604</v>
      </c>
      <c r="F2675" t="s">
        <v>55605</v>
      </c>
      <c r="G2675" t="s">
        <v>55606</v>
      </c>
      <c r="H2675" t="s">
        <v>55607</v>
      </c>
      <c r="I2675" t="s">
        <v>55608</v>
      </c>
      <c r="J2675" t="s">
        <v>55609</v>
      </c>
      <c r="K2675" t="s">
        <v>55610</v>
      </c>
      <c r="L2675" t="s">
        <v>55611</v>
      </c>
      <c r="M2675" t="s">
        <v>55612</v>
      </c>
      <c r="N2675" t="s">
        <v>55613</v>
      </c>
      <c r="O2675">
        <f>-716.455794236555 -68.2809980828936 -728.591624559941</f>
        <v>-1513.3284168793896</v>
      </c>
      <c r="P2675">
        <f>-679.846890340921 -72.8458150122265 -414.227038914397</f>
        <v>-1166.9197442675445</v>
      </c>
      <c r="Q2675">
        <f>-431.854847467726 -6.45462329029942 -372.583326133311</f>
        <v>-810.8927968913365</v>
      </c>
      <c r="R2675" t="s">
        <v>55614</v>
      </c>
      <c r="S2675" t="s">
        <v>55615</v>
      </c>
      <c r="T2675" t="s">
        <v>55616</v>
      </c>
      <c r="U2675" t="s">
        <v>55617</v>
      </c>
      <c r="V2675" t="s">
        <v>55618</v>
      </c>
      <c r="W2675" t="s">
        <v>55619</v>
      </c>
      <c r="X2675" t="s">
        <v>55620</v>
      </c>
      <c r="Y2675" t="s">
        <v>55621</v>
      </c>
    </row>
    <row r="2676" spans="1:25" x14ac:dyDescent="0.3">
      <c r="A2676">
        <v>133750</v>
      </c>
      <c r="B2676" t="s">
        <v>55622</v>
      </c>
      <c r="C2676" t="s">
        <v>55623</v>
      </c>
      <c r="D2676" t="s">
        <v>55624</v>
      </c>
      <c r="E2676" t="s">
        <v>55625</v>
      </c>
      <c r="F2676" t="s">
        <v>55626</v>
      </c>
      <c r="G2676" t="s">
        <v>55627</v>
      </c>
      <c r="H2676" t="s">
        <v>55628</v>
      </c>
      <c r="I2676" t="s">
        <v>55629</v>
      </c>
      <c r="J2676" t="s">
        <v>55630</v>
      </c>
      <c r="K2676" t="s">
        <v>55631</v>
      </c>
      <c r="L2676" t="s">
        <v>55632</v>
      </c>
      <c r="M2676" t="s">
        <v>55633</v>
      </c>
      <c r="N2676" t="s">
        <v>55634</v>
      </c>
      <c r="O2676">
        <f>-715.199426863613 -68.5584773478338 -729.250164643371</f>
        <v>-1513.0080688548178</v>
      </c>
      <c r="P2676">
        <f>-679.825335743833 -73.7480106900684 -414.753872177587</f>
        <v>-1168.3272186114884</v>
      </c>
      <c r="Q2676">
        <f>-431.831578666266 -7.90990193318748 -372.251345880998</f>
        <v>-811.99282648045141</v>
      </c>
      <c r="R2676" t="s">
        <v>55635</v>
      </c>
      <c r="S2676" t="s">
        <v>55636</v>
      </c>
      <c r="T2676" t="s">
        <v>55637</v>
      </c>
      <c r="U2676" t="s">
        <v>55638</v>
      </c>
      <c r="V2676" t="s">
        <v>55639</v>
      </c>
      <c r="W2676" t="s">
        <v>55640</v>
      </c>
      <c r="X2676" t="s">
        <v>55641</v>
      </c>
      <c r="Y2676" t="s">
        <v>55642</v>
      </c>
    </row>
    <row r="2677" spans="1:25" x14ac:dyDescent="0.3">
      <c r="A2677">
        <v>133800</v>
      </c>
      <c r="B2677" t="s">
        <v>55643</v>
      </c>
      <c r="C2677" t="s">
        <v>55644</v>
      </c>
      <c r="D2677" t="s">
        <v>55645</v>
      </c>
      <c r="E2677" t="s">
        <v>55646</v>
      </c>
      <c r="F2677" t="s">
        <v>55647</v>
      </c>
      <c r="G2677" t="s">
        <v>55648</v>
      </c>
      <c r="H2677" t="s">
        <v>55649</v>
      </c>
      <c r="I2677" t="s">
        <v>55650</v>
      </c>
      <c r="J2677" t="s">
        <v>55651</v>
      </c>
      <c r="K2677" t="s">
        <v>55652</v>
      </c>
      <c r="L2677" t="s">
        <v>55653</v>
      </c>
      <c r="M2677" t="s">
        <v>55654</v>
      </c>
      <c r="N2677" t="s">
        <v>55655</v>
      </c>
      <c r="O2677">
        <f>-714.604193045574 -68.9880675114857 -729.669172321361</f>
        <v>-1513.2614328784207</v>
      </c>
      <c r="P2677">
        <f>-679.653452424193 -74.1930694606426 -415.12569785337</f>
        <v>-1168.9722197382057</v>
      </c>
      <c r="Q2677">
        <f>-431.688404848489 -8.59593696425964 -372.086263746005</f>
        <v>-812.3706055587536</v>
      </c>
      <c r="R2677" t="s">
        <v>55656</v>
      </c>
      <c r="S2677" t="s">
        <v>55657</v>
      </c>
      <c r="T2677" t="s">
        <v>55658</v>
      </c>
      <c r="U2677" t="s">
        <v>55659</v>
      </c>
      <c r="V2677" t="s">
        <v>55660</v>
      </c>
      <c r="W2677" t="s">
        <v>55661</v>
      </c>
      <c r="X2677" t="s">
        <v>55662</v>
      </c>
      <c r="Y2677" t="s">
        <v>55663</v>
      </c>
    </row>
    <row r="2678" spans="1:25" x14ac:dyDescent="0.3">
      <c r="A2678">
        <v>133850</v>
      </c>
      <c r="B2678" t="s">
        <v>55664</v>
      </c>
      <c r="C2678" t="s">
        <v>55665</v>
      </c>
      <c r="D2678" t="s">
        <v>55666</v>
      </c>
      <c r="E2678" t="s">
        <v>55667</v>
      </c>
      <c r="F2678" t="s">
        <v>55668</v>
      </c>
      <c r="G2678" t="s">
        <v>55669</v>
      </c>
      <c r="H2678" t="s">
        <v>55670</v>
      </c>
      <c r="I2678" t="s">
        <v>55671</v>
      </c>
      <c r="J2678" t="s">
        <v>55672</v>
      </c>
      <c r="K2678" t="s">
        <v>55673</v>
      </c>
      <c r="L2678" t="s">
        <v>55674</v>
      </c>
      <c r="M2678" t="s">
        <v>55675</v>
      </c>
      <c r="N2678" t="s">
        <v>55676</v>
      </c>
      <c r="O2678">
        <f>-713.273307042694 -69.4693087017934 -730.175303529123</f>
        <v>-1512.9179192736103</v>
      </c>
      <c r="P2678">
        <f>-678.834479217329 -74.6227194712694 -415.574636868944</f>
        <v>-1169.0318355575423</v>
      </c>
      <c r="Q2678">
        <f>-431.008586827424 -9.11423318996708 -371.609007426097</f>
        <v>-811.7318274434881</v>
      </c>
      <c r="R2678" t="s">
        <v>55677</v>
      </c>
      <c r="S2678" t="s">
        <v>55678</v>
      </c>
      <c r="T2678" t="s">
        <v>55679</v>
      </c>
      <c r="U2678" t="s">
        <v>55680</v>
      </c>
      <c r="V2678" t="s">
        <v>55681</v>
      </c>
      <c r="W2678" t="s">
        <v>55682</v>
      </c>
      <c r="X2678" t="s">
        <v>55683</v>
      </c>
      <c r="Y2678" t="s">
        <v>55684</v>
      </c>
    </row>
    <row r="2679" spans="1:25" x14ac:dyDescent="0.3">
      <c r="A2679">
        <v>133900</v>
      </c>
      <c r="B2679" t="s">
        <v>55685</v>
      </c>
      <c r="C2679" t="s">
        <v>55686</v>
      </c>
      <c r="D2679" t="s">
        <v>55687</v>
      </c>
      <c r="E2679" t="s">
        <v>55688</v>
      </c>
      <c r="F2679" t="s">
        <v>55689</v>
      </c>
      <c r="G2679" t="s">
        <v>55690</v>
      </c>
      <c r="H2679" t="s">
        <v>55691</v>
      </c>
      <c r="I2679" t="s">
        <v>55692</v>
      </c>
      <c r="J2679" t="s">
        <v>55693</v>
      </c>
      <c r="K2679" t="s">
        <v>55694</v>
      </c>
      <c r="L2679" t="s">
        <v>55695</v>
      </c>
      <c r="M2679" t="s">
        <v>55696</v>
      </c>
      <c r="N2679" t="s">
        <v>55697</v>
      </c>
      <c r="O2679">
        <f>-712.800430409382 -69.6603518602785 -730.163460080977</f>
        <v>-1512.6242423506374</v>
      </c>
      <c r="P2679">
        <f>-678.363131668656 -74.4952076668653 -415.557565417362</f>
        <v>-1168.4159047528833</v>
      </c>
      <c r="Q2679">
        <f>-430.593992317446 -9.1252267171983 -371.068645729224</f>
        <v>-810.78786476386836</v>
      </c>
      <c r="R2679" t="s">
        <v>55698</v>
      </c>
      <c r="S2679" t="s">
        <v>55699</v>
      </c>
      <c r="T2679" t="s">
        <v>55700</v>
      </c>
      <c r="U2679" t="s">
        <v>55701</v>
      </c>
      <c r="V2679" t="s">
        <v>55702</v>
      </c>
      <c r="W2679" t="s">
        <v>55703</v>
      </c>
      <c r="X2679" t="s">
        <v>55704</v>
      </c>
      <c r="Y2679" t="s">
        <v>55705</v>
      </c>
    </row>
    <row r="2680" spans="1:25" x14ac:dyDescent="0.3">
      <c r="A2680">
        <v>133950</v>
      </c>
      <c r="B2680" t="s">
        <v>55706</v>
      </c>
      <c r="C2680" t="s">
        <v>55707</v>
      </c>
      <c r="D2680" t="s">
        <v>55708</v>
      </c>
      <c r="E2680" t="s">
        <v>55709</v>
      </c>
      <c r="F2680" t="s">
        <v>55710</v>
      </c>
      <c r="G2680" t="s">
        <v>55711</v>
      </c>
      <c r="H2680" t="s">
        <v>55712</v>
      </c>
      <c r="I2680" t="s">
        <v>55713</v>
      </c>
      <c r="J2680" t="s">
        <v>55714</v>
      </c>
      <c r="K2680" t="s">
        <v>55715</v>
      </c>
      <c r="L2680" t="s">
        <v>55716</v>
      </c>
      <c r="M2680" t="s">
        <v>55717</v>
      </c>
      <c r="N2680" t="s">
        <v>55718</v>
      </c>
      <c r="O2680">
        <f>-711.857795789351 -70.2847043842291 -729.652722736115</f>
        <v>-1511.7952229096952</v>
      </c>
      <c r="P2680">
        <f>-677.411233981327 -74.9343909385952 -415.044952173244</f>
        <v>-1167.3905770931663</v>
      </c>
      <c r="Q2680">
        <f>-429.719310323142 -9.32771177457607 -370.474685522177</f>
        <v>-809.5217076198951</v>
      </c>
      <c r="R2680" t="s">
        <v>55719</v>
      </c>
      <c r="S2680" t="s">
        <v>55720</v>
      </c>
      <c r="T2680" t="s">
        <v>55721</v>
      </c>
      <c r="U2680" t="s">
        <v>55722</v>
      </c>
      <c r="V2680" t="s">
        <v>55723</v>
      </c>
      <c r="W2680" t="s">
        <v>55724</v>
      </c>
      <c r="X2680" t="s">
        <v>55725</v>
      </c>
      <c r="Y2680" t="s">
        <v>55726</v>
      </c>
    </row>
    <row r="2681" spans="1:25" x14ac:dyDescent="0.3">
      <c r="A2681">
        <v>134000</v>
      </c>
      <c r="B2681" t="s">
        <v>55727</v>
      </c>
      <c r="C2681" t="s">
        <v>55728</v>
      </c>
      <c r="D2681" t="s">
        <v>55729</v>
      </c>
      <c r="E2681" t="s">
        <v>55730</v>
      </c>
      <c r="F2681" t="s">
        <v>55731</v>
      </c>
      <c r="G2681" t="s">
        <v>55732</v>
      </c>
      <c r="H2681" t="s">
        <v>55733</v>
      </c>
      <c r="I2681" t="s">
        <v>55734</v>
      </c>
      <c r="J2681" t="s">
        <v>55735</v>
      </c>
      <c r="K2681" t="s">
        <v>55736</v>
      </c>
      <c r="L2681" t="s">
        <v>55737</v>
      </c>
      <c r="M2681" t="s">
        <v>55738</v>
      </c>
      <c r="N2681" t="s">
        <v>55739</v>
      </c>
      <c r="O2681">
        <f>-711.600230677868 -70.4521820644113 -729.290601998415</f>
        <v>-1511.3430147406943</v>
      </c>
      <c r="P2681">
        <f>-676.809242257056 -75.3278972241294 -414.724170328491</f>
        <v>-1166.8613098096764</v>
      </c>
      <c r="Q2681">
        <f>-429.090256135147 -9.6444549526318 -370.417702219281</f>
        <v>-809.15241330705976</v>
      </c>
      <c r="R2681" t="s">
        <v>55740</v>
      </c>
      <c r="S2681" t="s">
        <v>55741</v>
      </c>
      <c r="T2681" t="s">
        <v>55742</v>
      </c>
      <c r="U2681" t="s">
        <v>55743</v>
      </c>
      <c r="V2681" t="s">
        <v>55744</v>
      </c>
      <c r="W2681" t="s">
        <v>55745</v>
      </c>
      <c r="X2681" t="s">
        <v>55746</v>
      </c>
      <c r="Y2681" t="s">
        <v>55747</v>
      </c>
    </row>
    <row r="2682" spans="1:25" x14ac:dyDescent="0.3">
      <c r="A2682">
        <v>134050</v>
      </c>
      <c r="B2682" t="s">
        <v>55748</v>
      </c>
      <c r="C2682" t="s">
        <v>55749</v>
      </c>
      <c r="D2682" t="s">
        <v>55750</v>
      </c>
      <c r="E2682" t="s">
        <v>55751</v>
      </c>
      <c r="F2682" t="s">
        <v>55752</v>
      </c>
      <c r="G2682" t="s">
        <v>55753</v>
      </c>
      <c r="H2682" t="s">
        <v>55754</v>
      </c>
      <c r="I2682" t="s">
        <v>55755</v>
      </c>
      <c r="J2682" t="s">
        <v>55756</v>
      </c>
      <c r="K2682" t="s">
        <v>55757</v>
      </c>
      <c r="L2682" t="s">
        <v>55758</v>
      </c>
      <c r="M2682" t="s">
        <v>55759</v>
      </c>
      <c r="N2682" t="s">
        <v>55760</v>
      </c>
      <c r="O2682">
        <f>-711.714893043534 -70.9980568056344 -728.65906471846</f>
        <v>-1511.3720145676284</v>
      </c>
      <c r="P2682">
        <f>-676.02779598657 -75.6185161824035 -414.189312343121</f>
        <v>-1165.8356245120945</v>
      </c>
      <c r="Q2682">
        <f>-428.025348819842 -9.95401061107486 -371.469278997211</f>
        <v>-809.44863842812788</v>
      </c>
      <c r="R2682" t="s">
        <v>55761</v>
      </c>
      <c r="S2682" t="s">
        <v>55762</v>
      </c>
      <c r="T2682" t="s">
        <v>55763</v>
      </c>
      <c r="U2682" t="s">
        <v>55764</v>
      </c>
      <c r="V2682" t="s">
        <v>55765</v>
      </c>
      <c r="W2682" t="s">
        <v>55766</v>
      </c>
      <c r="X2682" t="s">
        <v>55767</v>
      </c>
      <c r="Y2682" t="s">
        <v>55768</v>
      </c>
    </row>
    <row r="2683" spans="1:25" x14ac:dyDescent="0.3">
      <c r="A2683">
        <v>134100</v>
      </c>
      <c r="B2683" t="s">
        <v>55769</v>
      </c>
      <c r="C2683" t="s">
        <v>55770</v>
      </c>
      <c r="D2683" t="s">
        <v>55771</v>
      </c>
      <c r="E2683" t="s">
        <v>55772</v>
      </c>
      <c r="F2683" t="s">
        <v>55773</v>
      </c>
      <c r="G2683" t="s">
        <v>55774</v>
      </c>
      <c r="H2683" t="s">
        <v>55775</v>
      </c>
      <c r="I2683" t="s">
        <v>55776</v>
      </c>
      <c r="J2683" t="s">
        <v>55777</v>
      </c>
      <c r="K2683" t="s">
        <v>55778</v>
      </c>
      <c r="L2683" t="s">
        <v>55779</v>
      </c>
      <c r="M2683" t="s">
        <v>55780</v>
      </c>
      <c r="N2683" t="s">
        <v>55781</v>
      </c>
      <c r="O2683">
        <f>-711.738716024242 -71.2303446355936 -728.406610953134</f>
        <v>-1511.3756716129697</v>
      </c>
      <c r="P2683">
        <f>-675.46541597143 -75.9795913021101 -414.005758430658</f>
        <v>-1165.4507657041981</v>
      </c>
      <c r="Q2683">
        <f>-427.153273417904 -11.1211778558697 -371.857350808182</f>
        <v>-810.1318020819557</v>
      </c>
      <c r="R2683" t="s">
        <v>55782</v>
      </c>
      <c r="S2683" t="s">
        <v>55783</v>
      </c>
      <c r="T2683" t="s">
        <v>55784</v>
      </c>
      <c r="U2683" t="s">
        <v>55785</v>
      </c>
      <c r="V2683" t="s">
        <v>55786</v>
      </c>
      <c r="W2683" t="s">
        <v>55787</v>
      </c>
      <c r="X2683" t="s">
        <v>55788</v>
      </c>
      <c r="Y2683" t="s">
        <v>55789</v>
      </c>
    </row>
    <row r="2684" spans="1:25" x14ac:dyDescent="0.3">
      <c r="A2684">
        <v>134150</v>
      </c>
      <c r="B2684" t="s">
        <v>55790</v>
      </c>
      <c r="C2684" t="s">
        <v>55791</v>
      </c>
      <c r="D2684" t="s">
        <v>55792</v>
      </c>
      <c r="E2684" t="s">
        <v>55793</v>
      </c>
      <c r="F2684" t="s">
        <v>55794</v>
      </c>
      <c r="G2684" t="s">
        <v>55795</v>
      </c>
      <c r="H2684" t="s">
        <v>55796</v>
      </c>
      <c r="I2684" t="s">
        <v>55797</v>
      </c>
      <c r="J2684" t="s">
        <v>55798</v>
      </c>
      <c r="K2684" t="s">
        <v>55799</v>
      </c>
      <c r="L2684" t="s">
        <v>55800</v>
      </c>
      <c r="M2684" t="s">
        <v>55801</v>
      </c>
      <c r="N2684" t="s">
        <v>55802</v>
      </c>
      <c r="O2684">
        <f>-712.045000833148 -71.7611073256346 -728.101201762034</f>
        <v>-1511.9073099208167</v>
      </c>
      <c r="P2684">
        <f>-675.802694156187 -77.2523218610895 -413.708766123544</f>
        <v>-1166.7637821408207</v>
      </c>
      <c r="Q2684">
        <f>-426.629581076153 -14.3488799605348 -373.734281224825</f>
        <v>-814.71274226151286</v>
      </c>
      <c r="R2684" t="s">
        <v>55803</v>
      </c>
      <c r="S2684" t="s">
        <v>55804</v>
      </c>
      <c r="T2684" t="s">
        <v>55805</v>
      </c>
      <c r="U2684" t="s">
        <v>55806</v>
      </c>
      <c r="V2684" t="s">
        <v>55807</v>
      </c>
      <c r="W2684" t="s">
        <v>55808</v>
      </c>
      <c r="X2684" t="s">
        <v>55809</v>
      </c>
      <c r="Y2684" t="s">
        <v>55810</v>
      </c>
    </row>
    <row r="2685" spans="1:25" x14ac:dyDescent="0.3">
      <c r="A2685">
        <v>134200</v>
      </c>
      <c r="B2685" t="s">
        <v>55811</v>
      </c>
      <c r="C2685" t="s">
        <v>55812</v>
      </c>
      <c r="D2685" t="s">
        <v>55813</v>
      </c>
      <c r="E2685" t="s">
        <v>55814</v>
      </c>
      <c r="F2685" t="s">
        <v>55815</v>
      </c>
      <c r="G2685" t="s">
        <v>55816</v>
      </c>
      <c r="H2685" t="s">
        <v>55817</v>
      </c>
      <c r="I2685" t="s">
        <v>55818</v>
      </c>
      <c r="J2685" t="s">
        <v>55819</v>
      </c>
      <c r="K2685" t="s">
        <v>55820</v>
      </c>
      <c r="L2685" t="s">
        <v>55821</v>
      </c>
      <c r="M2685" t="s">
        <v>55822</v>
      </c>
      <c r="N2685" t="s">
        <v>55823</v>
      </c>
      <c r="O2685">
        <f>-712.213117050231 -71.711816204541 -728.171794263627</f>
        <v>-1512.0967275183989</v>
      </c>
      <c r="P2685">
        <f>-676.071121185464 -78.1039361998994 -413.785016622461</f>
        <v>-1167.9600740078245</v>
      </c>
      <c r="Q2685">
        <f>-426.857335135089 -14.5041998983943 -375.189193863054</f>
        <v>-816.55072889653729</v>
      </c>
      <c r="R2685" t="s">
        <v>55824</v>
      </c>
      <c r="S2685" t="s">
        <v>55825</v>
      </c>
      <c r="T2685" t="s">
        <v>55826</v>
      </c>
      <c r="U2685" t="s">
        <v>55827</v>
      </c>
      <c r="V2685" t="s">
        <v>55828</v>
      </c>
      <c r="W2685" t="s">
        <v>55829</v>
      </c>
      <c r="X2685" t="s">
        <v>55830</v>
      </c>
      <c r="Y2685" t="s">
        <v>55831</v>
      </c>
    </row>
    <row r="2686" spans="1:25" x14ac:dyDescent="0.3">
      <c r="A2686">
        <v>134250</v>
      </c>
      <c r="B2686" t="s">
        <v>55832</v>
      </c>
      <c r="C2686" t="s">
        <v>55833</v>
      </c>
      <c r="D2686" t="s">
        <v>55834</v>
      </c>
      <c r="E2686" t="s">
        <v>55835</v>
      </c>
      <c r="F2686" t="s">
        <v>55836</v>
      </c>
      <c r="G2686" t="s">
        <v>55837</v>
      </c>
      <c r="H2686" t="s">
        <v>55838</v>
      </c>
      <c r="I2686" t="s">
        <v>55839</v>
      </c>
      <c r="J2686" t="s">
        <v>55840</v>
      </c>
      <c r="K2686" t="s">
        <v>55841</v>
      </c>
      <c r="L2686" t="s">
        <v>55842</v>
      </c>
      <c r="M2686" t="s">
        <v>55843</v>
      </c>
      <c r="N2686" t="s">
        <v>55844</v>
      </c>
      <c r="O2686">
        <f>-712.781727648556 -71.6277304010757 -728.101196059253</f>
        <v>-1512.5106541088846</v>
      </c>
      <c r="P2686">
        <f>-676.433807563735 -77.0092163643246 -413.719161509777</f>
        <v>-1167.1621854378366</v>
      </c>
      <c r="Q2686">
        <f>-426.632224225524 -14.7131940852362 -376.834927831285</f>
        <v>-818.18034614204521</v>
      </c>
      <c r="R2686" t="s">
        <v>55845</v>
      </c>
      <c r="S2686" t="s">
        <v>55846</v>
      </c>
      <c r="T2686" t="s">
        <v>55847</v>
      </c>
      <c r="U2686" t="s">
        <v>55848</v>
      </c>
      <c r="V2686" t="s">
        <v>55849</v>
      </c>
      <c r="W2686" t="s">
        <v>55850</v>
      </c>
      <c r="X2686" t="s">
        <v>55851</v>
      </c>
      <c r="Y2686" t="s">
        <v>55852</v>
      </c>
    </row>
    <row r="2687" spans="1:25" x14ac:dyDescent="0.3">
      <c r="A2687">
        <v>134300</v>
      </c>
      <c r="B2687" t="s">
        <v>55853</v>
      </c>
      <c r="C2687" t="s">
        <v>55854</v>
      </c>
      <c r="D2687" t="s">
        <v>55855</v>
      </c>
      <c r="E2687" t="s">
        <v>55856</v>
      </c>
      <c r="F2687" t="s">
        <v>55857</v>
      </c>
      <c r="G2687" t="s">
        <v>55858</v>
      </c>
      <c r="H2687" t="s">
        <v>55859</v>
      </c>
      <c r="I2687" t="s">
        <v>55860</v>
      </c>
      <c r="J2687" t="s">
        <v>55861</v>
      </c>
      <c r="K2687" t="s">
        <v>55862</v>
      </c>
      <c r="L2687" t="s">
        <v>55863</v>
      </c>
      <c r="M2687" t="s">
        <v>55864</v>
      </c>
      <c r="N2687" t="s">
        <v>55865</v>
      </c>
      <c r="O2687">
        <f>-712.898962619463 -71.8593449461077 -727.958756618162</f>
        <v>-1512.7170641837329</v>
      </c>
      <c r="P2687">
        <f>-676.717534358808 -77.0167261790473 -413.553771808148</f>
        <v>-1167.2880323460033</v>
      </c>
      <c r="Q2687">
        <f>-426.577354987094 -15.7368868775411 -377.267468040698</f>
        <v>-819.58170990533313</v>
      </c>
      <c r="R2687" t="s">
        <v>55866</v>
      </c>
      <c r="S2687" t="s">
        <v>55867</v>
      </c>
      <c r="T2687" t="s">
        <v>55868</v>
      </c>
      <c r="U2687" t="s">
        <v>55869</v>
      </c>
      <c r="V2687" t="s">
        <v>55870</v>
      </c>
      <c r="W2687" t="s">
        <v>55871</v>
      </c>
      <c r="X2687" t="s">
        <v>55872</v>
      </c>
      <c r="Y2687" t="s">
        <v>55873</v>
      </c>
    </row>
    <row r="2688" spans="1:25" x14ac:dyDescent="0.3">
      <c r="A2688">
        <v>134350</v>
      </c>
      <c r="B2688" t="s">
        <v>55874</v>
      </c>
      <c r="C2688" t="s">
        <v>55875</v>
      </c>
      <c r="D2688" t="s">
        <v>55876</v>
      </c>
      <c r="E2688" t="s">
        <v>55877</v>
      </c>
      <c r="F2688" t="s">
        <v>55878</v>
      </c>
      <c r="G2688" t="s">
        <v>55879</v>
      </c>
      <c r="H2688" t="s">
        <v>55880</v>
      </c>
      <c r="I2688" t="s">
        <v>55881</v>
      </c>
      <c r="J2688" t="s">
        <v>55882</v>
      </c>
      <c r="K2688" t="s">
        <v>55883</v>
      </c>
      <c r="L2688" t="s">
        <v>55884</v>
      </c>
      <c r="M2688" t="s">
        <v>55885</v>
      </c>
      <c r="N2688" t="s">
        <v>55886</v>
      </c>
      <c r="O2688">
        <f>-713.777857643318 -72.0543939305055 -727.792306069179</f>
        <v>-1513.6245576430024</v>
      </c>
      <c r="P2688">
        <f>-677.597144857294 -77.3982628658457 -413.390441095488</f>
        <v>-1168.3858488186277</v>
      </c>
      <c r="Q2688">
        <f>-427.154012425555 -17.8530688286173 -376.313998287569</f>
        <v>-821.32107954174126</v>
      </c>
      <c r="R2688" t="s">
        <v>55887</v>
      </c>
      <c r="S2688" t="s">
        <v>55888</v>
      </c>
      <c r="T2688" t="s">
        <v>55889</v>
      </c>
      <c r="U2688" t="s">
        <v>55890</v>
      </c>
      <c r="V2688" t="s">
        <v>55891</v>
      </c>
      <c r="W2688" t="s">
        <v>55892</v>
      </c>
      <c r="X2688" t="s">
        <v>55893</v>
      </c>
      <c r="Y2688" t="s">
        <v>55894</v>
      </c>
    </row>
    <row r="2689" spans="1:25" x14ac:dyDescent="0.3">
      <c r="A2689">
        <v>134400</v>
      </c>
      <c r="B2689" t="s">
        <v>55895</v>
      </c>
      <c r="C2689" t="s">
        <v>55896</v>
      </c>
      <c r="D2689" t="s">
        <v>55897</v>
      </c>
      <c r="E2689" t="s">
        <v>55898</v>
      </c>
      <c r="F2689" t="s">
        <v>55899</v>
      </c>
      <c r="G2689" t="s">
        <v>55900</v>
      </c>
      <c r="H2689" t="s">
        <v>55901</v>
      </c>
      <c r="I2689" t="s">
        <v>55902</v>
      </c>
      <c r="J2689" t="s">
        <v>55903</v>
      </c>
      <c r="K2689" t="s">
        <v>55904</v>
      </c>
      <c r="L2689" t="s">
        <v>55905</v>
      </c>
      <c r="M2689" t="s">
        <v>55906</v>
      </c>
      <c r="N2689" t="s">
        <v>55907</v>
      </c>
      <c r="O2689">
        <f>-714.343474499979 -72.2194448124956 -727.715974859756</f>
        <v>-1514.2788941722306</v>
      </c>
      <c r="P2689">
        <f>-678.143368679084 -77.4862648678541 -413.314957923687</f>
        <v>-1168.944591470625</v>
      </c>
      <c r="Q2689">
        <f>-427.809674819729 -18.6850727808392 -374.359619078262</f>
        <v>-820.85436667883027</v>
      </c>
      <c r="R2689" t="s">
        <v>55908</v>
      </c>
      <c r="S2689" t="s">
        <v>55909</v>
      </c>
      <c r="T2689" t="s">
        <v>55910</v>
      </c>
      <c r="U2689" t="s">
        <v>55911</v>
      </c>
      <c r="V2689" t="s">
        <v>55912</v>
      </c>
      <c r="W2689" t="s">
        <v>55913</v>
      </c>
      <c r="X2689" t="s">
        <v>55914</v>
      </c>
      <c r="Y2689" t="s">
        <v>55915</v>
      </c>
    </row>
    <row r="2690" spans="1:25" x14ac:dyDescent="0.3">
      <c r="A2690">
        <v>134450</v>
      </c>
      <c r="B2690" t="s">
        <v>55916</v>
      </c>
      <c r="C2690" t="s">
        <v>55917</v>
      </c>
      <c r="D2690" t="s">
        <v>55918</v>
      </c>
      <c r="E2690" t="s">
        <v>55919</v>
      </c>
      <c r="F2690" t="s">
        <v>55920</v>
      </c>
      <c r="G2690" t="s">
        <v>55921</v>
      </c>
      <c r="H2690" t="s">
        <v>55922</v>
      </c>
      <c r="I2690" t="s">
        <v>55923</v>
      </c>
      <c r="J2690" t="s">
        <v>55924</v>
      </c>
      <c r="K2690" t="s">
        <v>55925</v>
      </c>
      <c r="L2690" t="s">
        <v>55926</v>
      </c>
      <c r="M2690" t="s">
        <v>55927</v>
      </c>
      <c r="N2690" t="s">
        <v>55928</v>
      </c>
      <c r="O2690">
        <f>-715.19254628845 -72.6314490072771 -727.434085198585</f>
        <v>-1515.258080494312</v>
      </c>
      <c r="P2690">
        <f>-679.099378350859 -76.8742619658781 -413.005335215407</f>
        <v>-1168.978975532144</v>
      </c>
      <c r="Q2690">
        <f>-428.868823452708 -19.2725276369029 -371.667933886075</f>
        <v>-819.80928497568584</v>
      </c>
      <c r="R2690" t="s">
        <v>55929</v>
      </c>
      <c r="S2690" t="s">
        <v>55930</v>
      </c>
      <c r="T2690" t="s">
        <v>55931</v>
      </c>
      <c r="U2690" t="s">
        <v>55932</v>
      </c>
      <c r="V2690" t="s">
        <v>55933</v>
      </c>
      <c r="W2690" t="s">
        <v>55934</v>
      </c>
      <c r="X2690" t="s">
        <v>55935</v>
      </c>
      <c r="Y2690" t="s">
        <v>55936</v>
      </c>
    </row>
    <row r="2691" spans="1:25" x14ac:dyDescent="0.3">
      <c r="A2691">
        <v>134500</v>
      </c>
      <c r="B2691" t="s">
        <v>55937</v>
      </c>
      <c r="C2691" t="s">
        <v>55938</v>
      </c>
      <c r="D2691" t="s">
        <v>55939</v>
      </c>
      <c r="E2691" t="s">
        <v>55940</v>
      </c>
      <c r="F2691" t="s">
        <v>55941</v>
      </c>
      <c r="G2691" t="s">
        <v>55942</v>
      </c>
      <c r="H2691" t="s">
        <v>55943</v>
      </c>
      <c r="I2691" t="s">
        <v>55944</v>
      </c>
      <c r="J2691" t="s">
        <v>55945</v>
      </c>
      <c r="K2691" t="s">
        <v>55946</v>
      </c>
      <c r="L2691" t="s">
        <v>55947</v>
      </c>
      <c r="M2691" t="s">
        <v>55948</v>
      </c>
      <c r="N2691" t="s">
        <v>55949</v>
      </c>
      <c r="O2691">
        <f>-715.760614536051 -72.8216751131358 -727.256743017243</f>
        <v>-1515.8390326664298</v>
      </c>
      <c r="P2691">
        <f>-679.695868374819 -76.6677302931969 -412.819702458334</f>
        <v>-1169.18330112635</v>
      </c>
      <c r="Q2691">
        <f>-429.464940300074 -19.0532227959268 -371.502541518841</f>
        <v>-820.02070461484175</v>
      </c>
      <c r="R2691" t="s">
        <v>55950</v>
      </c>
      <c r="S2691" t="s">
        <v>55951</v>
      </c>
      <c r="T2691" t="s">
        <v>55952</v>
      </c>
      <c r="U2691" t="s">
        <v>55953</v>
      </c>
      <c r="V2691" t="s">
        <v>55954</v>
      </c>
      <c r="W2691" t="s">
        <v>55955</v>
      </c>
      <c r="X2691" t="s">
        <v>55956</v>
      </c>
      <c r="Y2691" t="s">
        <v>55957</v>
      </c>
    </row>
    <row r="2692" spans="1:25" x14ac:dyDescent="0.3">
      <c r="A2692">
        <v>134550</v>
      </c>
      <c r="B2692" t="s">
        <v>55958</v>
      </c>
      <c r="C2692" t="s">
        <v>55959</v>
      </c>
      <c r="D2692" t="s">
        <v>55960</v>
      </c>
      <c r="E2692" t="s">
        <v>55961</v>
      </c>
      <c r="F2692" t="s">
        <v>55962</v>
      </c>
      <c r="G2692" t="s">
        <v>55963</v>
      </c>
      <c r="H2692" t="s">
        <v>55964</v>
      </c>
      <c r="I2692" t="s">
        <v>55965</v>
      </c>
      <c r="J2692" t="s">
        <v>55966</v>
      </c>
      <c r="K2692" t="s">
        <v>55967</v>
      </c>
      <c r="L2692" t="s">
        <v>55968</v>
      </c>
      <c r="M2692" t="s">
        <v>55969</v>
      </c>
      <c r="N2692" t="s">
        <v>55970</v>
      </c>
      <c r="O2692">
        <f>-717.425094002266 -73.2770874532384 -726.836193527195</f>
        <v>-1517.5383749826992</v>
      </c>
      <c r="P2692">
        <f>-680.534390079571 -77.3438411151139 -412.497523293312</f>
        <v>-1170.375754487997</v>
      </c>
      <c r="Q2692">
        <f>-430.663251999047 -17.9291542738954 -371.553843993886</f>
        <v>-820.14625026682847</v>
      </c>
      <c r="R2692" t="s">
        <v>55971</v>
      </c>
      <c r="S2692" t="s">
        <v>55972</v>
      </c>
      <c r="T2692" t="s">
        <v>55973</v>
      </c>
      <c r="U2692" t="s">
        <v>55974</v>
      </c>
      <c r="V2692" t="s">
        <v>55975</v>
      </c>
      <c r="W2692" t="s">
        <v>55976</v>
      </c>
      <c r="X2692" t="s">
        <v>55977</v>
      </c>
      <c r="Y2692" t="s">
        <v>55978</v>
      </c>
    </row>
    <row r="2693" spans="1:25" x14ac:dyDescent="0.3">
      <c r="A2693">
        <v>134600</v>
      </c>
      <c r="B2693" t="s">
        <v>55979</v>
      </c>
      <c r="C2693" t="s">
        <v>55980</v>
      </c>
      <c r="D2693" t="s">
        <v>55981</v>
      </c>
      <c r="E2693" t="s">
        <v>55982</v>
      </c>
      <c r="F2693" t="s">
        <v>55983</v>
      </c>
      <c r="G2693" t="s">
        <v>55984</v>
      </c>
      <c r="H2693" t="s">
        <v>55985</v>
      </c>
      <c r="I2693" t="s">
        <v>55986</v>
      </c>
      <c r="J2693" t="s">
        <v>55987</v>
      </c>
      <c r="K2693" t="s">
        <v>55988</v>
      </c>
      <c r="L2693" t="s">
        <v>55989</v>
      </c>
      <c r="M2693" t="s">
        <v>55990</v>
      </c>
      <c r="N2693" t="s">
        <v>55991</v>
      </c>
      <c r="O2693">
        <f>-718.296648341704 -73.5035875300059 -726.646017269171</f>
        <v>-1518.4462531408808</v>
      </c>
      <c r="P2693">
        <f>-681.192476820386 -77.3386655495021 -412.329625422749</f>
        <v>-1170.860767792637</v>
      </c>
      <c r="Q2693">
        <f>-431.775419844335 -16.2606837194248 -371.066377598272</f>
        <v>-819.10248116203184</v>
      </c>
      <c r="R2693" t="s">
        <v>55992</v>
      </c>
      <c r="S2693" t="s">
        <v>55993</v>
      </c>
      <c r="T2693" t="s">
        <v>55994</v>
      </c>
      <c r="U2693" t="s">
        <v>55995</v>
      </c>
      <c r="V2693" t="s">
        <v>55996</v>
      </c>
      <c r="W2693" t="s">
        <v>55997</v>
      </c>
      <c r="X2693" t="s">
        <v>55998</v>
      </c>
      <c r="Y2693" t="s">
        <v>55999</v>
      </c>
    </row>
    <row r="2694" spans="1:25" x14ac:dyDescent="0.3">
      <c r="A2694">
        <v>134650</v>
      </c>
      <c r="B2694" t="s">
        <v>56000</v>
      </c>
      <c r="C2694" t="s">
        <v>56001</v>
      </c>
      <c r="D2694" t="s">
        <v>56002</v>
      </c>
      <c r="E2694" t="s">
        <v>56003</v>
      </c>
      <c r="F2694" t="s">
        <v>56004</v>
      </c>
      <c r="G2694" t="s">
        <v>56005</v>
      </c>
      <c r="H2694" t="s">
        <v>56006</v>
      </c>
      <c r="I2694" t="s">
        <v>56007</v>
      </c>
      <c r="J2694" t="s">
        <v>56008</v>
      </c>
      <c r="K2694" t="s">
        <v>56009</v>
      </c>
      <c r="L2694" t="s">
        <v>56010</v>
      </c>
      <c r="M2694" t="s">
        <v>56011</v>
      </c>
      <c r="N2694" t="s">
        <v>56012</v>
      </c>
      <c r="O2694">
        <f>-719.100346784302 -73.7079907415996 -726.447144287501</f>
        <v>-1519.2554818134026</v>
      </c>
      <c r="P2694">
        <f>-681.539306290715 -77.130477040082 -412.180369813196</f>
        <v>-1170.8501531439931</v>
      </c>
      <c r="Q2694">
        <f>-432.883678188076 -13.9102620349779 -369.569984912596</f>
        <v>-816.36392513564988</v>
      </c>
      <c r="R2694" t="s">
        <v>56013</v>
      </c>
      <c r="S2694" t="s">
        <v>56014</v>
      </c>
      <c r="T2694" t="s">
        <v>56015</v>
      </c>
      <c r="U2694" t="s">
        <v>56016</v>
      </c>
      <c r="V2694" t="s">
        <v>56017</v>
      </c>
      <c r="W2694" t="s">
        <v>56018</v>
      </c>
      <c r="X2694" t="s">
        <v>56019</v>
      </c>
      <c r="Y2694" t="s">
        <v>56020</v>
      </c>
    </row>
    <row r="2695" spans="1:25" x14ac:dyDescent="0.3">
      <c r="A2695">
        <v>134700</v>
      </c>
      <c r="B2695" t="s">
        <v>56021</v>
      </c>
      <c r="C2695" t="s">
        <v>56022</v>
      </c>
      <c r="D2695" t="s">
        <v>56023</v>
      </c>
      <c r="E2695" t="s">
        <v>56024</v>
      </c>
      <c r="F2695" t="s">
        <v>56025</v>
      </c>
      <c r="G2695" t="s">
        <v>56026</v>
      </c>
      <c r="H2695" t="s">
        <v>56027</v>
      </c>
      <c r="I2695" t="s">
        <v>56028</v>
      </c>
      <c r="J2695" t="s">
        <v>56029</v>
      </c>
      <c r="K2695" t="s">
        <v>56030</v>
      </c>
      <c r="L2695" t="s">
        <v>56031</v>
      </c>
      <c r="M2695" t="s">
        <v>56032</v>
      </c>
      <c r="N2695" t="s">
        <v>56033</v>
      </c>
      <c r="O2695">
        <f>-719.340485112706 -73.7238473934933 -726.506421068767</f>
        <v>-1519.5707535749664</v>
      </c>
      <c r="P2695">
        <f>-681.68715945205 -76.8580007860178 -412.247588667256</f>
        <v>-1170.7927489053238</v>
      </c>
      <c r="Q2695">
        <f>-433.422389694221 -12.4889440296433 -369.081128137855</f>
        <v>-814.99246186171922</v>
      </c>
      <c r="R2695" t="s">
        <v>56034</v>
      </c>
      <c r="S2695" t="s">
        <v>56035</v>
      </c>
      <c r="T2695" t="s">
        <v>56036</v>
      </c>
      <c r="U2695" t="s">
        <v>56037</v>
      </c>
      <c r="V2695" t="s">
        <v>56038</v>
      </c>
      <c r="W2695" t="s">
        <v>56039</v>
      </c>
      <c r="X2695" t="s">
        <v>56040</v>
      </c>
      <c r="Y2695" t="s">
        <v>56041</v>
      </c>
    </row>
    <row r="2696" spans="1:25" x14ac:dyDescent="0.3">
      <c r="A2696">
        <v>134750</v>
      </c>
      <c r="B2696" t="s">
        <v>56042</v>
      </c>
      <c r="C2696" t="s">
        <v>56043</v>
      </c>
      <c r="D2696" t="s">
        <v>56044</v>
      </c>
      <c r="E2696" t="s">
        <v>56045</v>
      </c>
      <c r="F2696" t="s">
        <v>56046</v>
      </c>
      <c r="G2696" t="s">
        <v>56047</v>
      </c>
      <c r="H2696" t="s">
        <v>56048</v>
      </c>
      <c r="I2696" t="s">
        <v>56049</v>
      </c>
      <c r="J2696" t="s">
        <v>56050</v>
      </c>
      <c r="K2696" t="s">
        <v>56051</v>
      </c>
      <c r="L2696" t="s">
        <v>56052</v>
      </c>
      <c r="M2696" t="s">
        <v>56053</v>
      </c>
      <c r="N2696" t="s">
        <v>56054</v>
      </c>
      <c r="O2696">
        <f>-720.055022658352 -73.6124880617365 -726.749427178867</f>
        <v>-1520.4169378989554</v>
      </c>
      <c r="P2696">
        <f>-682.755591039 -76.7992661872172 -412.448842489996</f>
        <v>-1172.0036997162133</v>
      </c>
      <c r="Q2696">
        <f>-435.000694371504 -11.0374405412638 -368.460770085416</f>
        <v>-814.49890499818378</v>
      </c>
      <c r="R2696" t="s">
        <v>56055</v>
      </c>
      <c r="S2696" t="s">
        <v>56056</v>
      </c>
      <c r="T2696" t="s">
        <v>56057</v>
      </c>
      <c r="U2696" t="s">
        <v>56058</v>
      </c>
      <c r="V2696" t="s">
        <v>56059</v>
      </c>
      <c r="W2696" t="s">
        <v>56060</v>
      </c>
      <c r="X2696" t="s">
        <v>56061</v>
      </c>
      <c r="Y2696" t="s">
        <v>56062</v>
      </c>
    </row>
    <row r="2697" spans="1:25" x14ac:dyDescent="0.3">
      <c r="A2697">
        <v>134800</v>
      </c>
      <c r="B2697" t="s">
        <v>56063</v>
      </c>
      <c r="C2697" t="s">
        <v>56064</v>
      </c>
      <c r="D2697" t="s">
        <v>56065</v>
      </c>
      <c r="E2697" t="s">
        <v>56066</v>
      </c>
      <c r="F2697" t="s">
        <v>56067</v>
      </c>
      <c r="G2697" t="s">
        <v>56068</v>
      </c>
      <c r="H2697" t="s">
        <v>56069</v>
      </c>
      <c r="I2697" t="s">
        <v>56070</v>
      </c>
      <c r="J2697" t="s">
        <v>56071</v>
      </c>
      <c r="K2697" t="s">
        <v>56072</v>
      </c>
      <c r="L2697" t="s">
        <v>56073</v>
      </c>
      <c r="M2697" t="s">
        <v>56074</v>
      </c>
      <c r="N2697" t="s">
        <v>56075</v>
      </c>
      <c r="O2697">
        <f>-720.511506848108 -73.4844049232402 -726.842656527761</f>
        <v>-1520.8385682991093</v>
      </c>
      <c r="P2697">
        <f>-683.073940066434 -76.5162734712167 -412.55703372865</f>
        <v>-1172.1472472663008</v>
      </c>
      <c r="Q2697">
        <f>-435.37394538952 -10.9888741138113 -367.914248631816</f>
        <v>-814.27706813514726</v>
      </c>
      <c r="R2697" t="s">
        <v>56076</v>
      </c>
      <c r="S2697" t="s">
        <v>56077</v>
      </c>
      <c r="T2697" t="s">
        <v>56078</v>
      </c>
      <c r="U2697" t="s">
        <v>56079</v>
      </c>
      <c r="V2697" t="s">
        <v>56080</v>
      </c>
      <c r="W2697" t="s">
        <v>56081</v>
      </c>
      <c r="X2697" t="s">
        <v>56082</v>
      </c>
      <c r="Y2697" t="s">
        <v>56083</v>
      </c>
    </row>
    <row r="2698" spans="1:25" x14ac:dyDescent="0.3">
      <c r="A2698">
        <v>134850</v>
      </c>
      <c r="B2698" t="s">
        <v>56084</v>
      </c>
      <c r="C2698" t="s">
        <v>56085</v>
      </c>
      <c r="D2698" t="s">
        <v>56086</v>
      </c>
      <c r="E2698" t="s">
        <v>56087</v>
      </c>
      <c r="F2698" t="s">
        <v>56088</v>
      </c>
      <c r="G2698" t="s">
        <v>56089</v>
      </c>
      <c r="H2698" t="s">
        <v>56090</v>
      </c>
      <c r="I2698" t="s">
        <v>56091</v>
      </c>
      <c r="J2698" t="s">
        <v>56092</v>
      </c>
      <c r="K2698" t="s">
        <v>56093</v>
      </c>
      <c r="L2698" t="s">
        <v>56094</v>
      </c>
      <c r="M2698" t="s">
        <v>56095</v>
      </c>
      <c r="N2698" t="s">
        <v>56096</v>
      </c>
      <c r="O2698">
        <f>-721.176880755841 -73.2908787674389 -726.883388976703</f>
        <v>-1521.3511484999831</v>
      </c>
      <c r="P2698">
        <f>-683.963757266116 -76.4210427364494 -412.572129138553</f>
        <v>-1172.9569291411185</v>
      </c>
      <c r="Q2698">
        <f>-436.103543693021 -11.5431268119657 -367.871069968168</f>
        <v>-815.51774047315462</v>
      </c>
      <c r="R2698" t="s">
        <v>56097</v>
      </c>
      <c r="S2698" t="s">
        <v>56098</v>
      </c>
      <c r="T2698" t="s">
        <v>56099</v>
      </c>
      <c r="U2698" t="s">
        <v>56100</v>
      </c>
      <c r="V2698" t="s">
        <v>56101</v>
      </c>
      <c r="W2698" t="s">
        <v>56102</v>
      </c>
      <c r="X2698" t="s">
        <v>56103</v>
      </c>
      <c r="Y2698" t="s">
        <v>56104</v>
      </c>
    </row>
    <row r="2699" spans="1:25" x14ac:dyDescent="0.3">
      <c r="A2699">
        <v>134900</v>
      </c>
      <c r="B2699" t="s">
        <v>56105</v>
      </c>
      <c r="C2699" t="s">
        <v>56106</v>
      </c>
      <c r="D2699" t="s">
        <v>56107</v>
      </c>
      <c r="E2699" t="s">
        <v>56108</v>
      </c>
      <c r="F2699" t="s">
        <v>56109</v>
      </c>
      <c r="G2699" t="s">
        <v>56110</v>
      </c>
      <c r="H2699" t="s">
        <v>56111</v>
      </c>
      <c r="I2699" t="s">
        <v>56112</v>
      </c>
      <c r="J2699" t="s">
        <v>56113</v>
      </c>
      <c r="K2699" t="s">
        <v>56114</v>
      </c>
      <c r="L2699" t="s">
        <v>56115</v>
      </c>
      <c r="M2699" t="s">
        <v>56116</v>
      </c>
      <c r="N2699" t="s">
        <v>56117</v>
      </c>
      <c r="O2699">
        <f>-721.424900751325 -72.9371385965576 -726.978292881776</f>
        <v>-1521.3403322296585</v>
      </c>
      <c r="P2699">
        <f>-684.428951270942 -75.9426534631527 -412.640128252943</f>
        <v>-1173.0117329870377</v>
      </c>
      <c r="Q2699">
        <f>-436.549422455327 -11.335633905104 -367.65419124121</f>
        <v>-815.53924760164091</v>
      </c>
      <c r="R2699" t="s">
        <v>56118</v>
      </c>
      <c r="S2699" t="s">
        <v>56119</v>
      </c>
      <c r="T2699" t="s">
        <v>56120</v>
      </c>
      <c r="U2699" t="s">
        <v>56121</v>
      </c>
      <c r="V2699" t="s">
        <v>56122</v>
      </c>
      <c r="W2699" t="s">
        <v>56123</v>
      </c>
      <c r="X2699" t="s">
        <v>56124</v>
      </c>
      <c r="Y2699" t="s">
        <v>56125</v>
      </c>
    </row>
    <row r="2700" spans="1:25" x14ac:dyDescent="0.3">
      <c r="A2700">
        <v>134950</v>
      </c>
      <c r="B2700" t="s">
        <v>56126</v>
      </c>
      <c r="C2700" t="s">
        <v>56127</v>
      </c>
      <c r="D2700" t="s">
        <v>56128</v>
      </c>
      <c r="E2700" t="s">
        <v>56129</v>
      </c>
      <c r="F2700" t="s">
        <v>56130</v>
      </c>
      <c r="G2700" t="s">
        <v>56131</v>
      </c>
      <c r="H2700" t="s">
        <v>56132</v>
      </c>
      <c r="I2700" t="s">
        <v>56133</v>
      </c>
      <c r="J2700" t="s">
        <v>56134</v>
      </c>
      <c r="K2700" t="s">
        <v>56135</v>
      </c>
      <c r="L2700" t="s">
        <v>56136</v>
      </c>
      <c r="M2700" t="s">
        <v>56137</v>
      </c>
      <c r="N2700" t="s">
        <v>56138</v>
      </c>
      <c r="O2700">
        <f>-722.098133788081 -72.479780761817 -727.129411955176</f>
        <v>-1521.707326505074</v>
      </c>
      <c r="P2700">
        <f>-685.451279521976 -74.987681148883 -412.746112093879</f>
        <v>-1173.1850727647379</v>
      </c>
      <c r="Q2700">
        <f>-437.907587396007 -10.19584050463 -366.203450548584</f>
        <v>-814.3068784492209</v>
      </c>
      <c r="R2700" t="s">
        <v>56139</v>
      </c>
      <c r="S2700" t="s">
        <v>56140</v>
      </c>
      <c r="T2700" t="s">
        <v>56141</v>
      </c>
      <c r="U2700" t="s">
        <v>56142</v>
      </c>
      <c r="V2700" t="s">
        <v>56143</v>
      </c>
      <c r="W2700" t="s">
        <v>56144</v>
      </c>
      <c r="X2700" t="s">
        <v>56145</v>
      </c>
      <c r="Y2700" t="s">
        <v>56146</v>
      </c>
    </row>
    <row r="2701" spans="1:25" x14ac:dyDescent="0.3">
      <c r="A2701">
        <v>135000</v>
      </c>
      <c r="B2701" t="s">
        <v>56147</v>
      </c>
      <c r="C2701" t="s">
        <v>56148</v>
      </c>
      <c r="D2701" t="s">
        <v>56149</v>
      </c>
      <c r="E2701" t="s">
        <v>56150</v>
      </c>
      <c r="F2701" t="s">
        <v>56151</v>
      </c>
      <c r="G2701" t="s">
        <v>56152</v>
      </c>
      <c r="H2701" t="s">
        <v>56153</v>
      </c>
      <c r="I2701" t="s">
        <v>56154</v>
      </c>
      <c r="J2701" t="s">
        <v>56155</v>
      </c>
      <c r="K2701" t="s">
        <v>56156</v>
      </c>
      <c r="L2701" t="s">
        <v>56157</v>
      </c>
      <c r="M2701" t="s">
        <v>56158</v>
      </c>
      <c r="N2701" t="s">
        <v>56159</v>
      </c>
      <c r="O2701">
        <f>-722.594912839499 -72.234260205583 -727.103507404304</f>
        <v>-1521.932680449386</v>
      </c>
      <c r="P2701">
        <f>-685.621782149459 -74.4972325501374 -412.756403582315</f>
        <v>-1172.8754182819114</v>
      </c>
      <c r="Q2701">
        <f>-438.17771764235 -9.65526043396062 -365.756481985014</f>
        <v>-813.58946006132464</v>
      </c>
      <c r="R2701" t="s">
        <v>56160</v>
      </c>
      <c r="S2701" t="s">
        <v>56161</v>
      </c>
      <c r="T2701" t="s">
        <v>56162</v>
      </c>
      <c r="U2701" t="s">
        <v>56163</v>
      </c>
      <c r="V2701" t="s">
        <v>56164</v>
      </c>
      <c r="W2701" t="s">
        <v>56165</v>
      </c>
      <c r="X2701" t="s">
        <v>56166</v>
      </c>
      <c r="Y2701" t="s">
        <v>56167</v>
      </c>
    </row>
    <row r="2702" spans="1:25" x14ac:dyDescent="0.3">
      <c r="A2702">
        <v>135050</v>
      </c>
      <c r="B2702" t="s">
        <v>56168</v>
      </c>
      <c r="C2702" t="s">
        <v>56169</v>
      </c>
      <c r="D2702" t="s">
        <v>56170</v>
      </c>
      <c r="E2702" t="s">
        <v>56171</v>
      </c>
      <c r="F2702" t="s">
        <v>56172</v>
      </c>
      <c r="G2702" t="s">
        <v>56173</v>
      </c>
      <c r="H2702" t="s">
        <v>56174</v>
      </c>
      <c r="I2702" t="s">
        <v>56175</v>
      </c>
      <c r="J2702" t="s">
        <v>56176</v>
      </c>
      <c r="K2702" t="s">
        <v>56177</v>
      </c>
      <c r="L2702" t="s">
        <v>56178</v>
      </c>
      <c r="M2702" t="s">
        <v>56179</v>
      </c>
      <c r="N2702" t="s">
        <v>56180</v>
      </c>
      <c r="O2702">
        <f>-723.727818067162 -71.8832851720454 -727.138100244815</f>
        <v>-1522.7492034840225</v>
      </c>
      <c r="P2702">
        <f>-686.759685177416 -73.7816233581923 -412.788116101435</f>
        <v>-1173.3294246370433</v>
      </c>
      <c r="Q2702">
        <f>-438.689509200783 -11.0272521909424 -366.256508944129</f>
        <v>-815.97327033585441</v>
      </c>
      <c r="R2702" t="s">
        <v>56181</v>
      </c>
      <c r="S2702" t="s">
        <v>56182</v>
      </c>
      <c r="T2702" t="s">
        <v>56183</v>
      </c>
      <c r="U2702" t="s">
        <v>56184</v>
      </c>
      <c r="V2702" t="s">
        <v>56185</v>
      </c>
      <c r="W2702" t="s">
        <v>56186</v>
      </c>
      <c r="X2702" t="s">
        <v>56187</v>
      </c>
      <c r="Y2702" t="s">
        <v>56188</v>
      </c>
    </row>
    <row r="2703" spans="1:25" x14ac:dyDescent="0.3">
      <c r="A2703">
        <v>135100</v>
      </c>
      <c r="B2703" t="s">
        <v>56189</v>
      </c>
      <c r="C2703" t="s">
        <v>56190</v>
      </c>
      <c r="D2703" t="s">
        <v>56191</v>
      </c>
      <c r="E2703" t="s">
        <v>56192</v>
      </c>
      <c r="F2703" t="s">
        <v>56193</v>
      </c>
      <c r="G2703" t="s">
        <v>56194</v>
      </c>
      <c r="H2703" t="s">
        <v>56195</v>
      </c>
      <c r="I2703" t="s">
        <v>56196</v>
      </c>
      <c r="J2703" t="s">
        <v>56197</v>
      </c>
      <c r="K2703" t="s">
        <v>56198</v>
      </c>
      <c r="L2703" t="s">
        <v>56199</v>
      </c>
      <c r="M2703" t="s">
        <v>56200</v>
      </c>
      <c r="N2703" t="s">
        <v>56201</v>
      </c>
      <c r="O2703">
        <f>-724.471205473539 -71.515484496779 -727.098255395433</f>
        <v>-1523.0849453657511</v>
      </c>
      <c r="P2703">
        <f>-687.096567251364 -73.0691385794025 -412.794471019006</f>
        <v>-1172.9601768497726</v>
      </c>
      <c r="Q2703">
        <f>-438.061870137711 -13.3225509648573 -367.471709252024</f>
        <v>-818.85613035459232</v>
      </c>
      <c r="R2703" t="s">
        <v>56202</v>
      </c>
      <c r="S2703" t="s">
        <v>56203</v>
      </c>
      <c r="T2703" t="s">
        <v>56204</v>
      </c>
      <c r="U2703" t="s">
        <v>56205</v>
      </c>
      <c r="V2703" t="s">
        <v>56206</v>
      </c>
      <c r="W2703" t="s">
        <v>56207</v>
      </c>
      <c r="X2703" t="s">
        <v>56208</v>
      </c>
      <c r="Y2703" t="s">
        <v>56209</v>
      </c>
    </row>
    <row r="2704" spans="1:25" x14ac:dyDescent="0.3">
      <c r="A2704">
        <v>135150</v>
      </c>
      <c r="B2704" t="s">
        <v>56210</v>
      </c>
      <c r="C2704" t="s">
        <v>56211</v>
      </c>
      <c r="D2704" t="s">
        <v>56212</v>
      </c>
      <c r="E2704" t="s">
        <v>56213</v>
      </c>
      <c r="F2704" t="s">
        <v>56214</v>
      </c>
      <c r="G2704" t="s">
        <v>56215</v>
      </c>
      <c r="H2704" t="s">
        <v>56216</v>
      </c>
      <c r="I2704" t="s">
        <v>56217</v>
      </c>
      <c r="J2704" t="s">
        <v>56218</v>
      </c>
      <c r="K2704" t="s">
        <v>56219</v>
      </c>
      <c r="L2704" t="s">
        <v>56220</v>
      </c>
      <c r="M2704" t="s">
        <v>56221</v>
      </c>
      <c r="N2704" t="s">
        <v>56222</v>
      </c>
      <c r="O2704">
        <f>-726.000333959452 -70.7502955047262 -726.948653517996</f>
        <v>-1523.6992829821743</v>
      </c>
      <c r="P2704">
        <f>-688.502922497531 -73.9074627405585 -412.671593153347</f>
        <v>-1175.0819783914365</v>
      </c>
      <c r="Q2704">
        <f>-438.202900358952 -18.8126807460383 -368.438983339652</f>
        <v>-825.4545644446423</v>
      </c>
      <c r="R2704" t="s">
        <v>56223</v>
      </c>
      <c r="S2704" t="s">
        <v>56224</v>
      </c>
      <c r="T2704" t="s">
        <v>56225</v>
      </c>
      <c r="U2704" t="s">
        <v>56226</v>
      </c>
      <c r="V2704" t="s">
        <v>56227</v>
      </c>
      <c r="W2704" t="s">
        <v>56228</v>
      </c>
      <c r="X2704" t="s">
        <v>56229</v>
      </c>
      <c r="Y2704" t="s">
        <v>56230</v>
      </c>
    </row>
    <row r="2705" spans="1:25" x14ac:dyDescent="0.3">
      <c r="A2705">
        <v>135200</v>
      </c>
      <c r="B2705" t="s">
        <v>56231</v>
      </c>
      <c r="C2705" t="s">
        <v>56232</v>
      </c>
      <c r="D2705" t="s">
        <v>56233</v>
      </c>
      <c r="E2705" t="s">
        <v>56234</v>
      </c>
      <c r="F2705" t="s">
        <v>56235</v>
      </c>
      <c r="G2705" t="s">
        <v>56236</v>
      </c>
      <c r="H2705" t="s">
        <v>56237</v>
      </c>
      <c r="I2705" t="s">
        <v>56238</v>
      </c>
      <c r="J2705" t="s">
        <v>56239</v>
      </c>
      <c r="K2705" t="s">
        <v>56240</v>
      </c>
      <c r="L2705" t="s">
        <v>56241</v>
      </c>
      <c r="M2705" t="s">
        <v>56242</v>
      </c>
      <c r="N2705" t="s">
        <v>56243</v>
      </c>
      <c r="O2705">
        <f>-726.407030991596 -70.5792052042611 -727.013882801231</f>
        <v>-1524.0001189970881</v>
      </c>
      <c r="P2705">
        <f>-690.007787572761 -74.6297601556346 -412.617871020688</f>
        <v>-1177.2554187490837</v>
      </c>
      <c r="Q2705">
        <f>-439.491315308846 -19.9151471040664 -369.144732368462</f>
        <v>-828.55119478137442</v>
      </c>
      <c r="R2705" t="s">
        <v>56244</v>
      </c>
      <c r="S2705" t="s">
        <v>56245</v>
      </c>
      <c r="T2705" t="s">
        <v>56246</v>
      </c>
      <c r="U2705" t="s">
        <v>56247</v>
      </c>
      <c r="V2705" t="s">
        <v>56248</v>
      </c>
      <c r="W2705" t="s">
        <v>56249</v>
      </c>
      <c r="X2705" t="s">
        <v>56250</v>
      </c>
      <c r="Y2705" t="s">
        <v>56251</v>
      </c>
    </row>
    <row r="2706" spans="1:25" x14ac:dyDescent="0.3">
      <c r="A2706">
        <v>135250</v>
      </c>
      <c r="B2706" t="s">
        <v>56252</v>
      </c>
      <c r="C2706" t="s">
        <v>56253</v>
      </c>
      <c r="D2706" t="s">
        <v>56254</v>
      </c>
      <c r="E2706" t="s">
        <v>56255</v>
      </c>
      <c r="F2706" t="s">
        <v>56256</v>
      </c>
      <c r="G2706" t="s">
        <v>56257</v>
      </c>
      <c r="H2706" t="s">
        <v>56258</v>
      </c>
      <c r="I2706" t="s">
        <v>56259</v>
      </c>
      <c r="J2706" t="s">
        <v>56260</v>
      </c>
      <c r="K2706" t="s">
        <v>56261</v>
      </c>
      <c r="L2706" t="s">
        <v>56262</v>
      </c>
      <c r="M2706" t="s">
        <v>56263</v>
      </c>
      <c r="N2706" t="s">
        <v>56264</v>
      </c>
      <c r="O2706">
        <f>-726.302590299849 -69.7058024122819 -727.581582614873</f>
        <v>-1523.5899753270039</v>
      </c>
      <c r="P2706">
        <f>-691.72290480416 -75.043985217756 -412.999409989321</f>
        <v>-1179.766300011237</v>
      </c>
      <c r="Q2706">
        <f>-441.29665373152 -20.1739905191473 -369.204353734245</f>
        <v>-830.67499798491235</v>
      </c>
      <c r="R2706" t="s">
        <v>56265</v>
      </c>
      <c r="S2706" t="s">
        <v>56266</v>
      </c>
      <c r="T2706" t="s">
        <v>56267</v>
      </c>
      <c r="U2706" t="s">
        <v>56268</v>
      </c>
      <c r="V2706" t="s">
        <v>56269</v>
      </c>
      <c r="W2706" t="s">
        <v>56270</v>
      </c>
      <c r="X2706" t="s">
        <v>56271</v>
      </c>
      <c r="Y2706" t="s">
        <v>56272</v>
      </c>
    </row>
    <row r="2707" spans="1:25" x14ac:dyDescent="0.3">
      <c r="A2707">
        <v>135300</v>
      </c>
      <c r="B2707" t="s">
        <v>56273</v>
      </c>
      <c r="C2707" t="s">
        <v>56274</v>
      </c>
      <c r="D2707" t="s">
        <v>56275</v>
      </c>
      <c r="E2707" t="s">
        <v>56276</v>
      </c>
      <c r="F2707" t="s">
        <v>56277</v>
      </c>
      <c r="G2707" t="s">
        <v>56278</v>
      </c>
      <c r="H2707" t="s">
        <v>56279</v>
      </c>
      <c r="I2707" t="s">
        <v>56280</v>
      </c>
      <c r="J2707" t="s">
        <v>56281</v>
      </c>
      <c r="K2707" t="s">
        <v>56282</v>
      </c>
      <c r="L2707" t="s">
        <v>56283</v>
      </c>
      <c r="M2707" t="s">
        <v>56284</v>
      </c>
      <c r="N2707" t="s">
        <v>56285</v>
      </c>
      <c r="O2707">
        <f>-726.064395957506 -69.2439082815326 -727.89270581555</f>
        <v>-1523.2010100545886</v>
      </c>
      <c r="P2707">
        <f>-692.589214061283 -75.5253822131008 -413.208469315556</f>
        <v>-1181.3230655899397</v>
      </c>
      <c r="Q2707">
        <f>-442.573346945815 -19.3129600732334 -368.775976382056</f>
        <v>-830.66228340110433</v>
      </c>
      <c r="R2707" t="s">
        <v>56286</v>
      </c>
      <c r="S2707" t="s">
        <v>56287</v>
      </c>
      <c r="T2707" t="s">
        <v>56288</v>
      </c>
      <c r="U2707" t="s">
        <v>56289</v>
      </c>
      <c r="V2707" t="s">
        <v>56290</v>
      </c>
      <c r="W2707" t="s">
        <v>56291</v>
      </c>
      <c r="X2707" t="s">
        <v>56292</v>
      </c>
      <c r="Y2707" t="s">
        <v>56293</v>
      </c>
    </row>
    <row r="2708" spans="1:25" x14ac:dyDescent="0.3">
      <c r="A2708">
        <v>135350</v>
      </c>
      <c r="B2708" t="s">
        <v>56294</v>
      </c>
      <c r="C2708" t="s">
        <v>56295</v>
      </c>
      <c r="D2708" t="s">
        <v>56296</v>
      </c>
      <c r="E2708" t="s">
        <v>56297</v>
      </c>
      <c r="F2708" t="s">
        <v>56298</v>
      </c>
      <c r="G2708" t="s">
        <v>56299</v>
      </c>
      <c r="H2708" t="s">
        <v>56300</v>
      </c>
      <c r="I2708" t="s">
        <v>56301</v>
      </c>
      <c r="J2708" t="s">
        <v>56302</v>
      </c>
      <c r="K2708" t="s">
        <v>56303</v>
      </c>
      <c r="L2708" t="s">
        <v>56304</v>
      </c>
      <c r="M2708" t="s">
        <v>56305</v>
      </c>
      <c r="N2708" t="s">
        <v>56306</v>
      </c>
      <c r="O2708">
        <f>-725.303178803975 -68.7106623258608 -728.509017410051</f>
        <v>-1522.5228585398868</v>
      </c>
      <c r="P2708">
        <f>-692.041625785368 -74.9017943348351 -413.800461372409</f>
        <v>-1180.7438814926122</v>
      </c>
      <c r="Q2708">
        <f>-442.62669484053 -17.5140819807227 -367.530359623128</f>
        <v>-827.67113644438064</v>
      </c>
      <c r="R2708" t="s">
        <v>56307</v>
      </c>
      <c r="S2708" t="s">
        <v>56308</v>
      </c>
      <c r="T2708" t="s">
        <v>56309</v>
      </c>
      <c r="U2708" t="s">
        <v>56310</v>
      </c>
      <c r="V2708" t="s">
        <v>56311</v>
      </c>
      <c r="W2708" t="s">
        <v>56312</v>
      </c>
      <c r="X2708" t="s">
        <v>56313</v>
      </c>
      <c r="Y2708" t="s">
        <v>56314</v>
      </c>
    </row>
    <row r="2709" spans="1:25" x14ac:dyDescent="0.3">
      <c r="A2709">
        <v>135400</v>
      </c>
      <c r="B2709" t="s">
        <v>56315</v>
      </c>
      <c r="C2709" t="s">
        <v>56316</v>
      </c>
      <c r="D2709" t="s">
        <v>56317</v>
      </c>
      <c r="E2709" t="s">
        <v>56318</v>
      </c>
      <c r="F2709" t="s">
        <v>56319</v>
      </c>
      <c r="G2709" t="s">
        <v>56320</v>
      </c>
      <c r="H2709" t="s">
        <v>56321</v>
      </c>
      <c r="I2709" t="s">
        <v>56322</v>
      </c>
      <c r="J2709" t="s">
        <v>56323</v>
      </c>
      <c r="K2709" t="s">
        <v>56324</v>
      </c>
      <c r="L2709" t="s">
        <v>56325</v>
      </c>
      <c r="M2709" t="s">
        <v>56326</v>
      </c>
      <c r="N2709" t="s">
        <v>56327</v>
      </c>
      <c r="O2709">
        <f>-725.302739588628 -68.5112818939201 -728.691429297466</f>
        <v>-1522.5054507800141</v>
      </c>
      <c r="P2709">
        <f>-690.580535193636 -75.240569994229 -414.151630483117</f>
        <v>-1179.972735670982</v>
      </c>
      <c r="Q2709">
        <f>-441.645806071236 -16.9689928385958 -366.423207003351</f>
        <v>-825.03800591318281</v>
      </c>
      <c r="R2709" t="s">
        <v>56328</v>
      </c>
      <c r="S2709" t="s">
        <v>56329</v>
      </c>
      <c r="T2709" t="s">
        <v>56330</v>
      </c>
      <c r="U2709" t="s">
        <v>56331</v>
      </c>
      <c r="V2709" t="s">
        <v>56332</v>
      </c>
      <c r="W2709" t="s">
        <v>56333</v>
      </c>
      <c r="X2709" t="s">
        <v>56334</v>
      </c>
      <c r="Y2709" t="s">
        <v>56335</v>
      </c>
    </row>
    <row r="2710" spans="1:25" x14ac:dyDescent="0.3">
      <c r="A2710">
        <v>135450</v>
      </c>
      <c r="B2710" t="s">
        <v>56336</v>
      </c>
      <c r="C2710" t="s">
        <v>56337</v>
      </c>
      <c r="D2710" t="s">
        <v>56338</v>
      </c>
      <c r="E2710" t="s">
        <v>56339</v>
      </c>
      <c r="F2710" t="s">
        <v>56340</v>
      </c>
      <c r="G2710" t="s">
        <v>56341</v>
      </c>
      <c r="H2710" t="s">
        <v>56342</v>
      </c>
      <c r="I2710" t="s">
        <v>56343</v>
      </c>
      <c r="J2710" t="s">
        <v>56344</v>
      </c>
      <c r="K2710" t="s">
        <v>56345</v>
      </c>
      <c r="L2710" t="s">
        <v>56346</v>
      </c>
      <c r="M2710" t="s">
        <v>56347</v>
      </c>
      <c r="N2710" t="s">
        <v>56348</v>
      </c>
      <c r="O2710">
        <f>-724.809481130345 -69.0236190151327 -728.943941081519</f>
        <v>-1522.7770412269967</v>
      </c>
      <c r="P2710">
        <f>-688.271430627211 -73.3526721921792 -414.56772905475</f>
        <v>-1176.19183187414</v>
      </c>
      <c r="Q2710">
        <f>-441.39685169414 -9.01887461757224 -364.009109948987</f>
        <v>-814.42483626069929</v>
      </c>
      <c r="R2710" t="s">
        <v>56349</v>
      </c>
      <c r="S2710" t="s">
        <v>56350</v>
      </c>
      <c r="T2710" t="s">
        <v>56351</v>
      </c>
      <c r="U2710" t="s">
        <v>56352</v>
      </c>
      <c r="V2710" t="s">
        <v>56353</v>
      </c>
      <c r="W2710" t="s">
        <v>56354</v>
      </c>
      <c r="X2710" t="s">
        <v>56355</v>
      </c>
      <c r="Y2710" t="s">
        <v>56356</v>
      </c>
    </row>
    <row r="2711" spans="1:25" x14ac:dyDescent="0.3">
      <c r="A2711">
        <v>135500</v>
      </c>
      <c r="B2711" t="s">
        <v>56357</v>
      </c>
      <c r="C2711" t="s">
        <v>56358</v>
      </c>
      <c r="D2711" t="s">
        <v>56359</v>
      </c>
      <c r="E2711" t="s">
        <v>56360</v>
      </c>
      <c r="F2711" t="s">
        <v>56361</v>
      </c>
      <c r="G2711" t="s">
        <v>56362</v>
      </c>
      <c r="H2711" t="s">
        <v>56363</v>
      </c>
      <c r="I2711" t="s">
        <v>56364</v>
      </c>
      <c r="J2711" t="s">
        <v>56365</v>
      </c>
      <c r="K2711" t="s">
        <v>56366</v>
      </c>
      <c r="L2711" t="s">
        <v>56367</v>
      </c>
      <c r="M2711" t="s">
        <v>56368</v>
      </c>
      <c r="N2711" t="s">
        <v>56369</v>
      </c>
      <c r="O2711">
        <f>-724.29923832273 -69.780694603347 -728.727272055597</f>
        <v>-1522.8072049816742</v>
      </c>
      <c r="P2711">
        <f>-686.87240391258 -72.7522291937416 -414.439814778018</f>
        <v>-1174.0644478843396</v>
      </c>
      <c r="Q2711">
        <f>-440.73044690536 -6.32837024584273 -363.019583841445</f>
        <v>-810.07840099264774</v>
      </c>
      <c r="R2711" t="s">
        <v>56370</v>
      </c>
      <c r="S2711" t="s">
        <v>56371</v>
      </c>
      <c r="T2711" t="s">
        <v>56372</v>
      </c>
      <c r="U2711" t="s">
        <v>56373</v>
      </c>
      <c r="V2711" t="s">
        <v>56374</v>
      </c>
      <c r="W2711" t="s">
        <v>56375</v>
      </c>
      <c r="X2711" t="s">
        <v>56376</v>
      </c>
      <c r="Y2711" t="s">
        <v>56377</v>
      </c>
    </row>
    <row r="2712" spans="1:25" x14ac:dyDescent="0.3">
      <c r="A2712">
        <v>135550</v>
      </c>
      <c r="B2712" t="s">
        <v>56378</v>
      </c>
      <c r="C2712" t="s">
        <v>56379</v>
      </c>
      <c r="D2712" t="s">
        <v>56380</v>
      </c>
      <c r="E2712" t="s">
        <v>56381</v>
      </c>
      <c r="F2712" t="s">
        <v>56382</v>
      </c>
      <c r="G2712" t="s">
        <v>56383</v>
      </c>
      <c r="H2712" t="s">
        <v>56384</v>
      </c>
      <c r="I2712" t="s">
        <v>56385</v>
      </c>
      <c r="J2712" t="s">
        <v>56386</v>
      </c>
      <c r="K2712" t="s">
        <v>56387</v>
      </c>
      <c r="L2712" t="s">
        <v>56388</v>
      </c>
      <c r="M2712" t="s">
        <v>56389</v>
      </c>
      <c r="N2712" t="s">
        <v>56390</v>
      </c>
      <c r="O2712">
        <f>-724.543104397199 -71.5875625942583 -727.469690547194</f>
        <v>-1523.6003575386512</v>
      </c>
      <c r="P2712">
        <f>-683.844945569822 -72.5127558187826 -413.576442101517</f>
        <v>-1169.9341434901216</v>
      </c>
      <c r="Q2712">
        <f>-437.4017266498 -5.12670050547968 -364.925374762918</f>
        <v>-807.45380191819777</v>
      </c>
      <c r="R2712" t="s">
        <v>56391</v>
      </c>
      <c r="S2712" t="s">
        <v>56392</v>
      </c>
      <c r="T2712" t="s">
        <v>56393</v>
      </c>
      <c r="U2712" t="s">
        <v>56394</v>
      </c>
      <c r="V2712" t="s">
        <v>56395</v>
      </c>
      <c r="W2712" t="s">
        <v>56396</v>
      </c>
      <c r="X2712" t="s">
        <v>56397</v>
      </c>
      <c r="Y2712" t="s">
        <v>56398</v>
      </c>
    </row>
    <row r="2713" spans="1:25" x14ac:dyDescent="0.3">
      <c r="A2713">
        <v>135600</v>
      </c>
      <c r="B2713" t="s">
        <v>56399</v>
      </c>
      <c r="C2713" t="s">
        <v>56400</v>
      </c>
      <c r="D2713" t="s">
        <v>56401</v>
      </c>
      <c r="E2713" t="s">
        <v>56402</v>
      </c>
      <c r="F2713" t="s">
        <v>56403</v>
      </c>
      <c r="G2713" t="s">
        <v>56404</v>
      </c>
      <c r="H2713" t="s">
        <v>56405</v>
      </c>
      <c r="I2713" t="s">
        <v>56406</v>
      </c>
      <c r="J2713" t="s">
        <v>56407</v>
      </c>
      <c r="K2713" t="s">
        <v>56408</v>
      </c>
      <c r="L2713" t="s">
        <v>56409</v>
      </c>
      <c r="M2713" t="s">
        <v>56410</v>
      </c>
      <c r="N2713" t="s">
        <v>56411</v>
      </c>
      <c r="O2713">
        <f>-724.596263819861 -72.6866402991511 -726.688977080446</f>
        <v>-1523.971881199458</v>
      </c>
      <c r="P2713">
        <f>-682.941420847481 -73.567156888852 -412.921150987529</f>
        <v>-1169.4297287238619</v>
      </c>
      <c r="Q2713">
        <f>-435.674206225812 -10.5688270937803 -362.600352446136</f>
        <v>-808.84338576572827</v>
      </c>
      <c r="R2713" t="s">
        <v>56412</v>
      </c>
      <c r="S2713" t="s">
        <v>56413</v>
      </c>
      <c r="T2713" t="s">
        <v>56414</v>
      </c>
      <c r="U2713" t="s">
        <v>56415</v>
      </c>
      <c r="V2713" t="s">
        <v>56416</v>
      </c>
      <c r="W2713" t="s">
        <v>56417</v>
      </c>
      <c r="X2713" t="s">
        <v>56418</v>
      </c>
      <c r="Y2713" t="s">
        <v>56419</v>
      </c>
    </row>
    <row r="2714" spans="1:25" x14ac:dyDescent="0.3">
      <c r="A2714">
        <v>135650</v>
      </c>
      <c r="B2714" t="s">
        <v>56420</v>
      </c>
      <c r="C2714" t="s">
        <v>56421</v>
      </c>
      <c r="D2714" t="s">
        <v>56422</v>
      </c>
      <c r="E2714" t="s">
        <v>56423</v>
      </c>
      <c r="F2714" t="s">
        <v>56424</v>
      </c>
      <c r="G2714" t="s">
        <v>56425</v>
      </c>
      <c r="H2714" t="s">
        <v>56426</v>
      </c>
      <c r="I2714" t="s">
        <v>56427</v>
      </c>
      <c r="J2714" t="s">
        <v>56428</v>
      </c>
      <c r="K2714" t="s">
        <v>56429</v>
      </c>
      <c r="L2714" t="s">
        <v>56430</v>
      </c>
      <c r="M2714" t="s">
        <v>56431</v>
      </c>
      <c r="N2714" t="s">
        <v>56432</v>
      </c>
      <c r="O2714">
        <f>-725.091251125875 -74.0332099822676 -725.199636389264</f>
        <v>-1524.3240974974067</v>
      </c>
      <c r="P2714">
        <f>-680.861311109137 -73.1526686317559 -411.784341421847</f>
        <v>-1165.7983211627397</v>
      </c>
      <c r="Q2714">
        <f>-434.982058483975 -5.1323496275154 -361.200788428631</f>
        <v>-801.31519654012141</v>
      </c>
      <c r="R2714" t="s">
        <v>56433</v>
      </c>
      <c r="S2714" t="s">
        <v>56434</v>
      </c>
      <c r="T2714" t="s">
        <v>56435</v>
      </c>
      <c r="U2714" t="s">
        <v>56436</v>
      </c>
      <c r="V2714" t="s">
        <v>56437</v>
      </c>
      <c r="W2714" t="s">
        <v>56438</v>
      </c>
      <c r="X2714" t="s">
        <v>56439</v>
      </c>
      <c r="Y2714" t="s">
        <v>56440</v>
      </c>
    </row>
    <row r="2715" spans="1:25" x14ac:dyDescent="0.3">
      <c r="A2715">
        <v>135700</v>
      </c>
      <c r="B2715" t="s">
        <v>56441</v>
      </c>
      <c r="C2715" t="s">
        <v>56442</v>
      </c>
      <c r="D2715" t="s">
        <v>56443</v>
      </c>
      <c r="E2715" t="s">
        <v>56444</v>
      </c>
      <c r="F2715" t="s">
        <v>56445</v>
      </c>
      <c r="G2715" t="s">
        <v>56446</v>
      </c>
      <c r="H2715" t="s">
        <v>56447</v>
      </c>
      <c r="I2715" t="s">
        <v>56448</v>
      </c>
      <c r="J2715" t="s">
        <v>56449</v>
      </c>
      <c r="K2715" t="s">
        <v>56450</v>
      </c>
      <c r="L2715" t="s">
        <v>56451</v>
      </c>
      <c r="M2715" t="s">
        <v>56452</v>
      </c>
      <c r="N2715" t="s">
        <v>56453</v>
      </c>
      <c r="O2715">
        <f>-724.96433885026 -74.7004384049735 -724.604611829333</f>
        <v>-1524.2693890845665</v>
      </c>
      <c r="P2715">
        <f>-681.005195881325 -73.6648330104395 -411.151750714784</f>
        <v>-1165.8217796065485</v>
      </c>
      <c r="Q2715">
        <f>-434.83972548004 -5.44087684987085 -362.263283228902</f>
        <v>-802.54388555881292</v>
      </c>
      <c r="R2715" t="s">
        <v>56454</v>
      </c>
      <c r="S2715" t="s">
        <v>56455</v>
      </c>
      <c r="T2715" t="s">
        <v>56456</v>
      </c>
      <c r="U2715" t="s">
        <v>56457</v>
      </c>
      <c r="V2715" t="s">
        <v>56458</v>
      </c>
      <c r="W2715" t="s">
        <v>56459</v>
      </c>
      <c r="X2715" t="s">
        <v>56460</v>
      </c>
      <c r="Y2715" t="s">
        <v>56461</v>
      </c>
    </row>
    <row r="2716" spans="1:25" x14ac:dyDescent="0.3">
      <c r="A2716">
        <v>135750</v>
      </c>
      <c r="B2716" t="s">
        <v>56462</v>
      </c>
      <c r="C2716" t="s">
        <v>56463</v>
      </c>
      <c r="D2716" t="s">
        <v>56464</v>
      </c>
      <c r="E2716" t="s">
        <v>56465</v>
      </c>
      <c r="F2716" t="s">
        <v>56466</v>
      </c>
      <c r="G2716" t="s">
        <v>56467</v>
      </c>
      <c r="H2716" t="s">
        <v>56468</v>
      </c>
      <c r="I2716" t="s">
        <v>56469</v>
      </c>
      <c r="J2716" t="s">
        <v>56470</v>
      </c>
      <c r="K2716" t="s">
        <v>56471</v>
      </c>
      <c r="L2716" t="s">
        <v>56472</v>
      </c>
      <c r="M2716" t="s">
        <v>56473</v>
      </c>
      <c r="N2716" t="s">
        <v>56474</v>
      </c>
      <c r="O2716">
        <f>-724.534281675657 -74.588299361428 -724.148802482363</f>
        <v>-1523.2713835194479</v>
      </c>
      <c r="P2716">
        <f>-679.872014073954 -72.9565412512106 -410.797864803945</f>
        <v>-1163.6264201291096</v>
      </c>
      <c r="Q2716">
        <f>-433.810364454045 -3.626624217894 -362.953469909207</f>
        <v>-800.39045858114605</v>
      </c>
      <c r="R2716" t="s">
        <v>56475</v>
      </c>
      <c r="S2716" t="s">
        <v>56476</v>
      </c>
      <c r="T2716" t="s">
        <v>56477</v>
      </c>
      <c r="U2716" t="s">
        <v>56478</v>
      </c>
      <c r="V2716" t="s">
        <v>56479</v>
      </c>
      <c r="W2716" t="s">
        <v>56480</v>
      </c>
      <c r="X2716" t="s">
        <v>56481</v>
      </c>
      <c r="Y2716" t="s">
        <v>56482</v>
      </c>
    </row>
    <row r="2717" spans="1:25" x14ac:dyDescent="0.3">
      <c r="A2717">
        <v>135800</v>
      </c>
      <c r="B2717" t="s">
        <v>56483</v>
      </c>
      <c r="C2717" t="s">
        <v>56484</v>
      </c>
      <c r="D2717" t="s">
        <v>56485</v>
      </c>
      <c r="E2717" t="s">
        <v>56486</v>
      </c>
      <c r="F2717" t="s">
        <v>56487</v>
      </c>
      <c r="G2717" t="s">
        <v>56488</v>
      </c>
      <c r="H2717" t="s">
        <v>56489</v>
      </c>
      <c r="I2717" t="s">
        <v>56490</v>
      </c>
      <c r="J2717" t="s">
        <v>56491</v>
      </c>
      <c r="K2717" t="s">
        <v>56492</v>
      </c>
      <c r="L2717" t="s">
        <v>56493</v>
      </c>
      <c r="M2717" t="s">
        <v>56494</v>
      </c>
      <c r="N2717" t="s">
        <v>56495</v>
      </c>
      <c r="O2717">
        <f>-724.075693357555 -74.8598600274609 -723.960874728224</f>
        <v>-1522.8964281132398</v>
      </c>
      <c r="P2717">
        <f>-680.103157873617 -72.6296693591923 -410.516140159318</f>
        <v>-1163.2489673921273</v>
      </c>
      <c r="Q2717">
        <f>-434.103789339413 -2.97234237096586 -362.82760027156</f>
        <v>-799.9037319819389</v>
      </c>
      <c r="R2717" t="s">
        <v>56496</v>
      </c>
      <c r="S2717" t="s">
        <v>56497</v>
      </c>
      <c r="T2717" t="s">
        <v>56498</v>
      </c>
      <c r="U2717" t="s">
        <v>56499</v>
      </c>
      <c r="V2717" t="s">
        <v>56500</v>
      </c>
      <c r="W2717" t="s">
        <v>56501</v>
      </c>
      <c r="X2717" t="s">
        <v>56502</v>
      </c>
      <c r="Y2717" t="s">
        <v>56503</v>
      </c>
    </row>
    <row r="2718" spans="1:25" x14ac:dyDescent="0.3">
      <c r="A2718">
        <v>135850</v>
      </c>
      <c r="B2718" t="s">
        <v>56504</v>
      </c>
      <c r="C2718" t="s">
        <v>56505</v>
      </c>
      <c r="D2718" t="s">
        <v>56506</v>
      </c>
      <c r="E2718" t="s">
        <v>56507</v>
      </c>
      <c r="F2718" t="s">
        <v>56508</v>
      </c>
      <c r="G2718" t="s">
        <v>56509</v>
      </c>
      <c r="H2718" t="s">
        <v>56510</v>
      </c>
      <c r="I2718" t="s">
        <v>56511</v>
      </c>
      <c r="J2718" t="s">
        <v>56512</v>
      </c>
      <c r="K2718" t="s">
        <v>56513</v>
      </c>
      <c r="L2718" t="s">
        <v>56514</v>
      </c>
      <c r="M2718" t="s">
        <v>56515</v>
      </c>
      <c r="N2718" t="s">
        <v>56516</v>
      </c>
      <c r="O2718">
        <f>-723.871582844378 -75.032492426926 -723.74704314179</f>
        <v>-1522.6511184130941</v>
      </c>
      <c r="P2718">
        <f>-680.976555050521 -72.7247003727521 -410.153534632461</f>
        <v>-1163.8547900557342</v>
      </c>
      <c r="Q2718">
        <f>-434.883070123477 -2.97169405359659 -363.094842689318</f>
        <v>-800.9496068663916</v>
      </c>
      <c r="R2718" t="s">
        <v>56517</v>
      </c>
      <c r="S2718" t="s">
        <v>56518</v>
      </c>
      <c r="T2718" t="s">
        <v>56519</v>
      </c>
      <c r="U2718" t="s">
        <v>56520</v>
      </c>
      <c r="V2718" t="s">
        <v>56521</v>
      </c>
      <c r="W2718" t="s">
        <v>56522</v>
      </c>
      <c r="X2718" t="s">
        <v>56523</v>
      </c>
      <c r="Y2718" t="s">
        <v>56524</v>
      </c>
    </row>
    <row r="2719" spans="1:25" x14ac:dyDescent="0.3">
      <c r="A2719">
        <v>135900</v>
      </c>
      <c r="B2719" t="s">
        <v>56525</v>
      </c>
      <c r="C2719" t="s">
        <v>56526</v>
      </c>
      <c r="D2719" t="s">
        <v>56527</v>
      </c>
      <c r="E2719" t="s">
        <v>56528</v>
      </c>
      <c r="F2719" t="s">
        <v>56529</v>
      </c>
      <c r="G2719" t="s">
        <v>56530</v>
      </c>
      <c r="H2719" t="s">
        <v>56531</v>
      </c>
      <c r="I2719" t="s">
        <v>56532</v>
      </c>
      <c r="J2719" t="s">
        <v>56533</v>
      </c>
      <c r="K2719" t="s">
        <v>56534</v>
      </c>
      <c r="L2719" t="s">
        <v>56535</v>
      </c>
      <c r="M2719" t="s">
        <v>56536</v>
      </c>
      <c r="N2719" t="s">
        <v>56537</v>
      </c>
      <c r="O2719">
        <f>-723.916068383378 -75.0761429105239 -723.757863029674</f>
        <v>-1522.750074323576</v>
      </c>
      <c r="P2719">
        <f>-681.540004302989 -72.6780297260168 -410.094543688838</f>
        <v>-1164.3125777178439</v>
      </c>
      <c r="Q2719">
        <f>-435.502986440006 -3.4956303256497 -361.911032674262</f>
        <v>-800.90964943991776</v>
      </c>
      <c r="R2719" t="s">
        <v>56538</v>
      </c>
      <c r="S2719" t="s">
        <v>56539</v>
      </c>
      <c r="T2719" t="s">
        <v>56540</v>
      </c>
      <c r="U2719" t="s">
        <v>56541</v>
      </c>
      <c r="V2719" t="s">
        <v>56542</v>
      </c>
      <c r="W2719" t="s">
        <v>56543</v>
      </c>
      <c r="X2719" t="s">
        <v>56544</v>
      </c>
      <c r="Y2719" t="s">
        <v>56545</v>
      </c>
    </row>
    <row r="2720" spans="1:25" x14ac:dyDescent="0.3">
      <c r="A2720">
        <v>135950</v>
      </c>
      <c r="B2720" t="s">
        <v>56546</v>
      </c>
      <c r="C2720" t="s">
        <v>56547</v>
      </c>
      <c r="D2720" t="s">
        <v>56548</v>
      </c>
      <c r="E2720" t="s">
        <v>56549</v>
      </c>
      <c r="F2720" t="s">
        <v>56550</v>
      </c>
      <c r="G2720" t="s">
        <v>56551</v>
      </c>
      <c r="H2720" t="s">
        <v>56552</v>
      </c>
      <c r="I2720" t="s">
        <v>56553</v>
      </c>
      <c r="J2720" t="s">
        <v>56554</v>
      </c>
      <c r="K2720" t="s">
        <v>56555</v>
      </c>
      <c r="L2720" t="s">
        <v>56556</v>
      </c>
      <c r="M2720" t="s">
        <v>56557</v>
      </c>
      <c r="N2720" t="s">
        <v>56558</v>
      </c>
      <c r="O2720">
        <f>-723.537462667592 -74.7797472353898 -724.046760130314</f>
        <v>-1522.3639700332958</v>
      </c>
      <c r="P2720">
        <f>-683.305415050664 -72.2053095314725 -410.102554236005</f>
        <v>-1165.6132788181415</v>
      </c>
      <c r="Q2720">
        <f>-437.371743416451 -3.09543070258746 -361.292126105374</f>
        <v>-801.75930022441253</v>
      </c>
      <c r="R2720" t="s">
        <v>56559</v>
      </c>
      <c r="S2720" t="s">
        <v>56560</v>
      </c>
      <c r="T2720" t="s">
        <v>56561</v>
      </c>
      <c r="U2720" t="s">
        <v>56562</v>
      </c>
      <c r="V2720" t="s">
        <v>56563</v>
      </c>
      <c r="W2720" t="s">
        <v>56564</v>
      </c>
      <c r="X2720" t="s">
        <v>56565</v>
      </c>
      <c r="Y2720" t="s">
        <v>56566</v>
      </c>
    </row>
    <row r="2721" spans="1:25" x14ac:dyDescent="0.3">
      <c r="A2721">
        <v>136000</v>
      </c>
      <c r="B2721" t="s">
        <v>56567</v>
      </c>
      <c r="C2721" t="s">
        <v>56568</v>
      </c>
      <c r="D2721" t="s">
        <v>56569</v>
      </c>
      <c r="E2721" t="s">
        <v>56570</v>
      </c>
      <c r="F2721" t="s">
        <v>56571</v>
      </c>
      <c r="G2721" t="s">
        <v>56572</v>
      </c>
      <c r="H2721" t="s">
        <v>56573</v>
      </c>
      <c r="I2721" t="s">
        <v>56574</v>
      </c>
      <c r="J2721" t="s">
        <v>56575</v>
      </c>
      <c r="K2721" t="s">
        <v>56576</v>
      </c>
      <c r="L2721" t="s">
        <v>56577</v>
      </c>
      <c r="M2721" t="s">
        <v>56578</v>
      </c>
      <c r="N2721" t="s">
        <v>56579</v>
      </c>
      <c r="O2721">
        <f>-723.326590447902 -74.42543596427 -724.24238435177</f>
        <v>-1521.9944107639421</v>
      </c>
      <c r="P2721">
        <f>-683.8799148725 -72.1348286614268 -410.196362685692</f>
        <v>-1166.2111062196188</v>
      </c>
      <c r="Q2721">
        <f>-437.80026145548 -3.65981815479927 -361.226475970132</f>
        <v>-802.68655558041132</v>
      </c>
      <c r="R2721" t="s">
        <v>56580</v>
      </c>
      <c r="S2721" t="s">
        <v>56581</v>
      </c>
      <c r="T2721" t="s">
        <v>56582</v>
      </c>
      <c r="U2721" t="s">
        <v>56583</v>
      </c>
      <c r="V2721" t="s">
        <v>56584</v>
      </c>
      <c r="W2721" t="s">
        <v>56585</v>
      </c>
      <c r="X2721" t="s">
        <v>56586</v>
      </c>
      <c r="Y2721" t="s">
        <v>56587</v>
      </c>
    </row>
    <row r="2722" spans="1:25" x14ac:dyDescent="0.3">
      <c r="A2722">
        <v>136050</v>
      </c>
      <c r="B2722" t="s">
        <v>56588</v>
      </c>
      <c r="C2722" t="s">
        <v>56589</v>
      </c>
      <c r="D2722" t="s">
        <v>56590</v>
      </c>
      <c r="E2722" t="s">
        <v>56591</v>
      </c>
      <c r="F2722" t="s">
        <v>56592</v>
      </c>
      <c r="G2722" t="s">
        <v>56593</v>
      </c>
      <c r="H2722" t="s">
        <v>56594</v>
      </c>
      <c r="I2722" t="s">
        <v>56595</v>
      </c>
      <c r="J2722" t="s">
        <v>56596</v>
      </c>
      <c r="K2722" t="s">
        <v>56597</v>
      </c>
      <c r="L2722" t="s">
        <v>56598</v>
      </c>
      <c r="M2722" t="s">
        <v>56599</v>
      </c>
      <c r="N2722" t="s">
        <v>56600</v>
      </c>
      <c r="O2722">
        <f>-722.722083654178 -73.6011594308441 -724.774309260435</f>
        <v>-1521.0975523454572</v>
      </c>
      <c r="P2722">
        <f>-685.191849933085 -73.4288592552412 -410.485229395777</f>
        <v>-1169.1059385841031</v>
      </c>
      <c r="Q2722">
        <f>-439.590678818473 -2.7799786985363 -362.206216754796</f>
        <v>-804.57687427180531</v>
      </c>
      <c r="R2722" t="s">
        <v>56601</v>
      </c>
      <c r="S2722" t="s">
        <v>56602</v>
      </c>
      <c r="T2722" t="s">
        <v>56603</v>
      </c>
      <c r="U2722" t="s">
        <v>56604</v>
      </c>
      <c r="V2722" t="s">
        <v>56605</v>
      </c>
      <c r="W2722" t="s">
        <v>56606</v>
      </c>
      <c r="X2722" t="s">
        <v>56607</v>
      </c>
      <c r="Y2722" t="s">
        <v>56608</v>
      </c>
    </row>
    <row r="2723" spans="1:25" x14ac:dyDescent="0.3">
      <c r="A2723">
        <v>136100</v>
      </c>
      <c r="B2723" t="s">
        <v>56609</v>
      </c>
      <c r="C2723" t="s">
        <v>56610</v>
      </c>
      <c r="D2723" t="s">
        <v>56611</v>
      </c>
      <c r="E2723" t="s">
        <v>56612</v>
      </c>
      <c r="F2723" t="s">
        <v>56613</v>
      </c>
      <c r="G2723" t="s">
        <v>56614</v>
      </c>
      <c r="H2723" t="s">
        <v>56615</v>
      </c>
      <c r="I2723" t="s">
        <v>56616</v>
      </c>
      <c r="J2723" t="s">
        <v>56617</v>
      </c>
      <c r="K2723" t="s">
        <v>56618</v>
      </c>
      <c r="L2723" t="s">
        <v>56619</v>
      </c>
      <c r="M2723" t="s">
        <v>56620</v>
      </c>
      <c r="N2723" t="s">
        <v>56621</v>
      </c>
      <c r="O2723">
        <f>-722.754264679968 -73.1583166523228 -725.022248804754</f>
        <v>-1520.9348301370446</v>
      </c>
      <c r="P2723">
        <f>-685.509688468848 -72.9847791058874 -410.69902569614</f>
        <v>-1169.1934932708755</v>
      </c>
      <c r="Q2723">
        <f>-440.100129650694 -1.80242976819682 -362.230117855177</f>
        <v>-804.13267727406787</v>
      </c>
      <c r="R2723" t="s">
        <v>56622</v>
      </c>
      <c r="S2723" t="s">
        <v>56623</v>
      </c>
      <c r="T2723" t="s">
        <v>56624</v>
      </c>
      <c r="U2723" t="s">
        <v>56625</v>
      </c>
      <c r="V2723" t="s">
        <v>56626</v>
      </c>
      <c r="W2723" t="s">
        <v>56627</v>
      </c>
      <c r="X2723" t="s">
        <v>56628</v>
      </c>
      <c r="Y2723" t="s">
        <v>56629</v>
      </c>
    </row>
    <row r="2724" spans="1:25" x14ac:dyDescent="0.3">
      <c r="A2724">
        <v>136150</v>
      </c>
      <c r="B2724" t="s">
        <v>56630</v>
      </c>
      <c r="C2724" t="s">
        <v>56631</v>
      </c>
      <c r="D2724" t="s">
        <v>56632</v>
      </c>
      <c r="E2724" t="s">
        <v>56633</v>
      </c>
      <c r="F2724" t="s">
        <v>56634</v>
      </c>
      <c r="G2724" t="s">
        <v>56635</v>
      </c>
      <c r="H2724" t="s">
        <v>56636</v>
      </c>
      <c r="I2724" t="s">
        <v>56637</v>
      </c>
      <c r="J2724" t="s">
        <v>56638</v>
      </c>
      <c r="K2724" t="s">
        <v>56639</v>
      </c>
      <c r="L2724" t="s">
        <v>56640</v>
      </c>
      <c r="M2724" t="s">
        <v>56641</v>
      </c>
      <c r="N2724" t="s">
        <v>56642</v>
      </c>
      <c r="O2724">
        <f>-723.357698549098 -72.8077138997592 -725.150108467966</f>
        <v>-1521.3155209168231</v>
      </c>
      <c r="P2724">
        <f>-686.235830389882 -72.3716641381106 -410.812756044042</f>
        <v>-1169.4202505720345</v>
      </c>
      <c r="Q2724">
        <f>-441.398797144759 -0.626721361652471 -360.319510685277</f>
        <v>-802.34502919168847</v>
      </c>
      <c r="R2724" t="s">
        <v>56643</v>
      </c>
      <c r="S2724" t="s">
        <v>56644</v>
      </c>
      <c r="T2724" t="s">
        <v>56645</v>
      </c>
      <c r="U2724" t="s">
        <v>56646</v>
      </c>
      <c r="V2724" t="s">
        <v>56647</v>
      </c>
      <c r="W2724" t="s">
        <v>56648</v>
      </c>
      <c r="X2724" t="s">
        <v>56649</v>
      </c>
      <c r="Y2724" t="s">
        <v>56650</v>
      </c>
    </row>
    <row r="2725" spans="1:25" x14ac:dyDescent="0.3">
      <c r="A2725">
        <v>136200</v>
      </c>
      <c r="B2725" t="s">
        <v>56651</v>
      </c>
      <c r="C2725" t="s">
        <v>56652</v>
      </c>
      <c r="D2725" t="s">
        <v>56653</v>
      </c>
      <c r="E2725" t="s">
        <v>56654</v>
      </c>
      <c r="F2725" t="s">
        <v>56655</v>
      </c>
      <c r="G2725" t="s">
        <v>56656</v>
      </c>
      <c r="H2725" t="s">
        <v>56657</v>
      </c>
      <c r="I2725" t="s">
        <v>56658</v>
      </c>
      <c r="J2725" t="s">
        <v>56659</v>
      </c>
      <c r="K2725" t="s">
        <v>56660</v>
      </c>
      <c r="L2725" t="s">
        <v>56661</v>
      </c>
      <c r="M2725" t="s">
        <v>56662</v>
      </c>
      <c r="N2725" t="s">
        <v>56663</v>
      </c>
      <c r="O2725">
        <f>-724.027037172775 -72.597855492193 -725.12915523862</f>
        <v>-1521.7540479035879</v>
      </c>
      <c r="P2725">
        <f>-686.518651205006 -71.4253911069613 -410.83953630469</f>
        <v>-1168.7835786166575</v>
      </c>
      <c r="Q2725">
        <f>-441.491605688012 -0.981474453940336 -359.444153168899</f>
        <v>-801.91723331085132</v>
      </c>
      <c r="R2725" t="s">
        <v>56664</v>
      </c>
      <c r="S2725" t="s">
        <v>56665</v>
      </c>
      <c r="T2725" t="s">
        <v>56666</v>
      </c>
      <c r="U2725" t="s">
        <v>56667</v>
      </c>
      <c r="V2725" t="s">
        <v>56668</v>
      </c>
      <c r="W2725" t="s">
        <v>56669</v>
      </c>
      <c r="X2725" t="s">
        <v>56670</v>
      </c>
      <c r="Y2725" t="s">
        <v>56671</v>
      </c>
    </row>
    <row r="2726" spans="1:25" x14ac:dyDescent="0.3">
      <c r="A2726">
        <v>136250</v>
      </c>
      <c r="B2726" t="s">
        <v>56672</v>
      </c>
      <c r="C2726" t="s">
        <v>56673</v>
      </c>
      <c r="D2726" t="s">
        <v>56674</v>
      </c>
      <c r="E2726" t="s">
        <v>56675</v>
      </c>
      <c r="F2726" t="s">
        <v>56676</v>
      </c>
      <c r="G2726" t="s">
        <v>56677</v>
      </c>
      <c r="H2726" t="s">
        <v>56678</v>
      </c>
      <c r="I2726" t="s">
        <v>56679</v>
      </c>
      <c r="J2726" t="s">
        <v>56680</v>
      </c>
      <c r="K2726" t="s">
        <v>56681</v>
      </c>
      <c r="L2726" t="s">
        <v>56682</v>
      </c>
      <c r="M2726" t="s">
        <v>56683</v>
      </c>
      <c r="N2726" t="s">
        <v>56684</v>
      </c>
      <c r="O2726">
        <f>-725.820763643938 -71.2790494354913 -725.281211606497</f>
        <v>-1522.3810246859261</v>
      </c>
      <c r="P2726">
        <f>-685.876751724107 -70.7053895300144 -411.29031574685</f>
        <v>-1167.8724570009713</v>
      </c>
      <c r="Q2726">
        <f>-441.170094116369 -1.75241034809051 -356.461456113989</f>
        <v>-799.38396057844852</v>
      </c>
      <c r="R2726" t="s">
        <v>56685</v>
      </c>
      <c r="S2726" t="s">
        <v>56686</v>
      </c>
      <c r="T2726" t="s">
        <v>56687</v>
      </c>
      <c r="U2726" t="s">
        <v>56688</v>
      </c>
      <c r="V2726" t="s">
        <v>56689</v>
      </c>
      <c r="W2726" t="s">
        <v>56690</v>
      </c>
      <c r="X2726" t="s">
        <v>56691</v>
      </c>
      <c r="Y2726" t="s">
        <v>56692</v>
      </c>
    </row>
    <row r="2727" spans="1:25" x14ac:dyDescent="0.3">
      <c r="A2727">
        <v>136300</v>
      </c>
      <c r="B2727" t="s">
        <v>56693</v>
      </c>
      <c r="C2727" t="s">
        <v>56694</v>
      </c>
      <c r="D2727" t="s">
        <v>56695</v>
      </c>
      <c r="E2727" t="s">
        <v>56696</v>
      </c>
      <c r="F2727" t="s">
        <v>56697</v>
      </c>
      <c r="G2727" t="s">
        <v>56698</v>
      </c>
      <c r="H2727" t="s">
        <v>56699</v>
      </c>
      <c r="I2727" t="s">
        <v>56700</v>
      </c>
      <c r="J2727" t="s">
        <v>56701</v>
      </c>
      <c r="K2727" t="s">
        <v>56702</v>
      </c>
      <c r="L2727" t="s">
        <v>56703</v>
      </c>
      <c r="M2727" t="s">
        <v>56704</v>
      </c>
      <c r="N2727" t="s">
        <v>56705</v>
      </c>
      <c r="O2727">
        <f>-726.30486347456 -70.6896429345725 -725.455969533129</f>
        <v>-1522.4504759422614</v>
      </c>
      <c r="P2727">
        <f>-686.021284495672 -71.3890491012862 -411.508661752504</f>
        <v>-1168.9189953494622</v>
      </c>
      <c r="Q2727">
        <f>-441.439858647721 -3.25273629300796 -355.12248258249</f>
        <v>-799.81507752321897</v>
      </c>
      <c r="R2727" t="s">
        <v>56706</v>
      </c>
      <c r="S2727" t="s">
        <v>56707</v>
      </c>
      <c r="T2727" t="s">
        <v>56708</v>
      </c>
      <c r="U2727" t="s">
        <v>56709</v>
      </c>
      <c r="V2727" t="s">
        <v>56710</v>
      </c>
      <c r="W2727" t="s">
        <v>56711</v>
      </c>
      <c r="X2727" t="s">
        <v>56712</v>
      </c>
      <c r="Y2727" t="s">
        <v>56713</v>
      </c>
    </row>
    <row r="2728" spans="1:25" x14ac:dyDescent="0.3">
      <c r="A2728">
        <v>136350</v>
      </c>
      <c r="B2728" t="s">
        <v>56714</v>
      </c>
      <c r="C2728" t="s">
        <v>56715</v>
      </c>
      <c r="D2728" t="s">
        <v>56716</v>
      </c>
      <c r="E2728" t="s">
        <v>56717</v>
      </c>
      <c r="F2728" t="s">
        <v>56718</v>
      </c>
      <c r="G2728" t="s">
        <v>56719</v>
      </c>
      <c r="H2728" t="s">
        <v>56720</v>
      </c>
      <c r="I2728" t="s">
        <v>56721</v>
      </c>
      <c r="J2728" t="s">
        <v>56722</v>
      </c>
      <c r="K2728" t="s">
        <v>56723</v>
      </c>
      <c r="L2728" t="s">
        <v>56724</v>
      </c>
      <c r="M2728" t="s">
        <v>56725</v>
      </c>
      <c r="N2728" t="s">
        <v>56726</v>
      </c>
      <c r="O2728">
        <f>-728.233725981354 -69.3041841047666 -725.933598371751</f>
        <v>-1523.4715084578716</v>
      </c>
      <c r="P2728">
        <f>-686.16961197583 -71.3024161858848 -412.225485111757</f>
        <v>-1169.6975132734717</v>
      </c>
      <c r="Q2728">
        <f>-442.111692500393 -3.78746871381463 -352.900132110947</f>
        <v>-798.79929332515462</v>
      </c>
      <c r="R2728" t="s">
        <v>56727</v>
      </c>
      <c r="S2728" t="s">
        <v>56728</v>
      </c>
      <c r="T2728" t="s">
        <v>56729</v>
      </c>
      <c r="U2728" t="s">
        <v>56730</v>
      </c>
      <c r="V2728" t="s">
        <v>56731</v>
      </c>
      <c r="W2728" t="s">
        <v>56732</v>
      </c>
      <c r="X2728" t="s">
        <v>56733</v>
      </c>
      <c r="Y2728" t="s">
        <v>56734</v>
      </c>
    </row>
    <row r="2729" spans="1:25" x14ac:dyDescent="0.3">
      <c r="A2729">
        <v>136400</v>
      </c>
      <c r="B2729" t="s">
        <v>56735</v>
      </c>
      <c r="C2729" t="s">
        <v>56736</v>
      </c>
      <c r="D2729" t="s">
        <v>56737</v>
      </c>
      <c r="E2729" t="s">
        <v>56738</v>
      </c>
      <c r="F2729" t="s">
        <v>56739</v>
      </c>
      <c r="G2729" t="s">
        <v>56740</v>
      </c>
      <c r="H2729" t="s">
        <v>56741</v>
      </c>
      <c r="I2729" t="s">
        <v>56742</v>
      </c>
      <c r="J2729" t="s">
        <v>56743</v>
      </c>
      <c r="K2729" t="s">
        <v>56744</v>
      </c>
      <c r="L2729" t="s">
        <v>56745</v>
      </c>
      <c r="M2729" t="s">
        <v>56746</v>
      </c>
      <c r="N2729" t="s">
        <v>56747</v>
      </c>
      <c r="O2729">
        <f>-729.434051902369 -68.9508299654487 -726.086730611537</f>
        <v>-1524.4716124793547</v>
      </c>
      <c r="P2729">
        <f>-686.634765998979 -70.9420545030964 -412.477908025991</f>
        <v>-1170.0547285280663</v>
      </c>
      <c r="Q2729">
        <f>-442.36813151561 -4.1881109869903 -353.150433846364</f>
        <v>-799.70667634896427</v>
      </c>
      <c r="R2729" t="s">
        <v>56748</v>
      </c>
      <c r="S2729" t="s">
        <v>56749</v>
      </c>
      <c r="T2729" t="s">
        <v>56750</v>
      </c>
      <c r="U2729" t="s">
        <v>56751</v>
      </c>
      <c r="V2729" t="s">
        <v>56752</v>
      </c>
      <c r="W2729" t="s">
        <v>56753</v>
      </c>
      <c r="X2729" t="s">
        <v>56754</v>
      </c>
      <c r="Y2729" t="s">
        <v>56755</v>
      </c>
    </row>
    <row r="2730" spans="1:25" x14ac:dyDescent="0.3">
      <c r="A2730">
        <v>136450</v>
      </c>
      <c r="B2730" t="s">
        <v>56756</v>
      </c>
      <c r="C2730" t="s">
        <v>56757</v>
      </c>
      <c r="D2730" t="s">
        <v>56758</v>
      </c>
      <c r="E2730" t="s">
        <v>56759</v>
      </c>
      <c r="F2730" t="s">
        <v>56760</v>
      </c>
      <c r="G2730" t="s">
        <v>56761</v>
      </c>
      <c r="H2730" t="s">
        <v>56762</v>
      </c>
      <c r="I2730" t="s">
        <v>56763</v>
      </c>
      <c r="J2730" t="s">
        <v>56764</v>
      </c>
      <c r="K2730" t="s">
        <v>56765</v>
      </c>
      <c r="L2730" t="s">
        <v>56766</v>
      </c>
      <c r="M2730" t="s">
        <v>56767</v>
      </c>
      <c r="N2730" t="s">
        <v>56768</v>
      </c>
      <c r="O2730">
        <f>-732.504093413652 -67.8299396488144 -726.217459475113</f>
        <v>-1526.5514925375792</v>
      </c>
      <c r="P2730">
        <f>-687.595684008094 -71.4945508593737 -412.918957244018</f>
        <v>-1172.0091921114858</v>
      </c>
      <c r="Q2730">
        <f>-443.505681867731 -3.29420411706337 -354.516453243572</f>
        <v>-801.31633922836636</v>
      </c>
      <c r="R2730" t="s">
        <v>56769</v>
      </c>
      <c r="S2730" t="s">
        <v>56770</v>
      </c>
      <c r="T2730" t="s">
        <v>56771</v>
      </c>
      <c r="U2730" t="s">
        <v>56772</v>
      </c>
      <c r="V2730" t="s">
        <v>56773</v>
      </c>
      <c r="W2730" t="s">
        <v>56774</v>
      </c>
      <c r="X2730" t="s">
        <v>56775</v>
      </c>
      <c r="Y2730" t="s">
        <v>56776</v>
      </c>
    </row>
    <row r="2731" spans="1:25" x14ac:dyDescent="0.3">
      <c r="A2731">
        <v>136500</v>
      </c>
      <c r="B2731" t="s">
        <v>56777</v>
      </c>
      <c r="C2731" t="s">
        <v>56778</v>
      </c>
      <c r="D2731" t="s">
        <v>56779</v>
      </c>
      <c r="E2731" t="s">
        <v>56780</v>
      </c>
      <c r="F2731" t="s">
        <v>56781</v>
      </c>
      <c r="G2731" t="s">
        <v>56782</v>
      </c>
      <c r="H2731" t="s">
        <v>56783</v>
      </c>
      <c r="I2731" t="s">
        <v>56784</v>
      </c>
      <c r="J2731" t="s">
        <v>56785</v>
      </c>
      <c r="K2731" t="s">
        <v>56786</v>
      </c>
      <c r="L2731" t="s">
        <v>56787</v>
      </c>
      <c r="M2731" t="s">
        <v>56788</v>
      </c>
      <c r="N2731" t="s">
        <v>56789</v>
      </c>
      <c r="O2731">
        <f>-733.72616173251 -67.6708498455494 -726.136732974554</f>
        <v>-1527.5337445526134</v>
      </c>
      <c r="P2731">
        <f>-687.954961627189 -71.314814101202 -412.962840137989</f>
        <v>-1172.23261586638</v>
      </c>
      <c r="Q2731">
        <f>-443.830217093917 -2.9812156345572 -354.862436394603</f>
        <v>-801.67386912307711</v>
      </c>
      <c r="R2731" t="s">
        <v>56790</v>
      </c>
      <c r="S2731" t="s">
        <v>56791</v>
      </c>
      <c r="T2731" t="s">
        <v>56792</v>
      </c>
      <c r="U2731" t="s">
        <v>56793</v>
      </c>
      <c r="V2731" t="s">
        <v>56794</v>
      </c>
      <c r="W2731" t="s">
        <v>56795</v>
      </c>
      <c r="X2731" t="s">
        <v>56796</v>
      </c>
      <c r="Y2731" t="s">
        <v>56797</v>
      </c>
    </row>
    <row r="2732" spans="1:25" x14ac:dyDescent="0.3">
      <c r="A2732">
        <v>136550</v>
      </c>
      <c r="B2732" t="s">
        <v>56798</v>
      </c>
      <c r="C2732" t="s">
        <v>56799</v>
      </c>
      <c r="D2732" t="s">
        <v>56800</v>
      </c>
      <c r="E2732" t="s">
        <v>56801</v>
      </c>
      <c r="F2732" t="s">
        <v>56802</v>
      </c>
      <c r="G2732" t="s">
        <v>56803</v>
      </c>
      <c r="H2732" t="s">
        <v>56804</v>
      </c>
      <c r="I2732" t="s">
        <v>56805</v>
      </c>
      <c r="J2732" t="s">
        <v>56806</v>
      </c>
      <c r="K2732" t="s">
        <v>56807</v>
      </c>
      <c r="L2732" t="s">
        <v>56808</v>
      </c>
      <c r="M2732" t="s">
        <v>56809</v>
      </c>
      <c r="N2732" t="s">
        <v>56810</v>
      </c>
      <c r="O2732">
        <f>-735.272830950201 -67.8104961267804 -725.571861091592</f>
        <v>-1528.6551881685734</v>
      </c>
      <c r="P2732">
        <f>-688.207806438585 -72.4539626380049 -412.60302681928</f>
        <v>-1173.2647958958698</v>
      </c>
      <c r="Q2732">
        <f>-444.06526945331 -3.12063863181902 -355.775242108143</f>
        <v>-802.96115019327203</v>
      </c>
      <c r="R2732" t="s">
        <v>56811</v>
      </c>
      <c r="S2732" t="s">
        <v>56812</v>
      </c>
      <c r="T2732" t="s">
        <v>56813</v>
      </c>
      <c r="U2732" t="s">
        <v>56814</v>
      </c>
      <c r="V2732" t="s">
        <v>56815</v>
      </c>
      <c r="W2732" t="s">
        <v>56816</v>
      </c>
      <c r="X2732" t="s">
        <v>56817</v>
      </c>
      <c r="Y2732" t="s">
        <v>56818</v>
      </c>
    </row>
    <row r="2733" spans="1:25" x14ac:dyDescent="0.3">
      <c r="A2733">
        <v>136600</v>
      </c>
      <c r="B2733" t="s">
        <v>56819</v>
      </c>
      <c r="C2733" t="s">
        <v>56820</v>
      </c>
      <c r="D2733" t="s">
        <v>56821</v>
      </c>
      <c r="E2733" t="s">
        <v>56822</v>
      </c>
      <c r="F2733" t="s">
        <v>56823</v>
      </c>
      <c r="G2733" t="s">
        <v>56824</v>
      </c>
      <c r="H2733" t="s">
        <v>56825</v>
      </c>
      <c r="I2733" t="s">
        <v>56826</v>
      </c>
      <c r="J2733" t="s">
        <v>56827</v>
      </c>
      <c r="K2733" t="s">
        <v>56828</v>
      </c>
      <c r="L2733" t="s">
        <v>56829</v>
      </c>
      <c r="M2733" t="s">
        <v>56830</v>
      </c>
      <c r="N2733" t="s">
        <v>56831</v>
      </c>
      <c r="O2733">
        <f>-735.877736973032 -67.8670093627491 -725.21786707885</f>
        <v>-1528.9626134146311</v>
      </c>
      <c r="P2733">
        <f>-688.376895796316 -72.0405309687392 -412.308356082378</f>
        <v>-1172.7257828474333</v>
      </c>
      <c r="Q2733">
        <f>-444.044995168326 -2.71646071369287 -356.289081610235</f>
        <v>-803.05053749225385</v>
      </c>
      <c r="R2733" t="s">
        <v>56832</v>
      </c>
      <c r="S2733" t="s">
        <v>56833</v>
      </c>
      <c r="T2733" t="s">
        <v>56834</v>
      </c>
      <c r="U2733" t="s">
        <v>56835</v>
      </c>
      <c r="V2733" t="s">
        <v>56836</v>
      </c>
      <c r="W2733" t="s">
        <v>56837</v>
      </c>
      <c r="X2733" t="s">
        <v>56838</v>
      </c>
      <c r="Y2733" t="s">
        <v>56839</v>
      </c>
    </row>
    <row r="2734" spans="1:25" x14ac:dyDescent="0.3">
      <c r="A2734">
        <v>136650</v>
      </c>
      <c r="B2734" t="s">
        <v>56840</v>
      </c>
      <c r="C2734" t="s">
        <v>56841</v>
      </c>
      <c r="D2734" t="s">
        <v>56842</v>
      </c>
      <c r="E2734" t="s">
        <v>56843</v>
      </c>
      <c r="F2734" t="s">
        <v>56844</v>
      </c>
      <c r="G2734" t="s">
        <v>56845</v>
      </c>
      <c r="H2734" t="s">
        <v>56846</v>
      </c>
      <c r="I2734" t="s">
        <v>56847</v>
      </c>
      <c r="J2734" t="s">
        <v>56848</v>
      </c>
      <c r="K2734" t="s">
        <v>56849</v>
      </c>
      <c r="L2734" t="s">
        <v>56850</v>
      </c>
      <c r="M2734" t="s">
        <v>56851</v>
      </c>
      <c r="N2734" t="s">
        <v>56852</v>
      </c>
      <c r="O2734">
        <f>-736.505563120925 -68.3249462113406 -724.405234234319</f>
        <v>-1529.2357435665845</v>
      </c>
      <c r="P2734">
        <f>-687.748155371203 -73.2626788746495 -411.699970108456</f>
        <v>-1172.7108043543085</v>
      </c>
      <c r="Q2734">
        <f>-443.037136453658 -3.8552465242708 -357.467360463997</f>
        <v>-804.35974344192573</v>
      </c>
      <c r="R2734" t="s">
        <v>56853</v>
      </c>
      <c r="S2734" t="s">
        <v>56854</v>
      </c>
      <c r="T2734" t="s">
        <v>56855</v>
      </c>
      <c r="U2734" t="s">
        <v>56856</v>
      </c>
      <c r="V2734" t="s">
        <v>56857</v>
      </c>
      <c r="W2734" t="s">
        <v>56858</v>
      </c>
      <c r="X2734" t="s">
        <v>56859</v>
      </c>
      <c r="Y2734" t="s">
        <v>56860</v>
      </c>
    </row>
    <row r="2735" spans="1:25" x14ac:dyDescent="0.3">
      <c r="A2735">
        <v>136700</v>
      </c>
      <c r="B2735" t="s">
        <v>56861</v>
      </c>
      <c r="C2735" t="s">
        <v>56862</v>
      </c>
      <c r="D2735" t="s">
        <v>56863</v>
      </c>
      <c r="E2735" t="s">
        <v>56864</v>
      </c>
      <c r="F2735" t="s">
        <v>56865</v>
      </c>
      <c r="G2735" t="s">
        <v>56866</v>
      </c>
      <c r="H2735" t="s">
        <v>56867</v>
      </c>
      <c r="I2735" t="s">
        <v>56868</v>
      </c>
      <c r="J2735" t="s">
        <v>56869</v>
      </c>
      <c r="K2735" t="s">
        <v>56870</v>
      </c>
      <c r="L2735" t="s">
        <v>56871</v>
      </c>
      <c r="M2735" t="s">
        <v>56872</v>
      </c>
      <c r="N2735" t="s">
        <v>56873</v>
      </c>
      <c r="O2735">
        <f>-736.727041130634 -68.2552464747669 -724.044871407111</f>
        <v>-1529.0271590125119</v>
      </c>
      <c r="P2735">
        <f>-687.06319463915 -72.5737055803731 -411.473269135359</f>
        <v>-1171.1101693548821</v>
      </c>
      <c r="Q2735">
        <f>-442.102367320464 -3.36464670071018 -358.12217294622</f>
        <v>-803.5891869673942</v>
      </c>
      <c r="R2735" t="s">
        <v>56874</v>
      </c>
      <c r="S2735" t="s">
        <v>56875</v>
      </c>
      <c r="T2735" t="s">
        <v>56876</v>
      </c>
      <c r="U2735" t="s">
        <v>56877</v>
      </c>
      <c r="V2735" t="s">
        <v>56878</v>
      </c>
      <c r="W2735" t="s">
        <v>56879</v>
      </c>
      <c r="X2735" t="s">
        <v>56880</v>
      </c>
      <c r="Y2735" t="s">
        <v>56881</v>
      </c>
    </row>
    <row r="2736" spans="1:25" x14ac:dyDescent="0.3">
      <c r="A2736">
        <v>136750</v>
      </c>
      <c r="B2736" t="s">
        <v>56882</v>
      </c>
      <c r="C2736" t="s">
        <v>56883</v>
      </c>
      <c r="D2736" t="s">
        <v>56884</v>
      </c>
      <c r="E2736" t="s">
        <v>56885</v>
      </c>
      <c r="F2736" t="s">
        <v>56886</v>
      </c>
      <c r="G2736" t="s">
        <v>56887</v>
      </c>
      <c r="H2736" t="s">
        <v>56888</v>
      </c>
      <c r="I2736" t="s">
        <v>56889</v>
      </c>
      <c r="J2736" t="s">
        <v>56890</v>
      </c>
      <c r="K2736" t="s">
        <v>56891</v>
      </c>
      <c r="L2736" t="s">
        <v>56892</v>
      </c>
      <c r="M2736" t="s">
        <v>56893</v>
      </c>
      <c r="N2736" t="s">
        <v>56894</v>
      </c>
      <c r="O2736">
        <f>-736.158111171347 -68.6758548854375 -723.144233616736</f>
        <v>-1527.9781996735205</v>
      </c>
      <c r="P2736">
        <f>-684.295633258684 -71.6719703360466 -410.914371228935</f>
        <v>-1166.8819748236656</v>
      </c>
      <c r="Q2736">
        <f>-439.831469745722 -2.90577694038598 -354.784444620697</f>
        <v>-797.521691306805</v>
      </c>
      <c r="R2736" t="s">
        <v>56895</v>
      </c>
      <c r="S2736" t="s">
        <v>56896</v>
      </c>
      <c r="T2736" t="s">
        <v>56897</v>
      </c>
      <c r="U2736" t="s">
        <v>56898</v>
      </c>
      <c r="V2736" t="s">
        <v>56899</v>
      </c>
      <c r="W2736" t="s">
        <v>56900</v>
      </c>
      <c r="X2736" t="s">
        <v>56901</v>
      </c>
      <c r="Y2736" t="s">
        <v>56902</v>
      </c>
    </row>
    <row r="2737" spans="1:25" x14ac:dyDescent="0.3">
      <c r="A2737">
        <v>136800</v>
      </c>
      <c r="B2737" t="s">
        <v>56903</v>
      </c>
      <c r="C2737" t="s">
        <v>56904</v>
      </c>
      <c r="D2737" t="s">
        <v>56905</v>
      </c>
      <c r="E2737" t="s">
        <v>56906</v>
      </c>
      <c r="F2737" t="s">
        <v>56907</v>
      </c>
      <c r="G2737" t="s">
        <v>56908</v>
      </c>
      <c r="H2737" t="s">
        <v>56909</v>
      </c>
      <c r="I2737" t="s">
        <v>56910</v>
      </c>
      <c r="J2737" t="s">
        <v>56911</v>
      </c>
      <c r="K2737" t="s">
        <v>56912</v>
      </c>
      <c r="L2737" t="s">
        <v>56913</v>
      </c>
      <c r="M2737" t="s">
        <v>56914</v>
      </c>
      <c r="N2737" t="s">
        <v>56915</v>
      </c>
      <c r="O2737">
        <f>-735.458898160548 -69.0579478429784 -722.686985759922</f>
        <v>-1527.2038317634483</v>
      </c>
      <c r="P2737">
        <f>-682.983900376032 -70.8528139050013 -410.550248344496</f>
        <v>-1164.3869626255293</v>
      </c>
      <c r="Q2737">
        <f>-439.119407283369 -1.41790111957084 -352.663003956019</f>
        <v>-793.20031235895885</v>
      </c>
      <c r="R2737" t="s">
        <v>56916</v>
      </c>
      <c r="S2737" t="s">
        <v>56917</v>
      </c>
      <c r="T2737" t="s">
        <v>56918</v>
      </c>
      <c r="U2737" t="s">
        <v>56919</v>
      </c>
      <c r="V2737" t="s">
        <v>56920</v>
      </c>
      <c r="W2737" t="s">
        <v>56921</v>
      </c>
      <c r="X2737" t="s">
        <v>56922</v>
      </c>
      <c r="Y2737" t="s">
        <v>56923</v>
      </c>
    </row>
    <row r="2738" spans="1:25" x14ac:dyDescent="0.3">
      <c r="A2738">
        <v>136850</v>
      </c>
      <c r="B2738" t="s">
        <v>56924</v>
      </c>
      <c r="C2738" t="s">
        <v>56925</v>
      </c>
      <c r="D2738" t="s">
        <v>56926</v>
      </c>
      <c r="E2738" t="s">
        <v>56927</v>
      </c>
      <c r="F2738" t="s">
        <v>56928</v>
      </c>
      <c r="G2738" t="s">
        <v>56929</v>
      </c>
      <c r="H2738" t="s">
        <v>56930</v>
      </c>
      <c r="I2738" t="s">
        <v>56931</v>
      </c>
      <c r="J2738" t="s">
        <v>56932</v>
      </c>
      <c r="K2738" t="s">
        <v>56933</v>
      </c>
      <c r="L2738" t="s">
        <v>56934</v>
      </c>
      <c r="M2738" t="s">
        <v>56935</v>
      </c>
      <c r="N2738" t="s">
        <v>56936</v>
      </c>
      <c r="O2738">
        <f>-732.884245048495 -70.2748032375737 -721.822088661052</f>
        <v>-1524.9811369471208</v>
      </c>
      <c r="P2738">
        <f>-679.873022400666 -70.1911252436803 -409.770962835512</f>
        <v>-1159.8351104798583</v>
      </c>
      <c r="Q2738">
        <f>-437.307248144849 -0.381602436038065 -347.077041879296</f>
        <v>-784.76589246018307</v>
      </c>
      <c r="R2738" t="s">
        <v>56937</v>
      </c>
      <c r="S2738" t="s">
        <v>56938</v>
      </c>
      <c r="T2738" t="s">
        <v>56939</v>
      </c>
      <c r="U2738" t="s">
        <v>56940</v>
      </c>
      <c r="V2738" t="s">
        <v>56941</v>
      </c>
      <c r="W2738" t="s">
        <v>56942</v>
      </c>
      <c r="X2738" t="s">
        <v>56943</v>
      </c>
      <c r="Y2738" t="s">
        <v>56944</v>
      </c>
    </row>
    <row r="2739" spans="1:25" x14ac:dyDescent="0.3">
      <c r="A2739">
        <v>136900</v>
      </c>
      <c r="B2739" t="s">
        <v>56945</v>
      </c>
      <c r="C2739" t="s">
        <v>56946</v>
      </c>
      <c r="D2739" t="s">
        <v>56947</v>
      </c>
      <c r="E2739" t="s">
        <v>56948</v>
      </c>
      <c r="F2739" t="s">
        <v>56949</v>
      </c>
      <c r="G2739" t="s">
        <v>56950</v>
      </c>
      <c r="H2739" t="s">
        <v>56951</v>
      </c>
      <c r="I2739" t="s">
        <v>56952</v>
      </c>
      <c r="J2739" t="s">
        <v>56953</v>
      </c>
      <c r="K2739" t="s">
        <v>56954</v>
      </c>
      <c r="L2739" t="s">
        <v>56955</v>
      </c>
      <c r="M2739" t="s">
        <v>56956</v>
      </c>
      <c r="N2739" t="s">
        <v>56957</v>
      </c>
      <c r="O2739">
        <f>-731.548509879794 -71.0174875089649 -721.19561880404</f>
        <v>-1523.761616192799</v>
      </c>
      <c r="P2739">
        <f>-678.684485818226 -69.6623157629688 -409.122372267156</f>
        <v>-1157.4691738483507</v>
      </c>
      <c r="Q2739" t="s">
        <v>56958</v>
      </c>
      <c r="R2739" t="s">
        <v>56959</v>
      </c>
      <c r="S2739" t="s">
        <v>56960</v>
      </c>
      <c r="T2739" t="s">
        <v>56961</v>
      </c>
      <c r="U2739" t="s">
        <v>56962</v>
      </c>
      <c r="V2739" t="s">
        <v>56963</v>
      </c>
      <c r="W2739" t="s">
        <v>56964</v>
      </c>
      <c r="X2739" t="s">
        <v>56965</v>
      </c>
      <c r="Y2739" t="s">
        <v>56966</v>
      </c>
    </row>
    <row r="2740" spans="1:25" x14ac:dyDescent="0.3">
      <c r="A2740">
        <v>136950</v>
      </c>
      <c r="B2740" t="s">
        <v>56967</v>
      </c>
      <c r="C2740" t="s">
        <v>56968</v>
      </c>
      <c r="D2740" t="s">
        <v>56969</v>
      </c>
      <c r="E2740" t="s">
        <v>56970</v>
      </c>
      <c r="F2740" t="s">
        <v>56971</v>
      </c>
      <c r="G2740" t="s">
        <v>56972</v>
      </c>
      <c r="H2740" t="s">
        <v>56973</v>
      </c>
      <c r="I2740" t="s">
        <v>56974</v>
      </c>
      <c r="J2740" t="s">
        <v>56975</v>
      </c>
      <c r="K2740" t="s">
        <v>56976</v>
      </c>
      <c r="L2740" t="s">
        <v>56977</v>
      </c>
      <c r="M2740" t="s">
        <v>56978</v>
      </c>
      <c r="N2740" t="s">
        <v>56979</v>
      </c>
      <c r="O2740">
        <f>-729.748009284961 -72.8622684170452 -719.142893485256</f>
        <v>-1521.7531711872621</v>
      </c>
      <c r="P2740">
        <f>-675.782555216372 -71.712174224803 -407.257319869918</f>
        <v>-1154.7520493110928</v>
      </c>
      <c r="Q2740">
        <f>-434.23290373353 -0.153484167944043 -342.641720140701</f>
        <v>-777.02810804217506</v>
      </c>
      <c r="R2740" t="s">
        <v>56980</v>
      </c>
      <c r="S2740" t="s">
        <v>56981</v>
      </c>
      <c r="T2740" t="s">
        <v>56982</v>
      </c>
      <c r="U2740" t="s">
        <v>56983</v>
      </c>
      <c r="V2740" t="s">
        <v>56984</v>
      </c>
      <c r="W2740" t="s">
        <v>56985</v>
      </c>
      <c r="X2740" t="s">
        <v>56986</v>
      </c>
      <c r="Y2740" t="s">
        <v>56987</v>
      </c>
    </row>
    <row r="2741" spans="1:25" x14ac:dyDescent="0.3">
      <c r="A2741">
        <v>137000</v>
      </c>
      <c r="B2741" t="s">
        <v>56988</v>
      </c>
      <c r="C2741" t="s">
        <v>56989</v>
      </c>
      <c r="D2741" t="s">
        <v>56990</v>
      </c>
      <c r="E2741" t="s">
        <v>56991</v>
      </c>
      <c r="F2741" t="s">
        <v>56992</v>
      </c>
      <c r="G2741" t="s">
        <v>56993</v>
      </c>
      <c r="H2741" t="s">
        <v>56994</v>
      </c>
      <c r="I2741" t="s">
        <v>56995</v>
      </c>
      <c r="J2741" t="s">
        <v>56996</v>
      </c>
      <c r="K2741" t="s">
        <v>56997</v>
      </c>
      <c r="L2741" t="s">
        <v>56998</v>
      </c>
      <c r="M2741" t="s">
        <v>56999</v>
      </c>
      <c r="N2741" t="s">
        <v>57000</v>
      </c>
      <c r="O2741">
        <f>-729.397729976776 -74.1644456872978 -717.620271475283</f>
        <v>-1521.1824471393566</v>
      </c>
      <c r="P2741">
        <f>-673.23857708462 -73.1907519255958 -406.121661294802</f>
        <v>-1152.5509903050179</v>
      </c>
      <c r="Q2741">
        <f>-430.665066977903 -1.57159124509872 -345.534483682903</f>
        <v>-777.77114190590464</v>
      </c>
      <c r="R2741" t="s">
        <v>57001</v>
      </c>
      <c r="S2741" t="s">
        <v>57002</v>
      </c>
      <c r="T2741" t="s">
        <v>57003</v>
      </c>
      <c r="U2741" t="s">
        <v>57004</v>
      </c>
      <c r="V2741" t="s">
        <v>57005</v>
      </c>
      <c r="W2741" t="s">
        <v>57006</v>
      </c>
      <c r="X2741" t="s">
        <v>57007</v>
      </c>
      <c r="Y2741" t="s">
        <v>57008</v>
      </c>
    </row>
    <row r="2742" spans="1:25" x14ac:dyDescent="0.3">
      <c r="A2742">
        <v>137050</v>
      </c>
      <c r="B2742" t="s">
        <v>57009</v>
      </c>
      <c r="C2742" t="s">
        <v>57010</v>
      </c>
      <c r="D2742" t="s">
        <v>57011</v>
      </c>
      <c r="E2742" t="s">
        <v>57012</v>
      </c>
      <c r="F2742" t="s">
        <v>57013</v>
      </c>
      <c r="G2742" t="s">
        <v>57014</v>
      </c>
      <c r="H2742" t="s">
        <v>57015</v>
      </c>
      <c r="I2742" t="s">
        <v>57016</v>
      </c>
      <c r="J2742" t="s">
        <v>57017</v>
      </c>
      <c r="K2742" t="s">
        <v>57018</v>
      </c>
      <c r="L2742" t="s">
        <v>57019</v>
      </c>
      <c r="M2742" t="s">
        <v>57020</v>
      </c>
      <c r="N2742" t="s">
        <v>57021</v>
      </c>
      <c r="O2742">
        <f>-729.102522660158 -78.0283739828765 -713.053433015124</f>
        <v>-1520.1843296581585</v>
      </c>
      <c r="P2742">
        <f>-667.104593328093 -73.8408278818115 -402.690858957749</f>
        <v>-1143.6362801676535</v>
      </c>
      <c r="Q2742">
        <f>-421.65373064534 -6.36540298389582 -349.37150040879</f>
        <v>-777.39063403802584</v>
      </c>
      <c r="R2742" t="s">
        <v>57022</v>
      </c>
      <c r="S2742" t="s">
        <v>57023</v>
      </c>
      <c r="T2742" t="s">
        <v>57024</v>
      </c>
      <c r="U2742" t="s">
        <v>57025</v>
      </c>
      <c r="V2742" t="s">
        <v>57026</v>
      </c>
      <c r="W2742" t="s">
        <v>57027</v>
      </c>
      <c r="X2742" t="s">
        <v>57028</v>
      </c>
      <c r="Y2742" t="s">
        <v>57029</v>
      </c>
    </row>
    <row r="2743" spans="1:25" x14ac:dyDescent="0.3">
      <c r="A2743">
        <v>137100</v>
      </c>
      <c r="B2743" t="s">
        <v>57030</v>
      </c>
      <c r="C2743" t="s">
        <v>57031</v>
      </c>
      <c r="D2743" t="s">
        <v>57032</v>
      </c>
      <c r="E2743" t="s">
        <v>57033</v>
      </c>
      <c r="F2743" t="s">
        <v>57034</v>
      </c>
      <c r="G2743" t="s">
        <v>57035</v>
      </c>
      <c r="H2743" t="s">
        <v>57036</v>
      </c>
      <c r="I2743" t="s">
        <v>57037</v>
      </c>
      <c r="J2743" t="s">
        <v>57038</v>
      </c>
      <c r="K2743" t="s">
        <v>57039</v>
      </c>
      <c r="L2743" t="s">
        <v>57040</v>
      </c>
      <c r="M2743" t="s">
        <v>57041</v>
      </c>
      <c r="N2743" t="s">
        <v>57042</v>
      </c>
      <c r="O2743">
        <f>-728.711572638717 -80.2917311881461 -710.403883397689</f>
        <v>-1519.4071872245522</v>
      </c>
      <c r="P2743">
        <f>-663.652426995329 -74.089229074317 -400.702440077278</f>
        <v>-1138.444096146924</v>
      </c>
      <c r="Q2743">
        <f>-417.792003010064 -7.24686344751808 -348.483523570953</f>
        <v>-773.52239002853503</v>
      </c>
      <c r="R2743" t="s">
        <v>57043</v>
      </c>
      <c r="S2743" t="s">
        <v>57044</v>
      </c>
      <c r="T2743" t="s">
        <v>57045</v>
      </c>
      <c r="U2743" t="s">
        <v>57046</v>
      </c>
      <c r="V2743" t="s">
        <v>57047</v>
      </c>
      <c r="W2743" t="s">
        <v>57048</v>
      </c>
      <c r="X2743" t="s">
        <v>57049</v>
      </c>
      <c r="Y2743" t="s">
        <v>57050</v>
      </c>
    </row>
    <row r="2744" spans="1:25" x14ac:dyDescent="0.3">
      <c r="A2744">
        <v>137150</v>
      </c>
      <c r="B2744" t="s">
        <v>57051</v>
      </c>
      <c r="C2744" t="s">
        <v>57052</v>
      </c>
      <c r="D2744" t="s">
        <v>57053</v>
      </c>
      <c r="E2744" t="s">
        <v>57054</v>
      </c>
      <c r="F2744" t="s">
        <v>57055</v>
      </c>
      <c r="G2744" t="s">
        <v>57056</v>
      </c>
      <c r="H2744" t="s">
        <v>57057</v>
      </c>
      <c r="I2744" t="s">
        <v>57058</v>
      </c>
      <c r="J2744" t="s">
        <v>57059</v>
      </c>
      <c r="K2744" t="s">
        <v>57060</v>
      </c>
      <c r="L2744" t="s">
        <v>57061</v>
      </c>
      <c r="M2744" t="s">
        <v>57062</v>
      </c>
      <c r="N2744" t="s">
        <v>57063</v>
      </c>
      <c r="O2744">
        <f>-728.163734496981 -84.0825137148354 -705.539028526845</f>
        <v>-1517.7852767386612</v>
      </c>
      <c r="P2744">
        <f>-658.427984086116 -72.2093038176711 -397.02292381619</f>
        <v>-1127.660211719977</v>
      </c>
      <c r="Q2744">
        <f>-412.559107556625 -3.4924948126959 -347.339014349594</f>
        <v>-763.39061671891488</v>
      </c>
      <c r="R2744" t="s">
        <v>57064</v>
      </c>
      <c r="S2744" t="s">
        <v>57065</v>
      </c>
      <c r="T2744" t="s">
        <v>57066</v>
      </c>
      <c r="U2744" t="s">
        <v>57067</v>
      </c>
      <c r="V2744" t="s">
        <v>57068</v>
      </c>
      <c r="W2744" t="s">
        <v>57069</v>
      </c>
      <c r="X2744" t="s">
        <v>57070</v>
      </c>
      <c r="Y2744" t="s">
        <v>57071</v>
      </c>
    </row>
    <row r="2745" spans="1:25" x14ac:dyDescent="0.3">
      <c r="A2745">
        <v>137200</v>
      </c>
      <c r="B2745" t="s">
        <v>57072</v>
      </c>
      <c r="C2745" t="s">
        <v>57073</v>
      </c>
      <c r="D2745" t="s">
        <v>57074</v>
      </c>
      <c r="E2745" t="s">
        <v>57075</v>
      </c>
      <c r="F2745" t="s">
        <v>57076</v>
      </c>
      <c r="G2745" t="s">
        <v>57077</v>
      </c>
      <c r="H2745" t="s">
        <v>57078</v>
      </c>
      <c r="I2745" t="s">
        <v>57079</v>
      </c>
      <c r="J2745" t="s">
        <v>57080</v>
      </c>
      <c r="K2745" t="s">
        <v>57081</v>
      </c>
      <c r="L2745" t="s">
        <v>57082</v>
      </c>
      <c r="M2745" t="s">
        <v>57083</v>
      </c>
      <c r="N2745" t="s">
        <v>57084</v>
      </c>
      <c r="O2745">
        <f>-728.179185537887 -85.6316146394472 -703.62861194082</f>
        <v>-1517.439412118154</v>
      </c>
      <c r="P2745">
        <f>-656.822499035163 -70.4255181026394 -395.630004550243</f>
        <v>-1122.8780216880455</v>
      </c>
      <c r="Q2745" t="s">
        <v>57085</v>
      </c>
      <c r="R2745" t="s">
        <v>57086</v>
      </c>
      <c r="S2745" t="s">
        <v>57087</v>
      </c>
      <c r="T2745" t="s">
        <v>57088</v>
      </c>
      <c r="U2745" t="s">
        <v>57089</v>
      </c>
      <c r="V2745" t="s">
        <v>57090</v>
      </c>
      <c r="W2745" t="s">
        <v>57091</v>
      </c>
      <c r="X2745" t="s">
        <v>57092</v>
      </c>
      <c r="Y2745" t="s">
        <v>57093</v>
      </c>
    </row>
    <row r="2746" spans="1:25" x14ac:dyDescent="0.3">
      <c r="A2746">
        <v>137250</v>
      </c>
      <c r="B2746" t="s">
        <v>57094</v>
      </c>
      <c r="C2746" t="s">
        <v>57095</v>
      </c>
      <c r="D2746" t="s">
        <v>57096</v>
      </c>
      <c r="E2746" t="s">
        <v>57097</v>
      </c>
      <c r="F2746" t="s">
        <v>57098</v>
      </c>
      <c r="G2746" t="s">
        <v>57099</v>
      </c>
      <c r="H2746" t="s">
        <v>57100</v>
      </c>
      <c r="I2746" t="s">
        <v>57101</v>
      </c>
      <c r="J2746" t="s">
        <v>57102</v>
      </c>
      <c r="K2746" t="s">
        <v>57103</v>
      </c>
      <c r="L2746" t="s">
        <v>57104</v>
      </c>
      <c r="M2746" t="s">
        <v>57105</v>
      </c>
      <c r="N2746" t="s">
        <v>57106</v>
      </c>
      <c r="O2746">
        <f>-727.994097592809 -88.0355893000153 -700.874112355176</f>
        <v>-1516.9037992480003</v>
      </c>
      <c r="P2746">
        <f>-656.056575571942 -68.8026085950632 -393.235902437206</f>
        <v>-1118.0950866042112</v>
      </c>
      <c r="Q2746" t="s">
        <v>57107</v>
      </c>
      <c r="R2746" t="s">
        <v>57108</v>
      </c>
      <c r="S2746" t="s">
        <v>57109</v>
      </c>
      <c r="T2746" t="s">
        <v>57110</v>
      </c>
      <c r="U2746" t="s">
        <v>57111</v>
      </c>
      <c r="V2746" t="s">
        <v>57112</v>
      </c>
      <c r="W2746" t="s">
        <v>57113</v>
      </c>
      <c r="X2746" t="s">
        <v>57114</v>
      </c>
      <c r="Y2746" t="s">
        <v>57115</v>
      </c>
    </row>
    <row r="2747" spans="1:25" x14ac:dyDescent="0.3">
      <c r="A2747">
        <v>137300</v>
      </c>
      <c r="B2747" t="s">
        <v>57116</v>
      </c>
      <c r="C2747" t="s">
        <v>57117</v>
      </c>
      <c r="D2747" t="s">
        <v>57118</v>
      </c>
      <c r="E2747" t="s">
        <v>57119</v>
      </c>
      <c r="F2747" t="s">
        <v>57120</v>
      </c>
      <c r="G2747" t="s">
        <v>57121</v>
      </c>
      <c r="H2747" t="s">
        <v>57122</v>
      </c>
      <c r="I2747" t="s">
        <v>57123</v>
      </c>
      <c r="J2747" t="s">
        <v>57124</v>
      </c>
      <c r="K2747" t="s">
        <v>57125</v>
      </c>
      <c r="L2747" t="s">
        <v>57126</v>
      </c>
      <c r="M2747" t="s">
        <v>57127</v>
      </c>
      <c r="N2747" t="s">
        <v>57128</v>
      </c>
      <c r="O2747">
        <f>-728.408344210196 -88.4848598874933 -700.357257244157</f>
        <v>-1517.2504613418464</v>
      </c>
      <c r="P2747">
        <f>-656.340945992237 -67.1238419690221 -392.88989717031</f>
        <v>-1116.3546851315691</v>
      </c>
      <c r="Q2747" t="s">
        <v>57129</v>
      </c>
      <c r="R2747" t="s">
        <v>57130</v>
      </c>
      <c r="S2747" t="s">
        <v>57131</v>
      </c>
      <c r="T2747" t="s">
        <v>57132</v>
      </c>
      <c r="U2747" t="s">
        <v>57133</v>
      </c>
      <c r="V2747" t="s">
        <v>57134</v>
      </c>
      <c r="W2747" t="s">
        <v>57135</v>
      </c>
      <c r="X2747" t="s">
        <v>57136</v>
      </c>
      <c r="Y2747" t="s">
        <v>57137</v>
      </c>
    </row>
    <row r="2748" spans="1:25" x14ac:dyDescent="0.3">
      <c r="A2748">
        <v>137350</v>
      </c>
      <c r="B2748" t="s">
        <v>57138</v>
      </c>
      <c r="C2748" t="s">
        <v>57139</v>
      </c>
      <c r="D2748" t="s">
        <v>57140</v>
      </c>
      <c r="E2748" t="s">
        <v>57141</v>
      </c>
      <c r="F2748" t="s">
        <v>57142</v>
      </c>
      <c r="G2748" t="s">
        <v>57143</v>
      </c>
      <c r="H2748" t="s">
        <v>57144</v>
      </c>
      <c r="I2748" t="s">
        <v>57145</v>
      </c>
      <c r="J2748" t="s">
        <v>57146</v>
      </c>
      <c r="K2748" t="s">
        <v>57147</v>
      </c>
      <c r="L2748" t="s">
        <v>57148</v>
      </c>
      <c r="M2748" t="s">
        <v>57149</v>
      </c>
      <c r="N2748" t="s">
        <v>57150</v>
      </c>
      <c r="O2748">
        <f>-728.218372533105 -88.2803507198976 -700.361556975843</f>
        <v>-1516.8602802288456</v>
      </c>
      <c r="P2748">
        <f>-657.242055596921 -64.5675702824303 -392.81268407289</f>
        <v>-1114.6223099522413</v>
      </c>
      <c r="Q2748" t="s">
        <v>57151</v>
      </c>
      <c r="R2748" t="s">
        <v>57152</v>
      </c>
      <c r="S2748" t="s">
        <v>57153</v>
      </c>
      <c r="T2748" t="s">
        <v>57154</v>
      </c>
      <c r="U2748" t="s">
        <v>57155</v>
      </c>
      <c r="V2748" t="s">
        <v>57156</v>
      </c>
      <c r="W2748" t="s">
        <v>57157</v>
      </c>
      <c r="X2748" t="s">
        <v>57158</v>
      </c>
      <c r="Y2748" t="s">
        <v>57159</v>
      </c>
    </row>
    <row r="2749" spans="1:25" x14ac:dyDescent="0.3">
      <c r="A2749">
        <v>137400</v>
      </c>
      <c r="B2749" t="s">
        <v>57160</v>
      </c>
      <c r="C2749" t="s">
        <v>57161</v>
      </c>
      <c r="D2749" t="s">
        <v>57162</v>
      </c>
      <c r="E2749" t="s">
        <v>57163</v>
      </c>
      <c r="F2749" t="s">
        <v>57164</v>
      </c>
      <c r="G2749" t="s">
        <v>57165</v>
      </c>
      <c r="H2749" t="s">
        <v>57166</v>
      </c>
      <c r="I2749" t="s">
        <v>57167</v>
      </c>
      <c r="J2749" t="s">
        <v>57168</v>
      </c>
      <c r="K2749" t="s">
        <v>57169</v>
      </c>
      <c r="L2749" t="s">
        <v>57170</v>
      </c>
      <c r="M2749" t="s">
        <v>57171</v>
      </c>
      <c r="N2749" t="s">
        <v>57172</v>
      </c>
      <c r="O2749">
        <f>-727.930009096816 -87.4988220484574 -700.569096440129</f>
        <v>-1515.9979275854025</v>
      </c>
      <c r="P2749">
        <f>-657.749964036857 -62.0537650728495 -392.976041559797</f>
        <v>-1112.7797706695035</v>
      </c>
      <c r="Q2749" t="s">
        <v>57173</v>
      </c>
      <c r="R2749" t="s">
        <v>57174</v>
      </c>
      <c r="S2749" t="s">
        <v>57175</v>
      </c>
      <c r="T2749" t="s">
        <v>57176</v>
      </c>
      <c r="U2749" t="s">
        <v>57177</v>
      </c>
      <c r="V2749" t="s">
        <v>57178</v>
      </c>
      <c r="W2749" t="s">
        <v>57179</v>
      </c>
      <c r="X2749" t="s">
        <v>57180</v>
      </c>
      <c r="Y2749" t="s">
        <v>57181</v>
      </c>
    </row>
    <row r="2750" spans="1:25" x14ac:dyDescent="0.3">
      <c r="A2750">
        <v>137450</v>
      </c>
      <c r="B2750" t="s">
        <v>57182</v>
      </c>
      <c r="C2750" t="s">
        <v>57183</v>
      </c>
      <c r="D2750" t="s">
        <v>57184</v>
      </c>
      <c r="E2750" t="s">
        <v>57185</v>
      </c>
      <c r="F2750" t="s">
        <v>57186</v>
      </c>
      <c r="G2750" t="s">
        <v>57187</v>
      </c>
      <c r="H2750" t="s">
        <v>57188</v>
      </c>
      <c r="I2750" t="s">
        <v>57189</v>
      </c>
      <c r="J2750" t="s">
        <v>57190</v>
      </c>
      <c r="K2750" t="s">
        <v>57191</v>
      </c>
      <c r="L2750" t="s">
        <v>57192</v>
      </c>
      <c r="M2750" t="s">
        <v>57193</v>
      </c>
      <c r="N2750" t="s">
        <v>57194</v>
      </c>
      <c r="O2750">
        <f>-726.531455545439 -85.1121146316252 -701.517080896967</f>
        <v>-1513.1606510740312</v>
      </c>
      <c r="P2750">
        <f>-658.756838904621 -59.6039096613968 -393.390300947406</f>
        <v>-1111.7510495134238</v>
      </c>
      <c r="Q2750" t="s">
        <v>57195</v>
      </c>
      <c r="R2750" t="s">
        <v>57196</v>
      </c>
      <c r="S2750" t="s">
        <v>57197</v>
      </c>
      <c r="T2750" t="s">
        <v>57198</v>
      </c>
      <c r="U2750" t="s">
        <v>57199</v>
      </c>
      <c r="V2750" t="s">
        <v>57200</v>
      </c>
      <c r="W2750" t="s">
        <v>57201</v>
      </c>
      <c r="X2750" t="s">
        <v>57202</v>
      </c>
      <c r="Y2750" t="s">
        <v>57203</v>
      </c>
    </row>
    <row r="2751" spans="1:25" x14ac:dyDescent="0.3">
      <c r="A2751">
        <v>137500</v>
      </c>
      <c r="B2751" t="s">
        <v>57204</v>
      </c>
      <c r="C2751" t="s">
        <v>57205</v>
      </c>
      <c r="D2751" t="s">
        <v>57206</v>
      </c>
      <c r="E2751" t="s">
        <v>57207</v>
      </c>
      <c r="F2751" t="s">
        <v>57208</v>
      </c>
      <c r="G2751" t="s">
        <v>57209</v>
      </c>
      <c r="H2751" t="s">
        <v>57210</v>
      </c>
      <c r="I2751" t="s">
        <v>57211</v>
      </c>
      <c r="J2751" t="s">
        <v>57212</v>
      </c>
      <c r="K2751" t="s">
        <v>57213</v>
      </c>
      <c r="L2751" t="s">
        <v>57214</v>
      </c>
      <c r="M2751" t="s">
        <v>57215</v>
      </c>
      <c r="N2751" t="s">
        <v>57216</v>
      </c>
      <c r="O2751">
        <f>-726.176793579319 -83.7193343904075 -702.327106746855</f>
        <v>-1512.2232347165814</v>
      </c>
      <c r="P2751">
        <f>-659.690267767887 -57.9790783199226 -393.939223786835</f>
        <v>-1111.6085698746447</v>
      </c>
      <c r="Q2751" t="s">
        <v>57217</v>
      </c>
      <c r="R2751" t="s">
        <v>57218</v>
      </c>
      <c r="S2751" t="s">
        <v>57219</v>
      </c>
      <c r="T2751" t="s">
        <v>57220</v>
      </c>
      <c r="U2751" t="s">
        <v>57221</v>
      </c>
      <c r="V2751" t="s">
        <v>57222</v>
      </c>
      <c r="W2751" t="s">
        <v>57223</v>
      </c>
      <c r="X2751" t="s">
        <v>57224</v>
      </c>
      <c r="Y2751" t="s">
        <v>57225</v>
      </c>
    </row>
    <row r="2752" spans="1:25" x14ac:dyDescent="0.3">
      <c r="A2752">
        <v>137550</v>
      </c>
      <c r="B2752" t="s">
        <v>57226</v>
      </c>
      <c r="C2752" t="s">
        <v>57227</v>
      </c>
      <c r="D2752" t="s">
        <v>57228</v>
      </c>
      <c r="E2752" t="s">
        <v>57229</v>
      </c>
      <c r="F2752" t="s">
        <v>57230</v>
      </c>
      <c r="G2752" t="s">
        <v>57231</v>
      </c>
      <c r="H2752" t="s">
        <v>57232</v>
      </c>
      <c r="I2752" t="s">
        <v>57233</v>
      </c>
      <c r="J2752" t="s">
        <v>57234</v>
      </c>
      <c r="K2752" t="s">
        <v>57235</v>
      </c>
      <c r="L2752" t="s">
        <v>57236</v>
      </c>
      <c r="M2752" t="s">
        <v>57237</v>
      </c>
      <c r="N2752" t="s">
        <v>57238</v>
      </c>
      <c r="O2752">
        <f>-725.520917365019 -81.8419953222121 -704.187397009295</f>
        <v>-1511.5503096965263</v>
      </c>
      <c r="P2752">
        <f>-662.759835242211 -56.8233790364272 -394.960542177506</f>
        <v>-1114.5437564561444</v>
      </c>
      <c r="Q2752" t="s">
        <v>57239</v>
      </c>
      <c r="R2752" t="s">
        <v>57240</v>
      </c>
      <c r="S2752" t="s">
        <v>57241</v>
      </c>
      <c r="T2752" t="s">
        <v>57242</v>
      </c>
      <c r="U2752" t="s">
        <v>57243</v>
      </c>
      <c r="V2752" t="s">
        <v>57244</v>
      </c>
      <c r="W2752" t="s">
        <v>57245</v>
      </c>
      <c r="X2752" t="s">
        <v>57246</v>
      </c>
      <c r="Y2752" t="s">
        <v>57247</v>
      </c>
    </row>
    <row r="2753" spans="1:25" x14ac:dyDescent="0.3">
      <c r="A2753">
        <v>137600</v>
      </c>
      <c r="B2753" t="s">
        <v>57248</v>
      </c>
      <c r="C2753" t="s">
        <v>57249</v>
      </c>
      <c r="D2753" t="s">
        <v>57250</v>
      </c>
      <c r="E2753" t="s">
        <v>57251</v>
      </c>
      <c r="F2753" t="s">
        <v>57252</v>
      </c>
      <c r="G2753" t="s">
        <v>57253</v>
      </c>
      <c r="H2753" t="s">
        <v>57254</v>
      </c>
      <c r="I2753" t="s">
        <v>57255</v>
      </c>
      <c r="J2753" t="s">
        <v>57256</v>
      </c>
      <c r="K2753" t="s">
        <v>57257</v>
      </c>
      <c r="L2753" t="s">
        <v>57258</v>
      </c>
      <c r="M2753" t="s">
        <v>57259</v>
      </c>
      <c r="N2753" t="s">
        <v>57260</v>
      </c>
      <c r="O2753">
        <f>-725.461151078846 -81.1429282808172 -705.576079770736</f>
        <v>-1512.1801591303993</v>
      </c>
      <c r="P2753">
        <f>-664.389639564873 -57.25352400063 -395.921857345528</f>
        <v>-1117.5650209110311</v>
      </c>
      <c r="Q2753" t="s">
        <v>57261</v>
      </c>
      <c r="R2753" t="s">
        <v>57262</v>
      </c>
      <c r="S2753" t="s">
        <v>57263</v>
      </c>
      <c r="T2753" t="s">
        <v>57264</v>
      </c>
      <c r="U2753" t="s">
        <v>57265</v>
      </c>
      <c r="V2753" t="s">
        <v>57266</v>
      </c>
      <c r="W2753" t="s">
        <v>57267</v>
      </c>
      <c r="X2753" t="s">
        <v>57268</v>
      </c>
      <c r="Y2753" t="s">
        <v>57269</v>
      </c>
    </row>
    <row r="2754" spans="1:25" x14ac:dyDescent="0.3">
      <c r="A2754">
        <v>137650</v>
      </c>
      <c r="B2754" t="s">
        <v>57270</v>
      </c>
      <c r="C2754" t="s">
        <v>57271</v>
      </c>
      <c r="D2754" t="s">
        <v>57272</v>
      </c>
      <c r="E2754" t="s">
        <v>57273</v>
      </c>
      <c r="F2754" t="s">
        <v>57274</v>
      </c>
      <c r="G2754" t="s">
        <v>57275</v>
      </c>
      <c r="H2754" t="s">
        <v>57276</v>
      </c>
      <c r="I2754" t="s">
        <v>57277</v>
      </c>
      <c r="J2754" t="s">
        <v>57278</v>
      </c>
      <c r="K2754" t="s">
        <v>57279</v>
      </c>
      <c r="L2754" t="s">
        <v>57280</v>
      </c>
      <c r="M2754" t="s">
        <v>57281</v>
      </c>
      <c r="N2754" t="s">
        <v>57282</v>
      </c>
      <c r="O2754">
        <f>-725.75493159151 -79.9301409810755 -708.915938521497</f>
        <v>-1514.6010110940824</v>
      </c>
      <c r="P2754">
        <f>-667.68452966862 -58.183677974617 -398.527474350765</f>
        <v>-1124.395681994002</v>
      </c>
      <c r="Q2754" t="s">
        <v>57283</v>
      </c>
      <c r="R2754" t="s">
        <v>57284</v>
      </c>
      <c r="S2754" t="s">
        <v>57285</v>
      </c>
      <c r="T2754" t="s">
        <v>57286</v>
      </c>
      <c r="U2754" t="s">
        <v>57287</v>
      </c>
      <c r="V2754" t="s">
        <v>57288</v>
      </c>
      <c r="W2754" t="s">
        <v>57289</v>
      </c>
      <c r="X2754" t="s">
        <v>57290</v>
      </c>
      <c r="Y2754" t="s">
        <v>57291</v>
      </c>
    </row>
    <row r="2755" spans="1:25" x14ac:dyDescent="0.3">
      <c r="A2755">
        <v>137700</v>
      </c>
      <c r="B2755" t="s">
        <v>57292</v>
      </c>
      <c r="C2755" t="s">
        <v>57293</v>
      </c>
      <c r="D2755" t="s">
        <v>57294</v>
      </c>
      <c r="E2755" t="s">
        <v>57295</v>
      </c>
      <c r="F2755" t="s">
        <v>57296</v>
      </c>
      <c r="G2755" t="s">
        <v>57297</v>
      </c>
      <c r="H2755" t="s">
        <v>57298</v>
      </c>
      <c r="I2755" t="s">
        <v>57299</v>
      </c>
      <c r="J2755" t="s">
        <v>57300</v>
      </c>
      <c r="K2755" t="s">
        <v>57301</v>
      </c>
      <c r="L2755" t="s">
        <v>57302</v>
      </c>
      <c r="M2755" t="s">
        <v>57303</v>
      </c>
      <c r="N2755" t="s">
        <v>57304</v>
      </c>
      <c r="O2755">
        <f>-726.397368247949 -78.7922766382551 -710.475412312953</f>
        <v>-1515.6650571991572</v>
      </c>
      <c r="P2755">
        <f>-669.642993819835 -58.412302490005 -399.750901256995</f>
        <v>-1127.8061975668352</v>
      </c>
      <c r="Q2755" t="s">
        <v>57305</v>
      </c>
      <c r="R2755" t="s">
        <v>57306</v>
      </c>
      <c r="S2755" t="s">
        <v>57307</v>
      </c>
      <c r="T2755" t="s">
        <v>57308</v>
      </c>
      <c r="U2755" t="s">
        <v>57309</v>
      </c>
      <c r="V2755" t="s">
        <v>57310</v>
      </c>
      <c r="W2755" t="s">
        <v>57311</v>
      </c>
      <c r="X2755" t="s">
        <v>57312</v>
      </c>
      <c r="Y2755" t="s">
        <v>57313</v>
      </c>
    </row>
    <row r="2756" spans="1:25" x14ac:dyDescent="0.3">
      <c r="A2756">
        <v>137750</v>
      </c>
      <c r="B2756" t="s">
        <v>57314</v>
      </c>
      <c r="C2756" t="s">
        <v>57315</v>
      </c>
      <c r="D2756" t="s">
        <v>57316</v>
      </c>
      <c r="E2756" t="s">
        <v>57317</v>
      </c>
      <c r="F2756" t="s">
        <v>57318</v>
      </c>
      <c r="G2756" t="s">
        <v>57319</v>
      </c>
      <c r="H2756" t="s">
        <v>57320</v>
      </c>
      <c r="I2756" t="s">
        <v>57321</v>
      </c>
      <c r="J2756" t="s">
        <v>57322</v>
      </c>
      <c r="K2756" t="s">
        <v>57323</v>
      </c>
      <c r="L2756" t="s">
        <v>57324</v>
      </c>
      <c r="M2756" t="s">
        <v>57325</v>
      </c>
      <c r="N2756" t="s">
        <v>57326</v>
      </c>
      <c r="O2756">
        <f>-727.764034345315 -76.6445246741837 -713.128365595729</f>
        <v>-1517.5369246152277</v>
      </c>
      <c r="P2756">
        <f>-673.62402668963 -58.9324277215283 -401.77416568809</f>
        <v>-1134.3306200992483</v>
      </c>
      <c r="Q2756" t="s">
        <v>57327</v>
      </c>
      <c r="R2756" t="s">
        <v>57328</v>
      </c>
      <c r="S2756" t="s">
        <v>57329</v>
      </c>
      <c r="T2756" t="s">
        <v>57330</v>
      </c>
      <c r="U2756" t="s">
        <v>57331</v>
      </c>
      <c r="V2756" t="s">
        <v>57332</v>
      </c>
      <c r="W2756" t="s">
        <v>57333</v>
      </c>
      <c r="X2756" t="s">
        <v>57334</v>
      </c>
      <c r="Y2756" t="s">
        <v>57335</v>
      </c>
    </row>
    <row r="2757" spans="1:25" x14ac:dyDescent="0.3">
      <c r="A2757">
        <v>137800</v>
      </c>
      <c r="B2757" t="s">
        <v>57336</v>
      </c>
      <c r="C2757" t="s">
        <v>57337</v>
      </c>
      <c r="D2757" t="s">
        <v>57338</v>
      </c>
      <c r="E2757" t="s">
        <v>57339</v>
      </c>
      <c r="F2757" t="s">
        <v>57340</v>
      </c>
      <c r="G2757" t="s">
        <v>57341</v>
      </c>
      <c r="H2757" t="s">
        <v>57342</v>
      </c>
      <c r="I2757" t="s">
        <v>57343</v>
      </c>
      <c r="J2757" t="s">
        <v>57344</v>
      </c>
      <c r="K2757" t="s">
        <v>57345</v>
      </c>
      <c r="L2757" t="s">
        <v>57346</v>
      </c>
      <c r="M2757" t="s">
        <v>57347</v>
      </c>
      <c r="N2757" t="s">
        <v>57348</v>
      </c>
      <c r="O2757">
        <f>-728.651493396056 -75.361235592319 -714.060070469003</f>
        <v>-1518.0727994573781</v>
      </c>
      <c r="P2757">
        <f>-675.754678007755 -59.012828417525 -402.417766261206</f>
        <v>-1137.1852726864861</v>
      </c>
      <c r="Q2757" t="s">
        <v>57349</v>
      </c>
      <c r="R2757" t="s">
        <v>57350</v>
      </c>
      <c r="S2757" t="s">
        <v>57351</v>
      </c>
      <c r="T2757" t="s">
        <v>57352</v>
      </c>
      <c r="U2757" t="s">
        <v>57353</v>
      </c>
      <c r="V2757" t="s">
        <v>57354</v>
      </c>
      <c r="W2757" t="s">
        <v>57355</v>
      </c>
      <c r="X2757" t="s">
        <v>57356</v>
      </c>
      <c r="Y2757" t="s">
        <v>57357</v>
      </c>
    </row>
    <row r="2758" spans="1:25" x14ac:dyDescent="0.3">
      <c r="A2758">
        <v>137850</v>
      </c>
      <c r="B2758" t="s">
        <v>57358</v>
      </c>
      <c r="C2758" t="s">
        <v>57359</v>
      </c>
      <c r="D2758" t="s">
        <v>57360</v>
      </c>
      <c r="E2758" t="s">
        <v>57361</v>
      </c>
      <c r="F2758" t="s">
        <v>57362</v>
      </c>
      <c r="G2758" t="s">
        <v>57363</v>
      </c>
      <c r="H2758" t="s">
        <v>57364</v>
      </c>
      <c r="I2758" t="s">
        <v>57365</v>
      </c>
      <c r="J2758" t="s">
        <v>57366</v>
      </c>
      <c r="K2758" t="s">
        <v>57367</v>
      </c>
      <c r="L2758" t="s">
        <v>57368</v>
      </c>
      <c r="M2758" t="s">
        <v>57369</v>
      </c>
      <c r="N2758" t="s">
        <v>57370</v>
      </c>
      <c r="O2758">
        <f>-730.765145196224 -72.7906568666938 -715.212865453932</f>
        <v>-1518.7686675168497</v>
      </c>
      <c r="P2758">
        <f>-679.457484390369 -58.3566678519187 -403.210617011152</f>
        <v>-1141.0247692534397</v>
      </c>
      <c r="Q2758" t="s">
        <v>57371</v>
      </c>
      <c r="R2758" t="s">
        <v>57372</v>
      </c>
      <c r="S2758" t="s">
        <v>57373</v>
      </c>
      <c r="T2758" t="s">
        <v>57374</v>
      </c>
      <c r="U2758" t="s">
        <v>57375</v>
      </c>
      <c r="V2758" t="s">
        <v>57376</v>
      </c>
      <c r="W2758" t="s">
        <v>57377</v>
      </c>
      <c r="X2758" t="s">
        <v>57378</v>
      </c>
      <c r="Y2758" t="s">
        <v>57379</v>
      </c>
    </row>
    <row r="2759" spans="1:25" x14ac:dyDescent="0.3">
      <c r="A2759">
        <v>137900</v>
      </c>
      <c r="B2759" t="s">
        <v>57380</v>
      </c>
      <c r="C2759" t="s">
        <v>57381</v>
      </c>
      <c r="D2759" t="s">
        <v>57382</v>
      </c>
      <c r="E2759" t="s">
        <v>57383</v>
      </c>
      <c r="F2759" t="s">
        <v>57384</v>
      </c>
      <c r="G2759" t="s">
        <v>57385</v>
      </c>
      <c r="H2759" t="s">
        <v>57386</v>
      </c>
      <c r="I2759" t="s">
        <v>57387</v>
      </c>
      <c r="J2759" t="s">
        <v>57388</v>
      </c>
      <c r="K2759" t="s">
        <v>57389</v>
      </c>
      <c r="L2759" t="s">
        <v>57390</v>
      </c>
      <c r="M2759" t="s">
        <v>57391</v>
      </c>
      <c r="N2759" t="s">
        <v>57392</v>
      </c>
      <c r="O2759">
        <f>-731.728709086495 -71.3752695463879 -715.481569970705</f>
        <v>-1518.585548603588</v>
      </c>
      <c r="P2759">
        <f>-680.851657376171 -57.8107673286993 -403.369862373682</f>
        <v>-1142.0322870785524</v>
      </c>
      <c r="Q2759" t="s">
        <v>57393</v>
      </c>
      <c r="R2759" t="s">
        <v>57394</v>
      </c>
      <c r="S2759" t="s">
        <v>57395</v>
      </c>
      <c r="T2759" t="s">
        <v>57396</v>
      </c>
      <c r="U2759" t="s">
        <v>57397</v>
      </c>
      <c r="V2759" t="s">
        <v>57398</v>
      </c>
      <c r="W2759" t="s">
        <v>57399</v>
      </c>
      <c r="X2759" t="s">
        <v>57400</v>
      </c>
      <c r="Y2759" t="s">
        <v>57401</v>
      </c>
    </row>
    <row r="2760" spans="1:25" x14ac:dyDescent="0.3">
      <c r="A2760">
        <v>137950</v>
      </c>
      <c r="B2760" t="s">
        <v>57402</v>
      </c>
      <c r="C2760" t="s">
        <v>57403</v>
      </c>
      <c r="D2760" t="s">
        <v>57404</v>
      </c>
      <c r="E2760" t="s">
        <v>57405</v>
      </c>
      <c r="F2760" t="s">
        <v>57406</v>
      </c>
      <c r="G2760" t="s">
        <v>57407</v>
      </c>
      <c r="H2760" t="s">
        <v>57408</v>
      </c>
      <c r="I2760" t="s">
        <v>57409</v>
      </c>
      <c r="J2760" t="s">
        <v>57410</v>
      </c>
      <c r="K2760" t="s">
        <v>57411</v>
      </c>
      <c r="L2760" t="s">
        <v>57412</v>
      </c>
      <c r="M2760" t="s">
        <v>57413</v>
      </c>
      <c r="N2760" t="s">
        <v>57414</v>
      </c>
      <c r="O2760">
        <f>-733.344675932909 -69.2875541216597 -716.107746414721</f>
        <v>-1518.7399764692896</v>
      </c>
      <c r="P2760">
        <f>-683.559526155359 -56.9728032214061 -403.768296002032</f>
        <v>-1144.3006253787971</v>
      </c>
      <c r="Q2760" t="s">
        <v>57415</v>
      </c>
      <c r="R2760" t="s">
        <v>57416</v>
      </c>
      <c r="S2760" t="s">
        <v>57417</v>
      </c>
      <c r="T2760" t="s">
        <v>57418</v>
      </c>
      <c r="U2760" t="s">
        <v>57419</v>
      </c>
      <c r="V2760" t="s">
        <v>57420</v>
      </c>
      <c r="W2760" t="s">
        <v>57421</v>
      </c>
      <c r="X2760" t="s">
        <v>57422</v>
      </c>
      <c r="Y2760" t="s">
        <v>57423</v>
      </c>
    </row>
    <row r="2761" spans="1:25" x14ac:dyDescent="0.3">
      <c r="A2761">
        <v>138000</v>
      </c>
      <c r="B2761" t="s">
        <v>57424</v>
      </c>
      <c r="C2761" t="s">
        <v>57425</v>
      </c>
      <c r="D2761" t="s">
        <v>57426</v>
      </c>
      <c r="E2761" t="s">
        <v>57427</v>
      </c>
      <c r="F2761" t="s">
        <v>57428</v>
      </c>
      <c r="G2761" t="s">
        <v>57429</v>
      </c>
      <c r="H2761" t="s">
        <v>57430</v>
      </c>
      <c r="I2761" t="s">
        <v>57431</v>
      </c>
      <c r="J2761" t="s">
        <v>57432</v>
      </c>
      <c r="K2761" t="s">
        <v>57433</v>
      </c>
      <c r="L2761" t="s">
        <v>57434</v>
      </c>
      <c r="M2761" t="s">
        <v>57435</v>
      </c>
      <c r="N2761" t="s">
        <v>57436</v>
      </c>
      <c r="O2761">
        <f>-733.725504527144 -68.0724684129589 -716.473173813585</f>
        <v>-1518.2711467536878</v>
      </c>
      <c r="P2761">
        <f>-684.224368159928 -56.9438855933095 -404.043892745406</f>
        <v>-1145.2121464986435</v>
      </c>
      <c r="Q2761" t="s">
        <v>57437</v>
      </c>
      <c r="R2761" t="s">
        <v>57438</v>
      </c>
      <c r="S2761" t="s">
        <v>57439</v>
      </c>
      <c r="T2761" t="s">
        <v>57440</v>
      </c>
      <c r="U2761" t="s">
        <v>57441</v>
      </c>
      <c r="V2761" t="s">
        <v>57442</v>
      </c>
      <c r="W2761" t="s">
        <v>57443</v>
      </c>
      <c r="X2761" t="s">
        <v>57444</v>
      </c>
      <c r="Y2761" t="s">
        <v>57445</v>
      </c>
    </row>
    <row r="2762" spans="1:25" x14ac:dyDescent="0.3">
      <c r="A2762">
        <v>138050</v>
      </c>
      <c r="B2762" t="s">
        <v>57446</v>
      </c>
      <c r="C2762" t="s">
        <v>57447</v>
      </c>
      <c r="D2762" t="s">
        <v>57448</v>
      </c>
      <c r="E2762" t="s">
        <v>57449</v>
      </c>
      <c r="F2762" t="s">
        <v>57450</v>
      </c>
      <c r="G2762" t="s">
        <v>57451</v>
      </c>
      <c r="H2762" t="s">
        <v>57452</v>
      </c>
      <c r="I2762" t="s">
        <v>57453</v>
      </c>
      <c r="J2762" t="s">
        <v>57454</v>
      </c>
      <c r="K2762" t="s">
        <v>57455</v>
      </c>
      <c r="L2762" t="s">
        <v>57456</v>
      </c>
      <c r="M2762" t="s">
        <v>57457</v>
      </c>
      <c r="N2762" t="s">
        <v>57458</v>
      </c>
      <c r="O2762">
        <f>-734.343757952553 -66.1206401922507 -717.096318263076</f>
        <v>-1517.5607164078797</v>
      </c>
      <c r="P2762">
        <f>-685.679261108175 -55.8497109945386 -404.506291770402</f>
        <v>-1146.0352638731156</v>
      </c>
      <c r="Q2762" t="s">
        <v>57459</v>
      </c>
      <c r="R2762" t="s">
        <v>57460</v>
      </c>
      <c r="S2762" t="s">
        <v>57461</v>
      </c>
      <c r="T2762" t="s">
        <v>57462</v>
      </c>
      <c r="U2762" t="s">
        <v>57463</v>
      </c>
      <c r="V2762" t="s">
        <v>57464</v>
      </c>
      <c r="W2762" t="s">
        <v>57465</v>
      </c>
      <c r="X2762" t="s">
        <v>57466</v>
      </c>
      <c r="Y2762" t="s">
        <v>57467</v>
      </c>
    </row>
    <row r="2763" spans="1:25" x14ac:dyDescent="0.3">
      <c r="A2763">
        <v>138100</v>
      </c>
      <c r="B2763" t="s">
        <v>57468</v>
      </c>
      <c r="C2763" t="s">
        <v>57469</v>
      </c>
      <c r="D2763" t="s">
        <v>57470</v>
      </c>
      <c r="E2763" t="s">
        <v>57471</v>
      </c>
      <c r="F2763" t="s">
        <v>57472</v>
      </c>
      <c r="G2763" t="s">
        <v>57473</v>
      </c>
      <c r="H2763" t="s">
        <v>57474</v>
      </c>
      <c r="I2763" t="s">
        <v>57475</v>
      </c>
      <c r="J2763" t="s">
        <v>57476</v>
      </c>
      <c r="K2763" t="s">
        <v>57477</v>
      </c>
      <c r="L2763" t="s">
        <v>57478</v>
      </c>
      <c r="M2763" t="s">
        <v>57479</v>
      </c>
      <c r="N2763" t="s">
        <v>57480</v>
      </c>
      <c r="O2763">
        <f>-734.812758340584 -65.4032907851004 -717.357688177178</f>
        <v>-1517.5737373028624</v>
      </c>
      <c r="P2763">
        <f>-686.096030259641 -55.6077372148982 -404.760569791058</f>
        <v>-1146.4643372655971</v>
      </c>
      <c r="Q2763" t="s">
        <v>57481</v>
      </c>
      <c r="R2763" t="s">
        <v>57482</v>
      </c>
      <c r="S2763" t="s">
        <v>57483</v>
      </c>
      <c r="T2763" t="s">
        <v>57484</v>
      </c>
      <c r="U2763" t="s">
        <v>57485</v>
      </c>
      <c r="V2763" t="s">
        <v>57486</v>
      </c>
      <c r="W2763" t="s">
        <v>57487</v>
      </c>
      <c r="X2763" t="s">
        <v>57488</v>
      </c>
      <c r="Y2763" t="s">
        <v>57489</v>
      </c>
    </row>
    <row r="2764" spans="1:25" x14ac:dyDescent="0.3">
      <c r="A2764">
        <v>138150</v>
      </c>
      <c r="B2764" t="s">
        <v>57490</v>
      </c>
      <c r="C2764" t="s">
        <v>57491</v>
      </c>
      <c r="D2764" t="s">
        <v>57492</v>
      </c>
      <c r="E2764" t="s">
        <v>57493</v>
      </c>
      <c r="F2764" t="s">
        <v>57494</v>
      </c>
      <c r="G2764" t="s">
        <v>57495</v>
      </c>
      <c r="H2764" t="s">
        <v>57496</v>
      </c>
      <c r="I2764" t="s">
        <v>57497</v>
      </c>
      <c r="J2764" t="s">
        <v>57498</v>
      </c>
      <c r="K2764" t="s">
        <v>57499</v>
      </c>
      <c r="L2764" t="s">
        <v>57500</v>
      </c>
      <c r="M2764" t="s">
        <v>57501</v>
      </c>
      <c r="N2764" t="s">
        <v>57502</v>
      </c>
      <c r="O2764">
        <f>-735.265924835203 -65.4374440002271 -717.509018754838</f>
        <v>-1518.212387590268</v>
      </c>
      <c r="P2764">
        <f>-686.106574378055 -55.9452368917782 -404.971766146675</f>
        <v>-1147.0235774165083</v>
      </c>
      <c r="Q2764" t="s">
        <v>57503</v>
      </c>
      <c r="R2764" t="s">
        <v>57504</v>
      </c>
      <c r="S2764" t="s">
        <v>57505</v>
      </c>
      <c r="T2764" t="s">
        <v>57506</v>
      </c>
      <c r="U2764" t="s">
        <v>57507</v>
      </c>
      <c r="V2764" t="s">
        <v>57508</v>
      </c>
      <c r="W2764" t="s">
        <v>57509</v>
      </c>
      <c r="X2764" t="s">
        <v>57510</v>
      </c>
      <c r="Y2764" t="s">
        <v>57511</v>
      </c>
    </row>
    <row r="2765" spans="1:25" x14ac:dyDescent="0.3">
      <c r="A2765">
        <v>138200</v>
      </c>
      <c r="B2765" t="s">
        <v>57512</v>
      </c>
      <c r="C2765" t="s">
        <v>57513</v>
      </c>
      <c r="D2765" t="s">
        <v>57514</v>
      </c>
      <c r="E2765" t="s">
        <v>57515</v>
      </c>
      <c r="F2765" t="s">
        <v>57516</v>
      </c>
      <c r="G2765" t="s">
        <v>57517</v>
      </c>
      <c r="H2765" t="s">
        <v>57518</v>
      </c>
      <c r="I2765" t="s">
        <v>57519</v>
      </c>
      <c r="J2765" t="s">
        <v>57520</v>
      </c>
      <c r="K2765" t="s">
        <v>57521</v>
      </c>
      <c r="L2765" t="s">
        <v>57522</v>
      </c>
      <c r="M2765" t="s">
        <v>57523</v>
      </c>
      <c r="N2765" t="s">
        <v>57524</v>
      </c>
      <c r="O2765">
        <f>-735.313107611066 -66.049402421896 -717.572092932194</f>
        <v>-1518.934602965156</v>
      </c>
      <c r="P2765">
        <f>-685.743006907347 -56.5530183999131 -405.100000104378</f>
        <v>-1147.396025411638</v>
      </c>
      <c r="Q2765" t="s">
        <v>57525</v>
      </c>
      <c r="R2765" t="s">
        <v>57526</v>
      </c>
      <c r="S2765" t="s">
        <v>57527</v>
      </c>
      <c r="T2765" t="s">
        <v>57528</v>
      </c>
      <c r="U2765" t="s">
        <v>57529</v>
      </c>
      <c r="V2765" t="s">
        <v>57530</v>
      </c>
      <c r="W2765" t="s">
        <v>57531</v>
      </c>
      <c r="X2765" t="s">
        <v>57532</v>
      </c>
      <c r="Y2765" t="s">
        <v>57533</v>
      </c>
    </row>
    <row r="2766" spans="1:25" x14ac:dyDescent="0.3">
      <c r="A2766">
        <v>138250</v>
      </c>
      <c r="B2766" t="s">
        <v>57534</v>
      </c>
      <c r="C2766" t="s">
        <v>57535</v>
      </c>
      <c r="D2766" t="s">
        <v>57536</v>
      </c>
      <c r="E2766" t="s">
        <v>57537</v>
      </c>
      <c r="F2766" t="s">
        <v>57538</v>
      </c>
      <c r="G2766" t="s">
        <v>57539</v>
      </c>
      <c r="H2766" t="s">
        <v>57540</v>
      </c>
      <c r="I2766" t="s">
        <v>57541</v>
      </c>
      <c r="J2766" t="s">
        <v>57542</v>
      </c>
      <c r="K2766" t="s">
        <v>57543</v>
      </c>
      <c r="L2766" t="s">
        <v>57544</v>
      </c>
      <c r="M2766" t="s">
        <v>57545</v>
      </c>
      <c r="N2766" t="s">
        <v>57546</v>
      </c>
      <c r="O2766">
        <f>-734.442589441747 -68.1786881193877 -717.802956707726</f>
        <v>-1520.4242342688608</v>
      </c>
      <c r="P2766">
        <f>-684.802357792897 -58.5031416064828 -405.347584854495</f>
        <v>-1148.6530842538748</v>
      </c>
      <c r="Q2766" t="s">
        <v>57547</v>
      </c>
      <c r="R2766" t="s">
        <v>57548</v>
      </c>
      <c r="S2766" t="s">
        <v>57549</v>
      </c>
      <c r="T2766" t="s">
        <v>57550</v>
      </c>
      <c r="U2766" t="s">
        <v>57551</v>
      </c>
      <c r="V2766" t="s">
        <v>57552</v>
      </c>
      <c r="W2766" t="s">
        <v>57553</v>
      </c>
      <c r="X2766" t="s">
        <v>57554</v>
      </c>
      <c r="Y2766" t="s">
        <v>57555</v>
      </c>
    </row>
    <row r="2767" spans="1:25" x14ac:dyDescent="0.3">
      <c r="A2767">
        <v>138300</v>
      </c>
      <c r="B2767" t="s">
        <v>57556</v>
      </c>
      <c r="C2767" t="s">
        <v>57557</v>
      </c>
      <c r="D2767" t="s">
        <v>57558</v>
      </c>
      <c r="E2767" t="s">
        <v>57559</v>
      </c>
      <c r="F2767" t="s">
        <v>57560</v>
      </c>
      <c r="G2767" t="s">
        <v>57561</v>
      </c>
      <c r="H2767" t="s">
        <v>57562</v>
      </c>
      <c r="I2767" t="s">
        <v>57563</v>
      </c>
      <c r="J2767" t="s">
        <v>57564</v>
      </c>
      <c r="K2767" t="s">
        <v>57565</v>
      </c>
      <c r="L2767" t="s">
        <v>57566</v>
      </c>
      <c r="M2767" t="s">
        <v>57567</v>
      </c>
      <c r="N2767" t="s">
        <v>57568</v>
      </c>
      <c r="O2767">
        <f>-733.820776998218 -69.7181275115217 -718.062377415065</f>
        <v>-1521.6012819248049</v>
      </c>
      <c r="P2767">
        <f>-684.422210183487 -59.4045412486444 -405.589090013847</f>
        <v>-1149.4158414459785</v>
      </c>
      <c r="Q2767" t="s">
        <v>57569</v>
      </c>
      <c r="R2767" t="s">
        <v>57570</v>
      </c>
      <c r="S2767" t="s">
        <v>57571</v>
      </c>
      <c r="T2767" t="s">
        <v>57572</v>
      </c>
      <c r="U2767" t="s">
        <v>57573</v>
      </c>
      <c r="V2767" t="s">
        <v>57574</v>
      </c>
      <c r="W2767" t="s">
        <v>57575</v>
      </c>
      <c r="X2767" t="s">
        <v>57576</v>
      </c>
      <c r="Y2767" t="s">
        <v>57577</v>
      </c>
    </row>
    <row r="2768" spans="1:25" x14ac:dyDescent="0.3">
      <c r="A2768">
        <v>138350</v>
      </c>
      <c r="B2768" t="s">
        <v>57578</v>
      </c>
      <c r="C2768" t="s">
        <v>57579</v>
      </c>
      <c r="D2768" t="s">
        <v>57580</v>
      </c>
      <c r="E2768" t="s">
        <v>57581</v>
      </c>
      <c r="F2768" t="s">
        <v>57582</v>
      </c>
      <c r="G2768" t="s">
        <v>57583</v>
      </c>
      <c r="H2768" t="s">
        <v>57584</v>
      </c>
      <c r="I2768" t="s">
        <v>57585</v>
      </c>
      <c r="J2768" t="s">
        <v>57586</v>
      </c>
      <c r="K2768" t="s">
        <v>57587</v>
      </c>
      <c r="L2768" t="s">
        <v>57588</v>
      </c>
      <c r="M2768" t="s">
        <v>57589</v>
      </c>
      <c r="N2768" t="s">
        <v>57590</v>
      </c>
      <c r="O2768">
        <f>-732.206380527073 -72.1754080759431 -717.879927572904</f>
        <v>-1522.2617161759199</v>
      </c>
      <c r="P2768">
        <f>-682.937918298426 -61.0882179913481 -405.412548870962</f>
        <v>-1149.438685160736</v>
      </c>
      <c r="Q2768" t="s">
        <v>57591</v>
      </c>
      <c r="R2768" t="s">
        <v>57592</v>
      </c>
      <c r="S2768" t="s">
        <v>57593</v>
      </c>
      <c r="T2768" t="s">
        <v>57594</v>
      </c>
      <c r="U2768" t="s">
        <v>57595</v>
      </c>
      <c r="V2768" t="s">
        <v>57596</v>
      </c>
      <c r="W2768" t="s">
        <v>57597</v>
      </c>
      <c r="X2768" t="s">
        <v>57598</v>
      </c>
      <c r="Y2768" t="s">
        <v>57599</v>
      </c>
    </row>
    <row r="2769" spans="1:25" x14ac:dyDescent="0.3">
      <c r="A2769">
        <v>138400</v>
      </c>
      <c r="B2769" t="s">
        <v>57600</v>
      </c>
      <c r="C2769" t="s">
        <v>57601</v>
      </c>
      <c r="D2769" t="s">
        <v>57602</v>
      </c>
      <c r="E2769" t="s">
        <v>57603</v>
      </c>
      <c r="F2769" t="s">
        <v>57604</v>
      </c>
      <c r="G2769" t="s">
        <v>57605</v>
      </c>
      <c r="H2769" t="s">
        <v>57606</v>
      </c>
      <c r="I2769" t="s">
        <v>57607</v>
      </c>
      <c r="J2769" t="s">
        <v>57608</v>
      </c>
      <c r="K2769" t="s">
        <v>57609</v>
      </c>
      <c r="L2769" t="s">
        <v>57610</v>
      </c>
      <c r="M2769" t="s">
        <v>57611</v>
      </c>
      <c r="N2769" t="s">
        <v>57612</v>
      </c>
      <c r="O2769">
        <f>-731.612190901193 -73.0669295318139 -717.644949106287</f>
        <v>-1522.3240695392938</v>
      </c>
      <c r="P2769">
        <f>-682.348740448675 -61.394088257191 -405.198167919461</f>
        <v>-1148.940996625327</v>
      </c>
      <c r="Q2769" t="s">
        <v>57613</v>
      </c>
      <c r="R2769" t="s">
        <v>57614</v>
      </c>
      <c r="S2769" t="s">
        <v>57615</v>
      </c>
      <c r="T2769" t="s">
        <v>57616</v>
      </c>
      <c r="U2769" t="s">
        <v>57617</v>
      </c>
      <c r="V2769" t="s">
        <v>57618</v>
      </c>
      <c r="W2769" t="s">
        <v>57619</v>
      </c>
      <c r="X2769" t="s">
        <v>57620</v>
      </c>
      <c r="Y2769" t="s">
        <v>57621</v>
      </c>
    </row>
    <row r="2770" spans="1:25" x14ac:dyDescent="0.3">
      <c r="A2770">
        <v>138450</v>
      </c>
      <c r="B2770" t="s">
        <v>57622</v>
      </c>
      <c r="C2770" t="s">
        <v>57623</v>
      </c>
      <c r="D2770" t="s">
        <v>57624</v>
      </c>
      <c r="E2770" t="s">
        <v>57625</v>
      </c>
      <c r="F2770" t="s">
        <v>57626</v>
      </c>
      <c r="G2770" t="s">
        <v>57627</v>
      </c>
      <c r="H2770" t="s">
        <v>57628</v>
      </c>
      <c r="I2770" t="s">
        <v>57629</v>
      </c>
      <c r="J2770" t="s">
        <v>57630</v>
      </c>
      <c r="K2770" t="s">
        <v>57631</v>
      </c>
      <c r="L2770" t="s">
        <v>57632</v>
      </c>
      <c r="M2770" t="s">
        <v>57633</v>
      </c>
      <c r="N2770" t="s">
        <v>57634</v>
      </c>
      <c r="O2770">
        <f>-729.908141528284 -75.0562982593524 -716.891073880671</f>
        <v>-1521.8555136683074</v>
      </c>
      <c r="P2770">
        <f>-681.345302644881 -61.8787201661264 -404.394355324557</f>
        <v>-1147.6183781355644</v>
      </c>
      <c r="Q2770" t="s">
        <v>57635</v>
      </c>
      <c r="R2770" t="s">
        <v>57636</v>
      </c>
      <c r="S2770" t="s">
        <v>57637</v>
      </c>
      <c r="T2770" t="s">
        <v>57638</v>
      </c>
      <c r="U2770" t="s">
        <v>57639</v>
      </c>
      <c r="V2770" t="s">
        <v>57640</v>
      </c>
      <c r="W2770" t="s">
        <v>57641</v>
      </c>
      <c r="X2770" t="s">
        <v>57642</v>
      </c>
      <c r="Y2770" t="s">
        <v>57643</v>
      </c>
    </row>
    <row r="2771" spans="1:25" x14ac:dyDescent="0.3">
      <c r="A2771">
        <v>138500</v>
      </c>
      <c r="B2771" t="s">
        <v>57644</v>
      </c>
      <c r="C2771" t="s">
        <v>57645</v>
      </c>
      <c r="D2771" t="s">
        <v>57646</v>
      </c>
      <c r="E2771" t="s">
        <v>57647</v>
      </c>
      <c r="F2771" t="s">
        <v>57648</v>
      </c>
      <c r="G2771" t="s">
        <v>57649</v>
      </c>
      <c r="H2771" t="s">
        <v>57650</v>
      </c>
      <c r="I2771" t="s">
        <v>57651</v>
      </c>
      <c r="J2771" t="s">
        <v>57652</v>
      </c>
      <c r="K2771" t="s">
        <v>57653</v>
      </c>
      <c r="L2771" t="s">
        <v>57654</v>
      </c>
      <c r="M2771" t="s">
        <v>57655</v>
      </c>
      <c r="N2771" t="s">
        <v>57656</v>
      </c>
      <c r="O2771">
        <f>-729.237188468579 -75.734055693403 -716.547679706754</f>
        <v>-1521.518923868736</v>
      </c>
      <c r="P2771">
        <f>-681.192673161511 -61.4856706633632 -404.017937530417</f>
        <v>-1146.6962813552911</v>
      </c>
      <c r="Q2771" t="s">
        <v>57657</v>
      </c>
      <c r="R2771" t="s">
        <v>57658</v>
      </c>
      <c r="S2771" t="s">
        <v>57659</v>
      </c>
      <c r="T2771" t="s">
        <v>57660</v>
      </c>
      <c r="U2771" t="s">
        <v>57661</v>
      </c>
      <c r="V2771" t="s">
        <v>57662</v>
      </c>
      <c r="W2771" t="s">
        <v>57663</v>
      </c>
      <c r="X2771" t="s">
        <v>57664</v>
      </c>
      <c r="Y2771" t="s">
        <v>57665</v>
      </c>
    </row>
    <row r="2772" spans="1:25" x14ac:dyDescent="0.3">
      <c r="A2772">
        <v>138550</v>
      </c>
      <c r="B2772" t="s">
        <v>57666</v>
      </c>
      <c r="C2772" t="s">
        <v>57667</v>
      </c>
      <c r="D2772" t="s">
        <v>57668</v>
      </c>
      <c r="E2772" t="s">
        <v>57669</v>
      </c>
      <c r="F2772" t="s">
        <v>57670</v>
      </c>
      <c r="G2772" t="s">
        <v>57671</v>
      </c>
      <c r="H2772" t="s">
        <v>57672</v>
      </c>
      <c r="I2772" t="s">
        <v>57673</v>
      </c>
      <c r="J2772" t="s">
        <v>57674</v>
      </c>
      <c r="K2772" t="s">
        <v>57675</v>
      </c>
      <c r="L2772" t="s">
        <v>57676</v>
      </c>
      <c r="M2772" t="s">
        <v>57677</v>
      </c>
      <c r="N2772" t="s">
        <v>57678</v>
      </c>
      <c r="O2772">
        <f>-729.057051558597 -76.0192775348571 -715.802194897601</f>
        <v>-1520.8785239910551</v>
      </c>
      <c r="P2772">
        <f>-680.503025315217 -60.637564740156 -403.404916312439</f>
        <v>-1144.5455063678119</v>
      </c>
      <c r="Q2772" t="s">
        <v>57679</v>
      </c>
      <c r="R2772" t="s">
        <v>57680</v>
      </c>
      <c r="S2772" t="s">
        <v>57681</v>
      </c>
      <c r="T2772" t="s">
        <v>57682</v>
      </c>
      <c r="U2772" t="s">
        <v>57683</v>
      </c>
      <c r="V2772" t="s">
        <v>57684</v>
      </c>
      <c r="W2772" t="s">
        <v>57685</v>
      </c>
      <c r="X2772" t="s">
        <v>57686</v>
      </c>
      <c r="Y2772" t="s">
        <v>57687</v>
      </c>
    </row>
    <row r="2773" spans="1:25" x14ac:dyDescent="0.3">
      <c r="A2773">
        <v>138600</v>
      </c>
      <c r="B2773" t="s">
        <v>57688</v>
      </c>
      <c r="C2773" t="s">
        <v>57689</v>
      </c>
      <c r="D2773" t="s">
        <v>57690</v>
      </c>
      <c r="E2773" t="s">
        <v>57691</v>
      </c>
      <c r="F2773" t="s">
        <v>57692</v>
      </c>
      <c r="G2773" t="s">
        <v>57693</v>
      </c>
      <c r="H2773" t="s">
        <v>57694</v>
      </c>
      <c r="I2773" t="s">
        <v>57695</v>
      </c>
      <c r="J2773" t="s">
        <v>57696</v>
      </c>
      <c r="K2773" t="s">
        <v>57697</v>
      </c>
      <c r="L2773" t="s">
        <v>57698</v>
      </c>
      <c r="M2773" t="s">
        <v>57699</v>
      </c>
      <c r="N2773" t="s">
        <v>57700</v>
      </c>
      <c r="O2773">
        <f>-728.663890534212 -76.2825013517536 -715.451027523889</f>
        <v>-1520.3974194098546</v>
      </c>
      <c r="P2773">
        <f>-679.872706711036 -60.6000575182973 -403.105542943545</f>
        <v>-1143.5783071728783</v>
      </c>
      <c r="Q2773" t="s">
        <v>57701</v>
      </c>
      <c r="R2773" t="s">
        <v>57702</v>
      </c>
      <c r="S2773" t="s">
        <v>57703</v>
      </c>
      <c r="T2773" t="s">
        <v>57704</v>
      </c>
      <c r="U2773" t="s">
        <v>57705</v>
      </c>
      <c r="V2773" t="s">
        <v>57706</v>
      </c>
      <c r="W2773" t="s">
        <v>57707</v>
      </c>
      <c r="X2773" t="s">
        <v>57708</v>
      </c>
      <c r="Y2773" t="s">
        <v>57709</v>
      </c>
    </row>
    <row r="2774" spans="1:25" x14ac:dyDescent="0.3">
      <c r="A2774">
        <v>138650</v>
      </c>
      <c r="B2774" t="s">
        <v>57710</v>
      </c>
      <c r="C2774" t="s">
        <v>57711</v>
      </c>
      <c r="D2774" t="s">
        <v>57712</v>
      </c>
      <c r="E2774" t="s">
        <v>57713</v>
      </c>
      <c r="F2774" t="s">
        <v>57714</v>
      </c>
      <c r="G2774" t="s">
        <v>57715</v>
      </c>
      <c r="H2774" t="s">
        <v>57716</v>
      </c>
      <c r="I2774" t="s">
        <v>57717</v>
      </c>
      <c r="J2774" t="s">
        <v>57718</v>
      </c>
      <c r="K2774" t="s">
        <v>57719</v>
      </c>
      <c r="L2774" t="s">
        <v>57720</v>
      </c>
      <c r="M2774" t="s">
        <v>57721</v>
      </c>
      <c r="N2774" t="s">
        <v>57722</v>
      </c>
      <c r="O2774">
        <f>-727.935378644244 -77.8375541589426 -714.703845956657</f>
        <v>-1520.4767787598435</v>
      </c>
      <c r="P2774">
        <f>-678.774278307204 -61.7041853027097 -402.439476033183</f>
        <v>-1142.9179396430966</v>
      </c>
      <c r="Q2774" t="s">
        <v>57723</v>
      </c>
      <c r="R2774" t="s">
        <v>57724</v>
      </c>
      <c r="S2774" t="s">
        <v>57725</v>
      </c>
      <c r="T2774" t="s">
        <v>57726</v>
      </c>
      <c r="U2774" t="s">
        <v>57727</v>
      </c>
      <c r="V2774" t="s">
        <v>57728</v>
      </c>
      <c r="W2774" t="s">
        <v>57729</v>
      </c>
      <c r="X2774" t="s">
        <v>57730</v>
      </c>
      <c r="Y2774" t="s">
        <v>57731</v>
      </c>
    </row>
    <row r="2775" spans="1:25" x14ac:dyDescent="0.3">
      <c r="A2775">
        <v>138700</v>
      </c>
      <c r="B2775" t="s">
        <v>57732</v>
      </c>
      <c r="C2775" t="s">
        <v>57733</v>
      </c>
      <c r="D2775" t="s">
        <v>57734</v>
      </c>
      <c r="E2775" t="s">
        <v>57735</v>
      </c>
      <c r="F2775" t="s">
        <v>57736</v>
      </c>
      <c r="G2775" t="s">
        <v>57737</v>
      </c>
      <c r="H2775" t="s">
        <v>57738</v>
      </c>
      <c r="I2775" t="s">
        <v>57739</v>
      </c>
      <c r="J2775" t="s">
        <v>57740</v>
      </c>
      <c r="K2775" t="s">
        <v>57741</v>
      </c>
      <c r="L2775" t="s">
        <v>57742</v>
      </c>
      <c r="M2775" t="s">
        <v>57743</v>
      </c>
      <c r="N2775" t="s">
        <v>57744</v>
      </c>
      <c r="O2775">
        <f>-727.462884805061 -78.6914402448897 -714.493635566578</f>
        <v>-1520.6479606165285</v>
      </c>
      <c r="P2775">
        <f>-678.109624193724 -62.4962638818415 -402.26265837572</f>
        <v>-1142.8685464512855</v>
      </c>
      <c r="Q2775" t="s">
        <v>57745</v>
      </c>
      <c r="R2775" t="s">
        <v>57746</v>
      </c>
      <c r="S2775" t="s">
        <v>57747</v>
      </c>
      <c r="T2775" t="s">
        <v>57748</v>
      </c>
      <c r="U2775" t="s">
        <v>57749</v>
      </c>
      <c r="V2775" t="s">
        <v>57750</v>
      </c>
      <c r="W2775" t="s">
        <v>57751</v>
      </c>
      <c r="X2775" t="s">
        <v>57752</v>
      </c>
      <c r="Y2775" t="s">
        <v>57753</v>
      </c>
    </row>
    <row r="2776" spans="1:25" x14ac:dyDescent="0.3">
      <c r="A2776">
        <v>138750</v>
      </c>
      <c r="B2776" t="s">
        <v>57754</v>
      </c>
      <c r="C2776" t="s">
        <v>57755</v>
      </c>
      <c r="D2776" t="s">
        <v>57756</v>
      </c>
      <c r="E2776" t="s">
        <v>57757</v>
      </c>
      <c r="F2776" t="s">
        <v>57758</v>
      </c>
      <c r="G2776" t="s">
        <v>57759</v>
      </c>
      <c r="H2776" t="s">
        <v>57760</v>
      </c>
      <c r="I2776" t="s">
        <v>57761</v>
      </c>
      <c r="J2776" t="s">
        <v>57762</v>
      </c>
      <c r="K2776" t="s">
        <v>57763</v>
      </c>
      <c r="L2776" t="s">
        <v>57764</v>
      </c>
      <c r="M2776" t="s">
        <v>57765</v>
      </c>
      <c r="N2776" t="s">
        <v>57766</v>
      </c>
      <c r="O2776">
        <f>-726.698874522268 -79.7485000580157 -714.390550651246</f>
        <v>-1520.8379252315299</v>
      </c>
      <c r="P2776">
        <f>-676.439991392274 -63.4375514751432 -402.310116512179</f>
        <v>-1142.1876593795962</v>
      </c>
      <c r="Q2776" t="s">
        <v>57767</v>
      </c>
      <c r="R2776" t="s">
        <v>57768</v>
      </c>
      <c r="S2776" t="s">
        <v>57769</v>
      </c>
      <c r="T2776" t="s">
        <v>57770</v>
      </c>
      <c r="U2776" t="s">
        <v>57771</v>
      </c>
      <c r="V2776" t="s">
        <v>57772</v>
      </c>
      <c r="W2776" t="s">
        <v>57773</v>
      </c>
      <c r="X2776" t="s">
        <v>57774</v>
      </c>
      <c r="Y2776" t="s">
        <v>57775</v>
      </c>
    </row>
    <row r="2777" spans="1:25" x14ac:dyDescent="0.3">
      <c r="A2777">
        <v>138800</v>
      </c>
      <c r="B2777" t="s">
        <v>57776</v>
      </c>
      <c r="C2777" t="s">
        <v>57777</v>
      </c>
      <c r="D2777" t="s">
        <v>57778</v>
      </c>
      <c r="E2777" t="s">
        <v>57779</v>
      </c>
      <c r="F2777" t="s">
        <v>57780</v>
      </c>
      <c r="G2777" t="s">
        <v>57781</v>
      </c>
      <c r="H2777" t="s">
        <v>57782</v>
      </c>
      <c r="I2777" t="s">
        <v>57783</v>
      </c>
      <c r="J2777" t="s">
        <v>57784</v>
      </c>
      <c r="K2777" t="s">
        <v>57785</v>
      </c>
      <c r="L2777" t="s">
        <v>57786</v>
      </c>
      <c r="M2777" t="s">
        <v>57787</v>
      </c>
      <c r="N2777" t="s">
        <v>57788</v>
      </c>
      <c r="O2777">
        <f>-726.254865815833 -80.3576378162727 -714.383131062974</f>
        <v>-1520.9956346950798</v>
      </c>
      <c r="P2777">
        <f>-675.528772112542 -64.1309417316374 -402.374024231249</f>
        <v>-1142.0337380754286</v>
      </c>
      <c r="Q2777" t="s">
        <v>57789</v>
      </c>
      <c r="R2777" t="s">
        <v>57790</v>
      </c>
      <c r="S2777" t="s">
        <v>57791</v>
      </c>
      <c r="T2777" t="s">
        <v>57792</v>
      </c>
      <c r="U2777" t="s">
        <v>57793</v>
      </c>
      <c r="V2777" t="s">
        <v>57794</v>
      </c>
      <c r="W2777" t="s">
        <v>57795</v>
      </c>
      <c r="X2777" t="s">
        <v>57796</v>
      </c>
      <c r="Y2777" t="s">
        <v>57797</v>
      </c>
    </row>
    <row r="2778" spans="1:25" x14ac:dyDescent="0.3">
      <c r="A2778">
        <v>138850</v>
      </c>
      <c r="B2778" t="s">
        <v>57798</v>
      </c>
      <c r="C2778" t="s">
        <v>57799</v>
      </c>
      <c r="D2778" t="s">
        <v>57800</v>
      </c>
      <c r="E2778" t="s">
        <v>57801</v>
      </c>
      <c r="F2778" t="s">
        <v>57802</v>
      </c>
      <c r="G2778" t="s">
        <v>57803</v>
      </c>
      <c r="H2778" t="s">
        <v>57804</v>
      </c>
      <c r="I2778" t="s">
        <v>57805</v>
      </c>
      <c r="J2778" t="s">
        <v>57806</v>
      </c>
      <c r="K2778" t="s">
        <v>57807</v>
      </c>
      <c r="L2778" t="s">
        <v>57808</v>
      </c>
      <c r="M2778" t="s">
        <v>57809</v>
      </c>
      <c r="N2778" t="s">
        <v>57810</v>
      </c>
      <c r="O2778">
        <f>-725.82382576695 -81.1085260390566 -714.356036506599</f>
        <v>-1521.2883883126055</v>
      </c>
      <c r="P2778">
        <f>-674.780133333783 -64.9671422975821 -402.394187401947</f>
        <v>-1142.1414630333122</v>
      </c>
      <c r="Q2778" t="s">
        <v>57811</v>
      </c>
      <c r="R2778" t="s">
        <v>57812</v>
      </c>
      <c r="S2778" t="s">
        <v>57813</v>
      </c>
      <c r="T2778" t="s">
        <v>57814</v>
      </c>
      <c r="U2778" t="s">
        <v>57815</v>
      </c>
      <c r="V2778" t="s">
        <v>57816</v>
      </c>
      <c r="W2778" t="s">
        <v>57817</v>
      </c>
      <c r="X2778" t="s">
        <v>57818</v>
      </c>
      <c r="Y2778" t="s">
        <v>57819</v>
      </c>
    </row>
    <row r="2779" spans="1:25" x14ac:dyDescent="0.3">
      <c r="A2779">
        <v>138900</v>
      </c>
      <c r="B2779" t="s">
        <v>57820</v>
      </c>
      <c r="C2779" t="s">
        <v>57821</v>
      </c>
      <c r="D2779" t="s">
        <v>57822</v>
      </c>
      <c r="E2779" t="s">
        <v>57823</v>
      </c>
      <c r="F2779" t="s">
        <v>57824</v>
      </c>
      <c r="G2779" t="s">
        <v>57825</v>
      </c>
      <c r="H2779" t="s">
        <v>57826</v>
      </c>
      <c r="I2779" t="s">
        <v>57827</v>
      </c>
      <c r="J2779" t="s">
        <v>57828</v>
      </c>
      <c r="K2779" t="s">
        <v>57829</v>
      </c>
      <c r="L2779" t="s">
        <v>57830</v>
      </c>
      <c r="M2779" t="s">
        <v>57831</v>
      </c>
      <c r="N2779" t="s">
        <v>57832</v>
      </c>
      <c r="O2779">
        <f>-725.354727227771 -82.3482132979129 -714.395191094355</f>
        <v>-1522.0981316200391</v>
      </c>
      <c r="P2779">
        <f>-673.957250573073 -66.6829198539447 -402.467192766895</f>
        <v>-1143.1073631939125</v>
      </c>
      <c r="Q2779" t="s">
        <v>57833</v>
      </c>
      <c r="R2779" t="s">
        <v>57834</v>
      </c>
      <c r="S2779" t="s">
        <v>57835</v>
      </c>
      <c r="T2779" t="s">
        <v>57836</v>
      </c>
      <c r="U2779" t="s">
        <v>57837</v>
      </c>
      <c r="V2779" t="s">
        <v>57838</v>
      </c>
      <c r="W2779" t="s">
        <v>57839</v>
      </c>
      <c r="X2779" t="s">
        <v>57840</v>
      </c>
      <c r="Y2779" t="s">
        <v>57841</v>
      </c>
    </row>
    <row r="2780" spans="1:25" x14ac:dyDescent="0.3">
      <c r="A2780">
        <v>138950</v>
      </c>
      <c r="B2780" t="s">
        <v>57842</v>
      </c>
      <c r="C2780" t="s">
        <v>57843</v>
      </c>
      <c r="D2780" t="s">
        <v>57844</v>
      </c>
      <c r="E2780" t="s">
        <v>57845</v>
      </c>
      <c r="F2780" t="s">
        <v>57846</v>
      </c>
      <c r="G2780" t="s">
        <v>57847</v>
      </c>
      <c r="H2780" t="s">
        <v>57848</v>
      </c>
      <c r="I2780" t="s">
        <v>57849</v>
      </c>
      <c r="J2780" t="s">
        <v>57850</v>
      </c>
      <c r="K2780" t="s">
        <v>57851</v>
      </c>
      <c r="L2780" t="s">
        <v>57852</v>
      </c>
      <c r="M2780" t="s">
        <v>57853</v>
      </c>
      <c r="N2780" t="s">
        <v>57854</v>
      </c>
      <c r="O2780">
        <f>-725.753658427831 -83.0430989035754 -714.707738996557</f>
        <v>-1523.5044963279634</v>
      </c>
      <c r="P2780">
        <f>-673.809158527447 -68.1337723311658 -402.83330463989</f>
        <v>-1144.776235498503</v>
      </c>
      <c r="Q2780" t="s">
        <v>57855</v>
      </c>
      <c r="R2780" t="s">
        <v>57856</v>
      </c>
      <c r="S2780" t="s">
        <v>57857</v>
      </c>
      <c r="T2780" t="s">
        <v>57858</v>
      </c>
      <c r="U2780" t="s">
        <v>57859</v>
      </c>
      <c r="V2780" t="s">
        <v>57860</v>
      </c>
      <c r="W2780" t="s">
        <v>57861</v>
      </c>
      <c r="X2780" t="s">
        <v>57862</v>
      </c>
      <c r="Y2780" t="s">
        <v>57863</v>
      </c>
    </row>
    <row r="2781" spans="1:25" x14ac:dyDescent="0.3">
      <c r="A2781">
        <v>139000</v>
      </c>
      <c r="B2781" t="s">
        <v>57864</v>
      </c>
      <c r="C2781" t="s">
        <v>57865</v>
      </c>
      <c r="D2781" t="s">
        <v>57866</v>
      </c>
      <c r="E2781" t="s">
        <v>57867</v>
      </c>
      <c r="F2781" t="s">
        <v>57868</v>
      </c>
      <c r="G2781" t="s">
        <v>57869</v>
      </c>
      <c r="H2781" t="s">
        <v>57870</v>
      </c>
      <c r="I2781" t="s">
        <v>57871</v>
      </c>
      <c r="J2781" t="s">
        <v>57872</v>
      </c>
      <c r="K2781" t="s">
        <v>57873</v>
      </c>
      <c r="L2781" t="s">
        <v>57874</v>
      </c>
      <c r="M2781" t="s">
        <v>57875</v>
      </c>
      <c r="N2781" t="s">
        <v>57876</v>
      </c>
      <c r="O2781">
        <f>-726.279711421098 -83.4647201998482 -714.770456201974</f>
        <v>-1524.5148878229202</v>
      </c>
      <c r="P2781">
        <f>-674.129319156471 -68.8071345316725 -402.918330205654</f>
        <v>-1145.8547838937975</v>
      </c>
      <c r="Q2781" t="s">
        <v>57877</v>
      </c>
      <c r="R2781" t="s">
        <v>57878</v>
      </c>
      <c r="S2781" t="s">
        <v>57879</v>
      </c>
      <c r="T2781" t="s">
        <v>57880</v>
      </c>
      <c r="U2781" t="s">
        <v>57881</v>
      </c>
      <c r="V2781" t="s">
        <v>57882</v>
      </c>
      <c r="W2781" t="s">
        <v>57883</v>
      </c>
      <c r="X2781" t="s">
        <v>57884</v>
      </c>
      <c r="Y2781" t="s">
        <v>57885</v>
      </c>
    </row>
    <row r="2782" spans="1:25" x14ac:dyDescent="0.3">
      <c r="A2782">
        <v>139050</v>
      </c>
      <c r="B2782" t="s">
        <v>57886</v>
      </c>
      <c r="C2782" t="s">
        <v>57887</v>
      </c>
      <c r="D2782" t="s">
        <v>57888</v>
      </c>
      <c r="E2782" t="s">
        <v>57889</v>
      </c>
      <c r="F2782" t="s">
        <v>57890</v>
      </c>
      <c r="G2782" t="s">
        <v>57891</v>
      </c>
      <c r="H2782" t="s">
        <v>57892</v>
      </c>
      <c r="I2782" t="s">
        <v>57893</v>
      </c>
      <c r="J2782" t="s">
        <v>57894</v>
      </c>
      <c r="K2782" t="s">
        <v>57895</v>
      </c>
      <c r="L2782" t="s">
        <v>57896</v>
      </c>
      <c r="M2782" t="s">
        <v>57897</v>
      </c>
      <c r="N2782" t="s">
        <v>57898</v>
      </c>
      <c r="O2782">
        <f>-726.687656138113 -84.7175482591654 -714.865148189093</f>
        <v>-1526.2703525863712</v>
      </c>
      <c r="P2782">
        <f>-674.455301371632 -70.5667403799869 -403.003514601894</f>
        <v>-1148.0255563535129</v>
      </c>
      <c r="Q2782" t="s">
        <v>57899</v>
      </c>
      <c r="R2782" t="s">
        <v>57900</v>
      </c>
      <c r="S2782" t="s">
        <v>57901</v>
      </c>
      <c r="T2782" t="s">
        <v>57902</v>
      </c>
      <c r="U2782" t="s">
        <v>57903</v>
      </c>
      <c r="V2782" t="s">
        <v>57904</v>
      </c>
      <c r="W2782" t="s">
        <v>57905</v>
      </c>
      <c r="X2782" t="s">
        <v>57906</v>
      </c>
      <c r="Y2782" t="s">
        <v>57907</v>
      </c>
    </row>
    <row r="2783" spans="1:25" x14ac:dyDescent="0.3">
      <c r="A2783">
        <v>139100</v>
      </c>
      <c r="B2783" t="s">
        <v>57908</v>
      </c>
      <c r="C2783" t="s">
        <v>57909</v>
      </c>
      <c r="D2783" t="s">
        <v>57910</v>
      </c>
      <c r="E2783" t="s">
        <v>57911</v>
      </c>
      <c r="F2783" t="s">
        <v>57912</v>
      </c>
      <c r="G2783" t="s">
        <v>57913</v>
      </c>
      <c r="H2783" t="s">
        <v>57914</v>
      </c>
      <c r="I2783" t="s">
        <v>57915</v>
      </c>
      <c r="J2783" t="s">
        <v>57916</v>
      </c>
      <c r="K2783" t="s">
        <v>57917</v>
      </c>
      <c r="L2783" t="s">
        <v>57918</v>
      </c>
      <c r="M2783" t="s">
        <v>57919</v>
      </c>
      <c r="N2783" t="s">
        <v>57920</v>
      </c>
      <c r="O2783">
        <f>-726.520195343561 -85.0610370642289 -714.816063343258</f>
        <v>-1526.3972957510477</v>
      </c>
      <c r="P2783">
        <f>-674.38634049594 -71.2754602200971 -402.921545394734</f>
        <v>-1148.5833461107711</v>
      </c>
      <c r="Q2783" t="s">
        <v>57921</v>
      </c>
      <c r="R2783" t="s">
        <v>57922</v>
      </c>
      <c r="S2783" t="s">
        <v>57923</v>
      </c>
      <c r="T2783" t="s">
        <v>57924</v>
      </c>
      <c r="U2783" t="s">
        <v>57925</v>
      </c>
      <c r="V2783" t="s">
        <v>57926</v>
      </c>
      <c r="W2783" t="s">
        <v>57927</v>
      </c>
      <c r="X2783" t="s">
        <v>57928</v>
      </c>
      <c r="Y2783" t="s">
        <v>57929</v>
      </c>
    </row>
    <row r="2784" spans="1:25" x14ac:dyDescent="0.3">
      <c r="A2784">
        <v>139150</v>
      </c>
      <c r="B2784" t="s">
        <v>57930</v>
      </c>
      <c r="C2784" t="s">
        <v>57931</v>
      </c>
      <c r="D2784" t="s">
        <v>57932</v>
      </c>
      <c r="E2784" t="s">
        <v>57933</v>
      </c>
      <c r="F2784" t="s">
        <v>57934</v>
      </c>
      <c r="G2784" t="s">
        <v>57935</v>
      </c>
      <c r="H2784" t="s">
        <v>57936</v>
      </c>
      <c r="I2784" t="s">
        <v>57937</v>
      </c>
      <c r="J2784" t="s">
        <v>57938</v>
      </c>
      <c r="K2784" t="s">
        <v>57939</v>
      </c>
      <c r="L2784" t="s">
        <v>57940</v>
      </c>
      <c r="M2784" t="s">
        <v>57941</v>
      </c>
      <c r="N2784" t="s">
        <v>57942</v>
      </c>
      <c r="O2784">
        <f>-726.038967453877 -86.0776571601218 -714.428443838345</f>
        <v>-1526.5450684523439</v>
      </c>
      <c r="P2784">
        <f>-674.668561762297 -71.8728233558506 -402.426092564449</f>
        <v>-1148.9674776825966</v>
      </c>
      <c r="Q2784" t="s">
        <v>57943</v>
      </c>
      <c r="R2784" t="s">
        <v>57944</v>
      </c>
      <c r="S2784" t="s">
        <v>57945</v>
      </c>
      <c r="T2784" t="s">
        <v>57946</v>
      </c>
      <c r="U2784" t="s">
        <v>57947</v>
      </c>
      <c r="V2784" t="s">
        <v>57948</v>
      </c>
      <c r="W2784" t="s">
        <v>57949</v>
      </c>
      <c r="X2784" t="s">
        <v>57950</v>
      </c>
      <c r="Y2784" t="s">
        <v>57951</v>
      </c>
    </row>
    <row r="2785" spans="1:25" x14ac:dyDescent="0.3">
      <c r="A2785">
        <v>139200</v>
      </c>
      <c r="B2785" t="s">
        <v>57952</v>
      </c>
      <c r="C2785" t="s">
        <v>57953</v>
      </c>
      <c r="D2785" t="s">
        <v>57954</v>
      </c>
      <c r="E2785" t="s">
        <v>57955</v>
      </c>
      <c r="F2785" t="s">
        <v>57956</v>
      </c>
      <c r="G2785" t="s">
        <v>57957</v>
      </c>
      <c r="H2785" t="s">
        <v>57958</v>
      </c>
      <c r="I2785" t="s">
        <v>57959</v>
      </c>
      <c r="J2785" t="s">
        <v>57960</v>
      </c>
      <c r="K2785" t="s">
        <v>57961</v>
      </c>
      <c r="L2785" t="s">
        <v>57962</v>
      </c>
      <c r="M2785" t="s">
        <v>57963</v>
      </c>
      <c r="N2785" t="s">
        <v>57964</v>
      </c>
      <c r="O2785">
        <f>-726.177755657021 -86.5434850128579 -714.15881862532</f>
        <v>-1526.8800592951989</v>
      </c>
      <c r="P2785">
        <f>-674.723801902323 -72.4071280254896 -402.167123006903</f>
        <v>-1149.2980529347155</v>
      </c>
      <c r="Q2785" t="s">
        <v>57965</v>
      </c>
      <c r="R2785" t="s">
        <v>57966</v>
      </c>
      <c r="S2785" t="s">
        <v>57967</v>
      </c>
      <c r="T2785" t="s">
        <v>57968</v>
      </c>
      <c r="U2785" t="s">
        <v>57969</v>
      </c>
      <c r="V2785" t="s">
        <v>57970</v>
      </c>
      <c r="W2785" t="s">
        <v>57971</v>
      </c>
      <c r="X2785" t="s">
        <v>57972</v>
      </c>
      <c r="Y2785" t="s">
        <v>57973</v>
      </c>
    </row>
    <row r="2786" spans="1:25" x14ac:dyDescent="0.3">
      <c r="A2786">
        <v>139250</v>
      </c>
      <c r="B2786" t="s">
        <v>57974</v>
      </c>
      <c r="C2786" t="s">
        <v>57975</v>
      </c>
      <c r="D2786" t="s">
        <v>57976</v>
      </c>
      <c r="E2786" t="s">
        <v>57977</v>
      </c>
      <c r="F2786" t="s">
        <v>57978</v>
      </c>
      <c r="G2786" t="s">
        <v>57979</v>
      </c>
      <c r="H2786" t="s">
        <v>57980</v>
      </c>
      <c r="I2786" t="s">
        <v>57981</v>
      </c>
      <c r="J2786" t="s">
        <v>57982</v>
      </c>
      <c r="K2786" t="s">
        <v>57983</v>
      </c>
      <c r="L2786" t="s">
        <v>57984</v>
      </c>
      <c r="M2786" t="s">
        <v>57985</v>
      </c>
      <c r="N2786" t="s">
        <v>57986</v>
      </c>
      <c r="O2786">
        <f>-726.312378065707 -87.4208410872877 -713.395821817778</f>
        <v>-1527.1290409707726</v>
      </c>
      <c r="P2786">
        <f>-675.256155259154 -73.3692106771723 -401.33476696508</f>
        <v>-1149.9601329014063</v>
      </c>
      <c r="Q2786">
        <f>-429.754592030213 -0.948565913838365 -355.222700427846</f>
        <v>-785.92585837189745</v>
      </c>
      <c r="R2786" t="s">
        <v>57987</v>
      </c>
      <c r="S2786" t="s">
        <v>57988</v>
      </c>
      <c r="T2786" t="s">
        <v>57989</v>
      </c>
      <c r="U2786" t="s">
        <v>57990</v>
      </c>
      <c r="V2786" t="s">
        <v>57991</v>
      </c>
      <c r="W2786" t="s">
        <v>57992</v>
      </c>
      <c r="X2786" t="s">
        <v>57993</v>
      </c>
      <c r="Y2786" t="s">
        <v>57994</v>
      </c>
    </row>
    <row r="2787" spans="1:25" x14ac:dyDescent="0.3">
      <c r="A2787">
        <v>139300</v>
      </c>
      <c r="B2787" t="s">
        <v>57995</v>
      </c>
      <c r="C2787" t="s">
        <v>57996</v>
      </c>
      <c r="D2787" t="s">
        <v>57997</v>
      </c>
      <c r="E2787" t="s">
        <v>57998</v>
      </c>
      <c r="F2787" t="s">
        <v>57999</v>
      </c>
      <c r="G2787" t="s">
        <v>58000</v>
      </c>
      <c r="H2787" t="s">
        <v>58001</v>
      </c>
      <c r="I2787" t="s">
        <v>58002</v>
      </c>
      <c r="J2787" t="s">
        <v>58003</v>
      </c>
      <c r="K2787" t="s">
        <v>58004</v>
      </c>
      <c r="L2787" t="s">
        <v>58005</v>
      </c>
      <c r="M2787" t="s">
        <v>58006</v>
      </c>
      <c r="N2787" t="s">
        <v>58007</v>
      </c>
      <c r="O2787">
        <f>-726.445311554646 -87.7383626918488 -712.887980789822</f>
        <v>-1527.0716550363168</v>
      </c>
      <c r="P2787">
        <f>-675.658766456856 -73.5895027490456 -400.787498309824</f>
        <v>-1150.0357675157256</v>
      </c>
      <c r="Q2787">
        <f>-430.176239196153 -1.1447967303011 -354.612430700149</f>
        <v>-785.93346662660315</v>
      </c>
      <c r="R2787" t="s">
        <v>58008</v>
      </c>
      <c r="S2787" t="s">
        <v>58009</v>
      </c>
      <c r="T2787" t="s">
        <v>58010</v>
      </c>
      <c r="U2787" t="s">
        <v>58011</v>
      </c>
      <c r="V2787" t="s">
        <v>58012</v>
      </c>
      <c r="W2787" t="s">
        <v>58013</v>
      </c>
      <c r="X2787" t="s">
        <v>58014</v>
      </c>
      <c r="Y2787" t="s">
        <v>58015</v>
      </c>
    </row>
    <row r="2788" spans="1:25" x14ac:dyDescent="0.3">
      <c r="A2788">
        <v>139350</v>
      </c>
      <c r="B2788" t="s">
        <v>58016</v>
      </c>
      <c r="C2788" t="s">
        <v>58017</v>
      </c>
      <c r="D2788" t="s">
        <v>58018</v>
      </c>
      <c r="E2788" t="s">
        <v>58019</v>
      </c>
      <c r="F2788" t="s">
        <v>58020</v>
      </c>
      <c r="G2788" t="s">
        <v>58021</v>
      </c>
      <c r="H2788" t="s">
        <v>58022</v>
      </c>
      <c r="I2788" t="s">
        <v>58023</v>
      </c>
      <c r="J2788" t="s">
        <v>58024</v>
      </c>
      <c r="K2788" t="s">
        <v>58025</v>
      </c>
      <c r="L2788" t="s">
        <v>58026</v>
      </c>
      <c r="M2788" t="s">
        <v>58027</v>
      </c>
      <c r="N2788" t="s">
        <v>58028</v>
      </c>
      <c r="O2788">
        <f>-726.392267613772 -88.6899161761951 -712.062774912125</f>
        <v>-1527.144958702092</v>
      </c>
      <c r="P2788">
        <f>-676.120124560922 -74.1254346208116 -399.898138675874</f>
        <v>-1150.1436978576075</v>
      </c>
      <c r="Q2788">
        <f>-430.702482816361 -1.58518878038149 -353.528501557069</f>
        <v>-785.81617315381141</v>
      </c>
      <c r="R2788" t="s">
        <v>58029</v>
      </c>
      <c r="S2788" t="s">
        <v>58030</v>
      </c>
      <c r="T2788" t="s">
        <v>58031</v>
      </c>
      <c r="U2788" t="s">
        <v>58032</v>
      </c>
      <c r="V2788" t="s">
        <v>58033</v>
      </c>
      <c r="W2788" t="s">
        <v>58034</v>
      </c>
      <c r="X2788" t="s">
        <v>58035</v>
      </c>
      <c r="Y2788" t="s">
        <v>58036</v>
      </c>
    </row>
    <row r="2789" spans="1:25" x14ac:dyDescent="0.3">
      <c r="A2789">
        <v>139400</v>
      </c>
      <c r="B2789" t="s">
        <v>58037</v>
      </c>
      <c r="C2789" t="s">
        <v>58038</v>
      </c>
      <c r="D2789" t="s">
        <v>58039</v>
      </c>
      <c r="E2789" t="s">
        <v>58040</v>
      </c>
      <c r="F2789" t="s">
        <v>58041</v>
      </c>
      <c r="G2789" t="s">
        <v>58042</v>
      </c>
      <c r="H2789" t="s">
        <v>58043</v>
      </c>
      <c r="I2789" t="s">
        <v>58044</v>
      </c>
      <c r="J2789" t="s">
        <v>58045</v>
      </c>
      <c r="K2789" t="s">
        <v>58046</v>
      </c>
      <c r="L2789" t="s">
        <v>58047</v>
      </c>
      <c r="M2789" t="s">
        <v>58048</v>
      </c>
      <c r="N2789" t="s">
        <v>58049</v>
      </c>
      <c r="O2789">
        <f>-726.156625539286 -88.8557283606547 -711.803416229219</f>
        <v>-1526.8157701291598</v>
      </c>
      <c r="P2789">
        <f>-676.110855467668 -73.9606939617654 -399.617924324725</f>
        <v>-1149.6894737541584</v>
      </c>
      <c r="Q2789">
        <f>-430.721837205658 -1.32977784387822 -353.23862636885</f>
        <v>-785.29024141838624</v>
      </c>
      <c r="R2789" t="s">
        <v>58050</v>
      </c>
      <c r="S2789" t="s">
        <v>58051</v>
      </c>
      <c r="T2789" t="s">
        <v>58052</v>
      </c>
      <c r="U2789" t="s">
        <v>58053</v>
      </c>
      <c r="V2789" t="s">
        <v>58054</v>
      </c>
      <c r="W2789" t="s">
        <v>58055</v>
      </c>
      <c r="X2789" t="s">
        <v>58056</v>
      </c>
      <c r="Y2789" t="s">
        <v>58057</v>
      </c>
    </row>
    <row r="2790" spans="1:25" x14ac:dyDescent="0.3">
      <c r="A2790">
        <v>139450</v>
      </c>
      <c r="B2790" t="s">
        <v>58058</v>
      </c>
      <c r="C2790" t="s">
        <v>58059</v>
      </c>
      <c r="D2790" t="s">
        <v>58060</v>
      </c>
      <c r="E2790" t="s">
        <v>58061</v>
      </c>
      <c r="F2790" t="s">
        <v>58062</v>
      </c>
      <c r="G2790" t="s">
        <v>58063</v>
      </c>
      <c r="H2790" t="s">
        <v>58064</v>
      </c>
      <c r="I2790" t="s">
        <v>58065</v>
      </c>
      <c r="J2790" t="s">
        <v>58066</v>
      </c>
      <c r="K2790" t="s">
        <v>58067</v>
      </c>
      <c r="L2790" t="s">
        <v>58068</v>
      </c>
      <c r="M2790" t="s">
        <v>58069</v>
      </c>
      <c r="N2790" t="s">
        <v>58070</v>
      </c>
      <c r="O2790">
        <f>-725.348545774443 -89.6299690269236 -711.345042139971</f>
        <v>-1526.3235569413378</v>
      </c>
      <c r="P2790">
        <f>-676.027402865723 -74.1251441101979 -399.074097066555</f>
        <v>-1149.226644042476</v>
      </c>
      <c r="Q2790">
        <f>-430.55392501716 -1.82666909136401 -352.622679442243</f>
        <v>-785.00327355076706</v>
      </c>
      <c r="R2790" t="s">
        <v>58071</v>
      </c>
      <c r="S2790" t="s">
        <v>58072</v>
      </c>
      <c r="T2790" t="s">
        <v>58073</v>
      </c>
      <c r="U2790" t="s">
        <v>58074</v>
      </c>
      <c r="V2790" t="s">
        <v>58075</v>
      </c>
      <c r="W2790" t="s">
        <v>58076</v>
      </c>
      <c r="X2790" t="s">
        <v>58077</v>
      </c>
      <c r="Y2790" t="s">
        <v>58078</v>
      </c>
    </row>
    <row r="2791" spans="1:25" x14ac:dyDescent="0.3">
      <c r="A2791">
        <v>139500</v>
      </c>
      <c r="B2791" t="s">
        <v>58079</v>
      </c>
      <c r="C2791" t="s">
        <v>58080</v>
      </c>
      <c r="D2791" t="s">
        <v>58081</v>
      </c>
      <c r="E2791" t="s">
        <v>58082</v>
      </c>
      <c r="F2791" t="s">
        <v>58083</v>
      </c>
      <c r="G2791" t="s">
        <v>58084</v>
      </c>
      <c r="H2791" t="s">
        <v>58085</v>
      </c>
      <c r="I2791" t="s">
        <v>58086</v>
      </c>
      <c r="J2791" t="s">
        <v>58087</v>
      </c>
      <c r="K2791" t="s">
        <v>58088</v>
      </c>
      <c r="L2791" t="s">
        <v>58089</v>
      </c>
      <c r="M2791" t="s">
        <v>58090</v>
      </c>
      <c r="N2791" t="s">
        <v>58091</v>
      </c>
      <c r="O2791">
        <f>-725.044029793556 -89.8239904401032 -711.245137308751</f>
        <v>-1526.1131575424101</v>
      </c>
      <c r="P2791">
        <f>-675.880796197561 -74.2460907399643 -398.952864322339</f>
        <v>-1149.0797512598642</v>
      </c>
      <c r="Q2791">
        <f>-430.425174719437 -1.9426904597733 -352.414683090468</f>
        <v>-784.78254826967827</v>
      </c>
      <c r="R2791" t="s">
        <v>58092</v>
      </c>
      <c r="S2791" t="s">
        <v>58093</v>
      </c>
      <c r="T2791" t="s">
        <v>58094</v>
      </c>
      <c r="U2791" t="s">
        <v>58095</v>
      </c>
      <c r="V2791" t="s">
        <v>58096</v>
      </c>
      <c r="W2791" t="s">
        <v>58097</v>
      </c>
      <c r="X2791" t="s">
        <v>58098</v>
      </c>
      <c r="Y2791" t="s">
        <v>58099</v>
      </c>
    </row>
    <row r="2792" spans="1:25" x14ac:dyDescent="0.3">
      <c r="A2792">
        <v>139550</v>
      </c>
      <c r="B2792" t="s">
        <v>58100</v>
      </c>
      <c r="C2792" t="s">
        <v>58101</v>
      </c>
      <c r="D2792" t="s">
        <v>58102</v>
      </c>
      <c r="E2792" t="s">
        <v>58103</v>
      </c>
      <c r="F2792" t="s">
        <v>58104</v>
      </c>
      <c r="G2792" t="s">
        <v>58105</v>
      </c>
      <c r="H2792" t="s">
        <v>58106</v>
      </c>
      <c r="I2792" t="s">
        <v>58107</v>
      </c>
      <c r="J2792" t="s">
        <v>58108</v>
      </c>
      <c r="K2792" t="s">
        <v>58109</v>
      </c>
      <c r="L2792" t="s">
        <v>58110</v>
      </c>
      <c r="M2792" t="s">
        <v>58111</v>
      </c>
      <c r="N2792" t="s">
        <v>58112</v>
      </c>
      <c r="O2792">
        <f>-723.748239382166 -90.6956296595054 -710.944134918433</f>
        <v>-1525.3880039601045</v>
      </c>
      <c r="P2792">
        <f>-675.257632047874 -74.6704737465491 -398.569145228876</f>
        <v>-1148.4972510232992</v>
      </c>
      <c r="Q2792">
        <f>-430.024850781447 -1.90209643292951 -351.582946959419</f>
        <v>-783.5098941737956</v>
      </c>
      <c r="R2792" t="s">
        <v>58113</v>
      </c>
      <c r="S2792" t="s">
        <v>58114</v>
      </c>
      <c r="T2792" t="s">
        <v>58115</v>
      </c>
      <c r="U2792" t="s">
        <v>58116</v>
      </c>
      <c r="V2792" t="s">
        <v>58117</v>
      </c>
      <c r="W2792" t="s">
        <v>58118</v>
      </c>
      <c r="X2792" t="s">
        <v>58119</v>
      </c>
      <c r="Y2792" t="s">
        <v>58120</v>
      </c>
    </row>
    <row r="2793" spans="1:25" x14ac:dyDescent="0.3">
      <c r="A2793">
        <v>139600</v>
      </c>
      <c r="B2793" t="s">
        <v>58121</v>
      </c>
      <c r="C2793" t="s">
        <v>58122</v>
      </c>
      <c r="D2793" t="s">
        <v>58123</v>
      </c>
      <c r="E2793" t="s">
        <v>58124</v>
      </c>
      <c r="F2793" t="s">
        <v>58125</v>
      </c>
      <c r="G2793" t="s">
        <v>58126</v>
      </c>
      <c r="H2793" t="s">
        <v>58127</v>
      </c>
      <c r="I2793" t="s">
        <v>58128</v>
      </c>
      <c r="J2793" t="s">
        <v>58129</v>
      </c>
      <c r="K2793" t="s">
        <v>58130</v>
      </c>
      <c r="L2793" t="s">
        <v>58131</v>
      </c>
      <c r="M2793" t="s">
        <v>58132</v>
      </c>
      <c r="N2793" t="s">
        <v>58133</v>
      </c>
      <c r="O2793">
        <f>-723.081788366975 -90.9983541910422 -710.803029405886</f>
        <v>-1524.8831719639034</v>
      </c>
      <c r="P2793">
        <f>-674.853251585819 -74.7416849696986 -398.399486934651</f>
        <v>-1147.9944234901686</v>
      </c>
      <c r="Q2793">
        <f>-429.775016161377 -1.56167769405602 -351.246272717588</f>
        <v>-782.58296657302094</v>
      </c>
      <c r="R2793" t="s">
        <v>58134</v>
      </c>
      <c r="S2793" t="s">
        <v>58135</v>
      </c>
      <c r="T2793" t="s">
        <v>58136</v>
      </c>
      <c r="U2793" t="s">
        <v>58137</v>
      </c>
      <c r="V2793" t="s">
        <v>58138</v>
      </c>
      <c r="W2793" t="s">
        <v>58139</v>
      </c>
      <c r="X2793" t="s">
        <v>58140</v>
      </c>
      <c r="Y2793" t="s">
        <v>58141</v>
      </c>
    </row>
    <row r="2794" spans="1:25" x14ac:dyDescent="0.3">
      <c r="A2794">
        <v>139650</v>
      </c>
      <c r="B2794" t="s">
        <v>58142</v>
      </c>
      <c r="C2794" t="s">
        <v>58143</v>
      </c>
      <c r="D2794" t="s">
        <v>58144</v>
      </c>
      <c r="E2794" t="s">
        <v>58145</v>
      </c>
      <c r="F2794" t="s">
        <v>58146</v>
      </c>
      <c r="G2794" t="s">
        <v>58147</v>
      </c>
      <c r="H2794" t="s">
        <v>58148</v>
      </c>
      <c r="I2794" t="s">
        <v>58149</v>
      </c>
      <c r="J2794" t="s">
        <v>58150</v>
      </c>
      <c r="K2794" t="s">
        <v>58151</v>
      </c>
      <c r="L2794" t="s">
        <v>58152</v>
      </c>
      <c r="M2794">
        <f>-300.501378757618 -0.434665911009233 -308.787590667553</f>
        <v>-609.72363533618022</v>
      </c>
      <c r="N2794" t="s">
        <v>58153</v>
      </c>
      <c r="O2794">
        <f>-721.590095576109 -91.547231395082 -710.61070897435</f>
        <v>-1523.748035945541</v>
      </c>
      <c r="P2794">
        <f>-673.799418617015 -74.4869529105042 -398.182771898275</f>
        <v>-1146.4691434257943</v>
      </c>
      <c r="Q2794">
        <f>-429.09822338848 -0.320081999504964 -350.615528409925</f>
        <v>-780.03383379790989</v>
      </c>
      <c r="R2794" t="s">
        <v>58154</v>
      </c>
      <c r="S2794" t="s">
        <v>58155</v>
      </c>
      <c r="T2794" t="s">
        <v>58156</v>
      </c>
      <c r="U2794" t="s">
        <v>58157</v>
      </c>
      <c r="V2794" t="s">
        <v>58158</v>
      </c>
      <c r="W2794" t="s">
        <v>58159</v>
      </c>
      <c r="X2794" t="s">
        <v>58160</v>
      </c>
      <c r="Y2794" t="s">
        <v>58161</v>
      </c>
    </row>
    <row r="2795" spans="1:25" x14ac:dyDescent="0.3">
      <c r="A2795">
        <v>139700</v>
      </c>
      <c r="B2795" t="s">
        <v>58162</v>
      </c>
      <c r="C2795" t="s">
        <v>58163</v>
      </c>
      <c r="D2795" t="s">
        <v>58164</v>
      </c>
      <c r="E2795" t="s">
        <v>58165</v>
      </c>
      <c r="F2795" t="s">
        <v>58166</v>
      </c>
      <c r="G2795" t="s">
        <v>58167</v>
      </c>
      <c r="H2795" t="s">
        <v>58168</v>
      </c>
      <c r="I2795" t="s">
        <v>58169</v>
      </c>
      <c r="J2795" t="s">
        <v>58170</v>
      </c>
      <c r="K2795" t="s">
        <v>58171</v>
      </c>
      <c r="L2795" t="s">
        <v>58172</v>
      </c>
      <c r="M2795">
        <f>-299.567960678546 -1.03495562877879 -309.23086482677</f>
        <v>-609.83378113409481</v>
      </c>
      <c r="N2795" t="s">
        <v>58173</v>
      </c>
      <c r="O2795">
        <f>-721.03172853973 -91.8786256558246 -710.556762717549</f>
        <v>-1523.4671169131036</v>
      </c>
      <c r="P2795">
        <f>-673.414917733558 -74.6496845443564 -398.111595109088</f>
        <v>-1146.1761973870025</v>
      </c>
      <c r="Q2795" t="s">
        <v>58174</v>
      </c>
      <c r="R2795" t="s">
        <v>58175</v>
      </c>
      <c r="S2795" t="s">
        <v>58176</v>
      </c>
      <c r="T2795" t="s">
        <v>58177</v>
      </c>
      <c r="U2795" t="s">
        <v>58178</v>
      </c>
      <c r="V2795" t="s">
        <v>58179</v>
      </c>
      <c r="W2795" t="s">
        <v>58180</v>
      </c>
      <c r="X2795" t="s">
        <v>58181</v>
      </c>
      <c r="Y2795" t="s">
        <v>58182</v>
      </c>
    </row>
    <row r="2796" spans="1:25" x14ac:dyDescent="0.3">
      <c r="A2796">
        <v>139750</v>
      </c>
      <c r="B2796" t="s">
        <v>58183</v>
      </c>
      <c r="C2796" t="s">
        <v>58184</v>
      </c>
      <c r="D2796" t="s">
        <v>58185</v>
      </c>
      <c r="E2796" t="s">
        <v>58186</v>
      </c>
      <c r="F2796" t="s">
        <v>58187</v>
      </c>
      <c r="G2796" t="s">
        <v>58188</v>
      </c>
      <c r="H2796" t="s">
        <v>58189</v>
      </c>
      <c r="I2796" t="s">
        <v>58190</v>
      </c>
      <c r="J2796" t="s">
        <v>58191</v>
      </c>
      <c r="K2796" t="s">
        <v>58192</v>
      </c>
      <c r="L2796" t="s">
        <v>58193</v>
      </c>
      <c r="M2796">
        <f>-298.641456738266 -3.15051109074216 -310.786020208969</f>
        <v>-612.57798803797709</v>
      </c>
      <c r="N2796" t="s">
        <v>58194</v>
      </c>
      <c r="O2796">
        <f>-719.979019716106 -92.460973000143 -710.454217082956</f>
        <v>-1522.8942097992049</v>
      </c>
      <c r="P2796">
        <f>-672.814856811669 -74.90092120846 -397.95879693373</f>
        <v>-1145.6745749538591</v>
      </c>
      <c r="Q2796" t="s">
        <v>58195</v>
      </c>
      <c r="R2796" t="s">
        <v>58196</v>
      </c>
      <c r="S2796" t="s">
        <v>58197</v>
      </c>
      <c r="T2796" t="s">
        <v>58198</v>
      </c>
      <c r="U2796" t="s">
        <v>58199</v>
      </c>
      <c r="V2796" t="s">
        <v>58200</v>
      </c>
      <c r="W2796" t="s">
        <v>58201</v>
      </c>
      <c r="X2796" t="s">
        <v>58202</v>
      </c>
      <c r="Y2796" t="s">
        <v>58203</v>
      </c>
    </row>
    <row r="2797" spans="1:25" x14ac:dyDescent="0.3">
      <c r="A2797">
        <v>139800</v>
      </c>
      <c r="B2797" t="s">
        <v>58204</v>
      </c>
      <c r="C2797" t="s">
        <v>58205</v>
      </c>
      <c r="D2797" t="s">
        <v>58206</v>
      </c>
      <c r="E2797" t="s">
        <v>58207</v>
      </c>
      <c r="F2797" t="s">
        <v>58208</v>
      </c>
      <c r="G2797" t="s">
        <v>58209</v>
      </c>
      <c r="H2797" t="s">
        <v>58210</v>
      </c>
      <c r="I2797" t="s">
        <v>58211</v>
      </c>
      <c r="J2797" t="s">
        <v>58212</v>
      </c>
      <c r="K2797" t="s">
        <v>58213</v>
      </c>
      <c r="L2797" t="s">
        <v>58214</v>
      </c>
      <c r="M2797">
        <f>-297.599113539291 -2.9753770018981 -311.063016034789</f>
        <v>-611.63750657597802</v>
      </c>
      <c r="N2797" t="s">
        <v>58215</v>
      </c>
      <c r="O2797">
        <f>-719.510280178538 -92.5218642021962 -710.47876182721</f>
        <v>-1522.5109062079441</v>
      </c>
      <c r="P2797">
        <f>-672.518653213175 -74.8944648686754 -397.961240678648</f>
        <v>-1145.3743587604984</v>
      </c>
      <c r="Q2797" t="s">
        <v>58216</v>
      </c>
      <c r="R2797" t="s">
        <v>58217</v>
      </c>
      <c r="S2797" t="s">
        <v>58218</v>
      </c>
      <c r="T2797" t="s">
        <v>58219</v>
      </c>
      <c r="U2797" t="s">
        <v>58220</v>
      </c>
      <c r="V2797" t="s">
        <v>58221</v>
      </c>
      <c r="W2797" t="s">
        <v>58222</v>
      </c>
      <c r="X2797" t="s">
        <v>58223</v>
      </c>
      <c r="Y2797" t="s">
        <v>58224</v>
      </c>
    </row>
    <row r="2798" spans="1:25" x14ac:dyDescent="0.3">
      <c r="A2798">
        <v>139850</v>
      </c>
      <c r="B2798" t="s">
        <v>58225</v>
      </c>
      <c r="C2798" t="s">
        <v>58226</v>
      </c>
      <c r="D2798" t="s">
        <v>58227</v>
      </c>
      <c r="E2798" t="s">
        <v>58228</v>
      </c>
      <c r="F2798" t="s">
        <v>58229</v>
      </c>
      <c r="G2798" t="s">
        <v>58230</v>
      </c>
      <c r="H2798" t="s">
        <v>58231</v>
      </c>
      <c r="I2798" t="s">
        <v>58232</v>
      </c>
      <c r="J2798" t="s">
        <v>58233</v>
      </c>
      <c r="K2798" t="s">
        <v>58234</v>
      </c>
      <c r="L2798" t="s">
        <v>58235</v>
      </c>
      <c r="M2798">
        <f>-296.212972633019 -2.97665543602284 -311.484316921467</f>
        <v>-610.67394499050874</v>
      </c>
      <c r="N2798" t="s">
        <v>58236</v>
      </c>
      <c r="O2798">
        <f>-718.816939433277 -92.4734093627355 -710.566850695448</f>
        <v>-1521.8571994914605</v>
      </c>
      <c r="P2798">
        <f>-671.752388328855 -74.8070231073257 -398.062359584228</f>
        <v>-1144.6217710204087</v>
      </c>
      <c r="Q2798" t="s">
        <v>58237</v>
      </c>
      <c r="R2798" t="s">
        <v>58238</v>
      </c>
      <c r="S2798" t="s">
        <v>58239</v>
      </c>
      <c r="T2798" t="s">
        <v>58240</v>
      </c>
      <c r="U2798" t="s">
        <v>58241</v>
      </c>
      <c r="V2798" t="s">
        <v>58242</v>
      </c>
      <c r="W2798" t="s">
        <v>58243</v>
      </c>
      <c r="X2798" t="s">
        <v>58244</v>
      </c>
      <c r="Y2798" t="s">
        <v>58245</v>
      </c>
    </row>
    <row r="2799" spans="1:25" x14ac:dyDescent="0.3">
      <c r="A2799">
        <v>139900</v>
      </c>
      <c r="B2799" t="s">
        <v>58246</v>
      </c>
      <c r="C2799" t="s">
        <v>58247</v>
      </c>
      <c r="D2799" t="s">
        <v>58248</v>
      </c>
      <c r="E2799" t="s">
        <v>58249</v>
      </c>
      <c r="F2799" t="s">
        <v>58250</v>
      </c>
      <c r="G2799" t="s">
        <v>58251</v>
      </c>
      <c r="H2799" t="s">
        <v>58252</v>
      </c>
      <c r="I2799" t="s">
        <v>58253</v>
      </c>
      <c r="J2799" t="s">
        <v>58254</v>
      </c>
      <c r="K2799" t="s">
        <v>58255</v>
      </c>
      <c r="L2799" t="s">
        <v>58256</v>
      </c>
      <c r="M2799">
        <f>-295.635472069329 -3.09802404442894 -311.583150361257</f>
        <v>-610.31664647501498</v>
      </c>
      <c r="N2799" t="s">
        <v>58257</v>
      </c>
      <c r="O2799">
        <f>-718.659565720121 -92.3487057422099 -710.616691245268</f>
        <v>-1521.624962707599</v>
      </c>
      <c r="P2799">
        <f>-671.529853292702 -74.6992049857429 -398.121273508281</f>
        <v>-1144.3503317867257</v>
      </c>
      <c r="Q2799" t="s">
        <v>58258</v>
      </c>
      <c r="R2799" t="s">
        <v>58259</v>
      </c>
      <c r="S2799" t="s">
        <v>58260</v>
      </c>
      <c r="T2799" t="s">
        <v>58261</v>
      </c>
      <c r="U2799" t="s">
        <v>58262</v>
      </c>
      <c r="V2799" t="s">
        <v>58263</v>
      </c>
      <c r="W2799" t="s">
        <v>58264</v>
      </c>
      <c r="X2799" t="s">
        <v>58265</v>
      </c>
      <c r="Y2799" t="s">
        <v>58266</v>
      </c>
    </row>
    <row r="2800" spans="1:25" x14ac:dyDescent="0.3">
      <c r="A2800">
        <v>139950</v>
      </c>
      <c r="B2800" t="s">
        <v>58267</v>
      </c>
      <c r="C2800" t="s">
        <v>58268</v>
      </c>
      <c r="D2800" t="s">
        <v>58269</v>
      </c>
      <c r="E2800" t="s">
        <v>58270</v>
      </c>
      <c r="F2800" t="s">
        <v>58271</v>
      </c>
      <c r="G2800" t="s">
        <v>58272</v>
      </c>
      <c r="H2800" t="s">
        <v>58273</v>
      </c>
      <c r="I2800" t="s">
        <v>58274</v>
      </c>
      <c r="J2800" t="s">
        <v>58275</v>
      </c>
      <c r="K2800" t="s">
        <v>58276</v>
      </c>
      <c r="L2800" t="s">
        <v>58277</v>
      </c>
      <c r="M2800">
        <f>-294.644127831001 -3.67860997414482 -311.747912951431</f>
        <v>-610.07065075657681</v>
      </c>
      <c r="N2800" t="s">
        <v>58278</v>
      </c>
      <c r="O2800">
        <f>-718.503340459679 -92.007374160582 -710.750953422737</f>
        <v>-1521.2616680429978</v>
      </c>
      <c r="P2800">
        <f>-671.253555872475 -74.6388728978459 -398.257636552261</f>
        <v>-1144.1500653225819</v>
      </c>
      <c r="Q2800" t="s">
        <v>58279</v>
      </c>
      <c r="R2800" t="s">
        <v>58280</v>
      </c>
      <c r="S2800" t="s">
        <v>58281</v>
      </c>
      <c r="T2800" t="s">
        <v>58282</v>
      </c>
      <c r="U2800" t="s">
        <v>58283</v>
      </c>
      <c r="V2800" t="s">
        <v>58284</v>
      </c>
      <c r="W2800" t="s">
        <v>58285</v>
      </c>
      <c r="X2800" t="s">
        <v>58286</v>
      </c>
      <c r="Y2800" t="s">
        <v>58287</v>
      </c>
    </row>
    <row r="2801" spans="1:25" x14ac:dyDescent="0.3">
      <c r="A2801">
        <v>140000</v>
      </c>
      <c r="B2801" t="s">
        <v>58288</v>
      </c>
      <c r="C2801" t="s">
        <v>58289</v>
      </c>
      <c r="D2801" t="s">
        <v>58290</v>
      </c>
      <c r="E2801" t="s">
        <v>58291</v>
      </c>
      <c r="F2801" t="s">
        <v>58292</v>
      </c>
      <c r="G2801" t="s">
        <v>58293</v>
      </c>
      <c r="H2801" t="s">
        <v>58294</v>
      </c>
      <c r="I2801" t="s">
        <v>58295</v>
      </c>
      <c r="J2801" t="s">
        <v>58296</v>
      </c>
      <c r="K2801" t="s">
        <v>58297</v>
      </c>
      <c r="L2801" t="s">
        <v>58298</v>
      </c>
      <c r="M2801">
        <f>-294.097744177009 -3.99848094068466 -311.814299897294</f>
        <v>-609.91052501498768</v>
      </c>
      <c r="N2801" t="s">
        <v>58299</v>
      </c>
      <c r="O2801">
        <f>-718.459354904216 -91.7380293277181 -710.847280485403</f>
        <v>-1521.0446647173371</v>
      </c>
      <c r="P2801">
        <f>-671.256618741008 -74.6391950239358 -398.332174352346</f>
        <v>-1144.2279881172899</v>
      </c>
      <c r="Q2801" t="s">
        <v>58300</v>
      </c>
      <c r="R2801" t="s">
        <v>58301</v>
      </c>
      <c r="S2801" t="s">
        <v>58302</v>
      </c>
      <c r="T2801" t="s">
        <v>58303</v>
      </c>
      <c r="U2801" t="s">
        <v>58304</v>
      </c>
      <c r="V2801" t="s">
        <v>58305</v>
      </c>
      <c r="W2801" t="s">
        <v>58306</v>
      </c>
      <c r="X2801" t="s">
        <v>58307</v>
      </c>
      <c r="Y2801" t="s">
        <v>58308</v>
      </c>
    </row>
    <row r="2802" spans="1:25" x14ac:dyDescent="0.3">
      <c r="A2802">
        <v>140050</v>
      </c>
      <c r="B2802" t="s">
        <v>58309</v>
      </c>
      <c r="C2802" t="s">
        <v>58310</v>
      </c>
      <c r="D2802" t="s">
        <v>58311</v>
      </c>
      <c r="E2802" t="s">
        <v>58312</v>
      </c>
      <c r="F2802" t="s">
        <v>58313</v>
      </c>
      <c r="G2802" t="s">
        <v>58314</v>
      </c>
      <c r="H2802" t="s">
        <v>58315</v>
      </c>
      <c r="I2802" t="s">
        <v>58316</v>
      </c>
      <c r="J2802" t="s">
        <v>58317</v>
      </c>
      <c r="K2802" t="s">
        <v>58318</v>
      </c>
      <c r="L2802" t="s">
        <v>58319</v>
      </c>
      <c r="M2802">
        <f>-292.776903976008 -4.50401562444949 -312.125341160515</f>
        <v>-609.40626076097249</v>
      </c>
      <c r="N2802" t="s">
        <v>58320</v>
      </c>
      <c r="O2802">
        <f>-718.454408009011 -91.2954949007376 -710.92912165602</f>
        <v>-1520.6790245657685</v>
      </c>
      <c r="P2802">
        <f>-671.355678908764 -74.3952357716455 -398.387572969927</f>
        <v>-1144.1384876503366</v>
      </c>
      <c r="Q2802" t="s">
        <v>58321</v>
      </c>
      <c r="R2802" t="s">
        <v>58322</v>
      </c>
      <c r="S2802" t="s">
        <v>58323</v>
      </c>
      <c r="T2802" t="s">
        <v>58324</v>
      </c>
      <c r="U2802" t="s">
        <v>58325</v>
      </c>
      <c r="V2802" t="s">
        <v>58326</v>
      </c>
      <c r="W2802" t="s">
        <v>58327</v>
      </c>
      <c r="X2802" t="s">
        <v>58328</v>
      </c>
      <c r="Y2802" t="s">
        <v>58329</v>
      </c>
    </row>
    <row r="2803" spans="1:25" x14ac:dyDescent="0.3">
      <c r="A2803">
        <v>140100</v>
      </c>
      <c r="B2803" t="s">
        <v>58330</v>
      </c>
      <c r="C2803" t="s">
        <v>58331</v>
      </c>
      <c r="D2803" t="s">
        <v>58332</v>
      </c>
      <c r="E2803" t="s">
        <v>58333</v>
      </c>
      <c r="F2803" t="s">
        <v>58334</v>
      </c>
      <c r="G2803" t="s">
        <v>58335</v>
      </c>
      <c r="H2803" t="s">
        <v>58336</v>
      </c>
      <c r="I2803" t="s">
        <v>58337</v>
      </c>
      <c r="J2803" t="s">
        <v>58338</v>
      </c>
      <c r="K2803" t="s">
        <v>58339</v>
      </c>
      <c r="L2803" t="s">
        <v>58340</v>
      </c>
      <c r="M2803">
        <f>-292.211402659076 -4.73622888749264 -312.091048601212</f>
        <v>-609.03868014778061</v>
      </c>
      <c r="N2803" t="s">
        <v>58341</v>
      </c>
      <c r="O2803">
        <f>-718.445736598767 -90.9675882558988 -710.985446776657</f>
        <v>-1520.3987716313227</v>
      </c>
      <c r="P2803">
        <f>-671.311118760695 -74.3751884071203 -398.432749361449</f>
        <v>-1144.1190565292643</v>
      </c>
      <c r="Q2803" t="s">
        <v>58342</v>
      </c>
      <c r="R2803" t="s">
        <v>58343</v>
      </c>
      <c r="S2803" t="s">
        <v>58344</v>
      </c>
      <c r="T2803" t="s">
        <v>58345</v>
      </c>
      <c r="U2803" t="s">
        <v>58346</v>
      </c>
      <c r="V2803" t="s">
        <v>58347</v>
      </c>
      <c r="W2803" t="s">
        <v>58348</v>
      </c>
      <c r="X2803" t="s">
        <v>58349</v>
      </c>
      <c r="Y2803" t="s">
        <v>58350</v>
      </c>
    </row>
    <row r="2804" spans="1:25" x14ac:dyDescent="0.3">
      <c r="A2804">
        <v>140150</v>
      </c>
      <c r="B2804" t="s">
        <v>58351</v>
      </c>
      <c r="C2804" t="s">
        <v>58352</v>
      </c>
      <c r="D2804" t="s">
        <v>58353</v>
      </c>
      <c r="E2804" t="s">
        <v>58354</v>
      </c>
      <c r="F2804" t="s">
        <v>58355</v>
      </c>
      <c r="G2804" t="s">
        <v>58356</v>
      </c>
      <c r="H2804" t="s">
        <v>58357</v>
      </c>
      <c r="I2804" t="s">
        <v>58358</v>
      </c>
      <c r="J2804" t="s">
        <v>58359</v>
      </c>
      <c r="K2804" t="s">
        <v>58360</v>
      </c>
      <c r="L2804" t="s">
        <v>58361</v>
      </c>
      <c r="M2804">
        <f>-291.317640340373 -5.40092413991943 -312.36104427312</f>
        <v>-609.07960875341246</v>
      </c>
      <c r="N2804" t="s">
        <v>58362</v>
      </c>
      <c r="O2804">
        <f>-718.69667968229 -90.4406665508016 -711.079222495266</f>
        <v>-1520.2165687283575</v>
      </c>
      <c r="P2804">
        <f>-671.632385484886 -73.9208793718474 -398.512154126091</f>
        <v>-1144.0654189828242</v>
      </c>
      <c r="Q2804" t="s">
        <v>58363</v>
      </c>
      <c r="R2804" t="s">
        <v>58364</v>
      </c>
      <c r="S2804" t="s">
        <v>58365</v>
      </c>
      <c r="T2804" t="s">
        <v>58366</v>
      </c>
      <c r="U2804" t="s">
        <v>58367</v>
      </c>
      <c r="V2804" t="s">
        <v>58368</v>
      </c>
      <c r="W2804" t="s">
        <v>58369</v>
      </c>
      <c r="X2804" t="s">
        <v>58370</v>
      </c>
      <c r="Y2804" t="s">
        <v>58371</v>
      </c>
    </row>
    <row r="2805" spans="1:25" x14ac:dyDescent="0.3">
      <c r="A2805">
        <v>140200</v>
      </c>
      <c r="B2805" t="s">
        <v>58372</v>
      </c>
      <c r="C2805" t="s">
        <v>58373</v>
      </c>
      <c r="D2805" t="s">
        <v>58374</v>
      </c>
      <c r="E2805" t="s">
        <v>58375</v>
      </c>
      <c r="F2805" t="s">
        <v>58376</v>
      </c>
      <c r="G2805" t="s">
        <v>58377</v>
      </c>
      <c r="H2805" t="s">
        <v>58378</v>
      </c>
      <c r="I2805" t="s">
        <v>58379</v>
      </c>
      <c r="J2805" t="s">
        <v>58380</v>
      </c>
      <c r="K2805" t="s">
        <v>58381</v>
      </c>
      <c r="L2805" t="s">
        <v>58382</v>
      </c>
      <c r="M2805">
        <f>-290.984732532863 -5.79173728890987 -312.463080473929</f>
        <v>-609.23955029570186</v>
      </c>
      <c r="N2805" t="s">
        <v>58383</v>
      </c>
      <c r="O2805">
        <f>-718.781911281377 -90.2130310038813 -711.173070703558</f>
        <v>-1520.1680129888164</v>
      </c>
      <c r="P2805">
        <f>-671.763965553392 -73.94225474271 -398.585963601075</f>
        <v>-1144.292183897177</v>
      </c>
      <c r="Q2805" t="s">
        <v>58384</v>
      </c>
      <c r="R2805" t="s">
        <v>58385</v>
      </c>
      <c r="S2805" t="s">
        <v>58386</v>
      </c>
      <c r="T2805" t="s">
        <v>58387</v>
      </c>
      <c r="U2805" t="s">
        <v>58388</v>
      </c>
      <c r="V2805" t="s">
        <v>58389</v>
      </c>
      <c r="W2805" t="s">
        <v>58390</v>
      </c>
      <c r="X2805" t="s">
        <v>58391</v>
      </c>
      <c r="Y2805" t="s">
        <v>58392</v>
      </c>
    </row>
    <row r="2806" spans="1:25" x14ac:dyDescent="0.3">
      <c r="A2806">
        <v>140250</v>
      </c>
      <c r="B2806" t="s">
        <v>58393</v>
      </c>
      <c r="C2806" t="s">
        <v>58394</v>
      </c>
      <c r="D2806" t="s">
        <v>58395</v>
      </c>
      <c r="E2806" t="s">
        <v>58396</v>
      </c>
      <c r="F2806" t="s">
        <v>58397</v>
      </c>
      <c r="G2806" t="s">
        <v>58398</v>
      </c>
      <c r="H2806" t="s">
        <v>58399</v>
      </c>
      <c r="I2806" t="s">
        <v>58400</v>
      </c>
      <c r="J2806" t="s">
        <v>58401</v>
      </c>
      <c r="K2806" t="s">
        <v>58402</v>
      </c>
      <c r="L2806" t="s">
        <v>58403</v>
      </c>
      <c r="M2806">
        <f>-289.828612179405 -5.19956790830997 -312.414935628671</f>
        <v>-607.44311571638605</v>
      </c>
      <c r="N2806" t="s">
        <v>58404</v>
      </c>
      <c r="O2806">
        <f>-719.034308863873 -89.5968832491392 -711.374416143249</f>
        <v>-1520.0056082562612</v>
      </c>
      <c r="P2806">
        <f>-672.002999007618 -73.5678881485826 -398.776741996324</f>
        <v>-1144.3476291525246</v>
      </c>
      <c r="Q2806" t="s">
        <v>58405</v>
      </c>
      <c r="R2806" t="s">
        <v>58406</v>
      </c>
      <c r="S2806" t="s">
        <v>58407</v>
      </c>
      <c r="T2806" t="s">
        <v>58408</v>
      </c>
      <c r="U2806" t="s">
        <v>58409</v>
      </c>
      <c r="V2806" t="s">
        <v>58410</v>
      </c>
      <c r="W2806" t="s">
        <v>58411</v>
      </c>
      <c r="X2806" t="s">
        <v>58412</v>
      </c>
      <c r="Y2806" t="s">
        <v>58413</v>
      </c>
    </row>
    <row r="2807" spans="1:25" x14ac:dyDescent="0.3">
      <c r="A2807">
        <v>140300</v>
      </c>
      <c r="B2807" t="s">
        <v>58414</v>
      </c>
      <c r="C2807" t="s">
        <v>58415</v>
      </c>
      <c r="D2807" t="s">
        <v>58416</v>
      </c>
      <c r="E2807" t="s">
        <v>58417</v>
      </c>
      <c r="F2807" t="s">
        <v>58418</v>
      </c>
      <c r="G2807" t="s">
        <v>58419</v>
      </c>
      <c r="H2807" t="s">
        <v>58420</v>
      </c>
      <c r="I2807" t="s">
        <v>58421</v>
      </c>
      <c r="J2807" t="s">
        <v>58422</v>
      </c>
      <c r="K2807" t="s">
        <v>58423</v>
      </c>
      <c r="L2807" t="s">
        <v>58424</v>
      </c>
      <c r="M2807">
        <f>-289.453276536555 -5.32301304840644 -312.419050341355</f>
        <v>-607.19533992631636</v>
      </c>
      <c r="N2807" t="s">
        <v>58425</v>
      </c>
      <c r="O2807">
        <f>-718.990551510393 -89.7063465754907 -711.365086754702</f>
        <v>-1520.0619848405856</v>
      </c>
      <c r="P2807">
        <f>-672.091949682347 -73.6881088791722 -398.746873660024</f>
        <v>-1144.5269322215431</v>
      </c>
      <c r="Q2807" t="s">
        <v>58426</v>
      </c>
      <c r="R2807" t="s">
        <v>58427</v>
      </c>
      <c r="S2807" t="s">
        <v>58428</v>
      </c>
      <c r="T2807" t="s">
        <v>58429</v>
      </c>
      <c r="U2807" t="s">
        <v>58430</v>
      </c>
      <c r="V2807" t="s">
        <v>58431</v>
      </c>
      <c r="W2807" t="s">
        <v>58432</v>
      </c>
      <c r="X2807" t="s">
        <v>58433</v>
      </c>
      <c r="Y2807" t="s">
        <v>58434</v>
      </c>
    </row>
    <row r="2808" spans="1:25" x14ac:dyDescent="0.3">
      <c r="A2808">
        <v>140350</v>
      </c>
      <c r="B2808" t="s">
        <v>58435</v>
      </c>
      <c r="C2808" t="s">
        <v>58436</v>
      </c>
      <c r="D2808" t="s">
        <v>58437</v>
      </c>
      <c r="E2808" t="s">
        <v>58438</v>
      </c>
      <c r="F2808" t="s">
        <v>58439</v>
      </c>
      <c r="G2808" t="s">
        <v>58440</v>
      </c>
      <c r="H2808" t="s">
        <v>58441</v>
      </c>
      <c r="I2808" t="s">
        <v>58442</v>
      </c>
      <c r="J2808" t="s">
        <v>58443</v>
      </c>
      <c r="K2808" t="s">
        <v>58444</v>
      </c>
      <c r="L2808" t="s">
        <v>58445</v>
      </c>
      <c r="M2808">
        <f>-288.316878152064 -4.36066602612937 -312.443642685274</f>
        <v>-605.12118686346741</v>
      </c>
      <c r="N2808" t="s">
        <v>58446</v>
      </c>
      <c r="O2808">
        <f>-719.050767796327 -89.5244283045415 -711.639643296864</f>
        <v>-1520.2148393977327</v>
      </c>
      <c r="P2808">
        <f>-672.386587194837 -73.4933036095115 -398.987040232066</f>
        <v>-1144.8669310364146</v>
      </c>
      <c r="Q2808" t="s">
        <v>58447</v>
      </c>
      <c r="R2808" t="s">
        <v>58448</v>
      </c>
      <c r="S2808" t="s">
        <v>58449</v>
      </c>
      <c r="T2808" t="s">
        <v>58450</v>
      </c>
      <c r="U2808" t="s">
        <v>58451</v>
      </c>
      <c r="V2808" t="s">
        <v>58452</v>
      </c>
      <c r="W2808" t="s">
        <v>58453</v>
      </c>
      <c r="X2808" t="s">
        <v>58454</v>
      </c>
      <c r="Y2808" t="s">
        <v>58455</v>
      </c>
    </row>
    <row r="2809" spans="1:25" x14ac:dyDescent="0.3">
      <c r="A2809">
        <v>140400</v>
      </c>
      <c r="B2809" t="s">
        <v>58456</v>
      </c>
      <c r="C2809" t="s">
        <v>58457</v>
      </c>
      <c r="D2809" t="s">
        <v>58458</v>
      </c>
      <c r="E2809" t="s">
        <v>58459</v>
      </c>
      <c r="F2809" t="s">
        <v>58460</v>
      </c>
      <c r="G2809" t="s">
        <v>58461</v>
      </c>
      <c r="H2809" t="s">
        <v>58462</v>
      </c>
      <c r="I2809" t="s">
        <v>58463</v>
      </c>
      <c r="J2809" t="s">
        <v>58464</v>
      </c>
      <c r="K2809" t="s">
        <v>58465</v>
      </c>
      <c r="L2809" t="s">
        <v>58466</v>
      </c>
      <c r="M2809">
        <f>-287.780984415101 -3.73657997082637 -312.519633776826</f>
        <v>-604.03719816275338</v>
      </c>
      <c r="N2809" t="s">
        <v>58467</v>
      </c>
      <c r="O2809">
        <f>-719.146041704967 -89.3747059266086 -711.810900685256</f>
        <v>-1520.3316483168317</v>
      </c>
      <c r="P2809">
        <f>-672.626833063931 -73.4423163617712 -399.131639156524</f>
        <v>-1145.2007885822263</v>
      </c>
      <c r="Q2809" t="s">
        <v>58468</v>
      </c>
      <c r="R2809" t="s">
        <v>58469</v>
      </c>
      <c r="S2809" t="s">
        <v>58470</v>
      </c>
      <c r="T2809" t="s">
        <v>58471</v>
      </c>
      <c r="U2809" t="s">
        <v>58472</v>
      </c>
      <c r="V2809" t="s">
        <v>58473</v>
      </c>
      <c r="W2809" t="s">
        <v>58474</v>
      </c>
      <c r="X2809" t="s">
        <v>58475</v>
      </c>
      <c r="Y2809" t="s">
        <v>58476</v>
      </c>
    </row>
    <row r="2810" spans="1:25" x14ac:dyDescent="0.3">
      <c r="A2810">
        <v>140450</v>
      </c>
      <c r="B2810" t="s">
        <v>58477</v>
      </c>
      <c r="C2810" t="s">
        <v>58478</v>
      </c>
      <c r="D2810" t="s">
        <v>58479</v>
      </c>
      <c r="E2810" t="s">
        <v>58480</v>
      </c>
      <c r="F2810" t="s">
        <v>58481</v>
      </c>
      <c r="G2810" t="s">
        <v>58482</v>
      </c>
      <c r="H2810" t="s">
        <v>58483</v>
      </c>
      <c r="I2810" t="s">
        <v>58484</v>
      </c>
      <c r="J2810" t="s">
        <v>58485</v>
      </c>
      <c r="K2810" t="s">
        <v>58486</v>
      </c>
      <c r="L2810" t="s">
        <v>58487</v>
      </c>
      <c r="M2810">
        <f>-286.3130683129 -2.74143668511056 -312.906659821014</f>
        <v>-601.96116481902459</v>
      </c>
      <c r="N2810" t="s">
        <v>58488</v>
      </c>
      <c r="O2810">
        <f>-719.31023170936 -88.754384292366 -712.276042621983</f>
        <v>-1520.340658623709</v>
      </c>
      <c r="P2810">
        <f>-673.003407042899 -73.028526730574 -399.554872309623</f>
        <v>-1145.586806083096</v>
      </c>
      <c r="Q2810" t="s">
        <v>58489</v>
      </c>
      <c r="R2810" t="s">
        <v>58490</v>
      </c>
      <c r="S2810" t="s">
        <v>58491</v>
      </c>
      <c r="T2810" t="s">
        <v>58492</v>
      </c>
      <c r="U2810" t="s">
        <v>58493</v>
      </c>
      <c r="V2810" t="s">
        <v>58494</v>
      </c>
      <c r="W2810" t="s">
        <v>58495</v>
      </c>
      <c r="X2810" t="s">
        <v>58496</v>
      </c>
      <c r="Y2810" t="s">
        <v>58497</v>
      </c>
    </row>
    <row r="2811" spans="1:25" x14ac:dyDescent="0.3">
      <c r="A2811">
        <v>140500</v>
      </c>
      <c r="B2811" t="s">
        <v>58498</v>
      </c>
      <c r="C2811" t="s">
        <v>58499</v>
      </c>
      <c r="D2811" t="s">
        <v>58500</v>
      </c>
      <c r="E2811" t="s">
        <v>58501</v>
      </c>
      <c r="F2811" t="s">
        <v>58502</v>
      </c>
      <c r="G2811" t="s">
        <v>58503</v>
      </c>
      <c r="H2811" t="s">
        <v>58504</v>
      </c>
      <c r="I2811" t="s">
        <v>58505</v>
      </c>
      <c r="J2811" t="s">
        <v>58506</v>
      </c>
      <c r="K2811" t="s">
        <v>58507</v>
      </c>
      <c r="L2811" t="s">
        <v>58508</v>
      </c>
      <c r="M2811">
        <f>-285.963385041209 -2.04005306567251 -312.848519232958</f>
        <v>-600.85195733983949</v>
      </c>
      <c r="N2811" t="s">
        <v>58509</v>
      </c>
      <c r="O2811">
        <f>-719.671033091153 -88.3968903408768 -712.428432245729</f>
        <v>-1520.4963556777589</v>
      </c>
      <c r="P2811">
        <f>-673.593970956152 -72.4582047307993 -399.684024809666</f>
        <v>-1145.7362004966174</v>
      </c>
      <c r="Q2811" t="s">
        <v>58510</v>
      </c>
      <c r="R2811" t="s">
        <v>58511</v>
      </c>
      <c r="S2811" t="s">
        <v>58512</v>
      </c>
      <c r="T2811" t="s">
        <v>58513</v>
      </c>
      <c r="U2811" t="s">
        <v>58514</v>
      </c>
      <c r="V2811" t="s">
        <v>58515</v>
      </c>
      <c r="W2811" t="s">
        <v>58516</v>
      </c>
      <c r="X2811" t="s">
        <v>58517</v>
      </c>
      <c r="Y2811" t="s">
        <v>58518</v>
      </c>
    </row>
    <row r="2812" spans="1:25" x14ac:dyDescent="0.3">
      <c r="A2812">
        <v>140550</v>
      </c>
      <c r="B2812" t="s">
        <v>58519</v>
      </c>
      <c r="C2812" t="s">
        <v>58520</v>
      </c>
      <c r="D2812" t="s">
        <v>58521</v>
      </c>
      <c r="E2812" t="s">
        <v>58522</v>
      </c>
      <c r="F2812" t="s">
        <v>58523</v>
      </c>
      <c r="G2812" t="s">
        <v>58524</v>
      </c>
      <c r="H2812" t="s">
        <v>58525</v>
      </c>
      <c r="I2812" t="s">
        <v>58526</v>
      </c>
      <c r="J2812" t="s">
        <v>58527</v>
      </c>
      <c r="K2812" t="s">
        <v>58528</v>
      </c>
      <c r="L2812" t="s">
        <v>58529</v>
      </c>
      <c r="M2812">
        <f>-285.167050639286 -0.932211645964344 -312.608811209677</f>
        <v>-598.70807349492736</v>
      </c>
      <c r="N2812" t="s">
        <v>58530</v>
      </c>
      <c r="O2812">
        <f>-720.046965004877 -87.7173046847233 -712.620656328552</f>
        <v>-1520.3849260181523</v>
      </c>
      <c r="P2812">
        <f>-674.361218730029 -71.9931181002457 -399.808099944928</f>
        <v>-1146.1624367752029</v>
      </c>
      <c r="Q2812" t="s">
        <v>58531</v>
      </c>
      <c r="R2812" t="s">
        <v>58532</v>
      </c>
      <c r="S2812" t="s">
        <v>58533</v>
      </c>
      <c r="T2812" t="s">
        <v>58534</v>
      </c>
      <c r="U2812" t="s">
        <v>58535</v>
      </c>
      <c r="V2812" t="s">
        <v>58536</v>
      </c>
      <c r="W2812" t="s">
        <v>58537</v>
      </c>
      <c r="X2812" t="s">
        <v>58538</v>
      </c>
      <c r="Y2812" t="s">
        <v>58539</v>
      </c>
    </row>
    <row r="2813" spans="1:25" x14ac:dyDescent="0.3">
      <c r="A2813">
        <v>140600</v>
      </c>
      <c r="B2813" t="s">
        <v>58540</v>
      </c>
      <c r="C2813" t="s">
        <v>58541</v>
      </c>
      <c r="D2813" t="s">
        <v>58542</v>
      </c>
      <c r="E2813" t="s">
        <v>58543</v>
      </c>
      <c r="F2813" t="s">
        <v>58544</v>
      </c>
      <c r="G2813" t="s">
        <v>58545</v>
      </c>
      <c r="H2813" t="s">
        <v>58546</v>
      </c>
      <c r="I2813" t="s">
        <v>58547</v>
      </c>
      <c r="J2813" t="s">
        <v>58548</v>
      </c>
      <c r="K2813" t="s">
        <v>58549</v>
      </c>
      <c r="L2813" t="s">
        <v>58550</v>
      </c>
      <c r="M2813">
        <f>-284.903810489285 -0.093775068874038 -312.262281771168</f>
        <v>-597.25986732932699</v>
      </c>
      <c r="N2813" t="s">
        <v>58551</v>
      </c>
      <c r="O2813">
        <f>-720.540711516738 -87.4406506212295 -712.673569359129</f>
        <v>-1520.6549314970966</v>
      </c>
      <c r="P2813">
        <f>-675.189491359424 -71.5476492390294 -399.820822575995</f>
        <v>-1146.5579631744483</v>
      </c>
      <c r="Q2813" t="s">
        <v>58552</v>
      </c>
      <c r="R2813" t="s">
        <v>58553</v>
      </c>
      <c r="S2813" t="s">
        <v>58554</v>
      </c>
      <c r="T2813" t="s">
        <v>58555</v>
      </c>
      <c r="U2813" t="s">
        <v>58556</v>
      </c>
      <c r="V2813" t="s">
        <v>58557</v>
      </c>
      <c r="W2813" t="s">
        <v>58558</v>
      </c>
      <c r="X2813" t="s">
        <v>58559</v>
      </c>
      <c r="Y2813" t="s">
        <v>58560</v>
      </c>
    </row>
    <row r="2814" spans="1:25" x14ac:dyDescent="0.3">
      <c r="A2814">
        <v>140650</v>
      </c>
      <c r="B2814" t="s">
        <v>58561</v>
      </c>
      <c r="C2814" t="s">
        <v>58562</v>
      </c>
      <c r="D2814" t="s">
        <v>58563</v>
      </c>
      <c r="E2814" t="s">
        <v>58564</v>
      </c>
      <c r="F2814" t="s">
        <v>58565</v>
      </c>
      <c r="G2814" t="s">
        <v>58566</v>
      </c>
      <c r="H2814" t="s">
        <v>58567</v>
      </c>
      <c r="I2814" t="s">
        <v>58568</v>
      </c>
      <c r="J2814" t="s">
        <v>58569</v>
      </c>
      <c r="K2814" t="s">
        <v>58570</v>
      </c>
      <c r="L2814" t="s">
        <v>58571</v>
      </c>
      <c r="M2814" t="s">
        <v>58572</v>
      </c>
      <c r="N2814" t="s">
        <v>58573</v>
      </c>
      <c r="O2814">
        <f>-721.096143358707 -86.9239176092178 -712.838929039611</f>
        <v>-1520.8589900075358</v>
      </c>
      <c r="P2814">
        <f>-676.400400823312 -71.3030718874868 -399.87819401956</f>
        <v>-1147.5816667303588</v>
      </c>
      <c r="Q2814" t="s">
        <v>58574</v>
      </c>
      <c r="R2814" t="s">
        <v>58575</v>
      </c>
      <c r="S2814" t="s">
        <v>58576</v>
      </c>
      <c r="T2814" t="s">
        <v>58577</v>
      </c>
      <c r="U2814" t="s">
        <v>58578</v>
      </c>
      <c r="V2814" t="s">
        <v>58579</v>
      </c>
      <c r="W2814" t="s">
        <v>58580</v>
      </c>
      <c r="X2814" t="s">
        <v>58581</v>
      </c>
      <c r="Y2814" t="s">
        <v>58582</v>
      </c>
    </row>
    <row r="2815" spans="1:25" x14ac:dyDescent="0.3">
      <c r="A2815">
        <v>140700</v>
      </c>
      <c r="B2815" t="s">
        <v>58583</v>
      </c>
      <c r="C2815" t="s">
        <v>58584</v>
      </c>
      <c r="D2815" t="s">
        <v>58585</v>
      </c>
      <c r="E2815" t="s">
        <v>58586</v>
      </c>
      <c r="F2815" t="s">
        <v>58587</v>
      </c>
      <c r="G2815" t="s">
        <v>58588</v>
      </c>
      <c r="H2815" t="s">
        <v>58589</v>
      </c>
      <c r="I2815" t="s">
        <v>58590</v>
      </c>
      <c r="J2815" t="s">
        <v>58591</v>
      </c>
      <c r="K2815" t="s">
        <v>58592</v>
      </c>
      <c r="L2815" t="s">
        <v>58593</v>
      </c>
      <c r="M2815" t="s">
        <v>58594</v>
      </c>
      <c r="N2815" t="s">
        <v>58595</v>
      </c>
      <c r="O2815">
        <f>-721.600572928783 -86.9297673833707 -712.875286467657</f>
        <v>-1521.4056267798107</v>
      </c>
      <c r="P2815">
        <f>-677.131023183418 -71.0592995358074 -399.894780907301</f>
        <v>-1148.0851036265265</v>
      </c>
      <c r="Q2815" t="s">
        <v>58596</v>
      </c>
      <c r="R2815" t="s">
        <v>58597</v>
      </c>
      <c r="S2815" t="s">
        <v>58598</v>
      </c>
      <c r="T2815" t="s">
        <v>58599</v>
      </c>
      <c r="U2815" t="s">
        <v>58600</v>
      </c>
      <c r="V2815" t="s">
        <v>58601</v>
      </c>
      <c r="W2815" t="s">
        <v>58602</v>
      </c>
      <c r="X2815" t="s">
        <v>58603</v>
      </c>
      <c r="Y2815" t="s">
        <v>58604</v>
      </c>
    </row>
    <row r="2816" spans="1:25" x14ac:dyDescent="0.3">
      <c r="A2816">
        <v>140750</v>
      </c>
      <c r="B2816" t="s">
        <v>58605</v>
      </c>
      <c r="C2816" t="s">
        <v>58606</v>
      </c>
      <c r="D2816" t="s">
        <v>58607</v>
      </c>
      <c r="E2816" t="s">
        <v>58608</v>
      </c>
      <c r="F2816" t="s">
        <v>58609</v>
      </c>
      <c r="G2816" t="s">
        <v>58610</v>
      </c>
      <c r="H2816" t="s">
        <v>58611</v>
      </c>
      <c r="I2816" t="s">
        <v>58612</v>
      </c>
      <c r="J2816" t="s">
        <v>58613</v>
      </c>
      <c r="K2816" t="s">
        <v>58614</v>
      </c>
      <c r="L2816" t="s">
        <v>58615</v>
      </c>
      <c r="M2816" t="s">
        <v>58616</v>
      </c>
      <c r="N2816" t="s">
        <v>58617</v>
      </c>
      <c r="O2816">
        <f>-722.699861967507 -86.639168756175 -713.063650461276</f>
        <v>-1522.4026811849581</v>
      </c>
      <c r="P2816">
        <f>-678.697593550386 -70.6984085248873 -400.02088227327</f>
        <v>-1149.4168843485434</v>
      </c>
      <c r="Q2816" t="s">
        <v>58618</v>
      </c>
      <c r="R2816" t="s">
        <v>58619</v>
      </c>
      <c r="S2816" t="s">
        <v>58620</v>
      </c>
      <c r="T2816" t="s">
        <v>58621</v>
      </c>
      <c r="U2816" t="s">
        <v>58622</v>
      </c>
      <c r="V2816" t="s">
        <v>58623</v>
      </c>
      <c r="W2816" t="s">
        <v>58624</v>
      </c>
      <c r="X2816" t="s">
        <v>58625</v>
      </c>
      <c r="Y2816" t="s">
        <v>58626</v>
      </c>
    </row>
    <row r="2817" spans="1:25" x14ac:dyDescent="0.3">
      <c r="A2817">
        <v>140800</v>
      </c>
      <c r="B2817" t="s">
        <v>58627</v>
      </c>
      <c r="C2817" t="s">
        <v>58628</v>
      </c>
      <c r="D2817" t="s">
        <v>58629</v>
      </c>
      <c r="E2817" t="s">
        <v>58630</v>
      </c>
      <c r="F2817" t="s">
        <v>58631</v>
      </c>
      <c r="G2817" t="s">
        <v>58632</v>
      </c>
      <c r="H2817" t="s">
        <v>58633</v>
      </c>
      <c r="I2817" t="s">
        <v>58634</v>
      </c>
      <c r="J2817" t="s">
        <v>58635</v>
      </c>
      <c r="K2817" t="s">
        <v>58636</v>
      </c>
      <c r="L2817" t="s">
        <v>58637</v>
      </c>
      <c r="M2817" t="s">
        <v>58638</v>
      </c>
      <c r="N2817" t="s">
        <v>58639</v>
      </c>
      <c r="O2817">
        <f>-723.286235711 -86.4527955204542 -713.212166731056</f>
        <v>-1522.9511979625102</v>
      </c>
      <c r="P2817">
        <f>-679.61379351677 -70.6318039585494 -400.11695143943</f>
        <v>-1150.3625489147494</v>
      </c>
      <c r="Q2817" t="s">
        <v>58640</v>
      </c>
      <c r="R2817" t="s">
        <v>58641</v>
      </c>
      <c r="S2817" t="s">
        <v>58642</v>
      </c>
      <c r="T2817" t="s">
        <v>58643</v>
      </c>
      <c r="U2817" t="s">
        <v>58644</v>
      </c>
      <c r="V2817" t="s">
        <v>58645</v>
      </c>
      <c r="W2817" t="s">
        <v>58646</v>
      </c>
      <c r="X2817" t="s">
        <v>58647</v>
      </c>
      <c r="Y2817" t="s">
        <v>58648</v>
      </c>
    </row>
    <row r="2818" spans="1:25" x14ac:dyDescent="0.3">
      <c r="A2818">
        <v>140850</v>
      </c>
      <c r="B2818" t="s">
        <v>58649</v>
      </c>
      <c r="C2818" t="s">
        <v>58650</v>
      </c>
      <c r="D2818" t="s">
        <v>58651</v>
      </c>
      <c r="E2818" t="s">
        <v>58652</v>
      </c>
      <c r="F2818" t="s">
        <v>58653</v>
      </c>
      <c r="G2818" t="s">
        <v>58654</v>
      </c>
      <c r="H2818" t="s">
        <v>58655</v>
      </c>
      <c r="I2818" t="s">
        <v>58656</v>
      </c>
      <c r="J2818" t="s">
        <v>58657</v>
      </c>
      <c r="K2818" t="s">
        <v>58658</v>
      </c>
      <c r="L2818" t="s">
        <v>58659</v>
      </c>
      <c r="M2818" t="s">
        <v>58660</v>
      </c>
      <c r="N2818" t="s">
        <v>58661</v>
      </c>
      <c r="O2818">
        <f>-724.771160691621 -85.6944292182091 -713.768928163827</f>
        <v>-1524.234518073657</v>
      </c>
      <c r="P2818">
        <f>-681.97802031182 -70.0649552853672 -400.542766853212</f>
        <v>-1152.5857424503993</v>
      </c>
      <c r="Q2818" t="s">
        <v>58662</v>
      </c>
      <c r="R2818" t="s">
        <v>58663</v>
      </c>
      <c r="S2818" t="s">
        <v>58664</v>
      </c>
      <c r="T2818" t="s">
        <v>58665</v>
      </c>
      <c r="U2818" t="s">
        <v>58666</v>
      </c>
      <c r="V2818" t="s">
        <v>58667</v>
      </c>
      <c r="W2818" t="s">
        <v>58668</v>
      </c>
      <c r="X2818" t="s">
        <v>58669</v>
      </c>
      <c r="Y2818" t="s">
        <v>58670</v>
      </c>
    </row>
    <row r="2819" spans="1:25" x14ac:dyDescent="0.3">
      <c r="A2819">
        <v>140900</v>
      </c>
      <c r="B2819" t="s">
        <v>58671</v>
      </c>
      <c r="C2819" t="s">
        <v>58672</v>
      </c>
      <c r="D2819" t="s">
        <v>58673</v>
      </c>
      <c r="E2819" t="s">
        <v>58674</v>
      </c>
      <c r="F2819" t="s">
        <v>58675</v>
      </c>
      <c r="G2819" t="s">
        <v>58676</v>
      </c>
      <c r="H2819" t="s">
        <v>58677</v>
      </c>
      <c r="I2819" t="s">
        <v>58678</v>
      </c>
      <c r="J2819" t="s">
        <v>58679</v>
      </c>
      <c r="K2819" t="s">
        <v>58680</v>
      </c>
      <c r="L2819" t="s">
        <v>58681</v>
      </c>
      <c r="M2819" t="s">
        <v>58682</v>
      </c>
      <c r="N2819" t="s">
        <v>58683</v>
      </c>
      <c r="O2819">
        <f>-725.368694474004 -85.2998949392595 -714.060445216401</f>
        <v>-1524.7290346296645</v>
      </c>
      <c r="P2819">
        <f>-683.310022995965 -69.4493280222916 -400.745840022699</f>
        <v>-1153.5051910409557</v>
      </c>
      <c r="Q2819" t="s">
        <v>58684</v>
      </c>
      <c r="R2819" t="s">
        <v>58685</v>
      </c>
      <c r="S2819" t="s">
        <v>58686</v>
      </c>
      <c r="T2819" t="s">
        <v>58687</v>
      </c>
      <c r="U2819" t="s">
        <v>58688</v>
      </c>
      <c r="V2819" t="s">
        <v>58689</v>
      </c>
      <c r="W2819" t="s">
        <v>58690</v>
      </c>
      <c r="X2819" t="s">
        <v>58691</v>
      </c>
      <c r="Y2819" t="s">
        <v>58692</v>
      </c>
    </row>
    <row r="2820" spans="1:25" x14ac:dyDescent="0.3">
      <c r="A2820">
        <v>140950</v>
      </c>
      <c r="B2820" t="s">
        <v>58693</v>
      </c>
      <c r="C2820" t="s">
        <v>58694</v>
      </c>
      <c r="D2820" t="s">
        <v>58695</v>
      </c>
      <c r="E2820" t="s">
        <v>58696</v>
      </c>
      <c r="F2820" t="s">
        <v>58697</v>
      </c>
      <c r="G2820" t="s">
        <v>58698</v>
      </c>
      <c r="H2820" t="s">
        <v>58699</v>
      </c>
      <c r="I2820" t="s">
        <v>58700</v>
      </c>
      <c r="J2820" t="s">
        <v>58701</v>
      </c>
      <c r="K2820" t="s">
        <v>58702</v>
      </c>
      <c r="L2820" t="s">
        <v>58703</v>
      </c>
      <c r="M2820" t="s">
        <v>58704</v>
      </c>
      <c r="N2820" t="s">
        <v>58705</v>
      </c>
      <c r="O2820">
        <f>-726.487506858123 -84.2685753528126 -714.822378284177</f>
        <v>-1525.5784604951127</v>
      </c>
      <c r="P2820">
        <f>-685.864117128431 -68.3576977895077 -401.321517119622</f>
        <v>-1155.5433320375607</v>
      </c>
      <c r="Q2820" t="s">
        <v>58706</v>
      </c>
      <c r="R2820" t="s">
        <v>58707</v>
      </c>
      <c r="S2820" t="s">
        <v>58708</v>
      </c>
      <c r="T2820" t="s">
        <v>58709</v>
      </c>
      <c r="U2820" t="s">
        <v>58710</v>
      </c>
      <c r="V2820" t="s">
        <v>58711</v>
      </c>
      <c r="W2820" t="s">
        <v>58712</v>
      </c>
      <c r="X2820" t="s">
        <v>58713</v>
      </c>
      <c r="Y2820" t="s">
        <v>58714</v>
      </c>
    </row>
    <row r="2821" spans="1:25" x14ac:dyDescent="0.3">
      <c r="A2821">
        <v>141000</v>
      </c>
      <c r="B2821" t="s">
        <v>58715</v>
      </c>
      <c r="C2821" t="s">
        <v>58716</v>
      </c>
      <c r="D2821" t="s">
        <v>58717</v>
      </c>
      <c r="E2821" t="s">
        <v>58718</v>
      </c>
      <c r="F2821" t="s">
        <v>58719</v>
      </c>
      <c r="G2821" t="s">
        <v>58720</v>
      </c>
      <c r="H2821" t="s">
        <v>58721</v>
      </c>
      <c r="I2821" t="s">
        <v>58722</v>
      </c>
      <c r="J2821" t="s">
        <v>58723</v>
      </c>
      <c r="K2821" t="s">
        <v>58724</v>
      </c>
      <c r="L2821" t="s">
        <v>58725</v>
      </c>
      <c r="M2821" t="s">
        <v>58726</v>
      </c>
      <c r="N2821" t="s">
        <v>58727</v>
      </c>
      <c r="O2821">
        <f>-727.445492793981 -83.7519191392792 -715.045023648837</f>
        <v>-1526.2424355820972</v>
      </c>
      <c r="P2821">
        <f>-687.719975418547 -67.4693124235612 -401.448310269745</f>
        <v>-1156.6375981118531</v>
      </c>
      <c r="Q2821" t="s">
        <v>58728</v>
      </c>
      <c r="R2821" t="s">
        <v>58729</v>
      </c>
      <c r="S2821" t="s">
        <v>58730</v>
      </c>
      <c r="T2821" t="s">
        <v>58731</v>
      </c>
      <c r="U2821" t="s">
        <v>58732</v>
      </c>
      <c r="V2821" t="s">
        <v>58733</v>
      </c>
      <c r="W2821" t="s">
        <v>58734</v>
      </c>
      <c r="X2821" t="s">
        <v>58735</v>
      </c>
      <c r="Y2821" t="s">
        <v>58736</v>
      </c>
    </row>
    <row r="2822" spans="1:25" x14ac:dyDescent="0.3">
      <c r="A2822">
        <v>141050</v>
      </c>
      <c r="B2822" t="s">
        <v>58737</v>
      </c>
      <c r="C2822" t="s">
        <v>58738</v>
      </c>
      <c r="D2822" t="s">
        <v>58739</v>
      </c>
      <c r="E2822" t="s">
        <v>58740</v>
      </c>
      <c r="F2822" t="s">
        <v>58741</v>
      </c>
      <c r="G2822" t="s">
        <v>58742</v>
      </c>
      <c r="H2822" t="s">
        <v>58743</v>
      </c>
      <c r="I2822" t="s">
        <v>58744</v>
      </c>
      <c r="J2822" t="s">
        <v>58745</v>
      </c>
      <c r="K2822" t="s">
        <v>58746</v>
      </c>
      <c r="L2822" t="s">
        <v>58747</v>
      </c>
      <c r="M2822" t="s">
        <v>58748</v>
      </c>
      <c r="N2822" t="s">
        <v>58749</v>
      </c>
      <c r="O2822">
        <f>-729.346227919866 -82.5382023563948 -715.439658428827</f>
        <v>-1527.3240887050879</v>
      </c>
      <c r="P2822">
        <f>-690.764272975507 -66.5231219888185 -401.686370011367</f>
        <v>-1158.9737649756926</v>
      </c>
      <c r="Q2822" t="s">
        <v>58750</v>
      </c>
      <c r="R2822" t="s">
        <v>58751</v>
      </c>
      <c r="S2822" t="s">
        <v>58752</v>
      </c>
      <c r="T2822" t="s">
        <v>58753</v>
      </c>
      <c r="U2822" t="s">
        <v>58754</v>
      </c>
      <c r="V2822" t="s">
        <v>58755</v>
      </c>
      <c r="W2822" t="s">
        <v>58756</v>
      </c>
      <c r="X2822" t="s">
        <v>58757</v>
      </c>
      <c r="Y2822" t="s">
        <v>58758</v>
      </c>
    </row>
    <row r="2823" spans="1:25" x14ac:dyDescent="0.3">
      <c r="A2823">
        <v>141100</v>
      </c>
      <c r="B2823" t="s">
        <v>58759</v>
      </c>
      <c r="C2823" t="s">
        <v>58760</v>
      </c>
      <c r="D2823" t="s">
        <v>58761</v>
      </c>
      <c r="E2823" t="s">
        <v>58762</v>
      </c>
      <c r="F2823" t="s">
        <v>58763</v>
      </c>
      <c r="G2823" t="s">
        <v>58764</v>
      </c>
      <c r="H2823" t="s">
        <v>58765</v>
      </c>
      <c r="I2823" t="s">
        <v>58766</v>
      </c>
      <c r="J2823" t="s">
        <v>58767</v>
      </c>
      <c r="K2823" t="s">
        <v>58768</v>
      </c>
      <c r="L2823" t="s">
        <v>58769</v>
      </c>
      <c r="M2823" t="s">
        <v>58770</v>
      </c>
      <c r="N2823" t="s">
        <v>58771</v>
      </c>
      <c r="O2823">
        <f>-730.523656101657 -81.8209218615325 -715.483104025302</f>
        <v>-1527.8276819884916</v>
      </c>
      <c r="P2823">
        <f>-692.144847750381 -65.9308713521916 -401.698649748344</f>
        <v>-1159.7743688509167</v>
      </c>
      <c r="Q2823" t="s">
        <v>58772</v>
      </c>
      <c r="R2823" t="s">
        <v>58773</v>
      </c>
      <c r="S2823" t="s">
        <v>58774</v>
      </c>
      <c r="T2823" t="s">
        <v>58775</v>
      </c>
      <c r="U2823" t="s">
        <v>58776</v>
      </c>
      <c r="V2823" t="s">
        <v>58777</v>
      </c>
      <c r="W2823" t="s">
        <v>58778</v>
      </c>
      <c r="X2823" t="s">
        <v>58779</v>
      </c>
      <c r="Y2823" t="s">
        <v>58780</v>
      </c>
    </row>
    <row r="2824" spans="1:25" x14ac:dyDescent="0.3">
      <c r="A2824">
        <v>141150</v>
      </c>
      <c r="B2824" t="s">
        <v>58781</v>
      </c>
      <c r="C2824" t="s">
        <v>58782</v>
      </c>
      <c r="D2824" t="s">
        <v>58783</v>
      </c>
      <c r="E2824" t="s">
        <v>58784</v>
      </c>
      <c r="F2824" t="s">
        <v>58785</v>
      </c>
      <c r="G2824" t="s">
        <v>58786</v>
      </c>
      <c r="H2824" t="s">
        <v>58787</v>
      </c>
      <c r="I2824" t="s">
        <v>58788</v>
      </c>
      <c r="J2824" t="s">
        <v>58789</v>
      </c>
      <c r="K2824" t="s">
        <v>58790</v>
      </c>
      <c r="L2824" t="s">
        <v>58791</v>
      </c>
      <c r="M2824" t="s">
        <v>58792</v>
      </c>
      <c r="N2824" t="s">
        <v>58793</v>
      </c>
      <c r="O2824">
        <f>-732.614067287961 -80.9796719997589 -715.348857446804</f>
        <v>-1528.9425967345239</v>
      </c>
      <c r="P2824">
        <f>-694.100268957102 -65.8788309423453 -401.541789754011</f>
        <v>-1161.5208896534582</v>
      </c>
      <c r="Q2824" t="s">
        <v>58794</v>
      </c>
      <c r="R2824" t="s">
        <v>58795</v>
      </c>
      <c r="S2824" t="s">
        <v>58796</v>
      </c>
      <c r="T2824" t="s">
        <v>58797</v>
      </c>
      <c r="U2824" t="s">
        <v>58798</v>
      </c>
      <c r="V2824" t="s">
        <v>58799</v>
      </c>
      <c r="W2824" t="s">
        <v>58800</v>
      </c>
      <c r="X2824" t="s">
        <v>58801</v>
      </c>
      <c r="Y2824" t="s">
        <v>58802</v>
      </c>
    </row>
    <row r="2825" spans="1:25" x14ac:dyDescent="0.3">
      <c r="A2825">
        <v>141200</v>
      </c>
      <c r="B2825" t="s">
        <v>58803</v>
      </c>
      <c r="C2825" t="s">
        <v>58804</v>
      </c>
      <c r="D2825" t="s">
        <v>58805</v>
      </c>
      <c r="E2825" t="s">
        <v>58806</v>
      </c>
      <c r="F2825" t="s">
        <v>58807</v>
      </c>
      <c r="G2825" t="s">
        <v>58808</v>
      </c>
      <c r="H2825" t="s">
        <v>58809</v>
      </c>
      <c r="I2825" t="s">
        <v>58810</v>
      </c>
      <c r="J2825" t="s">
        <v>58811</v>
      </c>
      <c r="K2825" t="s">
        <v>58812</v>
      </c>
      <c r="L2825" t="s">
        <v>58813</v>
      </c>
      <c r="M2825" t="s">
        <v>58814</v>
      </c>
      <c r="N2825" t="s">
        <v>58815</v>
      </c>
      <c r="O2825">
        <f>-733.750810789498 -80.699415864638 -715.268572192168</f>
        <v>-1529.718798846304</v>
      </c>
      <c r="P2825">
        <f>-694.727122128805 -65.9829547548948 -401.506225573017</f>
        <v>-1162.2163024567167</v>
      </c>
      <c r="Q2825" t="s">
        <v>58816</v>
      </c>
      <c r="R2825" t="s">
        <v>58817</v>
      </c>
      <c r="S2825" t="s">
        <v>58818</v>
      </c>
      <c r="T2825" t="s">
        <v>58819</v>
      </c>
      <c r="U2825" t="s">
        <v>58820</v>
      </c>
      <c r="V2825" t="s">
        <v>58821</v>
      </c>
      <c r="W2825" t="s">
        <v>58822</v>
      </c>
      <c r="X2825" t="s">
        <v>58823</v>
      </c>
      <c r="Y2825" t="s">
        <v>58824</v>
      </c>
    </row>
    <row r="2826" spans="1:25" x14ac:dyDescent="0.3">
      <c r="A2826">
        <v>141250</v>
      </c>
      <c r="B2826" t="s">
        <v>58825</v>
      </c>
      <c r="C2826" t="s">
        <v>58826</v>
      </c>
      <c r="D2826" t="s">
        <v>58827</v>
      </c>
      <c r="E2826" t="s">
        <v>58828</v>
      </c>
      <c r="F2826" t="s">
        <v>58829</v>
      </c>
      <c r="G2826" t="s">
        <v>58830</v>
      </c>
      <c r="H2826" t="s">
        <v>58831</v>
      </c>
      <c r="I2826" t="s">
        <v>58832</v>
      </c>
      <c r="J2826" t="s">
        <v>58833</v>
      </c>
      <c r="K2826" t="s">
        <v>58834</v>
      </c>
      <c r="L2826" t="s">
        <v>58835</v>
      </c>
      <c r="M2826" t="s">
        <v>58836</v>
      </c>
      <c r="N2826" t="s">
        <v>58837</v>
      </c>
      <c r="O2826">
        <f>-735.627357125337 -80.6546994767348 -714.912812754701</f>
        <v>-1531.1948693567729</v>
      </c>
      <c r="P2826">
        <f>-695.472347671868 -65.0767030247098 -401.334920961704</f>
        <v>-1161.8839716582818</v>
      </c>
      <c r="Q2826" t="s">
        <v>58838</v>
      </c>
      <c r="R2826" t="s">
        <v>58839</v>
      </c>
      <c r="S2826" t="s">
        <v>58840</v>
      </c>
      <c r="T2826" t="s">
        <v>58841</v>
      </c>
      <c r="U2826" t="s">
        <v>58842</v>
      </c>
      <c r="V2826" t="s">
        <v>58843</v>
      </c>
      <c r="W2826" t="s">
        <v>58844</v>
      </c>
      <c r="X2826" t="s">
        <v>58845</v>
      </c>
      <c r="Y2826" t="s">
        <v>58846</v>
      </c>
    </row>
    <row r="2827" spans="1:25" x14ac:dyDescent="0.3">
      <c r="A2827">
        <v>141300</v>
      </c>
      <c r="B2827" t="s">
        <v>58847</v>
      </c>
      <c r="C2827" t="s">
        <v>58848</v>
      </c>
      <c r="D2827" t="s">
        <v>58849</v>
      </c>
      <c r="E2827" t="s">
        <v>58850</v>
      </c>
      <c r="F2827" t="s">
        <v>58851</v>
      </c>
      <c r="G2827" t="s">
        <v>58852</v>
      </c>
      <c r="H2827" t="s">
        <v>58853</v>
      </c>
      <c r="I2827" t="s">
        <v>58854</v>
      </c>
      <c r="J2827" t="s">
        <v>58855</v>
      </c>
      <c r="K2827" t="s">
        <v>58856</v>
      </c>
      <c r="L2827" t="s">
        <v>58857</v>
      </c>
      <c r="M2827" t="s">
        <v>58858</v>
      </c>
      <c r="N2827" t="s">
        <v>58859</v>
      </c>
      <c r="O2827">
        <f>-736.195320597443 -80.8076338455674 -714.66784097788</f>
        <v>-1531.6707954208905</v>
      </c>
      <c r="P2827">
        <f>-695.461047545785 -65.3811893333204 -401.157073373391</f>
        <v>-1161.9993102524963</v>
      </c>
      <c r="Q2827" t="s">
        <v>58860</v>
      </c>
      <c r="R2827" t="s">
        <v>58861</v>
      </c>
      <c r="S2827" t="s">
        <v>58862</v>
      </c>
      <c r="T2827" t="s">
        <v>58863</v>
      </c>
      <c r="U2827" t="s">
        <v>58864</v>
      </c>
      <c r="V2827" t="s">
        <v>58865</v>
      </c>
      <c r="W2827" t="s">
        <v>58866</v>
      </c>
      <c r="X2827" t="s">
        <v>58867</v>
      </c>
      <c r="Y2827" t="s">
        <v>58868</v>
      </c>
    </row>
    <row r="2828" spans="1:25" x14ac:dyDescent="0.3">
      <c r="A2828">
        <v>141350</v>
      </c>
      <c r="B2828" t="s">
        <v>58869</v>
      </c>
      <c r="C2828" t="s">
        <v>58870</v>
      </c>
      <c r="D2828" t="s">
        <v>58871</v>
      </c>
      <c r="E2828" t="s">
        <v>58872</v>
      </c>
      <c r="F2828" t="s">
        <v>58873</v>
      </c>
      <c r="G2828" t="s">
        <v>58874</v>
      </c>
      <c r="H2828" t="s">
        <v>58875</v>
      </c>
      <c r="I2828" t="s">
        <v>58876</v>
      </c>
      <c r="J2828" t="s">
        <v>58877</v>
      </c>
      <c r="K2828" t="s">
        <v>58878</v>
      </c>
      <c r="L2828" t="s">
        <v>58879</v>
      </c>
      <c r="M2828" t="s">
        <v>58880</v>
      </c>
      <c r="N2828" t="s">
        <v>58881</v>
      </c>
      <c r="O2828">
        <f>-737.274675848161 -80.7229625957127 -714.13980257158</f>
        <v>-1532.1374410154538</v>
      </c>
      <c r="P2828">
        <f>-695.538564869309 -64.9385380106376 -400.778833996739</f>
        <v>-1161.2559368766856</v>
      </c>
      <c r="Q2828" t="s">
        <v>58882</v>
      </c>
      <c r="R2828" t="s">
        <v>58883</v>
      </c>
      <c r="S2828" t="s">
        <v>58884</v>
      </c>
      <c r="T2828" t="s">
        <v>58885</v>
      </c>
      <c r="U2828" t="s">
        <v>58886</v>
      </c>
      <c r="V2828" t="s">
        <v>58887</v>
      </c>
      <c r="W2828" t="s">
        <v>58888</v>
      </c>
      <c r="X2828" t="s">
        <v>58889</v>
      </c>
      <c r="Y2828" t="s">
        <v>58890</v>
      </c>
    </row>
    <row r="2829" spans="1:25" x14ac:dyDescent="0.3">
      <c r="A2829">
        <v>141400</v>
      </c>
      <c r="B2829" t="s">
        <v>58891</v>
      </c>
      <c r="C2829" t="s">
        <v>58892</v>
      </c>
      <c r="D2829" t="s">
        <v>58893</v>
      </c>
      <c r="E2829" t="s">
        <v>58894</v>
      </c>
      <c r="F2829" t="s">
        <v>58895</v>
      </c>
      <c r="G2829" t="s">
        <v>58896</v>
      </c>
      <c r="H2829" t="s">
        <v>58897</v>
      </c>
      <c r="I2829" t="s">
        <v>58898</v>
      </c>
      <c r="J2829" t="s">
        <v>58899</v>
      </c>
      <c r="K2829" t="s">
        <v>58900</v>
      </c>
      <c r="L2829" t="s">
        <v>58901</v>
      </c>
      <c r="M2829" t="s">
        <v>58902</v>
      </c>
      <c r="N2829" t="s">
        <v>58903</v>
      </c>
      <c r="O2829">
        <f>-737.492368708415 -80.6788688463871 -713.933750436613</f>
        <v>-1532.1049879914151</v>
      </c>
      <c r="P2829">
        <f>-695.033439663606 -65.6344934272533 -400.633365850263</f>
        <v>-1161.3012989411222</v>
      </c>
      <c r="Q2829" t="s">
        <v>58904</v>
      </c>
      <c r="R2829" t="s">
        <v>58905</v>
      </c>
      <c r="S2829" t="s">
        <v>58906</v>
      </c>
      <c r="T2829" t="s">
        <v>58907</v>
      </c>
      <c r="U2829" t="s">
        <v>58908</v>
      </c>
      <c r="V2829" t="s">
        <v>58909</v>
      </c>
      <c r="W2829" t="s">
        <v>58910</v>
      </c>
      <c r="X2829" t="s">
        <v>58911</v>
      </c>
      <c r="Y2829" t="s">
        <v>58912</v>
      </c>
    </row>
    <row r="2830" spans="1:25" x14ac:dyDescent="0.3">
      <c r="A2830">
        <v>141450</v>
      </c>
      <c r="B2830" t="s">
        <v>58913</v>
      </c>
      <c r="C2830" t="s">
        <v>58914</v>
      </c>
      <c r="D2830" t="s">
        <v>58915</v>
      </c>
      <c r="E2830" t="s">
        <v>58916</v>
      </c>
      <c r="F2830" t="s">
        <v>58917</v>
      </c>
      <c r="G2830" t="s">
        <v>58918</v>
      </c>
      <c r="H2830" t="s">
        <v>58919</v>
      </c>
      <c r="I2830" t="s">
        <v>58920</v>
      </c>
      <c r="J2830" t="s">
        <v>58921</v>
      </c>
      <c r="K2830" t="s">
        <v>58922</v>
      </c>
      <c r="L2830" t="s">
        <v>58923</v>
      </c>
      <c r="M2830" t="s">
        <v>58924</v>
      </c>
      <c r="N2830" t="s">
        <v>58925</v>
      </c>
      <c r="O2830">
        <f>-738.013332751154 -80.5122126046065 -713.596812486294</f>
        <v>-1532.1223578420545</v>
      </c>
      <c r="P2830">
        <f>-694.094786034147 -65.6589738778575 -400.48852661354</f>
        <v>-1160.2422865255444</v>
      </c>
      <c r="Q2830" t="s">
        <v>58926</v>
      </c>
      <c r="R2830" t="s">
        <v>58927</v>
      </c>
      <c r="S2830" t="s">
        <v>58928</v>
      </c>
      <c r="T2830" t="s">
        <v>58929</v>
      </c>
      <c r="U2830" t="s">
        <v>58930</v>
      </c>
      <c r="V2830" t="s">
        <v>58931</v>
      </c>
      <c r="W2830" t="s">
        <v>58932</v>
      </c>
      <c r="X2830" t="s">
        <v>58933</v>
      </c>
      <c r="Y2830" t="s">
        <v>58934</v>
      </c>
    </row>
    <row r="2831" spans="1:25" x14ac:dyDescent="0.3">
      <c r="A2831">
        <v>141500</v>
      </c>
      <c r="B2831" t="s">
        <v>58935</v>
      </c>
      <c r="C2831" t="s">
        <v>58936</v>
      </c>
      <c r="D2831" t="s">
        <v>58937</v>
      </c>
      <c r="E2831" t="s">
        <v>58938</v>
      </c>
      <c r="F2831" t="s">
        <v>58939</v>
      </c>
      <c r="G2831" t="s">
        <v>58940</v>
      </c>
      <c r="H2831" t="s">
        <v>58941</v>
      </c>
      <c r="I2831" t="s">
        <v>58942</v>
      </c>
      <c r="J2831" t="s">
        <v>58943</v>
      </c>
      <c r="K2831" t="s">
        <v>58944</v>
      </c>
      <c r="L2831" t="s">
        <v>58945</v>
      </c>
      <c r="M2831" t="s">
        <v>58946</v>
      </c>
      <c r="N2831" t="s">
        <v>58947</v>
      </c>
      <c r="O2831">
        <f>-737.969682016742 -80.6842914614738 -713.465235803942</f>
        <v>-1532.119209282158</v>
      </c>
      <c r="P2831">
        <f>-693.489492250427 -66.3541222538174 -400.411945227137</f>
        <v>-1160.2555597313815</v>
      </c>
      <c r="Q2831" t="s">
        <v>58948</v>
      </c>
      <c r="R2831" t="s">
        <v>58949</v>
      </c>
      <c r="S2831" t="s">
        <v>58950</v>
      </c>
      <c r="T2831" t="s">
        <v>58951</v>
      </c>
      <c r="U2831" t="s">
        <v>58952</v>
      </c>
      <c r="V2831" t="s">
        <v>58953</v>
      </c>
      <c r="W2831" t="s">
        <v>58954</v>
      </c>
      <c r="X2831" t="s">
        <v>58955</v>
      </c>
      <c r="Y2831" t="s">
        <v>58956</v>
      </c>
    </row>
    <row r="2832" spans="1:25" x14ac:dyDescent="0.3">
      <c r="A2832">
        <v>141550</v>
      </c>
      <c r="B2832" t="s">
        <v>58957</v>
      </c>
      <c r="C2832" t="s">
        <v>58958</v>
      </c>
      <c r="D2832" t="s">
        <v>58959</v>
      </c>
      <c r="E2832" t="s">
        <v>58960</v>
      </c>
      <c r="F2832" t="s">
        <v>58961</v>
      </c>
      <c r="G2832" t="s">
        <v>58962</v>
      </c>
      <c r="H2832" t="s">
        <v>58963</v>
      </c>
      <c r="I2832" t="s">
        <v>58964</v>
      </c>
      <c r="J2832" t="s">
        <v>58965</v>
      </c>
      <c r="K2832" t="s">
        <v>58966</v>
      </c>
      <c r="L2832" t="s">
        <v>58967</v>
      </c>
      <c r="M2832" t="s">
        <v>58968</v>
      </c>
      <c r="N2832" t="s">
        <v>58969</v>
      </c>
      <c r="O2832">
        <f>-737.969996787582 -80.7119092327227 -713.287387913882</f>
        <v>-1531.9692939341867</v>
      </c>
      <c r="P2832">
        <f>-692.7633056356 -66.7194298183783 -400.322959683673</f>
        <v>-1159.8056951376514</v>
      </c>
      <c r="Q2832" t="s">
        <v>58970</v>
      </c>
      <c r="R2832" t="s">
        <v>58971</v>
      </c>
      <c r="S2832" t="s">
        <v>58972</v>
      </c>
      <c r="T2832" t="s">
        <v>58973</v>
      </c>
      <c r="U2832" t="s">
        <v>58974</v>
      </c>
      <c r="V2832" t="s">
        <v>58975</v>
      </c>
      <c r="W2832" t="s">
        <v>58976</v>
      </c>
      <c r="X2832" t="s">
        <v>58977</v>
      </c>
      <c r="Y2832" t="s">
        <v>58978</v>
      </c>
    </row>
    <row r="2833" spans="1:25" x14ac:dyDescent="0.3">
      <c r="A2833">
        <v>141600</v>
      </c>
      <c r="B2833" t="s">
        <v>58979</v>
      </c>
      <c r="C2833" t="s">
        <v>58980</v>
      </c>
      <c r="D2833" t="s">
        <v>58981</v>
      </c>
      <c r="E2833" t="s">
        <v>58982</v>
      </c>
      <c r="F2833" t="s">
        <v>58983</v>
      </c>
      <c r="G2833" t="s">
        <v>58984</v>
      </c>
      <c r="H2833" t="s">
        <v>58985</v>
      </c>
      <c r="I2833" t="s">
        <v>58986</v>
      </c>
      <c r="J2833" t="s">
        <v>58987</v>
      </c>
      <c r="K2833" t="s">
        <v>58988</v>
      </c>
      <c r="L2833" t="s">
        <v>58989</v>
      </c>
      <c r="M2833" t="s">
        <v>58990</v>
      </c>
      <c r="N2833" t="s">
        <v>58991</v>
      </c>
      <c r="O2833">
        <f>-737.83327741618 -80.726095514917 -713.244412619482</f>
        <v>-1531.8037855505791</v>
      </c>
      <c r="P2833">
        <f>-692.179552009585 -66.9814211698542 -400.333907166423</f>
        <v>-1159.4948803458622</v>
      </c>
      <c r="Q2833" t="s">
        <v>58992</v>
      </c>
      <c r="R2833" t="s">
        <v>58993</v>
      </c>
      <c r="S2833" t="s">
        <v>58994</v>
      </c>
      <c r="T2833" t="s">
        <v>58995</v>
      </c>
      <c r="U2833" t="s">
        <v>58996</v>
      </c>
      <c r="V2833" t="s">
        <v>58997</v>
      </c>
      <c r="W2833" t="s">
        <v>58998</v>
      </c>
      <c r="X2833" t="s">
        <v>58999</v>
      </c>
      <c r="Y2833" t="s">
        <v>59000</v>
      </c>
    </row>
    <row r="2834" spans="1:25" x14ac:dyDescent="0.3">
      <c r="A2834">
        <v>141650</v>
      </c>
      <c r="B2834" t="s">
        <v>59001</v>
      </c>
      <c r="C2834" t="s">
        <v>59002</v>
      </c>
      <c r="D2834" t="s">
        <v>59003</v>
      </c>
      <c r="E2834" t="s">
        <v>59004</v>
      </c>
      <c r="F2834" t="s">
        <v>59005</v>
      </c>
      <c r="G2834" t="s">
        <v>59006</v>
      </c>
      <c r="H2834" t="s">
        <v>59007</v>
      </c>
      <c r="I2834" t="s">
        <v>59008</v>
      </c>
      <c r="J2834" t="s">
        <v>59009</v>
      </c>
      <c r="K2834" t="s">
        <v>59010</v>
      </c>
      <c r="L2834" t="s">
        <v>59011</v>
      </c>
      <c r="M2834" t="s">
        <v>59012</v>
      </c>
      <c r="N2834" t="s">
        <v>59013</v>
      </c>
      <c r="O2834">
        <f>-737.474413152969 -80.6098216283244 -713.108408272492</f>
        <v>-1531.1926430537856</v>
      </c>
      <c r="P2834">
        <f>-691.10310016132 -66.8396967573096 -400.304482338991</f>
        <v>-1158.2472792576207</v>
      </c>
      <c r="Q2834" t="s">
        <v>59014</v>
      </c>
      <c r="R2834" t="s">
        <v>59015</v>
      </c>
      <c r="S2834" t="s">
        <v>59016</v>
      </c>
      <c r="T2834" t="s">
        <v>59017</v>
      </c>
      <c r="U2834" t="s">
        <v>59018</v>
      </c>
      <c r="V2834" t="s">
        <v>59019</v>
      </c>
      <c r="W2834" t="s">
        <v>59020</v>
      </c>
      <c r="X2834" t="s">
        <v>59021</v>
      </c>
      <c r="Y2834" t="s">
        <v>59022</v>
      </c>
    </row>
    <row r="2835" spans="1:25" x14ac:dyDescent="0.3">
      <c r="A2835">
        <v>141700</v>
      </c>
      <c r="B2835" t="s">
        <v>59023</v>
      </c>
      <c r="C2835" t="s">
        <v>59024</v>
      </c>
      <c r="D2835" t="s">
        <v>59025</v>
      </c>
      <c r="E2835" t="s">
        <v>59026</v>
      </c>
      <c r="F2835" t="s">
        <v>59027</v>
      </c>
      <c r="G2835" t="s">
        <v>59028</v>
      </c>
      <c r="H2835" t="s">
        <v>59029</v>
      </c>
      <c r="I2835" t="s">
        <v>59030</v>
      </c>
      <c r="J2835" t="s">
        <v>59031</v>
      </c>
      <c r="K2835" t="s">
        <v>59032</v>
      </c>
      <c r="L2835" t="s">
        <v>59033</v>
      </c>
      <c r="M2835" t="s">
        <v>59034</v>
      </c>
      <c r="N2835" t="s">
        <v>59035</v>
      </c>
      <c r="O2835">
        <f>-737.076673837456 -80.6798119908049 -713.111556245106</f>
        <v>-1530.868042073367</v>
      </c>
      <c r="P2835">
        <f>-690.466080096221 -66.5309975637072 -400.360057651885</f>
        <v>-1157.3571353118132</v>
      </c>
      <c r="Q2835" t="s">
        <v>59036</v>
      </c>
      <c r="R2835" t="s">
        <v>59037</v>
      </c>
      <c r="S2835" t="s">
        <v>59038</v>
      </c>
      <c r="T2835" t="s">
        <v>59039</v>
      </c>
      <c r="U2835" t="s">
        <v>59040</v>
      </c>
      <c r="V2835" t="s">
        <v>59041</v>
      </c>
      <c r="W2835" t="s">
        <v>59042</v>
      </c>
      <c r="X2835" t="s">
        <v>59043</v>
      </c>
      <c r="Y2835" t="s">
        <v>59044</v>
      </c>
    </row>
    <row r="2836" spans="1:25" x14ac:dyDescent="0.3">
      <c r="A2836">
        <v>141750</v>
      </c>
      <c r="B2836" t="s">
        <v>59045</v>
      </c>
      <c r="C2836" t="s">
        <v>59046</v>
      </c>
      <c r="D2836" t="s">
        <v>59047</v>
      </c>
      <c r="E2836" t="s">
        <v>59048</v>
      </c>
      <c r="F2836" t="s">
        <v>59049</v>
      </c>
      <c r="G2836" t="s">
        <v>59050</v>
      </c>
      <c r="H2836" t="s">
        <v>59051</v>
      </c>
      <c r="I2836" t="s">
        <v>59052</v>
      </c>
      <c r="J2836" t="s">
        <v>59053</v>
      </c>
      <c r="K2836" t="s">
        <v>59054</v>
      </c>
      <c r="L2836" t="s">
        <v>59055</v>
      </c>
      <c r="M2836" t="s">
        <v>59056</v>
      </c>
      <c r="N2836" t="s">
        <v>59057</v>
      </c>
      <c r="O2836">
        <f>-736.15884455625 -81.0446149058903 -713.01364030268</f>
        <v>-1530.2170997648202</v>
      </c>
      <c r="P2836">
        <f>-690.789231002797 -66.8798063958347 -400.080493621223</f>
        <v>-1157.7495310198547</v>
      </c>
      <c r="Q2836" t="s">
        <v>59058</v>
      </c>
      <c r="R2836" t="s">
        <v>59059</v>
      </c>
      <c r="S2836" t="s">
        <v>59060</v>
      </c>
      <c r="T2836" t="s">
        <v>59061</v>
      </c>
      <c r="U2836" t="s">
        <v>59062</v>
      </c>
      <c r="V2836" t="s">
        <v>59063</v>
      </c>
      <c r="W2836" t="s">
        <v>59064</v>
      </c>
      <c r="X2836" t="s">
        <v>59065</v>
      </c>
      <c r="Y2836" t="s">
        <v>59066</v>
      </c>
    </row>
    <row r="2837" spans="1:25" x14ac:dyDescent="0.3">
      <c r="A2837">
        <v>141800</v>
      </c>
      <c r="B2837" t="s">
        <v>59067</v>
      </c>
      <c r="C2837" t="s">
        <v>59068</v>
      </c>
      <c r="D2837" t="s">
        <v>59069</v>
      </c>
      <c r="E2837" t="s">
        <v>59070</v>
      </c>
      <c r="F2837" t="s">
        <v>59071</v>
      </c>
      <c r="G2837" t="s">
        <v>59072</v>
      </c>
      <c r="H2837" t="s">
        <v>59073</v>
      </c>
      <c r="I2837" t="s">
        <v>59074</v>
      </c>
      <c r="J2837" t="s">
        <v>59075</v>
      </c>
      <c r="K2837" t="s">
        <v>59076</v>
      </c>
      <c r="L2837" t="s">
        <v>59077</v>
      </c>
      <c r="M2837" t="s">
        <v>59078</v>
      </c>
      <c r="N2837" t="s">
        <v>59079</v>
      </c>
      <c r="O2837">
        <f>-735.748517065514 -81.0259995711162 -713.029898777552</f>
        <v>-1529.8044154141821</v>
      </c>
      <c r="P2837">
        <f>-690.426975647485 -66.5212135028971 -400.105571199623</f>
        <v>-1157.0537603500052</v>
      </c>
      <c r="Q2837" t="s">
        <v>59080</v>
      </c>
      <c r="R2837" t="s">
        <v>59081</v>
      </c>
      <c r="S2837" t="s">
        <v>59082</v>
      </c>
      <c r="T2837" t="s">
        <v>59083</v>
      </c>
      <c r="U2837" t="s">
        <v>59084</v>
      </c>
      <c r="V2837" t="s">
        <v>59085</v>
      </c>
      <c r="W2837" t="s">
        <v>59086</v>
      </c>
      <c r="X2837" t="s">
        <v>59087</v>
      </c>
      <c r="Y2837" t="s">
        <v>59088</v>
      </c>
    </row>
    <row r="2838" spans="1:25" x14ac:dyDescent="0.3">
      <c r="A2838">
        <v>141850</v>
      </c>
      <c r="B2838" t="s">
        <v>59089</v>
      </c>
      <c r="C2838" t="s">
        <v>59090</v>
      </c>
      <c r="D2838" t="s">
        <v>59091</v>
      </c>
      <c r="E2838" t="s">
        <v>59092</v>
      </c>
      <c r="F2838" t="s">
        <v>59093</v>
      </c>
      <c r="G2838" t="s">
        <v>59094</v>
      </c>
      <c r="H2838" t="s">
        <v>59095</v>
      </c>
      <c r="I2838" t="s">
        <v>59096</v>
      </c>
      <c r="J2838" t="s">
        <v>59097</v>
      </c>
      <c r="K2838" t="s">
        <v>59098</v>
      </c>
      <c r="L2838" t="s">
        <v>59099</v>
      </c>
      <c r="M2838" t="s">
        <v>59100</v>
      </c>
      <c r="N2838" t="s">
        <v>59101</v>
      </c>
      <c r="O2838">
        <f>-735.426783696495 -81.4777995305783 -712.578652122902</f>
        <v>-1529.4832353499753</v>
      </c>
      <c r="P2838">
        <f>-691.279778097666 -65.832293723814 -399.541186649596</f>
        <v>-1156.653258471076</v>
      </c>
      <c r="Q2838" t="s">
        <v>59102</v>
      </c>
      <c r="R2838" t="s">
        <v>59103</v>
      </c>
      <c r="S2838" t="s">
        <v>59104</v>
      </c>
      <c r="T2838" t="s">
        <v>59105</v>
      </c>
      <c r="U2838" t="s">
        <v>59106</v>
      </c>
      <c r="V2838" t="s">
        <v>59107</v>
      </c>
      <c r="W2838" t="s">
        <v>59108</v>
      </c>
      <c r="X2838" t="s">
        <v>59109</v>
      </c>
      <c r="Y2838" t="s">
        <v>59110</v>
      </c>
    </row>
    <row r="2839" spans="1:25" x14ac:dyDescent="0.3">
      <c r="A2839">
        <v>141900</v>
      </c>
      <c r="B2839" t="s">
        <v>59111</v>
      </c>
      <c r="C2839" t="s">
        <v>59112</v>
      </c>
      <c r="D2839" t="s">
        <v>59113</v>
      </c>
      <c r="E2839" t="s">
        <v>59114</v>
      </c>
      <c r="F2839" t="s">
        <v>59115</v>
      </c>
      <c r="G2839" t="s">
        <v>59116</v>
      </c>
      <c r="H2839" t="s">
        <v>59117</v>
      </c>
      <c r="I2839" t="s">
        <v>59118</v>
      </c>
      <c r="J2839" t="s">
        <v>59119</v>
      </c>
      <c r="K2839" t="s">
        <v>59120</v>
      </c>
      <c r="L2839" t="s">
        <v>59121</v>
      </c>
      <c r="M2839" t="s">
        <v>59122</v>
      </c>
      <c r="N2839" t="s">
        <v>59123</v>
      </c>
      <c r="O2839">
        <f>-735.350351467258 -81.3875287822348 -712.501054280271</f>
        <v>-1529.2389345297638</v>
      </c>
      <c r="P2839">
        <f>-691.115094402451 -65.2708207181815 -399.500046046015</f>
        <v>-1155.8859611666476</v>
      </c>
      <c r="Q2839" t="s">
        <v>59124</v>
      </c>
      <c r="R2839" t="s">
        <v>59125</v>
      </c>
      <c r="S2839" t="s">
        <v>59126</v>
      </c>
      <c r="T2839" t="s">
        <v>59127</v>
      </c>
      <c r="U2839" t="s">
        <v>59128</v>
      </c>
      <c r="V2839" t="s">
        <v>59129</v>
      </c>
      <c r="W2839" t="s">
        <v>59130</v>
      </c>
      <c r="X2839" t="s">
        <v>59131</v>
      </c>
      <c r="Y2839" t="s">
        <v>59132</v>
      </c>
    </row>
    <row r="2840" spans="1:25" x14ac:dyDescent="0.3">
      <c r="A2840">
        <v>141950</v>
      </c>
      <c r="B2840" t="s">
        <v>59133</v>
      </c>
      <c r="C2840" t="s">
        <v>59134</v>
      </c>
      <c r="D2840" t="s">
        <v>59135</v>
      </c>
      <c r="E2840" t="s">
        <v>59136</v>
      </c>
      <c r="F2840" t="s">
        <v>59137</v>
      </c>
      <c r="G2840" t="s">
        <v>59138</v>
      </c>
      <c r="H2840" t="s">
        <v>59139</v>
      </c>
      <c r="I2840" t="s">
        <v>59140</v>
      </c>
      <c r="J2840" t="s">
        <v>59141</v>
      </c>
      <c r="K2840" t="s">
        <v>59142</v>
      </c>
      <c r="L2840" t="s">
        <v>59143</v>
      </c>
      <c r="M2840" t="s">
        <v>59144</v>
      </c>
      <c r="N2840" t="s">
        <v>59145</v>
      </c>
      <c r="O2840">
        <f>-735.352695304258 -81.5990708154141 -712.162375790332</f>
        <v>-1529.114141910004</v>
      </c>
      <c r="P2840">
        <f>-691.551622361004 -64.8605581224733 -399.132785318271</f>
        <v>-1155.5449658017483</v>
      </c>
      <c r="Q2840" t="s">
        <v>59146</v>
      </c>
      <c r="R2840" t="s">
        <v>59147</v>
      </c>
      <c r="S2840" t="s">
        <v>59148</v>
      </c>
      <c r="T2840" t="s">
        <v>59149</v>
      </c>
      <c r="U2840" t="s">
        <v>59150</v>
      </c>
      <c r="V2840" t="s">
        <v>59151</v>
      </c>
      <c r="W2840" t="s">
        <v>59152</v>
      </c>
      <c r="X2840" t="s">
        <v>59153</v>
      </c>
      <c r="Y2840" t="s">
        <v>59154</v>
      </c>
    </row>
    <row r="2841" spans="1:25" x14ac:dyDescent="0.3">
      <c r="A2841">
        <v>142000</v>
      </c>
      <c r="B2841" t="s">
        <v>59155</v>
      </c>
      <c r="C2841" t="s">
        <v>59156</v>
      </c>
      <c r="D2841" t="s">
        <v>59157</v>
      </c>
      <c r="E2841" t="s">
        <v>59158</v>
      </c>
      <c r="F2841" t="s">
        <v>59159</v>
      </c>
      <c r="G2841" t="s">
        <v>59160</v>
      </c>
      <c r="H2841" t="s">
        <v>59161</v>
      </c>
      <c r="I2841" t="s">
        <v>59162</v>
      </c>
      <c r="J2841" t="s">
        <v>59163</v>
      </c>
      <c r="K2841" t="s">
        <v>59164</v>
      </c>
      <c r="L2841" t="s">
        <v>59165</v>
      </c>
      <c r="M2841" t="s">
        <v>59166</v>
      </c>
      <c r="N2841" t="s">
        <v>59167</v>
      </c>
      <c r="O2841">
        <f>-735.323362226122 -81.4997869336771 -712.125138173448</f>
        <v>-1528.9482873332472</v>
      </c>
      <c r="P2841">
        <f>-691.088754119449 -64.6728353430501 -399.161239222109</f>
        <v>-1154.9228286846082</v>
      </c>
      <c r="Q2841" t="s">
        <v>59168</v>
      </c>
      <c r="R2841" t="s">
        <v>59169</v>
      </c>
      <c r="S2841" t="s">
        <v>59170</v>
      </c>
      <c r="T2841" t="s">
        <v>59171</v>
      </c>
      <c r="U2841" t="s">
        <v>59172</v>
      </c>
      <c r="V2841" t="s">
        <v>59173</v>
      </c>
      <c r="W2841" t="s">
        <v>59174</v>
      </c>
      <c r="X2841" t="s">
        <v>59175</v>
      </c>
      <c r="Y2841" t="s">
        <v>59176</v>
      </c>
    </row>
    <row r="2842" spans="1:25" x14ac:dyDescent="0.3">
      <c r="A2842">
        <v>142050</v>
      </c>
      <c r="B2842" t="s">
        <v>59177</v>
      </c>
      <c r="C2842" t="s">
        <v>59178</v>
      </c>
      <c r="D2842" t="s">
        <v>59179</v>
      </c>
      <c r="E2842" t="s">
        <v>59180</v>
      </c>
      <c r="F2842" t="s">
        <v>59181</v>
      </c>
      <c r="G2842" t="s">
        <v>59182</v>
      </c>
      <c r="H2842" t="s">
        <v>59183</v>
      </c>
      <c r="I2842" t="s">
        <v>59184</v>
      </c>
      <c r="J2842" t="s">
        <v>59185</v>
      </c>
      <c r="K2842" t="s">
        <v>59186</v>
      </c>
      <c r="L2842" t="s">
        <v>59187</v>
      </c>
      <c r="M2842" t="s">
        <v>59188</v>
      </c>
      <c r="N2842" t="s">
        <v>59189</v>
      </c>
      <c r="O2842">
        <f>-735.527010154577 -81.5830211756911 -711.806261040676</f>
        <v>-1528.9162923709441</v>
      </c>
      <c r="P2842">
        <f>-691.47982527127 -64.3510014841804 -398.838004250324</f>
        <v>-1154.6688310057743</v>
      </c>
      <c r="Q2842" t="s">
        <v>59190</v>
      </c>
      <c r="R2842" t="s">
        <v>59191</v>
      </c>
      <c r="S2842" t="s">
        <v>59192</v>
      </c>
      <c r="T2842" t="s">
        <v>59193</v>
      </c>
      <c r="U2842" t="s">
        <v>59194</v>
      </c>
      <c r="V2842" t="s">
        <v>59195</v>
      </c>
      <c r="W2842" t="s">
        <v>59196</v>
      </c>
      <c r="X2842" t="s">
        <v>59197</v>
      </c>
      <c r="Y2842" t="s">
        <v>59198</v>
      </c>
    </row>
    <row r="2843" spans="1:25" x14ac:dyDescent="0.3">
      <c r="A2843">
        <v>142100</v>
      </c>
      <c r="B2843" t="s">
        <v>59199</v>
      </c>
      <c r="C2843" t="s">
        <v>59200</v>
      </c>
      <c r="D2843" t="s">
        <v>59201</v>
      </c>
      <c r="E2843" t="s">
        <v>59202</v>
      </c>
      <c r="F2843" t="s">
        <v>59203</v>
      </c>
      <c r="G2843" t="s">
        <v>59204</v>
      </c>
      <c r="H2843" t="s">
        <v>59205</v>
      </c>
      <c r="I2843" t="s">
        <v>59206</v>
      </c>
      <c r="J2843" t="s">
        <v>59207</v>
      </c>
      <c r="K2843" t="s">
        <v>59208</v>
      </c>
      <c r="L2843" t="s">
        <v>59209</v>
      </c>
      <c r="M2843" t="s">
        <v>59210</v>
      </c>
      <c r="N2843" t="s">
        <v>59211</v>
      </c>
      <c r="O2843">
        <f>-735.537796292579 -81.4312430802124 -711.830971087247</f>
        <v>-1528.8000104600383</v>
      </c>
      <c r="P2843">
        <f>-691.187843558507 -64.0494428527322 -398.913726758209</f>
        <v>-1154.1510131694481</v>
      </c>
      <c r="Q2843" t="s">
        <v>59212</v>
      </c>
      <c r="R2843" t="s">
        <v>59213</v>
      </c>
      <c r="S2843" t="s">
        <v>59214</v>
      </c>
      <c r="T2843" t="s">
        <v>59215</v>
      </c>
      <c r="U2843" t="s">
        <v>59216</v>
      </c>
      <c r="V2843" t="s">
        <v>59217</v>
      </c>
      <c r="W2843" t="s">
        <v>59218</v>
      </c>
      <c r="X2843" t="s">
        <v>59219</v>
      </c>
      <c r="Y2843" t="s">
        <v>59220</v>
      </c>
    </row>
    <row r="2844" spans="1:25" x14ac:dyDescent="0.3">
      <c r="A2844">
        <v>142150</v>
      </c>
      <c r="B2844" t="s">
        <v>59221</v>
      </c>
      <c r="C2844" t="s">
        <v>59222</v>
      </c>
      <c r="D2844" t="s">
        <v>59223</v>
      </c>
      <c r="E2844" t="s">
        <v>59224</v>
      </c>
      <c r="F2844" t="s">
        <v>59225</v>
      </c>
      <c r="G2844" t="s">
        <v>59226</v>
      </c>
      <c r="H2844" t="s">
        <v>59227</v>
      </c>
      <c r="I2844" t="s">
        <v>59228</v>
      </c>
      <c r="J2844" t="s">
        <v>59229</v>
      </c>
      <c r="K2844" t="s">
        <v>59230</v>
      </c>
      <c r="L2844" t="s">
        <v>59231</v>
      </c>
      <c r="M2844" t="s">
        <v>59232</v>
      </c>
      <c r="N2844" t="s">
        <v>59233</v>
      </c>
      <c r="O2844">
        <f>-735.944460602818 -81.1829083108305 -711.696243947197</f>
        <v>-1528.8236128608455</v>
      </c>
      <c r="P2844">
        <f>-691.785849190573 -64.0212372177632 -398.73993780418</f>
        <v>-1154.5470242125161</v>
      </c>
      <c r="Q2844" t="s">
        <v>59234</v>
      </c>
      <c r="R2844" t="s">
        <v>59235</v>
      </c>
      <c r="S2844" t="s">
        <v>59236</v>
      </c>
      <c r="T2844" t="s">
        <v>59237</v>
      </c>
      <c r="U2844" t="s">
        <v>59238</v>
      </c>
      <c r="V2844" t="s">
        <v>59239</v>
      </c>
      <c r="W2844" t="s">
        <v>59240</v>
      </c>
      <c r="X2844" t="s">
        <v>59241</v>
      </c>
      <c r="Y2844" t="s">
        <v>59242</v>
      </c>
    </row>
    <row r="2845" spans="1:25" x14ac:dyDescent="0.3">
      <c r="A2845">
        <v>142200</v>
      </c>
      <c r="B2845" t="s">
        <v>59243</v>
      </c>
      <c r="C2845" t="s">
        <v>59244</v>
      </c>
      <c r="D2845" t="s">
        <v>59245</v>
      </c>
      <c r="E2845" t="s">
        <v>59246</v>
      </c>
      <c r="F2845" t="s">
        <v>59247</v>
      </c>
      <c r="G2845" t="s">
        <v>59248</v>
      </c>
      <c r="H2845" t="s">
        <v>59249</v>
      </c>
      <c r="I2845" t="s">
        <v>59250</v>
      </c>
      <c r="J2845" t="s">
        <v>59251</v>
      </c>
      <c r="K2845" t="s">
        <v>59252</v>
      </c>
      <c r="L2845" t="s">
        <v>59253</v>
      </c>
      <c r="M2845" t="s">
        <v>59254</v>
      </c>
      <c r="N2845" t="s">
        <v>59255</v>
      </c>
      <c r="O2845">
        <f>-736.040719540439 -80.9686281502363 -711.75077155228</f>
        <v>-1528.7601192429552</v>
      </c>
      <c r="P2845">
        <f>-691.366692009053 -63.8794709439312 -398.86360954386</f>
        <v>-1154.1097724968442</v>
      </c>
      <c r="Q2845" t="s">
        <v>59256</v>
      </c>
      <c r="R2845" t="s">
        <v>59257</v>
      </c>
      <c r="S2845" t="s">
        <v>59258</v>
      </c>
      <c r="T2845" t="s">
        <v>59259</v>
      </c>
      <c r="U2845" t="s">
        <v>59260</v>
      </c>
      <c r="V2845" t="s">
        <v>59261</v>
      </c>
      <c r="W2845" t="s">
        <v>59262</v>
      </c>
      <c r="X2845" t="s">
        <v>59263</v>
      </c>
      <c r="Y2845" t="s">
        <v>59264</v>
      </c>
    </row>
    <row r="2846" spans="1:25" x14ac:dyDescent="0.3">
      <c r="A2846">
        <v>142250</v>
      </c>
      <c r="B2846" t="s">
        <v>59265</v>
      </c>
      <c r="C2846" t="s">
        <v>59266</v>
      </c>
      <c r="D2846" t="s">
        <v>59267</v>
      </c>
      <c r="E2846" t="s">
        <v>59268</v>
      </c>
      <c r="F2846" t="s">
        <v>59269</v>
      </c>
      <c r="G2846" t="s">
        <v>59270</v>
      </c>
      <c r="H2846" t="s">
        <v>59271</v>
      </c>
      <c r="I2846" t="s">
        <v>59272</v>
      </c>
      <c r="J2846" t="s">
        <v>59273</v>
      </c>
      <c r="K2846" t="s">
        <v>59274</v>
      </c>
      <c r="L2846" t="s">
        <v>59275</v>
      </c>
      <c r="M2846" t="s">
        <v>59276</v>
      </c>
      <c r="N2846" t="s">
        <v>59277</v>
      </c>
      <c r="O2846">
        <f>-736.779510855366 -80.7406318453218 -711.606874912493</f>
        <v>-1529.1270176131807</v>
      </c>
      <c r="P2846">
        <f>-691.916201180924 -64.1953093833208 -398.717571388313</f>
        <v>-1154.8290819525578</v>
      </c>
      <c r="Q2846" t="s">
        <v>59278</v>
      </c>
      <c r="R2846" t="s">
        <v>59279</v>
      </c>
      <c r="S2846" t="s">
        <v>59280</v>
      </c>
      <c r="T2846" t="s">
        <v>59281</v>
      </c>
      <c r="U2846" t="s">
        <v>59282</v>
      </c>
      <c r="V2846" t="s">
        <v>59283</v>
      </c>
      <c r="W2846" t="s">
        <v>59284</v>
      </c>
      <c r="X2846" t="s">
        <v>59285</v>
      </c>
      <c r="Y2846" t="s">
        <v>59286</v>
      </c>
    </row>
    <row r="2847" spans="1:25" x14ac:dyDescent="0.3">
      <c r="A2847">
        <v>142300</v>
      </c>
      <c r="B2847" t="s">
        <v>59287</v>
      </c>
      <c r="C2847" t="s">
        <v>59288</v>
      </c>
      <c r="D2847" t="s">
        <v>59289</v>
      </c>
      <c r="E2847" t="s">
        <v>59290</v>
      </c>
      <c r="F2847" t="s">
        <v>59291</v>
      </c>
      <c r="G2847" t="s">
        <v>59292</v>
      </c>
      <c r="H2847" t="s">
        <v>59293</v>
      </c>
      <c r="I2847" t="s">
        <v>59294</v>
      </c>
      <c r="J2847" t="s">
        <v>59295</v>
      </c>
      <c r="K2847" t="s">
        <v>59296</v>
      </c>
      <c r="L2847" t="s">
        <v>59297</v>
      </c>
      <c r="M2847" t="s">
        <v>59298</v>
      </c>
      <c r="N2847" t="s">
        <v>59299</v>
      </c>
      <c r="O2847">
        <f>-737.053507125966 -80.5936163784856 -711.59111528283</f>
        <v>-1529.2382387872817</v>
      </c>
      <c r="P2847">
        <f>-691.640392488061 -63.7225670660291 -398.798373916128</f>
        <v>-1154.1613334702181</v>
      </c>
      <c r="Q2847" t="s">
        <v>59300</v>
      </c>
      <c r="R2847" t="s">
        <v>59301</v>
      </c>
      <c r="S2847" t="s">
        <v>59302</v>
      </c>
      <c r="T2847" t="s">
        <v>59303</v>
      </c>
      <c r="U2847" t="s">
        <v>59304</v>
      </c>
      <c r="V2847" t="s">
        <v>59305</v>
      </c>
      <c r="W2847" t="s">
        <v>59306</v>
      </c>
      <c r="X2847" t="s">
        <v>59307</v>
      </c>
      <c r="Y2847" t="s">
        <v>59308</v>
      </c>
    </row>
    <row r="2848" spans="1:25" x14ac:dyDescent="0.3">
      <c r="A2848">
        <v>142350</v>
      </c>
      <c r="B2848" t="s">
        <v>59309</v>
      </c>
      <c r="C2848" t="s">
        <v>59310</v>
      </c>
      <c r="D2848" t="s">
        <v>59311</v>
      </c>
      <c r="E2848" t="s">
        <v>59312</v>
      </c>
      <c r="F2848" t="s">
        <v>59313</v>
      </c>
      <c r="G2848" t="s">
        <v>59314</v>
      </c>
      <c r="H2848" t="s">
        <v>59315</v>
      </c>
      <c r="I2848" t="s">
        <v>59316</v>
      </c>
      <c r="J2848" t="s">
        <v>59317</v>
      </c>
      <c r="K2848" t="s">
        <v>59318</v>
      </c>
      <c r="L2848" t="s">
        <v>59319</v>
      </c>
      <c r="M2848" t="s">
        <v>59320</v>
      </c>
      <c r="N2848" t="s">
        <v>59321</v>
      </c>
      <c r="O2848">
        <f>-737.43552618653 -80.9231404146808 -711.483340101903</f>
        <v>-1529.8420067031138</v>
      </c>
      <c r="P2848">
        <f>-692.152169093069 -64.1445953331781 -398.66694545269</f>
        <v>-1154.9637098789372</v>
      </c>
      <c r="Q2848" t="s">
        <v>59322</v>
      </c>
      <c r="R2848" t="s">
        <v>59323</v>
      </c>
      <c r="S2848" t="s">
        <v>59324</v>
      </c>
      <c r="T2848" t="s">
        <v>59325</v>
      </c>
      <c r="U2848" t="s">
        <v>59326</v>
      </c>
      <c r="V2848" t="s">
        <v>59327</v>
      </c>
      <c r="W2848" t="s">
        <v>59328</v>
      </c>
      <c r="X2848" t="s">
        <v>59329</v>
      </c>
      <c r="Y2848" t="s">
        <v>59330</v>
      </c>
    </row>
    <row r="2849" spans="1:25" x14ac:dyDescent="0.3">
      <c r="A2849">
        <v>142400</v>
      </c>
      <c r="B2849" t="s">
        <v>59331</v>
      </c>
      <c r="C2849" t="s">
        <v>59332</v>
      </c>
      <c r="D2849" t="s">
        <v>59333</v>
      </c>
      <c r="E2849" t="s">
        <v>59334</v>
      </c>
      <c r="F2849" t="s">
        <v>59335</v>
      </c>
      <c r="G2849" t="s">
        <v>59336</v>
      </c>
      <c r="H2849" t="s">
        <v>59337</v>
      </c>
      <c r="I2849" t="s">
        <v>59338</v>
      </c>
      <c r="J2849" t="s">
        <v>59339</v>
      </c>
      <c r="K2849" t="s">
        <v>59340</v>
      </c>
      <c r="L2849" t="s">
        <v>59341</v>
      </c>
      <c r="M2849" t="s">
        <v>59342</v>
      </c>
      <c r="N2849" t="s">
        <v>59343</v>
      </c>
      <c r="O2849">
        <f>-737.673098511236 -80.9322211032966 -711.46235457817</f>
        <v>-1530.0676741927027</v>
      </c>
      <c r="P2849">
        <f>-691.949243118756 -63.2273248164643 -398.761184800382</f>
        <v>-1153.9377527356023</v>
      </c>
      <c r="Q2849" t="s">
        <v>59344</v>
      </c>
      <c r="R2849" t="s">
        <v>59345</v>
      </c>
      <c r="S2849" t="s">
        <v>59346</v>
      </c>
      <c r="T2849" t="s">
        <v>59347</v>
      </c>
      <c r="U2849" t="s">
        <v>59348</v>
      </c>
      <c r="V2849" t="s">
        <v>59349</v>
      </c>
      <c r="W2849" t="s">
        <v>59350</v>
      </c>
      <c r="X2849" t="s">
        <v>59351</v>
      </c>
      <c r="Y2849" t="s">
        <v>59352</v>
      </c>
    </row>
    <row r="2850" spans="1:25" x14ac:dyDescent="0.3">
      <c r="A2850">
        <v>142450</v>
      </c>
      <c r="B2850" t="s">
        <v>59353</v>
      </c>
      <c r="C2850" t="s">
        <v>59354</v>
      </c>
      <c r="D2850" t="s">
        <v>59355</v>
      </c>
      <c r="E2850" t="s">
        <v>59356</v>
      </c>
      <c r="F2850" t="s">
        <v>59357</v>
      </c>
      <c r="G2850" t="s">
        <v>59358</v>
      </c>
      <c r="H2850" t="s">
        <v>59359</v>
      </c>
      <c r="I2850" t="s">
        <v>59360</v>
      </c>
      <c r="J2850" t="s">
        <v>59361</v>
      </c>
      <c r="K2850" t="s">
        <v>59362</v>
      </c>
      <c r="L2850" t="s">
        <v>59363</v>
      </c>
      <c r="M2850" t="s">
        <v>59364</v>
      </c>
      <c r="N2850" t="s">
        <v>59365</v>
      </c>
      <c r="O2850">
        <f>-737.471329816292 -81.6535385425248 -711.104434891603</f>
        <v>-1530.2293032504199</v>
      </c>
      <c r="P2850">
        <f>-692.333956949275 -63.4897801344887 -398.344246065705</f>
        <v>-1154.1679831494687</v>
      </c>
      <c r="Q2850" t="s">
        <v>59366</v>
      </c>
      <c r="R2850" t="s">
        <v>59367</v>
      </c>
      <c r="S2850" t="s">
        <v>59368</v>
      </c>
      <c r="T2850" t="s">
        <v>59369</v>
      </c>
      <c r="U2850" t="s">
        <v>59370</v>
      </c>
      <c r="V2850" t="s">
        <v>59371</v>
      </c>
      <c r="W2850" t="s">
        <v>59372</v>
      </c>
      <c r="X2850" t="s">
        <v>59373</v>
      </c>
      <c r="Y2850" t="s">
        <v>59374</v>
      </c>
    </row>
    <row r="2851" spans="1:25" x14ac:dyDescent="0.3">
      <c r="A2851">
        <v>142500</v>
      </c>
      <c r="B2851" t="s">
        <v>59375</v>
      </c>
      <c r="C2851" t="s">
        <v>59376</v>
      </c>
      <c r="D2851" t="s">
        <v>59377</v>
      </c>
      <c r="E2851" t="s">
        <v>59378</v>
      </c>
      <c r="F2851" t="s">
        <v>59379</v>
      </c>
      <c r="G2851" t="s">
        <v>59380</v>
      </c>
      <c r="H2851" t="s">
        <v>59381</v>
      </c>
      <c r="I2851" t="s">
        <v>59382</v>
      </c>
      <c r="J2851" t="s">
        <v>59383</v>
      </c>
      <c r="K2851" t="s">
        <v>59384</v>
      </c>
      <c r="L2851" t="s">
        <v>59385</v>
      </c>
      <c r="M2851" t="s">
        <v>59386</v>
      </c>
      <c r="N2851" t="s">
        <v>59387</v>
      </c>
      <c r="O2851">
        <f>-737.680555423015 -81.5808400186054 -711.088146819677</f>
        <v>-1530.3495422612973</v>
      </c>
      <c r="P2851">
        <f>-691.983203137082 -63.7195264772133 -398.391946527618</f>
        <v>-1154.0946761419134</v>
      </c>
      <c r="Q2851" t="s">
        <v>59388</v>
      </c>
      <c r="R2851" t="s">
        <v>59389</v>
      </c>
      <c r="S2851" t="s">
        <v>59390</v>
      </c>
      <c r="T2851" t="s">
        <v>59391</v>
      </c>
      <c r="U2851" t="s">
        <v>59392</v>
      </c>
      <c r="V2851" t="s">
        <v>59393</v>
      </c>
      <c r="W2851" t="s">
        <v>59394</v>
      </c>
      <c r="X2851" t="s">
        <v>59395</v>
      </c>
      <c r="Y2851" t="s">
        <v>59396</v>
      </c>
    </row>
    <row r="2852" spans="1:25" x14ac:dyDescent="0.3">
      <c r="A2852">
        <v>142550</v>
      </c>
      <c r="B2852" t="s">
        <v>59397</v>
      </c>
      <c r="C2852" t="s">
        <v>59398</v>
      </c>
      <c r="D2852" t="s">
        <v>59399</v>
      </c>
      <c r="E2852" t="s">
        <v>59400</v>
      </c>
      <c r="F2852" t="s">
        <v>59401</v>
      </c>
      <c r="G2852" t="s">
        <v>59402</v>
      </c>
      <c r="H2852" t="s">
        <v>59403</v>
      </c>
      <c r="I2852" t="s">
        <v>59404</v>
      </c>
      <c r="J2852" t="s">
        <v>59405</v>
      </c>
      <c r="K2852" t="s">
        <v>59406</v>
      </c>
      <c r="L2852" t="s">
        <v>59407</v>
      </c>
      <c r="M2852" t="s">
        <v>59408</v>
      </c>
      <c r="N2852" t="s">
        <v>59409</v>
      </c>
      <c r="O2852">
        <f>-738.083335472709 -82.1875178813189 -710.73303864699</f>
        <v>-1531.0038920010179</v>
      </c>
      <c r="P2852">
        <f>-692.009145444265 -64.0683431579437 -398.106883959824</f>
        <v>-1154.1843725620326</v>
      </c>
      <c r="Q2852" t="s">
        <v>59410</v>
      </c>
      <c r="R2852" t="s">
        <v>59411</v>
      </c>
      <c r="S2852" t="s">
        <v>59412</v>
      </c>
      <c r="T2852" t="s">
        <v>59413</v>
      </c>
      <c r="U2852" t="s">
        <v>59414</v>
      </c>
      <c r="V2852" t="s">
        <v>59415</v>
      </c>
      <c r="W2852" t="s">
        <v>59416</v>
      </c>
      <c r="X2852" t="s">
        <v>59417</v>
      </c>
      <c r="Y2852" t="s">
        <v>59418</v>
      </c>
    </row>
    <row r="2853" spans="1:25" x14ac:dyDescent="0.3">
      <c r="A2853">
        <v>142600</v>
      </c>
      <c r="B2853" t="s">
        <v>59419</v>
      </c>
      <c r="C2853" t="s">
        <v>59420</v>
      </c>
      <c r="D2853" t="s">
        <v>59421</v>
      </c>
      <c r="E2853" t="s">
        <v>59422</v>
      </c>
      <c r="F2853" t="s">
        <v>59423</v>
      </c>
      <c r="G2853" t="s">
        <v>59424</v>
      </c>
      <c r="H2853" t="s">
        <v>59425</v>
      </c>
      <c r="I2853" t="s">
        <v>59426</v>
      </c>
      <c r="J2853" t="s">
        <v>59427</v>
      </c>
      <c r="K2853" t="s">
        <v>59428</v>
      </c>
      <c r="L2853" t="s">
        <v>59429</v>
      </c>
      <c r="M2853" t="s">
        <v>59430</v>
      </c>
      <c r="N2853" t="s">
        <v>59431</v>
      </c>
      <c r="O2853">
        <f>-738.331755298143 -82.3211319717243 -710.697515464156</f>
        <v>-1531.3504027340232</v>
      </c>
      <c r="P2853">
        <f>-692.109971560183 -64.5406790254006 -398.07374727334</f>
        <v>-1154.7243978589236</v>
      </c>
      <c r="Q2853" t="s">
        <v>59432</v>
      </c>
      <c r="R2853" t="s">
        <v>59433</v>
      </c>
      <c r="S2853" t="s">
        <v>59434</v>
      </c>
      <c r="T2853" t="s">
        <v>59435</v>
      </c>
      <c r="U2853" t="s">
        <v>59436</v>
      </c>
      <c r="V2853" t="s">
        <v>59437</v>
      </c>
      <c r="W2853" t="s">
        <v>59438</v>
      </c>
      <c r="X2853" t="s">
        <v>59439</v>
      </c>
      <c r="Y2853" t="s">
        <v>59440</v>
      </c>
    </row>
    <row r="2854" spans="1:25" x14ac:dyDescent="0.3">
      <c r="A2854">
        <v>142650</v>
      </c>
      <c r="B2854" t="s">
        <v>59441</v>
      </c>
      <c r="C2854" t="s">
        <v>59442</v>
      </c>
      <c r="D2854" t="s">
        <v>59443</v>
      </c>
      <c r="E2854" t="s">
        <v>59444</v>
      </c>
      <c r="F2854" t="s">
        <v>59445</v>
      </c>
      <c r="G2854" t="s">
        <v>59446</v>
      </c>
      <c r="H2854" t="s">
        <v>59447</v>
      </c>
      <c r="I2854" t="s">
        <v>59448</v>
      </c>
      <c r="J2854" t="s">
        <v>59449</v>
      </c>
      <c r="K2854" t="s">
        <v>59450</v>
      </c>
      <c r="L2854" t="s">
        <v>59451</v>
      </c>
      <c r="M2854" t="s">
        <v>59452</v>
      </c>
      <c r="N2854" t="s">
        <v>59453</v>
      </c>
      <c r="O2854">
        <f>-739.105080603781 -82.546565220985 -710.705554383009</f>
        <v>-1532.3572002077749</v>
      </c>
      <c r="P2854">
        <f>-692.373410641819 -65.1614738703061 -398.135402623033</f>
        <v>-1155.6702871351581</v>
      </c>
      <c r="Q2854" t="s">
        <v>59454</v>
      </c>
      <c r="R2854" t="s">
        <v>59455</v>
      </c>
      <c r="S2854" t="s">
        <v>59456</v>
      </c>
      <c r="T2854" t="s">
        <v>59457</v>
      </c>
      <c r="U2854" t="s">
        <v>59458</v>
      </c>
      <c r="V2854" t="s">
        <v>59459</v>
      </c>
      <c r="W2854" t="s">
        <v>59460</v>
      </c>
      <c r="X2854" t="s">
        <v>59461</v>
      </c>
      <c r="Y2854" t="s">
        <v>59462</v>
      </c>
    </row>
    <row r="2855" spans="1:25" x14ac:dyDescent="0.3">
      <c r="A2855">
        <v>142700</v>
      </c>
      <c r="B2855" t="s">
        <v>59463</v>
      </c>
      <c r="C2855" t="s">
        <v>59464</v>
      </c>
      <c r="D2855" t="s">
        <v>59465</v>
      </c>
      <c r="E2855" t="s">
        <v>59466</v>
      </c>
      <c r="F2855" t="s">
        <v>59467</v>
      </c>
      <c r="G2855" t="s">
        <v>59468</v>
      </c>
      <c r="H2855" t="s">
        <v>59469</v>
      </c>
      <c r="I2855" t="s">
        <v>59470</v>
      </c>
      <c r="J2855" t="s">
        <v>59471</v>
      </c>
      <c r="K2855" t="s">
        <v>59472</v>
      </c>
      <c r="L2855" t="s">
        <v>59473</v>
      </c>
      <c r="M2855" t="s">
        <v>59474</v>
      </c>
      <c r="N2855" t="s">
        <v>59475</v>
      </c>
      <c r="O2855">
        <f>-739.462284260815 -82.7654290927619 -710.558340004588</f>
        <v>-1532.7860533581647</v>
      </c>
      <c r="P2855">
        <f>-692.504468737513 -65.0227594136447 -398.042207041554</f>
        <v>-1155.5694351927118</v>
      </c>
      <c r="Q2855" t="s">
        <v>59476</v>
      </c>
      <c r="R2855" t="s">
        <v>59477</v>
      </c>
      <c r="S2855" t="s">
        <v>59478</v>
      </c>
      <c r="T2855" t="s">
        <v>59479</v>
      </c>
      <c r="U2855" t="s">
        <v>59480</v>
      </c>
      <c r="V2855" t="s">
        <v>59481</v>
      </c>
      <c r="W2855" t="s">
        <v>59482</v>
      </c>
      <c r="X2855" t="s">
        <v>59483</v>
      </c>
      <c r="Y2855" t="s">
        <v>59484</v>
      </c>
    </row>
    <row r="2856" spans="1:25" x14ac:dyDescent="0.3">
      <c r="A2856">
        <v>142750</v>
      </c>
      <c r="B2856" t="s">
        <v>59485</v>
      </c>
      <c r="C2856" t="s">
        <v>59486</v>
      </c>
      <c r="D2856" t="s">
        <v>59487</v>
      </c>
      <c r="E2856" t="s">
        <v>59488</v>
      </c>
      <c r="F2856" t="s">
        <v>59489</v>
      </c>
      <c r="G2856" t="s">
        <v>59490</v>
      </c>
      <c r="H2856" t="s">
        <v>59491</v>
      </c>
      <c r="I2856" t="s">
        <v>59492</v>
      </c>
      <c r="J2856" t="s">
        <v>59493</v>
      </c>
      <c r="K2856" t="s">
        <v>59494</v>
      </c>
      <c r="L2856" t="s">
        <v>59495</v>
      </c>
      <c r="M2856" t="s">
        <v>59496</v>
      </c>
      <c r="N2856" t="s">
        <v>59497</v>
      </c>
      <c r="O2856">
        <f>-740.077327247282 -83.346296601412 -710.247638832048</f>
        <v>-1533.6712626807421</v>
      </c>
      <c r="P2856">
        <f>-693.166144361478 -65.2148885276429 -397.746819421593</f>
        <v>-1156.1278523107139</v>
      </c>
      <c r="Q2856" t="s">
        <v>59498</v>
      </c>
      <c r="R2856" t="s">
        <v>59499</v>
      </c>
      <c r="S2856" t="s">
        <v>59500</v>
      </c>
      <c r="T2856" t="s">
        <v>59501</v>
      </c>
      <c r="U2856" t="s">
        <v>59502</v>
      </c>
      <c r="V2856" t="s">
        <v>59503</v>
      </c>
      <c r="W2856" t="s">
        <v>59504</v>
      </c>
      <c r="X2856" t="s">
        <v>59505</v>
      </c>
      <c r="Y2856" t="s">
        <v>59506</v>
      </c>
    </row>
    <row r="2857" spans="1:25" x14ac:dyDescent="0.3">
      <c r="A2857">
        <v>142800</v>
      </c>
      <c r="B2857" t="s">
        <v>59507</v>
      </c>
      <c r="C2857" t="s">
        <v>59508</v>
      </c>
      <c r="D2857" t="s">
        <v>59509</v>
      </c>
      <c r="E2857" t="s">
        <v>59510</v>
      </c>
      <c r="F2857" t="s">
        <v>59511</v>
      </c>
      <c r="G2857" t="s">
        <v>59512</v>
      </c>
      <c r="H2857" t="s">
        <v>59513</v>
      </c>
      <c r="I2857" t="s">
        <v>59514</v>
      </c>
      <c r="J2857" t="s">
        <v>59515</v>
      </c>
      <c r="K2857" t="s">
        <v>59516</v>
      </c>
      <c r="L2857" t="s">
        <v>59517</v>
      </c>
      <c r="M2857" t="s">
        <v>59518</v>
      </c>
      <c r="N2857" t="s">
        <v>59519</v>
      </c>
      <c r="O2857">
        <f>-740.13581752109 -83.8115966857661 -710.029216050633</f>
        <v>-1533.976630257489</v>
      </c>
      <c r="P2857">
        <f>-693.319876216294 -65.4704088395426 -397.52628005323</f>
        <v>-1156.3165651090667</v>
      </c>
      <c r="Q2857" t="s">
        <v>59520</v>
      </c>
      <c r="R2857" t="s">
        <v>59521</v>
      </c>
      <c r="S2857" t="s">
        <v>59522</v>
      </c>
      <c r="T2857" t="s">
        <v>59523</v>
      </c>
      <c r="U2857" t="s">
        <v>59524</v>
      </c>
      <c r="V2857" t="s">
        <v>59525</v>
      </c>
      <c r="W2857" t="s">
        <v>59526</v>
      </c>
      <c r="X2857" t="s">
        <v>59527</v>
      </c>
      <c r="Y2857" t="s">
        <v>59528</v>
      </c>
    </row>
    <row r="2858" spans="1:25" x14ac:dyDescent="0.3">
      <c r="A2858">
        <v>142850</v>
      </c>
      <c r="B2858" t="s">
        <v>59529</v>
      </c>
      <c r="C2858" t="s">
        <v>59530</v>
      </c>
      <c r="D2858" t="s">
        <v>59531</v>
      </c>
      <c r="E2858" t="s">
        <v>59532</v>
      </c>
      <c r="F2858" t="s">
        <v>59533</v>
      </c>
      <c r="G2858" t="s">
        <v>59534</v>
      </c>
      <c r="H2858" t="s">
        <v>59535</v>
      </c>
      <c r="I2858" t="s">
        <v>59536</v>
      </c>
      <c r="J2858" t="s">
        <v>59537</v>
      </c>
      <c r="K2858" t="s">
        <v>59538</v>
      </c>
      <c r="L2858" t="s">
        <v>59539</v>
      </c>
      <c r="M2858" t="s">
        <v>59540</v>
      </c>
      <c r="N2858" t="s">
        <v>59541</v>
      </c>
      <c r="O2858">
        <f>-740.081652170864 -84.6963703472445 -709.565380932477</f>
        <v>-1534.3434034505854</v>
      </c>
      <c r="P2858">
        <f>-693.583800279988 -64.8276786337888 -397.108535370709</f>
        <v>-1155.5200142844858</v>
      </c>
      <c r="Q2858" t="s">
        <v>59542</v>
      </c>
      <c r="R2858" t="s">
        <v>59543</v>
      </c>
      <c r="S2858" t="s">
        <v>59544</v>
      </c>
      <c r="T2858" t="s">
        <v>59545</v>
      </c>
      <c r="U2858" t="s">
        <v>59546</v>
      </c>
      <c r="V2858" t="s">
        <v>59547</v>
      </c>
      <c r="W2858" t="s">
        <v>59548</v>
      </c>
      <c r="X2858" t="s">
        <v>59549</v>
      </c>
      <c r="Y2858" t="s">
        <v>59550</v>
      </c>
    </row>
    <row r="2859" spans="1:25" x14ac:dyDescent="0.3">
      <c r="A2859">
        <v>142900</v>
      </c>
      <c r="B2859" t="s">
        <v>59551</v>
      </c>
      <c r="C2859" t="s">
        <v>59552</v>
      </c>
      <c r="D2859" t="s">
        <v>59553</v>
      </c>
      <c r="E2859" t="s">
        <v>59554</v>
      </c>
      <c r="F2859" t="s">
        <v>59555</v>
      </c>
      <c r="G2859" t="s">
        <v>59556</v>
      </c>
      <c r="H2859" t="s">
        <v>59557</v>
      </c>
      <c r="I2859" t="s">
        <v>59558</v>
      </c>
      <c r="J2859" t="s">
        <v>59559</v>
      </c>
      <c r="K2859" t="s">
        <v>59560</v>
      </c>
      <c r="L2859" t="s">
        <v>59561</v>
      </c>
      <c r="M2859" t="s">
        <v>59562</v>
      </c>
      <c r="N2859" t="s">
        <v>59563</v>
      </c>
      <c r="O2859">
        <f>-740.509913585026 -84.8347367720496 -709.410317870628</f>
        <v>-1534.7549682277036</v>
      </c>
      <c r="P2859">
        <f>-693.447573455753 -64.9192560212853 -397.040805701153</f>
        <v>-1155.4076351781912</v>
      </c>
      <c r="Q2859" t="s">
        <v>59564</v>
      </c>
      <c r="R2859" t="s">
        <v>59565</v>
      </c>
      <c r="S2859" t="s">
        <v>59566</v>
      </c>
      <c r="T2859" t="s">
        <v>59567</v>
      </c>
      <c r="U2859" t="s">
        <v>59568</v>
      </c>
      <c r="V2859" t="s">
        <v>59569</v>
      </c>
      <c r="W2859" t="s">
        <v>59570</v>
      </c>
      <c r="X2859" t="s">
        <v>59571</v>
      </c>
      <c r="Y2859" t="s">
        <v>59572</v>
      </c>
    </row>
    <row r="2860" spans="1:25" x14ac:dyDescent="0.3">
      <c r="A2860">
        <v>142950</v>
      </c>
      <c r="B2860" t="s">
        <v>59573</v>
      </c>
      <c r="C2860" t="s">
        <v>59574</v>
      </c>
      <c r="D2860" t="s">
        <v>59575</v>
      </c>
      <c r="E2860" t="s">
        <v>59576</v>
      </c>
      <c r="F2860" t="s">
        <v>59577</v>
      </c>
      <c r="G2860" t="s">
        <v>59578</v>
      </c>
      <c r="H2860" t="s">
        <v>59579</v>
      </c>
      <c r="I2860" t="s">
        <v>59580</v>
      </c>
      <c r="J2860" t="s">
        <v>59581</v>
      </c>
      <c r="K2860" t="s">
        <v>59582</v>
      </c>
      <c r="L2860" t="s">
        <v>59583</v>
      </c>
      <c r="M2860" t="s">
        <v>59584</v>
      </c>
      <c r="N2860" t="s">
        <v>59585</v>
      </c>
      <c r="O2860">
        <f>-741.539901334163 -85.2514407824829 -709.09889958546</f>
        <v>-1535.8902417021059</v>
      </c>
      <c r="P2860">
        <f>-693.778568590953 -64.7916444431714 -396.870709517588</f>
        <v>-1155.4409225517124</v>
      </c>
      <c r="Q2860" t="s">
        <v>59586</v>
      </c>
      <c r="R2860" t="s">
        <v>59587</v>
      </c>
      <c r="S2860" t="s">
        <v>59588</v>
      </c>
      <c r="T2860" t="s">
        <v>59589</v>
      </c>
      <c r="U2860" t="s">
        <v>59590</v>
      </c>
      <c r="V2860" t="s">
        <v>59591</v>
      </c>
      <c r="W2860" t="s">
        <v>59592</v>
      </c>
      <c r="X2860" t="s">
        <v>59593</v>
      </c>
      <c r="Y2860" t="s">
        <v>59594</v>
      </c>
    </row>
    <row r="2861" spans="1:25" x14ac:dyDescent="0.3">
      <c r="A2861">
        <v>143000</v>
      </c>
      <c r="B2861" t="s">
        <v>59595</v>
      </c>
      <c r="C2861" t="s">
        <v>59596</v>
      </c>
      <c r="D2861" t="s">
        <v>59597</v>
      </c>
      <c r="E2861" t="s">
        <v>59598</v>
      </c>
      <c r="F2861" t="s">
        <v>59599</v>
      </c>
      <c r="G2861" t="s">
        <v>59600</v>
      </c>
      <c r="H2861" t="s">
        <v>59601</v>
      </c>
      <c r="I2861" t="s">
        <v>59602</v>
      </c>
      <c r="J2861" t="s">
        <v>59603</v>
      </c>
      <c r="K2861" t="s">
        <v>59604</v>
      </c>
      <c r="L2861" t="s">
        <v>59605</v>
      </c>
      <c r="M2861" t="s">
        <v>59606</v>
      </c>
      <c r="N2861" t="s">
        <v>59607</v>
      </c>
      <c r="O2861">
        <f>-741.907331844011 -85.6382146348778 -708.967388693619</f>
        <v>-1536.5129351725077</v>
      </c>
      <c r="P2861">
        <f>-693.994464493729 -65.0323191377156 -396.772007730426</f>
        <v>-1155.7987913618706</v>
      </c>
      <c r="Q2861" t="s">
        <v>59608</v>
      </c>
      <c r="R2861" t="s">
        <v>59609</v>
      </c>
      <c r="S2861" t="s">
        <v>59610</v>
      </c>
      <c r="T2861" t="s">
        <v>59611</v>
      </c>
      <c r="U2861" t="s">
        <v>59612</v>
      </c>
      <c r="V2861" t="s">
        <v>59613</v>
      </c>
      <c r="W2861" t="s">
        <v>59614</v>
      </c>
      <c r="X2861" t="s">
        <v>59615</v>
      </c>
      <c r="Y2861" t="s">
        <v>59616</v>
      </c>
    </row>
    <row r="2862" spans="1:25" x14ac:dyDescent="0.3">
      <c r="A2862">
        <v>143050</v>
      </c>
      <c r="B2862" t="s">
        <v>59617</v>
      </c>
      <c r="C2862" t="s">
        <v>59618</v>
      </c>
      <c r="D2862" t="s">
        <v>59619</v>
      </c>
      <c r="E2862" t="s">
        <v>59620</v>
      </c>
      <c r="F2862" t="s">
        <v>59621</v>
      </c>
      <c r="G2862" t="s">
        <v>59622</v>
      </c>
      <c r="H2862" t="s">
        <v>59623</v>
      </c>
      <c r="I2862" t="s">
        <v>59624</v>
      </c>
      <c r="J2862" t="s">
        <v>59625</v>
      </c>
      <c r="K2862" t="s">
        <v>59626</v>
      </c>
      <c r="L2862" t="s">
        <v>59627</v>
      </c>
      <c r="M2862" t="s">
        <v>59628</v>
      </c>
      <c r="N2862" t="s">
        <v>59629</v>
      </c>
      <c r="O2862">
        <f>-742.32328855266 -86.2344329418686 -708.827480819848</f>
        <v>-1537.3852023143766</v>
      </c>
      <c r="P2862">
        <f>-694.474314324665 -65.8886302548053 -396.60519065946</f>
        <v>-1156.9681352389302</v>
      </c>
      <c r="Q2862" t="s">
        <v>59630</v>
      </c>
      <c r="R2862" t="s">
        <v>59631</v>
      </c>
      <c r="S2862" t="s">
        <v>59632</v>
      </c>
      <c r="T2862" t="s">
        <v>59633</v>
      </c>
      <c r="U2862" t="s">
        <v>59634</v>
      </c>
      <c r="V2862" t="s">
        <v>59635</v>
      </c>
      <c r="W2862" t="s">
        <v>59636</v>
      </c>
      <c r="X2862" t="s">
        <v>59637</v>
      </c>
      <c r="Y2862" t="s">
        <v>59638</v>
      </c>
    </row>
    <row r="2863" spans="1:25" x14ac:dyDescent="0.3">
      <c r="A2863">
        <v>143100</v>
      </c>
      <c r="B2863" t="s">
        <v>59639</v>
      </c>
      <c r="C2863" t="s">
        <v>59640</v>
      </c>
      <c r="D2863" t="s">
        <v>59641</v>
      </c>
      <c r="E2863" t="s">
        <v>59642</v>
      </c>
      <c r="F2863" t="s">
        <v>59643</v>
      </c>
      <c r="G2863" t="s">
        <v>59644</v>
      </c>
      <c r="H2863" t="s">
        <v>59645</v>
      </c>
      <c r="I2863" t="s">
        <v>59646</v>
      </c>
      <c r="J2863" t="s">
        <v>59647</v>
      </c>
      <c r="K2863" t="s">
        <v>59648</v>
      </c>
      <c r="L2863" t="s">
        <v>59649</v>
      </c>
      <c r="M2863" t="s">
        <v>59650</v>
      </c>
      <c r="N2863" t="s">
        <v>59651</v>
      </c>
      <c r="O2863">
        <f>-742.587261779931 -86.4230665173068 -708.750973044733</f>
        <v>-1537.7613013419709</v>
      </c>
      <c r="P2863">
        <f>-694.502265539938 -66.2089520093723 -396.556440975044</f>
        <v>-1157.2676585243544</v>
      </c>
      <c r="Q2863" t="s">
        <v>59652</v>
      </c>
      <c r="R2863" t="s">
        <v>59653</v>
      </c>
      <c r="S2863" t="s">
        <v>59654</v>
      </c>
      <c r="T2863" t="s">
        <v>59655</v>
      </c>
      <c r="U2863" t="s">
        <v>59656</v>
      </c>
      <c r="V2863" t="s">
        <v>59657</v>
      </c>
      <c r="W2863" t="s">
        <v>59658</v>
      </c>
      <c r="X2863" t="s">
        <v>59659</v>
      </c>
      <c r="Y2863" t="s">
        <v>59660</v>
      </c>
    </row>
    <row r="2864" spans="1:25" x14ac:dyDescent="0.3">
      <c r="A2864">
        <v>143150</v>
      </c>
      <c r="B2864" t="s">
        <v>59661</v>
      </c>
      <c r="C2864" t="s">
        <v>59662</v>
      </c>
      <c r="D2864" t="s">
        <v>59663</v>
      </c>
      <c r="E2864" t="s">
        <v>59664</v>
      </c>
      <c r="F2864" t="s">
        <v>59665</v>
      </c>
      <c r="G2864" t="s">
        <v>59666</v>
      </c>
      <c r="H2864" t="s">
        <v>59667</v>
      </c>
      <c r="I2864" t="s">
        <v>59668</v>
      </c>
      <c r="J2864" t="s">
        <v>59669</v>
      </c>
      <c r="K2864" t="s">
        <v>59670</v>
      </c>
      <c r="L2864" t="s">
        <v>59671</v>
      </c>
      <c r="M2864" t="s">
        <v>59672</v>
      </c>
      <c r="N2864" t="s">
        <v>59673</v>
      </c>
      <c r="O2864">
        <f>-743.022367779207 -87.0216036792065 -708.459812251107</f>
        <v>-1538.5037837095206</v>
      </c>
      <c r="P2864">
        <f>-694.725760898875 -66.6041899135319 -396.31123718379</f>
        <v>-1157.641187996197</v>
      </c>
      <c r="Q2864" t="s">
        <v>59674</v>
      </c>
      <c r="R2864" t="s">
        <v>59675</v>
      </c>
      <c r="S2864" t="s">
        <v>59676</v>
      </c>
      <c r="T2864" t="s">
        <v>59677</v>
      </c>
      <c r="U2864" t="s">
        <v>59678</v>
      </c>
      <c r="V2864" t="s">
        <v>59679</v>
      </c>
      <c r="W2864" t="s">
        <v>59680</v>
      </c>
      <c r="X2864" t="s">
        <v>59681</v>
      </c>
      <c r="Y2864" t="s">
        <v>59682</v>
      </c>
    </row>
    <row r="2865" spans="1:25" x14ac:dyDescent="0.3">
      <c r="A2865">
        <v>143200</v>
      </c>
      <c r="B2865" t="s">
        <v>59683</v>
      </c>
      <c r="C2865" t="s">
        <v>59684</v>
      </c>
      <c r="D2865" t="s">
        <v>59685</v>
      </c>
      <c r="E2865" t="s">
        <v>59686</v>
      </c>
      <c r="F2865" t="s">
        <v>59687</v>
      </c>
      <c r="G2865" t="s">
        <v>59688</v>
      </c>
      <c r="H2865" t="s">
        <v>59689</v>
      </c>
      <c r="I2865" t="s">
        <v>59690</v>
      </c>
      <c r="J2865" t="s">
        <v>59691</v>
      </c>
      <c r="K2865" t="s">
        <v>59692</v>
      </c>
      <c r="L2865" t="s">
        <v>59693</v>
      </c>
      <c r="M2865" t="s">
        <v>59694</v>
      </c>
      <c r="N2865" t="s">
        <v>59695</v>
      </c>
      <c r="O2865">
        <f>-743.126260613003 -87.2088268548234 -708.412880019843</f>
        <v>-1538.7479674876695</v>
      </c>
      <c r="P2865">
        <f>-694.735818264189 -66.8834954667088 -396.272788913091</f>
        <v>-1157.8921026439889</v>
      </c>
      <c r="Q2865" t="s">
        <v>59696</v>
      </c>
      <c r="R2865" t="s">
        <v>59697</v>
      </c>
      <c r="S2865" t="s">
        <v>59698</v>
      </c>
      <c r="T2865" t="s">
        <v>59699</v>
      </c>
      <c r="U2865" t="s">
        <v>59700</v>
      </c>
      <c r="V2865" t="s">
        <v>59701</v>
      </c>
      <c r="W2865" t="s">
        <v>59702</v>
      </c>
      <c r="X2865" t="s">
        <v>59703</v>
      </c>
      <c r="Y2865" t="s">
        <v>59704</v>
      </c>
    </row>
    <row r="2866" spans="1:25" x14ac:dyDescent="0.3">
      <c r="A2866">
        <v>143250</v>
      </c>
      <c r="B2866" t="s">
        <v>59705</v>
      </c>
      <c r="C2866" t="s">
        <v>59706</v>
      </c>
      <c r="D2866" t="s">
        <v>59707</v>
      </c>
      <c r="E2866" t="s">
        <v>59708</v>
      </c>
      <c r="F2866" t="s">
        <v>59709</v>
      </c>
      <c r="G2866" t="s">
        <v>59710</v>
      </c>
      <c r="H2866" t="s">
        <v>59711</v>
      </c>
      <c r="I2866" t="s">
        <v>59712</v>
      </c>
      <c r="J2866" t="s">
        <v>59713</v>
      </c>
      <c r="K2866" t="s">
        <v>59714</v>
      </c>
      <c r="L2866" t="s">
        <v>59715</v>
      </c>
      <c r="M2866" t="s">
        <v>59716</v>
      </c>
      <c r="N2866" t="s">
        <v>59717</v>
      </c>
      <c r="O2866">
        <f>-743.413947994052 -87.6276019047984 -708.187706483294</f>
        <v>-1539.2292563821445</v>
      </c>
      <c r="P2866">
        <f>-695.250925797158 -67.363283190015 -396.008489277164</f>
        <v>-1158.622698264337</v>
      </c>
      <c r="Q2866" t="s">
        <v>59718</v>
      </c>
      <c r="R2866" t="s">
        <v>59719</v>
      </c>
      <c r="S2866" t="s">
        <v>59720</v>
      </c>
      <c r="T2866" t="s">
        <v>59721</v>
      </c>
      <c r="U2866" t="s">
        <v>59722</v>
      </c>
      <c r="V2866" t="s">
        <v>59723</v>
      </c>
      <c r="W2866" t="s">
        <v>59724</v>
      </c>
      <c r="X2866" t="s">
        <v>59725</v>
      </c>
      <c r="Y2866" t="s">
        <v>59726</v>
      </c>
    </row>
    <row r="2867" spans="1:25" x14ac:dyDescent="0.3">
      <c r="A2867">
        <v>143300</v>
      </c>
      <c r="B2867" t="s">
        <v>59727</v>
      </c>
      <c r="C2867" t="s">
        <v>59728</v>
      </c>
      <c r="D2867" t="s">
        <v>59729</v>
      </c>
      <c r="E2867" t="s">
        <v>59730</v>
      </c>
      <c r="F2867" t="s">
        <v>59731</v>
      </c>
      <c r="G2867" t="s">
        <v>59732</v>
      </c>
      <c r="H2867" t="s">
        <v>59733</v>
      </c>
      <c r="I2867" t="s">
        <v>59734</v>
      </c>
      <c r="J2867" t="s">
        <v>59735</v>
      </c>
      <c r="K2867" t="s">
        <v>59736</v>
      </c>
      <c r="L2867" t="s">
        <v>59737</v>
      </c>
      <c r="M2867" t="s">
        <v>59738</v>
      </c>
      <c r="N2867" t="s">
        <v>59739</v>
      </c>
      <c r="O2867">
        <f>-743.743313485621 -87.8549894210944 -708.127883200096</f>
        <v>-1539.7261861068114</v>
      </c>
      <c r="P2867">
        <f>-695.365272574161 -67.1703357459905 -396.009326171288</f>
        <v>-1158.5449344914396</v>
      </c>
      <c r="Q2867" t="s">
        <v>59740</v>
      </c>
      <c r="R2867" t="s">
        <v>59741</v>
      </c>
      <c r="S2867" t="s">
        <v>59742</v>
      </c>
      <c r="T2867" t="s">
        <v>59743</v>
      </c>
      <c r="U2867" t="s">
        <v>59744</v>
      </c>
      <c r="V2867" t="s">
        <v>59745</v>
      </c>
      <c r="W2867" t="s">
        <v>59746</v>
      </c>
      <c r="X2867" t="s">
        <v>59747</v>
      </c>
      <c r="Y2867" t="s">
        <v>59748</v>
      </c>
    </row>
    <row r="2868" spans="1:25" x14ac:dyDescent="0.3">
      <c r="A2868">
        <v>143350</v>
      </c>
      <c r="B2868" t="s">
        <v>59749</v>
      </c>
      <c r="C2868" t="s">
        <v>59750</v>
      </c>
      <c r="D2868" t="s">
        <v>59751</v>
      </c>
      <c r="E2868" t="s">
        <v>59752</v>
      </c>
      <c r="F2868" t="s">
        <v>59753</v>
      </c>
      <c r="G2868" t="s">
        <v>59754</v>
      </c>
      <c r="H2868" t="s">
        <v>59755</v>
      </c>
      <c r="I2868" t="s">
        <v>59756</v>
      </c>
      <c r="J2868" t="s">
        <v>59757</v>
      </c>
      <c r="K2868" t="s">
        <v>59758</v>
      </c>
      <c r="L2868" t="s">
        <v>59759</v>
      </c>
      <c r="M2868" t="s">
        <v>59760</v>
      </c>
      <c r="N2868" t="s">
        <v>59761</v>
      </c>
      <c r="O2868">
        <f>-744.739603032873 -88.1361483347514 -707.937634375257</f>
        <v>-1540.8133857428813</v>
      </c>
      <c r="P2868">
        <f>-696.085552850809 -67.7748492730918 -395.840743523918</f>
        <v>-1159.7011456478187</v>
      </c>
      <c r="Q2868" t="s">
        <v>59762</v>
      </c>
      <c r="R2868" t="s">
        <v>59763</v>
      </c>
      <c r="S2868" t="s">
        <v>59764</v>
      </c>
      <c r="T2868" t="s">
        <v>59765</v>
      </c>
      <c r="U2868" t="s">
        <v>59766</v>
      </c>
      <c r="V2868" t="s">
        <v>59767</v>
      </c>
      <c r="W2868" t="s">
        <v>59768</v>
      </c>
      <c r="X2868" t="s">
        <v>59769</v>
      </c>
      <c r="Y2868" t="s">
        <v>59770</v>
      </c>
    </row>
    <row r="2869" spans="1:25" x14ac:dyDescent="0.3">
      <c r="A2869">
        <v>143400</v>
      </c>
      <c r="B2869" t="s">
        <v>59771</v>
      </c>
      <c r="C2869" t="s">
        <v>59772</v>
      </c>
      <c r="D2869" t="s">
        <v>59773</v>
      </c>
      <c r="E2869" t="s">
        <v>59774</v>
      </c>
      <c r="F2869" t="s">
        <v>59775</v>
      </c>
      <c r="G2869" t="s">
        <v>59776</v>
      </c>
      <c r="H2869" t="s">
        <v>59777</v>
      </c>
      <c r="I2869" t="s">
        <v>59778</v>
      </c>
      <c r="J2869" t="s">
        <v>59779</v>
      </c>
      <c r="K2869" t="s">
        <v>59780</v>
      </c>
      <c r="L2869" t="s">
        <v>59781</v>
      </c>
      <c r="M2869" t="s">
        <v>59782</v>
      </c>
      <c r="N2869" t="s">
        <v>59783</v>
      </c>
      <c r="O2869">
        <f>-745.220175274902 -88.1486065934264 -707.891703102872</f>
        <v>-1541.2604849712004</v>
      </c>
      <c r="P2869">
        <f>-696.393049986553 -68.1470898359153 -395.798796808705</f>
        <v>-1160.3389366311733</v>
      </c>
      <c r="Q2869" t="s">
        <v>59784</v>
      </c>
      <c r="R2869" t="s">
        <v>59785</v>
      </c>
      <c r="S2869" t="s">
        <v>59786</v>
      </c>
      <c r="T2869" t="s">
        <v>59787</v>
      </c>
      <c r="U2869" t="s">
        <v>59788</v>
      </c>
      <c r="V2869" t="s">
        <v>59789</v>
      </c>
      <c r="W2869" t="s">
        <v>59790</v>
      </c>
      <c r="X2869" t="s">
        <v>59791</v>
      </c>
      <c r="Y2869" t="s">
        <v>59792</v>
      </c>
    </row>
    <row r="2870" spans="1:25" x14ac:dyDescent="0.3">
      <c r="A2870">
        <v>143450</v>
      </c>
      <c r="B2870" t="s">
        <v>59793</v>
      </c>
      <c r="C2870" t="s">
        <v>59794</v>
      </c>
      <c r="D2870" t="s">
        <v>59795</v>
      </c>
      <c r="E2870" t="s">
        <v>59796</v>
      </c>
      <c r="F2870" t="s">
        <v>59797</v>
      </c>
      <c r="G2870" t="s">
        <v>59798</v>
      </c>
      <c r="H2870" t="s">
        <v>59799</v>
      </c>
      <c r="I2870" t="s">
        <v>59800</v>
      </c>
      <c r="J2870" t="s">
        <v>59801</v>
      </c>
      <c r="K2870" t="s">
        <v>59802</v>
      </c>
      <c r="L2870" t="s">
        <v>59803</v>
      </c>
      <c r="M2870" t="s">
        <v>59804</v>
      </c>
      <c r="N2870" t="s">
        <v>59805</v>
      </c>
      <c r="O2870">
        <f>-746.718286275788 -88.0617172495909 -707.856382653203</f>
        <v>-1542.6363861785819</v>
      </c>
      <c r="P2870">
        <f>-696.759055106821 -68.8118919682086 -395.895258446152</f>
        <v>-1161.4662055211816</v>
      </c>
      <c r="Q2870" t="s">
        <v>59806</v>
      </c>
      <c r="R2870" t="s">
        <v>59807</v>
      </c>
      <c r="S2870" t="s">
        <v>59808</v>
      </c>
      <c r="T2870" t="s">
        <v>59809</v>
      </c>
      <c r="U2870" t="s">
        <v>59810</v>
      </c>
      <c r="V2870" t="s">
        <v>59811</v>
      </c>
      <c r="W2870" t="s">
        <v>59812</v>
      </c>
      <c r="X2870" t="s">
        <v>59813</v>
      </c>
      <c r="Y2870" t="s">
        <v>59814</v>
      </c>
    </row>
    <row r="2871" spans="1:25" x14ac:dyDescent="0.3">
      <c r="A2871">
        <v>143500</v>
      </c>
      <c r="B2871" t="s">
        <v>59815</v>
      </c>
      <c r="C2871" t="s">
        <v>59816</v>
      </c>
      <c r="D2871" t="s">
        <v>59817</v>
      </c>
      <c r="E2871" t="s">
        <v>59818</v>
      </c>
      <c r="F2871" t="s">
        <v>59819</v>
      </c>
      <c r="G2871" t="s">
        <v>59820</v>
      </c>
      <c r="H2871" t="s">
        <v>59821</v>
      </c>
      <c r="I2871" t="s">
        <v>59822</v>
      </c>
      <c r="J2871" t="s">
        <v>59823</v>
      </c>
      <c r="K2871" t="s">
        <v>59824</v>
      </c>
      <c r="L2871" t="s">
        <v>59825</v>
      </c>
      <c r="M2871" t="s">
        <v>59826</v>
      </c>
      <c r="N2871" t="s">
        <v>59827</v>
      </c>
      <c r="O2871">
        <f>-747.482851225517 -87.9824997942364 -707.833433449021</f>
        <v>-1543.2987844687746</v>
      </c>
      <c r="P2871">
        <f>-697.238132818346 -68.6634588019515 -395.922461646956</f>
        <v>-1161.8240532672535</v>
      </c>
      <c r="Q2871" t="s">
        <v>59828</v>
      </c>
      <c r="R2871" t="s">
        <v>59829</v>
      </c>
      <c r="S2871" t="s">
        <v>59830</v>
      </c>
      <c r="T2871" t="s">
        <v>59831</v>
      </c>
      <c r="U2871" t="s">
        <v>59832</v>
      </c>
      <c r="V2871" t="s">
        <v>59833</v>
      </c>
      <c r="W2871" t="s">
        <v>59834</v>
      </c>
      <c r="X2871" t="s">
        <v>59835</v>
      </c>
      <c r="Y2871" t="s">
        <v>59836</v>
      </c>
    </row>
    <row r="2872" spans="1:25" x14ac:dyDescent="0.3">
      <c r="A2872">
        <v>143550</v>
      </c>
      <c r="B2872" t="s">
        <v>59837</v>
      </c>
      <c r="C2872" t="s">
        <v>59838</v>
      </c>
      <c r="D2872" t="s">
        <v>59839</v>
      </c>
      <c r="E2872" t="s">
        <v>59840</v>
      </c>
      <c r="F2872" t="s">
        <v>59841</v>
      </c>
      <c r="G2872" t="s">
        <v>59842</v>
      </c>
      <c r="H2872" t="s">
        <v>59843</v>
      </c>
      <c r="I2872" t="s">
        <v>59844</v>
      </c>
      <c r="J2872" t="s">
        <v>59845</v>
      </c>
      <c r="K2872" t="s">
        <v>59846</v>
      </c>
      <c r="L2872" t="s">
        <v>59847</v>
      </c>
      <c r="M2872" t="s">
        <v>59848</v>
      </c>
      <c r="N2872" t="s">
        <v>59849</v>
      </c>
      <c r="O2872">
        <f>-749.246615720802 -87.5140980215388 -707.783482228784</f>
        <v>-1544.5441959711247</v>
      </c>
      <c r="P2872">
        <f>-698.374899471327 -69.2575736339243 -395.910144686251</f>
        <v>-1163.5426177915024</v>
      </c>
      <c r="Q2872" t="s">
        <v>59850</v>
      </c>
      <c r="R2872" t="s">
        <v>59851</v>
      </c>
      <c r="S2872" t="s">
        <v>59852</v>
      </c>
      <c r="T2872" t="s">
        <v>59853</v>
      </c>
      <c r="U2872" t="s">
        <v>59854</v>
      </c>
      <c r="V2872" t="s">
        <v>59855</v>
      </c>
      <c r="W2872" t="s">
        <v>59856</v>
      </c>
      <c r="X2872" t="s">
        <v>59857</v>
      </c>
      <c r="Y2872" t="s">
        <v>59858</v>
      </c>
    </row>
    <row r="2873" spans="1:25" x14ac:dyDescent="0.3">
      <c r="A2873">
        <v>143600</v>
      </c>
      <c r="B2873" t="s">
        <v>59859</v>
      </c>
      <c r="C2873" t="s">
        <v>59860</v>
      </c>
      <c r="D2873" t="s">
        <v>59861</v>
      </c>
      <c r="E2873" t="s">
        <v>59862</v>
      </c>
      <c r="F2873" t="s">
        <v>59863</v>
      </c>
      <c r="G2873" t="s">
        <v>59864</v>
      </c>
      <c r="H2873" t="s">
        <v>59865</v>
      </c>
      <c r="I2873" t="s">
        <v>59866</v>
      </c>
      <c r="J2873" t="s">
        <v>59867</v>
      </c>
      <c r="K2873" t="s">
        <v>59868</v>
      </c>
      <c r="L2873" t="s">
        <v>59869</v>
      </c>
      <c r="M2873" t="s">
        <v>59870</v>
      </c>
      <c r="N2873" t="s">
        <v>59871</v>
      </c>
      <c r="O2873">
        <f>-750.117853584488 -87.0743394557719 -707.803239009446</f>
        <v>-1544.9954320497059</v>
      </c>
      <c r="P2873">
        <f>-699.089008817675 -69.3492864117404 -395.925105524274</f>
        <v>-1164.3634007536893</v>
      </c>
      <c r="Q2873" t="s">
        <v>59872</v>
      </c>
      <c r="R2873" t="s">
        <v>59873</v>
      </c>
      <c r="S2873" t="s">
        <v>59874</v>
      </c>
      <c r="T2873" t="s">
        <v>59875</v>
      </c>
      <c r="U2873" t="s">
        <v>59876</v>
      </c>
      <c r="V2873" t="s">
        <v>59877</v>
      </c>
      <c r="W2873" t="s">
        <v>59878</v>
      </c>
      <c r="X2873" t="s">
        <v>59879</v>
      </c>
      <c r="Y2873" t="s">
        <v>59880</v>
      </c>
    </row>
    <row r="2874" spans="1:25" x14ac:dyDescent="0.3">
      <c r="A2874">
        <v>143650</v>
      </c>
      <c r="B2874" t="s">
        <v>59881</v>
      </c>
      <c r="C2874" t="s">
        <v>59882</v>
      </c>
      <c r="D2874" t="s">
        <v>59883</v>
      </c>
      <c r="E2874" t="s">
        <v>59884</v>
      </c>
      <c r="F2874" t="s">
        <v>59885</v>
      </c>
      <c r="G2874" t="s">
        <v>59886</v>
      </c>
      <c r="H2874" t="s">
        <v>59887</v>
      </c>
      <c r="I2874" t="s">
        <v>59888</v>
      </c>
      <c r="J2874" t="s">
        <v>59889</v>
      </c>
      <c r="K2874" t="s">
        <v>59890</v>
      </c>
      <c r="L2874" t="s">
        <v>59891</v>
      </c>
      <c r="M2874" t="s">
        <v>59892</v>
      </c>
      <c r="N2874" t="s">
        <v>59893</v>
      </c>
      <c r="O2874">
        <f>-751.440833960077 -85.9504407004913 -707.912126955124</f>
        <v>-1545.3034016156923</v>
      </c>
      <c r="P2874">
        <f>-699.860630862243 -69.8772617591312 -396.03492601416</f>
        <v>-1165.7728186355343</v>
      </c>
      <c r="Q2874" t="s">
        <v>59894</v>
      </c>
      <c r="R2874" t="s">
        <v>59895</v>
      </c>
      <c r="S2874" t="s">
        <v>59896</v>
      </c>
      <c r="T2874" t="s">
        <v>59897</v>
      </c>
      <c r="U2874" t="s">
        <v>59898</v>
      </c>
      <c r="V2874" t="s">
        <v>59899</v>
      </c>
      <c r="W2874" t="s">
        <v>59900</v>
      </c>
      <c r="X2874" t="s">
        <v>59901</v>
      </c>
      <c r="Y2874" t="s">
        <v>59902</v>
      </c>
    </row>
    <row r="2875" spans="1:25" x14ac:dyDescent="0.3">
      <c r="A2875">
        <v>143700</v>
      </c>
      <c r="B2875" t="s">
        <v>59903</v>
      </c>
      <c r="C2875" t="s">
        <v>59904</v>
      </c>
      <c r="D2875" t="s">
        <v>59905</v>
      </c>
      <c r="E2875" t="s">
        <v>59906</v>
      </c>
      <c r="F2875" t="s">
        <v>59907</v>
      </c>
      <c r="G2875" t="s">
        <v>59908</v>
      </c>
      <c r="H2875" t="s">
        <v>59909</v>
      </c>
      <c r="I2875" t="s">
        <v>59910</v>
      </c>
      <c r="J2875" t="s">
        <v>59911</v>
      </c>
      <c r="K2875" t="s">
        <v>59912</v>
      </c>
      <c r="L2875" t="s">
        <v>59913</v>
      </c>
      <c r="M2875" t="s">
        <v>59914</v>
      </c>
      <c r="N2875" t="s">
        <v>59915</v>
      </c>
      <c r="O2875">
        <f>-752.285623062839 -85.2619558400872 -708.10406880551</f>
        <v>-1545.6516477084363</v>
      </c>
      <c r="P2875">
        <f>-699.926035333609 -70.7344022150917 -396.280881023464</f>
        <v>-1166.9413185721646</v>
      </c>
      <c r="Q2875" t="s">
        <v>59916</v>
      </c>
      <c r="R2875" t="s">
        <v>59917</v>
      </c>
      <c r="S2875" t="s">
        <v>59918</v>
      </c>
      <c r="T2875" t="s">
        <v>59919</v>
      </c>
      <c r="U2875" t="s">
        <v>59920</v>
      </c>
      <c r="V2875" t="s">
        <v>59921</v>
      </c>
      <c r="W2875" t="s">
        <v>59922</v>
      </c>
      <c r="X2875" t="s">
        <v>59923</v>
      </c>
      <c r="Y2875" t="s">
        <v>59924</v>
      </c>
    </row>
    <row r="2876" spans="1:25" x14ac:dyDescent="0.3">
      <c r="A2876">
        <v>143750</v>
      </c>
      <c r="B2876" t="s">
        <v>59925</v>
      </c>
      <c r="C2876" t="s">
        <v>59926</v>
      </c>
      <c r="D2876" t="s">
        <v>59927</v>
      </c>
      <c r="E2876" t="s">
        <v>59928</v>
      </c>
      <c r="F2876" t="s">
        <v>59929</v>
      </c>
      <c r="G2876" t="s">
        <v>59930</v>
      </c>
      <c r="H2876" t="s">
        <v>59931</v>
      </c>
      <c r="I2876" t="s">
        <v>59932</v>
      </c>
      <c r="J2876" t="s">
        <v>59933</v>
      </c>
      <c r="K2876" t="s">
        <v>59934</v>
      </c>
      <c r="L2876" t="s">
        <v>59935</v>
      </c>
      <c r="M2876" t="s">
        <v>59936</v>
      </c>
      <c r="N2876" t="s">
        <v>59937</v>
      </c>
      <c r="O2876">
        <f>-754.090742375451 -84.1091465136299 -708.432502848101</f>
        <v>-1546.6323917371819</v>
      </c>
      <c r="P2876">
        <f>-699.722491428753 -72.5078003592307 -396.830559448072</f>
        <v>-1169.0608512360557</v>
      </c>
      <c r="Q2876" t="s">
        <v>59938</v>
      </c>
      <c r="R2876" t="s">
        <v>59939</v>
      </c>
      <c r="S2876" t="s">
        <v>59940</v>
      </c>
      <c r="T2876" t="s">
        <v>59941</v>
      </c>
      <c r="U2876" t="s">
        <v>59942</v>
      </c>
      <c r="V2876" t="s">
        <v>59943</v>
      </c>
      <c r="W2876" t="s">
        <v>59944</v>
      </c>
      <c r="X2876" t="s">
        <v>59945</v>
      </c>
      <c r="Y2876" t="s">
        <v>59946</v>
      </c>
    </row>
    <row r="2877" spans="1:25" x14ac:dyDescent="0.3">
      <c r="A2877">
        <v>143800</v>
      </c>
      <c r="B2877" t="s">
        <v>59947</v>
      </c>
      <c r="C2877" t="s">
        <v>59948</v>
      </c>
      <c r="D2877" t="s">
        <v>59949</v>
      </c>
      <c r="E2877" t="s">
        <v>59950</v>
      </c>
      <c r="F2877" t="s">
        <v>59951</v>
      </c>
      <c r="G2877" t="s">
        <v>59952</v>
      </c>
      <c r="H2877" t="s">
        <v>59953</v>
      </c>
      <c r="I2877" t="s">
        <v>59954</v>
      </c>
      <c r="J2877" t="s">
        <v>59955</v>
      </c>
      <c r="K2877" t="s">
        <v>59956</v>
      </c>
      <c r="L2877" t="s">
        <v>59957</v>
      </c>
      <c r="M2877" t="s">
        <v>59958</v>
      </c>
      <c r="N2877" t="s">
        <v>59959</v>
      </c>
      <c r="O2877">
        <f>-754.729524747317 -83.6724536854574 -708.556830473962</f>
        <v>-1546.9588089067365</v>
      </c>
      <c r="P2877">
        <f>-699.747576078457 -73.0562502693792 -397.02766746094</f>
        <v>-1169.8314938087763</v>
      </c>
      <c r="Q2877" t="s">
        <v>59960</v>
      </c>
      <c r="R2877" t="s">
        <v>59961</v>
      </c>
      <c r="S2877" t="s">
        <v>59962</v>
      </c>
      <c r="T2877" t="s">
        <v>59963</v>
      </c>
      <c r="U2877" t="s">
        <v>59964</v>
      </c>
      <c r="V2877" t="s">
        <v>59965</v>
      </c>
      <c r="W2877" t="s">
        <v>59966</v>
      </c>
      <c r="X2877" t="s">
        <v>59967</v>
      </c>
      <c r="Y2877" t="s">
        <v>59968</v>
      </c>
    </row>
    <row r="2878" spans="1:25" x14ac:dyDescent="0.3">
      <c r="A2878">
        <v>143850</v>
      </c>
      <c r="B2878" t="s">
        <v>59969</v>
      </c>
      <c r="C2878" t="s">
        <v>59970</v>
      </c>
      <c r="D2878" t="s">
        <v>59971</v>
      </c>
      <c r="E2878" t="s">
        <v>59972</v>
      </c>
      <c r="F2878" t="s">
        <v>59973</v>
      </c>
      <c r="G2878" t="s">
        <v>59974</v>
      </c>
      <c r="H2878" t="s">
        <v>59975</v>
      </c>
      <c r="I2878" t="s">
        <v>59976</v>
      </c>
      <c r="J2878" t="s">
        <v>59977</v>
      </c>
      <c r="K2878" t="s">
        <v>59978</v>
      </c>
      <c r="L2878" t="s">
        <v>59979</v>
      </c>
      <c r="M2878" t="s">
        <v>59980</v>
      </c>
      <c r="N2878" t="s">
        <v>59981</v>
      </c>
      <c r="O2878">
        <f>-755.614919377661 -82.8315834991758 -708.840876680375</f>
        <v>-1547.2873795572118</v>
      </c>
      <c r="P2878">
        <f>-699.815841224366 -74.3324238004304 -397.392071930901</f>
        <v>-1171.5403369556975</v>
      </c>
      <c r="Q2878" t="s">
        <v>59982</v>
      </c>
      <c r="R2878" t="s">
        <v>59983</v>
      </c>
      <c r="S2878" t="s">
        <v>59984</v>
      </c>
      <c r="T2878" t="s">
        <v>59985</v>
      </c>
      <c r="U2878" t="s">
        <v>59986</v>
      </c>
      <c r="V2878" t="s">
        <v>59987</v>
      </c>
      <c r="W2878" t="s">
        <v>59988</v>
      </c>
      <c r="X2878" t="s">
        <v>59989</v>
      </c>
      <c r="Y2878" t="s">
        <v>59990</v>
      </c>
    </row>
    <row r="2879" spans="1:25" x14ac:dyDescent="0.3">
      <c r="A2879">
        <v>143900</v>
      </c>
      <c r="B2879" t="s">
        <v>59991</v>
      </c>
      <c r="C2879" t="s">
        <v>59992</v>
      </c>
      <c r="D2879" t="s">
        <v>59993</v>
      </c>
      <c r="E2879" t="s">
        <v>59994</v>
      </c>
      <c r="F2879" t="s">
        <v>59995</v>
      </c>
      <c r="G2879" t="s">
        <v>59996</v>
      </c>
      <c r="H2879" t="s">
        <v>59997</v>
      </c>
      <c r="I2879" t="s">
        <v>59998</v>
      </c>
      <c r="J2879" t="s">
        <v>59999</v>
      </c>
      <c r="K2879" t="s">
        <v>60000</v>
      </c>
      <c r="L2879" t="s">
        <v>60001</v>
      </c>
      <c r="M2879" t="s">
        <v>60002</v>
      </c>
      <c r="N2879" t="s">
        <v>60003</v>
      </c>
      <c r="O2879">
        <f>-755.813739592309 -82.4831532197027 -709.013366802435</f>
        <v>-1547.3102596144467</v>
      </c>
      <c r="P2879">
        <f>-699.594465681232 -74.9412683631824 -397.615255586718</f>
        <v>-1172.1509896311325</v>
      </c>
      <c r="Q2879" t="s">
        <v>60004</v>
      </c>
      <c r="R2879" t="s">
        <v>60005</v>
      </c>
      <c r="S2879" t="s">
        <v>60006</v>
      </c>
      <c r="T2879" t="s">
        <v>60007</v>
      </c>
      <c r="U2879" t="s">
        <v>60008</v>
      </c>
      <c r="V2879" t="s">
        <v>60009</v>
      </c>
      <c r="W2879" t="s">
        <v>60010</v>
      </c>
      <c r="X2879" t="s">
        <v>60011</v>
      </c>
      <c r="Y2879" t="s">
        <v>60012</v>
      </c>
    </row>
    <row r="2880" spans="1:25" x14ac:dyDescent="0.3">
      <c r="A2880">
        <v>143950</v>
      </c>
      <c r="B2880" t="s">
        <v>60013</v>
      </c>
      <c r="C2880" t="s">
        <v>60014</v>
      </c>
      <c r="D2880" t="s">
        <v>60015</v>
      </c>
      <c r="E2880" t="s">
        <v>60016</v>
      </c>
      <c r="F2880" t="s">
        <v>60017</v>
      </c>
      <c r="G2880" t="s">
        <v>60018</v>
      </c>
      <c r="H2880" t="s">
        <v>60019</v>
      </c>
      <c r="I2880" t="s">
        <v>60020</v>
      </c>
      <c r="J2880" t="s">
        <v>60021</v>
      </c>
      <c r="K2880" t="s">
        <v>60022</v>
      </c>
      <c r="L2880" t="s">
        <v>60023</v>
      </c>
      <c r="M2880" t="s">
        <v>60024</v>
      </c>
      <c r="N2880" t="s">
        <v>60025</v>
      </c>
      <c r="O2880">
        <f>-755.975744949527 -82.2867497931359 -709.205546805761</f>
        <v>-1547.4680415484238</v>
      </c>
      <c r="P2880">
        <f>-699.979691666413 -76.1005517265221 -397.737339105668</f>
        <v>-1173.8175824986031</v>
      </c>
      <c r="Q2880" t="s">
        <v>60026</v>
      </c>
      <c r="R2880" t="s">
        <v>60027</v>
      </c>
      <c r="S2880" t="s">
        <v>60028</v>
      </c>
      <c r="T2880" t="s">
        <v>60029</v>
      </c>
      <c r="U2880" t="s">
        <v>60030</v>
      </c>
      <c r="V2880" t="s">
        <v>60031</v>
      </c>
      <c r="W2880" t="s">
        <v>60032</v>
      </c>
      <c r="X2880" t="s">
        <v>60033</v>
      </c>
      <c r="Y2880" t="s">
        <v>60034</v>
      </c>
    </row>
    <row r="2881" spans="1:25" x14ac:dyDescent="0.3">
      <c r="A2881">
        <v>144000</v>
      </c>
      <c r="B2881" t="s">
        <v>60035</v>
      </c>
      <c r="C2881" t="s">
        <v>60036</v>
      </c>
      <c r="D2881" t="s">
        <v>60037</v>
      </c>
      <c r="E2881" t="s">
        <v>60038</v>
      </c>
      <c r="F2881" t="s">
        <v>60039</v>
      </c>
      <c r="G2881" t="s">
        <v>60040</v>
      </c>
      <c r="H2881" t="s">
        <v>60041</v>
      </c>
      <c r="I2881" t="s">
        <v>60042</v>
      </c>
      <c r="J2881" t="s">
        <v>60043</v>
      </c>
      <c r="K2881" t="s">
        <v>60044</v>
      </c>
      <c r="L2881" t="s">
        <v>60045</v>
      </c>
      <c r="M2881" t="s">
        <v>60046</v>
      </c>
      <c r="N2881" t="s">
        <v>60047</v>
      </c>
      <c r="O2881">
        <f>-756.032288731038 -81.917172954812 -709.43875053704</f>
        <v>-1547.3882122228902</v>
      </c>
      <c r="P2881">
        <f>-699.963545559008 -76.2663405512785 -397.973575453555</f>
        <v>-1174.2034615638415</v>
      </c>
      <c r="Q2881" t="s">
        <v>60048</v>
      </c>
      <c r="R2881" t="s">
        <v>60049</v>
      </c>
      <c r="S2881" t="s">
        <v>60050</v>
      </c>
      <c r="T2881" t="s">
        <v>60051</v>
      </c>
      <c r="U2881" t="s">
        <v>60052</v>
      </c>
      <c r="V2881" t="s">
        <v>60053</v>
      </c>
      <c r="W2881" t="s">
        <v>60054</v>
      </c>
      <c r="X2881" t="s">
        <v>60055</v>
      </c>
      <c r="Y2881" t="s">
        <v>60056</v>
      </c>
    </row>
    <row r="2882" spans="1:25" x14ac:dyDescent="0.3">
      <c r="A2882">
        <v>144050</v>
      </c>
      <c r="B2882" t="s">
        <v>60057</v>
      </c>
      <c r="C2882" t="s">
        <v>60058</v>
      </c>
      <c r="D2882" t="s">
        <v>60059</v>
      </c>
      <c r="E2882" t="s">
        <v>60060</v>
      </c>
      <c r="F2882" t="s">
        <v>60061</v>
      </c>
      <c r="G2882" t="s">
        <v>60062</v>
      </c>
      <c r="H2882" t="s">
        <v>60063</v>
      </c>
      <c r="I2882" t="s">
        <v>60064</v>
      </c>
      <c r="J2882" t="s">
        <v>60065</v>
      </c>
      <c r="K2882" t="s">
        <v>60066</v>
      </c>
      <c r="L2882" t="s">
        <v>60067</v>
      </c>
      <c r="M2882" t="s">
        <v>60068</v>
      </c>
      <c r="N2882" t="s">
        <v>60069</v>
      </c>
      <c r="O2882">
        <f>-755.949021753826 -81.6462015339785 -709.726970325333</f>
        <v>-1547.3221936131374</v>
      </c>
      <c r="P2882">
        <f>-699.947996111111 -76.4645423054856 -398.241622051002</f>
        <v>-1174.6541604675986</v>
      </c>
      <c r="Q2882" t="s">
        <v>60070</v>
      </c>
      <c r="R2882" t="s">
        <v>60071</v>
      </c>
      <c r="S2882" t="s">
        <v>60072</v>
      </c>
      <c r="T2882" t="s">
        <v>60073</v>
      </c>
      <c r="U2882" t="s">
        <v>60074</v>
      </c>
      <c r="V2882" t="s">
        <v>60075</v>
      </c>
      <c r="W2882" t="s">
        <v>60076</v>
      </c>
      <c r="X2882" t="s">
        <v>60077</v>
      </c>
      <c r="Y2882" t="s">
        <v>60078</v>
      </c>
    </row>
    <row r="2883" spans="1:25" x14ac:dyDescent="0.3">
      <c r="A2883">
        <v>144100</v>
      </c>
      <c r="B2883" t="s">
        <v>60079</v>
      </c>
      <c r="C2883" t="s">
        <v>60080</v>
      </c>
      <c r="D2883" t="s">
        <v>60081</v>
      </c>
      <c r="E2883" t="s">
        <v>60082</v>
      </c>
      <c r="F2883" t="s">
        <v>60083</v>
      </c>
      <c r="G2883" t="s">
        <v>60084</v>
      </c>
      <c r="H2883" t="s">
        <v>60085</v>
      </c>
      <c r="I2883" t="s">
        <v>60086</v>
      </c>
      <c r="J2883" t="s">
        <v>60087</v>
      </c>
      <c r="K2883" t="s">
        <v>60088</v>
      </c>
      <c r="L2883" t="s">
        <v>60089</v>
      </c>
      <c r="M2883" t="s">
        <v>60090</v>
      </c>
      <c r="N2883" t="s">
        <v>60091</v>
      </c>
      <c r="O2883">
        <f>-755.9247402462 -81.3818766037136 -709.858774137037</f>
        <v>-1547.1653909869506</v>
      </c>
      <c r="P2883">
        <f>-699.787094367089 -76.9293439244552 -398.386669073951</f>
        <v>-1175.1031073654954</v>
      </c>
      <c r="Q2883" t="s">
        <v>60092</v>
      </c>
      <c r="R2883" t="s">
        <v>60093</v>
      </c>
      <c r="S2883" t="s">
        <v>60094</v>
      </c>
      <c r="T2883" t="s">
        <v>60095</v>
      </c>
      <c r="U2883" t="s">
        <v>60096</v>
      </c>
      <c r="V2883" t="s">
        <v>60097</v>
      </c>
      <c r="W2883" t="s">
        <v>60098</v>
      </c>
      <c r="X2883" t="s">
        <v>60099</v>
      </c>
      <c r="Y2883" t="s">
        <v>60100</v>
      </c>
    </row>
    <row r="2884" spans="1:25" x14ac:dyDescent="0.3">
      <c r="A2884">
        <v>144150</v>
      </c>
      <c r="B2884" t="s">
        <v>60101</v>
      </c>
      <c r="C2884" t="s">
        <v>60102</v>
      </c>
      <c r="D2884" t="s">
        <v>60103</v>
      </c>
      <c r="E2884" t="s">
        <v>60104</v>
      </c>
      <c r="F2884" t="s">
        <v>60105</v>
      </c>
      <c r="G2884" t="s">
        <v>60106</v>
      </c>
      <c r="H2884" t="s">
        <v>60107</v>
      </c>
      <c r="I2884" t="s">
        <v>60108</v>
      </c>
      <c r="J2884" t="s">
        <v>60109</v>
      </c>
      <c r="K2884" t="s">
        <v>60110</v>
      </c>
      <c r="L2884" t="s">
        <v>60111</v>
      </c>
      <c r="M2884" t="s">
        <v>60112</v>
      </c>
      <c r="N2884" t="s">
        <v>60113</v>
      </c>
      <c r="O2884">
        <f>-755.704674986627 -80.7164872513749 -710.098723673699</f>
        <v>-1546.5198859117008</v>
      </c>
      <c r="P2884">
        <f>-699.242476463048 -77.3944359788234 -398.67096359416</f>
        <v>-1175.3078760360313</v>
      </c>
      <c r="Q2884" t="s">
        <v>60114</v>
      </c>
      <c r="R2884" t="s">
        <v>60115</v>
      </c>
      <c r="S2884" t="s">
        <v>60116</v>
      </c>
      <c r="T2884" t="s">
        <v>60117</v>
      </c>
      <c r="U2884" t="s">
        <v>60118</v>
      </c>
      <c r="V2884" t="s">
        <v>60119</v>
      </c>
      <c r="W2884" t="s">
        <v>60120</v>
      </c>
      <c r="X2884" t="s">
        <v>60121</v>
      </c>
      <c r="Y2884" t="s">
        <v>60122</v>
      </c>
    </row>
    <row r="2885" spans="1:25" x14ac:dyDescent="0.3">
      <c r="A2885">
        <v>144200</v>
      </c>
      <c r="B2885" t="s">
        <v>60123</v>
      </c>
      <c r="C2885" t="s">
        <v>60124</v>
      </c>
      <c r="D2885" t="s">
        <v>60125</v>
      </c>
      <c r="E2885" t="s">
        <v>60126</v>
      </c>
      <c r="F2885" t="s">
        <v>60127</v>
      </c>
      <c r="G2885" t="s">
        <v>60128</v>
      </c>
      <c r="H2885" t="s">
        <v>60129</v>
      </c>
      <c r="I2885" t="s">
        <v>60130</v>
      </c>
      <c r="J2885" t="s">
        <v>60131</v>
      </c>
      <c r="K2885" t="s">
        <v>60132</v>
      </c>
      <c r="L2885" t="s">
        <v>60133</v>
      </c>
      <c r="M2885" t="s">
        <v>60134</v>
      </c>
      <c r="N2885" t="s">
        <v>60135</v>
      </c>
      <c r="O2885">
        <f>-755.596182363711 -80.4550965839346 -710.199187674167</f>
        <v>-1546.2504666218126</v>
      </c>
      <c r="P2885">
        <f>-698.984682650314 -77.8647043438648 -398.791649868898</f>
        <v>-1175.6410368630768</v>
      </c>
      <c r="Q2885" t="s">
        <v>60136</v>
      </c>
      <c r="R2885" t="s">
        <v>60137</v>
      </c>
      <c r="S2885" t="s">
        <v>60138</v>
      </c>
      <c r="T2885" t="s">
        <v>60139</v>
      </c>
      <c r="U2885" t="s">
        <v>60140</v>
      </c>
      <c r="V2885" t="s">
        <v>60141</v>
      </c>
      <c r="W2885" t="s">
        <v>60142</v>
      </c>
      <c r="X2885" t="s">
        <v>60143</v>
      </c>
      <c r="Y2885" t="s">
        <v>60144</v>
      </c>
    </row>
    <row r="2886" spans="1:25" x14ac:dyDescent="0.3">
      <c r="A2886">
        <v>144250</v>
      </c>
      <c r="B2886" t="s">
        <v>60145</v>
      </c>
      <c r="C2886" t="s">
        <v>60146</v>
      </c>
      <c r="D2886" t="s">
        <v>60147</v>
      </c>
      <c r="E2886" t="s">
        <v>60148</v>
      </c>
      <c r="F2886" t="s">
        <v>60149</v>
      </c>
      <c r="G2886" t="s">
        <v>60150</v>
      </c>
      <c r="H2886" t="s">
        <v>60151</v>
      </c>
      <c r="I2886" t="s">
        <v>60152</v>
      </c>
      <c r="J2886" t="s">
        <v>60153</v>
      </c>
      <c r="K2886" t="s">
        <v>60154</v>
      </c>
      <c r="L2886" t="s">
        <v>60155</v>
      </c>
      <c r="M2886" t="s">
        <v>60156</v>
      </c>
      <c r="N2886" t="s">
        <v>60157</v>
      </c>
      <c r="O2886">
        <f>-755.363425080944 -80.3410320491496 -710.329720712083</f>
        <v>-1546.0341778421766</v>
      </c>
      <c r="P2886">
        <f>-698.906126115867 -78.8590695516687 -398.887047549604</f>
        <v>-1176.6522432171396</v>
      </c>
      <c r="Q2886" t="s">
        <v>60158</v>
      </c>
      <c r="R2886" t="s">
        <v>60159</v>
      </c>
      <c r="S2886" t="s">
        <v>60160</v>
      </c>
      <c r="T2886" t="s">
        <v>60161</v>
      </c>
      <c r="U2886" t="s">
        <v>60162</v>
      </c>
      <c r="V2886" t="s">
        <v>60163</v>
      </c>
      <c r="W2886" t="s">
        <v>60164</v>
      </c>
      <c r="X2886" t="s">
        <v>60165</v>
      </c>
      <c r="Y2886" t="s">
        <v>60166</v>
      </c>
    </row>
    <row r="2887" spans="1:25" x14ac:dyDescent="0.3">
      <c r="A2887">
        <v>144300</v>
      </c>
      <c r="B2887" t="s">
        <v>60167</v>
      </c>
      <c r="C2887" t="s">
        <v>60168</v>
      </c>
      <c r="D2887" t="s">
        <v>60169</v>
      </c>
      <c r="E2887" t="s">
        <v>60170</v>
      </c>
      <c r="F2887" t="s">
        <v>60171</v>
      </c>
      <c r="G2887" t="s">
        <v>60172</v>
      </c>
      <c r="H2887" t="s">
        <v>60173</v>
      </c>
      <c r="I2887" t="s">
        <v>60174</v>
      </c>
      <c r="J2887" t="s">
        <v>60175</v>
      </c>
      <c r="K2887" t="s">
        <v>60176</v>
      </c>
      <c r="L2887" t="s">
        <v>60177</v>
      </c>
      <c r="M2887" t="s">
        <v>60178</v>
      </c>
      <c r="N2887" t="s">
        <v>60179</v>
      </c>
      <c r="O2887">
        <f>-755.356632862862 -80.3646411813193 -710.319729386461</f>
        <v>-1546.0410034306424</v>
      </c>
      <c r="P2887">
        <f>-699.063118635502 -78.9123477525109 -398.847272290507</f>
        <v>-1176.8227386785197</v>
      </c>
      <c r="Q2887" t="s">
        <v>60180</v>
      </c>
      <c r="R2887" t="s">
        <v>60181</v>
      </c>
      <c r="S2887" t="s">
        <v>60182</v>
      </c>
      <c r="T2887" t="s">
        <v>60183</v>
      </c>
      <c r="U2887" t="s">
        <v>60184</v>
      </c>
      <c r="V2887" t="s">
        <v>60185</v>
      </c>
      <c r="W2887" t="s">
        <v>60186</v>
      </c>
      <c r="X2887" t="s">
        <v>60187</v>
      </c>
      <c r="Y2887" t="s">
        <v>60188</v>
      </c>
    </row>
    <row r="2888" spans="1:25" x14ac:dyDescent="0.3">
      <c r="A2888">
        <v>144350</v>
      </c>
      <c r="B2888" t="s">
        <v>60189</v>
      </c>
      <c r="C2888" t="s">
        <v>60190</v>
      </c>
      <c r="D2888" t="s">
        <v>60191</v>
      </c>
      <c r="E2888" t="s">
        <v>60192</v>
      </c>
      <c r="F2888" t="s">
        <v>60193</v>
      </c>
      <c r="G2888" t="s">
        <v>60194</v>
      </c>
      <c r="H2888" t="s">
        <v>60195</v>
      </c>
      <c r="I2888" t="s">
        <v>60196</v>
      </c>
      <c r="J2888" t="s">
        <v>60197</v>
      </c>
      <c r="K2888" t="s">
        <v>60198</v>
      </c>
      <c r="L2888" t="s">
        <v>60199</v>
      </c>
      <c r="M2888" t="s">
        <v>60200</v>
      </c>
      <c r="N2888" t="s">
        <v>60201</v>
      </c>
      <c r="O2888">
        <f>-755.41998026188 -80.2159911959257 -710.402395216104</f>
        <v>-1546.0383666739096</v>
      </c>
      <c r="P2888">
        <f>-699.038079731602 -79.3135563755156 -398.943795164429</f>
        <v>-1177.2954312715467</v>
      </c>
      <c r="Q2888" t="s">
        <v>60202</v>
      </c>
      <c r="R2888" t="s">
        <v>60203</v>
      </c>
      <c r="S2888" t="s">
        <v>60204</v>
      </c>
      <c r="T2888" t="s">
        <v>60205</v>
      </c>
      <c r="U2888" t="s">
        <v>60206</v>
      </c>
      <c r="V2888" t="s">
        <v>60207</v>
      </c>
      <c r="W2888" t="s">
        <v>60208</v>
      </c>
      <c r="X2888" t="s">
        <v>60209</v>
      </c>
      <c r="Y2888" t="s">
        <v>60210</v>
      </c>
    </row>
    <row r="2889" spans="1:25" x14ac:dyDescent="0.3">
      <c r="A2889">
        <v>144400</v>
      </c>
      <c r="B2889" t="s">
        <v>60211</v>
      </c>
      <c r="C2889" t="s">
        <v>60212</v>
      </c>
      <c r="D2889" t="s">
        <v>60213</v>
      </c>
      <c r="E2889" t="s">
        <v>60214</v>
      </c>
      <c r="F2889" t="s">
        <v>60215</v>
      </c>
      <c r="G2889" t="s">
        <v>60216</v>
      </c>
      <c r="H2889" t="s">
        <v>60217</v>
      </c>
      <c r="I2889" t="s">
        <v>60218</v>
      </c>
      <c r="J2889" t="s">
        <v>60219</v>
      </c>
      <c r="K2889" t="s">
        <v>60220</v>
      </c>
      <c r="L2889" t="s">
        <v>60221</v>
      </c>
      <c r="M2889" t="s">
        <v>60222</v>
      </c>
      <c r="N2889" t="s">
        <v>60223</v>
      </c>
      <c r="O2889">
        <f>-755.655177652844 -79.9458799255858 -710.390263268638</f>
        <v>-1545.991320847068</v>
      </c>
      <c r="P2889">
        <f>-698.850239541856 -78.1452385172452 -399.012479801338</f>
        <v>-1176.0079578604391</v>
      </c>
      <c r="Q2889" t="s">
        <v>60224</v>
      </c>
      <c r="R2889" t="s">
        <v>60225</v>
      </c>
      <c r="S2889" t="s">
        <v>60226</v>
      </c>
      <c r="T2889" t="s">
        <v>60227</v>
      </c>
      <c r="U2889" t="s">
        <v>60228</v>
      </c>
      <c r="V2889" t="s">
        <v>60229</v>
      </c>
      <c r="W2889" t="s">
        <v>60230</v>
      </c>
      <c r="X2889" t="s">
        <v>60231</v>
      </c>
      <c r="Y2889" t="s">
        <v>60232</v>
      </c>
    </row>
    <row r="2890" spans="1:25" x14ac:dyDescent="0.3">
      <c r="A2890">
        <v>144450</v>
      </c>
      <c r="B2890" t="s">
        <v>60233</v>
      </c>
      <c r="C2890" t="s">
        <v>60234</v>
      </c>
      <c r="D2890" t="s">
        <v>60235</v>
      </c>
      <c r="E2890" t="s">
        <v>60236</v>
      </c>
      <c r="F2890" t="s">
        <v>60237</v>
      </c>
      <c r="G2890" t="s">
        <v>60238</v>
      </c>
      <c r="H2890" t="s">
        <v>60239</v>
      </c>
      <c r="I2890" t="s">
        <v>60240</v>
      </c>
      <c r="J2890" t="s">
        <v>60241</v>
      </c>
      <c r="K2890" t="s">
        <v>60242</v>
      </c>
      <c r="L2890" t="s">
        <v>60243</v>
      </c>
      <c r="M2890" t="s">
        <v>60244</v>
      </c>
      <c r="N2890" t="s">
        <v>60245</v>
      </c>
      <c r="O2890">
        <f>-755.913300535201 -79.6245486597525 -710.279002996233</f>
        <v>-1545.8168521911864</v>
      </c>
      <c r="P2890">
        <f>-699.188137542766 -76.8943569006231 -398.893389240252</f>
        <v>-1174.9758836836411</v>
      </c>
      <c r="Q2890" t="s">
        <v>60246</v>
      </c>
      <c r="R2890" t="s">
        <v>60247</v>
      </c>
      <c r="S2890" t="s">
        <v>60248</v>
      </c>
      <c r="T2890" t="s">
        <v>60249</v>
      </c>
      <c r="U2890" t="s">
        <v>60250</v>
      </c>
      <c r="V2890" t="s">
        <v>60251</v>
      </c>
      <c r="W2890" t="s">
        <v>60252</v>
      </c>
      <c r="X2890" t="s">
        <v>60253</v>
      </c>
      <c r="Y2890" t="s">
        <v>60254</v>
      </c>
    </row>
    <row r="2891" spans="1:25" x14ac:dyDescent="0.3">
      <c r="A2891">
        <v>144500</v>
      </c>
      <c r="B2891" t="s">
        <v>60255</v>
      </c>
      <c r="C2891" t="s">
        <v>60256</v>
      </c>
      <c r="D2891" t="s">
        <v>60257</v>
      </c>
      <c r="E2891" t="s">
        <v>60258</v>
      </c>
      <c r="F2891" t="s">
        <v>60259</v>
      </c>
      <c r="G2891" t="s">
        <v>60260</v>
      </c>
      <c r="H2891" t="s">
        <v>60261</v>
      </c>
      <c r="I2891" t="s">
        <v>60262</v>
      </c>
      <c r="J2891" t="s">
        <v>60263</v>
      </c>
      <c r="K2891" t="s">
        <v>60264</v>
      </c>
      <c r="L2891" t="s">
        <v>60265</v>
      </c>
      <c r="M2891" t="s">
        <v>60266</v>
      </c>
      <c r="N2891" t="s">
        <v>60267</v>
      </c>
      <c r="O2891">
        <f>-756.019439201784 -79.4506199446696 -710.227491058081</f>
        <v>-1545.6975502045348</v>
      </c>
      <c r="P2891">
        <f>-699.52934642876 -75.6027120204201 -398.810977189397</f>
        <v>-1173.9430356385772</v>
      </c>
      <c r="Q2891" t="s">
        <v>60268</v>
      </c>
      <c r="R2891" t="s">
        <v>60269</v>
      </c>
      <c r="S2891" t="s">
        <v>60270</v>
      </c>
      <c r="T2891" t="s">
        <v>60271</v>
      </c>
      <c r="U2891" t="s">
        <v>60272</v>
      </c>
      <c r="V2891" t="s">
        <v>60273</v>
      </c>
      <c r="W2891" t="s">
        <v>60274</v>
      </c>
      <c r="X2891" t="s">
        <v>60275</v>
      </c>
      <c r="Y2891" t="s">
        <v>60276</v>
      </c>
    </row>
    <row r="2892" spans="1:25" x14ac:dyDescent="0.3">
      <c r="A2892">
        <v>144550</v>
      </c>
      <c r="B2892" t="s">
        <v>60277</v>
      </c>
      <c r="C2892" t="s">
        <v>60278</v>
      </c>
      <c r="D2892" t="s">
        <v>60279</v>
      </c>
      <c r="E2892" t="s">
        <v>60280</v>
      </c>
      <c r="F2892" t="s">
        <v>60281</v>
      </c>
      <c r="G2892" t="s">
        <v>60282</v>
      </c>
      <c r="H2892" t="s">
        <v>60283</v>
      </c>
      <c r="I2892" t="s">
        <v>60284</v>
      </c>
      <c r="J2892" t="s">
        <v>60285</v>
      </c>
      <c r="K2892" t="s">
        <v>60286</v>
      </c>
      <c r="L2892" t="s">
        <v>60287</v>
      </c>
      <c r="M2892" t="s">
        <v>60288</v>
      </c>
      <c r="N2892" t="s">
        <v>60289</v>
      </c>
      <c r="O2892">
        <f>-756.004208936583 -79.8679141516297 -709.749393605726</f>
        <v>-1545.6215166939387</v>
      </c>
      <c r="P2892">
        <f>-700.852617221281 -73.4013492207923 -398.13634154009</f>
        <v>-1172.3903079821632</v>
      </c>
      <c r="Q2892" t="s">
        <v>60290</v>
      </c>
      <c r="R2892" t="s">
        <v>60291</v>
      </c>
      <c r="S2892" t="s">
        <v>60292</v>
      </c>
      <c r="T2892" t="s">
        <v>60293</v>
      </c>
      <c r="U2892" t="s">
        <v>60294</v>
      </c>
      <c r="V2892" t="s">
        <v>60295</v>
      </c>
      <c r="W2892" t="s">
        <v>60296</v>
      </c>
      <c r="X2892" t="s">
        <v>60297</v>
      </c>
      <c r="Y2892" t="s">
        <v>60298</v>
      </c>
    </row>
    <row r="2893" spans="1:25" x14ac:dyDescent="0.3">
      <c r="A2893">
        <v>144600</v>
      </c>
      <c r="B2893" t="s">
        <v>60299</v>
      </c>
      <c r="C2893" t="s">
        <v>60300</v>
      </c>
      <c r="D2893" t="s">
        <v>60301</v>
      </c>
      <c r="E2893" t="s">
        <v>60302</v>
      </c>
      <c r="F2893" t="s">
        <v>60303</v>
      </c>
      <c r="G2893" t="s">
        <v>60304</v>
      </c>
      <c r="H2893" t="s">
        <v>60305</v>
      </c>
      <c r="I2893" t="s">
        <v>60306</v>
      </c>
      <c r="J2893" t="s">
        <v>60307</v>
      </c>
      <c r="K2893" t="s">
        <v>60308</v>
      </c>
      <c r="L2893" t="s">
        <v>60309</v>
      </c>
      <c r="M2893" t="s">
        <v>60310</v>
      </c>
      <c r="N2893" t="s">
        <v>60311</v>
      </c>
      <c r="O2893">
        <f>-756.291521564241 -80.0222792942602 -709.477661370172</f>
        <v>-1545.791462228673</v>
      </c>
      <c r="P2893">
        <f>-701.153821791436 -73.0936109343209 -397.872105958507</f>
        <v>-1172.1195386842639</v>
      </c>
      <c r="Q2893" t="s">
        <v>60312</v>
      </c>
      <c r="R2893" t="s">
        <v>60313</v>
      </c>
      <c r="S2893" t="s">
        <v>60314</v>
      </c>
      <c r="T2893" t="s">
        <v>60315</v>
      </c>
      <c r="U2893" t="s">
        <v>60316</v>
      </c>
      <c r="V2893" t="s">
        <v>60317</v>
      </c>
      <c r="W2893" t="s">
        <v>60318</v>
      </c>
      <c r="X2893" t="s">
        <v>60319</v>
      </c>
      <c r="Y2893" t="s">
        <v>60320</v>
      </c>
    </row>
    <row r="2894" spans="1:25" x14ac:dyDescent="0.3">
      <c r="A2894">
        <v>144650</v>
      </c>
      <c r="B2894" t="s">
        <v>60321</v>
      </c>
      <c r="C2894" t="s">
        <v>60322</v>
      </c>
      <c r="D2894" t="s">
        <v>60323</v>
      </c>
      <c r="E2894" t="s">
        <v>60324</v>
      </c>
      <c r="F2894" t="s">
        <v>60325</v>
      </c>
      <c r="G2894" t="s">
        <v>60326</v>
      </c>
      <c r="H2894" t="s">
        <v>60327</v>
      </c>
      <c r="I2894" t="s">
        <v>60328</v>
      </c>
      <c r="J2894" t="s">
        <v>60329</v>
      </c>
      <c r="K2894" t="s">
        <v>60330</v>
      </c>
      <c r="L2894" t="s">
        <v>60331</v>
      </c>
      <c r="M2894" t="s">
        <v>60332</v>
      </c>
      <c r="N2894" t="s">
        <v>60333</v>
      </c>
      <c r="O2894">
        <f>-756.50756946004 -80.8097800226562 -708.964117753865</f>
        <v>-1546.2814672365612</v>
      </c>
      <c r="P2894">
        <f>-701.896659790451 -71.8508597714983 -397.317631034173</f>
        <v>-1171.0651505961223</v>
      </c>
      <c r="Q2894" t="s">
        <v>60334</v>
      </c>
      <c r="R2894" t="s">
        <v>60335</v>
      </c>
      <c r="S2894" t="s">
        <v>60336</v>
      </c>
      <c r="T2894" t="s">
        <v>60337</v>
      </c>
      <c r="U2894" t="s">
        <v>60338</v>
      </c>
      <c r="V2894" t="s">
        <v>60339</v>
      </c>
      <c r="W2894" t="s">
        <v>60340</v>
      </c>
      <c r="X2894" t="s">
        <v>60341</v>
      </c>
      <c r="Y2894" t="s">
        <v>60342</v>
      </c>
    </row>
    <row r="2895" spans="1:25" x14ac:dyDescent="0.3">
      <c r="A2895">
        <v>144700</v>
      </c>
      <c r="B2895" t="s">
        <v>60343</v>
      </c>
      <c r="C2895" t="s">
        <v>60344</v>
      </c>
      <c r="D2895" t="s">
        <v>60345</v>
      </c>
      <c r="E2895" t="s">
        <v>60346</v>
      </c>
      <c r="F2895" t="s">
        <v>60347</v>
      </c>
      <c r="G2895" t="s">
        <v>60348</v>
      </c>
      <c r="H2895" t="s">
        <v>60349</v>
      </c>
      <c r="I2895" t="s">
        <v>60350</v>
      </c>
      <c r="J2895" t="s">
        <v>60351</v>
      </c>
      <c r="K2895" t="s">
        <v>60352</v>
      </c>
      <c r="L2895" t="s">
        <v>60353</v>
      </c>
      <c r="M2895" t="s">
        <v>60354</v>
      </c>
      <c r="N2895" t="s">
        <v>60355</v>
      </c>
      <c r="O2895">
        <f>-756.686724217263 -80.9761001327452 -708.803514576283</f>
        <v>-1546.466338926291</v>
      </c>
      <c r="P2895">
        <f>-701.962257439252 -71.4141877275517 -397.194776452981</f>
        <v>-1170.5712216197846</v>
      </c>
      <c r="Q2895" t="s">
        <v>60356</v>
      </c>
      <c r="R2895" t="s">
        <v>60357</v>
      </c>
      <c r="S2895" t="s">
        <v>60358</v>
      </c>
      <c r="T2895" t="s">
        <v>60359</v>
      </c>
      <c r="U2895" t="s">
        <v>60360</v>
      </c>
      <c r="V2895" t="s">
        <v>60361</v>
      </c>
      <c r="W2895" t="s">
        <v>60362</v>
      </c>
      <c r="X2895" t="s">
        <v>60363</v>
      </c>
      <c r="Y2895" t="s">
        <v>60364</v>
      </c>
    </row>
    <row r="2896" spans="1:25" x14ac:dyDescent="0.3">
      <c r="A2896">
        <v>144750</v>
      </c>
      <c r="B2896" t="s">
        <v>60365</v>
      </c>
      <c r="C2896" t="s">
        <v>60366</v>
      </c>
      <c r="D2896" t="s">
        <v>60367</v>
      </c>
      <c r="E2896" t="s">
        <v>60368</v>
      </c>
      <c r="F2896" t="s">
        <v>60369</v>
      </c>
      <c r="G2896" t="s">
        <v>60370</v>
      </c>
      <c r="H2896" t="s">
        <v>60371</v>
      </c>
      <c r="I2896" t="s">
        <v>60372</v>
      </c>
      <c r="J2896" t="s">
        <v>60373</v>
      </c>
      <c r="K2896" t="s">
        <v>60374</v>
      </c>
      <c r="L2896" t="s">
        <v>60375</v>
      </c>
      <c r="M2896" t="s">
        <v>60376</v>
      </c>
      <c r="N2896" t="s">
        <v>60377</v>
      </c>
      <c r="O2896">
        <f>-757.000947898023 -82.1334310216657 -708.47740046062</f>
        <v>-1547.6117793803087</v>
      </c>
      <c r="P2896">
        <f>-703.41819515307 -70.7908626599537 -396.730018890376</f>
        <v>-1170.9390767033997</v>
      </c>
      <c r="Q2896" t="s">
        <v>60378</v>
      </c>
      <c r="R2896" t="s">
        <v>60379</v>
      </c>
      <c r="S2896" t="s">
        <v>60380</v>
      </c>
      <c r="T2896" t="s">
        <v>60381</v>
      </c>
      <c r="U2896" t="s">
        <v>60382</v>
      </c>
      <c r="V2896" t="s">
        <v>60383</v>
      </c>
      <c r="W2896" t="s">
        <v>60384</v>
      </c>
      <c r="X2896" t="s">
        <v>60385</v>
      </c>
      <c r="Y2896" t="s">
        <v>60386</v>
      </c>
    </row>
    <row r="2897" spans="1:25" x14ac:dyDescent="0.3">
      <c r="A2897">
        <v>144800</v>
      </c>
      <c r="B2897" t="s">
        <v>60387</v>
      </c>
      <c r="C2897" t="s">
        <v>60388</v>
      </c>
      <c r="D2897" t="s">
        <v>60389</v>
      </c>
      <c r="E2897" t="s">
        <v>60390</v>
      </c>
      <c r="F2897" t="s">
        <v>60391</v>
      </c>
      <c r="G2897" t="s">
        <v>60392</v>
      </c>
      <c r="H2897" t="s">
        <v>60393</v>
      </c>
      <c r="I2897" t="s">
        <v>60394</v>
      </c>
      <c r="J2897" t="s">
        <v>60395</v>
      </c>
      <c r="K2897" t="s">
        <v>60396</v>
      </c>
      <c r="L2897" t="s">
        <v>60397</v>
      </c>
      <c r="M2897" t="s">
        <v>60398</v>
      </c>
      <c r="N2897" t="s">
        <v>60399</v>
      </c>
      <c r="O2897">
        <f>-757.417119225805 -82.2932754913959 -708.394933319465</f>
        <v>-1548.1053280366659</v>
      </c>
      <c r="P2897">
        <f>-703.642197342123 -70.7571276284434 -396.68782707144</f>
        <v>-1171.0871520420064</v>
      </c>
      <c r="Q2897" t="s">
        <v>60400</v>
      </c>
      <c r="R2897" t="s">
        <v>60401</v>
      </c>
      <c r="S2897" t="s">
        <v>60402</v>
      </c>
      <c r="T2897" t="s">
        <v>60403</v>
      </c>
      <c r="U2897" t="s">
        <v>60404</v>
      </c>
      <c r="V2897" t="s">
        <v>60405</v>
      </c>
      <c r="W2897" t="s">
        <v>60406</v>
      </c>
      <c r="X2897" t="s">
        <v>60407</v>
      </c>
      <c r="Y2897" t="s">
        <v>60408</v>
      </c>
    </row>
    <row r="2898" spans="1:25" x14ac:dyDescent="0.3">
      <c r="A2898">
        <v>144850</v>
      </c>
      <c r="B2898" t="s">
        <v>60409</v>
      </c>
      <c r="C2898" t="s">
        <v>60410</v>
      </c>
      <c r="D2898" t="s">
        <v>60411</v>
      </c>
      <c r="E2898" t="s">
        <v>60412</v>
      </c>
      <c r="F2898" t="s">
        <v>60413</v>
      </c>
      <c r="G2898" t="s">
        <v>60414</v>
      </c>
      <c r="H2898" t="s">
        <v>60415</v>
      </c>
      <c r="I2898" t="s">
        <v>60416</v>
      </c>
      <c r="J2898" t="s">
        <v>60417</v>
      </c>
      <c r="K2898" t="s">
        <v>60418</v>
      </c>
      <c r="L2898" t="s">
        <v>60419</v>
      </c>
      <c r="M2898" t="s">
        <v>60420</v>
      </c>
      <c r="N2898" t="s">
        <v>60421</v>
      </c>
      <c r="O2898">
        <f>-758.454900213736 -82.743105915868 -708.190319993713</f>
        <v>-1549.388326123317</v>
      </c>
      <c r="P2898">
        <f>-704.299452949218 -70.762268789153 -396.56576868562</f>
        <v>-1171.627490423991</v>
      </c>
      <c r="Q2898" t="s">
        <v>60422</v>
      </c>
      <c r="R2898" t="s">
        <v>60423</v>
      </c>
      <c r="S2898" t="s">
        <v>60424</v>
      </c>
      <c r="T2898" t="s">
        <v>60425</v>
      </c>
      <c r="U2898" t="s">
        <v>60426</v>
      </c>
      <c r="V2898" t="s">
        <v>60427</v>
      </c>
      <c r="W2898" t="s">
        <v>60428</v>
      </c>
      <c r="X2898" t="s">
        <v>60429</v>
      </c>
      <c r="Y2898" t="s">
        <v>60430</v>
      </c>
    </row>
    <row r="2899" spans="1:25" x14ac:dyDescent="0.3">
      <c r="A2899">
        <v>144900</v>
      </c>
      <c r="B2899" t="s">
        <v>60431</v>
      </c>
      <c r="C2899" t="s">
        <v>60432</v>
      </c>
      <c r="D2899" t="s">
        <v>60433</v>
      </c>
      <c r="E2899" t="s">
        <v>60434</v>
      </c>
      <c r="F2899" t="s">
        <v>60435</v>
      </c>
      <c r="G2899" t="s">
        <v>60436</v>
      </c>
      <c r="H2899" t="s">
        <v>60437</v>
      </c>
      <c r="I2899" t="s">
        <v>60438</v>
      </c>
      <c r="J2899" t="s">
        <v>60439</v>
      </c>
      <c r="K2899" t="s">
        <v>60440</v>
      </c>
      <c r="L2899" t="s">
        <v>60441</v>
      </c>
      <c r="M2899" t="s">
        <v>60442</v>
      </c>
      <c r="N2899" t="s">
        <v>60443</v>
      </c>
      <c r="O2899">
        <f>-759.013725618365 -82.8481176783864 -708.120701209334</f>
        <v>-1549.9825445060856</v>
      </c>
      <c r="P2899">
        <f>-704.364579171105 -71.0656081789796 -396.574781547609</f>
        <v>-1172.0049688976935</v>
      </c>
      <c r="Q2899" t="s">
        <v>60444</v>
      </c>
      <c r="R2899" t="s">
        <v>60445</v>
      </c>
      <c r="S2899" t="s">
        <v>60446</v>
      </c>
      <c r="T2899" t="s">
        <v>60447</v>
      </c>
      <c r="U2899" t="s">
        <v>60448</v>
      </c>
      <c r="V2899" t="s">
        <v>60449</v>
      </c>
      <c r="W2899" t="s">
        <v>60450</v>
      </c>
      <c r="X2899" t="s">
        <v>60451</v>
      </c>
      <c r="Y2899" t="s">
        <v>60452</v>
      </c>
    </row>
    <row r="2900" spans="1:25" x14ac:dyDescent="0.3">
      <c r="A2900">
        <v>144950</v>
      </c>
      <c r="B2900" t="s">
        <v>60453</v>
      </c>
      <c r="C2900" t="s">
        <v>60454</v>
      </c>
      <c r="D2900" t="s">
        <v>60455</v>
      </c>
      <c r="E2900" t="s">
        <v>60456</v>
      </c>
      <c r="F2900" t="s">
        <v>60457</v>
      </c>
      <c r="G2900" t="s">
        <v>60458</v>
      </c>
      <c r="H2900" t="s">
        <v>60459</v>
      </c>
      <c r="I2900" t="s">
        <v>60460</v>
      </c>
      <c r="J2900" t="s">
        <v>60461</v>
      </c>
      <c r="K2900" t="s">
        <v>60462</v>
      </c>
      <c r="L2900" t="s">
        <v>60463</v>
      </c>
      <c r="M2900" t="s">
        <v>60464</v>
      </c>
      <c r="N2900" t="s">
        <v>60465</v>
      </c>
      <c r="O2900">
        <f>-760.153480010685 -83.152038568827 -708.016397385188</f>
        <v>-1551.3219159647001</v>
      </c>
      <c r="P2900">
        <f>-705.447560918949 -71.8580388267003 -396.462368616871</f>
        <v>-1173.7679683625202</v>
      </c>
      <c r="Q2900" t="s">
        <v>60466</v>
      </c>
      <c r="R2900" t="s">
        <v>60467</v>
      </c>
      <c r="S2900" t="s">
        <v>60468</v>
      </c>
      <c r="T2900" t="s">
        <v>60469</v>
      </c>
      <c r="U2900" t="s">
        <v>60470</v>
      </c>
      <c r="V2900" t="s">
        <v>60471</v>
      </c>
      <c r="W2900" t="s">
        <v>60472</v>
      </c>
      <c r="X2900" t="s">
        <v>60473</v>
      </c>
      <c r="Y2900" t="s">
        <v>60474</v>
      </c>
    </row>
    <row r="2901" spans="1:25" x14ac:dyDescent="0.3">
      <c r="A2901">
        <v>145000</v>
      </c>
      <c r="B2901" t="s">
        <v>60475</v>
      </c>
      <c r="C2901" t="s">
        <v>60476</v>
      </c>
      <c r="D2901" t="s">
        <v>60477</v>
      </c>
      <c r="E2901" t="s">
        <v>60478</v>
      </c>
      <c r="F2901" t="s">
        <v>60479</v>
      </c>
      <c r="G2901" t="s">
        <v>60480</v>
      </c>
      <c r="H2901" t="s">
        <v>60481</v>
      </c>
      <c r="I2901" t="s">
        <v>60482</v>
      </c>
      <c r="J2901" t="s">
        <v>60483</v>
      </c>
      <c r="K2901" t="s">
        <v>60484</v>
      </c>
      <c r="L2901" t="s">
        <v>60485</v>
      </c>
      <c r="M2901" t="s">
        <v>60486</v>
      </c>
      <c r="N2901" t="s">
        <v>60487</v>
      </c>
      <c r="O2901">
        <f>-760.785371423999 -83.0756703030715 -708.051529915828</f>
        <v>-1551.9125716428985</v>
      </c>
      <c r="P2901">
        <f>-706.073692511736 -72.0345866219602 -396.489451091199</f>
        <v>-1174.5977302248953</v>
      </c>
      <c r="Q2901" t="s">
        <v>60488</v>
      </c>
      <c r="R2901" t="s">
        <v>60489</v>
      </c>
      <c r="S2901" t="s">
        <v>60490</v>
      </c>
      <c r="T2901" t="s">
        <v>60491</v>
      </c>
      <c r="U2901" t="s">
        <v>60492</v>
      </c>
      <c r="V2901" t="s">
        <v>60493</v>
      </c>
      <c r="W2901" t="s">
        <v>60494</v>
      </c>
      <c r="X2901" t="s">
        <v>60495</v>
      </c>
      <c r="Y2901" t="s">
        <v>60496</v>
      </c>
    </row>
    <row r="2902" spans="1:25" x14ac:dyDescent="0.3">
      <c r="A2902">
        <v>145050</v>
      </c>
      <c r="B2902" t="s">
        <v>60497</v>
      </c>
      <c r="C2902" t="s">
        <v>60498</v>
      </c>
      <c r="D2902" t="s">
        <v>60499</v>
      </c>
      <c r="E2902" t="s">
        <v>60500</v>
      </c>
      <c r="F2902" t="s">
        <v>60501</v>
      </c>
      <c r="G2902" t="s">
        <v>60502</v>
      </c>
      <c r="H2902" t="s">
        <v>60503</v>
      </c>
      <c r="I2902" t="s">
        <v>60504</v>
      </c>
      <c r="J2902" t="s">
        <v>60505</v>
      </c>
      <c r="K2902" t="s">
        <v>60506</v>
      </c>
      <c r="L2902" t="s">
        <v>60507</v>
      </c>
      <c r="M2902" t="s">
        <v>60508</v>
      </c>
      <c r="N2902" t="s">
        <v>60509</v>
      </c>
      <c r="O2902">
        <f>-762.030330540147 -83.4809141096703 -707.901367585298</f>
        <v>-1553.4126122351154</v>
      </c>
      <c r="P2902">
        <f>-707.577403481172 -72.2152396764975 -396.302008085433</f>
        <v>-1176.0946512431026</v>
      </c>
      <c r="Q2902" t="s">
        <v>60510</v>
      </c>
      <c r="R2902" t="s">
        <v>60511</v>
      </c>
      <c r="S2902" t="s">
        <v>60512</v>
      </c>
      <c r="T2902" t="s">
        <v>60513</v>
      </c>
      <c r="U2902" t="s">
        <v>60514</v>
      </c>
      <c r="V2902" t="s">
        <v>60515</v>
      </c>
      <c r="W2902" t="s">
        <v>60516</v>
      </c>
      <c r="X2902" t="s">
        <v>60517</v>
      </c>
      <c r="Y2902" t="s">
        <v>60518</v>
      </c>
    </row>
    <row r="2903" spans="1:25" x14ac:dyDescent="0.3">
      <c r="A2903">
        <v>145100</v>
      </c>
      <c r="B2903" t="s">
        <v>60519</v>
      </c>
      <c r="C2903" t="s">
        <v>60520</v>
      </c>
      <c r="D2903" t="s">
        <v>60521</v>
      </c>
      <c r="E2903" t="s">
        <v>60522</v>
      </c>
      <c r="F2903" t="s">
        <v>60523</v>
      </c>
      <c r="G2903" t="s">
        <v>60524</v>
      </c>
      <c r="H2903" t="s">
        <v>60525</v>
      </c>
      <c r="I2903" t="s">
        <v>60526</v>
      </c>
      <c r="J2903" t="s">
        <v>60527</v>
      </c>
      <c r="K2903" t="s">
        <v>60528</v>
      </c>
      <c r="L2903" t="s">
        <v>60529</v>
      </c>
      <c r="M2903" t="s">
        <v>60530</v>
      </c>
      <c r="N2903" t="s">
        <v>60531</v>
      </c>
      <c r="O2903">
        <f>-762.735648317703 -83.5604195211961 -707.756509769582</f>
        <v>-1554.052577608481</v>
      </c>
      <c r="P2903">
        <f>-707.862481398429 -72.2183861826281 -396.233689530431</f>
        <v>-1176.3145571114883</v>
      </c>
      <c r="Q2903" t="s">
        <v>60532</v>
      </c>
      <c r="R2903" t="s">
        <v>60533</v>
      </c>
      <c r="S2903" t="s">
        <v>60534</v>
      </c>
      <c r="T2903" t="s">
        <v>60535</v>
      </c>
      <c r="U2903" t="s">
        <v>60536</v>
      </c>
      <c r="V2903" t="s">
        <v>60537</v>
      </c>
      <c r="W2903" t="s">
        <v>60538</v>
      </c>
      <c r="X2903" t="s">
        <v>60539</v>
      </c>
      <c r="Y2903" t="s">
        <v>60540</v>
      </c>
    </row>
    <row r="2904" spans="1:25" x14ac:dyDescent="0.3">
      <c r="A2904">
        <v>145150</v>
      </c>
      <c r="B2904" t="s">
        <v>60541</v>
      </c>
      <c r="C2904" t="s">
        <v>60542</v>
      </c>
      <c r="D2904" t="s">
        <v>60543</v>
      </c>
      <c r="E2904" t="s">
        <v>60544</v>
      </c>
      <c r="F2904" t="s">
        <v>60545</v>
      </c>
      <c r="G2904" t="s">
        <v>60546</v>
      </c>
      <c r="H2904" t="s">
        <v>60547</v>
      </c>
      <c r="I2904" t="s">
        <v>60548</v>
      </c>
      <c r="J2904" t="s">
        <v>60549</v>
      </c>
      <c r="K2904" t="s">
        <v>60550</v>
      </c>
      <c r="L2904" t="s">
        <v>60551</v>
      </c>
      <c r="M2904" t="s">
        <v>60552</v>
      </c>
      <c r="N2904" t="s">
        <v>60553</v>
      </c>
      <c r="O2904">
        <f>-763.922991171441 -83.7522960383974 -707.631530090685</f>
        <v>-1555.3068173005236</v>
      </c>
      <c r="P2904">
        <f>-709.121496636528 -73.3972360439755 -396.061706990507</f>
        <v>-1178.5804396710105</v>
      </c>
      <c r="Q2904" t="s">
        <v>60554</v>
      </c>
      <c r="R2904" t="s">
        <v>60555</v>
      </c>
      <c r="S2904" t="s">
        <v>60556</v>
      </c>
      <c r="T2904" t="s">
        <v>60557</v>
      </c>
      <c r="U2904" t="s">
        <v>60558</v>
      </c>
      <c r="V2904" t="s">
        <v>60559</v>
      </c>
      <c r="W2904" t="s">
        <v>60560</v>
      </c>
      <c r="X2904" t="s">
        <v>60561</v>
      </c>
      <c r="Y2904" t="s">
        <v>60562</v>
      </c>
    </row>
    <row r="2905" spans="1:25" x14ac:dyDescent="0.3">
      <c r="A2905">
        <v>145200</v>
      </c>
      <c r="B2905" t="s">
        <v>60563</v>
      </c>
      <c r="C2905" t="s">
        <v>60564</v>
      </c>
      <c r="D2905" t="s">
        <v>60565</v>
      </c>
      <c r="E2905" t="s">
        <v>60566</v>
      </c>
      <c r="F2905" t="s">
        <v>60567</v>
      </c>
      <c r="G2905" t="s">
        <v>60568</v>
      </c>
      <c r="H2905" t="s">
        <v>60569</v>
      </c>
      <c r="I2905" t="s">
        <v>60570</v>
      </c>
      <c r="J2905" t="s">
        <v>60571</v>
      </c>
      <c r="K2905" t="s">
        <v>60572</v>
      </c>
      <c r="L2905" t="s">
        <v>60573</v>
      </c>
      <c r="M2905" t="s">
        <v>60574</v>
      </c>
      <c r="N2905" t="s">
        <v>60575</v>
      </c>
      <c r="O2905">
        <f>-764.470465688937 -83.4994219712044 -707.679541586222</f>
        <v>-1555.6494292463633</v>
      </c>
      <c r="P2905">
        <f>-709.191367568744 -73.8370443987703 -396.171809624105</f>
        <v>-1179.2002215916193</v>
      </c>
      <c r="Q2905" t="s">
        <v>60576</v>
      </c>
      <c r="R2905" t="s">
        <v>60577</v>
      </c>
      <c r="S2905" t="s">
        <v>60578</v>
      </c>
      <c r="T2905" t="s">
        <v>60579</v>
      </c>
      <c r="U2905" t="s">
        <v>60580</v>
      </c>
      <c r="V2905" t="s">
        <v>60581</v>
      </c>
      <c r="W2905" t="s">
        <v>60582</v>
      </c>
      <c r="X2905" t="s">
        <v>60583</v>
      </c>
      <c r="Y2905" t="s">
        <v>60584</v>
      </c>
    </row>
    <row r="2906" spans="1:25" x14ac:dyDescent="0.3">
      <c r="A2906">
        <v>145250</v>
      </c>
      <c r="B2906" t="s">
        <v>60585</v>
      </c>
      <c r="C2906" t="s">
        <v>60586</v>
      </c>
      <c r="D2906" t="s">
        <v>60587</v>
      </c>
      <c r="E2906" t="s">
        <v>60588</v>
      </c>
      <c r="F2906" t="s">
        <v>60589</v>
      </c>
      <c r="G2906" t="s">
        <v>60590</v>
      </c>
      <c r="H2906" t="s">
        <v>60591</v>
      </c>
      <c r="I2906" t="s">
        <v>60592</v>
      </c>
      <c r="J2906" t="s">
        <v>60593</v>
      </c>
      <c r="K2906" t="s">
        <v>60594</v>
      </c>
      <c r="L2906" t="s">
        <v>60595</v>
      </c>
      <c r="M2906" t="s">
        <v>60596</v>
      </c>
      <c r="N2906" t="s">
        <v>60597</v>
      </c>
      <c r="O2906">
        <f>-765.411063048667 -83.5304029822155 -707.555748772957</f>
        <v>-1556.4972148038396</v>
      </c>
      <c r="P2906">
        <f>-710.058833061036 -74.0422682927267 -396.055604334459</f>
        <v>-1180.1567056882218</v>
      </c>
      <c r="Q2906" t="s">
        <v>60598</v>
      </c>
      <c r="R2906" t="s">
        <v>60599</v>
      </c>
      <c r="S2906" t="s">
        <v>60600</v>
      </c>
      <c r="T2906" t="s">
        <v>60601</v>
      </c>
      <c r="U2906" t="s">
        <v>60602</v>
      </c>
      <c r="V2906" t="s">
        <v>60603</v>
      </c>
      <c r="W2906" t="s">
        <v>60604</v>
      </c>
      <c r="X2906" t="s">
        <v>60605</v>
      </c>
      <c r="Y2906" t="s">
        <v>60606</v>
      </c>
    </row>
    <row r="2907" spans="1:25" x14ac:dyDescent="0.3">
      <c r="A2907">
        <v>145300</v>
      </c>
      <c r="B2907" t="s">
        <v>60607</v>
      </c>
      <c r="C2907" t="s">
        <v>60608</v>
      </c>
      <c r="D2907" t="s">
        <v>60609</v>
      </c>
      <c r="E2907" t="s">
        <v>60610</v>
      </c>
      <c r="F2907" t="s">
        <v>60611</v>
      </c>
      <c r="G2907" t="s">
        <v>60612</v>
      </c>
      <c r="H2907" t="s">
        <v>60613</v>
      </c>
      <c r="I2907" t="s">
        <v>60614</v>
      </c>
      <c r="J2907" t="s">
        <v>60615</v>
      </c>
      <c r="K2907" t="s">
        <v>60616</v>
      </c>
      <c r="L2907" t="s">
        <v>60617</v>
      </c>
      <c r="M2907" t="s">
        <v>60618</v>
      </c>
      <c r="N2907" t="s">
        <v>60619</v>
      </c>
      <c r="O2907">
        <f>-765.899212256643 -83.2922243560199 -707.523368754913</f>
        <v>-1556.714805367576</v>
      </c>
      <c r="P2907">
        <f>-710.125946900949 -73.6828265988188 -396.102109395399</f>
        <v>-1179.9108828951667</v>
      </c>
      <c r="Q2907" t="s">
        <v>60620</v>
      </c>
      <c r="R2907" t="s">
        <v>60621</v>
      </c>
      <c r="S2907" t="s">
        <v>60622</v>
      </c>
      <c r="T2907" t="s">
        <v>60623</v>
      </c>
      <c r="U2907" t="s">
        <v>60624</v>
      </c>
      <c r="V2907" t="s">
        <v>60625</v>
      </c>
      <c r="W2907" t="s">
        <v>60626</v>
      </c>
      <c r="X2907" t="s">
        <v>60627</v>
      </c>
      <c r="Y2907" t="s">
        <v>60628</v>
      </c>
    </row>
    <row r="2908" spans="1:25" x14ac:dyDescent="0.3">
      <c r="A2908">
        <v>145350</v>
      </c>
      <c r="B2908" t="s">
        <v>60629</v>
      </c>
      <c r="C2908" t="s">
        <v>60630</v>
      </c>
      <c r="D2908" t="s">
        <v>60631</v>
      </c>
      <c r="E2908" t="s">
        <v>60632</v>
      </c>
      <c r="F2908" t="s">
        <v>60633</v>
      </c>
      <c r="G2908" t="s">
        <v>60634</v>
      </c>
      <c r="H2908" t="s">
        <v>60635</v>
      </c>
      <c r="I2908" t="s">
        <v>60636</v>
      </c>
      <c r="J2908" t="s">
        <v>60637</v>
      </c>
      <c r="K2908" t="s">
        <v>60638</v>
      </c>
      <c r="L2908" t="s">
        <v>60639</v>
      </c>
      <c r="M2908" t="s">
        <v>60640</v>
      </c>
      <c r="N2908" t="s">
        <v>60641</v>
      </c>
      <c r="O2908">
        <f>-766.673866884236 -82.7655318194384 -707.353254970109</f>
        <v>-1556.7926536737832</v>
      </c>
      <c r="P2908">
        <f>-709.962825024748 -74.2673097520901 -396.069104523065</f>
        <v>-1180.2992392999031</v>
      </c>
      <c r="Q2908" t="s">
        <v>60642</v>
      </c>
      <c r="R2908" t="s">
        <v>60643</v>
      </c>
      <c r="S2908" t="s">
        <v>60644</v>
      </c>
      <c r="T2908" t="s">
        <v>60645</v>
      </c>
      <c r="U2908" t="s">
        <v>60646</v>
      </c>
      <c r="V2908" t="s">
        <v>60647</v>
      </c>
      <c r="W2908" t="s">
        <v>60648</v>
      </c>
      <c r="X2908" t="s">
        <v>60649</v>
      </c>
      <c r="Y2908" t="s">
        <v>60650</v>
      </c>
    </row>
    <row r="2909" spans="1:25" x14ac:dyDescent="0.3">
      <c r="A2909">
        <v>145400</v>
      </c>
      <c r="B2909" t="s">
        <v>60651</v>
      </c>
      <c r="C2909" t="s">
        <v>60652</v>
      </c>
      <c r="D2909" t="s">
        <v>60653</v>
      </c>
      <c r="E2909" t="s">
        <v>60654</v>
      </c>
      <c r="F2909" t="s">
        <v>60655</v>
      </c>
      <c r="G2909" t="s">
        <v>60656</v>
      </c>
      <c r="H2909" t="s">
        <v>60657</v>
      </c>
      <c r="I2909" t="s">
        <v>60658</v>
      </c>
      <c r="J2909" t="s">
        <v>60659</v>
      </c>
      <c r="K2909" t="s">
        <v>60660</v>
      </c>
      <c r="L2909" t="s">
        <v>60661</v>
      </c>
      <c r="M2909" t="s">
        <v>60662</v>
      </c>
      <c r="N2909" t="s">
        <v>60663</v>
      </c>
      <c r="O2909">
        <f>-767.136424242117 -82.3384305585134 -707.377575118637</f>
        <v>-1556.8524299192673</v>
      </c>
      <c r="P2909">
        <f>-710.021222278587 -74.83299911733 -396.14183559311</f>
        <v>-1180.996056989027</v>
      </c>
      <c r="Q2909" t="s">
        <v>60664</v>
      </c>
      <c r="R2909" t="s">
        <v>60665</v>
      </c>
      <c r="S2909" t="s">
        <v>60666</v>
      </c>
      <c r="T2909" t="s">
        <v>60667</v>
      </c>
      <c r="U2909" t="s">
        <v>60668</v>
      </c>
      <c r="V2909" t="s">
        <v>60669</v>
      </c>
      <c r="W2909" t="s">
        <v>60670</v>
      </c>
      <c r="X2909" t="s">
        <v>60671</v>
      </c>
      <c r="Y2909" t="s">
        <v>60672</v>
      </c>
    </row>
    <row r="2910" spans="1:25" x14ac:dyDescent="0.3">
      <c r="A2910">
        <v>145450</v>
      </c>
      <c r="B2910" t="s">
        <v>60673</v>
      </c>
      <c r="C2910" t="s">
        <v>60674</v>
      </c>
      <c r="D2910" t="s">
        <v>60675</v>
      </c>
      <c r="E2910" t="s">
        <v>60676</v>
      </c>
      <c r="F2910" t="s">
        <v>60677</v>
      </c>
      <c r="G2910" t="s">
        <v>60678</v>
      </c>
      <c r="H2910" t="s">
        <v>60679</v>
      </c>
      <c r="I2910" t="s">
        <v>60680</v>
      </c>
      <c r="J2910" t="s">
        <v>60681</v>
      </c>
      <c r="K2910" t="s">
        <v>60682</v>
      </c>
      <c r="L2910" t="s">
        <v>60683</v>
      </c>
      <c r="M2910" t="s">
        <v>60684</v>
      </c>
      <c r="N2910" t="s">
        <v>60685</v>
      </c>
      <c r="O2910">
        <f>-767.8557561585 -81.7455743881872 -707.335390066553</f>
        <v>-1556.9367206132401</v>
      </c>
      <c r="P2910">
        <f>-710.211834175801 -75.334995470693 -396.172648034198</f>
        <v>-1181.7194776806919</v>
      </c>
      <c r="Q2910" t="s">
        <v>60686</v>
      </c>
      <c r="R2910" t="s">
        <v>60687</v>
      </c>
      <c r="S2910" t="s">
        <v>60688</v>
      </c>
      <c r="T2910" t="s">
        <v>60689</v>
      </c>
      <c r="U2910" t="s">
        <v>60690</v>
      </c>
      <c r="V2910" t="s">
        <v>60691</v>
      </c>
      <c r="W2910" t="s">
        <v>60692</v>
      </c>
      <c r="X2910" t="s">
        <v>60693</v>
      </c>
      <c r="Y2910" t="s">
        <v>60694</v>
      </c>
    </row>
    <row r="2911" spans="1:25" x14ac:dyDescent="0.3">
      <c r="A2911">
        <v>145500</v>
      </c>
      <c r="B2911" t="s">
        <v>60695</v>
      </c>
      <c r="C2911" t="s">
        <v>60696</v>
      </c>
      <c r="D2911" t="s">
        <v>60697</v>
      </c>
      <c r="E2911" t="s">
        <v>60698</v>
      </c>
      <c r="F2911" t="s">
        <v>60699</v>
      </c>
      <c r="G2911" t="s">
        <v>60700</v>
      </c>
      <c r="H2911" t="s">
        <v>60701</v>
      </c>
      <c r="I2911" t="s">
        <v>60702</v>
      </c>
      <c r="J2911" t="s">
        <v>60703</v>
      </c>
      <c r="K2911" t="s">
        <v>60704</v>
      </c>
      <c r="L2911" t="s">
        <v>60705</v>
      </c>
      <c r="M2911" t="s">
        <v>60706</v>
      </c>
      <c r="N2911" t="s">
        <v>60707</v>
      </c>
      <c r="O2911">
        <f>-768.089217274896 -81.432278134409 -707.289551399244</f>
        <v>-1556.811046808549</v>
      </c>
      <c r="P2911">
        <f>-709.910967633541 -74.6803962268004 -396.233474174259</f>
        <v>-1180.8248380346004</v>
      </c>
      <c r="Q2911" t="s">
        <v>60708</v>
      </c>
      <c r="R2911" t="s">
        <v>60709</v>
      </c>
      <c r="S2911" t="s">
        <v>60710</v>
      </c>
      <c r="T2911" t="s">
        <v>60711</v>
      </c>
      <c r="U2911" t="s">
        <v>60712</v>
      </c>
      <c r="V2911" t="s">
        <v>60713</v>
      </c>
      <c r="W2911" t="s">
        <v>60714</v>
      </c>
      <c r="X2911" t="s">
        <v>60715</v>
      </c>
      <c r="Y2911" t="s">
        <v>60716</v>
      </c>
    </row>
    <row r="2912" spans="1:25" x14ac:dyDescent="0.3">
      <c r="A2912">
        <v>145550</v>
      </c>
      <c r="B2912" t="s">
        <v>60717</v>
      </c>
      <c r="C2912" t="s">
        <v>60718</v>
      </c>
      <c r="D2912" t="s">
        <v>60719</v>
      </c>
      <c r="E2912" t="s">
        <v>60720</v>
      </c>
      <c r="F2912" t="s">
        <v>60721</v>
      </c>
      <c r="G2912" t="s">
        <v>60722</v>
      </c>
      <c r="H2912" t="s">
        <v>60723</v>
      </c>
      <c r="I2912" t="s">
        <v>60724</v>
      </c>
      <c r="J2912" t="s">
        <v>60725</v>
      </c>
      <c r="K2912" t="s">
        <v>60726</v>
      </c>
      <c r="L2912" t="s">
        <v>60727</v>
      </c>
      <c r="M2912" t="s">
        <v>60728</v>
      </c>
      <c r="N2912" t="s">
        <v>60729</v>
      </c>
      <c r="O2912">
        <f>-768.56911832141 -81.018140144125 -706.923191157252</f>
        <v>-1556.5104496227868</v>
      </c>
      <c r="P2912">
        <f>-710.114679346185 -74.0350335028377 -395.923950972064</f>
        <v>-1180.0736638210867</v>
      </c>
      <c r="Q2912" t="s">
        <v>60730</v>
      </c>
      <c r="R2912" t="s">
        <v>60731</v>
      </c>
      <c r="S2912" t="s">
        <v>60732</v>
      </c>
      <c r="T2912" t="s">
        <v>60733</v>
      </c>
      <c r="U2912" t="s">
        <v>60734</v>
      </c>
      <c r="V2912" t="s">
        <v>60735</v>
      </c>
      <c r="W2912" t="s">
        <v>60736</v>
      </c>
      <c r="X2912" t="s">
        <v>60737</v>
      </c>
      <c r="Y2912" t="s">
        <v>60738</v>
      </c>
    </row>
    <row r="2913" spans="1:25" x14ac:dyDescent="0.3">
      <c r="A2913">
        <v>145600</v>
      </c>
      <c r="B2913" t="s">
        <v>60739</v>
      </c>
      <c r="C2913" t="s">
        <v>60740</v>
      </c>
      <c r="D2913" t="s">
        <v>60741</v>
      </c>
      <c r="E2913" t="s">
        <v>60742</v>
      </c>
      <c r="F2913" t="s">
        <v>60743</v>
      </c>
      <c r="G2913" t="s">
        <v>60744</v>
      </c>
      <c r="H2913" t="s">
        <v>60745</v>
      </c>
      <c r="I2913" t="s">
        <v>60746</v>
      </c>
      <c r="J2913" t="s">
        <v>60747</v>
      </c>
      <c r="K2913" t="s">
        <v>60748</v>
      </c>
      <c r="L2913" t="s">
        <v>60749</v>
      </c>
      <c r="M2913" t="s">
        <v>60750</v>
      </c>
      <c r="N2913" t="s">
        <v>60751</v>
      </c>
      <c r="O2913">
        <f>-768.550301908405 -80.5572035275134 -706.84651978883</f>
        <v>-1555.9540252247484</v>
      </c>
      <c r="P2913">
        <f>-710.02035208895 -73.4678856790911 -395.863873837366</f>
        <v>-1179.3521116054071</v>
      </c>
      <c r="Q2913" t="s">
        <v>60752</v>
      </c>
      <c r="R2913" t="s">
        <v>60753</v>
      </c>
      <c r="S2913" t="s">
        <v>60754</v>
      </c>
      <c r="T2913" t="s">
        <v>60755</v>
      </c>
      <c r="U2913" t="s">
        <v>60756</v>
      </c>
      <c r="V2913" t="s">
        <v>60757</v>
      </c>
      <c r="W2913" t="s">
        <v>60758</v>
      </c>
      <c r="X2913" t="s">
        <v>60759</v>
      </c>
      <c r="Y2913" t="s">
        <v>60760</v>
      </c>
    </row>
    <row r="2914" spans="1:25" x14ac:dyDescent="0.3">
      <c r="A2914">
        <v>145650</v>
      </c>
      <c r="B2914" t="s">
        <v>60761</v>
      </c>
      <c r="C2914" t="s">
        <v>60762</v>
      </c>
      <c r="D2914" t="s">
        <v>60763</v>
      </c>
      <c r="E2914" t="s">
        <v>60764</v>
      </c>
      <c r="F2914" t="s">
        <v>60765</v>
      </c>
      <c r="G2914" t="s">
        <v>60766</v>
      </c>
      <c r="H2914" t="s">
        <v>60767</v>
      </c>
      <c r="I2914" t="s">
        <v>60768</v>
      </c>
      <c r="J2914" t="s">
        <v>60769</v>
      </c>
      <c r="K2914" t="s">
        <v>60770</v>
      </c>
      <c r="L2914" t="s">
        <v>60771</v>
      </c>
      <c r="M2914" t="s">
        <v>60772</v>
      </c>
      <c r="N2914" t="s">
        <v>60773</v>
      </c>
      <c r="O2914">
        <f>-768.427118780175 -79.7823448853944 -706.474484072383</f>
        <v>-1554.6839477379524</v>
      </c>
      <c r="P2914">
        <f>-710.258488442149 -72.6107832635025 -395.425994590771</f>
        <v>-1178.2952662964226</v>
      </c>
      <c r="Q2914" t="s">
        <v>60774</v>
      </c>
      <c r="R2914" t="s">
        <v>60775</v>
      </c>
      <c r="S2914" t="s">
        <v>60776</v>
      </c>
      <c r="T2914" t="s">
        <v>60777</v>
      </c>
      <c r="U2914" t="s">
        <v>60778</v>
      </c>
      <c r="V2914" t="s">
        <v>60779</v>
      </c>
      <c r="W2914" t="s">
        <v>60780</v>
      </c>
      <c r="X2914" t="s">
        <v>60781</v>
      </c>
      <c r="Y2914" t="s">
        <v>60782</v>
      </c>
    </row>
    <row r="2915" spans="1:25" x14ac:dyDescent="0.3">
      <c r="A2915">
        <v>145700</v>
      </c>
      <c r="B2915" t="s">
        <v>60783</v>
      </c>
      <c r="C2915" t="s">
        <v>60784</v>
      </c>
      <c r="D2915" t="s">
        <v>60785</v>
      </c>
      <c r="E2915" t="s">
        <v>60786</v>
      </c>
      <c r="F2915" t="s">
        <v>60787</v>
      </c>
      <c r="G2915" t="s">
        <v>60788</v>
      </c>
      <c r="H2915" t="s">
        <v>60789</v>
      </c>
      <c r="I2915" t="s">
        <v>60790</v>
      </c>
      <c r="J2915" t="s">
        <v>60791</v>
      </c>
      <c r="K2915" t="s">
        <v>60792</v>
      </c>
      <c r="L2915" t="s">
        <v>60793</v>
      </c>
      <c r="M2915" t="s">
        <v>60794</v>
      </c>
      <c r="N2915" t="s">
        <v>60795</v>
      </c>
      <c r="O2915">
        <f>-768.534827155584 -79.1342480746985 -706.408346005992</f>
        <v>-1554.0774212362744</v>
      </c>
      <c r="P2915">
        <f>-710.113119420791 -72.5285388991624 -395.394717027162</f>
        <v>-1178.0363753471154</v>
      </c>
      <c r="Q2915" t="s">
        <v>60796</v>
      </c>
      <c r="R2915" t="s">
        <v>60797</v>
      </c>
      <c r="S2915" t="s">
        <v>60798</v>
      </c>
      <c r="T2915" t="s">
        <v>60799</v>
      </c>
      <c r="U2915" t="s">
        <v>60800</v>
      </c>
      <c r="V2915" t="s">
        <v>60801</v>
      </c>
      <c r="W2915" t="s">
        <v>60802</v>
      </c>
      <c r="X2915" t="s">
        <v>60803</v>
      </c>
      <c r="Y2915" t="s">
        <v>60804</v>
      </c>
    </row>
    <row r="2916" spans="1:25" x14ac:dyDescent="0.3">
      <c r="A2916">
        <v>145750</v>
      </c>
      <c r="B2916" t="s">
        <v>60805</v>
      </c>
      <c r="C2916" t="s">
        <v>60806</v>
      </c>
      <c r="D2916" t="s">
        <v>60807</v>
      </c>
      <c r="E2916" t="s">
        <v>60808</v>
      </c>
      <c r="F2916" t="s">
        <v>60809</v>
      </c>
      <c r="G2916" t="s">
        <v>60810</v>
      </c>
      <c r="H2916" t="s">
        <v>60811</v>
      </c>
      <c r="I2916" t="s">
        <v>60812</v>
      </c>
      <c r="J2916" t="s">
        <v>60813</v>
      </c>
      <c r="K2916" t="s">
        <v>60814</v>
      </c>
      <c r="L2916" t="s">
        <v>60815</v>
      </c>
      <c r="M2916" t="s">
        <v>60816</v>
      </c>
      <c r="N2916" t="s">
        <v>60817</v>
      </c>
      <c r="O2916">
        <f>-768.95239441554 -77.8889935806046 -706.079848074443</f>
        <v>-1552.9212360705876</v>
      </c>
      <c r="P2916">
        <f>-709.822733370269 -71.0640964566503 -395.204682288391</f>
        <v>-1176.0915121153103</v>
      </c>
      <c r="Q2916" t="s">
        <v>60818</v>
      </c>
      <c r="R2916" t="s">
        <v>60819</v>
      </c>
      <c r="S2916" t="s">
        <v>60820</v>
      </c>
      <c r="T2916" t="s">
        <v>60821</v>
      </c>
      <c r="U2916" t="s">
        <v>60822</v>
      </c>
      <c r="V2916" t="s">
        <v>60823</v>
      </c>
      <c r="W2916" t="s">
        <v>60824</v>
      </c>
      <c r="X2916" t="s">
        <v>60825</v>
      </c>
      <c r="Y2916" t="s">
        <v>60826</v>
      </c>
    </row>
    <row r="2917" spans="1:25" x14ac:dyDescent="0.3">
      <c r="A2917">
        <v>145800</v>
      </c>
      <c r="B2917" t="s">
        <v>60827</v>
      </c>
      <c r="C2917" t="s">
        <v>60828</v>
      </c>
      <c r="D2917" t="s">
        <v>60829</v>
      </c>
      <c r="E2917" t="s">
        <v>60830</v>
      </c>
      <c r="F2917" t="s">
        <v>60831</v>
      </c>
      <c r="G2917" t="s">
        <v>60832</v>
      </c>
      <c r="H2917" t="s">
        <v>60833</v>
      </c>
      <c r="I2917" t="s">
        <v>60834</v>
      </c>
      <c r="J2917" t="s">
        <v>60835</v>
      </c>
      <c r="K2917" t="s">
        <v>60836</v>
      </c>
      <c r="L2917" t="s">
        <v>60837</v>
      </c>
      <c r="M2917" t="s">
        <v>60838</v>
      </c>
      <c r="N2917" t="s">
        <v>60839</v>
      </c>
      <c r="O2917">
        <f>-768.907536699416 -77.3096084192548 -705.986451809286</f>
        <v>-1552.2035969279568</v>
      </c>
      <c r="P2917">
        <f>-709.587466687253 -70.8300759413189 -395.140420104773</f>
        <v>-1175.557962733345</v>
      </c>
      <c r="Q2917" t="s">
        <v>60840</v>
      </c>
      <c r="R2917" t="s">
        <v>60841</v>
      </c>
      <c r="S2917" t="s">
        <v>60842</v>
      </c>
      <c r="T2917" t="s">
        <v>60843</v>
      </c>
      <c r="U2917" t="s">
        <v>60844</v>
      </c>
      <c r="V2917" t="s">
        <v>60845</v>
      </c>
      <c r="W2917" t="s">
        <v>60846</v>
      </c>
      <c r="X2917" t="s">
        <v>60847</v>
      </c>
      <c r="Y2917" t="s">
        <v>60848</v>
      </c>
    </row>
    <row r="2918" spans="1:25" x14ac:dyDescent="0.3">
      <c r="A2918">
        <v>145850</v>
      </c>
      <c r="B2918" t="s">
        <v>60849</v>
      </c>
      <c r="C2918" t="s">
        <v>60850</v>
      </c>
      <c r="D2918" t="s">
        <v>60851</v>
      </c>
      <c r="E2918" t="s">
        <v>60852</v>
      </c>
      <c r="F2918" t="s">
        <v>60853</v>
      </c>
      <c r="G2918" t="s">
        <v>60854</v>
      </c>
      <c r="H2918" t="s">
        <v>60855</v>
      </c>
      <c r="I2918" t="s">
        <v>60856</v>
      </c>
      <c r="J2918" t="s">
        <v>60857</v>
      </c>
      <c r="K2918" t="s">
        <v>60858</v>
      </c>
      <c r="L2918" t="s">
        <v>60859</v>
      </c>
      <c r="M2918" t="s">
        <v>60860</v>
      </c>
      <c r="N2918" t="s">
        <v>60861</v>
      </c>
      <c r="O2918">
        <f>-768.972775999899 -76.0729309243663 -705.811419307351</f>
        <v>-1550.8571262316163</v>
      </c>
      <c r="P2918">
        <f>-709.237457375751 -69.1343002292981 -395.054639221547</f>
        <v>-1173.4263968265961</v>
      </c>
      <c r="Q2918" t="s">
        <v>60862</v>
      </c>
      <c r="R2918" t="s">
        <v>60863</v>
      </c>
      <c r="S2918" t="s">
        <v>60864</v>
      </c>
      <c r="T2918" t="s">
        <v>60865</v>
      </c>
      <c r="U2918" t="s">
        <v>60866</v>
      </c>
      <c r="V2918" t="s">
        <v>60867</v>
      </c>
      <c r="W2918" t="s">
        <v>60868</v>
      </c>
      <c r="X2918" t="s">
        <v>60869</v>
      </c>
      <c r="Y2918" t="s">
        <v>60870</v>
      </c>
    </row>
    <row r="2919" spans="1:25" x14ac:dyDescent="0.3">
      <c r="A2919">
        <v>145900</v>
      </c>
      <c r="B2919" t="s">
        <v>60871</v>
      </c>
      <c r="C2919" t="s">
        <v>60872</v>
      </c>
      <c r="D2919" t="s">
        <v>60873</v>
      </c>
      <c r="E2919" t="s">
        <v>60874</v>
      </c>
      <c r="F2919" t="s">
        <v>60875</v>
      </c>
      <c r="G2919" t="s">
        <v>60876</v>
      </c>
      <c r="H2919" t="s">
        <v>60877</v>
      </c>
      <c r="I2919" t="s">
        <v>60878</v>
      </c>
      <c r="J2919" t="s">
        <v>60879</v>
      </c>
      <c r="K2919" t="s">
        <v>60880</v>
      </c>
      <c r="L2919" t="s">
        <v>60881</v>
      </c>
      <c r="M2919" t="s">
        <v>60882</v>
      </c>
      <c r="N2919" t="s">
        <v>60883</v>
      </c>
      <c r="O2919">
        <f>-769.074279073908 -75.6753023363224 -705.705417225506</f>
        <v>-1550.4549986357365</v>
      </c>
      <c r="P2919">
        <f>-709.418525717824 -68.2876529390328 -394.943867266292</f>
        <v>-1172.6500459231488</v>
      </c>
      <c r="Q2919" t="s">
        <v>60884</v>
      </c>
      <c r="R2919" t="s">
        <v>60885</v>
      </c>
      <c r="S2919" t="s">
        <v>60886</v>
      </c>
      <c r="T2919" t="s">
        <v>60887</v>
      </c>
      <c r="U2919" t="s">
        <v>60888</v>
      </c>
      <c r="V2919" t="s">
        <v>60889</v>
      </c>
      <c r="W2919" t="s">
        <v>60890</v>
      </c>
      <c r="X2919" t="s">
        <v>60891</v>
      </c>
      <c r="Y2919" t="s">
        <v>60892</v>
      </c>
    </row>
    <row r="2920" spans="1:25" x14ac:dyDescent="0.3">
      <c r="A2920">
        <v>145950</v>
      </c>
      <c r="B2920" t="s">
        <v>60893</v>
      </c>
      <c r="C2920" t="s">
        <v>60894</v>
      </c>
      <c r="D2920" t="s">
        <v>60895</v>
      </c>
      <c r="E2920" t="s">
        <v>60896</v>
      </c>
      <c r="F2920" t="s">
        <v>60897</v>
      </c>
      <c r="G2920" t="s">
        <v>60898</v>
      </c>
      <c r="H2920" t="s">
        <v>60899</v>
      </c>
      <c r="I2920" t="s">
        <v>60900</v>
      </c>
      <c r="J2920" t="s">
        <v>60901</v>
      </c>
      <c r="K2920" t="s">
        <v>60902</v>
      </c>
      <c r="L2920" t="s">
        <v>60903</v>
      </c>
      <c r="M2920" t="s">
        <v>60904</v>
      </c>
      <c r="N2920" t="s">
        <v>60905</v>
      </c>
      <c r="O2920">
        <f>-769.186231798725 -74.4156962194747 -705.765488359214</f>
        <v>-1549.3674163774137</v>
      </c>
      <c r="P2920">
        <f>-710.172074846276 -67.4541119667485 -394.871662777867</f>
        <v>-1172.4978495908915</v>
      </c>
      <c r="Q2920" t="s">
        <v>60906</v>
      </c>
      <c r="R2920" t="s">
        <v>60907</v>
      </c>
      <c r="S2920" t="s">
        <v>60908</v>
      </c>
      <c r="T2920" t="s">
        <v>60909</v>
      </c>
      <c r="U2920" t="s">
        <v>60910</v>
      </c>
      <c r="V2920" t="s">
        <v>60911</v>
      </c>
      <c r="W2920" t="s">
        <v>60912</v>
      </c>
      <c r="X2920" t="s">
        <v>60913</v>
      </c>
      <c r="Y2920" t="s">
        <v>60914</v>
      </c>
    </row>
    <row r="2921" spans="1:25" x14ac:dyDescent="0.3">
      <c r="A2921">
        <v>146000</v>
      </c>
      <c r="B2921" t="s">
        <v>60915</v>
      </c>
      <c r="C2921" t="s">
        <v>60916</v>
      </c>
      <c r="D2921" t="s">
        <v>60917</v>
      </c>
      <c r="E2921" t="s">
        <v>60918</v>
      </c>
      <c r="F2921" t="s">
        <v>60919</v>
      </c>
      <c r="G2921" t="s">
        <v>60920</v>
      </c>
      <c r="H2921" t="s">
        <v>60921</v>
      </c>
      <c r="I2921" t="s">
        <v>60922</v>
      </c>
      <c r="J2921" t="s">
        <v>60923</v>
      </c>
      <c r="K2921" t="s">
        <v>60924</v>
      </c>
      <c r="L2921" t="s">
        <v>60925</v>
      </c>
      <c r="M2921" t="s">
        <v>60926</v>
      </c>
      <c r="N2921" t="s">
        <v>60927</v>
      </c>
      <c r="O2921">
        <f>-769.441339992074 -73.6063105761773 -705.802113360322</f>
        <v>-1548.8497639285733</v>
      </c>
      <c r="P2921">
        <f>-710.584017840481 -66.3172698421736 -394.885876560994</f>
        <v>-1171.7871642436485</v>
      </c>
      <c r="Q2921" t="s">
        <v>60928</v>
      </c>
      <c r="R2921" t="s">
        <v>60929</v>
      </c>
      <c r="S2921" t="s">
        <v>60930</v>
      </c>
      <c r="T2921" t="s">
        <v>60931</v>
      </c>
      <c r="U2921" t="s">
        <v>60932</v>
      </c>
      <c r="V2921" t="s">
        <v>60933</v>
      </c>
      <c r="W2921" t="s">
        <v>60934</v>
      </c>
      <c r="X2921" t="s">
        <v>60935</v>
      </c>
      <c r="Y2921" t="s">
        <v>60936</v>
      </c>
    </row>
    <row r="2922" spans="1:25" x14ac:dyDescent="0.3">
      <c r="A2922">
        <v>146050</v>
      </c>
      <c r="B2922" t="s">
        <v>60937</v>
      </c>
      <c r="C2922" t="s">
        <v>60938</v>
      </c>
      <c r="D2922" t="s">
        <v>60939</v>
      </c>
      <c r="E2922" t="s">
        <v>60940</v>
      </c>
      <c r="F2922" t="s">
        <v>60941</v>
      </c>
      <c r="G2922" t="s">
        <v>60942</v>
      </c>
      <c r="H2922" t="s">
        <v>60943</v>
      </c>
      <c r="I2922" t="s">
        <v>60944</v>
      </c>
      <c r="J2922" t="s">
        <v>60945</v>
      </c>
      <c r="K2922" t="s">
        <v>60946</v>
      </c>
      <c r="L2922" t="s">
        <v>60947</v>
      </c>
      <c r="M2922" t="s">
        <v>60948</v>
      </c>
      <c r="N2922" t="s">
        <v>60949</v>
      </c>
      <c r="O2922">
        <f>-770.112590946179 -72.5742241466928 -705.676540927253</f>
        <v>-1548.3633560201247</v>
      </c>
      <c r="P2922">
        <f>-711.83736289387 -64.042616135416 -394.68244987253</f>
        <v>-1170.562428901816</v>
      </c>
      <c r="Q2922" t="s">
        <v>60950</v>
      </c>
      <c r="R2922" t="s">
        <v>60951</v>
      </c>
      <c r="S2922" t="s">
        <v>60952</v>
      </c>
      <c r="T2922" t="s">
        <v>60953</v>
      </c>
      <c r="U2922" t="s">
        <v>60954</v>
      </c>
      <c r="V2922" t="s">
        <v>60955</v>
      </c>
      <c r="W2922" t="s">
        <v>60956</v>
      </c>
      <c r="X2922" t="s">
        <v>60957</v>
      </c>
      <c r="Y2922" t="s">
        <v>60958</v>
      </c>
    </row>
    <row r="2923" spans="1:25" x14ac:dyDescent="0.3">
      <c r="A2923">
        <v>146100</v>
      </c>
      <c r="B2923" t="s">
        <v>60959</v>
      </c>
      <c r="C2923" t="s">
        <v>60960</v>
      </c>
      <c r="D2923" t="s">
        <v>60961</v>
      </c>
      <c r="E2923" t="s">
        <v>60962</v>
      </c>
      <c r="F2923" t="s">
        <v>60963</v>
      </c>
      <c r="G2923" t="s">
        <v>60964</v>
      </c>
      <c r="H2923" t="s">
        <v>60965</v>
      </c>
      <c r="I2923" t="s">
        <v>60966</v>
      </c>
      <c r="J2923" t="s">
        <v>60967</v>
      </c>
      <c r="K2923" t="s">
        <v>60968</v>
      </c>
      <c r="L2923" t="s">
        <v>60969</v>
      </c>
      <c r="M2923" t="s">
        <v>60970</v>
      </c>
      <c r="N2923" t="s">
        <v>60971</v>
      </c>
      <c r="O2923">
        <f>-770.062389875287 -72.573269297093 -705.657303227747</f>
        <v>-1548.292962400127</v>
      </c>
      <c r="P2923">
        <f>-712.283216941178 -63.4350654399111 -394.58786714976</f>
        <v>-1170.3061495308491</v>
      </c>
      <c r="Q2923" t="s">
        <v>60972</v>
      </c>
      <c r="R2923" t="s">
        <v>60973</v>
      </c>
      <c r="S2923" t="s">
        <v>60974</v>
      </c>
      <c r="T2923" t="s">
        <v>60975</v>
      </c>
      <c r="U2923" t="s">
        <v>60976</v>
      </c>
      <c r="V2923" t="s">
        <v>60977</v>
      </c>
      <c r="W2923" t="s">
        <v>60978</v>
      </c>
      <c r="X2923" t="s">
        <v>60979</v>
      </c>
      <c r="Y2923" t="s">
        <v>60980</v>
      </c>
    </row>
    <row r="2924" spans="1:25" x14ac:dyDescent="0.3">
      <c r="A2924">
        <v>146150</v>
      </c>
      <c r="B2924" t="s">
        <v>60981</v>
      </c>
      <c r="C2924" t="s">
        <v>60982</v>
      </c>
      <c r="D2924" t="s">
        <v>60983</v>
      </c>
      <c r="E2924" t="s">
        <v>60984</v>
      </c>
      <c r="F2924" t="s">
        <v>60985</v>
      </c>
      <c r="G2924" t="s">
        <v>60986</v>
      </c>
      <c r="H2924" t="s">
        <v>60987</v>
      </c>
      <c r="I2924" t="s">
        <v>60988</v>
      </c>
      <c r="J2924" t="s">
        <v>60989</v>
      </c>
      <c r="K2924" t="s">
        <v>60990</v>
      </c>
      <c r="L2924" t="s">
        <v>60991</v>
      </c>
      <c r="M2924" t="s">
        <v>60992</v>
      </c>
      <c r="N2924" t="s">
        <v>60993</v>
      </c>
      <c r="O2924">
        <f>-769.39097705055 -73.1401144411323 -705.634548108405</f>
        <v>-1548.1656396000872</v>
      </c>
      <c r="P2924">
        <f>-712.541671386023 -62.3296592578245 -394.44723037012</f>
        <v>-1169.3185610139676</v>
      </c>
      <c r="Q2924" t="s">
        <v>60994</v>
      </c>
      <c r="R2924" t="s">
        <v>60995</v>
      </c>
      <c r="S2924" t="s">
        <v>60996</v>
      </c>
      <c r="T2924" t="s">
        <v>60997</v>
      </c>
      <c r="U2924" t="s">
        <v>60998</v>
      </c>
      <c r="V2924" t="s">
        <v>60999</v>
      </c>
      <c r="W2924" t="s">
        <v>61000</v>
      </c>
      <c r="X2924" t="s">
        <v>61001</v>
      </c>
      <c r="Y2924" t="s">
        <v>61002</v>
      </c>
    </row>
    <row r="2925" spans="1:25" x14ac:dyDescent="0.3">
      <c r="A2925">
        <v>146200</v>
      </c>
      <c r="B2925" t="s">
        <v>61003</v>
      </c>
      <c r="C2925" t="s">
        <v>61004</v>
      </c>
      <c r="D2925" t="s">
        <v>61005</v>
      </c>
      <c r="E2925" t="s">
        <v>61006</v>
      </c>
      <c r="F2925" t="s">
        <v>61007</v>
      </c>
      <c r="G2925" t="s">
        <v>61008</v>
      </c>
      <c r="H2925" t="s">
        <v>61009</v>
      </c>
      <c r="I2925" t="s">
        <v>61010</v>
      </c>
      <c r="J2925" t="s">
        <v>61011</v>
      </c>
      <c r="K2925" t="s">
        <v>61012</v>
      </c>
      <c r="L2925" t="s">
        <v>61013</v>
      </c>
      <c r="M2925" t="s">
        <v>61014</v>
      </c>
      <c r="N2925" t="s">
        <v>61015</v>
      </c>
      <c r="O2925">
        <f>-768.931325448609 -73.7207870010411 -705.582918628839</f>
        <v>-1548.2350310784891</v>
      </c>
      <c r="P2925">
        <f>-712.720443427585 -61.9138801783477 -394.316123535844</f>
        <v>-1168.9504471417767</v>
      </c>
      <c r="Q2925" t="s">
        <v>61016</v>
      </c>
      <c r="R2925" t="s">
        <v>61017</v>
      </c>
      <c r="S2925" t="s">
        <v>61018</v>
      </c>
      <c r="T2925" t="s">
        <v>61019</v>
      </c>
      <c r="U2925" t="s">
        <v>61020</v>
      </c>
      <c r="V2925" t="s">
        <v>61021</v>
      </c>
      <c r="W2925" t="s">
        <v>61022</v>
      </c>
      <c r="X2925" t="s">
        <v>61023</v>
      </c>
      <c r="Y2925" t="s">
        <v>61024</v>
      </c>
    </row>
    <row r="2926" spans="1:25" x14ac:dyDescent="0.3">
      <c r="A2926">
        <v>146250</v>
      </c>
      <c r="B2926" t="s">
        <v>61025</v>
      </c>
      <c r="C2926" t="s">
        <v>61026</v>
      </c>
      <c r="D2926" t="s">
        <v>61027</v>
      </c>
      <c r="E2926" t="s">
        <v>61028</v>
      </c>
      <c r="F2926" t="s">
        <v>61029</v>
      </c>
      <c r="G2926" t="s">
        <v>61030</v>
      </c>
      <c r="H2926" t="s">
        <v>61031</v>
      </c>
      <c r="I2926" t="s">
        <v>61032</v>
      </c>
      <c r="J2926" t="s">
        <v>61033</v>
      </c>
      <c r="K2926" t="s">
        <v>61034</v>
      </c>
      <c r="L2926" t="s">
        <v>61035</v>
      </c>
      <c r="M2926" t="s">
        <v>61036</v>
      </c>
      <c r="N2926" t="s">
        <v>61037</v>
      </c>
      <c r="O2926">
        <f>-768.768955127569 -74.7612134109945 -705.136047814675</f>
        <v>-1548.6662163532385</v>
      </c>
      <c r="P2926">
        <f>-712.631217848752 -61.29295076943 -393.923382136779</f>
        <v>-1167.847550754961</v>
      </c>
      <c r="Q2926" t="s">
        <v>61038</v>
      </c>
      <c r="R2926" t="s">
        <v>61039</v>
      </c>
      <c r="S2926" t="s">
        <v>61040</v>
      </c>
      <c r="T2926" t="s">
        <v>61041</v>
      </c>
      <c r="U2926" t="s">
        <v>61042</v>
      </c>
      <c r="V2926" t="s">
        <v>61043</v>
      </c>
      <c r="W2926" t="s">
        <v>61044</v>
      </c>
      <c r="X2926" t="s">
        <v>61045</v>
      </c>
      <c r="Y2926" t="s">
        <v>61046</v>
      </c>
    </row>
    <row r="2927" spans="1:25" x14ac:dyDescent="0.3">
      <c r="A2927">
        <v>146300</v>
      </c>
      <c r="B2927" t="s">
        <v>61047</v>
      </c>
      <c r="C2927" t="s">
        <v>61048</v>
      </c>
      <c r="D2927" t="s">
        <v>61049</v>
      </c>
      <c r="E2927" t="s">
        <v>61050</v>
      </c>
      <c r="F2927" t="s">
        <v>61051</v>
      </c>
      <c r="G2927" t="s">
        <v>61052</v>
      </c>
      <c r="H2927" t="s">
        <v>61053</v>
      </c>
      <c r="I2927" t="s">
        <v>61054</v>
      </c>
      <c r="J2927" t="s">
        <v>61055</v>
      </c>
      <c r="K2927" t="s">
        <v>61056</v>
      </c>
      <c r="L2927" t="s">
        <v>61057</v>
      </c>
      <c r="M2927" t="s">
        <v>61058</v>
      </c>
      <c r="N2927" t="s">
        <v>61059</v>
      </c>
      <c r="O2927">
        <f>-768.45018902518 -75.1880294497773 -704.844142895616</f>
        <v>-1548.4823613705732</v>
      </c>
      <c r="P2927">
        <f>-712.771327796932 -61.7157609122737 -393.549074193425</f>
        <v>-1168.0361629026306</v>
      </c>
      <c r="Q2927" t="s">
        <v>61060</v>
      </c>
      <c r="R2927" t="s">
        <v>61061</v>
      </c>
      <c r="S2927" t="s">
        <v>61062</v>
      </c>
      <c r="T2927" t="s">
        <v>61063</v>
      </c>
      <c r="U2927" t="s">
        <v>61064</v>
      </c>
      <c r="V2927" t="s">
        <v>61065</v>
      </c>
      <c r="W2927" t="s">
        <v>61066</v>
      </c>
      <c r="X2927" t="s">
        <v>61067</v>
      </c>
      <c r="Y2927" t="s">
        <v>61068</v>
      </c>
    </row>
    <row r="2928" spans="1:25" x14ac:dyDescent="0.3">
      <c r="A2928">
        <v>146350</v>
      </c>
      <c r="B2928" t="s">
        <v>61069</v>
      </c>
      <c r="C2928" t="s">
        <v>61070</v>
      </c>
      <c r="D2928" t="s">
        <v>61071</v>
      </c>
      <c r="E2928" t="s">
        <v>61072</v>
      </c>
      <c r="F2928" t="s">
        <v>61073</v>
      </c>
      <c r="G2928" t="s">
        <v>61074</v>
      </c>
      <c r="H2928" t="s">
        <v>61075</v>
      </c>
      <c r="I2928" t="s">
        <v>61076</v>
      </c>
      <c r="J2928" t="s">
        <v>61077</v>
      </c>
      <c r="K2928" t="s">
        <v>61078</v>
      </c>
      <c r="L2928" t="s">
        <v>61079</v>
      </c>
      <c r="M2928" t="s">
        <v>61080</v>
      </c>
      <c r="N2928" t="s">
        <v>61081</v>
      </c>
      <c r="O2928">
        <f>-767.800330659828 -75.0997987642215 -704.826485420031</f>
        <v>-1547.7266148440804</v>
      </c>
      <c r="P2928">
        <f>-712.304933252259 -63.0095142626874 -393.442029750996</f>
        <v>-1168.7564772659425</v>
      </c>
      <c r="Q2928" t="s">
        <v>61082</v>
      </c>
      <c r="R2928" t="s">
        <v>61083</v>
      </c>
      <c r="S2928" t="s">
        <v>61084</v>
      </c>
      <c r="T2928" t="s">
        <v>61085</v>
      </c>
      <c r="U2928" t="s">
        <v>61086</v>
      </c>
      <c r="V2928" t="s">
        <v>61087</v>
      </c>
      <c r="W2928" t="s">
        <v>61088</v>
      </c>
      <c r="X2928" t="s">
        <v>61089</v>
      </c>
      <c r="Y2928" t="s">
        <v>61090</v>
      </c>
    </row>
    <row r="2929" spans="1:25" x14ac:dyDescent="0.3">
      <c r="A2929">
        <v>146400</v>
      </c>
      <c r="B2929" t="s">
        <v>61091</v>
      </c>
      <c r="C2929" t="s">
        <v>61092</v>
      </c>
      <c r="D2929" t="s">
        <v>61093</v>
      </c>
      <c r="E2929" t="s">
        <v>61094</v>
      </c>
      <c r="F2929" t="s">
        <v>61095</v>
      </c>
      <c r="G2929" t="s">
        <v>61096</v>
      </c>
      <c r="H2929" t="s">
        <v>61097</v>
      </c>
      <c r="I2929" t="s">
        <v>61098</v>
      </c>
      <c r="J2929" t="s">
        <v>61099</v>
      </c>
      <c r="K2929" t="s">
        <v>61100</v>
      </c>
      <c r="L2929" t="s">
        <v>61101</v>
      </c>
      <c r="M2929" t="s">
        <v>61102</v>
      </c>
      <c r="N2929" t="s">
        <v>61103</v>
      </c>
      <c r="O2929">
        <f>-768.069855961303 -74.7128441684517 -705.079551133464</f>
        <v>-1547.8622512632187</v>
      </c>
      <c r="P2929">
        <f>-711.610602138741 -63.3724100718264 -393.84022588475</f>
        <v>-1168.8232380953173</v>
      </c>
      <c r="Q2929" t="s">
        <v>61104</v>
      </c>
      <c r="R2929" t="s">
        <v>61105</v>
      </c>
      <c r="S2929" t="s">
        <v>61106</v>
      </c>
      <c r="T2929" t="s">
        <v>61107</v>
      </c>
      <c r="U2929" t="s">
        <v>61108</v>
      </c>
      <c r="V2929" t="s">
        <v>61109</v>
      </c>
      <c r="W2929" t="s">
        <v>61110</v>
      </c>
      <c r="X2929" t="s">
        <v>61111</v>
      </c>
      <c r="Y2929" t="s">
        <v>61112</v>
      </c>
    </row>
    <row r="2930" spans="1:25" x14ac:dyDescent="0.3">
      <c r="A2930">
        <v>146450</v>
      </c>
      <c r="B2930" t="s">
        <v>61113</v>
      </c>
      <c r="C2930" t="s">
        <v>61114</v>
      </c>
      <c r="D2930" t="s">
        <v>61115</v>
      </c>
      <c r="E2930" t="s">
        <v>61116</v>
      </c>
      <c r="F2930" t="s">
        <v>61117</v>
      </c>
      <c r="G2930" t="s">
        <v>61118</v>
      </c>
      <c r="H2930" t="s">
        <v>61119</v>
      </c>
      <c r="I2930" t="s">
        <v>61120</v>
      </c>
      <c r="J2930" t="s">
        <v>61121</v>
      </c>
      <c r="K2930" t="s">
        <v>61122</v>
      </c>
      <c r="L2930" t="s">
        <v>61123</v>
      </c>
      <c r="M2930" t="s">
        <v>61124</v>
      </c>
      <c r="N2930" t="s">
        <v>61125</v>
      </c>
      <c r="O2930">
        <f>-768.365267766326 -74.3641344454411 -705.537753549825</f>
        <v>-1548.2671557615922</v>
      </c>
      <c r="P2930">
        <f>-709.825217795773 -63.2599336347262 -394.674610013646</f>
        <v>-1167.7597614441452</v>
      </c>
      <c r="Q2930" t="s">
        <v>61126</v>
      </c>
      <c r="R2930" t="s">
        <v>61127</v>
      </c>
      <c r="S2930" t="s">
        <v>61128</v>
      </c>
      <c r="T2930" t="s">
        <v>61129</v>
      </c>
      <c r="U2930" t="s">
        <v>61130</v>
      </c>
      <c r="V2930" t="s">
        <v>61131</v>
      </c>
      <c r="W2930" t="s">
        <v>61132</v>
      </c>
      <c r="X2930" t="s">
        <v>61133</v>
      </c>
      <c r="Y2930" t="s">
        <v>61134</v>
      </c>
    </row>
    <row r="2931" spans="1:25" x14ac:dyDescent="0.3">
      <c r="A2931">
        <v>146500</v>
      </c>
      <c r="B2931" t="s">
        <v>61135</v>
      </c>
      <c r="C2931" t="s">
        <v>61136</v>
      </c>
      <c r="D2931" t="s">
        <v>61137</v>
      </c>
      <c r="E2931" t="s">
        <v>61138</v>
      </c>
      <c r="F2931" t="s">
        <v>61139</v>
      </c>
      <c r="G2931" t="s">
        <v>61140</v>
      </c>
      <c r="H2931" t="s">
        <v>61141</v>
      </c>
      <c r="I2931" t="s">
        <v>61142</v>
      </c>
      <c r="J2931" t="s">
        <v>61143</v>
      </c>
      <c r="K2931" t="s">
        <v>61144</v>
      </c>
      <c r="L2931" t="s">
        <v>61145</v>
      </c>
      <c r="M2931" t="s">
        <v>61146</v>
      </c>
      <c r="N2931" t="s">
        <v>61147</v>
      </c>
      <c r="O2931">
        <f>-768.189231376895 -74.5652890176682 -705.726297787372</f>
        <v>-1548.4808181819353</v>
      </c>
      <c r="P2931">
        <f>-709.508177030306 -63.8270720944533 -394.876863087533</f>
        <v>-1168.2121122122924</v>
      </c>
      <c r="Q2931" t="s">
        <v>61148</v>
      </c>
      <c r="R2931" t="s">
        <v>61149</v>
      </c>
      <c r="S2931" t="s">
        <v>61150</v>
      </c>
      <c r="T2931" t="s">
        <v>61151</v>
      </c>
      <c r="U2931" t="s">
        <v>61152</v>
      </c>
      <c r="V2931" t="s">
        <v>61153</v>
      </c>
      <c r="W2931" t="s">
        <v>61154</v>
      </c>
      <c r="X2931" t="s">
        <v>61155</v>
      </c>
      <c r="Y2931" t="s">
        <v>61156</v>
      </c>
    </row>
    <row r="2932" spans="1:25" x14ac:dyDescent="0.3">
      <c r="A2932">
        <v>146550</v>
      </c>
      <c r="B2932" t="s">
        <v>61157</v>
      </c>
      <c r="C2932" t="s">
        <v>61158</v>
      </c>
      <c r="D2932" t="s">
        <v>61159</v>
      </c>
      <c r="E2932" t="s">
        <v>61160</v>
      </c>
      <c r="F2932" t="s">
        <v>61161</v>
      </c>
      <c r="G2932" t="s">
        <v>61162</v>
      </c>
      <c r="H2932" t="s">
        <v>61163</v>
      </c>
      <c r="I2932" t="s">
        <v>61164</v>
      </c>
      <c r="J2932" t="s">
        <v>61165</v>
      </c>
      <c r="K2932" t="s">
        <v>61166</v>
      </c>
      <c r="L2932" t="s">
        <v>61167</v>
      </c>
      <c r="M2932" t="s">
        <v>61168</v>
      </c>
      <c r="N2932" t="s">
        <v>61169</v>
      </c>
      <c r="O2932">
        <f>-767.632327765648 -75.385577274483 -706.252455310079</f>
        <v>-1549.27036035021</v>
      </c>
      <c r="P2932">
        <f>-708.857290286838 -65.3414397646052 -395.397424560608</f>
        <v>-1169.5961546120511</v>
      </c>
      <c r="Q2932" t="s">
        <v>61170</v>
      </c>
      <c r="R2932" t="s">
        <v>61171</v>
      </c>
      <c r="S2932" t="s">
        <v>61172</v>
      </c>
      <c r="T2932" t="s">
        <v>61173</v>
      </c>
      <c r="U2932" t="s">
        <v>61174</v>
      </c>
      <c r="V2932" t="s">
        <v>61175</v>
      </c>
      <c r="W2932" t="s">
        <v>61176</v>
      </c>
      <c r="X2932" t="s">
        <v>61177</v>
      </c>
      <c r="Y2932" t="s">
        <v>61178</v>
      </c>
    </row>
    <row r="2933" spans="1:25" x14ac:dyDescent="0.3">
      <c r="A2933">
        <v>146600</v>
      </c>
      <c r="B2933" t="s">
        <v>61179</v>
      </c>
      <c r="C2933" t="s">
        <v>61180</v>
      </c>
      <c r="D2933" t="s">
        <v>61181</v>
      </c>
      <c r="E2933" t="s">
        <v>61182</v>
      </c>
      <c r="F2933" t="s">
        <v>61183</v>
      </c>
      <c r="G2933" t="s">
        <v>61184</v>
      </c>
      <c r="H2933" t="s">
        <v>61185</v>
      </c>
      <c r="I2933" t="s">
        <v>61186</v>
      </c>
      <c r="J2933" t="s">
        <v>61187</v>
      </c>
      <c r="K2933" t="s">
        <v>61188</v>
      </c>
      <c r="L2933" t="s">
        <v>61189</v>
      </c>
      <c r="M2933" t="s">
        <v>61190</v>
      </c>
      <c r="N2933" t="s">
        <v>61191</v>
      </c>
      <c r="O2933">
        <f>-767.605842013052 -75.6478580902549 -706.303914354649</f>
        <v>-1549.5576144579559</v>
      </c>
      <c r="P2933">
        <f>-708.847532617199 -65.8038476699328 -395.43925938133</f>
        <v>-1170.0906396684618</v>
      </c>
      <c r="Q2933" t="s">
        <v>61192</v>
      </c>
      <c r="R2933" t="s">
        <v>61193</v>
      </c>
      <c r="S2933" t="s">
        <v>61194</v>
      </c>
      <c r="T2933" t="s">
        <v>61195</v>
      </c>
      <c r="U2933" t="s">
        <v>61196</v>
      </c>
      <c r="V2933" t="s">
        <v>61197</v>
      </c>
      <c r="W2933" t="s">
        <v>61198</v>
      </c>
      <c r="X2933" t="s">
        <v>61199</v>
      </c>
      <c r="Y2933" t="s">
        <v>61200</v>
      </c>
    </row>
    <row r="2934" spans="1:25" x14ac:dyDescent="0.3">
      <c r="A2934">
        <v>146650</v>
      </c>
      <c r="B2934" t="s">
        <v>61201</v>
      </c>
      <c r="C2934" t="s">
        <v>61202</v>
      </c>
      <c r="D2934" t="s">
        <v>61203</v>
      </c>
      <c r="E2934" t="s">
        <v>61204</v>
      </c>
      <c r="F2934" t="s">
        <v>61205</v>
      </c>
      <c r="G2934" t="s">
        <v>61206</v>
      </c>
      <c r="H2934" t="s">
        <v>61207</v>
      </c>
      <c r="I2934" t="s">
        <v>61208</v>
      </c>
      <c r="J2934" t="s">
        <v>61209</v>
      </c>
      <c r="K2934" t="s">
        <v>61210</v>
      </c>
      <c r="L2934" t="s">
        <v>61211</v>
      </c>
      <c r="M2934" t="s">
        <v>61212</v>
      </c>
      <c r="N2934" t="s">
        <v>61213</v>
      </c>
      <c r="O2934">
        <f>-768.051909220278 -76.6410899808236 -706.421205649539</f>
        <v>-1551.1142048506408</v>
      </c>
      <c r="P2934">
        <f>-708.540437802964 -67.6573959663028 -395.673905925368</f>
        <v>-1171.8717396946349</v>
      </c>
      <c r="Q2934" t="s">
        <v>61214</v>
      </c>
      <c r="R2934" t="s">
        <v>61215</v>
      </c>
      <c r="S2934" t="s">
        <v>61216</v>
      </c>
      <c r="T2934" t="s">
        <v>61217</v>
      </c>
      <c r="U2934" t="s">
        <v>61218</v>
      </c>
      <c r="V2934" t="s">
        <v>61219</v>
      </c>
      <c r="W2934" t="s">
        <v>61220</v>
      </c>
      <c r="X2934" t="s">
        <v>61221</v>
      </c>
      <c r="Y2934" t="s">
        <v>61222</v>
      </c>
    </row>
    <row r="2935" spans="1:25" x14ac:dyDescent="0.3">
      <c r="A2935">
        <v>146700</v>
      </c>
      <c r="B2935" t="s">
        <v>61223</v>
      </c>
      <c r="C2935" t="s">
        <v>61224</v>
      </c>
      <c r="D2935" t="s">
        <v>61225</v>
      </c>
      <c r="E2935" t="s">
        <v>61226</v>
      </c>
      <c r="F2935" t="s">
        <v>61227</v>
      </c>
      <c r="G2935" t="s">
        <v>61228</v>
      </c>
      <c r="H2935" t="s">
        <v>61229</v>
      </c>
      <c r="I2935" t="s">
        <v>61230</v>
      </c>
      <c r="J2935" t="s">
        <v>61231</v>
      </c>
      <c r="K2935" t="s">
        <v>61232</v>
      </c>
      <c r="L2935" t="s">
        <v>61233</v>
      </c>
      <c r="M2935" t="s">
        <v>61234</v>
      </c>
      <c r="N2935" t="s">
        <v>61235</v>
      </c>
      <c r="O2935">
        <f>-768.534562880922 -77.0230964709253 -706.61579626734</f>
        <v>-1552.1734556191873</v>
      </c>
      <c r="P2935">
        <f>-708.103503303874 -68.0502532492521 -396.045759920133</f>
        <v>-1172.1995164732591</v>
      </c>
      <c r="Q2935" t="s">
        <v>61236</v>
      </c>
      <c r="R2935" t="s">
        <v>61237</v>
      </c>
      <c r="S2935" t="s">
        <v>61238</v>
      </c>
      <c r="T2935" t="s">
        <v>61239</v>
      </c>
      <c r="U2935" t="s">
        <v>61240</v>
      </c>
      <c r="V2935" t="s">
        <v>61241</v>
      </c>
      <c r="W2935" t="s">
        <v>61242</v>
      </c>
      <c r="X2935" t="s">
        <v>61243</v>
      </c>
      <c r="Y2935" t="s">
        <v>61244</v>
      </c>
    </row>
    <row r="2936" spans="1:25" x14ac:dyDescent="0.3">
      <c r="A2936">
        <v>146750</v>
      </c>
      <c r="B2936" t="s">
        <v>61245</v>
      </c>
      <c r="C2936" t="s">
        <v>61246</v>
      </c>
      <c r="D2936" t="s">
        <v>61247</v>
      </c>
      <c r="E2936" t="s">
        <v>61248</v>
      </c>
      <c r="F2936" t="s">
        <v>61249</v>
      </c>
      <c r="G2936" t="s">
        <v>61250</v>
      </c>
      <c r="H2936" t="s">
        <v>61251</v>
      </c>
      <c r="I2936" t="s">
        <v>61252</v>
      </c>
      <c r="J2936" t="s">
        <v>61253</v>
      </c>
      <c r="K2936" t="s">
        <v>61254</v>
      </c>
      <c r="L2936" t="s">
        <v>61255</v>
      </c>
      <c r="M2936" t="s">
        <v>61256</v>
      </c>
      <c r="N2936" t="s">
        <v>61257</v>
      </c>
      <c r="O2936">
        <f>-768.885842401156 -77.801699616203 -706.94531523208</f>
        <v>-1553.632857249439</v>
      </c>
      <c r="P2936">
        <f>-708.707371395506 -68.5166105461578 -396.335343996746</f>
        <v>-1173.55932593841</v>
      </c>
      <c r="Q2936" t="s">
        <v>61258</v>
      </c>
      <c r="R2936" t="s">
        <v>61259</v>
      </c>
      <c r="S2936" t="s">
        <v>61260</v>
      </c>
      <c r="T2936" t="s">
        <v>61261</v>
      </c>
      <c r="U2936" t="s">
        <v>61262</v>
      </c>
      <c r="V2936" t="s">
        <v>61263</v>
      </c>
      <c r="W2936" t="s">
        <v>61264</v>
      </c>
      <c r="X2936" t="s">
        <v>61265</v>
      </c>
      <c r="Y2936" t="s">
        <v>61266</v>
      </c>
    </row>
    <row r="2937" spans="1:25" x14ac:dyDescent="0.3">
      <c r="A2937">
        <v>146800</v>
      </c>
      <c r="B2937" t="s">
        <v>61267</v>
      </c>
      <c r="C2937" t="s">
        <v>61268</v>
      </c>
      <c r="D2937" t="s">
        <v>61269</v>
      </c>
      <c r="E2937" t="s">
        <v>61270</v>
      </c>
      <c r="F2937" t="s">
        <v>61271</v>
      </c>
      <c r="G2937" t="s">
        <v>61272</v>
      </c>
      <c r="H2937" t="s">
        <v>61273</v>
      </c>
      <c r="I2937" t="s">
        <v>61274</v>
      </c>
      <c r="J2937" t="s">
        <v>61275</v>
      </c>
      <c r="K2937" t="s">
        <v>61276</v>
      </c>
      <c r="L2937" t="s">
        <v>61277</v>
      </c>
      <c r="M2937" t="s">
        <v>61278</v>
      </c>
      <c r="N2937" t="s">
        <v>61279</v>
      </c>
      <c r="O2937">
        <f>-769.219878375482 -77.9860903088045 -707.130374172362</f>
        <v>-1554.3363428566486</v>
      </c>
      <c r="P2937">
        <f>-708.627610342855 -69.9562678209747 -396.565797508348</f>
        <v>-1175.1496756721776</v>
      </c>
      <c r="Q2937" t="s">
        <v>61280</v>
      </c>
      <c r="R2937" t="s">
        <v>61281</v>
      </c>
      <c r="S2937" t="s">
        <v>61282</v>
      </c>
      <c r="T2937" t="s">
        <v>61283</v>
      </c>
      <c r="U2937" t="s">
        <v>61284</v>
      </c>
      <c r="V2937" t="s">
        <v>61285</v>
      </c>
      <c r="W2937" t="s">
        <v>61286</v>
      </c>
      <c r="X2937" t="s">
        <v>61287</v>
      </c>
      <c r="Y2937" t="s">
        <v>61288</v>
      </c>
    </row>
    <row r="2938" spans="1:25" x14ac:dyDescent="0.3">
      <c r="A2938">
        <v>146850</v>
      </c>
      <c r="B2938" t="s">
        <v>61289</v>
      </c>
      <c r="C2938" t="s">
        <v>61290</v>
      </c>
      <c r="D2938" t="s">
        <v>61291</v>
      </c>
      <c r="E2938" t="s">
        <v>61292</v>
      </c>
      <c r="F2938" t="s">
        <v>61293</v>
      </c>
      <c r="G2938" t="s">
        <v>61294</v>
      </c>
      <c r="H2938" t="s">
        <v>61295</v>
      </c>
      <c r="I2938" t="s">
        <v>61296</v>
      </c>
      <c r="J2938" t="s">
        <v>61297</v>
      </c>
      <c r="K2938" t="s">
        <v>61298</v>
      </c>
      <c r="L2938" t="s">
        <v>61299</v>
      </c>
      <c r="M2938" t="s">
        <v>61300</v>
      </c>
      <c r="N2938" t="s">
        <v>61301</v>
      </c>
      <c r="O2938">
        <f>-770.444407491066 -78.5553149257678 -707.213954031688</f>
        <v>-1556.2136764485217</v>
      </c>
      <c r="P2938">
        <f>-709.475072743023 -71.7465323996823 -396.694201857023</f>
        <v>-1177.9158069997284</v>
      </c>
      <c r="Q2938" t="s">
        <v>61302</v>
      </c>
      <c r="R2938" t="s">
        <v>61303</v>
      </c>
      <c r="S2938" t="s">
        <v>61304</v>
      </c>
      <c r="T2938" t="s">
        <v>61305</v>
      </c>
      <c r="U2938" t="s">
        <v>61306</v>
      </c>
      <c r="V2938" t="s">
        <v>61307</v>
      </c>
      <c r="W2938" t="s">
        <v>61308</v>
      </c>
      <c r="X2938" t="s">
        <v>61309</v>
      </c>
      <c r="Y2938" t="s">
        <v>61310</v>
      </c>
    </row>
    <row r="2939" spans="1:25" x14ac:dyDescent="0.3">
      <c r="A2939">
        <v>146900</v>
      </c>
      <c r="B2939" t="s">
        <v>61311</v>
      </c>
      <c r="C2939" t="s">
        <v>61312</v>
      </c>
      <c r="D2939" t="s">
        <v>61313</v>
      </c>
      <c r="E2939" t="s">
        <v>61314</v>
      </c>
      <c r="F2939" t="s">
        <v>61315</v>
      </c>
      <c r="G2939" t="s">
        <v>61316</v>
      </c>
      <c r="H2939" t="s">
        <v>61317</v>
      </c>
      <c r="I2939" t="s">
        <v>61318</v>
      </c>
      <c r="J2939" t="s">
        <v>61319</v>
      </c>
      <c r="K2939" t="s">
        <v>61320</v>
      </c>
      <c r="L2939" t="s">
        <v>61321</v>
      </c>
      <c r="M2939" t="s">
        <v>61322</v>
      </c>
      <c r="N2939" t="s">
        <v>61323</v>
      </c>
      <c r="O2939">
        <f>-770.923863096674 -78.7869388050196 -707.276950844648</f>
        <v>-1556.9877527463418</v>
      </c>
      <c r="P2939">
        <f>-709.09183550123 -72.6283433100318 -396.914178390179</f>
        <v>-1178.6343572014407</v>
      </c>
      <c r="Q2939" t="s">
        <v>61324</v>
      </c>
      <c r="R2939" t="s">
        <v>61325</v>
      </c>
      <c r="S2939" t="s">
        <v>61326</v>
      </c>
      <c r="T2939" t="s">
        <v>61327</v>
      </c>
      <c r="U2939" t="s">
        <v>61328</v>
      </c>
      <c r="V2939" t="s">
        <v>61329</v>
      </c>
      <c r="W2939" t="s">
        <v>61330</v>
      </c>
      <c r="X2939" t="s">
        <v>61331</v>
      </c>
      <c r="Y2939" t="s">
        <v>61332</v>
      </c>
    </row>
    <row r="2940" spans="1:25" x14ac:dyDescent="0.3">
      <c r="A2940">
        <v>146950</v>
      </c>
      <c r="B2940" t="s">
        <v>61333</v>
      </c>
      <c r="C2940" t="s">
        <v>61334</v>
      </c>
      <c r="D2940" t="s">
        <v>61335</v>
      </c>
      <c r="E2940" t="s">
        <v>61336</v>
      </c>
      <c r="F2940" t="s">
        <v>61337</v>
      </c>
      <c r="G2940" t="s">
        <v>61338</v>
      </c>
      <c r="H2940" t="s">
        <v>61339</v>
      </c>
      <c r="I2940" t="s">
        <v>61340</v>
      </c>
      <c r="J2940" t="s">
        <v>61341</v>
      </c>
      <c r="K2940" t="s">
        <v>61342</v>
      </c>
      <c r="L2940" t="s">
        <v>61343</v>
      </c>
      <c r="M2940" t="s">
        <v>61344</v>
      </c>
      <c r="N2940" t="s">
        <v>61345</v>
      </c>
      <c r="O2940">
        <f>-772.116372096287 -79.2022586087967 -707.204005411258</f>
        <v>-1558.5226361163418</v>
      </c>
      <c r="P2940">
        <f>-710.150877968128 -72.5260603186193 -396.878447963294</f>
        <v>-1179.5553862500415</v>
      </c>
      <c r="Q2940" t="s">
        <v>61346</v>
      </c>
      <c r="R2940" t="s">
        <v>61347</v>
      </c>
      <c r="S2940" t="s">
        <v>61348</v>
      </c>
      <c r="T2940" t="s">
        <v>61349</v>
      </c>
      <c r="U2940" t="s">
        <v>61350</v>
      </c>
      <c r="V2940" t="s">
        <v>61351</v>
      </c>
      <c r="W2940" t="s">
        <v>61352</v>
      </c>
      <c r="X2940" t="s">
        <v>61353</v>
      </c>
      <c r="Y2940" t="s">
        <v>61354</v>
      </c>
    </row>
    <row r="2941" spans="1:25" x14ac:dyDescent="0.3">
      <c r="A2941">
        <v>147000</v>
      </c>
      <c r="B2941" t="s">
        <v>61355</v>
      </c>
      <c r="C2941" t="s">
        <v>61356</v>
      </c>
      <c r="D2941" t="s">
        <v>61357</v>
      </c>
      <c r="E2941" t="s">
        <v>61358</v>
      </c>
      <c r="F2941" t="s">
        <v>61359</v>
      </c>
      <c r="G2941" t="s">
        <v>61360</v>
      </c>
      <c r="H2941" t="s">
        <v>61361</v>
      </c>
      <c r="I2941" t="s">
        <v>61362</v>
      </c>
      <c r="J2941" t="s">
        <v>61363</v>
      </c>
      <c r="K2941" t="s">
        <v>61364</v>
      </c>
      <c r="L2941" t="s">
        <v>61365</v>
      </c>
      <c r="M2941" t="s">
        <v>61366</v>
      </c>
      <c r="N2941" t="s">
        <v>61367</v>
      </c>
      <c r="O2941">
        <f>-772.174597040532 -79.3304640699662 -707.289621710334</f>
        <v>-1558.7946828208323</v>
      </c>
      <c r="P2941">
        <f>-710.235318644849 -73.2693871922447 -396.946421212755</f>
        <v>-1180.4511270498488</v>
      </c>
      <c r="Q2941" t="s">
        <v>61368</v>
      </c>
      <c r="R2941" t="s">
        <v>61369</v>
      </c>
      <c r="S2941" t="s">
        <v>61370</v>
      </c>
      <c r="T2941" t="s">
        <v>61371</v>
      </c>
      <c r="U2941" t="s">
        <v>61372</v>
      </c>
      <c r="V2941" t="s">
        <v>61373</v>
      </c>
      <c r="W2941" t="s">
        <v>61374</v>
      </c>
      <c r="X2941" t="s">
        <v>61375</v>
      </c>
      <c r="Y2941" t="s">
        <v>61376</v>
      </c>
    </row>
    <row r="2942" spans="1:25" x14ac:dyDescent="0.3">
      <c r="A2942">
        <v>147050</v>
      </c>
      <c r="B2942" t="s">
        <v>61377</v>
      </c>
      <c r="C2942" t="s">
        <v>61378</v>
      </c>
      <c r="D2942" t="s">
        <v>61379</v>
      </c>
      <c r="E2942" t="s">
        <v>61380</v>
      </c>
      <c r="F2942" t="s">
        <v>61381</v>
      </c>
      <c r="G2942" t="s">
        <v>61382</v>
      </c>
      <c r="H2942" t="s">
        <v>61383</v>
      </c>
      <c r="I2942" t="s">
        <v>61384</v>
      </c>
      <c r="J2942" t="s">
        <v>61385</v>
      </c>
      <c r="K2942" t="s">
        <v>61386</v>
      </c>
      <c r="L2942" t="s">
        <v>61387</v>
      </c>
      <c r="M2942" t="s">
        <v>61388</v>
      </c>
      <c r="N2942" t="s">
        <v>61389</v>
      </c>
      <c r="O2942">
        <f>-772.847583611735 -79.2264009012431 -707.3536843896</f>
        <v>-1559.427668902578</v>
      </c>
      <c r="P2942">
        <f>-711.143644705652 -73.2618687176496 -396.961660975214</f>
        <v>-1181.3671743985155</v>
      </c>
      <c r="Q2942" t="s">
        <v>61390</v>
      </c>
      <c r="R2942" t="s">
        <v>61391</v>
      </c>
      <c r="S2942" t="s">
        <v>61392</v>
      </c>
      <c r="T2942" t="s">
        <v>61393</v>
      </c>
      <c r="U2942" t="s">
        <v>61394</v>
      </c>
      <c r="V2942" t="s">
        <v>61395</v>
      </c>
      <c r="W2942" t="s">
        <v>61396</v>
      </c>
      <c r="X2942" t="s">
        <v>61397</v>
      </c>
      <c r="Y2942" t="s">
        <v>61398</v>
      </c>
    </row>
    <row r="2943" spans="1:25" x14ac:dyDescent="0.3">
      <c r="A2943">
        <v>147100</v>
      </c>
      <c r="B2943" t="s">
        <v>61399</v>
      </c>
      <c r="C2943" t="s">
        <v>61400</v>
      </c>
      <c r="D2943" t="s">
        <v>61401</v>
      </c>
      <c r="E2943" t="s">
        <v>61402</v>
      </c>
      <c r="F2943" t="s">
        <v>61403</v>
      </c>
      <c r="G2943" t="s">
        <v>61404</v>
      </c>
      <c r="H2943" t="s">
        <v>61405</v>
      </c>
      <c r="I2943" t="s">
        <v>61406</v>
      </c>
      <c r="J2943" t="s">
        <v>61407</v>
      </c>
      <c r="K2943" t="s">
        <v>61408</v>
      </c>
      <c r="L2943" t="s">
        <v>61409</v>
      </c>
      <c r="M2943" t="s">
        <v>61410</v>
      </c>
      <c r="N2943" t="s">
        <v>61411</v>
      </c>
      <c r="O2943">
        <f>-772.739578632619 -79.5143866371131 -707.288115593068</f>
        <v>-1559.5420808628</v>
      </c>
      <c r="P2943">
        <f>-711.49552265564 -73.332222021746 -396.809338936185</f>
        <v>-1181.6370836135711</v>
      </c>
      <c r="Q2943" t="s">
        <v>61412</v>
      </c>
      <c r="R2943" t="s">
        <v>61413</v>
      </c>
      <c r="S2943" t="s">
        <v>61414</v>
      </c>
      <c r="T2943" t="s">
        <v>61415</v>
      </c>
      <c r="U2943" t="s">
        <v>61416</v>
      </c>
      <c r="V2943" t="s">
        <v>61417</v>
      </c>
      <c r="W2943" t="s">
        <v>61418</v>
      </c>
      <c r="X2943" t="s">
        <v>61419</v>
      </c>
      <c r="Y2943" t="s">
        <v>61420</v>
      </c>
    </row>
    <row r="2944" spans="1:25" x14ac:dyDescent="0.3">
      <c r="A2944">
        <v>147150</v>
      </c>
      <c r="B2944" t="s">
        <v>61421</v>
      </c>
      <c r="C2944" t="s">
        <v>61422</v>
      </c>
      <c r="D2944" t="s">
        <v>61423</v>
      </c>
      <c r="E2944" t="s">
        <v>61424</v>
      </c>
      <c r="F2944" t="s">
        <v>61425</v>
      </c>
      <c r="G2944" t="s">
        <v>61426</v>
      </c>
      <c r="H2944" t="s">
        <v>61427</v>
      </c>
      <c r="I2944" t="s">
        <v>61428</v>
      </c>
      <c r="J2944" t="s">
        <v>61429</v>
      </c>
      <c r="K2944" t="s">
        <v>61430</v>
      </c>
      <c r="L2944" t="s">
        <v>61431</v>
      </c>
      <c r="M2944" t="s">
        <v>61432</v>
      </c>
      <c r="N2944" t="s">
        <v>61433</v>
      </c>
      <c r="O2944">
        <f>-772.705202277727 -80.0005240997057 -707.023556651893</f>
        <v>-1559.7292830293259</v>
      </c>
      <c r="P2944">
        <f>-711.274266965803 -75.0371264210978 -396.559677754079</f>
        <v>-1182.8710711409799</v>
      </c>
      <c r="Q2944" t="s">
        <v>61434</v>
      </c>
      <c r="R2944" t="s">
        <v>61435</v>
      </c>
      <c r="S2944" t="s">
        <v>61436</v>
      </c>
      <c r="T2944" t="s">
        <v>61437</v>
      </c>
      <c r="U2944" t="s">
        <v>61438</v>
      </c>
      <c r="V2944" t="s">
        <v>61439</v>
      </c>
      <c r="W2944" t="s">
        <v>61440</v>
      </c>
      <c r="X2944" t="s">
        <v>61441</v>
      </c>
      <c r="Y2944" t="s">
        <v>61442</v>
      </c>
    </row>
    <row r="2945" spans="1:25" x14ac:dyDescent="0.3">
      <c r="A2945">
        <v>147200</v>
      </c>
      <c r="B2945" t="s">
        <v>61443</v>
      </c>
      <c r="C2945" t="s">
        <v>61444</v>
      </c>
      <c r="D2945" t="s">
        <v>61445</v>
      </c>
      <c r="E2945" t="s">
        <v>61446</v>
      </c>
      <c r="F2945" t="s">
        <v>61447</v>
      </c>
      <c r="G2945" t="s">
        <v>61448</v>
      </c>
      <c r="H2945" t="s">
        <v>61449</v>
      </c>
      <c r="I2945" t="s">
        <v>61450</v>
      </c>
      <c r="J2945" t="s">
        <v>61451</v>
      </c>
      <c r="K2945" t="s">
        <v>61452</v>
      </c>
      <c r="L2945" t="s">
        <v>61453</v>
      </c>
      <c r="M2945" t="s">
        <v>61454</v>
      </c>
      <c r="N2945" t="s">
        <v>61455</v>
      </c>
      <c r="O2945">
        <f>-772.796257527168 -80.353250523171 -706.858182408841</f>
        <v>-1560.0076904591801</v>
      </c>
      <c r="P2945">
        <f>-710.568109952848 -75.5108481297041 -396.551039792121</f>
        <v>-1182.6299978746731</v>
      </c>
      <c r="Q2945" t="s">
        <v>61456</v>
      </c>
      <c r="R2945" t="s">
        <v>61457</v>
      </c>
      <c r="S2945" t="s">
        <v>61458</v>
      </c>
      <c r="T2945" t="s">
        <v>61459</v>
      </c>
      <c r="U2945" t="s">
        <v>61460</v>
      </c>
      <c r="V2945" t="s">
        <v>61461</v>
      </c>
      <c r="W2945" t="s">
        <v>61462</v>
      </c>
      <c r="X2945" t="s">
        <v>61463</v>
      </c>
      <c r="Y2945" t="s">
        <v>61464</v>
      </c>
    </row>
    <row r="2946" spans="1:25" x14ac:dyDescent="0.3">
      <c r="A2946">
        <v>147250</v>
      </c>
      <c r="B2946" t="s">
        <v>61465</v>
      </c>
      <c r="C2946" t="s">
        <v>61466</v>
      </c>
      <c r="D2946" t="s">
        <v>61467</v>
      </c>
      <c r="E2946" t="s">
        <v>61468</v>
      </c>
      <c r="F2946" t="s">
        <v>61469</v>
      </c>
      <c r="G2946" t="s">
        <v>61470</v>
      </c>
      <c r="H2946" t="s">
        <v>61471</v>
      </c>
      <c r="I2946" t="s">
        <v>61472</v>
      </c>
      <c r="J2946" t="s">
        <v>61473</v>
      </c>
      <c r="K2946" t="s">
        <v>61474</v>
      </c>
      <c r="L2946" t="s">
        <v>61475</v>
      </c>
      <c r="M2946" t="s">
        <v>61476</v>
      </c>
      <c r="N2946" t="s">
        <v>61477</v>
      </c>
      <c r="O2946">
        <f>-772.352948371521 -81.3976266948391 -706.269649415578</f>
        <v>-1560.0202244819382</v>
      </c>
      <c r="P2946">
        <f>-709.436101274241 -76.6688872031234 -396.099869006025</f>
        <v>-1182.2048574833893</v>
      </c>
      <c r="Q2946" t="s">
        <v>61478</v>
      </c>
      <c r="R2946" t="s">
        <v>61479</v>
      </c>
      <c r="S2946" t="s">
        <v>61480</v>
      </c>
      <c r="T2946" t="s">
        <v>61481</v>
      </c>
      <c r="U2946" t="s">
        <v>61482</v>
      </c>
      <c r="V2946" t="s">
        <v>61483</v>
      </c>
      <c r="W2946" t="s">
        <v>61484</v>
      </c>
      <c r="X2946" t="s">
        <v>61485</v>
      </c>
      <c r="Y2946" t="s">
        <v>61486</v>
      </c>
    </row>
    <row r="2947" spans="1:25" x14ac:dyDescent="0.3">
      <c r="A2947">
        <v>147300</v>
      </c>
      <c r="B2947" t="s">
        <v>61487</v>
      </c>
      <c r="C2947" t="s">
        <v>61488</v>
      </c>
      <c r="D2947" t="s">
        <v>61489</v>
      </c>
      <c r="E2947" t="s">
        <v>61490</v>
      </c>
      <c r="F2947" t="s">
        <v>61491</v>
      </c>
      <c r="G2947" t="s">
        <v>61492</v>
      </c>
      <c r="H2947" t="s">
        <v>61493</v>
      </c>
      <c r="I2947" t="s">
        <v>61494</v>
      </c>
      <c r="J2947" t="s">
        <v>61495</v>
      </c>
      <c r="K2947" t="s">
        <v>61496</v>
      </c>
      <c r="L2947" t="s">
        <v>61497</v>
      </c>
      <c r="M2947" t="s">
        <v>61498</v>
      </c>
      <c r="N2947" t="s">
        <v>61499</v>
      </c>
      <c r="O2947">
        <f>-771.737159595955 -81.7631763129593 -706.061705737193</f>
        <v>-1559.5620416461074</v>
      </c>
      <c r="P2947">
        <f>-708.971947613019 -77.5894743282715 -395.853161601958</f>
        <v>-1182.4145835432485</v>
      </c>
      <c r="Q2947" t="s">
        <v>61500</v>
      </c>
      <c r="R2947" t="s">
        <v>61501</v>
      </c>
      <c r="S2947" t="s">
        <v>61502</v>
      </c>
      <c r="T2947" t="s">
        <v>61503</v>
      </c>
      <c r="U2947" t="s">
        <v>61504</v>
      </c>
      <c r="V2947" t="s">
        <v>61505</v>
      </c>
      <c r="W2947" t="s">
        <v>61506</v>
      </c>
      <c r="X2947" t="s">
        <v>61507</v>
      </c>
      <c r="Y2947" t="s">
        <v>61508</v>
      </c>
    </row>
    <row r="2948" spans="1:25" x14ac:dyDescent="0.3">
      <c r="A2948">
        <v>147350</v>
      </c>
      <c r="B2948" t="s">
        <v>61509</v>
      </c>
      <c r="C2948" t="s">
        <v>61510</v>
      </c>
      <c r="D2948" t="s">
        <v>61511</v>
      </c>
      <c r="E2948" t="s">
        <v>61512</v>
      </c>
      <c r="F2948" t="s">
        <v>61513</v>
      </c>
      <c r="G2948" t="s">
        <v>61514</v>
      </c>
      <c r="H2948" t="s">
        <v>61515</v>
      </c>
      <c r="I2948" t="s">
        <v>61516</v>
      </c>
      <c r="J2948" t="s">
        <v>61517</v>
      </c>
      <c r="K2948" t="s">
        <v>61518</v>
      </c>
      <c r="L2948" t="s">
        <v>61519</v>
      </c>
      <c r="M2948" t="s">
        <v>61520</v>
      </c>
      <c r="N2948" t="s">
        <v>61521</v>
      </c>
      <c r="O2948">
        <f>-769.638541116299 -82.4006131993749 -706.12411831194</f>
        <v>-1558.1632726276139</v>
      </c>
      <c r="P2948">
        <f>-708.285245354816 -78.2588022426607 -395.632704686183</f>
        <v>-1182.1767522836597</v>
      </c>
      <c r="Q2948" t="s">
        <v>61522</v>
      </c>
      <c r="R2948" t="s">
        <v>61523</v>
      </c>
      <c r="S2948" t="s">
        <v>61524</v>
      </c>
      <c r="T2948" t="s">
        <v>61525</v>
      </c>
      <c r="U2948" t="s">
        <v>61526</v>
      </c>
      <c r="V2948" t="s">
        <v>61527</v>
      </c>
      <c r="W2948" t="s">
        <v>61528</v>
      </c>
      <c r="X2948" t="s">
        <v>61529</v>
      </c>
      <c r="Y2948" t="s">
        <v>61530</v>
      </c>
    </row>
    <row r="2949" spans="1:25" x14ac:dyDescent="0.3">
      <c r="A2949">
        <v>147400</v>
      </c>
      <c r="B2949" t="s">
        <v>61531</v>
      </c>
      <c r="C2949" t="s">
        <v>61532</v>
      </c>
      <c r="D2949" t="s">
        <v>61533</v>
      </c>
      <c r="E2949" t="s">
        <v>61534</v>
      </c>
      <c r="F2949" t="s">
        <v>61535</v>
      </c>
      <c r="G2949" t="s">
        <v>61536</v>
      </c>
      <c r="H2949" t="s">
        <v>61537</v>
      </c>
      <c r="I2949" t="s">
        <v>61538</v>
      </c>
      <c r="J2949" t="s">
        <v>61539</v>
      </c>
      <c r="K2949" t="s">
        <v>61540</v>
      </c>
      <c r="L2949" t="s">
        <v>61541</v>
      </c>
      <c r="M2949" t="s">
        <v>61542</v>
      </c>
      <c r="N2949" t="s">
        <v>61543</v>
      </c>
      <c r="O2949">
        <f>-768.842905496382 -82.5529730804967 -706.055953576761</f>
        <v>-1557.4518321536398</v>
      </c>
      <c r="P2949">
        <f>-707.131959422181 -78.7325591903486 -395.631381337874</f>
        <v>-1181.4958999504038</v>
      </c>
      <c r="Q2949" t="s">
        <v>61544</v>
      </c>
      <c r="R2949" t="s">
        <v>61545</v>
      </c>
      <c r="S2949" t="s">
        <v>61546</v>
      </c>
      <c r="T2949" t="s">
        <v>61547</v>
      </c>
      <c r="U2949" t="s">
        <v>61548</v>
      </c>
      <c r="V2949" t="s">
        <v>61549</v>
      </c>
      <c r="W2949" t="s">
        <v>61550</v>
      </c>
      <c r="X2949" t="s">
        <v>61551</v>
      </c>
      <c r="Y2949" t="s">
        <v>61552</v>
      </c>
    </row>
    <row r="2950" spans="1:25" x14ac:dyDescent="0.3">
      <c r="A2950">
        <v>147450</v>
      </c>
      <c r="B2950" t="s">
        <v>61553</v>
      </c>
      <c r="C2950" t="s">
        <v>61554</v>
      </c>
      <c r="D2950" t="s">
        <v>61555</v>
      </c>
      <c r="E2950" t="s">
        <v>61556</v>
      </c>
      <c r="F2950" t="s">
        <v>61557</v>
      </c>
      <c r="G2950" t="s">
        <v>61558</v>
      </c>
      <c r="H2950" t="s">
        <v>61559</v>
      </c>
      <c r="I2950" t="s">
        <v>61560</v>
      </c>
      <c r="J2950" t="s">
        <v>61561</v>
      </c>
      <c r="K2950" t="s">
        <v>61562</v>
      </c>
      <c r="L2950" t="s">
        <v>61563</v>
      </c>
      <c r="M2950" t="s">
        <v>61564</v>
      </c>
      <c r="N2950" t="s">
        <v>61565</v>
      </c>
      <c r="O2950">
        <f>-767.736811369981 -82.7631403701066 -705.900580528218</f>
        <v>-1556.4005322683056</v>
      </c>
      <c r="P2950">
        <f>-704.856236860175 -79.5645467237071 -395.703907820021</f>
        <v>-1180.1246914039032</v>
      </c>
      <c r="Q2950" t="s">
        <v>61566</v>
      </c>
      <c r="R2950" t="s">
        <v>61567</v>
      </c>
      <c r="S2950" t="s">
        <v>61568</v>
      </c>
      <c r="T2950" t="s">
        <v>61569</v>
      </c>
      <c r="U2950" t="s">
        <v>61570</v>
      </c>
      <c r="V2950" t="s">
        <v>61571</v>
      </c>
      <c r="W2950" t="s">
        <v>61572</v>
      </c>
      <c r="X2950" t="s">
        <v>61573</v>
      </c>
      <c r="Y2950" t="s">
        <v>61574</v>
      </c>
    </row>
    <row r="2951" spans="1:25" x14ac:dyDescent="0.3">
      <c r="A2951">
        <v>147500</v>
      </c>
      <c r="B2951" t="s">
        <v>61575</v>
      </c>
      <c r="C2951" t="s">
        <v>61576</v>
      </c>
      <c r="D2951" t="s">
        <v>61577</v>
      </c>
      <c r="E2951" t="s">
        <v>61578</v>
      </c>
      <c r="F2951" t="s">
        <v>61579</v>
      </c>
      <c r="G2951" t="s">
        <v>61580</v>
      </c>
      <c r="H2951" t="s">
        <v>61581</v>
      </c>
      <c r="I2951" t="s">
        <v>61582</v>
      </c>
      <c r="J2951" t="s">
        <v>61583</v>
      </c>
      <c r="K2951" t="s">
        <v>61584</v>
      </c>
      <c r="L2951" t="s">
        <v>61585</v>
      </c>
      <c r="M2951" t="s">
        <v>61586</v>
      </c>
      <c r="N2951" t="s">
        <v>61587</v>
      </c>
      <c r="O2951">
        <f>-767.008704732236 -82.7456556843701 -705.926449218599</f>
        <v>-1555.6808096352052</v>
      </c>
      <c r="P2951">
        <f>-703.760928795374 -80.3103432672112 -395.797404936236</f>
        <v>-1179.8686769988212</v>
      </c>
      <c r="Q2951" t="s">
        <v>61588</v>
      </c>
      <c r="R2951" t="s">
        <v>61589</v>
      </c>
      <c r="S2951" t="s">
        <v>61590</v>
      </c>
      <c r="T2951" t="s">
        <v>61591</v>
      </c>
      <c r="U2951" t="s">
        <v>61592</v>
      </c>
      <c r="V2951" t="s">
        <v>61593</v>
      </c>
      <c r="W2951" t="s">
        <v>61594</v>
      </c>
      <c r="X2951" t="s">
        <v>61595</v>
      </c>
      <c r="Y2951" t="s">
        <v>61596</v>
      </c>
    </row>
    <row r="2952" spans="1:25" x14ac:dyDescent="0.3">
      <c r="A2952">
        <v>147550</v>
      </c>
      <c r="B2952" t="s">
        <v>61597</v>
      </c>
      <c r="C2952" t="s">
        <v>61598</v>
      </c>
      <c r="D2952" t="s">
        <v>61599</v>
      </c>
      <c r="E2952" t="s">
        <v>61600</v>
      </c>
      <c r="F2952" t="s">
        <v>61601</v>
      </c>
      <c r="G2952" t="s">
        <v>61602</v>
      </c>
      <c r="H2952" t="s">
        <v>61603</v>
      </c>
      <c r="I2952" t="s">
        <v>61604</v>
      </c>
      <c r="J2952" t="s">
        <v>61605</v>
      </c>
      <c r="K2952" t="s">
        <v>61606</v>
      </c>
      <c r="L2952" t="s">
        <v>61607</v>
      </c>
      <c r="M2952" t="s">
        <v>61608</v>
      </c>
      <c r="N2952" t="s">
        <v>61609</v>
      </c>
      <c r="O2952">
        <f>-765.618227025303 -81.6348355415728 -706.464609213044</f>
        <v>-1553.7176717799198</v>
      </c>
      <c r="P2952">
        <f>-699.995196907053 -81.3810344755223 -396.820064967939</f>
        <v>-1178.1962963505143</v>
      </c>
      <c r="Q2952" t="s">
        <v>61610</v>
      </c>
      <c r="R2952" t="s">
        <v>61611</v>
      </c>
      <c r="S2952" t="s">
        <v>61612</v>
      </c>
      <c r="T2952" t="s">
        <v>61613</v>
      </c>
      <c r="U2952" t="s">
        <v>61614</v>
      </c>
      <c r="V2952" t="s">
        <v>61615</v>
      </c>
      <c r="W2952" t="s">
        <v>61616</v>
      </c>
      <c r="X2952" t="s">
        <v>61617</v>
      </c>
      <c r="Y2952" t="s">
        <v>61618</v>
      </c>
    </row>
    <row r="2953" spans="1:25" x14ac:dyDescent="0.3">
      <c r="A2953">
        <v>147600</v>
      </c>
      <c r="B2953" t="s">
        <v>61619</v>
      </c>
      <c r="C2953" t="s">
        <v>61620</v>
      </c>
      <c r="D2953" t="s">
        <v>61621</v>
      </c>
      <c r="E2953" t="s">
        <v>61622</v>
      </c>
      <c r="F2953" t="s">
        <v>61623</v>
      </c>
      <c r="G2953" t="s">
        <v>61624</v>
      </c>
      <c r="H2953" t="s">
        <v>61625</v>
      </c>
      <c r="I2953" t="s">
        <v>61626</v>
      </c>
      <c r="J2953" t="s">
        <v>61627</v>
      </c>
      <c r="K2953" t="s">
        <v>61628</v>
      </c>
      <c r="L2953" t="s">
        <v>61629</v>
      </c>
      <c r="M2953" t="s">
        <v>61630</v>
      </c>
      <c r="N2953" t="s">
        <v>61631</v>
      </c>
      <c r="O2953">
        <f>-764.834653687417 -81.5208833289116 -706.552807083058</f>
        <v>-1552.9083440993868</v>
      </c>
      <c r="P2953">
        <f>-698.89951440903 -80.7123357998235 -396.975474696246</f>
        <v>-1176.5873249050994</v>
      </c>
      <c r="Q2953" t="s">
        <v>61632</v>
      </c>
      <c r="R2953" t="s">
        <v>61633</v>
      </c>
      <c r="S2953" t="s">
        <v>61634</v>
      </c>
      <c r="T2953" t="s">
        <v>61635</v>
      </c>
      <c r="U2953" t="s">
        <v>61636</v>
      </c>
      <c r="V2953" t="s">
        <v>61637</v>
      </c>
      <c r="W2953" t="s">
        <v>61638</v>
      </c>
      <c r="X2953" t="s">
        <v>61639</v>
      </c>
      <c r="Y2953" t="s">
        <v>61640</v>
      </c>
    </row>
    <row r="2954" spans="1:25" x14ac:dyDescent="0.3">
      <c r="A2954">
        <v>147650</v>
      </c>
      <c r="B2954" t="s">
        <v>61641</v>
      </c>
      <c r="C2954" t="s">
        <v>61642</v>
      </c>
      <c r="D2954" t="s">
        <v>61643</v>
      </c>
      <c r="E2954" t="s">
        <v>61644</v>
      </c>
      <c r="F2954" t="s">
        <v>61645</v>
      </c>
      <c r="G2954" t="s">
        <v>61646</v>
      </c>
      <c r="H2954" t="s">
        <v>61647</v>
      </c>
      <c r="I2954" t="s">
        <v>61648</v>
      </c>
      <c r="J2954" t="s">
        <v>61649</v>
      </c>
      <c r="K2954" t="s">
        <v>61650</v>
      </c>
      <c r="L2954" t="s">
        <v>61651</v>
      </c>
      <c r="M2954" t="s">
        <v>61652</v>
      </c>
      <c r="N2954" t="s">
        <v>61653</v>
      </c>
      <c r="O2954">
        <f>-763.633498656634 -81.2000289865 -706.586971991052</f>
        <v>-1551.4204996341859</v>
      </c>
      <c r="P2954">
        <f>-697.280069794886 -79.5916742991403 -397.102183330255</f>
        <v>-1173.9739274242813</v>
      </c>
      <c r="Q2954" t="s">
        <v>61654</v>
      </c>
      <c r="R2954" t="s">
        <v>61655</v>
      </c>
      <c r="S2954" t="s">
        <v>61656</v>
      </c>
      <c r="T2954" t="s">
        <v>61657</v>
      </c>
      <c r="U2954" t="s">
        <v>61658</v>
      </c>
      <c r="V2954" t="s">
        <v>61659</v>
      </c>
      <c r="W2954" t="s">
        <v>61660</v>
      </c>
      <c r="X2954" t="s">
        <v>61661</v>
      </c>
      <c r="Y2954" t="s">
        <v>61662</v>
      </c>
    </row>
    <row r="2955" spans="1:25" x14ac:dyDescent="0.3">
      <c r="A2955">
        <v>147700</v>
      </c>
      <c r="B2955" t="s">
        <v>61663</v>
      </c>
      <c r="C2955" t="s">
        <v>61664</v>
      </c>
      <c r="D2955" t="s">
        <v>61665</v>
      </c>
      <c r="E2955" t="s">
        <v>61666</v>
      </c>
      <c r="F2955" t="s">
        <v>61667</v>
      </c>
      <c r="G2955" t="s">
        <v>61668</v>
      </c>
      <c r="H2955" t="s">
        <v>61669</v>
      </c>
      <c r="I2955" t="s">
        <v>61670</v>
      </c>
      <c r="J2955" t="s">
        <v>61671</v>
      </c>
      <c r="K2955" t="s">
        <v>61672</v>
      </c>
      <c r="L2955" t="s">
        <v>61673</v>
      </c>
      <c r="M2955" t="s">
        <v>61674</v>
      </c>
      <c r="N2955" t="s">
        <v>61675</v>
      </c>
      <c r="O2955">
        <f>-762.844819329031 -81.2170175016815 -706.64136207291</f>
        <v>-1550.7031989036227</v>
      </c>
      <c r="P2955">
        <f>-697.574097016416 -77.8160327847816 -396.940988574304</f>
        <v>-1172.3311183755015</v>
      </c>
      <c r="Q2955" t="s">
        <v>61676</v>
      </c>
      <c r="R2955" t="s">
        <v>61677</v>
      </c>
      <c r="S2955" t="s">
        <v>61678</v>
      </c>
      <c r="T2955" t="s">
        <v>61679</v>
      </c>
      <c r="U2955" t="s">
        <v>61680</v>
      </c>
      <c r="V2955" t="s">
        <v>61681</v>
      </c>
      <c r="W2955" t="s">
        <v>61682</v>
      </c>
      <c r="X2955" t="s">
        <v>61683</v>
      </c>
      <c r="Y2955" t="s">
        <v>61684</v>
      </c>
    </row>
    <row r="2956" spans="1:25" x14ac:dyDescent="0.3">
      <c r="A2956">
        <v>147750</v>
      </c>
      <c r="B2956" t="s">
        <v>61685</v>
      </c>
      <c r="C2956" t="s">
        <v>61686</v>
      </c>
      <c r="D2956" t="s">
        <v>61687</v>
      </c>
      <c r="E2956" t="s">
        <v>61688</v>
      </c>
      <c r="F2956" t="s">
        <v>61689</v>
      </c>
      <c r="G2956" t="s">
        <v>61690</v>
      </c>
      <c r="H2956" t="s">
        <v>61691</v>
      </c>
      <c r="I2956" t="s">
        <v>61692</v>
      </c>
      <c r="J2956" t="s">
        <v>61693</v>
      </c>
      <c r="K2956" t="s">
        <v>61694</v>
      </c>
      <c r="L2956" t="s">
        <v>61695</v>
      </c>
      <c r="M2956" t="s">
        <v>61696</v>
      </c>
      <c r="N2956" t="s">
        <v>61697</v>
      </c>
      <c r="O2956">
        <f>-761.505271436566 -80.9855721332103 -706.634561426473</f>
        <v>-1549.1254049962495</v>
      </c>
      <c r="P2956">
        <f>-699.240276171225 -75.3654597862874 -396.348058518581</f>
        <v>-1170.9537944760934</v>
      </c>
      <c r="Q2956">
        <f>-451.436509645159 -1.50716346093577 -368.414795454696</f>
        <v>-821.3584685607907</v>
      </c>
      <c r="R2956" t="s">
        <v>61698</v>
      </c>
      <c r="S2956" t="s">
        <v>61699</v>
      </c>
      <c r="T2956" t="s">
        <v>61700</v>
      </c>
      <c r="U2956" t="s">
        <v>61701</v>
      </c>
      <c r="V2956" t="s">
        <v>61702</v>
      </c>
      <c r="W2956" t="s">
        <v>61703</v>
      </c>
      <c r="X2956" t="s">
        <v>61704</v>
      </c>
      <c r="Y2956" t="s">
        <v>61705</v>
      </c>
    </row>
    <row r="2957" spans="1:25" x14ac:dyDescent="0.3">
      <c r="A2957">
        <v>147800</v>
      </c>
      <c r="B2957" t="s">
        <v>61706</v>
      </c>
      <c r="C2957" t="s">
        <v>61707</v>
      </c>
      <c r="D2957" t="s">
        <v>61708</v>
      </c>
      <c r="E2957" t="s">
        <v>61709</v>
      </c>
      <c r="F2957" t="s">
        <v>61710</v>
      </c>
      <c r="G2957" t="s">
        <v>61711</v>
      </c>
      <c r="H2957" t="s">
        <v>61712</v>
      </c>
      <c r="I2957" t="s">
        <v>61713</v>
      </c>
      <c r="J2957" t="s">
        <v>61714</v>
      </c>
      <c r="K2957" t="s">
        <v>61715</v>
      </c>
      <c r="L2957" t="s">
        <v>61716</v>
      </c>
      <c r="M2957" t="s">
        <v>61717</v>
      </c>
      <c r="N2957" t="s">
        <v>61718</v>
      </c>
      <c r="O2957">
        <f>-761.609214048975 -80.6193078982528 -706.459653522528</f>
        <v>-1548.6881754697558</v>
      </c>
      <c r="P2957">
        <f>-699.881113867236 -74.9408204340677 -396.066989532499</f>
        <v>-1170.8889238338027</v>
      </c>
      <c r="Q2957">
        <f>-452.061650720106 -1.63462830229082 -366.848646639205</f>
        <v>-820.54492566160184</v>
      </c>
      <c r="R2957" t="s">
        <v>61719</v>
      </c>
      <c r="S2957" t="s">
        <v>61720</v>
      </c>
      <c r="T2957" t="s">
        <v>61721</v>
      </c>
      <c r="U2957" t="s">
        <v>61722</v>
      </c>
      <c r="V2957" t="s">
        <v>61723</v>
      </c>
      <c r="W2957" t="s">
        <v>61724</v>
      </c>
      <c r="X2957" t="s">
        <v>61725</v>
      </c>
      <c r="Y2957" t="s">
        <v>61726</v>
      </c>
    </row>
    <row r="2958" spans="1:25" x14ac:dyDescent="0.3">
      <c r="A2958">
        <v>147850</v>
      </c>
      <c r="B2958" t="s">
        <v>61727</v>
      </c>
      <c r="C2958" t="s">
        <v>61728</v>
      </c>
      <c r="D2958" t="s">
        <v>61729</v>
      </c>
      <c r="E2958" t="s">
        <v>61730</v>
      </c>
      <c r="F2958" t="s">
        <v>61731</v>
      </c>
      <c r="G2958" t="s">
        <v>61732</v>
      </c>
      <c r="H2958" t="s">
        <v>61733</v>
      </c>
      <c r="I2958" t="s">
        <v>61734</v>
      </c>
      <c r="J2958" t="s">
        <v>61735</v>
      </c>
      <c r="K2958" t="s">
        <v>61736</v>
      </c>
      <c r="L2958" t="s">
        <v>61737</v>
      </c>
      <c r="M2958" t="s">
        <v>61738</v>
      </c>
      <c r="N2958" t="s">
        <v>61739</v>
      </c>
      <c r="O2958">
        <f>-762.452066621968 -80.658412190443 -705.94980867479</f>
        <v>-1549.0602874872011</v>
      </c>
      <c r="P2958">
        <f>-700.125817805772 -73.3446560314337 -395.710945859051</f>
        <v>-1169.1814196962569</v>
      </c>
      <c r="Q2958">
        <f>-451.674320590026 -1.86829157481452 -367.337748263084</f>
        <v>-820.88036042792453</v>
      </c>
      <c r="R2958" t="s">
        <v>61740</v>
      </c>
      <c r="S2958" t="s">
        <v>61741</v>
      </c>
      <c r="T2958" t="s">
        <v>61742</v>
      </c>
      <c r="U2958" t="s">
        <v>61743</v>
      </c>
      <c r="V2958" t="s">
        <v>61744</v>
      </c>
      <c r="W2958" t="s">
        <v>61745</v>
      </c>
      <c r="X2958" t="s">
        <v>61746</v>
      </c>
      <c r="Y2958" t="s">
        <v>61747</v>
      </c>
    </row>
    <row r="2959" spans="1:25" x14ac:dyDescent="0.3">
      <c r="A2959">
        <v>147900</v>
      </c>
      <c r="B2959" t="s">
        <v>61748</v>
      </c>
      <c r="C2959" t="s">
        <v>61749</v>
      </c>
      <c r="D2959" t="s">
        <v>61750</v>
      </c>
      <c r="E2959" t="s">
        <v>61751</v>
      </c>
      <c r="F2959" t="s">
        <v>61752</v>
      </c>
      <c r="G2959" t="s">
        <v>61753</v>
      </c>
      <c r="H2959" t="s">
        <v>61754</v>
      </c>
      <c r="I2959" t="s">
        <v>61755</v>
      </c>
      <c r="J2959" t="s">
        <v>61756</v>
      </c>
      <c r="K2959" t="s">
        <v>61757</v>
      </c>
      <c r="L2959" t="s">
        <v>61758</v>
      </c>
      <c r="M2959" t="s">
        <v>61759</v>
      </c>
      <c r="N2959" t="s">
        <v>61760</v>
      </c>
      <c r="O2959">
        <f>-762.889430970748 -80.7762180867892 -705.72834073008</f>
        <v>-1549.3939897876171</v>
      </c>
      <c r="P2959">
        <f>-700.104269971791 -74.5409645354287 -395.558602568816</f>
        <v>-1170.2038370760356</v>
      </c>
      <c r="Q2959">
        <f>-451.731170951552 -2.04488717112235 -369.153904849178</f>
        <v>-822.92996297185232</v>
      </c>
      <c r="R2959" t="s">
        <v>61761</v>
      </c>
      <c r="S2959" t="s">
        <v>61762</v>
      </c>
      <c r="T2959" t="s">
        <v>61763</v>
      </c>
      <c r="U2959" t="s">
        <v>61764</v>
      </c>
      <c r="V2959" t="s">
        <v>61765</v>
      </c>
      <c r="W2959" t="s">
        <v>61766</v>
      </c>
      <c r="X2959" t="s">
        <v>61767</v>
      </c>
      <c r="Y2959" t="s">
        <v>61768</v>
      </c>
    </row>
    <row r="2960" spans="1:25" x14ac:dyDescent="0.3">
      <c r="A2960">
        <v>147950</v>
      </c>
      <c r="B2960" t="s">
        <v>61769</v>
      </c>
      <c r="C2960" t="s">
        <v>61770</v>
      </c>
      <c r="D2960" t="s">
        <v>61771</v>
      </c>
      <c r="E2960" t="s">
        <v>61772</v>
      </c>
      <c r="F2960" t="s">
        <v>61773</v>
      </c>
      <c r="G2960" t="s">
        <v>61774</v>
      </c>
      <c r="H2960" t="s">
        <v>61775</v>
      </c>
      <c r="I2960" t="s">
        <v>61776</v>
      </c>
      <c r="J2960" t="s">
        <v>61777</v>
      </c>
      <c r="K2960" t="s">
        <v>61778</v>
      </c>
      <c r="L2960" t="s">
        <v>61779</v>
      </c>
      <c r="M2960" t="s">
        <v>61780</v>
      </c>
      <c r="N2960" t="s">
        <v>61781</v>
      </c>
      <c r="O2960">
        <f>-763.403106781806 -80.5842741389599 -705.934636941864</f>
        <v>-1549.9220178626299</v>
      </c>
      <c r="P2960">
        <f>-700.333628398713 -75.7498322562494 -395.797573051577</f>
        <v>-1171.8810337065395</v>
      </c>
      <c r="Q2960" t="s">
        <v>61782</v>
      </c>
      <c r="R2960" t="s">
        <v>61783</v>
      </c>
      <c r="S2960" t="s">
        <v>61784</v>
      </c>
      <c r="T2960" t="s">
        <v>61785</v>
      </c>
      <c r="U2960" t="s">
        <v>61786</v>
      </c>
      <c r="V2960" t="s">
        <v>61787</v>
      </c>
      <c r="W2960" t="s">
        <v>61788</v>
      </c>
      <c r="X2960" t="s">
        <v>61789</v>
      </c>
      <c r="Y2960" t="s">
        <v>61790</v>
      </c>
    </row>
    <row r="2961" spans="1:25" x14ac:dyDescent="0.3">
      <c r="A2961">
        <v>148000</v>
      </c>
      <c r="B2961" t="s">
        <v>61791</v>
      </c>
      <c r="C2961" t="s">
        <v>61792</v>
      </c>
      <c r="D2961" t="s">
        <v>61793</v>
      </c>
      <c r="E2961" t="s">
        <v>61794</v>
      </c>
      <c r="F2961" t="s">
        <v>61795</v>
      </c>
      <c r="G2961" t="s">
        <v>61796</v>
      </c>
      <c r="H2961" t="s">
        <v>61797</v>
      </c>
      <c r="I2961" t="s">
        <v>61798</v>
      </c>
      <c r="J2961" t="s">
        <v>61799</v>
      </c>
      <c r="K2961" t="s">
        <v>61800</v>
      </c>
      <c r="L2961" t="s">
        <v>61801</v>
      </c>
      <c r="M2961" t="s">
        <v>61802</v>
      </c>
      <c r="N2961" t="s">
        <v>61803</v>
      </c>
      <c r="O2961">
        <f>-763.291472763285 -80.5046403578174 -706.076958101986</f>
        <v>-1549.8730712230883</v>
      </c>
      <c r="P2961">
        <f>-699.513420920706 -75.5422486900161 -396.086659328839</f>
        <v>-1171.1423289395611</v>
      </c>
      <c r="Q2961" t="s">
        <v>61804</v>
      </c>
      <c r="R2961" t="s">
        <v>61805</v>
      </c>
      <c r="S2961" t="s">
        <v>61806</v>
      </c>
      <c r="T2961" t="s">
        <v>61807</v>
      </c>
      <c r="U2961" t="s">
        <v>61808</v>
      </c>
      <c r="V2961" t="s">
        <v>61809</v>
      </c>
      <c r="W2961" t="s">
        <v>61810</v>
      </c>
      <c r="X2961" t="s">
        <v>61811</v>
      </c>
      <c r="Y2961" t="s">
        <v>61812</v>
      </c>
    </row>
    <row r="2962" spans="1:25" x14ac:dyDescent="0.3">
      <c r="A2962">
        <v>148050</v>
      </c>
      <c r="B2962" t="s">
        <v>61813</v>
      </c>
      <c r="C2962" t="s">
        <v>61814</v>
      </c>
      <c r="D2962" t="s">
        <v>61815</v>
      </c>
      <c r="E2962" t="s">
        <v>61816</v>
      </c>
      <c r="F2962" t="s">
        <v>61817</v>
      </c>
      <c r="G2962" t="s">
        <v>61818</v>
      </c>
      <c r="H2962" t="s">
        <v>61819</v>
      </c>
      <c r="I2962" t="s">
        <v>61820</v>
      </c>
      <c r="J2962" t="s">
        <v>61821</v>
      </c>
      <c r="K2962" t="s">
        <v>61822</v>
      </c>
      <c r="L2962" t="s">
        <v>61823</v>
      </c>
      <c r="M2962" t="s">
        <v>61824</v>
      </c>
      <c r="N2962" t="s">
        <v>61825</v>
      </c>
      <c r="O2962">
        <f>-763.502457640452 -80.5498361357627 -705.866761345369</f>
        <v>-1549.9190551215838</v>
      </c>
      <c r="P2962">
        <f>-698.145748365178 -74.5130383160192 -396.2246970514</f>
        <v>-1168.8834837325971</v>
      </c>
      <c r="Q2962" t="s">
        <v>61826</v>
      </c>
      <c r="R2962" t="s">
        <v>61827</v>
      </c>
      <c r="S2962" t="s">
        <v>61828</v>
      </c>
      <c r="T2962" t="s">
        <v>61829</v>
      </c>
      <c r="U2962" t="s">
        <v>61830</v>
      </c>
      <c r="V2962" t="s">
        <v>61831</v>
      </c>
      <c r="W2962" t="s">
        <v>61832</v>
      </c>
      <c r="X2962" t="s">
        <v>61833</v>
      </c>
      <c r="Y2962" t="s">
        <v>61834</v>
      </c>
    </row>
    <row r="2963" spans="1:25" x14ac:dyDescent="0.3">
      <c r="A2963">
        <v>148100</v>
      </c>
      <c r="B2963" t="s">
        <v>61835</v>
      </c>
      <c r="C2963" t="s">
        <v>61836</v>
      </c>
      <c r="D2963" t="s">
        <v>61837</v>
      </c>
      <c r="E2963" t="s">
        <v>61838</v>
      </c>
      <c r="F2963" t="s">
        <v>61839</v>
      </c>
      <c r="G2963" t="s">
        <v>61840</v>
      </c>
      <c r="H2963" t="s">
        <v>61841</v>
      </c>
      <c r="I2963" t="s">
        <v>61842</v>
      </c>
      <c r="J2963" t="s">
        <v>61843</v>
      </c>
      <c r="K2963" t="s">
        <v>61844</v>
      </c>
      <c r="L2963" t="s">
        <v>61845</v>
      </c>
      <c r="M2963" t="s">
        <v>61846</v>
      </c>
      <c r="N2963" t="s">
        <v>61847</v>
      </c>
      <c r="O2963">
        <f>-763.428930979503 -80.5007283098346 -705.847925865113</f>
        <v>-1549.7775851544507</v>
      </c>
      <c r="P2963">
        <f>-697.947742992218 -74.4191088377486 -396.233053607586</f>
        <v>-1168.5999054375525</v>
      </c>
      <c r="Q2963" t="s">
        <v>61848</v>
      </c>
      <c r="R2963" t="s">
        <v>61849</v>
      </c>
      <c r="S2963" t="s">
        <v>61850</v>
      </c>
      <c r="T2963" t="s">
        <v>61851</v>
      </c>
      <c r="U2963" t="s">
        <v>61852</v>
      </c>
      <c r="V2963" t="s">
        <v>61853</v>
      </c>
      <c r="W2963" t="s">
        <v>61854</v>
      </c>
      <c r="X2963" t="s">
        <v>61855</v>
      </c>
      <c r="Y2963" t="s">
        <v>61856</v>
      </c>
    </row>
    <row r="2964" spans="1:25" x14ac:dyDescent="0.3">
      <c r="A2964">
        <v>148150</v>
      </c>
      <c r="B2964" t="s">
        <v>61857</v>
      </c>
      <c r="C2964" t="s">
        <v>61858</v>
      </c>
      <c r="D2964" t="s">
        <v>61859</v>
      </c>
      <c r="E2964" t="s">
        <v>61860</v>
      </c>
      <c r="F2964" t="s">
        <v>61861</v>
      </c>
      <c r="G2964" t="s">
        <v>61862</v>
      </c>
      <c r="H2964" t="s">
        <v>61863</v>
      </c>
      <c r="I2964" t="s">
        <v>61864</v>
      </c>
      <c r="J2964" t="s">
        <v>61865</v>
      </c>
      <c r="K2964" t="s">
        <v>61866</v>
      </c>
      <c r="L2964" t="s">
        <v>61867</v>
      </c>
      <c r="M2964" t="s">
        <v>61868</v>
      </c>
      <c r="N2964" t="s">
        <v>61869</v>
      </c>
      <c r="O2964">
        <f>-763.177394634535 -80.2277401760853 -705.616940013484</f>
        <v>-1549.0220748241043</v>
      </c>
      <c r="P2964">
        <f>-698.553657216556 -74.1827011982857 -395.82117483402</f>
        <v>-1168.5575332488615</v>
      </c>
      <c r="Q2964">
        <f>-448.719566507544 -2.3455548386903 -387.798286833189</f>
        <v>-838.86340817942335</v>
      </c>
      <c r="R2964" t="s">
        <v>61870</v>
      </c>
      <c r="S2964" t="s">
        <v>61871</v>
      </c>
      <c r="T2964" t="s">
        <v>61872</v>
      </c>
      <c r="U2964" t="s">
        <v>61873</v>
      </c>
      <c r="V2964" t="s">
        <v>61874</v>
      </c>
      <c r="W2964" t="s">
        <v>61875</v>
      </c>
      <c r="X2964" t="s">
        <v>61876</v>
      </c>
      <c r="Y2964" t="s">
        <v>61877</v>
      </c>
    </row>
    <row r="2965" spans="1:25" x14ac:dyDescent="0.3">
      <c r="A2965">
        <v>148200</v>
      </c>
      <c r="B2965" t="s">
        <v>61878</v>
      </c>
      <c r="C2965" t="s">
        <v>61879</v>
      </c>
      <c r="D2965" t="s">
        <v>61880</v>
      </c>
      <c r="E2965" t="s">
        <v>61881</v>
      </c>
      <c r="F2965" t="s">
        <v>61882</v>
      </c>
      <c r="G2965" t="s">
        <v>61883</v>
      </c>
      <c r="H2965" t="s">
        <v>61884</v>
      </c>
      <c r="I2965" t="s">
        <v>61885</v>
      </c>
      <c r="J2965" t="s">
        <v>61886</v>
      </c>
      <c r="K2965" t="s">
        <v>61887</v>
      </c>
      <c r="L2965" t="s">
        <v>61888</v>
      </c>
      <c r="M2965" t="s">
        <v>61889</v>
      </c>
      <c r="N2965" t="s">
        <v>61890</v>
      </c>
      <c r="O2965">
        <f>-763.275846181959 -80.1522452807308 -705.419608652719</f>
        <v>-1548.8477001154088</v>
      </c>
      <c r="P2965">
        <f>-698.644629940953 -74.2905606176623 -395.621950160562</f>
        <v>-1168.5571407191774</v>
      </c>
      <c r="Q2965">
        <f>-448.277397646407 -4.11873163172072 -389.771044448257</f>
        <v>-842.1671737263847</v>
      </c>
      <c r="R2965" t="s">
        <v>61891</v>
      </c>
      <c r="S2965" t="s">
        <v>61892</v>
      </c>
      <c r="T2965" t="s">
        <v>61893</v>
      </c>
      <c r="U2965" t="s">
        <v>61894</v>
      </c>
      <c r="V2965" t="s">
        <v>61895</v>
      </c>
      <c r="W2965" t="s">
        <v>61896</v>
      </c>
      <c r="X2965" t="s">
        <v>61897</v>
      </c>
      <c r="Y2965" t="s">
        <v>61898</v>
      </c>
    </row>
    <row r="2966" spans="1:25" x14ac:dyDescent="0.3">
      <c r="A2966">
        <v>148250</v>
      </c>
      <c r="B2966" t="s">
        <v>61899</v>
      </c>
      <c r="C2966" t="s">
        <v>61900</v>
      </c>
      <c r="D2966" t="s">
        <v>61901</v>
      </c>
      <c r="E2966" t="s">
        <v>61902</v>
      </c>
      <c r="F2966" t="s">
        <v>61903</v>
      </c>
      <c r="G2966" t="s">
        <v>61904</v>
      </c>
      <c r="H2966" t="s">
        <v>61905</v>
      </c>
      <c r="I2966" t="s">
        <v>61906</v>
      </c>
      <c r="J2966" t="s">
        <v>61907</v>
      </c>
      <c r="K2966" t="s">
        <v>61908</v>
      </c>
      <c r="L2966" t="s">
        <v>61909</v>
      </c>
      <c r="M2966" t="s">
        <v>61910</v>
      </c>
      <c r="N2966" t="s">
        <v>61911</v>
      </c>
      <c r="O2966">
        <f>-764.245318649713 -79.7770175102096 -705.329159555905</f>
        <v>-1549.3514957158277</v>
      </c>
      <c r="P2966">
        <f>-698.504829083625 -75.5230537587904 -395.7387217791</f>
        <v>-1169.7666046215154</v>
      </c>
      <c r="Q2966">
        <f>-447.25962227197 -8.33894259052204 -393.695852751013</f>
        <v>-849.29441761350495</v>
      </c>
      <c r="R2966" t="s">
        <v>61912</v>
      </c>
      <c r="S2966" t="s">
        <v>61913</v>
      </c>
      <c r="T2966" t="s">
        <v>61914</v>
      </c>
      <c r="U2966" t="s">
        <v>61915</v>
      </c>
      <c r="V2966" t="s">
        <v>61916</v>
      </c>
      <c r="W2966" t="s">
        <v>61917</v>
      </c>
      <c r="X2966" t="s">
        <v>61918</v>
      </c>
      <c r="Y2966" t="s">
        <v>61919</v>
      </c>
    </row>
    <row r="2967" spans="1:25" x14ac:dyDescent="0.3">
      <c r="A2967">
        <v>148300</v>
      </c>
      <c r="B2967" t="s">
        <v>61920</v>
      </c>
      <c r="C2967" t="s">
        <v>61921</v>
      </c>
      <c r="D2967" t="s">
        <v>61922</v>
      </c>
      <c r="E2967" t="s">
        <v>61923</v>
      </c>
      <c r="F2967" t="s">
        <v>61924</v>
      </c>
      <c r="G2967" t="s">
        <v>61925</v>
      </c>
      <c r="H2967" t="s">
        <v>61926</v>
      </c>
      <c r="I2967" t="s">
        <v>61927</v>
      </c>
      <c r="J2967" t="s">
        <v>61928</v>
      </c>
      <c r="K2967" t="s">
        <v>61929</v>
      </c>
      <c r="L2967" t="s">
        <v>61930</v>
      </c>
      <c r="M2967" t="s">
        <v>61931</v>
      </c>
      <c r="N2967" t="s">
        <v>61932</v>
      </c>
      <c r="O2967">
        <f>-764.594439014148 -79.5780785812251 -705.370322883273</f>
        <v>-1549.5428404786462</v>
      </c>
      <c r="P2967">
        <f>-698.191846860502 -76.9088814116792 -395.903375122387</f>
        <v>-1171.0041033945681</v>
      </c>
      <c r="Q2967">
        <f>-446.739644676547 -10.4728886151313 -395.572230146812</f>
        <v>-852.78476343849024</v>
      </c>
      <c r="R2967" t="s">
        <v>61933</v>
      </c>
      <c r="S2967" t="s">
        <v>61934</v>
      </c>
      <c r="T2967" t="s">
        <v>61935</v>
      </c>
      <c r="U2967" t="s">
        <v>61936</v>
      </c>
      <c r="V2967" t="s">
        <v>61937</v>
      </c>
      <c r="W2967" t="s">
        <v>61938</v>
      </c>
      <c r="X2967" t="s">
        <v>61939</v>
      </c>
      <c r="Y2967" t="s">
        <v>61940</v>
      </c>
    </row>
    <row r="2968" spans="1:25" x14ac:dyDescent="0.3">
      <c r="A2968">
        <v>148350</v>
      </c>
      <c r="B2968" t="s">
        <v>61941</v>
      </c>
      <c r="C2968" t="s">
        <v>61942</v>
      </c>
      <c r="D2968" t="s">
        <v>61943</v>
      </c>
      <c r="E2968" t="s">
        <v>61944</v>
      </c>
      <c r="F2968" t="s">
        <v>61945</v>
      </c>
      <c r="G2968" t="s">
        <v>61946</v>
      </c>
      <c r="H2968" t="s">
        <v>61947</v>
      </c>
      <c r="I2968" t="s">
        <v>61948</v>
      </c>
      <c r="J2968" t="s">
        <v>61949</v>
      </c>
      <c r="K2968" t="s">
        <v>61950</v>
      </c>
      <c r="L2968" t="s">
        <v>61951</v>
      </c>
      <c r="M2968" t="s">
        <v>61952</v>
      </c>
      <c r="N2968" t="s">
        <v>61953</v>
      </c>
      <c r="O2968">
        <f>-765.226326606959 -79.3608959318224 -705.433818093595</f>
        <v>-1550.0210406323763</v>
      </c>
      <c r="P2968">
        <f>-697.056034333873 -78.561638965017 -396.34097958636</f>
        <v>-1171.9586528852499</v>
      </c>
      <c r="Q2968">
        <f>-445.520540679225 -12.4601620567441 -397.92795455442</f>
        <v>-855.9086572903891</v>
      </c>
      <c r="R2968" t="s">
        <v>61954</v>
      </c>
      <c r="S2968" t="s">
        <v>61955</v>
      </c>
      <c r="T2968" t="s">
        <v>61956</v>
      </c>
      <c r="U2968" t="s">
        <v>61957</v>
      </c>
      <c r="V2968" t="s">
        <v>61958</v>
      </c>
      <c r="W2968" t="s">
        <v>61959</v>
      </c>
      <c r="X2968" t="s">
        <v>61960</v>
      </c>
      <c r="Y2968" t="s">
        <v>61961</v>
      </c>
    </row>
    <row r="2969" spans="1:25" x14ac:dyDescent="0.3">
      <c r="A2969">
        <v>148400</v>
      </c>
      <c r="B2969" t="s">
        <v>61962</v>
      </c>
      <c r="C2969" t="s">
        <v>61963</v>
      </c>
      <c r="D2969" t="s">
        <v>61964</v>
      </c>
      <c r="E2969" t="s">
        <v>61965</v>
      </c>
      <c r="F2969" t="s">
        <v>61966</v>
      </c>
      <c r="G2969" t="s">
        <v>61967</v>
      </c>
      <c r="H2969" t="s">
        <v>61968</v>
      </c>
      <c r="I2969" t="s">
        <v>61969</v>
      </c>
      <c r="J2969" t="s">
        <v>61970</v>
      </c>
      <c r="K2969" t="s">
        <v>61971</v>
      </c>
      <c r="L2969" t="s">
        <v>61972</v>
      </c>
      <c r="M2969" t="s">
        <v>61973</v>
      </c>
      <c r="N2969" t="s">
        <v>61974</v>
      </c>
      <c r="O2969">
        <f>-765.39755499146 -79.4012961739704 -705.515307849462</f>
        <v>-1550.3141590148925</v>
      </c>
      <c r="P2969">
        <f>-696.690131900496 -78.5853605434593 -396.54158937534</f>
        <v>-1171.8170818192953</v>
      </c>
      <c r="Q2969">
        <f>-445.012274788599 -13.0550990243541 -399.0150599615</f>
        <v>-857.08243377445308</v>
      </c>
      <c r="R2969" t="s">
        <v>61975</v>
      </c>
      <c r="S2969" t="s">
        <v>61976</v>
      </c>
      <c r="T2969" t="s">
        <v>61977</v>
      </c>
      <c r="U2969" t="s">
        <v>61978</v>
      </c>
      <c r="V2969" t="s">
        <v>61979</v>
      </c>
      <c r="W2969" t="s">
        <v>61980</v>
      </c>
      <c r="X2969" t="s">
        <v>61981</v>
      </c>
      <c r="Y2969" t="s">
        <v>61982</v>
      </c>
    </row>
    <row r="2970" spans="1:25" x14ac:dyDescent="0.3">
      <c r="A2970">
        <v>148450</v>
      </c>
      <c r="B2970" t="s">
        <v>61983</v>
      </c>
      <c r="C2970" t="s">
        <v>61984</v>
      </c>
      <c r="D2970" t="s">
        <v>61985</v>
      </c>
      <c r="E2970" t="s">
        <v>61986</v>
      </c>
      <c r="F2970" t="s">
        <v>61987</v>
      </c>
      <c r="G2970" t="s">
        <v>61988</v>
      </c>
      <c r="H2970" t="s">
        <v>61989</v>
      </c>
      <c r="I2970" t="s">
        <v>61990</v>
      </c>
      <c r="J2970" t="s">
        <v>61991</v>
      </c>
      <c r="K2970" t="s">
        <v>61992</v>
      </c>
      <c r="L2970" t="s">
        <v>61993</v>
      </c>
      <c r="M2970" t="s">
        <v>61994</v>
      </c>
      <c r="N2970" t="s">
        <v>61995</v>
      </c>
      <c r="O2970">
        <f>-765.089342046863 -79.6314026122175 -705.561635218451</f>
        <v>-1550.2823798775314</v>
      </c>
      <c r="P2970">
        <f>-696.343089736951 -78.050378816675 -396.599276161192</f>
        <v>-1170.9927447148179</v>
      </c>
      <c r="Q2970">
        <f>-443.570936212936 -16.8278777044104 -396.922144756775</f>
        <v>-857.32095867412136</v>
      </c>
      <c r="R2970" t="s">
        <v>61996</v>
      </c>
      <c r="S2970" t="s">
        <v>61997</v>
      </c>
      <c r="T2970" t="s">
        <v>61998</v>
      </c>
      <c r="U2970" t="s">
        <v>61999</v>
      </c>
      <c r="V2970" t="s">
        <v>62000</v>
      </c>
      <c r="W2970" t="s">
        <v>62001</v>
      </c>
      <c r="X2970" t="s">
        <v>62002</v>
      </c>
      <c r="Y2970" t="s">
        <v>62003</v>
      </c>
    </row>
    <row r="2971" spans="1:25" x14ac:dyDescent="0.3">
      <c r="A2971">
        <v>148500</v>
      </c>
      <c r="B2971" t="s">
        <v>62004</v>
      </c>
      <c r="C2971" t="s">
        <v>62005</v>
      </c>
      <c r="D2971" t="s">
        <v>62006</v>
      </c>
      <c r="E2971" t="s">
        <v>62007</v>
      </c>
      <c r="F2971" t="s">
        <v>62008</v>
      </c>
      <c r="G2971" t="s">
        <v>62009</v>
      </c>
      <c r="H2971" t="s">
        <v>62010</v>
      </c>
      <c r="I2971" t="s">
        <v>62011</v>
      </c>
      <c r="J2971" t="s">
        <v>62012</v>
      </c>
      <c r="K2971" t="s">
        <v>62013</v>
      </c>
      <c r="L2971" t="s">
        <v>62014</v>
      </c>
      <c r="M2971" t="s">
        <v>62015</v>
      </c>
      <c r="N2971" t="s">
        <v>62016</v>
      </c>
      <c r="O2971">
        <f>-764.754710143004 -79.9805333132899 -705.500782108674</f>
        <v>-1550.2360255649678</v>
      </c>
      <c r="P2971">
        <f>-696.493416338505 -78.089218438048 -396.432773535759</f>
        <v>-1171.015408312312</v>
      </c>
      <c r="Q2971">
        <f>-443.210491203077 -19.0794285781114 -393.669586504814</f>
        <v>-855.95950628600235</v>
      </c>
      <c r="R2971" t="s">
        <v>62017</v>
      </c>
      <c r="S2971" t="s">
        <v>62018</v>
      </c>
      <c r="T2971" t="s">
        <v>62019</v>
      </c>
      <c r="U2971" t="s">
        <v>62020</v>
      </c>
      <c r="V2971" t="s">
        <v>62021</v>
      </c>
      <c r="W2971" t="s">
        <v>62022</v>
      </c>
      <c r="X2971" t="s">
        <v>62023</v>
      </c>
      <c r="Y2971" t="s">
        <v>62024</v>
      </c>
    </row>
    <row r="2972" spans="1:25" x14ac:dyDescent="0.3">
      <c r="A2972">
        <v>148550</v>
      </c>
      <c r="B2972" t="s">
        <v>62025</v>
      </c>
      <c r="C2972" t="s">
        <v>62026</v>
      </c>
      <c r="D2972" t="s">
        <v>62027</v>
      </c>
      <c r="E2972" t="s">
        <v>62028</v>
      </c>
      <c r="F2972" t="s">
        <v>62029</v>
      </c>
      <c r="G2972" t="s">
        <v>62030</v>
      </c>
      <c r="H2972" t="s">
        <v>62031</v>
      </c>
      <c r="I2972" t="s">
        <v>62032</v>
      </c>
      <c r="J2972" t="s">
        <v>62033</v>
      </c>
      <c r="K2972" t="s">
        <v>62034</v>
      </c>
      <c r="L2972" t="s">
        <v>62035</v>
      </c>
      <c r="M2972" t="s">
        <v>62036</v>
      </c>
      <c r="N2972" t="s">
        <v>62037</v>
      </c>
      <c r="O2972">
        <f>-763.002702816489 -80.8989791600679 -705.204315197775</f>
        <v>-1549.1059971743321</v>
      </c>
      <c r="P2972">
        <f>-696.69150041513 -77.8735909441223 -395.72099903422</f>
        <v>-1170.2860903934723</v>
      </c>
      <c r="Q2972">
        <f>-442.676609021158 -22.5169146947205 -388.362997695717</f>
        <v>-853.55652141159555</v>
      </c>
      <c r="R2972" t="s">
        <v>62038</v>
      </c>
      <c r="S2972" t="s">
        <v>62039</v>
      </c>
      <c r="T2972" t="s">
        <v>62040</v>
      </c>
      <c r="U2972" t="s">
        <v>62041</v>
      </c>
      <c r="V2972" t="s">
        <v>62042</v>
      </c>
      <c r="W2972" t="s">
        <v>62043</v>
      </c>
      <c r="X2972" t="s">
        <v>62044</v>
      </c>
      <c r="Y2972" t="s">
        <v>62045</v>
      </c>
    </row>
    <row r="2973" spans="1:25" x14ac:dyDescent="0.3">
      <c r="A2973">
        <v>148600</v>
      </c>
      <c r="B2973" t="s">
        <v>62046</v>
      </c>
      <c r="C2973" t="s">
        <v>62047</v>
      </c>
      <c r="D2973" t="s">
        <v>62048</v>
      </c>
      <c r="E2973" t="s">
        <v>62049</v>
      </c>
      <c r="F2973" t="s">
        <v>62050</v>
      </c>
      <c r="G2973" t="s">
        <v>62051</v>
      </c>
      <c r="H2973" t="s">
        <v>62052</v>
      </c>
      <c r="I2973" t="s">
        <v>62053</v>
      </c>
      <c r="J2973" t="s">
        <v>62054</v>
      </c>
      <c r="K2973" t="s">
        <v>62055</v>
      </c>
      <c r="L2973" t="s">
        <v>62056</v>
      </c>
      <c r="M2973" t="s">
        <v>62057</v>
      </c>
      <c r="N2973" t="s">
        <v>62058</v>
      </c>
      <c r="O2973">
        <f>-762.157220021398 -81.0060724172774 -705.094767725068</f>
        <v>-1548.2580601637433</v>
      </c>
      <c r="P2973">
        <f>-695.945044938487 -77.7924549270074 -395.592182139856</f>
        <v>-1169.3296820053504</v>
      </c>
      <c r="Q2973">
        <f>-441.831913643799 -23.1653189911942 -386.406268916333</f>
        <v>-851.40350155132614</v>
      </c>
      <c r="R2973" t="s">
        <v>62059</v>
      </c>
      <c r="S2973" t="s">
        <v>62060</v>
      </c>
      <c r="T2973" t="s">
        <v>62061</v>
      </c>
      <c r="U2973" t="s">
        <v>62062</v>
      </c>
      <c r="V2973" t="s">
        <v>62063</v>
      </c>
      <c r="W2973" t="s">
        <v>62064</v>
      </c>
      <c r="X2973" t="s">
        <v>62065</v>
      </c>
      <c r="Y2973" t="s">
        <v>62066</v>
      </c>
    </row>
    <row r="2974" spans="1:25" x14ac:dyDescent="0.3">
      <c r="A2974">
        <v>148650</v>
      </c>
      <c r="B2974" t="s">
        <v>62067</v>
      </c>
      <c r="C2974" t="s">
        <v>62068</v>
      </c>
      <c r="D2974" t="s">
        <v>62069</v>
      </c>
      <c r="E2974" t="s">
        <v>62070</v>
      </c>
      <c r="F2974" t="s">
        <v>62071</v>
      </c>
      <c r="G2974" t="s">
        <v>62072</v>
      </c>
      <c r="H2974" t="s">
        <v>62073</v>
      </c>
      <c r="I2974" t="s">
        <v>62074</v>
      </c>
      <c r="J2974" t="s">
        <v>62075</v>
      </c>
      <c r="K2974" t="s">
        <v>62076</v>
      </c>
      <c r="L2974" t="s">
        <v>62077</v>
      </c>
      <c r="M2974" t="s">
        <v>62078</v>
      </c>
      <c r="N2974" t="s">
        <v>62079</v>
      </c>
      <c r="O2974">
        <f>-760.505774425971 -81.39815127368 -705.017421767398</f>
        <v>-1546.9213474670491</v>
      </c>
      <c r="P2974">
        <f>-695.047019433516 -77.3674389782529 -395.364283136044</f>
        <v>-1167.7787415478128</v>
      </c>
      <c r="Q2974">
        <f>-441.032306594965 -22.2930988806454 -386.124146682638</f>
        <v>-849.44955215824848</v>
      </c>
      <c r="R2974" t="s">
        <v>62080</v>
      </c>
      <c r="S2974" t="s">
        <v>62081</v>
      </c>
      <c r="T2974" t="s">
        <v>62082</v>
      </c>
      <c r="U2974" t="s">
        <v>62083</v>
      </c>
      <c r="V2974" t="s">
        <v>62084</v>
      </c>
      <c r="W2974" t="s">
        <v>62085</v>
      </c>
      <c r="X2974" t="s">
        <v>62086</v>
      </c>
      <c r="Y2974" t="s">
        <v>62087</v>
      </c>
    </row>
    <row r="2975" spans="1:25" x14ac:dyDescent="0.3">
      <c r="A2975">
        <v>148700</v>
      </c>
      <c r="B2975" t="s">
        <v>62088</v>
      </c>
      <c r="C2975" t="s">
        <v>62089</v>
      </c>
      <c r="D2975" t="s">
        <v>62090</v>
      </c>
      <c r="E2975" t="s">
        <v>62091</v>
      </c>
      <c r="F2975" t="s">
        <v>62092</v>
      </c>
      <c r="G2975" t="s">
        <v>62093</v>
      </c>
      <c r="H2975" t="s">
        <v>62094</v>
      </c>
      <c r="I2975" t="s">
        <v>62095</v>
      </c>
      <c r="J2975" t="s">
        <v>62096</v>
      </c>
      <c r="K2975" t="s">
        <v>62097</v>
      </c>
      <c r="L2975" t="s">
        <v>62098</v>
      </c>
      <c r="M2975" t="s">
        <v>62099</v>
      </c>
      <c r="N2975" t="s">
        <v>62100</v>
      </c>
      <c r="O2975">
        <f>-759.483577039048 -81.2537235954501 -705.15660986401</f>
        <v>-1545.8939104985079</v>
      </c>
      <c r="P2975">
        <f>-694.235363984558 -77.6847542358726 -395.45344165391</f>
        <v>-1167.3735598743406</v>
      </c>
      <c r="Q2975">
        <f>-440.514203315866 -21.1665661779127 -386.887932496194</f>
        <v>-848.56870198997274</v>
      </c>
      <c r="R2975" t="s">
        <v>62101</v>
      </c>
      <c r="S2975" t="s">
        <v>62102</v>
      </c>
      <c r="T2975" t="s">
        <v>62103</v>
      </c>
      <c r="U2975" t="s">
        <v>62104</v>
      </c>
      <c r="V2975" t="s">
        <v>62105</v>
      </c>
      <c r="W2975" t="s">
        <v>62106</v>
      </c>
      <c r="X2975" t="s">
        <v>62107</v>
      </c>
      <c r="Y2975" t="s">
        <v>62108</v>
      </c>
    </row>
    <row r="2976" spans="1:25" x14ac:dyDescent="0.3">
      <c r="A2976">
        <v>148750</v>
      </c>
      <c r="B2976" t="s">
        <v>62109</v>
      </c>
      <c r="C2976" t="s">
        <v>62110</v>
      </c>
      <c r="D2976" t="s">
        <v>62111</v>
      </c>
      <c r="E2976" t="s">
        <v>62112</v>
      </c>
      <c r="F2976" t="s">
        <v>62113</v>
      </c>
      <c r="G2976" t="s">
        <v>62114</v>
      </c>
      <c r="H2976" t="s">
        <v>62115</v>
      </c>
      <c r="I2976" t="s">
        <v>62116</v>
      </c>
      <c r="J2976" t="s">
        <v>62117</v>
      </c>
      <c r="K2976" t="s">
        <v>62118</v>
      </c>
      <c r="L2976" t="s">
        <v>62119</v>
      </c>
      <c r="M2976" t="s">
        <v>62120</v>
      </c>
      <c r="N2976" t="s">
        <v>62121</v>
      </c>
      <c r="O2976">
        <f>-757.266397372415 -80.8091443642527 -705.6965183404</f>
        <v>-1543.7720600770676</v>
      </c>
      <c r="P2976">
        <f>-692.186930594362 -78.8679068105275 -395.943318671046</f>
        <v>-1166.9981560759356</v>
      </c>
      <c r="Q2976">
        <f>-439.244739041686 -18.6418388177524 -390.017664210635</f>
        <v>-847.90424207007345</v>
      </c>
      <c r="R2976" t="s">
        <v>62122</v>
      </c>
      <c r="S2976" t="s">
        <v>62123</v>
      </c>
      <c r="T2976" t="s">
        <v>62124</v>
      </c>
      <c r="U2976" t="s">
        <v>62125</v>
      </c>
      <c r="V2976" t="s">
        <v>62126</v>
      </c>
      <c r="W2976" t="s">
        <v>62127</v>
      </c>
      <c r="X2976" t="s">
        <v>62128</v>
      </c>
      <c r="Y2976" t="s">
        <v>62129</v>
      </c>
    </row>
    <row r="2977" spans="1:25" x14ac:dyDescent="0.3">
      <c r="A2977">
        <v>148800</v>
      </c>
      <c r="B2977" t="s">
        <v>62130</v>
      </c>
      <c r="C2977" t="s">
        <v>62131</v>
      </c>
      <c r="D2977" t="s">
        <v>62132</v>
      </c>
      <c r="E2977" t="s">
        <v>62133</v>
      </c>
      <c r="F2977" t="s">
        <v>62134</v>
      </c>
      <c r="G2977" t="s">
        <v>62135</v>
      </c>
      <c r="H2977" t="s">
        <v>62136</v>
      </c>
      <c r="I2977" t="s">
        <v>62137</v>
      </c>
      <c r="J2977" t="s">
        <v>62138</v>
      </c>
      <c r="K2977" t="s">
        <v>62139</v>
      </c>
      <c r="L2977" t="s">
        <v>62140</v>
      </c>
      <c r="M2977" t="s">
        <v>62141</v>
      </c>
      <c r="N2977" t="s">
        <v>62142</v>
      </c>
      <c r="O2977">
        <f>-756.163037647152 -80.5984726149613 -706.025630613472</f>
        <v>-1542.7871408755855</v>
      </c>
      <c r="P2977">
        <f>-691.521867586118 -78.6828114051334 -396.180494714611</f>
        <v>-1166.3851737058624</v>
      </c>
      <c r="Q2977">
        <f>-439.075813171536 -16.343990658173 -390.994799322631</f>
        <v>-846.41460315234008</v>
      </c>
      <c r="R2977" t="s">
        <v>62143</v>
      </c>
      <c r="S2977" t="s">
        <v>62144</v>
      </c>
      <c r="T2977" t="s">
        <v>62145</v>
      </c>
      <c r="U2977" t="s">
        <v>62146</v>
      </c>
      <c r="V2977" t="s">
        <v>62147</v>
      </c>
      <c r="W2977" t="s">
        <v>62148</v>
      </c>
      <c r="X2977" t="s">
        <v>62149</v>
      </c>
      <c r="Y2977" t="s">
        <v>62150</v>
      </c>
    </row>
    <row r="2978" spans="1:25" x14ac:dyDescent="0.3">
      <c r="A2978">
        <v>148850</v>
      </c>
      <c r="B2978" t="s">
        <v>62151</v>
      </c>
      <c r="C2978" t="s">
        <v>62152</v>
      </c>
      <c r="D2978" t="s">
        <v>62153</v>
      </c>
      <c r="E2978" t="s">
        <v>62154</v>
      </c>
      <c r="F2978" t="s">
        <v>62155</v>
      </c>
      <c r="G2978" t="s">
        <v>62156</v>
      </c>
      <c r="H2978" t="s">
        <v>62157</v>
      </c>
      <c r="I2978" t="s">
        <v>62158</v>
      </c>
      <c r="J2978" t="s">
        <v>62159</v>
      </c>
      <c r="K2978" t="s">
        <v>62160</v>
      </c>
      <c r="L2978" t="s">
        <v>62161</v>
      </c>
      <c r="M2978" t="s">
        <v>62162</v>
      </c>
      <c r="N2978" t="s">
        <v>62163</v>
      </c>
      <c r="O2978">
        <f>-753.417797548533 -80.6834226685969 -706.670519315543</f>
        <v>-1540.7717395326729</v>
      </c>
      <c r="P2978">
        <f>-689.893220795937 -79.0449982337211 -396.592906106708</f>
        <v>-1165.5311251363662</v>
      </c>
      <c r="Q2978">
        <f>-438.138757206968 -13.9182971730149 -392.092187666932</f>
        <v>-844.14924204691488</v>
      </c>
      <c r="R2978" t="s">
        <v>62164</v>
      </c>
      <c r="S2978" t="s">
        <v>62165</v>
      </c>
      <c r="T2978" t="s">
        <v>62166</v>
      </c>
      <c r="U2978" t="s">
        <v>62167</v>
      </c>
      <c r="V2978" t="s">
        <v>62168</v>
      </c>
      <c r="W2978" t="s">
        <v>62169</v>
      </c>
      <c r="X2978" t="s">
        <v>62170</v>
      </c>
      <c r="Y2978" t="s">
        <v>62171</v>
      </c>
    </row>
    <row r="2979" spans="1:25" x14ac:dyDescent="0.3">
      <c r="A2979">
        <v>148900</v>
      </c>
      <c r="B2979" t="s">
        <v>62172</v>
      </c>
      <c r="C2979" t="s">
        <v>62173</v>
      </c>
      <c r="D2979" t="s">
        <v>62174</v>
      </c>
      <c r="E2979" t="s">
        <v>62175</v>
      </c>
      <c r="F2979" t="s">
        <v>62176</v>
      </c>
      <c r="G2979" t="s">
        <v>62177</v>
      </c>
      <c r="H2979" t="s">
        <v>62178</v>
      </c>
      <c r="I2979" t="s">
        <v>62179</v>
      </c>
      <c r="J2979" t="s">
        <v>62180</v>
      </c>
      <c r="K2979" t="s">
        <v>62181</v>
      </c>
      <c r="L2979" t="s">
        <v>62182</v>
      </c>
      <c r="M2979" t="s">
        <v>62183</v>
      </c>
      <c r="N2979" t="s">
        <v>62184</v>
      </c>
      <c r="O2979">
        <f>-752.260712691356 -80.6350989260573 -706.942319721041</f>
        <v>-1539.8381313384543</v>
      </c>
      <c r="P2979">
        <f>-689.546729729507 -79.8473390361544 -396.696244765492</f>
        <v>-1166.0903135311532</v>
      </c>
      <c r="Q2979">
        <f>-438.318065349697 -12.6772751838746 -392.901354407944</f>
        <v>-843.89669494151553</v>
      </c>
      <c r="R2979" t="s">
        <v>62185</v>
      </c>
      <c r="S2979" t="s">
        <v>62186</v>
      </c>
      <c r="T2979" t="s">
        <v>62187</v>
      </c>
      <c r="U2979" t="s">
        <v>62188</v>
      </c>
      <c r="V2979" t="s">
        <v>62189</v>
      </c>
      <c r="W2979" t="s">
        <v>62190</v>
      </c>
      <c r="X2979" t="s">
        <v>62191</v>
      </c>
      <c r="Y2979" t="s">
        <v>62192</v>
      </c>
    </row>
    <row r="2980" spans="1:25" x14ac:dyDescent="0.3">
      <c r="A2980">
        <v>148950</v>
      </c>
      <c r="B2980" t="s">
        <v>62193</v>
      </c>
      <c r="C2980" t="s">
        <v>62194</v>
      </c>
      <c r="D2980" t="s">
        <v>62195</v>
      </c>
      <c r="E2980" t="s">
        <v>62196</v>
      </c>
      <c r="F2980" t="s">
        <v>62197</v>
      </c>
      <c r="G2980" t="s">
        <v>62198</v>
      </c>
      <c r="H2980" t="s">
        <v>62199</v>
      </c>
      <c r="I2980" t="s">
        <v>62200</v>
      </c>
      <c r="J2980" t="s">
        <v>62201</v>
      </c>
      <c r="K2980" t="s">
        <v>62202</v>
      </c>
      <c r="L2980" t="s">
        <v>62203</v>
      </c>
      <c r="M2980" t="s">
        <v>62204</v>
      </c>
      <c r="N2980" t="s">
        <v>62205</v>
      </c>
      <c r="O2980">
        <f>-749.788664969015 -80.2578651830761 -707.637573431715</f>
        <v>-1537.6841035838061</v>
      </c>
      <c r="P2980">
        <f>-688.013778465229 -80.0479759652526 -397.202480332439</f>
        <v>-1165.2642347629208</v>
      </c>
      <c r="Q2980">
        <f>-437.616206418633 -9.7832511930128 -394.743963544009</f>
        <v>-842.14342115565478</v>
      </c>
      <c r="R2980" t="s">
        <v>62206</v>
      </c>
      <c r="S2980" t="s">
        <v>62207</v>
      </c>
      <c r="T2980" t="s">
        <v>62208</v>
      </c>
      <c r="U2980" t="s">
        <v>62209</v>
      </c>
      <c r="V2980" t="s">
        <v>62210</v>
      </c>
      <c r="W2980" t="s">
        <v>62211</v>
      </c>
      <c r="X2980" t="s">
        <v>62212</v>
      </c>
      <c r="Y2980" t="s">
        <v>62213</v>
      </c>
    </row>
    <row r="2981" spans="1:25" x14ac:dyDescent="0.3">
      <c r="A2981">
        <v>149000</v>
      </c>
      <c r="B2981" t="s">
        <v>62214</v>
      </c>
      <c r="C2981" t="s">
        <v>62215</v>
      </c>
      <c r="D2981" t="s">
        <v>62216</v>
      </c>
      <c r="E2981" t="s">
        <v>62217</v>
      </c>
      <c r="F2981" t="s">
        <v>62218</v>
      </c>
      <c r="G2981" t="s">
        <v>62219</v>
      </c>
      <c r="H2981" t="s">
        <v>62220</v>
      </c>
      <c r="I2981" t="s">
        <v>62221</v>
      </c>
      <c r="J2981" t="s">
        <v>62222</v>
      </c>
      <c r="K2981" t="s">
        <v>62223</v>
      </c>
      <c r="L2981" t="s">
        <v>62224</v>
      </c>
      <c r="M2981" t="s">
        <v>62225</v>
      </c>
      <c r="N2981" t="s">
        <v>62226</v>
      </c>
      <c r="O2981">
        <f>-748.712392258215 -80.0803839683726 -707.787399739252</f>
        <v>-1536.5801759658398</v>
      </c>
      <c r="P2981">
        <f>-686.704840166233 -79.3218389417352 -397.399366313238</f>
        <v>-1163.4260454212063</v>
      </c>
      <c r="Q2981">
        <f>-436.378321900108 -8.82014919325388 -394.541686829903</f>
        <v>-839.74015792326486</v>
      </c>
      <c r="R2981" t="s">
        <v>62227</v>
      </c>
      <c r="S2981" t="s">
        <v>62228</v>
      </c>
      <c r="T2981" t="s">
        <v>62229</v>
      </c>
      <c r="U2981" t="s">
        <v>62230</v>
      </c>
      <c r="V2981" t="s">
        <v>62231</v>
      </c>
      <c r="W2981" t="s">
        <v>62232</v>
      </c>
      <c r="X2981" t="s">
        <v>62233</v>
      </c>
      <c r="Y2981" t="s">
        <v>62234</v>
      </c>
    </row>
    <row r="2982" spans="1:25" x14ac:dyDescent="0.3">
      <c r="A2982">
        <v>149050</v>
      </c>
      <c r="B2982" t="s">
        <v>62235</v>
      </c>
      <c r="C2982" t="s">
        <v>62236</v>
      </c>
      <c r="D2982" t="s">
        <v>62237</v>
      </c>
      <c r="E2982" t="s">
        <v>62238</v>
      </c>
      <c r="F2982" t="s">
        <v>62239</v>
      </c>
      <c r="G2982" t="s">
        <v>62240</v>
      </c>
      <c r="H2982" t="s">
        <v>62241</v>
      </c>
      <c r="I2982" t="s">
        <v>62242</v>
      </c>
      <c r="J2982" t="s">
        <v>62243</v>
      </c>
      <c r="K2982" t="s">
        <v>62244</v>
      </c>
      <c r="L2982" t="s">
        <v>62245</v>
      </c>
      <c r="M2982" t="s">
        <v>62246</v>
      </c>
      <c r="N2982" t="s">
        <v>62247</v>
      </c>
      <c r="O2982">
        <f>-746.79407565756 -80.3507411984351 -707.914419191265</f>
        <v>-1535.0592360472601</v>
      </c>
      <c r="P2982">
        <f>-686.054118227343 -78.6241687363588 -397.27981158829</f>
        <v>-1161.9580985519917</v>
      </c>
      <c r="Q2982">
        <f>-435.848226125827 -7.66314798499275 -395.372857682549</f>
        <v>-838.88423179336883</v>
      </c>
      <c r="R2982" t="s">
        <v>62248</v>
      </c>
      <c r="S2982" t="s">
        <v>62249</v>
      </c>
      <c r="T2982" t="s">
        <v>62250</v>
      </c>
      <c r="U2982" t="s">
        <v>62251</v>
      </c>
      <c r="V2982" t="s">
        <v>62252</v>
      </c>
      <c r="W2982" t="s">
        <v>62253</v>
      </c>
      <c r="X2982" t="s">
        <v>62254</v>
      </c>
      <c r="Y2982" t="s">
        <v>62255</v>
      </c>
    </row>
    <row r="2983" spans="1:25" x14ac:dyDescent="0.3">
      <c r="A2983">
        <v>149100</v>
      </c>
      <c r="B2983" t="s">
        <v>62256</v>
      </c>
      <c r="C2983" t="s">
        <v>62257</v>
      </c>
      <c r="D2983" t="s">
        <v>62258</v>
      </c>
      <c r="E2983" t="s">
        <v>62259</v>
      </c>
      <c r="F2983" t="s">
        <v>62260</v>
      </c>
      <c r="G2983" t="s">
        <v>62261</v>
      </c>
      <c r="H2983" t="s">
        <v>62262</v>
      </c>
      <c r="I2983" t="s">
        <v>62263</v>
      </c>
      <c r="J2983" t="s">
        <v>62264</v>
      </c>
      <c r="K2983" t="s">
        <v>62265</v>
      </c>
      <c r="L2983" t="s">
        <v>62266</v>
      </c>
      <c r="M2983" t="s">
        <v>62267</v>
      </c>
      <c r="N2983" t="s">
        <v>62268</v>
      </c>
      <c r="O2983">
        <f>-745.200067590527 -80.0250985815285 -708.117964865756</f>
        <v>-1533.3431310378114</v>
      </c>
      <c r="P2983">
        <f>-685.105970657789 -80.043891600071 -397.353058516546</f>
        <v>-1162.502920774406</v>
      </c>
      <c r="Q2983">
        <f>-435.141017017812 -8.21374975469143 -397.114457490688</f>
        <v>-840.46922426319134</v>
      </c>
      <c r="R2983" t="s">
        <v>62269</v>
      </c>
      <c r="S2983" t="s">
        <v>62270</v>
      </c>
      <c r="T2983" t="s">
        <v>62271</v>
      </c>
      <c r="U2983" t="s">
        <v>62272</v>
      </c>
      <c r="V2983" t="s">
        <v>62273</v>
      </c>
      <c r="W2983" t="s">
        <v>62274</v>
      </c>
      <c r="X2983" t="s">
        <v>62275</v>
      </c>
      <c r="Y2983" t="s">
        <v>62276</v>
      </c>
    </row>
    <row r="2984" spans="1:25" x14ac:dyDescent="0.3">
      <c r="A2984">
        <v>149150</v>
      </c>
      <c r="B2984" t="s">
        <v>62277</v>
      </c>
      <c r="C2984" t="s">
        <v>62278</v>
      </c>
      <c r="D2984" t="s">
        <v>62279</v>
      </c>
      <c r="E2984" t="s">
        <v>62280</v>
      </c>
      <c r="F2984" t="s">
        <v>62281</v>
      </c>
      <c r="G2984" t="s">
        <v>62282</v>
      </c>
      <c r="H2984" t="s">
        <v>62283</v>
      </c>
      <c r="I2984" t="s">
        <v>62284</v>
      </c>
      <c r="J2984" t="s">
        <v>62285</v>
      </c>
      <c r="K2984" t="s">
        <v>62286</v>
      </c>
      <c r="L2984" t="s">
        <v>62287</v>
      </c>
      <c r="M2984" t="s">
        <v>62288</v>
      </c>
      <c r="N2984" t="s">
        <v>62289</v>
      </c>
      <c r="O2984">
        <f>-744.316239250888 -79.5383245653134 -708.096830500124</f>
        <v>-1531.9513943163254</v>
      </c>
      <c r="P2984">
        <f>-685.234431696397 -78.8883879671682 -397.138402721234</f>
        <v>-1161.2612223847991</v>
      </c>
      <c r="Q2984">
        <f>-434.636395735694 -9.33474985825569 -399.366419556573</f>
        <v>-843.33756515052278</v>
      </c>
      <c r="R2984" t="s">
        <v>62290</v>
      </c>
      <c r="S2984" t="s">
        <v>62291</v>
      </c>
      <c r="T2984" t="s">
        <v>62292</v>
      </c>
      <c r="U2984" t="s">
        <v>62293</v>
      </c>
      <c r="V2984" t="s">
        <v>62294</v>
      </c>
      <c r="W2984" t="s">
        <v>62295</v>
      </c>
      <c r="X2984" t="s">
        <v>62296</v>
      </c>
      <c r="Y2984" t="s">
        <v>62297</v>
      </c>
    </row>
    <row r="2985" spans="1:25" x14ac:dyDescent="0.3">
      <c r="A2985">
        <v>149200</v>
      </c>
      <c r="B2985" t="s">
        <v>62298</v>
      </c>
      <c r="C2985" t="s">
        <v>62299</v>
      </c>
      <c r="D2985" t="s">
        <v>62300</v>
      </c>
      <c r="E2985" t="s">
        <v>62301</v>
      </c>
      <c r="F2985" t="s">
        <v>62302</v>
      </c>
      <c r="G2985" t="s">
        <v>62303</v>
      </c>
      <c r="H2985" t="s">
        <v>62304</v>
      </c>
      <c r="I2985" t="s">
        <v>62305</v>
      </c>
      <c r="J2985" t="s">
        <v>62306</v>
      </c>
      <c r="K2985" t="s">
        <v>62307</v>
      </c>
      <c r="L2985" t="s">
        <v>62308</v>
      </c>
      <c r="M2985" t="s">
        <v>62309</v>
      </c>
      <c r="N2985" t="s">
        <v>62310</v>
      </c>
      <c r="O2985">
        <f>-744.346511964851 -79.2310257091319 -708.024956416605</f>
        <v>-1531.6024940905879</v>
      </c>
      <c r="P2985">
        <f>-685.510892024247 -78.4063207342635 -397.0202845764</f>
        <v>-1160.9374973349106</v>
      </c>
      <c r="Q2985">
        <f>-434.18832872893 -11.548941656921 -400.041316427661</f>
        <v>-845.77858681351199</v>
      </c>
      <c r="R2985" t="s">
        <v>62311</v>
      </c>
      <c r="S2985" t="s">
        <v>62312</v>
      </c>
      <c r="T2985" t="s">
        <v>62313</v>
      </c>
      <c r="U2985" t="s">
        <v>62314</v>
      </c>
      <c r="V2985" t="s">
        <v>62315</v>
      </c>
      <c r="W2985" t="s">
        <v>62316</v>
      </c>
      <c r="X2985" t="s">
        <v>62317</v>
      </c>
      <c r="Y2985" t="s">
        <v>62318</v>
      </c>
    </row>
    <row r="2986" spans="1:25" x14ac:dyDescent="0.3">
      <c r="A2986">
        <v>149250</v>
      </c>
      <c r="B2986" t="s">
        <v>62319</v>
      </c>
      <c r="C2986" t="s">
        <v>62320</v>
      </c>
      <c r="D2986" t="s">
        <v>62321</v>
      </c>
      <c r="E2986" t="s">
        <v>62322</v>
      </c>
      <c r="F2986" t="s">
        <v>62323</v>
      </c>
      <c r="G2986" t="s">
        <v>62324</v>
      </c>
      <c r="H2986" t="s">
        <v>62325</v>
      </c>
      <c r="I2986" t="s">
        <v>62326</v>
      </c>
      <c r="J2986" t="s">
        <v>62327</v>
      </c>
      <c r="K2986" t="s">
        <v>62328</v>
      </c>
      <c r="L2986" t="s">
        <v>62329</v>
      </c>
      <c r="M2986" t="s">
        <v>62330</v>
      </c>
      <c r="N2986" t="s">
        <v>62331</v>
      </c>
      <c r="O2986">
        <f>-744.523683946416 -78.1629187812434 -708.019915478497</f>
        <v>-1530.7065182061565</v>
      </c>
      <c r="P2986">
        <f>-686.615640103907 -77.5077613476885 -396.840872453497</f>
        <v>-1160.9642739050926</v>
      </c>
      <c r="Q2986">
        <f>-434.110423177543 -15.2744581958061 -400.033607946767</f>
        <v>-849.41848932011612</v>
      </c>
      <c r="R2986" t="s">
        <v>62332</v>
      </c>
      <c r="S2986" t="s">
        <v>62333</v>
      </c>
      <c r="T2986" t="s">
        <v>62334</v>
      </c>
      <c r="U2986" t="s">
        <v>62335</v>
      </c>
      <c r="V2986" t="s">
        <v>62336</v>
      </c>
      <c r="W2986" t="s">
        <v>62337</v>
      </c>
      <c r="X2986" t="s">
        <v>62338</v>
      </c>
      <c r="Y2986" t="s">
        <v>62339</v>
      </c>
    </row>
    <row r="2987" spans="1:25" x14ac:dyDescent="0.3">
      <c r="A2987">
        <v>149300</v>
      </c>
      <c r="B2987" t="s">
        <v>62340</v>
      </c>
      <c r="C2987" t="s">
        <v>62341</v>
      </c>
      <c r="D2987" t="s">
        <v>62342</v>
      </c>
      <c r="E2987" t="s">
        <v>62343</v>
      </c>
      <c r="F2987" t="s">
        <v>62344</v>
      </c>
      <c r="G2987" t="s">
        <v>62345</v>
      </c>
      <c r="H2987" t="s">
        <v>62346</v>
      </c>
      <c r="I2987" t="s">
        <v>62347</v>
      </c>
      <c r="J2987" t="s">
        <v>62348</v>
      </c>
      <c r="K2987" t="s">
        <v>62349</v>
      </c>
      <c r="L2987" t="s">
        <v>62350</v>
      </c>
      <c r="M2987" t="s">
        <v>62351</v>
      </c>
      <c r="N2987" t="s">
        <v>62352</v>
      </c>
      <c r="O2987">
        <f>-744.841731518316 -76.6413437236133 -708.244247132925</f>
        <v>-1529.7273223748543</v>
      </c>
      <c r="P2987">
        <f>-687.689061251478 -76.5905908677764 -396.924843532703</f>
        <v>-1161.2044956519576</v>
      </c>
      <c r="Q2987">
        <f>-434.216230149055 -18.3814669559747 -399.21657637526</f>
        <v>-851.81427348028967</v>
      </c>
      <c r="R2987" t="s">
        <v>62353</v>
      </c>
      <c r="S2987" t="s">
        <v>62354</v>
      </c>
      <c r="T2987" t="s">
        <v>62355</v>
      </c>
      <c r="U2987" t="s">
        <v>62356</v>
      </c>
      <c r="V2987" t="s">
        <v>62357</v>
      </c>
      <c r="W2987" t="s">
        <v>62358</v>
      </c>
      <c r="X2987" t="s">
        <v>62359</v>
      </c>
      <c r="Y2987" t="s">
        <v>62360</v>
      </c>
    </row>
    <row r="2988" spans="1:25" x14ac:dyDescent="0.3">
      <c r="A2988">
        <v>149350</v>
      </c>
      <c r="B2988" t="s">
        <v>62361</v>
      </c>
      <c r="C2988" t="s">
        <v>62362</v>
      </c>
      <c r="D2988" t="s">
        <v>62363</v>
      </c>
      <c r="E2988" t="s">
        <v>62364</v>
      </c>
      <c r="F2988" t="s">
        <v>62365</v>
      </c>
      <c r="G2988" t="s">
        <v>62366</v>
      </c>
      <c r="H2988" t="s">
        <v>62367</v>
      </c>
      <c r="I2988" t="s">
        <v>62368</v>
      </c>
      <c r="J2988" t="s">
        <v>62369</v>
      </c>
      <c r="K2988" t="s">
        <v>62370</v>
      </c>
      <c r="L2988" t="s">
        <v>62371</v>
      </c>
      <c r="M2988" t="s">
        <v>62372</v>
      </c>
      <c r="N2988" t="s">
        <v>62373</v>
      </c>
      <c r="O2988">
        <f>-745.041058968982 -76.0868854426947 -708.287960759904</f>
        <v>-1529.4159051715806</v>
      </c>
      <c r="P2988">
        <f>-688.280196063844 -75.7301997277743 -396.896968015305</f>
        <v>-1160.9073638069233</v>
      </c>
      <c r="Q2988">
        <f>-434.131172366197 -20.5209498550598 -398.394767539497</f>
        <v>-853.04688976075386</v>
      </c>
      <c r="R2988" t="s">
        <v>62374</v>
      </c>
      <c r="S2988" t="s">
        <v>62375</v>
      </c>
      <c r="T2988" t="s">
        <v>62376</v>
      </c>
      <c r="U2988" t="s">
        <v>62377</v>
      </c>
      <c r="V2988" t="s">
        <v>62378</v>
      </c>
      <c r="W2988" t="s">
        <v>62379</v>
      </c>
      <c r="X2988" t="s">
        <v>62380</v>
      </c>
      <c r="Y2988" t="s">
        <v>62381</v>
      </c>
    </row>
    <row r="2989" spans="1:25" x14ac:dyDescent="0.3">
      <c r="A2989">
        <v>149400</v>
      </c>
      <c r="B2989" t="s">
        <v>62382</v>
      </c>
      <c r="C2989" t="s">
        <v>62383</v>
      </c>
      <c r="D2989" t="s">
        <v>62384</v>
      </c>
      <c r="E2989" t="s">
        <v>62385</v>
      </c>
      <c r="F2989" t="s">
        <v>62386</v>
      </c>
      <c r="G2989" t="s">
        <v>62387</v>
      </c>
      <c r="H2989" t="s">
        <v>62388</v>
      </c>
      <c r="I2989" t="s">
        <v>62389</v>
      </c>
      <c r="J2989" t="s">
        <v>62390</v>
      </c>
      <c r="K2989" t="s">
        <v>62391</v>
      </c>
      <c r="L2989" t="s">
        <v>62392</v>
      </c>
      <c r="M2989" t="s">
        <v>62393</v>
      </c>
      <c r="N2989" t="s">
        <v>62394</v>
      </c>
      <c r="O2989">
        <f>-745.27101267669 -75.4740127504479 -708.384690333703</f>
        <v>-1529.129715760841</v>
      </c>
      <c r="P2989">
        <f>-688.497831849481 -75.0272901330438 -396.996203826098</f>
        <v>-1160.5213258086228</v>
      </c>
      <c r="Q2989">
        <f>-433.809504910347 -22.3469894757638 -397.853522664361</f>
        <v>-854.01001705047179</v>
      </c>
      <c r="R2989" t="s">
        <v>62395</v>
      </c>
      <c r="S2989" t="s">
        <v>62396</v>
      </c>
      <c r="T2989" t="s">
        <v>62397</v>
      </c>
      <c r="U2989" t="s">
        <v>62398</v>
      </c>
      <c r="V2989" t="s">
        <v>62399</v>
      </c>
      <c r="W2989" t="s">
        <v>62400</v>
      </c>
      <c r="X2989" t="s">
        <v>62401</v>
      </c>
      <c r="Y2989" t="s">
        <v>62402</v>
      </c>
    </row>
    <row r="2990" spans="1:25" x14ac:dyDescent="0.3">
      <c r="A2990">
        <v>149450</v>
      </c>
      <c r="B2990" t="s">
        <v>62403</v>
      </c>
      <c r="C2990" t="s">
        <v>62404</v>
      </c>
      <c r="D2990" t="s">
        <v>62405</v>
      </c>
      <c r="E2990" t="s">
        <v>62406</v>
      </c>
      <c r="F2990" t="s">
        <v>62407</v>
      </c>
      <c r="G2990" t="s">
        <v>62408</v>
      </c>
      <c r="H2990" t="s">
        <v>62409</v>
      </c>
      <c r="I2990" t="s">
        <v>62410</v>
      </c>
      <c r="J2990" t="s">
        <v>62411</v>
      </c>
      <c r="K2990" t="s">
        <v>62412</v>
      </c>
      <c r="L2990" t="s">
        <v>62413</v>
      </c>
      <c r="M2990" t="s">
        <v>62414</v>
      </c>
      <c r="N2990" t="s">
        <v>62415</v>
      </c>
      <c r="O2990">
        <f>-746.307114426969 -74.3075031670189 -708.727256825522</f>
        <v>-1529.3418744195098</v>
      </c>
      <c r="P2990">
        <f>-690.018929506215 -74.0822158269875 -397.250561990516</f>
        <v>-1161.3517073237185</v>
      </c>
      <c r="Q2990">
        <f>-434.33885807385 -26.4775463449275 -395.354711676684</f>
        <v>-856.17111609546146</v>
      </c>
      <c r="R2990" t="s">
        <v>62416</v>
      </c>
      <c r="S2990" t="s">
        <v>62417</v>
      </c>
      <c r="T2990" t="s">
        <v>62418</v>
      </c>
      <c r="U2990" t="s">
        <v>62419</v>
      </c>
      <c r="V2990" t="s">
        <v>62420</v>
      </c>
      <c r="W2990" t="s">
        <v>62421</v>
      </c>
      <c r="X2990" t="s">
        <v>62422</v>
      </c>
      <c r="Y2990" t="s">
        <v>62423</v>
      </c>
    </row>
    <row r="2991" spans="1:25" x14ac:dyDescent="0.3">
      <c r="A2991">
        <v>149500</v>
      </c>
      <c r="B2991" t="s">
        <v>62424</v>
      </c>
      <c r="C2991" t="s">
        <v>62425</v>
      </c>
      <c r="D2991" t="s">
        <v>62426</v>
      </c>
      <c r="E2991" t="s">
        <v>62427</v>
      </c>
      <c r="F2991" t="s">
        <v>62428</v>
      </c>
      <c r="G2991" t="s">
        <v>62429</v>
      </c>
      <c r="H2991" t="s">
        <v>62430</v>
      </c>
      <c r="I2991" t="s">
        <v>62431</v>
      </c>
      <c r="J2991" t="s">
        <v>62432</v>
      </c>
      <c r="K2991" t="s">
        <v>62433</v>
      </c>
      <c r="L2991" t="s">
        <v>62434</v>
      </c>
      <c r="M2991" t="s">
        <v>62435</v>
      </c>
      <c r="N2991" t="s">
        <v>62436</v>
      </c>
      <c r="O2991">
        <f>-746.499797086596 -73.4531832308044 -709.108778595123</f>
        <v>-1529.0617589125234</v>
      </c>
      <c r="P2991">
        <f>-690.496480093051 -73.5104310613758 -397.580655193854</f>
        <v>-1161.5875663482807</v>
      </c>
      <c r="Q2991">
        <f>-434.588944986367 -27.2665906570185 -393.722594271982</f>
        <v>-855.57812991536753</v>
      </c>
      <c r="R2991" t="s">
        <v>62437</v>
      </c>
      <c r="S2991" t="s">
        <v>62438</v>
      </c>
      <c r="T2991" t="s">
        <v>62439</v>
      </c>
      <c r="U2991" t="s">
        <v>62440</v>
      </c>
      <c r="V2991" t="s">
        <v>62441</v>
      </c>
      <c r="W2991" t="s">
        <v>62442</v>
      </c>
      <c r="X2991" t="s">
        <v>62443</v>
      </c>
      <c r="Y2991" t="s">
        <v>62444</v>
      </c>
    </row>
    <row r="2992" spans="1:25" x14ac:dyDescent="0.3">
      <c r="A2992">
        <v>149550</v>
      </c>
      <c r="B2992" t="s">
        <v>62445</v>
      </c>
      <c r="C2992" t="s">
        <v>62446</v>
      </c>
      <c r="D2992" t="s">
        <v>62447</v>
      </c>
      <c r="E2992" t="s">
        <v>62448</v>
      </c>
      <c r="F2992" t="s">
        <v>62449</v>
      </c>
      <c r="G2992" t="s">
        <v>62450</v>
      </c>
      <c r="H2992" t="s">
        <v>62451</v>
      </c>
      <c r="I2992" t="s">
        <v>62452</v>
      </c>
      <c r="J2992" t="s">
        <v>62453</v>
      </c>
      <c r="K2992" t="s">
        <v>62454</v>
      </c>
      <c r="L2992" t="s">
        <v>62455</v>
      </c>
      <c r="M2992" t="s">
        <v>62456</v>
      </c>
      <c r="N2992" t="s">
        <v>62457</v>
      </c>
      <c r="O2992">
        <f>-746.768634397656 -72.5316484506197 -709.895776910859</f>
        <v>-1529.1960597591346</v>
      </c>
      <c r="P2992">
        <f>-692.688905436908 -73.2309934238076 -398.028671858925</f>
        <v>-1163.9485707196407</v>
      </c>
      <c r="Q2992">
        <f>-436.552788318802 -28.6357567810446 -391.12915234073</f>
        <v>-856.31769744057669</v>
      </c>
      <c r="R2992" t="s">
        <v>62458</v>
      </c>
      <c r="S2992" t="s">
        <v>62459</v>
      </c>
      <c r="T2992" t="s">
        <v>62460</v>
      </c>
      <c r="U2992" t="s">
        <v>62461</v>
      </c>
      <c r="V2992" t="s">
        <v>62462</v>
      </c>
      <c r="W2992" t="s">
        <v>62463</v>
      </c>
      <c r="X2992" t="s">
        <v>62464</v>
      </c>
      <c r="Y2992" t="s">
        <v>62465</v>
      </c>
    </row>
    <row r="2993" spans="1:25" x14ac:dyDescent="0.3">
      <c r="A2993">
        <v>149600</v>
      </c>
      <c r="B2993" t="s">
        <v>62466</v>
      </c>
      <c r="C2993" t="s">
        <v>62467</v>
      </c>
      <c r="D2993" t="s">
        <v>62468</v>
      </c>
      <c r="E2993" t="s">
        <v>62469</v>
      </c>
      <c r="F2993" t="s">
        <v>62470</v>
      </c>
      <c r="G2993" t="s">
        <v>62471</v>
      </c>
      <c r="H2993" t="s">
        <v>62472</v>
      </c>
      <c r="I2993" t="s">
        <v>62473</v>
      </c>
      <c r="J2993" t="s">
        <v>62474</v>
      </c>
      <c r="K2993" t="s">
        <v>62475</v>
      </c>
      <c r="L2993" t="s">
        <v>62476</v>
      </c>
      <c r="M2993" t="s">
        <v>62477</v>
      </c>
      <c r="N2993" t="s">
        <v>62478</v>
      </c>
      <c r="O2993">
        <f>-747.34920164882 -72.0682934118431 -710.456654896105</f>
        <v>-1529.8741499567682</v>
      </c>
      <c r="P2993">
        <f>-694.617492352398 -73.3847399979804 -398.360848964444</f>
        <v>-1166.3630813148225</v>
      </c>
      <c r="Q2993">
        <f>-438.610443899872 -28.1943037716112 -390.600320120009</f>
        <v>-857.40506779149223</v>
      </c>
      <c r="R2993" t="s">
        <v>62479</v>
      </c>
      <c r="S2993" t="s">
        <v>62480</v>
      </c>
      <c r="T2993" t="s">
        <v>62481</v>
      </c>
      <c r="U2993" t="s">
        <v>62482</v>
      </c>
      <c r="V2993" t="s">
        <v>62483</v>
      </c>
      <c r="W2993" t="s">
        <v>62484</v>
      </c>
      <c r="X2993" t="s">
        <v>62485</v>
      </c>
      <c r="Y2993" t="s">
        <v>62486</v>
      </c>
    </row>
    <row r="2994" spans="1:25" x14ac:dyDescent="0.3">
      <c r="A2994">
        <v>149650</v>
      </c>
      <c r="B2994" t="s">
        <v>62487</v>
      </c>
      <c r="C2994" t="s">
        <v>62488</v>
      </c>
      <c r="D2994" t="s">
        <v>62489</v>
      </c>
      <c r="E2994" t="s">
        <v>62490</v>
      </c>
      <c r="F2994" t="s">
        <v>62491</v>
      </c>
      <c r="G2994" t="s">
        <v>62492</v>
      </c>
      <c r="H2994" t="s">
        <v>62493</v>
      </c>
      <c r="I2994" t="s">
        <v>62494</v>
      </c>
      <c r="J2994" t="s">
        <v>62495</v>
      </c>
      <c r="K2994" t="s">
        <v>62496</v>
      </c>
      <c r="L2994" t="s">
        <v>62497</v>
      </c>
      <c r="M2994" t="s">
        <v>62498</v>
      </c>
      <c r="N2994" t="s">
        <v>62499</v>
      </c>
      <c r="O2994">
        <f>-748.098467962536 -71.6288076846529 -711.665946427321</f>
        <v>-1531.39322207451</v>
      </c>
      <c r="P2994">
        <f>-698.66871802198 -75.6566238666717 -399.05330623783</f>
        <v>-1173.3786481264817</v>
      </c>
      <c r="Q2994">
        <f>-442.645080378649 -31.0000369832123 -389.068234738044</f>
        <v>-862.71335209990525</v>
      </c>
      <c r="R2994" t="s">
        <v>62500</v>
      </c>
      <c r="S2994" t="s">
        <v>62501</v>
      </c>
      <c r="T2994" t="s">
        <v>62502</v>
      </c>
      <c r="U2994" t="s">
        <v>62503</v>
      </c>
      <c r="V2994" t="s">
        <v>62504</v>
      </c>
      <c r="W2994" t="s">
        <v>62505</v>
      </c>
      <c r="X2994" t="s">
        <v>62506</v>
      </c>
      <c r="Y2994" t="s">
        <v>62507</v>
      </c>
    </row>
    <row r="2995" spans="1:25" x14ac:dyDescent="0.3">
      <c r="A2995">
        <v>149700</v>
      </c>
      <c r="B2995" t="s">
        <v>62508</v>
      </c>
      <c r="C2995" t="s">
        <v>62509</v>
      </c>
      <c r="D2995" t="s">
        <v>62510</v>
      </c>
      <c r="E2995" t="s">
        <v>62511</v>
      </c>
      <c r="F2995" t="s">
        <v>62512</v>
      </c>
      <c r="G2995" t="s">
        <v>62513</v>
      </c>
      <c r="H2995" t="s">
        <v>62514</v>
      </c>
      <c r="I2995" t="s">
        <v>62515</v>
      </c>
      <c r="J2995" t="s">
        <v>62516</v>
      </c>
      <c r="K2995" t="s">
        <v>62517</v>
      </c>
      <c r="L2995" t="s">
        <v>62518</v>
      </c>
      <c r="M2995" t="s">
        <v>62519</v>
      </c>
      <c r="N2995" t="s">
        <v>62520</v>
      </c>
      <c r="O2995">
        <f>-748.222314801041 -71.2781481734485 -712.31211909315</f>
        <v>-1531.8125820676396</v>
      </c>
      <c r="P2995">
        <f>-701.264772010598 -77.70674015124 -399.358629226766</f>
        <v>-1178.330141388604</v>
      </c>
      <c r="Q2995">
        <f>-445.190375227954 -33.5703767231414 -388.405464375764</f>
        <v>-867.1662163268594</v>
      </c>
      <c r="R2995" t="s">
        <v>62521</v>
      </c>
      <c r="S2995" t="s">
        <v>62522</v>
      </c>
      <c r="T2995" t="s">
        <v>62523</v>
      </c>
      <c r="U2995" t="s">
        <v>62524</v>
      </c>
      <c r="V2995" t="s">
        <v>62525</v>
      </c>
      <c r="W2995" t="s">
        <v>62526</v>
      </c>
      <c r="X2995" t="s">
        <v>62527</v>
      </c>
      <c r="Y2995" t="s">
        <v>62528</v>
      </c>
    </row>
    <row r="2996" spans="1:25" x14ac:dyDescent="0.3">
      <c r="A2996">
        <v>149750</v>
      </c>
      <c r="B2996" t="s">
        <v>62529</v>
      </c>
      <c r="C2996" t="s">
        <v>62530</v>
      </c>
      <c r="D2996" t="s">
        <v>62531</v>
      </c>
      <c r="E2996" t="s">
        <v>62532</v>
      </c>
      <c r="F2996" t="s">
        <v>62533</v>
      </c>
      <c r="G2996" t="s">
        <v>62534</v>
      </c>
      <c r="H2996" t="s">
        <v>62535</v>
      </c>
      <c r="I2996" t="s">
        <v>62536</v>
      </c>
      <c r="J2996" t="s">
        <v>62537</v>
      </c>
      <c r="K2996" t="s">
        <v>62538</v>
      </c>
      <c r="L2996" t="s">
        <v>62539</v>
      </c>
      <c r="M2996" t="s">
        <v>62540</v>
      </c>
      <c r="N2996" t="s">
        <v>62541</v>
      </c>
      <c r="O2996">
        <f>-746.810505595523 -70.3144950241185 -713.769044273926</f>
        <v>-1530.8940448935675</v>
      </c>
      <c r="P2996">
        <f>-705.743173585475 -84.4827168928271 -400.242409910889</f>
        <v>-1190.468300389191</v>
      </c>
      <c r="Q2996">
        <f>-449.956727920194 -39.2692491510238 -387.163519929294</f>
        <v>-876.38949700051182</v>
      </c>
      <c r="R2996" t="s">
        <v>62542</v>
      </c>
      <c r="S2996" t="s">
        <v>62543</v>
      </c>
      <c r="T2996" t="s">
        <v>62544</v>
      </c>
      <c r="U2996" t="s">
        <v>62545</v>
      </c>
      <c r="V2996" t="s">
        <v>62546</v>
      </c>
      <c r="W2996" t="s">
        <v>62547</v>
      </c>
      <c r="X2996" t="s">
        <v>62548</v>
      </c>
      <c r="Y2996" t="s">
        <v>62549</v>
      </c>
    </row>
    <row r="2997" spans="1:25" x14ac:dyDescent="0.3">
      <c r="A2997">
        <v>149800</v>
      </c>
      <c r="B2997" t="s">
        <v>62550</v>
      </c>
      <c r="C2997" t="s">
        <v>62551</v>
      </c>
      <c r="D2997" t="s">
        <v>62552</v>
      </c>
      <c r="E2997" t="s">
        <v>62553</v>
      </c>
      <c r="F2997" t="s">
        <v>62554</v>
      </c>
      <c r="G2997" t="s">
        <v>62555</v>
      </c>
      <c r="H2997" t="s">
        <v>62556</v>
      </c>
      <c r="I2997" t="s">
        <v>62557</v>
      </c>
      <c r="J2997" t="s">
        <v>62558</v>
      </c>
      <c r="K2997" t="s">
        <v>62559</v>
      </c>
      <c r="L2997" t="s">
        <v>62560</v>
      </c>
      <c r="M2997" t="s">
        <v>62561</v>
      </c>
      <c r="N2997" t="s">
        <v>62562</v>
      </c>
      <c r="O2997">
        <f>-745.876703098869 -69.5133413997462 -714.431404282873</f>
        <v>-1529.8214487814882</v>
      </c>
      <c r="P2997">
        <f>-707.793373298627 -86.1253637368748 -400.648229607134</f>
        <v>-1194.5669666426356</v>
      </c>
      <c r="Q2997">
        <f>-452.255851410861 -39.6609520008442 -387.095735314912</f>
        <v>-879.01253872661721</v>
      </c>
      <c r="R2997" t="s">
        <v>62563</v>
      </c>
      <c r="S2997" t="s">
        <v>62564</v>
      </c>
      <c r="T2997" t="s">
        <v>62565</v>
      </c>
      <c r="U2997" t="s">
        <v>62566</v>
      </c>
      <c r="V2997" t="s">
        <v>62567</v>
      </c>
      <c r="W2997" t="s">
        <v>62568</v>
      </c>
      <c r="X2997" t="s">
        <v>62569</v>
      </c>
      <c r="Y2997" t="s">
        <v>62570</v>
      </c>
    </row>
    <row r="2998" spans="1:25" x14ac:dyDescent="0.3">
      <c r="A2998">
        <v>149850</v>
      </c>
      <c r="B2998" t="s">
        <v>62571</v>
      </c>
      <c r="C2998" t="s">
        <v>62572</v>
      </c>
      <c r="D2998" t="s">
        <v>62573</v>
      </c>
      <c r="E2998" t="s">
        <v>62574</v>
      </c>
      <c r="F2998" t="s">
        <v>62575</v>
      </c>
      <c r="G2998" t="s">
        <v>62576</v>
      </c>
      <c r="H2998" t="s">
        <v>62577</v>
      </c>
      <c r="I2998" t="s">
        <v>62578</v>
      </c>
      <c r="J2998" t="s">
        <v>62579</v>
      </c>
      <c r="K2998" t="s">
        <v>62580</v>
      </c>
      <c r="L2998" t="s">
        <v>62581</v>
      </c>
      <c r="M2998" t="s">
        <v>62582</v>
      </c>
      <c r="N2998" t="s">
        <v>62583</v>
      </c>
      <c r="O2998">
        <f>-745.182554541531 -67.8754229260053 -715.049980675519</f>
        <v>-1528.1079581430554</v>
      </c>
      <c r="P2998">
        <f>-710.794324278769 -89.4236855991737 -401.140221973608</f>
        <v>-1201.3582318515507</v>
      </c>
      <c r="Q2998">
        <f>-455.986430194152 -39.006007134436 -387.987774500771</f>
        <v>-882.98021182935895</v>
      </c>
      <c r="R2998" t="s">
        <v>62584</v>
      </c>
      <c r="S2998" t="s">
        <v>62585</v>
      </c>
      <c r="T2998" t="s">
        <v>62586</v>
      </c>
      <c r="U2998" t="s">
        <v>62587</v>
      </c>
      <c r="V2998" t="s">
        <v>62588</v>
      </c>
      <c r="W2998" t="s">
        <v>62589</v>
      </c>
      <c r="X2998" t="s">
        <v>62590</v>
      </c>
      <c r="Y2998" t="s">
        <v>62591</v>
      </c>
    </row>
    <row r="2999" spans="1:25" x14ac:dyDescent="0.3">
      <c r="A2999">
        <v>149900</v>
      </c>
      <c r="B2999" t="s">
        <v>62592</v>
      </c>
      <c r="C2999" t="s">
        <v>62593</v>
      </c>
      <c r="D2999" t="s">
        <v>62594</v>
      </c>
      <c r="E2999" t="s">
        <v>62595</v>
      </c>
      <c r="F2999" t="s">
        <v>62596</v>
      </c>
      <c r="G2999" t="s">
        <v>62597</v>
      </c>
      <c r="H2999" t="s">
        <v>62598</v>
      </c>
      <c r="I2999" t="s">
        <v>62599</v>
      </c>
      <c r="J2999" t="s">
        <v>62600</v>
      </c>
      <c r="K2999" t="s">
        <v>62601</v>
      </c>
      <c r="L2999" t="s">
        <v>62602</v>
      </c>
      <c r="M2999" t="s">
        <v>62603</v>
      </c>
      <c r="N2999" t="s">
        <v>62604</v>
      </c>
      <c r="O2999">
        <f>-745.27038655072 -67.1916203360017 -715.204846156931</f>
        <v>-1527.6668530436527</v>
      </c>
      <c r="P2999">
        <f>-711.742503029429 -91.7750387806593 -401.42515124074</f>
        <v>-1204.9426930508284</v>
      </c>
      <c r="Q2999">
        <f>-457.224035461433 -39.9832874997658 -388.007664920605</f>
        <v>-885.21498788180384</v>
      </c>
      <c r="R2999" t="s">
        <v>62605</v>
      </c>
      <c r="S2999" t="s">
        <v>62606</v>
      </c>
      <c r="T2999" t="s">
        <v>62607</v>
      </c>
      <c r="U2999" t="s">
        <v>62608</v>
      </c>
      <c r="V2999" t="s">
        <v>62609</v>
      </c>
      <c r="W2999" t="s">
        <v>62610</v>
      </c>
      <c r="X2999" t="s">
        <v>62611</v>
      </c>
      <c r="Y2999" t="s">
        <v>62612</v>
      </c>
    </row>
    <row r="3000" spans="1:25" x14ac:dyDescent="0.3">
      <c r="A3000">
        <v>149950</v>
      </c>
      <c r="B3000" t="s">
        <v>62613</v>
      </c>
      <c r="C3000" t="s">
        <v>62614</v>
      </c>
      <c r="D3000" t="s">
        <v>62615</v>
      </c>
      <c r="E3000" t="s">
        <v>62616</v>
      </c>
      <c r="F3000" t="s">
        <v>62617</v>
      </c>
      <c r="G3000" t="s">
        <v>62618</v>
      </c>
      <c r="H3000" t="s">
        <v>62619</v>
      </c>
      <c r="I3000" t="s">
        <v>62620</v>
      </c>
      <c r="J3000" t="s">
        <v>62621</v>
      </c>
      <c r="K3000" t="s">
        <v>62622</v>
      </c>
      <c r="L3000" t="s">
        <v>62623</v>
      </c>
      <c r="M3000" t="s">
        <v>62624</v>
      </c>
      <c r="N3000" t="s">
        <v>62625</v>
      </c>
      <c r="O3000">
        <f>-745.50185942818 -65.809364856141 -715.867676570427</f>
        <v>-1527.178900854748</v>
      </c>
      <c r="P3000">
        <f>-712.256873080731 -93.1964464037158 -402.290180865114</f>
        <v>-1207.7435003495607</v>
      </c>
      <c r="Q3000">
        <f>-457.884187468205 -40.9588953598404 -387.87232167396</f>
        <v>-886.71540450200541</v>
      </c>
      <c r="R3000" t="s">
        <v>62626</v>
      </c>
      <c r="S3000" t="s">
        <v>62627</v>
      </c>
      <c r="T3000" t="s">
        <v>62628</v>
      </c>
      <c r="U3000" t="s">
        <v>62629</v>
      </c>
      <c r="V3000" t="s">
        <v>62630</v>
      </c>
      <c r="W3000" t="s">
        <v>62631</v>
      </c>
      <c r="X3000" t="s">
        <v>62632</v>
      </c>
      <c r="Y3000" t="s">
        <v>62633</v>
      </c>
    </row>
    <row r="3001" spans="1:25" x14ac:dyDescent="0.3">
      <c r="A3001">
        <v>150000</v>
      </c>
      <c r="B3001" t="s">
        <v>62634</v>
      </c>
      <c r="C3001" t="s">
        <v>62635</v>
      </c>
      <c r="D3001" t="s">
        <v>62636</v>
      </c>
      <c r="E3001" t="s">
        <v>62637</v>
      </c>
      <c r="F3001" t="s">
        <v>62638</v>
      </c>
      <c r="G3001" t="s">
        <v>62639</v>
      </c>
      <c r="H3001" t="s">
        <v>62640</v>
      </c>
      <c r="I3001" t="s">
        <v>62641</v>
      </c>
      <c r="J3001" t="s">
        <v>62642</v>
      </c>
      <c r="K3001" t="s">
        <v>62643</v>
      </c>
      <c r="L3001" t="s">
        <v>62644</v>
      </c>
      <c r="M3001" t="s">
        <v>62645</v>
      </c>
      <c r="N3001" t="s">
        <v>62646</v>
      </c>
      <c r="O3001">
        <f>-745.753695477891 -65.4503522723674 -715.992021503642</f>
        <v>-1527.1960692539005</v>
      </c>
      <c r="P3001">
        <f>-711.919291931551 -92.4558960182499 -402.444435675666</f>
        <v>-1206.8196236254669</v>
      </c>
      <c r="Q3001">
        <f>-457.509204689788 -40.5101373765974 -387.638699609869</f>
        <v>-885.65804167625447</v>
      </c>
      <c r="R3001" t="s">
        <v>62647</v>
      </c>
      <c r="S3001" t="s">
        <v>62648</v>
      </c>
      <c r="T3001" t="s">
        <v>62649</v>
      </c>
      <c r="U3001" t="s">
        <v>62650</v>
      </c>
      <c r="V3001" t="s">
        <v>62651</v>
      </c>
      <c r="W3001" t="s">
        <v>62652</v>
      </c>
      <c r="X3001" t="s">
        <v>62653</v>
      </c>
      <c r="Y3001" t="s">
        <v>62654</v>
      </c>
    </row>
    <row r="3002" spans="1:25" x14ac:dyDescent="0.3">
      <c r="A3002">
        <v>150050</v>
      </c>
      <c r="B3002" t="s">
        <v>62655</v>
      </c>
      <c r="C3002" t="s">
        <v>62656</v>
      </c>
      <c r="D3002" t="s">
        <v>62657</v>
      </c>
      <c r="E3002" t="s">
        <v>62658</v>
      </c>
      <c r="F3002" t="s">
        <v>62659</v>
      </c>
      <c r="G3002" t="s">
        <v>62660</v>
      </c>
      <c r="H3002" t="s">
        <v>62661</v>
      </c>
      <c r="I3002" t="s">
        <v>62662</v>
      </c>
      <c r="J3002" t="s">
        <v>62663</v>
      </c>
      <c r="K3002" t="s">
        <v>62664</v>
      </c>
      <c r="L3002" t="s">
        <v>62665</v>
      </c>
      <c r="M3002" t="s">
        <v>62666</v>
      </c>
      <c r="N3002" t="s">
        <v>62667</v>
      </c>
      <c r="O3002">
        <f>-747.054653068796 -65.4230645474079 -716.154448219952</f>
        <v>-1528.6321658361558</v>
      </c>
      <c r="P3002">
        <f>-710.793094531864 -90.0757281725935 -402.68423400248</f>
        <v>-1203.5530567069375</v>
      </c>
      <c r="Q3002">
        <f>-455.873634197181 -41.6430575314857 -385.008553948712</f>
        <v>-882.52524567737873</v>
      </c>
      <c r="R3002" t="s">
        <v>62668</v>
      </c>
      <c r="S3002" t="s">
        <v>62669</v>
      </c>
      <c r="T3002" t="s">
        <v>62670</v>
      </c>
      <c r="U3002" t="s">
        <v>62671</v>
      </c>
      <c r="V3002" t="s">
        <v>62672</v>
      </c>
      <c r="W3002" t="s">
        <v>62673</v>
      </c>
      <c r="X3002" t="s">
        <v>62674</v>
      </c>
      <c r="Y3002" t="s">
        <v>62675</v>
      </c>
    </row>
    <row r="3003" spans="1:25" x14ac:dyDescent="0.3">
      <c r="A3003">
        <v>150100</v>
      </c>
      <c r="B3003" t="s">
        <v>62676</v>
      </c>
      <c r="C3003" t="s">
        <v>62677</v>
      </c>
      <c r="D3003" t="s">
        <v>62678</v>
      </c>
      <c r="E3003" t="s">
        <v>62679</v>
      </c>
      <c r="F3003" t="s">
        <v>62680</v>
      </c>
      <c r="G3003" t="s">
        <v>62681</v>
      </c>
      <c r="H3003" t="s">
        <v>62682</v>
      </c>
      <c r="I3003" t="s">
        <v>62683</v>
      </c>
      <c r="J3003" t="s">
        <v>62684</v>
      </c>
      <c r="K3003" t="s">
        <v>62685</v>
      </c>
      <c r="L3003" t="s">
        <v>62686</v>
      </c>
      <c r="M3003" t="s">
        <v>62687</v>
      </c>
      <c r="N3003" t="s">
        <v>62688</v>
      </c>
      <c r="O3003">
        <f>-747.935142721184 -65.1414285041885 -716.232700535106</f>
        <v>-1529.3092717604786</v>
      </c>
      <c r="P3003">
        <f>-709.225074041843 -89.1458826994024 -403.005108972911</f>
        <v>-1201.3760657141563</v>
      </c>
      <c r="Q3003">
        <f>-454.497158825032 -40.8484448621816 -382.435959175908</f>
        <v>-877.78156286312162</v>
      </c>
      <c r="R3003" t="s">
        <v>62689</v>
      </c>
      <c r="S3003" t="s">
        <v>62690</v>
      </c>
      <c r="T3003" t="s">
        <v>62691</v>
      </c>
      <c r="U3003" t="s">
        <v>62692</v>
      </c>
      <c r="V3003" t="s">
        <v>62693</v>
      </c>
      <c r="W3003" t="s">
        <v>62694</v>
      </c>
      <c r="X3003" t="s">
        <v>62695</v>
      </c>
      <c r="Y3003" t="s">
        <v>62696</v>
      </c>
    </row>
    <row r="3004" spans="1:25" x14ac:dyDescent="0.3">
      <c r="A3004">
        <v>150150</v>
      </c>
      <c r="B3004" t="s">
        <v>62697</v>
      </c>
      <c r="C3004" t="s">
        <v>62698</v>
      </c>
      <c r="D3004" t="s">
        <v>62699</v>
      </c>
      <c r="E3004" t="s">
        <v>62700</v>
      </c>
      <c r="F3004" t="s">
        <v>62701</v>
      </c>
      <c r="G3004" t="s">
        <v>62702</v>
      </c>
      <c r="H3004" t="s">
        <v>62703</v>
      </c>
      <c r="I3004" t="s">
        <v>62704</v>
      </c>
      <c r="J3004" t="s">
        <v>62705</v>
      </c>
      <c r="K3004" t="s">
        <v>62706</v>
      </c>
      <c r="L3004" t="s">
        <v>62707</v>
      </c>
      <c r="M3004" t="s">
        <v>62708</v>
      </c>
      <c r="N3004" t="s">
        <v>62709</v>
      </c>
      <c r="O3004">
        <f>-750.514613389561 -65.6851728589211 -715.506658251178</f>
        <v>-1531.7064444996599</v>
      </c>
      <c r="P3004">
        <f>-705.52617580763 -83.6207963104598 -402.711846746158</f>
        <v>-1191.858818864248</v>
      </c>
      <c r="Q3004">
        <f>-451.033026087466 -36.4080946873466 -377.290654122094</f>
        <v>-864.73177489690659</v>
      </c>
      <c r="R3004" t="s">
        <v>62710</v>
      </c>
      <c r="S3004" t="s">
        <v>62711</v>
      </c>
      <c r="T3004" t="s">
        <v>62712</v>
      </c>
      <c r="U3004" t="s">
        <v>62713</v>
      </c>
      <c r="V3004" t="s">
        <v>62714</v>
      </c>
      <c r="W3004" t="s">
        <v>62715</v>
      </c>
      <c r="X3004" t="s">
        <v>62716</v>
      </c>
      <c r="Y3004" t="s">
        <v>62717</v>
      </c>
    </row>
    <row r="3005" spans="1:25" x14ac:dyDescent="0.3">
      <c r="A3005">
        <v>150200</v>
      </c>
      <c r="B3005" t="s">
        <v>62718</v>
      </c>
      <c r="C3005" t="s">
        <v>62719</v>
      </c>
      <c r="D3005" t="s">
        <v>62720</v>
      </c>
      <c r="E3005" t="s">
        <v>62721</v>
      </c>
      <c r="F3005" t="s">
        <v>62722</v>
      </c>
      <c r="G3005" t="s">
        <v>62723</v>
      </c>
      <c r="H3005" t="s">
        <v>62724</v>
      </c>
      <c r="I3005" t="s">
        <v>62725</v>
      </c>
      <c r="J3005" t="s">
        <v>62726</v>
      </c>
      <c r="K3005" t="s">
        <v>62727</v>
      </c>
      <c r="L3005" t="s">
        <v>62728</v>
      </c>
      <c r="M3005" t="s">
        <v>62729</v>
      </c>
      <c r="N3005" t="s">
        <v>62730</v>
      </c>
      <c r="O3005">
        <f>-751.454585128257 -66.6022611319277 -714.825124540103</f>
        <v>-1532.8819708002877</v>
      </c>
      <c r="P3005">
        <f>-703.29234313494 -80.6321455784653 -402.303638789848</f>
        <v>-1186.2281275032533</v>
      </c>
      <c r="Q3005">
        <f>-449.210345162913 -32.7865255865606 -374.104764340543</f>
        <v>-856.10163509001654</v>
      </c>
      <c r="R3005" t="s">
        <v>62731</v>
      </c>
      <c r="S3005" t="s">
        <v>62732</v>
      </c>
      <c r="T3005" t="s">
        <v>62733</v>
      </c>
      <c r="U3005" t="s">
        <v>62734</v>
      </c>
      <c r="V3005" t="s">
        <v>62735</v>
      </c>
      <c r="W3005" t="s">
        <v>62736</v>
      </c>
      <c r="X3005" t="s">
        <v>62737</v>
      </c>
      <c r="Y3005" t="s">
        <v>62738</v>
      </c>
    </row>
    <row r="3006" spans="1:25" x14ac:dyDescent="0.3">
      <c r="A3006">
        <v>150250</v>
      </c>
      <c r="B3006" t="s">
        <v>62739</v>
      </c>
      <c r="C3006" t="s">
        <v>62740</v>
      </c>
      <c r="D3006" t="s">
        <v>62741</v>
      </c>
      <c r="E3006" t="s">
        <v>62742</v>
      </c>
      <c r="F3006" t="s">
        <v>62743</v>
      </c>
      <c r="G3006" t="s">
        <v>62744</v>
      </c>
      <c r="H3006" t="s">
        <v>62745</v>
      </c>
      <c r="I3006" t="s">
        <v>62746</v>
      </c>
      <c r="J3006" t="s">
        <v>62747</v>
      </c>
      <c r="K3006" t="s">
        <v>62748</v>
      </c>
      <c r="L3006" t="s">
        <v>62749</v>
      </c>
      <c r="M3006" t="s">
        <v>62750</v>
      </c>
      <c r="N3006" t="s">
        <v>62751</v>
      </c>
      <c r="O3006">
        <f>-753.170201824831 -68.3397343184147 -713.913921814592</f>
        <v>-1535.4238579578378</v>
      </c>
      <c r="P3006">
        <f>-700.423259215981 -76.3942972264783 -401.921854807262</f>
        <v>-1178.7394112497213</v>
      </c>
      <c r="Q3006">
        <f>-447.634268750906 -22.5860440427646 -372.862161323978</f>
        <v>-843.08247411764864</v>
      </c>
      <c r="R3006" t="s">
        <v>62752</v>
      </c>
      <c r="S3006" t="s">
        <v>62753</v>
      </c>
      <c r="T3006" t="s">
        <v>62754</v>
      </c>
      <c r="U3006" t="s">
        <v>62755</v>
      </c>
      <c r="V3006" t="s">
        <v>62756</v>
      </c>
      <c r="W3006" t="s">
        <v>62757</v>
      </c>
      <c r="X3006" t="s">
        <v>62758</v>
      </c>
      <c r="Y3006" t="s">
        <v>62759</v>
      </c>
    </row>
    <row r="3007" spans="1:25" x14ac:dyDescent="0.3">
      <c r="A3007">
        <v>150300</v>
      </c>
      <c r="B3007" t="s">
        <v>62760</v>
      </c>
      <c r="C3007" t="s">
        <v>62761</v>
      </c>
      <c r="D3007" t="s">
        <v>62762</v>
      </c>
      <c r="E3007" t="s">
        <v>62763</v>
      </c>
      <c r="F3007" t="s">
        <v>62764</v>
      </c>
      <c r="G3007" t="s">
        <v>62765</v>
      </c>
      <c r="H3007" t="s">
        <v>62766</v>
      </c>
      <c r="I3007" t="s">
        <v>62767</v>
      </c>
      <c r="J3007" t="s">
        <v>62768</v>
      </c>
      <c r="K3007" t="s">
        <v>62769</v>
      </c>
      <c r="L3007" t="s">
        <v>62770</v>
      </c>
      <c r="M3007" t="s">
        <v>62771</v>
      </c>
      <c r="N3007" t="s">
        <v>62772</v>
      </c>
      <c r="O3007">
        <f>-752.830716985183 -68.9200471486688 -713.816071873622</f>
        <v>-1535.5668360074737</v>
      </c>
      <c r="P3007">
        <f>-698.291188195456 -75.0011695204178 -402.087666937603</f>
        <v>-1175.3800246534768</v>
      </c>
      <c r="Q3007">
        <f>-446.158034478018 -17.9097279473301 -373.601299979876</f>
        <v>-837.66906240522417</v>
      </c>
      <c r="R3007" t="s">
        <v>62773</v>
      </c>
      <c r="S3007" t="s">
        <v>62774</v>
      </c>
      <c r="T3007" t="s">
        <v>62775</v>
      </c>
      <c r="U3007" t="s">
        <v>62776</v>
      </c>
      <c r="V3007" t="s">
        <v>62777</v>
      </c>
      <c r="W3007" t="s">
        <v>62778</v>
      </c>
      <c r="X3007" t="s">
        <v>62779</v>
      </c>
      <c r="Y3007" t="s">
        <v>62780</v>
      </c>
    </row>
    <row r="3008" spans="1:25" x14ac:dyDescent="0.3">
      <c r="A3008">
        <v>150350</v>
      </c>
      <c r="B3008" t="s">
        <v>62781</v>
      </c>
      <c r="C3008" t="s">
        <v>62782</v>
      </c>
      <c r="D3008" t="s">
        <v>62783</v>
      </c>
      <c r="E3008" t="s">
        <v>62784</v>
      </c>
      <c r="F3008" t="s">
        <v>62785</v>
      </c>
      <c r="G3008" t="s">
        <v>62786</v>
      </c>
      <c r="H3008" t="s">
        <v>62787</v>
      </c>
      <c r="I3008" t="s">
        <v>62788</v>
      </c>
      <c r="J3008" t="s">
        <v>62789</v>
      </c>
      <c r="K3008" t="s">
        <v>62790</v>
      </c>
      <c r="L3008" t="s">
        <v>62791</v>
      </c>
      <c r="M3008" t="s">
        <v>62792</v>
      </c>
      <c r="N3008" t="s">
        <v>62793</v>
      </c>
      <c r="O3008">
        <f>-751.007655259365 -69.7057182226788 -713.35073222855</f>
        <v>-1534.0641057105938</v>
      </c>
      <c r="P3008">
        <f>-695.865808358586 -75.3295757154608 -401.719537001293</f>
        <v>-1172.9149210753399</v>
      </c>
      <c r="Q3008">
        <f>-444.722891727662 -11.8338271657653 -378.534171294815</f>
        <v>-835.09089018824227</v>
      </c>
      <c r="R3008" t="s">
        <v>62794</v>
      </c>
      <c r="S3008" t="s">
        <v>62795</v>
      </c>
      <c r="T3008" t="s">
        <v>62796</v>
      </c>
      <c r="U3008" t="s">
        <v>62797</v>
      </c>
      <c r="V3008" t="s">
        <v>62798</v>
      </c>
      <c r="W3008" t="s">
        <v>62799</v>
      </c>
      <c r="X3008" t="s">
        <v>62800</v>
      </c>
      <c r="Y3008" t="s">
        <v>62801</v>
      </c>
    </row>
    <row r="3009" spans="1:25" x14ac:dyDescent="0.3">
      <c r="A3009">
        <v>150400</v>
      </c>
      <c r="B3009" t="s">
        <v>62802</v>
      </c>
      <c r="C3009" t="s">
        <v>62803</v>
      </c>
      <c r="D3009" t="s">
        <v>62804</v>
      </c>
      <c r="E3009" t="s">
        <v>62805</v>
      </c>
      <c r="F3009" t="s">
        <v>62806</v>
      </c>
      <c r="G3009" t="s">
        <v>62807</v>
      </c>
      <c r="H3009" t="s">
        <v>62808</v>
      </c>
      <c r="I3009" t="s">
        <v>62809</v>
      </c>
      <c r="J3009" t="s">
        <v>62810</v>
      </c>
      <c r="K3009" t="s">
        <v>62811</v>
      </c>
      <c r="L3009" t="s">
        <v>62812</v>
      </c>
      <c r="M3009" t="s">
        <v>62813</v>
      </c>
      <c r="N3009" t="s">
        <v>62814</v>
      </c>
      <c r="O3009">
        <f>-749.66331993034 -69.4652449333871 -713.451349953707</f>
        <v>-1532.5799148174342</v>
      </c>
      <c r="P3009">
        <f>-693.910634792665 -75.5874161032591 -401.938441767217</f>
        <v>-1171.4364926631411</v>
      </c>
      <c r="Q3009">
        <f>-443.584581955864 -8.76342250127709 -379.279356791395</f>
        <v>-831.62736124853609</v>
      </c>
      <c r="R3009" t="s">
        <v>62815</v>
      </c>
      <c r="S3009" t="s">
        <v>62816</v>
      </c>
      <c r="T3009" t="s">
        <v>62817</v>
      </c>
      <c r="U3009" t="s">
        <v>62818</v>
      </c>
      <c r="V3009" t="s">
        <v>62819</v>
      </c>
      <c r="W3009" t="s">
        <v>62820</v>
      </c>
      <c r="X3009" t="s">
        <v>62821</v>
      </c>
      <c r="Y3009" t="s">
        <v>62822</v>
      </c>
    </row>
    <row r="3010" spans="1:25" x14ac:dyDescent="0.3">
      <c r="A3010">
        <v>150450</v>
      </c>
      <c r="B3010" t="s">
        <v>62823</v>
      </c>
      <c r="C3010" t="s">
        <v>62824</v>
      </c>
      <c r="D3010" t="s">
        <v>62825</v>
      </c>
      <c r="E3010" t="s">
        <v>62826</v>
      </c>
      <c r="F3010" t="s">
        <v>62827</v>
      </c>
      <c r="G3010" t="s">
        <v>62828</v>
      </c>
      <c r="H3010" t="s">
        <v>62829</v>
      </c>
      <c r="I3010" t="s">
        <v>62830</v>
      </c>
      <c r="J3010" t="s">
        <v>62831</v>
      </c>
      <c r="K3010" t="s">
        <v>62832</v>
      </c>
      <c r="L3010" t="s">
        <v>62833</v>
      </c>
      <c r="M3010" t="s">
        <v>62834</v>
      </c>
      <c r="N3010" t="s">
        <v>62835</v>
      </c>
      <c r="O3010">
        <f>-747.124905936691 -69.1146017783053 -713.857604554368</f>
        <v>-1530.0971122693643</v>
      </c>
      <c r="P3010">
        <f>-691.502880338772 -74.7312829824295 -402.311662417859</f>
        <v>-1168.5458257390605</v>
      </c>
      <c r="Q3010">
        <f>-441.863542539452 -5.82795544671558 -378.340848448948</f>
        <v>-826.03234643511564</v>
      </c>
      <c r="R3010" t="s">
        <v>62836</v>
      </c>
      <c r="S3010" t="s">
        <v>62837</v>
      </c>
      <c r="T3010" t="s">
        <v>62838</v>
      </c>
      <c r="U3010" t="s">
        <v>62839</v>
      </c>
      <c r="V3010" t="s">
        <v>62840</v>
      </c>
      <c r="W3010" t="s">
        <v>62841</v>
      </c>
      <c r="X3010" t="s">
        <v>62842</v>
      </c>
      <c r="Y3010" t="s">
        <v>62843</v>
      </c>
    </row>
    <row r="3011" spans="1:25" x14ac:dyDescent="0.3">
      <c r="A3011">
        <v>150500</v>
      </c>
      <c r="B3011" t="s">
        <v>62844</v>
      </c>
      <c r="C3011" t="s">
        <v>62845</v>
      </c>
      <c r="D3011" t="s">
        <v>62846</v>
      </c>
      <c r="E3011" t="s">
        <v>62847</v>
      </c>
      <c r="F3011" t="s">
        <v>62848</v>
      </c>
      <c r="G3011" t="s">
        <v>62849</v>
      </c>
      <c r="H3011" t="s">
        <v>62850</v>
      </c>
      <c r="I3011" t="s">
        <v>62851</v>
      </c>
      <c r="J3011" t="s">
        <v>62852</v>
      </c>
      <c r="K3011" t="s">
        <v>62853</v>
      </c>
      <c r="L3011" t="s">
        <v>62854</v>
      </c>
      <c r="M3011" t="s">
        <v>62855</v>
      </c>
      <c r="N3011" t="s">
        <v>62856</v>
      </c>
      <c r="O3011">
        <f>-745.973186705506 -69.1906599180659 -713.872166406011</f>
        <v>-1529.036013029583</v>
      </c>
      <c r="P3011">
        <f>-690.877809131252 -75.3701640624372 -402.243376951597</f>
        <v>-1168.4913501452861</v>
      </c>
      <c r="Q3011">
        <f>-441.42063079146 -5.81131992126575 -378.269249283312</f>
        <v>-825.50119999603771</v>
      </c>
      <c r="R3011" t="s">
        <v>62857</v>
      </c>
      <c r="S3011" t="s">
        <v>62858</v>
      </c>
      <c r="T3011" t="s">
        <v>62859</v>
      </c>
      <c r="U3011" t="s">
        <v>62860</v>
      </c>
      <c r="V3011" t="s">
        <v>62861</v>
      </c>
      <c r="W3011" t="s">
        <v>62862</v>
      </c>
      <c r="X3011" t="s">
        <v>62863</v>
      </c>
      <c r="Y3011" t="s">
        <v>62864</v>
      </c>
    </row>
    <row r="3012" spans="1:25" x14ac:dyDescent="0.3">
      <c r="A3012">
        <v>150550</v>
      </c>
      <c r="B3012" t="s">
        <v>62865</v>
      </c>
      <c r="C3012" t="s">
        <v>62866</v>
      </c>
      <c r="D3012" t="s">
        <v>62867</v>
      </c>
      <c r="E3012" t="s">
        <v>62868</v>
      </c>
      <c r="F3012" t="s">
        <v>62869</v>
      </c>
      <c r="G3012" t="s">
        <v>62870</v>
      </c>
      <c r="H3012" t="s">
        <v>62871</v>
      </c>
      <c r="I3012" t="s">
        <v>62872</v>
      </c>
      <c r="J3012" t="s">
        <v>62873</v>
      </c>
      <c r="K3012" t="s">
        <v>62874</v>
      </c>
      <c r="L3012" t="s">
        <v>62875</v>
      </c>
      <c r="M3012" t="s">
        <v>62876</v>
      </c>
      <c r="N3012" t="s">
        <v>62877</v>
      </c>
      <c r="O3012">
        <f>-747.141385096824 -65.9912068739509 -714.816891833355</f>
        <v>-1527.9494838041301</v>
      </c>
      <c r="P3012">
        <f>-693.477916196412 -72.7060317062808 -402.94942525633</f>
        <v>-1169.1333731590228</v>
      </c>
      <c r="Q3012">
        <f>-444.37674812164 -1.73503179790737 -379.417879093718</f>
        <v>-825.52965901326536</v>
      </c>
      <c r="R3012" t="s">
        <v>62878</v>
      </c>
      <c r="S3012" t="s">
        <v>62879</v>
      </c>
      <c r="T3012" t="s">
        <v>62880</v>
      </c>
      <c r="U3012" t="s">
        <v>62881</v>
      </c>
      <c r="V3012" t="s">
        <v>62882</v>
      </c>
      <c r="W3012" t="s">
        <v>62883</v>
      </c>
      <c r="X3012" t="s">
        <v>62884</v>
      </c>
      <c r="Y3012" t="s">
        <v>62885</v>
      </c>
    </row>
    <row r="3013" spans="1:25" x14ac:dyDescent="0.3">
      <c r="A3013">
        <v>150600</v>
      </c>
      <c r="B3013" t="s">
        <v>62886</v>
      </c>
      <c r="C3013" t="s">
        <v>62887</v>
      </c>
      <c r="D3013" t="s">
        <v>62888</v>
      </c>
      <c r="E3013" t="s">
        <v>62889</v>
      </c>
      <c r="F3013" t="s">
        <v>62890</v>
      </c>
      <c r="G3013" t="s">
        <v>62891</v>
      </c>
      <c r="H3013" t="s">
        <v>62892</v>
      </c>
      <c r="I3013" t="s">
        <v>62893</v>
      </c>
      <c r="J3013" t="s">
        <v>62894</v>
      </c>
      <c r="K3013" t="s">
        <v>62895</v>
      </c>
      <c r="L3013" t="s">
        <v>62896</v>
      </c>
      <c r="M3013" t="s">
        <v>62897</v>
      </c>
      <c r="N3013" t="s">
        <v>62898</v>
      </c>
      <c r="O3013">
        <f>-748.029339693715 -65.3124137777077 -715.449628934718</f>
        <v>-1528.7913824061407</v>
      </c>
      <c r="P3013">
        <f>-694.674549689267 -71.7618560064016 -403.523606492223</f>
        <v>-1169.9600121878916</v>
      </c>
      <c r="Q3013" t="s">
        <v>62899</v>
      </c>
      <c r="R3013" t="s">
        <v>62900</v>
      </c>
      <c r="S3013" t="s">
        <v>62901</v>
      </c>
      <c r="T3013" t="s">
        <v>62902</v>
      </c>
      <c r="U3013" t="s">
        <v>62903</v>
      </c>
      <c r="V3013" t="s">
        <v>62904</v>
      </c>
      <c r="W3013" t="s">
        <v>62905</v>
      </c>
      <c r="X3013" t="s">
        <v>62906</v>
      </c>
      <c r="Y3013" t="s">
        <v>62907</v>
      </c>
    </row>
    <row r="3014" spans="1:25" x14ac:dyDescent="0.3">
      <c r="A3014">
        <v>150650</v>
      </c>
      <c r="B3014" t="s">
        <v>62908</v>
      </c>
      <c r="C3014" t="s">
        <v>62909</v>
      </c>
      <c r="D3014" t="s">
        <v>62910</v>
      </c>
      <c r="E3014" t="s">
        <v>62911</v>
      </c>
      <c r="F3014" t="s">
        <v>62912</v>
      </c>
      <c r="G3014" t="s">
        <v>62913</v>
      </c>
      <c r="H3014" t="s">
        <v>62914</v>
      </c>
      <c r="I3014" t="s">
        <v>62915</v>
      </c>
      <c r="J3014" t="s">
        <v>62916</v>
      </c>
      <c r="K3014" t="s">
        <v>62917</v>
      </c>
      <c r="L3014" t="s">
        <v>62918</v>
      </c>
      <c r="M3014" t="s">
        <v>62919</v>
      </c>
      <c r="N3014" t="s">
        <v>62920</v>
      </c>
      <c r="O3014">
        <f>-750.24669966268 -66.7145395772532 -715.536708642942</f>
        <v>-1532.4979478828752</v>
      </c>
      <c r="P3014">
        <f>-695.77268861927 -72.2233970175964 -403.786262604074</f>
        <v>-1171.7823482409403</v>
      </c>
      <c r="Q3014">
        <f>-445.865866190861 -2.19815564152623 -386.900081575278</f>
        <v>-834.96410340766533</v>
      </c>
      <c r="R3014" t="s">
        <v>62921</v>
      </c>
      <c r="S3014" t="s">
        <v>62922</v>
      </c>
      <c r="T3014" t="s">
        <v>62923</v>
      </c>
      <c r="U3014" t="s">
        <v>62924</v>
      </c>
      <c r="V3014" t="s">
        <v>62925</v>
      </c>
      <c r="W3014" t="s">
        <v>62926</v>
      </c>
      <c r="X3014" t="s">
        <v>62927</v>
      </c>
      <c r="Y3014" t="s">
        <v>62928</v>
      </c>
    </row>
    <row r="3015" spans="1:25" x14ac:dyDescent="0.3">
      <c r="A3015">
        <v>150700</v>
      </c>
      <c r="B3015" t="s">
        <v>62929</v>
      </c>
      <c r="C3015" t="s">
        <v>62930</v>
      </c>
      <c r="D3015" t="s">
        <v>62931</v>
      </c>
      <c r="E3015" t="s">
        <v>62932</v>
      </c>
      <c r="F3015" t="s">
        <v>62933</v>
      </c>
      <c r="G3015" t="s">
        <v>62934</v>
      </c>
      <c r="H3015" t="s">
        <v>62935</v>
      </c>
      <c r="I3015" t="s">
        <v>62936</v>
      </c>
      <c r="J3015" t="s">
        <v>62937</v>
      </c>
      <c r="K3015" t="s">
        <v>62938</v>
      </c>
      <c r="L3015" t="s">
        <v>62939</v>
      </c>
      <c r="M3015" t="s">
        <v>62940</v>
      </c>
      <c r="N3015" t="s">
        <v>62941</v>
      </c>
      <c r="O3015">
        <f>-751.527861531453 -67.9024105736034 -715.212960468911</f>
        <v>-1534.6432325739675</v>
      </c>
      <c r="P3015">
        <f>-696.18641494727 -73.648592557957 -403.619475538489</f>
        <v>-1173.454483043716</v>
      </c>
      <c r="Q3015">
        <f>-446.071874380011 -3.84848132557818 -389.034261821763</f>
        <v>-838.95461752735218</v>
      </c>
      <c r="R3015" t="s">
        <v>62942</v>
      </c>
      <c r="S3015" t="s">
        <v>62943</v>
      </c>
      <c r="T3015" t="s">
        <v>62944</v>
      </c>
      <c r="U3015" t="s">
        <v>62945</v>
      </c>
      <c r="V3015" t="s">
        <v>62946</v>
      </c>
      <c r="W3015" t="s">
        <v>62947</v>
      </c>
      <c r="X3015" t="s">
        <v>62948</v>
      </c>
      <c r="Y3015" t="s">
        <v>62949</v>
      </c>
    </row>
    <row r="3016" spans="1:25" x14ac:dyDescent="0.3">
      <c r="A3016">
        <v>150750</v>
      </c>
      <c r="B3016" t="s">
        <v>62950</v>
      </c>
      <c r="C3016" t="s">
        <v>62951</v>
      </c>
      <c r="D3016" t="s">
        <v>62952</v>
      </c>
      <c r="E3016" t="s">
        <v>62953</v>
      </c>
      <c r="F3016" t="s">
        <v>62954</v>
      </c>
      <c r="G3016" t="s">
        <v>62955</v>
      </c>
      <c r="H3016" t="s">
        <v>62956</v>
      </c>
      <c r="I3016" t="s">
        <v>62957</v>
      </c>
      <c r="J3016" t="s">
        <v>62958</v>
      </c>
      <c r="K3016" t="s">
        <v>62959</v>
      </c>
      <c r="L3016" t="s">
        <v>62960</v>
      </c>
      <c r="M3016" t="s">
        <v>62961</v>
      </c>
      <c r="N3016" t="s">
        <v>62962</v>
      </c>
      <c r="O3016">
        <f>-752.579729199083 -71.0196063280648 -714.581204598085</f>
        <v>-1538.1805401252327</v>
      </c>
      <c r="P3016">
        <f>-696.420079615561 -76.6627755215511 -403.132208593463</f>
        <v>-1176.2150637305751</v>
      </c>
      <c r="Q3016">
        <f>-446.514706137945 -5.45045089601899 -392.262077406053</f>
        <v>-844.2272344400169</v>
      </c>
      <c r="R3016" t="s">
        <v>62963</v>
      </c>
      <c r="S3016" t="s">
        <v>62964</v>
      </c>
      <c r="T3016" t="s">
        <v>62965</v>
      </c>
      <c r="U3016" t="s">
        <v>62966</v>
      </c>
      <c r="V3016" t="s">
        <v>62967</v>
      </c>
      <c r="W3016" t="s">
        <v>62968</v>
      </c>
      <c r="X3016" t="s">
        <v>62969</v>
      </c>
      <c r="Y3016" t="s">
        <v>62970</v>
      </c>
    </row>
    <row r="3017" spans="1:25" x14ac:dyDescent="0.3">
      <c r="A3017">
        <v>150800</v>
      </c>
      <c r="B3017" t="s">
        <v>62971</v>
      </c>
      <c r="C3017" t="s">
        <v>62972</v>
      </c>
      <c r="D3017" t="s">
        <v>62973</v>
      </c>
      <c r="E3017" t="s">
        <v>62974</v>
      </c>
      <c r="F3017" t="s">
        <v>62975</v>
      </c>
      <c r="G3017" t="s">
        <v>62976</v>
      </c>
      <c r="H3017" t="s">
        <v>62977</v>
      </c>
      <c r="I3017" t="s">
        <v>62978</v>
      </c>
      <c r="J3017" t="s">
        <v>62979</v>
      </c>
      <c r="K3017" t="s">
        <v>62980</v>
      </c>
      <c r="L3017" t="s">
        <v>62981</v>
      </c>
      <c r="M3017" t="s">
        <v>62982</v>
      </c>
      <c r="N3017" t="s">
        <v>62983</v>
      </c>
      <c r="O3017">
        <f>-752.153697455204 -72.499766523943 -714.63937498069</f>
        <v>-1539.2928389598369</v>
      </c>
      <c r="P3017">
        <f>-695.67416833979 -78.0382914046797 -403.2463856393</f>
        <v>-1176.9588453837696</v>
      </c>
      <c r="Q3017">
        <f>-446.162826809962 -5.21222107220547 -394.162389410974</f>
        <v>-845.53743729314147</v>
      </c>
      <c r="R3017" t="s">
        <v>62984</v>
      </c>
      <c r="S3017" t="s">
        <v>62985</v>
      </c>
      <c r="T3017" t="s">
        <v>62986</v>
      </c>
      <c r="U3017" t="s">
        <v>62987</v>
      </c>
      <c r="V3017" t="s">
        <v>62988</v>
      </c>
      <c r="W3017" t="s">
        <v>62989</v>
      </c>
      <c r="X3017" t="s">
        <v>62990</v>
      </c>
      <c r="Y3017" t="s">
        <v>62991</v>
      </c>
    </row>
    <row r="3018" spans="1:25" x14ac:dyDescent="0.3">
      <c r="A3018">
        <v>150850</v>
      </c>
      <c r="B3018" t="s">
        <v>62992</v>
      </c>
      <c r="C3018" t="s">
        <v>62993</v>
      </c>
      <c r="D3018" t="s">
        <v>62994</v>
      </c>
      <c r="E3018" t="s">
        <v>62995</v>
      </c>
      <c r="F3018" t="s">
        <v>62996</v>
      </c>
      <c r="G3018" t="s">
        <v>62997</v>
      </c>
      <c r="H3018" t="s">
        <v>62998</v>
      </c>
      <c r="I3018" t="s">
        <v>62999</v>
      </c>
      <c r="J3018" t="s">
        <v>63000</v>
      </c>
      <c r="K3018" t="s">
        <v>63001</v>
      </c>
      <c r="L3018" t="s">
        <v>63002</v>
      </c>
      <c r="M3018" t="s">
        <v>63003</v>
      </c>
      <c r="N3018" t="s">
        <v>63004</v>
      </c>
      <c r="O3018">
        <f>-749.896811974036 -74.5086412609846 -715.643467650587</f>
        <v>-1540.0489208856077</v>
      </c>
      <c r="P3018">
        <f>-692.86858191015 -79.3218585484535 -404.338429363276</f>
        <v>-1176.5288698218797</v>
      </c>
      <c r="Q3018">
        <f>-443.754343030547 -5.09017771695403 -395.746857254308</f>
        <v>-844.59137800180906</v>
      </c>
      <c r="R3018" t="s">
        <v>63005</v>
      </c>
      <c r="S3018" t="s">
        <v>63006</v>
      </c>
      <c r="T3018" t="s">
        <v>63007</v>
      </c>
      <c r="U3018" t="s">
        <v>63008</v>
      </c>
      <c r="V3018" t="s">
        <v>63009</v>
      </c>
      <c r="W3018" t="s">
        <v>63010</v>
      </c>
      <c r="X3018" t="s">
        <v>63011</v>
      </c>
      <c r="Y3018" t="s">
        <v>63012</v>
      </c>
    </row>
    <row r="3019" spans="1:25" x14ac:dyDescent="0.3">
      <c r="A3019">
        <v>150900</v>
      </c>
      <c r="B3019" t="s">
        <v>63013</v>
      </c>
      <c r="C3019" t="s">
        <v>63014</v>
      </c>
      <c r="D3019" t="s">
        <v>63015</v>
      </c>
      <c r="E3019" t="s">
        <v>63016</v>
      </c>
      <c r="F3019" t="s">
        <v>63017</v>
      </c>
      <c r="G3019" t="s">
        <v>63018</v>
      </c>
      <c r="H3019" t="s">
        <v>63019</v>
      </c>
      <c r="I3019" t="s">
        <v>63020</v>
      </c>
      <c r="J3019" t="s">
        <v>63021</v>
      </c>
      <c r="K3019" t="s">
        <v>63022</v>
      </c>
      <c r="L3019" t="s">
        <v>63023</v>
      </c>
      <c r="M3019" t="s">
        <v>63024</v>
      </c>
      <c r="N3019" t="s">
        <v>63025</v>
      </c>
      <c r="O3019">
        <f>-748.797397685633 -74.471051834789 -716.156131361415</f>
        <v>-1539.4245808818368</v>
      </c>
      <c r="P3019">
        <f>-692.610887332212 -78.651336582921 -404.689049016094</f>
        <v>-1175.9512729312269</v>
      </c>
      <c r="Q3019">
        <f>-443.659986683757 -3.97394762303793 -395.268519411102</f>
        <v>-842.90245371789683</v>
      </c>
      <c r="R3019" t="s">
        <v>63026</v>
      </c>
      <c r="S3019" t="s">
        <v>63027</v>
      </c>
      <c r="T3019" t="s">
        <v>63028</v>
      </c>
      <c r="U3019" t="s">
        <v>63029</v>
      </c>
      <c r="V3019" t="s">
        <v>63030</v>
      </c>
      <c r="W3019" t="s">
        <v>63031</v>
      </c>
      <c r="X3019" t="s">
        <v>63032</v>
      </c>
      <c r="Y3019" t="s">
        <v>63033</v>
      </c>
    </row>
    <row r="3020" spans="1:25" x14ac:dyDescent="0.3">
      <c r="A3020">
        <v>150950</v>
      </c>
      <c r="B3020" t="s">
        <v>63034</v>
      </c>
      <c r="C3020" t="s">
        <v>63035</v>
      </c>
      <c r="D3020" t="s">
        <v>63036</v>
      </c>
      <c r="E3020" t="s">
        <v>63037</v>
      </c>
      <c r="F3020" t="s">
        <v>63038</v>
      </c>
      <c r="G3020" t="s">
        <v>63039</v>
      </c>
      <c r="H3020" t="s">
        <v>63040</v>
      </c>
      <c r="I3020" t="s">
        <v>63041</v>
      </c>
      <c r="J3020" t="s">
        <v>63042</v>
      </c>
      <c r="K3020" t="s">
        <v>63043</v>
      </c>
      <c r="L3020" t="s">
        <v>63044</v>
      </c>
      <c r="M3020" t="s">
        <v>63045</v>
      </c>
      <c r="N3020" t="s">
        <v>63046</v>
      </c>
      <c r="O3020">
        <f>-747.626315690955 -74.8420449762343 -716.764079272341</f>
        <v>-1539.2324399395302</v>
      </c>
      <c r="P3020">
        <f>-692.36387122751 -80.4252922543112 -405.153606414958</f>
        <v>-1177.9427698967793</v>
      </c>
      <c r="Q3020">
        <f>-443.539851295667 -5.46085695750548 -394.71458277233</f>
        <v>-843.71529102550244</v>
      </c>
      <c r="R3020" t="s">
        <v>63047</v>
      </c>
      <c r="S3020" t="s">
        <v>63048</v>
      </c>
      <c r="T3020" t="s">
        <v>63049</v>
      </c>
      <c r="U3020" t="s">
        <v>63050</v>
      </c>
      <c r="V3020" t="s">
        <v>63051</v>
      </c>
      <c r="W3020" t="s">
        <v>63052</v>
      </c>
      <c r="X3020" t="s">
        <v>63053</v>
      </c>
      <c r="Y3020" t="s">
        <v>63054</v>
      </c>
    </row>
    <row r="3021" spans="1:25" x14ac:dyDescent="0.3">
      <c r="A3021">
        <v>151000</v>
      </c>
      <c r="B3021" t="s">
        <v>63055</v>
      </c>
      <c r="C3021" t="s">
        <v>63056</v>
      </c>
      <c r="D3021" t="s">
        <v>63057</v>
      </c>
      <c r="E3021" t="s">
        <v>63058</v>
      </c>
      <c r="F3021" t="s">
        <v>63059</v>
      </c>
      <c r="G3021" t="s">
        <v>63060</v>
      </c>
      <c r="H3021" t="s">
        <v>63061</v>
      </c>
      <c r="I3021" t="s">
        <v>63062</v>
      </c>
      <c r="J3021" t="s">
        <v>63063</v>
      </c>
      <c r="K3021" t="s">
        <v>63064</v>
      </c>
      <c r="L3021" t="s">
        <v>63065</v>
      </c>
      <c r="M3021" t="s">
        <v>63066</v>
      </c>
      <c r="N3021" t="s">
        <v>63067</v>
      </c>
      <c r="O3021">
        <f>-747.949331213702 -75.0039591125101 -716.919404525949</f>
        <v>-1539.872694852161</v>
      </c>
      <c r="P3021">
        <f>-692.829586142214 -81.3260082523286 -405.297761187189</f>
        <v>-1179.4533555817316</v>
      </c>
      <c r="Q3021">
        <f>-444.236291864513 -5.38446779362948 -396.560262160831</f>
        <v>-846.18102181897348</v>
      </c>
      <c r="R3021" t="s">
        <v>63068</v>
      </c>
      <c r="S3021" t="s">
        <v>63069</v>
      </c>
      <c r="T3021" t="s">
        <v>63070</v>
      </c>
      <c r="U3021" t="s">
        <v>63071</v>
      </c>
      <c r="V3021" t="s">
        <v>63072</v>
      </c>
      <c r="W3021" t="s">
        <v>63073</v>
      </c>
      <c r="X3021" t="s">
        <v>63074</v>
      </c>
      <c r="Y3021" t="s">
        <v>63075</v>
      </c>
    </row>
    <row r="3022" spans="1:25" x14ac:dyDescent="0.3">
      <c r="A3022">
        <v>151050</v>
      </c>
      <c r="B3022" t="s">
        <v>63076</v>
      </c>
      <c r="C3022" t="s">
        <v>63077</v>
      </c>
      <c r="D3022" t="s">
        <v>63078</v>
      </c>
      <c r="E3022" t="s">
        <v>63079</v>
      </c>
      <c r="F3022" t="s">
        <v>63080</v>
      </c>
      <c r="G3022" t="s">
        <v>63081</v>
      </c>
      <c r="H3022" t="s">
        <v>63082</v>
      </c>
      <c r="I3022" t="s">
        <v>63083</v>
      </c>
      <c r="J3022" t="s">
        <v>63084</v>
      </c>
      <c r="K3022" t="s">
        <v>63085</v>
      </c>
      <c r="L3022" t="s">
        <v>63086</v>
      </c>
      <c r="M3022" t="s">
        <v>63087</v>
      </c>
      <c r="N3022" t="s">
        <v>63088</v>
      </c>
      <c r="O3022">
        <f>-748.491249482157 -75.9301240963287 -717.490597340017</f>
        <v>-1541.9119709185024</v>
      </c>
      <c r="P3022">
        <f>-692.862841493714 -85.1172763268653 -406.030723666421</f>
        <v>-1184.0108414870003</v>
      </c>
      <c r="Q3022">
        <f>-444.975755026007 -6.83628578947582 -397.898688761739</f>
        <v>-849.71072957722185</v>
      </c>
      <c r="R3022" t="s">
        <v>63089</v>
      </c>
      <c r="S3022" t="s">
        <v>63090</v>
      </c>
      <c r="T3022" t="s">
        <v>63091</v>
      </c>
      <c r="U3022" t="s">
        <v>63092</v>
      </c>
      <c r="V3022" t="s">
        <v>63093</v>
      </c>
      <c r="W3022" t="s">
        <v>63094</v>
      </c>
      <c r="X3022" t="s">
        <v>63095</v>
      </c>
      <c r="Y3022" t="s">
        <v>63096</v>
      </c>
    </row>
    <row r="3023" spans="1:25" x14ac:dyDescent="0.3">
      <c r="A3023">
        <v>151100</v>
      </c>
      <c r="B3023" t="s">
        <v>63097</v>
      </c>
      <c r="C3023" t="s">
        <v>63098</v>
      </c>
      <c r="D3023" t="s">
        <v>63099</v>
      </c>
      <c r="E3023" t="s">
        <v>63100</v>
      </c>
      <c r="F3023" t="s">
        <v>63101</v>
      </c>
      <c r="G3023" t="s">
        <v>63102</v>
      </c>
      <c r="H3023" t="s">
        <v>63103</v>
      </c>
      <c r="I3023" t="s">
        <v>63104</v>
      </c>
      <c r="J3023" t="s">
        <v>63105</v>
      </c>
      <c r="K3023" t="s">
        <v>63106</v>
      </c>
      <c r="L3023" t="s">
        <v>63107</v>
      </c>
      <c r="M3023" t="s">
        <v>63108</v>
      </c>
      <c r="N3023" t="s">
        <v>63109</v>
      </c>
      <c r="O3023">
        <f>-749.065560447153 -76.6449942875765 -717.675447642199</f>
        <v>-1543.3860023769284</v>
      </c>
      <c r="P3023">
        <f>-693.817972259517 -85.5182351356718 -406.138698834566</f>
        <v>-1185.4749062297549</v>
      </c>
      <c r="Q3023">
        <f>-446.019745543962 -6.89079434953987 -398.670084286827</f>
        <v>-851.58062418032887</v>
      </c>
      <c r="R3023" t="s">
        <v>63110</v>
      </c>
      <c r="S3023" t="s">
        <v>63111</v>
      </c>
      <c r="T3023" t="s">
        <v>63112</v>
      </c>
      <c r="U3023" t="s">
        <v>63113</v>
      </c>
      <c r="V3023" t="s">
        <v>63114</v>
      </c>
      <c r="W3023" t="s">
        <v>63115</v>
      </c>
      <c r="X3023" t="s">
        <v>63116</v>
      </c>
      <c r="Y3023" t="s">
        <v>63117</v>
      </c>
    </row>
    <row r="3024" spans="1:25" x14ac:dyDescent="0.3">
      <c r="A3024">
        <v>151150</v>
      </c>
      <c r="B3024" t="s">
        <v>63118</v>
      </c>
      <c r="C3024" t="s">
        <v>63119</v>
      </c>
      <c r="D3024" t="s">
        <v>63120</v>
      </c>
      <c r="E3024" t="s">
        <v>63121</v>
      </c>
      <c r="F3024" t="s">
        <v>63122</v>
      </c>
      <c r="G3024" t="s">
        <v>63123</v>
      </c>
      <c r="H3024" t="s">
        <v>63124</v>
      </c>
      <c r="I3024" t="s">
        <v>63125</v>
      </c>
      <c r="J3024" t="s">
        <v>63126</v>
      </c>
      <c r="K3024" t="s">
        <v>63127</v>
      </c>
      <c r="L3024" t="s">
        <v>63128</v>
      </c>
      <c r="M3024" t="s">
        <v>63129</v>
      </c>
      <c r="N3024" t="s">
        <v>63130</v>
      </c>
      <c r="O3024">
        <f>-749.226692548743 -78.2658777833076 -718.255082391982</f>
        <v>-1545.7476527240326</v>
      </c>
      <c r="P3024">
        <f>-694.348264302717 -87.6824994772796 -406.669076856722</f>
        <v>-1188.6998406367186</v>
      </c>
      <c r="Q3024">
        <f>-447.198534880188 -7.33892325772308 -396.473919673293</f>
        <v>-851.01137781120406</v>
      </c>
      <c r="R3024" t="s">
        <v>63131</v>
      </c>
      <c r="S3024" t="s">
        <v>63132</v>
      </c>
      <c r="T3024" t="s">
        <v>63133</v>
      </c>
      <c r="U3024" t="s">
        <v>63134</v>
      </c>
      <c r="V3024" t="s">
        <v>63135</v>
      </c>
      <c r="W3024" t="s">
        <v>63136</v>
      </c>
      <c r="X3024" t="s">
        <v>63137</v>
      </c>
      <c r="Y3024" t="s">
        <v>63138</v>
      </c>
    </row>
    <row r="3025" spans="1:25" x14ac:dyDescent="0.3">
      <c r="A3025">
        <v>151200</v>
      </c>
      <c r="B3025" t="s">
        <v>63139</v>
      </c>
      <c r="C3025" t="s">
        <v>63140</v>
      </c>
      <c r="D3025" t="s">
        <v>63141</v>
      </c>
      <c r="E3025" t="s">
        <v>63142</v>
      </c>
      <c r="F3025" t="s">
        <v>63143</v>
      </c>
      <c r="G3025" t="s">
        <v>63144</v>
      </c>
      <c r="H3025" t="s">
        <v>63145</v>
      </c>
      <c r="I3025" t="s">
        <v>63146</v>
      </c>
      <c r="J3025" t="s">
        <v>63147</v>
      </c>
      <c r="K3025" t="s">
        <v>63148</v>
      </c>
      <c r="L3025" t="s">
        <v>63149</v>
      </c>
      <c r="M3025" t="s">
        <v>63150</v>
      </c>
      <c r="N3025" t="s">
        <v>63151</v>
      </c>
      <c r="O3025">
        <f>-749.366739445193 -79.4721477715707 -718.268147384359</f>
        <v>-1547.1070346011229</v>
      </c>
      <c r="P3025">
        <f>-694.994783873463 -88.219957810481 -406.573863092417</f>
        <v>-1189.7886047763609</v>
      </c>
      <c r="Q3025">
        <f>-447.835286931492 -7.94142922742572 -396.106339262331</f>
        <v>-851.88305542124874</v>
      </c>
      <c r="R3025" t="s">
        <v>63152</v>
      </c>
      <c r="S3025" t="s">
        <v>63153</v>
      </c>
      <c r="T3025" t="s">
        <v>63154</v>
      </c>
      <c r="U3025" t="s">
        <v>63155</v>
      </c>
      <c r="V3025" t="s">
        <v>63156</v>
      </c>
      <c r="W3025" t="s">
        <v>63157</v>
      </c>
      <c r="X3025" t="s">
        <v>63158</v>
      </c>
      <c r="Y3025" t="s">
        <v>63159</v>
      </c>
    </row>
    <row r="3026" spans="1:25" x14ac:dyDescent="0.3">
      <c r="A3026">
        <v>151250</v>
      </c>
      <c r="B3026" t="s">
        <v>63160</v>
      </c>
      <c r="C3026" t="s">
        <v>63161</v>
      </c>
      <c r="D3026" t="s">
        <v>63162</v>
      </c>
      <c r="E3026" t="s">
        <v>63163</v>
      </c>
      <c r="F3026" t="s">
        <v>63164</v>
      </c>
      <c r="G3026" t="s">
        <v>63165</v>
      </c>
      <c r="H3026" t="s">
        <v>63166</v>
      </c>
      <c r="I3026" t="s">
        <v>63167</v>
      </c>
      <c r="J3026" t="s">
        <v>63168</v>
      </c>
      <c r="K3026" t="s">
        <v>63169</v>
      </c>
      <c r="L3026" t="s">
        <v>63170</v>
      </c>
      <c r="M3026" t="s">
        <v>63171</v>
      </c>
      <c r="N3026" t="s">
        <v>63172</v>
      </c>
      <c r="O3026">
        <f>-748.997424541724 -81.2812304841755 -718.482472591856</f>
        <v>-1548.7611276177554</v>
      </c>
      <c r="P3026">
        <f>-695.470414959186 -90.1789425177128 -406.646263122896</f>
        <v>-1192.2956205997948</v>
      </c>
      <c r="Q3026">
        <f>-448.930618661064 -8.12573713548136 -395.35931409401</f>
        <v>-852.41566989055536</v>
      </c>
      <c r="R3026" t="s">
        <v>63173</v>
      </c>
      <c r="S3026" t="s">
        <v>63174</v>
      </c>
      <c r="T3026" t="s">
        <v>63175</v>
      </c>
      <c r="U3026" t="s">
        <v>63176</v>
      </c>
      <c r="V3026" t="s">
        <v>63177</v>
      </c>
      <c r="W3026" t="s">
        <v>63178</v>
      </c>
      <c r="X3026" t="s">
        <v>63179</v>
      </c>
      <c r="Y3026" t="s">
        <v>63180</v>
      </c>
    </row>
    <row r="3027" spans="1:25" x14ac:dyDescent="0.3">
      <c r="A3027">
        <v>151300</v>
      </c>
      <c r="B3027" t="s">
        <v>63181</v>
      </c>
      <c r="C3027" t="s">
        <v>63182</v>
      </c>
      <c r="D3027" t="s">
        <v>63183</v>
      </c>
      <c r="E3027" t="s">
        <v>63184</v>
      </c>
      <c r="F3027" t="s">
        <v>63185</v>
      </c>
      <c r="G3027" t="s">
        <v>63186</v>
      </c>
      <c r="H3027" t="s">
        <v>63187</v>
      </c>
      <c r="I3027" t="s">
        <v>63188</v>
      </c>
      <c r="J3027" t="s">
        <v>63189</v>
      </c>
      <c r="K3027" t="s">
        <v>63190</v>
      </c>
      <c r="L3027" t="s">
        <v>63191</v>
      </c>
      <c r="M3027" t="s">
        <v>63192</v>
      </c>
      <c r="N3027" t="s">
        <v>63193</v>
      </c>
      <c r="O3027">
        <f>-748.29883219777 -82.8416997944028 -718.64717313349</f>
        <v>-1549.7877051256628</v>
      </c>
      <c r="P3027">
        <f>-695.893908684697 -90.488682379575 -406.587249421406</f>
        <v>-1192.9698404856781</v>
      </c>
      <c r="Q3027">
        <f>-448.997867114499 -9.80637521894414 -393.365802705207</f>
        <v>-852.17004503865019</v>
      </c>
      <c r="R3027" t="s">
        <v>63194</v>
      </c>
      <c r="S3027" t="s">
        <v>63195</v>
      </c>
      <c r="T3027" t="s">
        <v>63196</v>
      </c>
      <c r="U3027" t="s">
        <v>63197</v>
      </c>
      <c r="V3027" t="s">
        <v>63198</v>
      </c>
      <c r="W3027" t="s">
        <v>63199</v>
      </c>
      <c r="X3027" t="s">
        <v>63200</v>
      </c>
      <c r="Y3027" t="s">
        <v>63201</v>
      </c>
    </row>
    <row r="3028" spans="1:25" x14ac:dyDescent="0.3">
      <c r="A3028">
        <v>151350</v>
      </c>
      <c r="B3028" t="s">
        <v>63202</v>
      </c>
      <c r="C3028" t="s">
        <v>63203</v>
      </c>
      <c r="D3028" t="s">
        <v>63204</v>
      </c>
      <c r="E3028" t="s">
        <v>63205</v>
      </c>
      <c r="F3028" t="s">
        <v>63206</v>
      </c>
      <c r="G3028" t="s">
        <v>63207</v>
      </c>
      <c r="H3028" t="s">
        <v>63208</v>
      </c>
      <c r="I3028" t="s">
        <v>63209</v>
      </c>
      <c r="J3028" t="s">
        <v>63210</v>
      </c>
      <c r="K3028" t="s">
        <v>63211</v>
      </c>
      <c r="L3028" t="s">
        <v>63212</v>
      </c>
      <c r="M3028" t="s">
        <v>63213</v>
      </c>
      <c r="N3028" t="s">
        <v>63214</v>
      </c>
      <c r="O3028">
        <f>-748.602434585831 -83.2845917791196 -718.62098747791</f>
        <v>-1550.5080138428607</v>
      </c>
      <c r="P3028">
        <f>-696.472879733924 -90.2568008787075 -406.499126419208</f>
        <v>-1193.2288070318396</v>
      </c>
      <c r="Q3028">
        <f>-449.431178064603 -10.1383666762974 -392.588943714366</f>
        <v>-852.15848845526637</v>
      </c>
      <c r="R3028" t="s">
        <v>63215</v>
      </c>
      <c r="S3028" t="s">
        <v>63216</v>
      </c>
      <c r="T3028" t="s">
        <v>63217</v>
      </c>
      <c r="U3028" t="s">
        <v>63218</v>
      </c>
      <c r="V3028" t="s">
        <v>63219</v>
      </c>
      <c r="W3028" t="s">
        <v>63220</v>
      </c>
      <c r="X3028" t="s">
        <v>63221</v>
      </c>
      <c r="Y3028" t="s">
        <v>63222</v>
      </c>
    </row>
    <row r="3029" spans="1:25" x14ac:dyDescent="0.3">
      <c r="A3029">
        <v>151400</v>
      </c>
      <c r="B3029" t="s">
        <v>63223</v>
      </c>
      <c r="C3029" t="s">
        <v>63224</v>
      </c>
      <c r="D3029" t="s">
        <v>63225</v>
      </c>
      <c r="E3029" t="s">
        <v>63226</v>
      </c>
      <c r="F3029" t="s">
        <v>63227</v>
      </c>
      <c r="G3029" t="s">
        <v>63228</v>
      </c>
      <c r="H3029" t="s">
        <v>63229</v>
      </c>
      <c r="I3029" t="s">
        <v>63230</v>
      </c>
      <c r="J3029" t="s">
        <v>63231</v>
      </c>
      <c r="K3029" t="s">
        <v>63232</v>
      </c>
      <c r="L3029" t="s">
        <v>63233</v>
      </c>
      <c r="M3029" t="s">
        <v>63234</v>
      </c>
      <c r="N3029" t="s">
        <v>63235</v>
      </c>
      <c r="O3029">
        <f>-748.924128864428 -83.4583946770842 -718.546856813993</f>
        <v>-1550.9293803555051</v>
      </c>
      <c r="P3029">
        <f>-696.303354779021 -90.8962399009683 -406.518274677611</f>
        <v>-1193.7178693576002</v>
      </c>
      <c r="Q3029">
        <f>-449.056062925134 -11.2974582041797 -393.293524393115</f>
        <v>-853.6470455224287</v>
      </c>
      <c r="R3029" t="s">
        <v>63236</v>
      </c>
      <c r="S3029" t="s">
        <v>63237</v>
      </c>
      <c r="T3029" t="s">
        <v>63238</v>
      </c>
      <c r="U3029" t="s">
        <v>63239</v>
      </c>
      <c r="V3029" t="s">
        <v>63240</v>
      </c>
      <c r="W3029" t="s">
        <v>63241</v>
      </c>
      <c r="X3029" t="s">
        <v>63242</v>
      </c>
      <c r="Y3029" t="s">
        <v>63243</v>
      </c>
    </row>
    <row r="3030" spans="1:25" x14ac:dyDescent="0.3">
      <c r="A3030">
        <v>151450</v>
      </c>
      <c r="B3030" t="s">
        <v>63244</v>
      </c>
      <c r="C3030" t="s">
        <v>63245</v>
      </c>
      <c r="D3030" t="s">
        <v>63246</v>
      </c>
      <c r="E3030" t="s">
        <v>63247</v>
      </c>
      <c r="F3030" t="s">
        <v>63248</v>
      </c>
      <c r="G3030" t="s">
        <v>63249</v>
      </c>
      <c r="H3030" t="s">
        <v>63250</v>
      </c>
      <c r="I3030" t="s">
        <v>63251</v>
      </c>
      <c r="J3030" t="s">
        <v>63252</v>
      </c>
      <c r="K3030" t="s">
        <v>63253</v>
      </c>
      <c r="L3030" t="s">
        <v>63254</v>
      </c>
      <c r="M3030" t="s">
        <v>63255</v>
      </c>
      <c r="N3030" t="s">
        <v>63256</v>
      </c>
      <c r="O3030">
        <f>-750.231896780838 -83.5389930123329 -718.398515303383</f>
        <v>-1552.1694050965539</v>
      </c>
      <c r="P3030">
        <f>-696.260349628029 -91.6555587429732 -406.617557199398</f>
        <v>-1194.5334655704</v>
      </c>
      <c r="Q3030">
        <f>-448.587532211277 -13.1588916154519 -394.847433416647</f>
        <v>-856.59385724337585</v>
      </c>
      <c r="R3030" t="s">
        <v>63257</v>
      </c>
      <c r="S3030" t="s">
        <v>63258</v>
      </c>
      <c r="T3030" t="s">
        <v>63259</v>
      </c>
      <c r="U3030" t="s">
        <v>63260</v>
      </c>
      <c r="V3030" t="s">
        <v>63261</v>
      </c>
      <c r="W3030" t="s">
        <v>63262</v>
      </c>
      <c r="X3030" t="s">
        <v>63263</v>
      </c>
      <c r="Y3030" t="s">
        <v>63264</v>
      </c>
    </row>
    <row r="3031" spans="1:25" x14ac:dyDescent="0.3">
      <c r="A3031">
        <v>151500</v>
      </c>
      <c r="B3031" t="s">
        <v>63265</v>
      </c>
      <c r="C3031" t="s">
        <v>63266</v>
      </c>
      <c r="D3031" t="s">
        <v>63267</v>
      </c>
      <c r="E3031" t="s">
        <v>63268</v>
      </c>
      <c r="F3031" t="s">
        <v>63269</v>
      </c>
      <c r="G3031" t="s">
        <v>63270</v>
      </c>
      <c r="H3031" t="s">
        <v>63271</v>
      </c>
      <c r="I3031" t="s">
        <v>63272</v>
      </c>
      <c r="J3031" t="s">
        <v>63273</v>
      </c>
      <c r="K3031" t="s">
        <v>63274</v>
      </c>
      <c r="L3031" t="s">
        <v>63275</v>
      </c>
      <c r="M3031" t="s">
        <v>63276</v>
      </c>
      <c r="N3031" t="s">
        <v>63277</v>
      </c>
      <c r="O3031">
        <f>-750.700792765265 -83.4608414782119 -718.369254846597</f>
        <v>-1552.5308890900737</v>
      </c>
      <c r="P3031">
        <f>-696.675166888273 -92.1609714649137 -406.613327731001</f>
        <v>-1195.4494660841876</v>
      </c>
      <c r="Q3031">
        <f>-448.891270556555 -13.9311417526415 -395.419221199613</f>
        <v>-858.24163350880951</v>
      </c>
      <c r="R3031" t="s">
        <v>63278</v>
      </c>
      <c r="S3031" t="s">
        <v>63279</v>
      </c>
      <c r="T3031" t="s">
        <v>63280</v>
      </c>
      <c r="U3031" t="s">
        <v>63281</v>
      </c>
      <c r="V3031" t="s">
        <v>63282</v>
      </c>
      <c r="W3031" t="s">
        <v>63283</v>
      </c>
      <c r="X3031" t="s">
        <v>63284</v>
      </c>
      <c r="Y3031" t="s">
        <v>63285</v>
      </c>
    </row>
    <row r="3032" spans="1:25" x14ac:dyDescent="0.3">
      <c r="A3032">
        <v>151550</v>
      </c>
      <c r="B3032" t="s">
        <v>63286</v>
      </c>
      <c r="C3032" t="s">
        <v>63287</v>
      </c>
      <c r="D3032" t="s">
        <v>63288</v>
      </c>
      <c r="E3032" t="s">
        <v>63289</v>
      </c>
      <c r="F3032" t="s">
        <v>63290</v>
      </c>
      <c r="G3032" t="s">
        <v>63291</v>
      </c>
      <c r="H3032" t="s">
        <v>63292</v>
      </c>
      <c r="I3032" t="s">
        <v>63293</v>
      </c>
      <c r="J3032" t="s">
        <v>63294</v>
      </c>
      <c r="K3032" t="s">
        <v>63295</v>
      </c>
      <c r="L3032" t="s">
        <v>63296</v>
      </c>
      <c r="M3032" t="s">
        <v>63297</v>
      </c>
      <c r="N3032" t="s">
        <v>63298</v>
      </c>
      <c r="O3032">
        <f>-752.421055226262 -83.0312297324435 -718.456841824301</f>
        <v>-1553.9091267830065</v>
      </c>
      <c r="P3032">
        <f>-697.895873842161 -92.9649017783147 -406.824855469009</f>
        <v>-1197.6856310894846</v>
      </c>
      <c r="Q3032">
        <f>-450.438816157393 -13.6640023920941 -395.943231043183</f>
        <v>-860.0460495926701</v>
      </c>
      <c r="R3032" t="s">
        <v>63299</v>
      </c>
      <c r="S3032" t="s">
        <v>63300</v>
      </c>
      <c r="T3032" t="s">
        <v>63301</v>
      </c>
      <c r="U3032" t="s">
        <v>63302</v>
      </c>
      <c r="V3032" t="s">
        <v>63303</v>
      </c>
      <c r="W3032" t="s">
        <v>63304</v>
      </c>
      <c r="X3032" t="s">
        <v>63305</v>
      </c>
      <c r="Y3032" t="s">
        <v>63306</v>
      </c>
    </row>
    <row r="3033" spans="1:25" x14ac:dyDescent="0.3">
      <c r="A3033">
        <v>151600</v>
      </c>
      <c r="B3033" t="s">
        <v>63307</v>
      </c>
      <c r="C3033" t="s">
        <v>63308</v>
      </c>
      <c r="D3033" t="s">
        <v>63309</v>
      </c>
      <c r="E3033" t="s">
        <v>63310</v>
      </c>
      <c r="F3033" t="s">
        <v>63311</v>
      </c>
      <c r="G3033" t="s">
        <v>63312</v>
      </c>
      <c r="H3033" t="s">
        <v>63313</v>
      </c>
      <c r="I3033" t="s">
        <v>63314</v>
      </c>
      <c r="J3033" t="s">
        <v>63315</v>
      </c>
      <c r="K3033" t="s">
        <v>63316</v>
      </c>
      <c r="L3033" t="s">
        <v>63317</v>
      </c>
      <c r="M3033" t="s">
        <v>63318</v>
      </c>
      <c r="N3033" t="s">
        <v>63319</v>
      </c>
      <c r="O3033">
        <f>-753.037463939235 -82.6919247491105 -718.736332216035</f>
        <v>-1554.4657209043803</v>
      </c>
      <c r="P3033">
        <f>-698.743097217 -92.670731676528 -407.065488760699</f>
        <v>-1198.4793176542271</v>
      </c>
      <c r="Q3033">
        <f>-451.521277691197 -12.62102997019 -396.319160135035</f>
        <v>-860.46146779642208</v>
      </c>
      <c r="R3033" t="s">
        <v>63320</v>
      </c>
      <c r="S3033" t="s">
        <v>63321</v>
      </c>
      <c r="T3033" t="s">
        <v>63322</v>
      </c>
      <c r="U3033" t="s">
        <v>63323</v>
      </c>
      <c r="V3033" t="s">
        <v>63324</v>
      </c>
      <c r="W3033" t="s">
        <v>63325</v>
      </c>
      <c r="X3033" t="s">
        <v>63326</v>
      </c>
      <c r="Y3033" t="s">
        <v>63327</v>
      </c>
    </row>
    <row r="3034" spans="1:25" x14ac:dyDescent="0.3">
      <c r="A3034">
        <v>151650</v>
      </c>
      <c r="B3034" t="s">
        <v>63328</v>
      </c>
      <c r="C3034" t="s">
        <v>63329</v>
      </c>
      <c r="D3034" t="s">
        <v>63330</v>
      </c>
      <c r="E3034" t="s">
        <v>63331</v>
      </c>
      <c r="F3034" t="s">
        <v>63332</v>
      </c>
      <c r="G3034" t="s">
        <v>63333</v>
      </c>
      <c r="H3034" t="s">
        <v>63334</v>
      </c>
      <c r="I3034" t="s">
        <v>63335</v>
      </c>
      <c r="J3034" t="s">
        <v>63336</v>
      </c>
      <c r="K3034" t="s">
        <v>63337</v>
      </c>
      <c r="L3034" t="s">
        <v>63338</v>
      </c>
      <c r="M3034" t="s">
        <v>63339</v>
      </c>
      <c r="N3034" t="s">
        <v>63340</v>
      </c>
      <c r="O3034">
        <f>-754.355999669148 -81.8189491880803 -719.135294828018</f>
        <v>-1555.3102436852464</v>
      </c>
      <c r="P3034">
        <f>-700.242380854867 -91.7943693940686 -407.432926770211</f>
        <v>-1199.4696770191465</v>
      </c>
      <c r="Q3034">
        <f>-453.478618146909 -10.5109148249014 -395.4872078626</f>
        <v>-859.47674083441041</v>
      </c>
      <c r="R3034" t="s">
        <v>63341</v>
      </c>
      <c r="S3034" t="s">
        <v>63342</v>
      </c>
      <c r="T3034" t="s">
        <v>63343</v>
      </c>
      <c r="U3034" t="s">
        <v>63344</v>
      </c>
      <c r="V3034" t="s">
        <v>63345</v>
      </c>
      <c r="W3034" t="s">
        <v>63346</v>
      </c>
      <c r="X3034" t="s">
        <v>63347</v>
      </c>
      <c r="Y3034" t="s">
        <v>63348</v>
      </c>
    </row>
    <row r="3035" spans="1:25" x14ac:dyDescent="0.3">
      <c r="A3035">
        <v>151700</v>
      </c>
      <c r="B3035" t="s">
        <v>63349</v>
      </c>
      <c r="C3035" t="s">
        <v>63350</v>
      </c>
      <c r="D3035" t="s">
        <v>63351</v>
      </c>
      <c r="E3035" t="s">
        <v>63352</v>
      </c>
      <c r="F3035" t="s">
        <v>63353</v>
      </c>
      <c r="G3035" t="s">
        <v>63354</v>
      </c>
      <c r="H3035" t="s">
        <v>63355</v>
      </c>
      <c r="I3035" t="s">
        <v>63356</v>
      </c>
      <c r="J3035" t="s">
        <v>63357</v>
      </c>
      <c r="K3035" t="s">
        <v>63358</v>
      </c>
      <c r="L3035" t="s">
        <v>63359</v>
      </c>
      <c r="M3035" t="s">
        <v>63360</v>
      </c>
      <c r="N3035" t="s">
        <v>63361</v>
      </c>
      <c r="O3035">
        <f>-754.919845546251 -81.6545083930287 -719.154673010708</f>
        <v>-1555.7290269499877</v>
      </c>
      <c r="P3035">
        <f>-701.227536047003 -91.6980550439721 -407.381427447461</f>
        <v>-1200.3070185384361</v>
      </c>
      <c r="Q3035">
        <f>-454.792573700437 -9.49016122494982 -394.982743000123</f>
        <v>-859.2654779255098</v>
      </c>
      <c r="R3035" t="s">
        <v>63362</v>
      </c>
      <c r="S3035" t="s">
        <v>63363</v>
      </c>
      <c r="T3035" t="s">
        <v>63364</v>
      </c>
      <c r="U3035" t="s">
        <v>63365</v>
      </c>
      <c r="V3035" t="s">
        <v>63366</v>
      </c>
      <c r="W3035" t="s">
        <v>63367</v>
      </c>
      <c r="X3035" t="s">
        <v>63368</v>
      </c>
      <c r="Y3035" t="s">
        <v>63369</v>
      </c>
    </row>
    <row r="3036" spans="1:25" x14ac:dyDescent="0.3">
      <c r="A3036">
        <v>151750</v>
      </c>
      <c r="B3036" t="s">
        <v>63370</v>
      </c>
      <c r="C3036" t="s">
        <v>63371</v>
      </c>
      <c r="D3036" t="s">
        <v>63372</v>
      </c>
      <c r="E3036" t="s">
        <v>63373</v>
      </c>
      <c r="F3036" t="s">
        <v>63374</v>
      </c>
      <c r="G3036" t="s">
        <v>63375</v>
      </c>
      <c r="H3036" t="s">
        <v>63376</v>
      </c>
      <c r="I3036" t="s">
        <v>63377</v>
      </c>
      <c r="J3036" t="s">
        <v>63378</v>
      </c>
      <c r="K3036" t="s">
        <v>63379</v>
      </c>
      <c r="L3036" t="s">
        <v>63380</v>
      </c>
      <c r="M3036" t="s">
        <v>63381</v>
      </c>
      <c r="N3036" t="s">
        <v>63382</v>
      </c>
      <c r="O3036">
        <f>-756.210652470518 -81.1000693388319 -719.36991003888</f>
        <v>-1556.68063184823</v>
      </c>
      <c r="P3036">
        <f>-702.572235192801 -91.2595807154776 -407.591339487251</f>
        <v>-1201.4231553955296</v>
      </c>
      <c r="Q3036">
        <f>-456.707454025839 -7.51810843740918 -394.175417294638</f>
        <v>-858.40097975788626</v>
      </c>
      <c r="R3036" t="s">
        <v>63383</v>
      </c>
      <c r="S3036" t="s">
        <v>63384</v>
      </c>
      <c r="T3036" t="s">
        <v>63385</v>
      </c>
      <c r="U3036" t="s">
        <v>63386</v>
      </c>
      <c r="V3036" t="s">
        <v>63387</v>
      </c>
      <c r="W3036" t="s">
        <v>63388</v>
      </c>
      <c r="X3036" t="s">
        <v>63389</v>
      </c>
      <c r="Y3036" t="s">
        <v>63390</v>
      </c>
    </row>
    <row r="3037" spans="1:25" x14ac:dyDescent="0.3">
      <c r="A3037">
        <v>151800</v>
      </c>
      <c r="B3037" t="s">
        <v>63391</v>
      </c>
      <c r="C3037" t="s">
        <v>63392</v>
      </c>
      <c r="D3037" t="s">
        <v>63393</v>
      </c>
      <c r="E3037" t="s">
        <v>63394</v>
      </c>
      <c r="F3037" t="s">
        <v>63395</v>
      </c>
      <c r="G3037" t="s">
        <v>63396</v>
      </c>
      <c r="H3037" t="s">
        <v>63397</v>
      </c>
      <c r="I3037" t="s">
        <v>63398</v>
      </c>
      <c r="J3037" t="s">
        <v>63399</v>
      </c>
      <c r="K3037" t="s">
        <v>63400</v>
      </c>
      <c r="L3037" t="s">
        <v>63401</v>
      </c>
      <c r="M3037" t="s">
        <v>63402</v>
      </c>
      <c r="N3037" t="s">
        <v>63403</v>
      </c>
      <c r="O3037">
        <f>-756.349261485723 -80.8326392552351 -719.508926877303</f>
        <v>-1556.6908276182612</v>
      </c>
      <c r="P3037">
        <f>-702.886631542742 -90.9025468239704 -407.69720001013</f>
        <v>-1201.4863783768424</v>
      </c>
      <c r="Q3037">
        <f>-457.160025445353 -6.75533247123235 -394.289653588556</f>
        <v>-858.20501150514133</v>
      </c>
      <c r="R3037" t="s">
        <v>63404</v>
      </c>
      <c r="S3037" t="s">
        <v>63405</v>
      </c>
      <c r="T3037" t="s">
        <v>63406</v>
      </c>
      <c r="U3037" t="s">
        <v>63407</v>
      </c>
      <c r="V3037" t="s">
        <v>63408</v>
      </c>
      <c r="W3037" t="s">
        <v>63409</v>
      </c>
      <c r="X3037" t="s">
        <v>63410</v>
      </c>
      <c r="Y3037" t="s">
        <v>63411</v>
      </c>
    </row>
    <row r="3038" spans="1:25" x14ac:dyDescent="0.3">
      <c r="A3038">
        <v>151850</v>
      </c>
      <c r="B3038" t="s">
        <v>63412</v>
      </c>
      <c r="C3038" t="s">
        <v>63413</v>
      </c>
      <c r="D3038" t="s">
        <v>63414</v>
      </c>
      <c r="E3038" t="s">
        <v>63415</v>
      </c>
      <c r="F3038" t="s">
        <v>63416</v>
      </c>
      <c r="G3038" t="s">
        <v>63417</v>
      </c>
      <c r="H3038" t="s">
        <v>63418</v>
      </c>
      <c r="I3038" t="s">
        <v>63419</v>
      </c>
      <c r="J3038" t="s">
        <v>63420</v>
      </c>
      <c r="K3038" t="s">
        <v>63421</v>
      </c>
      <c r="L3038" t="s">
        <v>63422</v>
      </c>
      <c r="M3038" t="s">
        <v>63423</v>
      </c>
      <c r="N3038" t="s">
        <v>63424</v>
      </c>
      <c r="O3038">
        <f>-756.66759953279 -80.1482221786525 -719.919053304899</f>
        <v>-1556.7348750163414</v>
      </c>
      <c r="P3038">
        <f>-703.199040711646 -90.2126204902777 -408.10815682518</f>
        <v>-1201.5198180271036</v>
      </c>
      <c r="Q3038">
        <f>-457.230910430691 -6.91817269046169 -393.831742020192</f>
        <v>-857.98082514134467</v>
      </c>
      <c r="R3038" t="s">
        <v>63425</v>
      </c>
      <c r="S3038" t="s">
        <v>63426</v>
      </c>
      <c r="T3038" t="s">
        <v>63427</v>
      </c>
      <c r="U3038" t="s">
        <v>63428</v>
      </c>
      <c r="V3038" t="s">
        <v>63429</v>
      </c>
      <c r="W3038" t="s">
        <v>63430</v>
      </c>
      <c r="X3038" t="s">
        <v>63431</v>
      </c>
      <c r="Y3038" t="s">
        <v>63432</v>
      </c>
    </row>
    <row r="3039" spans="1:25" x14ac:dyDescent="0.3">
      <c r="A3039">
        <v>151900</v>
      </c>
      <c r="B3039" t="s">
        <v>63433</v>
      </c>
      <c r="C3039" t="s">
        <v>63434</v>
      </c>
      <c r="D3039" t="s">
        <v>63435</v>
      </c>
      <c r="E3039" t="s">
        <v>63436</v>
      </c>
      <c r="F3039" t="s">
        <v>63437</v>
      </c>
      <c r="G3039" t="s">
        <v>63438</v>
      </c>
      <c r="H3039" t="s">
        <v>63439</v>
      </c>
      <c r="I3039" t="s">
        <v>63440</v>
      </c>
      <c r="J3039" t="s">
        <v>63441</v>
      </c>
      <c r="K3039" t="s">
        <v>63442</v>
      </c>
      <c r="L3039" t="s">
        <v>63443</v>
      </c>
      <c r="M3039" t="s">
        <v>63444</v>
      </c>
      <c r="N3039" t="s">
        <v>63445</v>
      </c>
      <c r="O3039">
        <f>-756.694460874319 -80.0023977399433 -720.097493287017</f>
        <v>-1556.7943519012792</v>
      </c>
      <c r="P3039">
        <f>-703.492507741604 -89.4166531217463 -408.220821120854</f>
        <v>-1201.1299819842043</v>
      </c>
      <c r="Q3039">
        <f>-457.264321277435 -6.91561545442073 -393.820740316293</f>
        <v>-858.00067704814865</v>
      </c>
      <c r="R3039" t="s">
        <v>63446</v>
      </c>
      <c r="S3039" t="s">
        <v>63447</v>
      </c>
      <c r="T3039" t="s">
        <v>63448</v>
      </c>
      <c r="U3039" t="s">
        <v>63449</v>
      </c>
      <c r="V3039" t="s">
        <v>63450</v>
      </c>
      <c r="W3039" t="s">
        <v>63451</v>
      </c>
      <c r="X3039" t="s">
        <v>63452</v>
      </c>
      <c r="Y3039" t="s">
        <v>63453</v>
      </c>
    </row>
    <row r="3040" spans="1:25" x14ac:dyDescent="0.3">
      <c r="A3040">
        <v>151950</v>
      </c>
      <c r="B3040" t="s">
        <v>63454</v>
      </c>
      <c r="C3040" t="s">
        <v>63455</v>
      </c>
      <c r="D3040" t="s">
        <v>63456</v>
      </c>
      <c r="E3040" t="s">
        <v>63457</v>
      </c>
      <c r="F3040" t="s">
        <v>63458</v>
      </c>
      <c r="G3040" t="s">
        <v>63459</v>
      </c>
      <c r="H3040" t="s">
        <v>63460</v>
      </c>
      <c r="I3040" t="s">
        <v>63461</v>
      </c>
      <c r="J3040" t="s">
        <v>63462</v>
      </c>
      <c r="K3040" t="s">
        <v>63463</v>
      </c>
      <c r="L3040" t="s">
        <v>63464</v>
      </c>
      <c r="M3040" t="s">
        <v>63465</v>
      </c>
      <c r="N3040" t="s">
        <v>63466</v>
      </c>
      <c r="O3040">
        <f>-756.654040225076 -79.3097523075451 -720.597819359777</f>
        <v>-1556.5616118923981</v>
      </c>
      <c r="P3040">
        <f>-703.832000747647 -89.5776132560698 -408.683490420173</f>
        <v>-1202.0931044238898</v>
      </c>
      <c r="Q3040">
        <f>-457.237519929437 -8.19147548791625 -394.209122914213</f>
        <v>-859.63811833156626</v>
      </c>
      <c r="R3040" t="s">
        <v>63467</v>
      </c>
      <c r="S3040" t="s">
        <v>63468</v>
      </c>
      <c r="T3040" t="s">
        <v>63469</v>
      </c>
      <c r="U3040" t="s">
        <v>63470</v>
      </c>
      <c r="V3040" t="s">
        <v>63471</v>
      </c>
      <c r="W3040" t="s">
        <v>63472</v>
      </c>
      <c r="X3040" t="s">
        <v>63473</v>
      </c>
      <c r="Y3040" t="s">
        <v>63474</v>
      </c>
    </row>
    <row r="3041" spans="1:25" x14ac:dyDescent="0.3">
      <c r="A3041">
        <v>152000</v>
      </c>
      <c r="B3041" t="s">
        <v>63475</v>
      </c>
      <c r="C3041" t="s">
        <v>63476</v>
      </c>
      <c r="D3041" t="s">
        <v>63477</v>
      </c>
      <c r="E3041" t="s">
        <v>63478</v>
      </c>
      <c r="F3041" t="s">
        <v>63479</v>
      </c>
      <c r="G3041" t="s">
        <v>63480</v>
      </c>
      <c r="H3041" t="s">
        <v>63481</v>
      </c>
      <c r="I3041" t="s">
        <v>63482</v>
      </c>
      <c r="J3041" t="s">
        <v>63483</v>
      </c>
      <c r="K3041" t="s">
        <v>63484</v>
      </c>
      <c r="L3041" t="s">
        <v>63485</v>
      </c>
      <c r="M3041" t="s">
        <v>63486</v>
      </c>
      <c r="N3041" t="s">
        <v>63487</v>
      </c>
      <c r="O3041">
        <f>-756.602389335705 -78.9965634694838 -720.796284053227</f>
        <v>-1556.395236858416</v>
      </c>
      <c r="P3041">
        <f>-703.954597737926 -89.5096643512043 -408.860716026091</f>
        <v>-1202.3249781152213</v>
      </c>
      <c r="Q3041">
        <f>-457.235346312566 -8.5061047047127 -394.368661897907</f>
        <v>-860.11011291518571</v>
      </c>
      <c r="R3041" t="s">
        <v>63488</v>
      </c>
      <c r="S3041" t="s">
        <v>63489</v>
      </c>
      <c r="T3041" t="s">
        <v>63490</v>
      </c>
      <c r="U3041" t="s">
        <v>63491</v>
      </c>
      <c r="V3041" t="s">
        <v>63492</v>
      </c>
      <c r="W3041" t="s">
        <v>63493</v>
      </c>
      <c r="X3041" t="s">
        <v>63494</v>
      </c>
      <c r="Y3041" t="s">
        <v>63495</v>
      </c>
    </row>
    <row r="3042" spans="1:25" x14ac:dyDescent="0.3">
      <c r="A3042">
        <v>152050</v>
      </c>
      <c r="B3042" t="s">
        <v>63496</v>
      </c>
      <c r="C3042" t="s">
        <v>63497</v>
      </c>
      <c r="D3042" t="s">
        <v>63498</v>
      </c>
      <c r="E3042" t="s">
        <v>63499</v>
      </c>
      <c r="F3042" t="s">
        <v>63500</v>
      </c>
      <c r="G3042" t="s">
        <v>63501</v>
      </c>
      <c r="H3042" t="s">
        <v>63502</v>
      </c>
      <c r="I3042" t="s">
        <v>63503</v>
      </c>
      <c r="J3042" t="s">
        <v>63504</v>
      </c>
      <c r="K3042" t="s">
        <v>63505</v>
      </c>
      <c r="L3042" t="s">
        <v>63506</v>
      </c>
      <c r="M3042" t="s">
        <v>63507</v>
      </c>
      <c r="N3042" t="s">
        <v>63508</v>
      </c>
      <c r="O3042">
        <f>-756.352114151001 -78.6072903511601 -720.931337492072</f>
        <v>-1555.8907419942332</v>
      </c>
      <c r="P3042">
        <f>-703.552544966572 -89.1950770193114 -409.023930299306</f>
        <v>-1201.7715522851895</v>
      </c>
      <c r="Q3042">
        <f>-456.656021423064 -8.73282381301692 -394.533164332731</f>
        <v>-859.92200956881197</v>
      </c>
      <c r="R3042" t="s">
        <v>63509</v>
      </c>
      <c r="S3042" t="s">
        <v>63510</v>
      </c>
      <c r="T3042" t="s">
        <v>63511</v>
      </c>
      <c r="U3042" t="s">
        <v>63512</v>
      </c>
      <c r="V3042" t="s">
        <v>63513</v>
      </c>
      <c r="W3042" t="s">
        <v>63514</v>
      </c>
      <c r="X3042" t="s">
        <v>63515</v>
      </c>
      <c r="Y3042" t="s">
        <v>63516</v>
      </c>
    </row>
    <row r="3043" spans="1:25" x14ac:dyDescent="0.3">
      <c r="A3043">
        <v>152100</v>
      </c>
      <c r="B3043" t="s">
        <v>63517</v>
      </c>
      <c r="C3043" t="s">
        <v>63518</v>
      </c>
      <c r="D3043" t="s">
        <v>63519</v>
      </c>
      <c r="E3043" t="s">
        <v>63520</v>
      </c>
      <c r="F3043" t="s">
        <v>63521</v>
      </c>
      <c r="G3043" t="s">
        <v>63522</v>
      </c>
      <c r="H3043" t="s">
        <v>63523</v>
      </c>
      <c r="I3043" t="s">
        <v>63524</v>
      </c>
      <c r="J3043" t="s">
        <v>63525</v>
      </c>
      <c r="K3043" t="s">
        <v>63526</v>
      </c>
      <c r="L3043" t="s">
        <v>63527</v>
      </c>
      <c r="M3043" t="s">
        <v>63528</v>
      </c>
      <c r="N3043" t="s">
        <v>63529</v>
      </c>
      <c r="O3043">
        <f>-756.538151346208 -78.4192464386488 -720.757152024004</f>
        <v>-1555.7145498088607</v>
      </c>
      <c r="P3043">
        <f>-703.722544959125 -89.109286475732 -408.85587293702</f>
        <v>-1201.6877043718771</v>
      </c>
      <c r="Q3043">
        <f>-456.871310914033 -8.43652733514455 -394.770639370284</f>
        <v>-860.07847761946164</v>
      </c>
      <c r="R3043" t="s">
        <v>63530</v>
      </c>
      <c r="S3043" t="s">
        <v>63531</v>
      </c>
      <c r="T3043" t="s">
        <v>63532</v>
      </c>
      <c r="U3043" t="s">
        <v>63533</v>
      </c>
      <c r="V3043" t="s">
        <v>63534</v>
      </c>
      <c r="W3043" t="s">
        <v>63535</v>
      </c>
      <c r="X3043" t="s">
        <v>63536</v>
      </c>
      <c r="Y3043" t="s">
        <v>63537</v>
      </c>
    </row>
    <row r="3044" spans="1:25" x14ac:dyDescent="0.3">
      <c r="A3044">
        <v>152150</v>
      </c>
      <c r="B3044" t="s">
        <v>63538</v>
      </c>
      <c r="C3044" t="s">
        <v>63539</v>
      </c>
      <c r="D3044" t="s">
        <v>63540</v>
      </c>
      <c r="E3044" t="s">
        <v>63541</v>
      </c>
      <c r="F3044" t="s">
        <v>63542</v>
      </c>
      <c r="G3044" t="s">
        <v>63543</v>
      </c>
      <c r="H3044" t="s">
        <v>63544</v>
      </c>
      <c r="I3044" t="s">
        <v>63545</v>
      </c>
      <c r="J3044" t="s">
        <v>63546</v>
      </c>
      <c r="K3044" t="s">
        <v>63547</v>
      </c>
      <c r="L3044" t="s">
        <v>63548</v>
      </c>
      <c r="M3044" t="s">
        <v>63549</v>
      </c>
      <c r="N3044" t="s">
        <v>63550</v>
      </c>
      <c r="O3044">
        <f>-757.105963513737 -77.643307843023 -720.479879850898</f>
        <v>-1555.2291512076581</v>
      </c>
      <c r="P3044">
        <f>-703.469594692261 -88.6352955219534 -408.72917669582</f>
        <v>-1200.8340669100344</v>
      </c>
      <c r="Q3044">
        <f>-456.847073196169 -7.24399674120582 -394.769808946849</f>
        <v>-858.86087888422389</v>
      </c>
      <c r="R3044" t="s">
        <v>63551</v>
      </c>
      <c r="S3044" t="s">
        <v>63552</v>
      </c>
      <c r="T3044" t="s">
        <v>63553</v>
      </c>
      <c r="U3044" t="s">
        <v>63554</v>
      </c>
      <c r="V3044" t="s">
        <v>63555</v>
      </c>
      <c r="W3044" t="s">
        <v>63556</v>
      </c>
      <c r="X3044" t="s">
        <v>63557</v>
      </c>
      <c r="Y3044" t="s">
        <v>63558</v>
      </c>
    </row>
    <row r="3045" spans="1:25" x14ac:dyDescent="0.3">
      <c r="A3045">
        <v>152200</v>
      </c>
      <c r="B3045" t="s">
        <v>63559</v>
      </c>
      <c r="C3045" t="s">
        <v>63560</v>
      </c>
      <c r="D3045" t="s">
        <v>63561</v>
      </c>
      <c r="E3045" t="s">
        <v>63562</v>
      </c>
      <c r="F3045" t="s">
        <v>63563</v>
      </c>
      <c r="G3045" t="s">
        <v>63564</v>
      </c>
      <c r="H3045" t="s">
        <v>63565</v>
      </c>
      <c r="I3045" t="s">
        <v>63566</v>
      </c>
      <c r="J3045" t="s">
        <v>63567</v>
      </c>
      <c r="K3045" t="s">
        <v>63568</v>
      </c>
      <c r="L3045" t="s">
        <v>63569</v>
      </c>
      <c r="M3045" t="s">
        <v>63570</v>
      </c>
      <c r="N3045" t="s">
        <v>63571</v>
      </c>
      <c r="O3045">
        <f>-757.167847943376 -77.294786307566 -720.428800490402</f>
        <v>-1554.891434741344</v>
      </c>
      <c r="P3045">
        <f>-703.315176933657 -88.3355561421413 -408.717086959311</f>
        <v>-1200.3678200351092</v>
      </c>
      <c r="Q3045">
        <f>-456.834476442017 -6.53387990457099 -394.653307533582</f>
        <v>-858.02166388016997</v>
      </c>
      <c r="R3045" t="s">
        <v>63572</v>
      </c>
      <c r="S3045" t="s">
        <v>63573</v>
      </c>
      <c r="T3045" t="s">
        <v>63574</v>
      </c>
      <c r="U3045" t="s">
        <v>63575</v>
      </c>
      <c r="V3045" t="s">
        <v>63576</v>
      </c>
      <c r="W3045" t="s">
        <v>63577</v>
      </c>
      <c r="X3045" t="s">
        <v>63578</v>
      </c>
      <c r="Y3045" t="s">
        <v>63579</v>
      </c>
    </row>
    <row r="3046" spans="1:25" x14ac:dyDescent="0.3">
      <c r="A3046">
        <v>152250</v>
      </c>
      <c r="B3046" t="s">
        <v>63580</v>
      </c>
      <c r="C3046" t="s">
        <v>63581</v>
      </c>
      <c r="D3046" t="s">
        <v>63582</v>
      </c>
      <c r="E3046" t="s">
        <v>63583</v>
      </c>
      <c r="F3046" t="s">
        <v>63584</v>
      </c>
      <c r="G3046" t="s">
        <v>63585</v>
      </c>
      <c r="H3046" t="s">
        <v>63586</v>
      </c>
      <c r="I3046" t="s">
        <v>63587</v>
      </c>
      <c r="J3046" t="s">
        <v>63588</v>
      </c>
      <c r="K3046" t="s">
        <v>63589</v>
      </c>
      <c r="L3046" t="s">
        <v>63590</v>
      </c>
      <c r="M3046" t="s">
        <v>63591</v>
      </c>
      <c r="N3046" t="s">
        <v>63592</v>
      </c>
      <c r="O3046">
        <f>-757.088690976676 -76.2437242447804 -720.47042073992</f>
        <v>-1553.8028359613763</v>
      </c>
      <c r="P3046">
        <f>-703.076839809602 -86.8950866309788 -408.772798203704</f>
        <v>-1198.7447246442848</v>
      </c>
      <c r="Q3046">
        <f>-456.769587004706 -4.96605929128646 -392.572173066371</f>
        <v>-854.30781936236349</v>
      </c>
      <c r="R3046" t="s">
        <v>63593</v>
      </c>
      <c r="S3046" t="s">
        <v>63594</v>
      </c>
      <c r="T3046" t="s">
        <v>63595</v>
      </c>
      <c r="U3046" t="s">
        <v>63596</v>
      </c>
      <c r="V3046" t="s">
        <v>63597</v>
      </c>
      <c r="W3046" t="s">
        <v>63598</v>
      </c>
      <c r="X3046" t="s">
        <v>63599</v>
      </c>
      <c r="Y3046" t="s">
        <v>63600</v>
      </c>
    </row>
    <row r="3047" spans="1:25" x14ac:dyDescent="0.3">
      <c r="A3047">
        <v>152300</v>
      </c>
      <c r="B3047" t="s">
        <v>63601</v>
      </c>
      <c r="C3047" t="s">
        <v>63602</v>
      </c>
      <c r="D3047" t="s">
        <v>63603</v>
      </c>
      <c r="E3047" t="s">
        <v>63604</v>
      </c>
      <c r="F3047" t="s">
        <v>63605</v>
      </c>
      <c r="G3047" t="s">
        <v>63606</v>
      </c>
      <c r="H3047" t="s">
        <v>63607</v>
      </c>
      <c r="I3047" t="s">
        <v>63608</v>
      </c>
      <c r="J3047" t="s">
        <v>63609</v>
      </c>
      <c r="K3047" t="s">
        <v>63610</v>
      </c>
      <c r="L3047" t="s">
        <v>63611</v>
      </c>
      <c r="M3047" t="s">
        <v>63612</v>
      </c>
      <c r="N3047" t="s">
        <v>63613</v>
      </c>
      <c r="O3047">
        <f>-756.744325510843 -75.9745139431984 -720.428057341915</f>
        <v>-1553.1468967959563</v>
      </c>
      <c r="P3047">
        <f>-703.340121120337 -86.4414114598528 -408.619503642072</f>
        <v>-1198.4010362222618</v>
      </c>
      <c r="Q3047">
        <f>-457.089061314074 -4.47635287673734 -391.761437398406</f>
        <v>-853.32685158921731</v>
      </c>
      <c r="R3047" t="s">
        <v>63614</v>
      </c>
      <c r="S3047" t="s">
        <v>63615</v>
      </c>
      <c r="T3047" t="s">
        <v>63616</v>
      </c>
      <c r="U3047" t="s">
        <v>63617</v>
      </c>
      <c r="V3047" t="s">
        <v>63618</v>
      </c>
      <c r="W3047" t="s">
        <v>63619</v>
      </c>
      <c r="X3047" t="s">
        <v>63620</v>
      </c>
      <c r="Y3047" t="s">
        <v>63621</v>
      </c>
    </row>
    <row r="3048" spans="1:25" x14ac:dyDescent="0.3">
      <c r="A3048">
        <v>152350</v>
      </c>
      <c r="B3048" t="s">
        <v>63622</v>
      </c>
      <c r="C3048" t="s">
        <v>63623</v>
      </c>
      <c r="D3048" t="s">
        <v>63624</v>
      </c>
      <c r="E3048" t="s">
        <v>63625</v>
      </c>
      <c r="F3048" t="s">
        <v>63626</v>
      </c>
      <c r="G3048" t="s">
        <v>63627</v>
      </c>
      <c r="H3048" t="s">
        <v>63628</v>
      </c>
      <c r="I3048" t="s">
        <v>63629</v>
      </c>
      <c r="J3048" t="s">
        <v>63630</v>
      </c>
      <c r="K3048" t="s">
        <v>63631</v>
      </c>
      <c r="L3048" t="s">
        <v>63632</v>
      </c>
      <c r="M3048" t="s">
        <v>63633</v>
      </c>
      <c r="N3048" t="s">
        <v>63634</v>
      </c>
      <c r="O3048">
        <f>-756.591052530704 -75.014287763313 -720.183168523162</f>
        <v>-1551.7885088171788</v>
      </c>
      <c r="P3048">
        <f>-703.11553785563 -84.7088242471862 -408.361750893652</f>
        <v>-1196.1861129964682</v>
      </c>
      <c r="Q3048">
        <f>-456.908098250037 -2.83772595325649 -390.443732736238</f>
        <v>-850.18955693953149</v>
      </c>
      <c r="R3048" t="s">
        <v>63635</v>
      </c>
      <c r="S3048" t="s">
        <v>63636</v>
      </c>
      <c r="T3048" t="s">
        <v>63637</v>
      </c>
      <c r="U3048" t="s">
        <v>63638</v>
      </c>
      <c r="V3048" t="s">
        <v>63639</v>
      </c>
      <c r="W3048" t="s">
        <v>63640</v>
      </c>
      <c r="X3048" t="s">
        <v>63641</v>
      </c>
      <c r="Y3048" t="s">
        <v>63642</v>
      </c>
    </row>
    <row r="3049" spans="1:25" x14ac:dyDescent="0.3">
      <c r="A3049">
        <v>152400</v>
      </c>
      <c r="B3049" t="s">
        <v>63643</v>
      </c>
      <c r="C3049" t="s">
        <v>63644</v>
      </c>
      <c r="D3049" t="s">
        <v>63645</v>
      </c>
      <c r="E3049" t="s">
        <v>63646</v>
      </c>
      <c r="F3049" t="s">
        <v>63647</v>
      </c>
      <c r="G3049" t="s">
        <v>63648</v>
      </c>
      <c r="H3049" t="s">
        <v>63649</v>
      </c>
      <c r="I3049" t="s">
        <v>63650</v>
      </c>
      <c r="J3049" t="s">
        <v>63651</v>
      </c>
      <c r="K3049" t="s">
        <v>63652</v>
      </c>
      <c r="L3049" t="s">
        <v>63653</v>
      </c>
      <c r="M3049" t="s">
        <v>63654</v>
      </c>
      <c r="N3049" t="s">
        <v>63655</v>
      </c>
      <c r="O3049">
        <f>-756.73129635824 -74.6646355650685 -719.868277556399</f>
        <v>-1551.2642094797075</v>
      </c>
      <c r="P3049">
        <f>-702.64847615861 -83.9867495341578 -408.140217820414</f>
        <v>-1194.7754435131819</v>
      </c>
      <c r="Q3049">
        <f>-456.430988864093 -2.15642011447176 -390.172683032419</f>
        <v>-848.76009201098373</v>
      </c>
      <c r="R3049" t="s">
        <v>63656</v>
      </c>
      <c r="S3049" t="s">
        <v>63657</v>
      </c>
      <c r="T3049" t="s">
        <v>63658</v>
      </c>
      <c r="U3049" t="s">
        <v>63659</v>
      </c>
      <c r="V3049" t="s">
        <v>63660</v>
      </c>
      <c r="W3049" t="s">
        <v>63661</v>
      </c>
      <c r="X3049" t="s">
        <v>63662</v>
      </c>
      <c r="Y3049" t="s">
        <v>63663</v>
      </c>
    </row>
    <row r="3050" spans="1:25" x14ac:dyDescent="0.3">
      <c r="A3050">
        <v>152450</v>
      </c>
      <c r="B3050" t="s">
        <v>63664</v>
      </c>
      <c r="C3050" t="s">
        <v>63665</v>
      </c>
      <c r="D3050" t="s">
        <v>63666</v>
      </c>
      <c r="E3050" t="s">
        <v>63667</v>
      </c>
      <c r="F3050" t="s">
        <v>63668</v>
      </c>
      <c r="G3050" t="s">
        <v>63669</v>
      </c>
      <c r="H3050" t="s">
        <v>63670</v>
      </c>
      <c r="I3050" t="s">
        <v>63671</v>
      </c>
      <c r="J3050" t="s">
        <v>63672</v>
      </c>
      <c r="K3050" t="s">
        <v>63673</v>
      </c>
      <c r="L3050" t="s">
        <v>63674</v>
      </c>
      <c r="M3050" t="s">
        <v>63675</v>
      </c>
      <c r="N3050" t="s">
        <v>63676</v>
      </c>
      <c r="O3050">
        <f>-756.994075653958 -73.5568738935506 -719.151218631727</f>
        <v>-1549.7021681792357</v>
      </c>
      <c r="P3050">
        <f>-701.425291572676 -82.6516040871854 -407.677833487045</f>
        <v>-1191.7547291469064</v>
      </c>
      <c r="Q3050">
        <f>-455.439427693421 -0.404411725323371 -388.485072005342</f>
        <v>-844.3289114240863</v>
      </c>
      <c r="R3050" t="s">
        <v>63677</v>
      </c>
      <c r="S3050" t="s">
        <v>63678</v>
      </c>
      <c r="T3050" t="s">
        <v>63679</v>
      </c>
      <c r="U3050" t="s">
        <v>63680</v>
      </c>
      <c r="V3050" t="s">
        <v>63681</v>
      </c>
      <c r="W3050" t="s">
        <v>63682</v>
      </c>
      <c r="X3050" t="s">
        <v>63683</v>
      </c>
      <c r="Y3050" t="s">
        <v>63684</v>
      </c>
    </row>
    <row r="3051" spans="1:25" x14ac:dyDescent="0.3">
      <c r="A3051">
        <v>152500</v>
      </c>
      <c r="B3051" t="s">
        <v>63685</v>
      </c>
      <c r="C3051" t="s">
        <v>63686</v>
      </c>
      <c r="D3051" t="s">
        <v>63687</v>
      </c>
      <c r="E3051" t="s">
        <v>63688</v>
      </c>
      <c r="F3051" t="s">
        <v>63689</v>
      </c>
      <c r="G3051" t="s">
        <v>63690</v>
      </c>
      <c r="H3051" t="s">
        <v>63691</v>
      </c>
      <c r="I3051" t="s">
        <v>63692</v>
      </c>
      <c r="J3051" t="s">
        <v>63693</v>
      </c>
      <c r="K3051" t="s">
        <v>63694</v>
      </c>
      <c r="L3051" t="s">
        <v>63695</v>
      </c>
      <c r="M3051" t="s">
        <v>63696</v>
      </c>
      <c r="N3051" t="s">
        <v>63697</v>
      </c>
      <c r="O3051">
        <f>-757.082678042792 -73.2723836256534 -718.819191673788</f>
        <v>-1549.1742533422334</v>
      </c>
      <c r="P3051">
        <f>-701.262074702321 -82.2023724912053 -407.386240359368</f>
        <v>-1190.8506875528942</v>
      </c>
      <c r="Q3051" t="s">
        <v>63698</v>
      </c>
      <c r="R3051" t="s">
        <v>63699</v>
      </c>
      <c r="S3051" t="s">
        <v>63700</v>
      </c>
      <c r="T3051" t="s">
        <v>63701</v>
      </c>
      <c r="U3051" t="s">
        <v>63702</v>
      </c>
      <c r="V3051" t="s">
        <v>63703</v>
      </c>
      <c r="W3051" t="s">
        <v>63704</v>
      </c>
      <c r="X3051" t="s">
        <v>63705</v>
      </c>
      <c r="Y3051" t="s">
        <v>63706</v>
      </c>
    </row>
    <row r="3052" spans="1:25" x14ac:dyDescent="0.3">
      <c r="A3052">
        <v>152550</v>
      </c>
      <c r="B3052" t="s">
        <v>63707</v>
      </c>
      <c r="C3052" t="s">
        <v>63708</v>
      </c>
      <c r="D3052" t="s">
        <v>63709</v>
      </c>
      <c r="E3052" t="s">
        <v>63710</v>
      </c>
      <c r="F3052" t="s">
        <v>63711</v>
      </c>
      <c r="G3052" t="s">
        <v>63712</v>
      </c>
      <c r="H3052" t="s">
        <v>63713</v>
      </c>
      <c r="I3052" t="s">
        <v>63714</v>
      </c>
      <c r="J3052" t="s">
        <v>63715</v>
      </c>
      <c r="K3052" t="s">
        <v>63716</v>
      </c>
      <c r="L3052" t="s">
        <v>63717</v>
      </c>
      <c r="M3052" t="s">
        <v>63718</v>
      </c>
      <c r="N3052" t="s">
        <v>63719</v>
      </c>
      <c r="O3052">
        <f>-756.753273431453 -72.9740807348696 -718.208995512821</f>
        <v>-1547.9363496791436</v>
      </c>
      <c r="P3052">
        <f>-700.261554320631 -81.4268406341507 -406.883720467171</f>
        <v>-1188.5721154219527</v>
      </c>
      <c r="Q3052" t="s">
        <v>63720</v>
      </c>
      <c r="R3052" t="s">
        <v>63721</v>
      </c>
      <c r="S3052" t="s">
        <v>63722</v>
      </c>
      <c r="T3052" t="s">
        <v>63723</v>
      </c>
      <c r="U3052" t="s">
        <v>63724</v>
      </c>
      <c r="V3052" t="s">
        <v>63725</v>
      </c>
      <c r="W3052" t="s">
        <v>63726</v>
      </c>
      <c r="X3052" t="s">
        <v>63727</v>
      </c>
      <c r="Y3052" t="s">
        <v>63728</v>
      </c>
    </row>
    <row r="3053" spans="1:25" x14ac:dyDescent="0.3">
      <c r="A3053">
        <v>152600</v>
      </c>
      <c r="B3053" t="s">
        <v>63729</v>
      </c>
      <c r="C3053" t="s">
        <v>63730</v>
      </c>
      <c r="D3053" t="s">
        <v>63731</v>
      </c>
      <c r="E3053" t="s">
        <v>63732</v>
      </c>
      <c r="F3053" t="s">
        <v>63733</v>
      </c>
      <c r="G3053" t="s">
        <v>63734</v>
      </c>
      <c r="H3053" t="s">
        <v>63735</v>
      </c>
      <c r="I3053" t="s">
        <v>63736</v>
      </c>
      <c r="J3053" t="s">
        <v>63737</v>
      </c>
      <c r="K3053" t="s">
        <v>63738</v>
      </c>
      <c r="L3053" t="s">
        <v>63739</v>
      </c>
      <c r="M3053" t="s">
        <v>63740</v>
      </c>
      <c r="N3053" t="s">
        <v>63741</v>
      </c>
      <c r="O3053">
        <f>-756.935124933976 -72.9614199472107 -717.591067004371</f>
        <v>-1547.4876118855577</v>
      </c>
      <c r="P3053">
        <f>-699.880264702171 -81.5862591197961 -406.373148902137</f>
        <v>-1187.839672724104</v>
      </c>
      <c r="Q3053" t="s">
        <v>63742</v>
      </c>
      <c r="R3053" t="s">
        <v>63743</v>
      </c>
      <c r="S3053" t="s">
        <v>63744</v>
      </c>
      <c r="T3053" t="s">
        <v>63745</v>
      </c>
      <c r="U3053" t="s">
        <v>63746</v>
      </c>
      <c r="V3053" t="s">
        <v>63747</v>
      </c>
      <c r="W3053" t="s">
        <v>63748</v>
      </c>
      <c r="X3053" t="s">
        <v>63749</v>
      </c>
      <c r="Y3053" t="s">
        <v>63750</v>
      </c>
    </row>
    <row r="3054" spans="1:25" x14ac:dyDescent="0.3">
      <c r="A3054">
        <v>152650</v>
      </c>
      <c r="B3054" t="s">
        <v>63751</v>
      </c>
      <c r="C3054" t="s">
        <v>63752</v>
      </c>
      <c r="D3054" t="s">
        <v>63753</v>
      </c>
      <c r="E3054" t="s">
        <v>63754</v>
      </c>
      <c r="F3054" t="s">
        <v>63755</v>
      </c>
      <c r="G3054" t="s">
        <v>63756</v>
      </c>
      <c r="H3054" t="s">
        <v>63757</v>
      </c>
      <c r="I3054" t="s">
        <v>63758</v>
      </c>
      <c r="J3054" t="s">
        <v>63759</v>
      </c>
      <c r="K3054" t="s">
        <v>63760</v>
      </c>
      <c r="L3054" t="s">
        <v>63761</v>
      </c>
      <c r="M3054" t="s">
        <v>63762</v>
      </c>
      <c r="N3054" t="s">
        <v>63763</v>
      </c>
      <c r="O3054">
        <f>-756.879578631147 -73.784543332725 -715.807273744281</f>
        <v>-1546.4713957081531</v>
      </c>
      <c r="P3054">
        <f>-699.256042694347 -81.5080673862399 -404.670449823212</f>
        <v>-1185.4345599037988</v>
      </c>
      <c r="Q3054" t="s">
        <v>63764</v>
      </c>
      <c r="R3054" t="s">
        <v>63765</v>
      </c>
      <c r="S3054" t="s">
        <v>63766</v>
      </c>
      <c r="T3054" t="s">
        <v>63767</v>
      </c>
      <c r="U3054" t="s">
        <v>63768</v>
      </c>
      <c r="V3054" t="s">
        <v>63769</v>
      </c>
      <c r="W3054" t="s">
        <v>63770</v>
      </c>
      <c r="X3054" t="s">
        <v>63771</v>
      </c>
      <c r="Y3054" t="s">
        <v>63772</v>
      </c>
    </row>
    <row r="3055" spans="1:25" x14ac:dyDescent="0.3">
      <c r="A3055">
        <v>152700</v>
      </c>
      <c r="B3055" t="s">
        <v>63773</v>
      </c>
      <c r="C3055" t="s">
        <v>63774</v>
      </c>
      <c r="D3055" t="s">
        <v>63775</v>
      </c>
      <c r="E3055" t="s">
        <v>63776</v>
      </c>
      <c r="F3055" t="s">
        <v>63777</v>
      </c>
      <c r="G3055" t="s">
        <v>63778</v>
      </c>
      <c r="H3055" t="s">
        <v>63779</v>
      </c>
      <c r="I3055" t="s">
        <v>63780</v>
      </c>
      <c r="J3055" t="s">
        <v>63781</v>
      </c>
      <c r="K3055" t="s">
        <v>63782</v>
      </c>
      <c r="L3055" t="s">
        <v>63783</v>
      </c>
      <c r="M3055" t="s">
        <v>63784</v>
      </c>
      <c r="N3055" t="s">
        <v>63785</v>
      </c>
      <c r="O3055">
        <f>-756.686376977536 -74.7000145160248 -714.770485891285</f>
        <v>-1546.1568773848458</v>
      </c>
      <c r="P3055">
        <f>-699.106988174932 -82.2463529095076 -403.621294389071</f>
        <v>-1184.9746354735105</v>
      </c>
      <c r="Q3055" t="s">
        <v>63786</v>
      </c>
      <c r="R3055" t="s">
        <v>63787</v>
      </c>
      <c r="S3055" t="s">
        <v>63788</v>
      </c>
      <c r="T3055" t="s">
        <v>63789</v>
      </c>
      <c r="U3055" t="s">
        <v>63790</v>
      </c>
      <c r="V3055" t="s">
        <v>63791</v>
      </c>
      <c r="W3055" t="s">
        <v>63792</v>
      </c>
      <c r="X3055" t="s">
        <v>63793</v>
      </c>
      <c r="Y3055" t="s">
        <v>63794</v>
      </c>
    </row>
    <row r="3056" spans="1:25" x14ac:dyDescent="0.3">
      <c r="A3056">
        <v>152750</v>
      </c>
      <c r="B3056" t="s">
        <v>63795</v>
      </c>
      <c r="C3056" t="s">
        <v>63796</v>
      </c>
      <c r="D3056" t="s">
        <v>63797</v>
      </c>
      <c r="E3056" t="s">
        <v>63798</v>
      </c>
      <c r="F3056" t="s">
        <v>63799</v>
      </c>
      <c r="G3056" t="s">
        <v>63800</v>
      </c>
      <c r="H3056" t="s">
        <v>63801</v>
      </c>
      <c r="I3056" t="s">
        <v>63802</v>
      </c>
      <c r="J3056" t="s">
        <v>63803</v>
      </c>
      <c r="K3056" t="s">
        <v>63804</v>
      </c>
      <c r="L3056" t="s">
        <v>63805</v>
      </c>
      <c r="M3056" t="s">
        <v>63806</v>
      </c>
      <c r="N3056" t="s">
        <v>63807</v>
      </c>
      <c r="O3056">
        <f>-755.53916824952 -76.1536224453985 -713.127351321884</f>
        <v>-1544.8201420168025</v>
      </c>
      <c r="P3056">
        <f>-697.739521032733 -83.0487129732717 -402.003709490282</f>
        <v>-1182.7919434962866</v>
      </c>
      <c r="Q3056">
        <f>-450.39969552854 -3.56635727924868 -389.85576635556</f>
        <v>-843.82181916334866</v>
      </c>
      <c r="R3056" t="s">
        <v>63808</v>
      </c>
      <c r="S3056" t="s">
        <v>63809</v>
      </c>
      <c r="T3056" t="s">
        <v>63810</v>
      </c>
      <c r="U3056" t="s">
        <v>63811</v>
      </c>
      <c r="V3056" t="s">
        <v>63812</v>
      </c>
      <c r="W3056" t="s">
        <v>63813</v>
      </c>
      <c r="X3056" t="s">
        <v>63814</v>
      </c>
      <c r="Y3056" t="s">
        <v>63815</v>
      </c>
    </row>
    <row r="3057" spans="1:25" x14ac:dyDescent="0.3">
      <c r="A3057">
        <v>152800</v>
      </c>
      <c r="B3057" t="s">
        <v>63816</v>
      </c>
      <c r="C3057" t="s">
        <v>63817</v>
      </c>
      <c r="D3057" t="s">
        <v>63818</v>
      </c>
      <c r="E3057" t="s">
        <v>63819</v>
      </c>
      <c r="F3057" t="s">
        <v>63820</v>
      </c>
      <c r="G3057" t="s">
        <v>63821</v>
      </c>
      <c r="H3057" t="s">
        <v>63822</v>
      </c>
      <c r="I3057" t="s">
        <v>63823</v>
      </c>
      <c r="J3057" t="s">
        <v>63824</v>
      </c>
      <c r="K3057" t="s">
        <v>63825</v>
      </c>
      <c r="L3057" t="s">
        <v>63826</v>
      </c>
      <c r="M3057" t="s">
        <v>63827</v>
      </c>
      <c r="N3057" t="s">
        <v>63828</v>
      </c>
      <c r="O3057">
        <f>-754.388690866842 -77.0054340608895 -712.428820762571</f>
        <v>-1543.8229456903025</v>
      </c>
      <c r="P3057">
        <f>-696.384657309355 -83.3991445512336 -401.332502264469</f>
        <v>-1181.1163041250575</v>
      </c>
      <c r="Q3057">
        <f>-448.385782819979 -5.95189403892641 -389.478876432162</f>
        <v>-843.81655329106741</v>
      </c>
      <c r="R3057" t="s">
        <v>63829</v>
      </c>
      <c r="S3057" t="s">
        <v>63830</v>
      </c>
      <c r="T3057" t="s">
        <v>63831</v>
      </c>
      <c r="U3057" t="s">
        <v>63832</v>
      </c>
      <c r="V3057" t="s">
        <v>63833</v>
      </c>
      <c r="W3057" t="s">
        <v>63834</v>
      </c>
      <c r="X3057" t="s">
        <v>63835</v>
      </c>
      <c r="Y3057" t="s">
        <v>63836</v>
      </c>
    </row>
    <row r="3058" spans="1:25" x14ac:dyDescent="0.3">
      <c r="A3058">
        <v>152850</v>
      </c>
      <c r="B3058" t="s">
        <v>63837</v>
      </c>
      <c r="C3058" t="s">
        <v>63838</v>
      </c>
      <c r="D3058" t="s">
        <v>63839</v>
      </c>
      <c r="E3058" t="s">
        <v>63840</v>
      </c>
      <c r="F3058" t="s">
        <v>63841</v>
      </c>
      <c r="G3058" t="s">
        <v>63842</v>
      </c>
      <c r="H3058" t="s">
        <v>63843</v>
      </c>
      <c r="I3058" t="s">
        <v>63844</v>
      </c>
      <c r="J3058" t="s">
        <v>63845</v>
      </c>
      <c r="K3058" t="s">
        <v>63846</v>
      </c>
      <c r="L3058" t="s">
        <v>63847</v>
      </c>
      <c r="M3058" t="s">
        <v>63848</v>
      </c>
      <c r="N3058" t="s">
        <v>63849</v>
      </c>
      <c r="O3058">
        <f>-751.859126065258 -78.5756078468139 -711.417735255076</f>
        <v>-1541.8524691671478</v>
      </c>
      <c r="P3058">
        <f>-694.290752022428 -84.1225744700621 -400.22435462717</f>
        <v>-1178.6376811196601</v>
      </c>
      <c r="Q3058">
        <f>-445.753002551809 -8.33816382158898 -388.922238830598</f>
        <v>-843.01340520399594</v>
      </c>
      <c r="R3058" t="s">
        <v>63850</v>
      </c>
      <c r="S3058" t="s">
        <v>63851</v>
      </c>
      <c r="T3058" t="s">
        <v>63852</v>
      </c>
      <c r="U3058" t="s">
        <v>63853</v>
      </c>
      <c r="V3058" t="s">
        <v>63854</v>
      </c>
      <c r="W3058" t="s">
        <v>63855</v>
      </c>
      <c r="X3058" t="s">
        <v>63856</v>
      </c>
      <c r="Y3058" t="s">
        <v>63857</v>
      </c>
    </row>
    <row r="3059" spans="1:25" x14ac:dyDescent="0.3">
      <c r="A3059">
        <v>152900</v>
      </c>
      <c r="B3059" t="s">
        <v>63858</v>
      </c>
      <c r="C3059" t="s">
        <v>63859</v>
      </c>
      <c r="D3059" t="s">
        <v>63860</v>
      </c>
      <c r="E3059" t="s">
        <v>63861</v>
      </c>
      <c r="F3059" t="s">
        <v>63862</v>
      </c>
      <c r="G3059" t="s">
        <v>63863</v>
      </c>
      <c r="H3059" t="s">
        <v>63864</v>
      </c>
      <c r="I3059" t="s">
        <v>63865</v>
      </c>
      <c r="J3059" t="s">
        <v>63866</v>
      </c>
      <c r="K3059" t="s">
        <v>63867</v>
      </c>
      <c r="L3059" t="s">
        <v>63868</v>
      </c>
      <c r="M3059" t="s">
        <v>63869</v>
      </c>
      <c r="N3059" t="s">
        <v>63870</v>
      </c>
      <c r="O3059">
        <f>-750.358748427645 -79.1052292763354 -711.399074709449</f>
        <v>-1540.8630524134294</v>
      </c>
      <c r="P3059">
        <f>-693.521394205162 -83.9384312662964 -400.059388115691</f>
        <v>-1177.5192135871494</v>
      </c>
      <c r="Q3059">
        <f>-444.97842156921 -8.20012712375092 -388.564749210719</f>
        <v>-841.74329790367995</v>
      </c>
      <c r="R3059" t="s">
        <v>63871</v>
      </c>
      <c r="S3059" t="s">
        <v>63872</v>
      </c>
      <c r="T3059" t="s">
        <v>63873</v>
      </c>
      <c r="U3059" t="s">
        <v>63874</v>
      </c>
      <c r="V3059" t="s">
        <v>63875</v>
      </c>
      <c r="W3059" t="s">
        <v>63876</v>
      </c>
      <c r="X3059" t="s">
        <v>63877</v>
      </c>
      <c r="Y3059" t="s">
        <v>63878</v>
      </c>
    </row>
    <row r="3060" spans="1:25" x14ac:dyDescent="0.3">
      <c r="A3060">
        <v>152950</v>
      </c>
      <c r="B3060" t="s">
        <v>63879</v>
      </c>
      <c r="C3060" t="s">
        <v>63880</v>
      </c>
      <c r="D3060" t="s">
        <v>63881</v>
      </c>
      <c r="E3060" t="s">
        <v>63882</v>
      </c>
      <c r="F3060" t="s">
        <v>63883</v>
      </c>
      <c r="G3060" t="s">
        <v>63884</v>
      </c>
      <c r="H3060" t="s">
        <v>63885</v>
      </c>
      <c r="I3060" t="s">
        <v>63886</v>
      </c>
      <c r="J3060" t="s">
        <v>63887</v>
      </c>
      <c r="K3060" t="s">
        <v>63888</v>
      </c>
      <c r="L3060" t="s">
        <v>63889</v>
      </c>
      <c r="M3060" t="s">
        <v>63890</v>
      </c>
      <c r="N3060" t="s">
        <v>63891</v>
      </c>
      <c r="O3060">
        <f>-749.06299316574 -79.0932386377372 -711.6423334431</f>
        <v>-1539.7985652465773</v>
      </c>
      <c r="P3060">
        <f>-692.939912347472 -83.4064377466814 -400.165513639266</f>
        <v>-1176.5118637334194</v>
      </c>
      <c r="Q3060">
        <f>-444.47716725329 -7.52270373134161 -387.918496985462</f>
        <v>-839.91836797009364</v>
      </c>
      <c r="R3060" t="s">
        <v>63892</v>
      </c>
      <c r="S3060" t="s">
        <v>63893</v>
      </c>
      <c r="T3060" t="s">
        <v>63894</v>
      </c>
      <c r="U3060" t="s">
        <v>63895</v>
      </c>
      <c r="V3060" t="s">
        <v>63896</v>
      </c>
      <c r="W3060" t="s">
        <v>63897</v>
      </c>
      <c r="X3060" t="s">
        <v>63898</v>
      </c>
      <c r="Y3060" t="s">
        <v>63899</v>
      </c>
    </row>
    <row r="3061" spans="1:25" x14ac:dyDescent="0.3">
      <c r="A3061">
        <v>153000</v>
      </c>
      <c r="B3061" t="s">
        <v>63900</v>
      </c>
      <c r="C3061" t="s">
        <v>63901</v>
      </c>
      <c r="D3061" t="s">
        <v>63902</v>
      </c>
      <c r="E3061" t="s">
        <v>63903</v>
      </c>
      <c r="F3061" t="s">
        <v>63904</v>
      </c>
      <c r="G3061" t="s">
        <v>63905</v>
      </c>
      <c r="H3061" t="s">
        <v>63906</v>
      </c>
      <c r="I3061" t="s">
        <v>63907</v>
      </c>
      <c r="J3061" t="s">
        <v>63908</v>
      </c>
      <c r="K3061" t="s">
        <v>63909</v>
      </c>
      <c r="L3061" t="s">
        <v>63910</v>
      </c>
      <c r="M3061" t="s">
        <v>63911</v>
      </c>
      <c r="N3061" t="s">
        <v>63912</v>
      </c>
      <c r="O3061">
        <f>-745.99903412539 -77.5991578888802 -712.67803639618</f>
        <v>-1536.2762284104501</v>
      </c>
      <c r="P3061">
        <f>-691.106224552527 -80.7157525871469 -400.967880076566</f>
        <v>-1172.7898572162399</v>
      </c>
      <c r="Q3061">
        <f>-443.493397657416 -2.7176752112432 -385.27589057531</f>
        <v>-831.48696344396922</v>
      </c>
      <c r="R3061" t="s">
        <v>63913</v>
      </c>
      <c r="S3061" t="s">
        <v>63914</v>
      </c>
      <c r="T3061" t="s">
        <v>63915</v>
      </c>
      <c r="U3061" t="s">
        <v>63916</v>
      </c>
      <c r="V3061" t="s">
        <v>63917</v>
      </c>
      <c r="W3061" t="s">
        <v>63918</v>
      </c>
      <c r="X3061" t="s">
        <v>63919</v>
      </c>
      <c r="Y3061" t="s">
        <v>63920</v>
      </c>
    </row>
    <row r="3062" spans="1:25" x14ac:dyDescent="0.3">
      <c r="A3062">
        <v>153050</v>
      </c>
      <c r="B3062" t="s">
        <v>63921</v>
      </c>
      <c r="C3062" t="s">
        <v>63922</v>
      </c>
      <c r="D3062" t="s">
        <v>63923</v>
      </c>
      <c r="E3062" t="s">
        <v>63924</v>
      </c>
      <c r="F3062" t="s">
        <v>63925</v>
      </c>
      <c r="G3062" t="s">
        <v>63926</v>
      </c>
      <c r="H3062" t="s">
        <v>63927</v>
      </c>
      <c r="I3062" t="s">
        <v>63928</v>
      </c>
      <c r="J3062" t="s">
        <v>63929</v>
      </c>
      <c r="K3062" t="s">
        <v>63930</v>
      </c>
      <c r="L3062" t="s">
        <v>63931</v>
      </c>
      <c r="M3062" t="s">
        <v>63932</v>
      </c>
      <c r="N3062" t="s">
        <v>63933</v>
      </c>
      <c r="O3062">
        <f>-745.276861390907 -77.2160978063628 -712.787152750169</f>
        <v>-1535.2801119474389</v>
      </c>
      <c r="P3062">
        <f>-690.550085112394 -80.1733469020764 -401.046127858743</f>
        <v>-1171.7695598732134</v>
      </c>
      <c r="Q3062">
        <f>-443.293619909879 -1.06331166641621 -385.301754084886</f>
        <v>-829.65868566118115</v>
      </c>
      <c r="R3062" t="s">
        <v>63934</v>
      </c>
      <c r="S3062" t="s">
        <v>63935</v>
      </c>
      <c r="T3062" t="s">
        <v>63936</v>
      </c>
      <c r="U3062" t="s">
        <v>63937</v>
      </c>
      <c r="V3062" t="s">
        <v>63938</v>
      </c>
      <c r="W3062" t="s">
        <v>63939</v>
      </c>
      <c r="X3062" t="s">
        <v>63940</v>
      </c>
      <c r="Y3062" t="s">
        <v>63941</v>
      </c>
    </row>
    <row r="3063" spans="1:25" x14ac:dyDescent="0.3">
      <c r="A3063">
        <v>153100</v>
      </c>
      <c r="B3063" t="s">
        <v>63942</v>
      </c>
      <c r="C3063" t="s">
        <v>63943</v>
      </c>
      <c r="D3063" t="s">
        <v>63944</v>
      </c>
      <c r="E3063" t="s">
        <v>63945</v>
      </c>
      <c r="F3063" t="s">
        <v>63946</v>
      </c>
      <c r="G3063" t="s">
        <v>63947</v>
      </c>
      <c r="H3063" t="s">
        <v>63948</v>
      </c>
      <c r="I3063" t="s">
        <v>63949</v>
      </c>
      <c r="J3063" t="s">
        <v>63950</v>
      </c>
      <c r="K3063" t="s">
        <v>63951</v>
      </c>
      <c r="L3063" t="s">
        <v>63952</v>
      </c>
      <c r="M3063" t="s">
        <v>63953</v>
      </c>
      <c r="N3063" t="s">
        <v>63954</v>
      </c>
      <c r="O3063">
        <f>-744.53123449491 -76.7033477165394 -712.861645423663</f>
        <v>-1534.0962276351124</v>
      </c>
      <c r="P3063">
        <f>-689.540167716053 -79.6307764520725 -401.166871282381</f>
        <v>-1170.3378154505065</v>
      </c>
      <c r="Q3063" t="s">
        <v>63955</v>
      </c>
      <c r="R3063" t="s">
        <v>63956</v>
      </c>
      <c r="S3063" t="s">
        <v>63957</v>
      </c>
      <c r="T3063" t="s">
        <v>63958</v>
      </c>
      <c r="U3063" t="s">
        <v>63959</v>
      </c>
      <c r="V3063" t="s">
        <v>63960</v>
      </c>
      <c r="W3063" t="s">
        <v>63961</v>
      </c>
      <c r="X3063" t="s">
        <v>63962</v>
      </c>
      <c r="Y3063" t="s">
        <v>63963</v>
      </c>
    </row>
    <row r="3064" spans="1:25" x14ac:dyDescent="0.3">
      <c r="A3064">
        <v>153150</v>
      </c>
      <c r="B3064" t="s">
        <v>63964</v>
      </c>
      <c r="C3064" t="s">
        <v>63965</v>
      </c>
      <c r="D3064" t="s">
        <v>63966</v>
      </c>
      <c r="E3064" t="s">
        <v>63967</v>
      </c>
      <c r="F3064" t="s">
        <v>63968</v>
      </c>
      <c r="G3064" t="s">
        <v>63969</v>
      </c>
      <c r="H3064" t="s">
        <v>63970</v>
      </c>
      <c r="I3064" t="s">
        <v>63971</v>
      </c>
      <c r="J3064" t="s">
        <v>63972</v>
      </c>
      <c r="K3064" t="s">
        <v>63973</v>
      </c>
      <c r="L3064" t="s">
        <v>63974</v>
      </c>
      <c r="M3064" t="s">
        <v>63975</v>
      </c>
      <c r="N3064" t="s">
        <v>63976</v>
      </c>
      <c r="O3064">
        <f>-743.069957347227 -76.6972036674806 -712.588098538498</f>
        <v>-1532.3552595532055</v>
      </c>
      <c r="P3064">
        <f>-687.774952753559 -79.3268168932348 -400.944570527819</f>
        <v>-1168.0463401746129</v>
      </c>
      <c r="Q3064" t="s">
        <v>63977</v>
      </c>
      <c r="R3064" t="s">
        <v>63978</v>
      </c>
      <c r="S3064" t="s">
        <v>63979</v>
      </c>
      <c r="T3064" t="s">
        <v>63980</v>
      </c>
      <c r="U3064" t="s">
        <v>63981</v>
      </c>
      <c r="V3064" t="s">
        <v>63982</v>
      </c>
      <c r="W3064" t="s">
        <v>63983</v>
      </c>
      <c r="X3064" t="s">
        <v>63984</v>
      </c>
      <c r="Y3064" t="s">
        <v>63985</v>
      </c>
    </row>
    <row r="3065" spans="1:25" x14ac:dyDescent="0.3">
      <c r="A3065">
        <v>153200</v>
      </c>
      <c r="B3065" t="s">
        <v>63986</v>
      </c>
      <c r="C3065" t="s">
        <v>63987</v>
      </c>
      <c r="D3065" t="s">
        <v>63988</v>
      </c>
      <c r="E3065" t="s">
        <v>63989</v>
      </c>
      <c r="F3065" t="s">
        <v>63990</v>
      </c>
      <c r="G3065" t="s">
        <v>63991</v>
      </c>
      <c r="H3065" t="s">
        <v>63992</v>
      </c>
      <c r="I3065" t="s">
        <v>63993</v>
      </c>
      <c r="J3065" t="s">
        <v>63994</v>
      </c>
      <c r="K3065" t="s">
        <v>63995</v>
      </c>
      <c r="L3065" t="s">
        <v>63996</v>
      </c>
      <c r="M3065" t="s">
        <v>63997</v>
      </c>
      <c r="N3065" t="s">
        <v>63998</v>
      </c>
      <c r="O3065">
        <f>-742.440990753401 -76.7818717549619 -712.426692415591</f>
        <v>-1531.6495549239539</v>
      </c>
      <c r="P3065">
        <f>-687.158119388304 -79.420809314541 -400.780924457206</f>
        <v>-1167.359853160051</v>
      </c>
      <c r="Q3065">
        <f>-439.748998418709 -0.294122818401547 -387.751536366548</f>
        <v>-827.79465760365861</v>
      </c>
      <c r="R3065" t="s">
        <v>63999</v>
      </c>
      <c r="S3065" t="s">
        <v>64000</v>
      </c>
      <c r="T3065" t="s">
        <v>64001</v>
      </c>
      <c r="U3065" t="s">
        <v>64002</v>
      </c>
      <c r="V3065" t="s">
        <v>64003</v>
      </c>
      <c r="W3065" t="s">
        <v>64004</v>
      </c>
      <c r="X3065" t="s">
        <v>64005</v>
      </c>
      <c r="Y3065" t="s">
        <v>64006</v>
      </c>
    </row>
    <row r="3066" spans="1:25" x14ac:dyDescent="0.3">
      <c r="A3066">
        <v>153250</v>
      </c>
      <c r="B3066" t="s">
        <v>64007</v>
      </c>
      <c r="C3066" t="s">
        <v>64008</v>
      </c>
      <c r="D3066" t="s">
        <v>64009</v>
      </c>
      <c r="E3066" t="s">
        <v>64010</v>
      </c>
      <c r="F3066" t="s">
        <v>64011</v>
      </c>
      <c r="G3066" t="s">
        <v>64012</v>
      </c>
      <c r="H3066" t="s">
        <v>64013</v>
      </c>
      <c r="I3066" t="s">
        <v>64014</v>
      </c>
      <c r="J3066" t="s">
        <v>64015</v>
      </c>
      <c r="K3066" t="s">
        <v>64016</v>
      </c>
      <c r="L3066" t="s">
        <v>64017</v>
      </c>
      <c r="M3066" t="s">
        <v>64018</v>
      </c>
      <c r="N3066" t="s">
        <v>64019</v>
      </c>
      <c r="O3066">
        <f>-741.236665074691 -77.0648479014674 -712.038875295614</f>
        <v>-1530.3403882717726</v>
      </c>
      <c r="P3066">
        <f>-685.88365924467 -79.9351297203852 -400.40774883473</f>
        <v>-1166.2265377997851</v>
      </c>
      <c r="Q3066">
        <f>-438.094514247439 -1.87735941129699 -388.177561105548</f>
        <v>-828.14943476428402</v>
      </c>
      <c r="R3066" t="s">
        <v>64020</v>
      </c>
      <c r="S3066" t="s">
        <v>64021</v>
      </c>
      <c r="T3066" t="s">
        <v>64022</v>
      </c>
      <c r="U3066" t="s">
        <v>64023</v>
      </c>
      <c r="V3066" t="s">
        <v>64024</v>
      </c>
      <c r="W3066" t="s">
        <v>64025</v>
      </c>
      <c r="X3066" t="s">
        <v>64026</v>
      </c>
      <c r="Y3066" t="s">
        <v>64027</v>
      </c>
    </row>
    <row r="3067" spans="1:25" x14ac:dyDescent="0.3">
      <c r="A3067">
        <v>153300</v>
      </c>
      <c r="B3067" t="s">
        <v>64028</v>
      </c>
      <c r="C3067" t="s">
        <v>64029</v>
      </c>
      <c r="D3067" t="s">
        <v>64030</v>
      </c>
      <c r="E3067" t="s">
        <v>64031</v>
      </c>
      <c r="F3067" t="s">
        <v>64032</v>
      </c>
      <c r="G3067" t="s">
        <v>64033</v>
      </c>
      <c r="H3067" t="s">
        <v>64034</v>
      </c>
      <c r="I3067" t="s">
        <v>64035</v>
      </c>
      <c r="J3067" t="s">
        <v>64036</v>
      </c>
      <c r="K3067" t="s">
        <v>64037</v>
      </c>
      <c r="L3067" t="s">
        <v>64038</v>
      </c>
      <c r="M3067" t="s">
        <v>64039</v>
      </c>
      <c r="N3067" t="s">
        <v>64040</v>
      </c>
      <c r="O3067">
        <f>-740.731537912726 -77.3077080998135 -711.769213728416</f>
        <v>-1529.8084597409556</v>
      </c>
      <c r="P3067">
        <f>-685.370528049695 -79.9421574581602 -400.137404175182</f>
        <v>-1165.4500896830373</v>
      </c>
      <c r="Q3067">
        <f>-437.367390760503 -2.50373886215175 -388.313768254204</f>
        <v>-828.18489787685871</v>
      </c>
      <c r="R3067" t="s">
        <v>64041</v>
      </c>
      <c r="S3067" t="s">
        <v>64042</v>
      </c>
      <c r="T3067" t="s">
        <v>64043</v>
      </c>
      <c r="U3067" t="s">
        <v>64044</v>
      </c>
      <c r="V3067" t="s">
        <v>64045</v>
      </c>
      <c r="W3067" t="s">
        <v>64046</v>
      </c>
      <c r="X3067" t="s">
        <v>64047</v>
      </c>
      <c r="Y3067" t="s">
        <v>64048</v>
      </c>
    </row>
    <row r="3068" spans="1:25" x14ac:dyDescent="0.3">
      <c r="A3068">
        <v>153350</v>
      </c>
      <c r="B3068" t="s">
        <v>64049</v>
      </c>
      <c r="C3068" t="s">
        <v>64050</v>
      </c>
      <c r="D3068" t="s">
        <v>64051</v>
      </c>
      <c r="E3068" t="s">
        <v>64052</v>
      </c>
      <c r="F3068" t="s">
        <v>64053</v>
      </c>
      <c r="G3068" t="s">
        <v>64054</v>
      </c>
      <c r="H3068" t="s">
        <v>64055</v>
      </c>
      <c r="I3068" t="s">
        <v>64056</v>
      </c>
      <c r="J3068" t="s">
        <v>64057</v>
      </c>
      <c r="K3068" t="s">
        <v>64058</v>
      </c>
      <c r="L3068" t="s">
        <v>64059</v>
      </c>
      <c r="M3068" t="s">
        <v>64060</v>
      </c>
      <c r="N3068" t="s">
        <v>64061</v>
      </c>
      <c r="O3068">
        <f>-739.445175805939 -77.5756257074868 -711.372046117358</f>
        <v>-1528.3928476307838</v>
      </c>
      <c r="P3068">
        <f>-684.320133171733 -79.4903690329841 -399.693113200873</f>
        <v>-1163.5036154055902</v>
      </c>
      <c r="Q3068">
        <f>-435.900767348327 -3.36771338349286 -388.066939500016</f>
        <v>-827.33542023183588</v>
      </c>
      <c r="R3068" t="s">
        <v>64062</v>
      </c>
      <c r="S3068" t="s">
        <v>64063</v>
      </c>
      <c r="T3068" t="s">
        <v>64064</v>
      </c>
      <c r="U3068" t="s">
        <v>64065</v>
      </c>
      <c r="V3068" t="s">
        <v>64066</v>
      </c>
      <c r="W3068" t="s">
        <v>64067</v>
      </c>
      <c r="X3068" t="s">
        <v>64068</v>
      </c>
      <c r="Y3068" t="s">
        <v>64069</v>
      </c>
    </row>
    <row r="3069" spans="1:25" x14ac:dyDescent="0.3">
      <c r="A3069">
        <v>153400</v>
      </c>
      <c r="B3069" t="s">
        <v>64070</v>
      </c>
      <c r="C3069" t="s">
        <v>64071</v>
      </c>
      <c r="D3069" t="s">
        <v>64072</v>
      </c>
      <c r="E3069" t="s">
        <v>64073</v>
      </c>
      <c r="F3069" t="s">
        <v>64074</v>
      </c>
      <c r="G3069" t="s">
        <v>64075</v>
      </c>
      <c r="H3069" t="s">
        <v>64076</v>
      </c>
      <c r="I3069" t="s">
        <v>64077</v>
      </c>
      <c r="J3069" t="s">
        <v>64078</v>
      </c>
      <c r="K3069" t="s">
        <v>64079</v>
      </c>
      <c r="L3069" t="s">
        <v>64080</v>
      </c>
      <c r="M3069" t="s">
        <v>64081</v>
      </c>
      <c r="N3069" t="s">
        <v>64082</v>
      </c>
      <c r="O3069">
        <f>-738.680311535522 -77.4347155519408 -711.382663313113</f>
        <v>-1527.4976904005757</v>
      </c>
      <c r="P3069">
        <f>-683.970653168498 -79.120945932048 -399.629183063527</f>
        <v>-1162.7207821640729</v>
      </c>
      <c r="Q3069">
        <f>-435.481603994862 -3.28895808992411 -387.598816039486</f>
        <v>-826.36937812427209</v>
      </c>
      <c r="R3069" t="s">
        <v>64083</v>
      </c>
      <c r="S3069" t="s">
        <v>64084</v>
      </c>
      <c r="T3069" t="s">
        <v>64085</v>
      </c>
      <c r="U3069" t="s">
        <v>64086</v>
      </c>
      <c r="V3069" t="s">
        <v>64087</v>
      </c>
      <c r="W3069" t="s">
        <v>64088</v>
      </c>
      <c r="X3069" t="s">
        <v>64089</v>
      </c>
      <c r="Y3069" t="s">
        <v>64090</v>
      </c>
    </row>
    <row r="3070" spans="1:25" x14ac:dyDescent="0.3">
      <c r="A3070">
        <v>153450</v>
      </c>
      <c r="B3070" t="s">
        <v>64091</v>
      </c>
      <c r="C3070" t="s">
        <v>64092</v>
      </c>
      <c r="D3070" t="s">
        <v>64093</v>
      </c>
      <c r="E3070" t="s">
        <v>64094</v>
      </c>
      <c r="F3070" t="s">
        <v>64095</v>
      </c>
      <c r="G3070" t="s">
        <v>64096</v>
      </c>
      <c r="H3070" t="s">
        <v>64097</v>
      </c>
      <c r="I3070" t="s">
        <v>64098</v>
      </c>
      <c r="J3070" t="s">
        <v>64099</v>
      </c>
      <c r="K3070" t="s">
        <v>64100</v>
      </c>
      <c r="L3070" t="s">
        <v>64101</v>
      </c>
      <c r="M3070" t="s">
        <v>64102</v>
      </c>
      <c r="N3070" t="s">
        <v>64103</v>
      </c>
      <c r="O3070">
        <f>-737.577146566426 -77.4991198063437 -711.562468156335</f>
        <v>-1526.6387345291046</v>
      </c>
      <c r="P3070">
        <f>-683.998795585602 -78.8109733317033 -399.61084185631</f>
        <v>-1162.4206107736154</v>
      </c>
      <c r="Q3070">
        <f>-435.583346008091 -2.95195650612254 -386.29908182066</f>
        <v>-824.83438433487345</v>
      </c>
      <c r="R3070" t="s">
        <v>64104</v>
      </c>
      <c r="S3070" t="s">
        <v>64105</v>
      </c>
      <c r="T3070" t="s">
        <v>64106</v>
      </c>
      <c r="U3070" t="s">
        <v>64107</v>
      </c>
      <c r="V3070" t="s">
        <v>64108</v>
      </c>
      <c r="W3070" t="s">
        <v>64109</v>
      </c>
      <c r="X3070" t="s">
        <v>64110</v>
      </c>
      <c r="Y3070" t="s">
        <v>64111</v>
      </c>
    </row>
    <row r="3071" spans="1:25" x14ac:dyDescent="0.3">
      <c r="A3071">
        <v>153500</v>
      </c>
      <c r="B3071" t="s">
        <v>64112</v>
      </c>
      <c r="C3071" t="s">
        <v>64113</v>
      </c>
      <c r="D3071" t="s">
        <v>64114</v>
      </c>
      <c r="E3071" t="s">
        <v>64115</v>
      </c>
      <c r="F3071" t="s">
        <v>64116</v>
      </c>
      <c r="G3071" t="s">
        <v>64117</v>
      </c>
      <c r="H3071" t="s">
        <v>64118</v>
      </c>
      <c r="I3071" t="s">
        <v>64119</v>
      </c>
      <c r="J3071" t="s">
        <v>64120</v>
      </c>
      <c r="K3071" t="s">
        <v>64121</v>
      </c>
      <c r="L3071" t="s">
        <v>64122</v>
      </c>
      <c r="M3071" t="s">
        <v>64123</v>
      </c>
      <c r="N3071" t="s">
        <v>64124</v>
      </c>
      <c r="O3071">
        <f>-737.353380470554 -77.5833879328363 -711.728287245694</f>
        <v>-1526.6650556490845</v>
      </c>
      <c r="P3071">
        <f>-684.129061574077 -78.6124908069344 -399.714989421199</f>
        <v>-1162.4565418022103</v>
      </c>
      <c r="Q3071">
        <f>-435.781917668987 -2.66111676486616 -385.673920102907</f>
        <v>-824.1169545367602</v>
      </c>
      <c r="R3071" t="s">
        <v>64125</v>
      </c>
      <c r="S3071" t="s">
        <v>64126</v>
      </c>
      <c r="T3071" t="s">
        <v>64127</v>
      </c>
      <c r="U3071" t="s">
        <v>64128</v>
      </c>
      <c r="V3071" t="s">
        <v>64129</v>
      </c>
      <c r="W3071" t="s">
        <v>64130</v>
      </c>
      <c r="X3071" t="s">
        <v>64131</v>
      </c>
      <c r="Y3071" t="s">
        <v>64132</v>
      </c>
    </row>
    <row r="3072" spans="1:25" x14ac:dyDescent="0.3">
      <c r="A3072">
        <v>153550</v>
      </c>
      <c r="B3072" t="s">
        <v>64133</v>
      </c>
      <c r="C3072" t="s">
        <v>64134</v>
      </c>
      <c r="D3072" t="s">
        <v>64135</v>
      </c>
      <c r="E3072" t="s">
        <v>64136</v>
      </c>
      <c r="F3072" t="s">
        <v>64137</v>
      </c>
      <c r="G3072" t="s">
        <v>64138</v>
      </c>
      <c r="H3072" t="s">
        <v>64139</v>
      </c>
      <c r="I3072" t="s">
        <v>64140</v>
      </c>
      <c r="J3072" t="s">
        <v>64141</v>
      </c>
      <c r="K3072" t="s">
        <v>64142</v>
      </c>
      <c r="L3072" t="s">
        <v>64143</v>
      </c>
      <c r="M3072" t="s">
        <v>64144</v>
      </c>
      <c r="N3072" t="s">
        <v>64145</v>
      </c>
      <c r="O3072">
        <f>-736.942565254377 -77.7857012646321 -711.703125964866</f>
        <v>-1526.431392483875</v>
      </c>
      <c r="P3072">
        <f>-683.884787234285 -78.3072181168104 -399.660234460909</f>
        <v>-1161.8522398120044</v>
      </c>
      <c r="Q3072">
        <f>-435.587288098352 -2.29907266043392 -385.060814993925</f>
        <v>-822.94717575271102</v>
      </c>
      <c r="R3072" t="s">
        <v>64146</v>
      </c>
      <c r="S3072" t="s">
        <v>64147</v>
      </c>
      <c r="T3072" t="s">
        <v>64148</v>
      </c>
      <c r="U3072" t="s">
        <v>64149</v>
      </c>
      <c r="V3072" t="s">
        <v>64150</v>
      </c>
      <c r="W3072" t="s">
        <v>64151</v>
      </c>
      <c r="X3072" t="s">
        <v>64152</v>
      </c>
      <c r="Y3072" t="s">
        <v>64153</v>
      </c>
    </row>
    <row r="3073" spans="1:25" x14ac:dyDescent="0.3">
      <c r="A3073">
        <v>153600</v>
      </c>
      <c r="B3073" t="s">
        <v>64154</v>
      </c>
      <c r="C3073" t="s">
        <v>64155</v>
      </c>
      <c r="D3073" t="s">
        <v>64156</v>
      </c>
      <c r="E3073" t="s">
        <v>64157</v>
      </c>
      <c r="F3073" t="s">
        <v>64158</v>
      </c>
      <c r="G3073" t="s">
        <v>64159</v>
      </c>
      <c r="H3073" t="s">
        <v>64160</v>
      </c>
      <c r="I3073" t="s">
        <v>64161</v>
      </c>
      <c r="J3073" t="s">
        <v>64162</v>
      </c>
      <c r="K3073" t="s">
        <v>64163</v>
      </c>
      <c r="L3073" t="s">
        <v>64164</v>
      </c>
      <c r="M3073" t="s">
        <v>64165</v>
      </c>
      <c r="N3073" t="s">
        <v>64166</v>
      </c>
      <c r="O3073">
        <f>-736.800380651694 -77.913137659132 -711.56398618636</f>
        <v>-1526.2775044971859</v>
      </c>
      <c r="P3073">
        <f>-683.778292091776 -78.3161357121089 -399.514921315387</f>
        <v>-1161.6093491192719</v>
      </c>
      <c r="Q3073">
        <f>-435.489897638413 -2.28175245194825 -384.894686890406</f>
        <v>-822.66633698076726</v>
      </c>
      <c r="R3073" t="s">
        <v>64167</v>
      </c>
      <c r="S3073" t="s">
        <v>64168</v>
      </c>
      <c r="T3073" t="s">
        <v>64169</v>
      </c>
      <c r="U3073" t="s">
        <v>64170</v>
      </c>
      <c r="V3073" t="s">
        <v>64171</v>
      </c>
      <c r="W3073" t="s">
        <v>64172</v>
      </c>
      <c r="X3073" t="s">
        <v>64173</v>
      </c>
      <c r="Y3073" t="s">
        <v>64174</v>
      </c>
    </row>
    <row r="3074" spans="1:25" x14ac:dyDescent="0.3">
      <c r="A3074">
        <v>153650</v>
      </c>
      <c r="B3074" t="s">
        <v>64175</v>
      </c>
      <c r="C3074" t="s">
        <v>64176</v>
      </c>
      <c r="D3074" t="s">
        <v>64177</v>
      </c>
      <c r="E3074" t="s">
        <v>64178</v>
      </c>
      <c r="F3074" t="s">
        <v>64179</v>
      </c>
      <c r="G3074" t="s">
        <v>64180</v>
      </c>
      <c r="H3074" t="s">
        <v>64181</v>
      </c>
      <c r="I3074" t="s">
        <v>64182</v>
      </c>
      <c r="J3074" t="s">
        <v>64183</v>
      </c>
      <c r="K3074" t="s">
        <v>64184</v>
      </c>
      <c r="L3074" t="s">
        <v>64185</v>
      </c>
      <c r="M3074" t="s">
        <v>64186</v>
      </c>
      <c r="N3074" t="s">
        <v>64187</v>
      </c>
      <c r="O3074">
        <f>-736.591791227717 -78.0916120927598 -711.356644088652</f>
        <v>-1526.0400474091289</v>
      </c>
      <c r="P3074">
        <f>-683.613076080267 -78.6399588465563 -399.300316099835</f>
        <v>-1161.5533510266582</v>
      </c>
      <c r="Q3074">
        <f>-435.245463170121 -2.86471321156728 -384.682510519752</f>
        <v>-822.79268690144022</v>
      </c>
      <c r="R3074" t="s">
        <v>64188</v>
      </c>
      <c r="S3074" t="s">
        <v>64189</v>
      </c>
      <c r="T3074" t="s">
        <v>64190</v>
      </c>
      <c r="U3074" t="s">
        <v>64191</v>
      </c>
      <c r="V3074" t="s">
        <v>64192</v>
      </c>
      <c r="W3074" t="s">
        <v>64193</v>
      </c>
      <c r="X3074" t="s">
        <v>64194</v>
      </c>
      <c r="Y3074" t="s">
        <v>64195</v>
      </c>
    </row>
    <row r="3075" spans="1:25" x14ac:dyDescent="0.3">
      <c r="A3075">
        <v>153700</v>
      </c>
      <c r="B3075" t="s">
        <v>64196</v>
      </c>
      <c r="C3075" t="s">
        <v>64197</v>
      </c>
      <c r="D3075" t="s">
        <v>64198</v>
      </c>
      <c r="E3075" t="s">
        <v>64199</v>
      </c>
      <c r="F3075" t="s">
        <v>64200</v>
      </c>
      <c r="G3075" t="s">
        <v>64201</v>
      </c>
      <c r="H3075" t="s">
        <v>64202</v>
      </c>
      <c r="I3075" t="s">
        <v>64203</v>
      </c>
      <c r="J3075" t="s">
        <v>64204</v>
      </c>
      <c r="K3075" t="s">
        <v>64205</v>
      </c>
      <c r="L3075" t="s">
        <v>64206</v>
      </c>
      <c r="M3075" t="s">
        <v>64207</v>
      </c>
      <c r="N3075" t="s">
        <v>64208</v>
      </c>
      <c r="O3075">
        <f>-736.652290296875 -77.9963893811389 -711.316412734076</f>
        <v>-1525.9650924120899</v>
      </c>
      <c r="P3075">
        <f>-683.731358809596 -78.8459148630507 -399.250957566073</f>
        <v>-1161.8282312387196</v>
      </c>
      <c r="Q3075">
        <f>-435.356390838912 -3.11592594506578 -384.522218949528</f>
        <v>-822.9945357335057</v>
      </c>
      <c r="R3075" t="s">
        <v>64209</v>
      </c>
      <c r="S3075" t="s">
        <v>64210</v>
      </c>
      <c r="T3075" t="s">
        <v>64211</v>
      </c>
      <c r="U3075" t="s">
        <v>64212</v>
      </c>
      <c r="V3075" t="s">
        <v>64213</v>
      </c>
      <c r="W3075" t="s">
        <v>64214</v>
      </c>
      <c r="X3075" t="s">
        <v>64215</v>
      </c>
      <c r="Y3075" t="s">
        <v>64216</v>
      </c>
    </row>
    <row r="3076" spans="1:25" x14ac:dyDescent="0.3">
      <c r="A3076">
        <v>153750</v>
      </c>
      <c r="B3076" t="s">
        <v>64217</v>
      </c>
      <c r="C3076" t="s">
        <v>64218</v>
      </c>
      <c r="D3076" t="s">
        <v>64219</v>
      </c>
      <c r="E3076" t="s">
        <v>64220</v>
      </c>
      <c r="F3076" t="s">
        <v>64221</v>
      </c>
      <c r="G3076" t="s">
        <v>64222</v>
      </c>
      <c r="H3076" t="s">
        <v>64223</v>
      </c>
      <c r="I3076" t="s">
        <v>64224</v>
      </c>
      <c r="J3076" t="s">
        <v>64225</v>
      </c>
      <c r="K3076" t="s">
        <v>64226</v>
      </c>
      <c r="L3076" t="s">
        <v>64227</v>
      </c>
      <c r="M3076" t="s">
        <v>64228</v>
      </c>
      <c r="N3076" t="s">
        <v>64229</v>
      </c>
      <c r="O3076">
        <f>-736.856812174125 -77.864154943727 -711.36955296832</f>
        <v>-1526.0905200861721</v>
      </c>
      <c r="P3076">
        <f>-684.056339930177 -78.8154236974485 -399.284087131733</f>
        <v>-1162.1558507593586</v>
      </c>
      <c r="Q3076">
        <f>-435.462964771711 -3.84704891507681 -384.345232233335</f>
        <v>-823.65524592012275</v>
      </c>
      <c r="R3076" t="s">
        <v>64230</v>
      </c>
      <c r="S3076" t="s">
        <v>64231</v>
      </c>
      <c r="T3076" t="s">
        <v>64232</v>
      </c>
      <c r="U3076" t="s">
        <v>64233</v>
      </c>
      <c r="V3076" t="s">
        <v>64234</v>
      </c>
      <c r="W3076" t="s">
        <v>64235</v>
      </c>
      <c r="X3076" t="s">
        <v>64236</v>
      </c>
      <c r="Y3076" t="s">
        <v>64237</v>
      </c>
    </row>
    <row r="3077" spans="1:25" x14ac:dyDescent="0.3">
      <c r="A3077">
        <v>153800</v>
      </c>
      <c r="B3077" t="s">
        <v>64238</v>
      </c>
      <c r="C3077" t="s">
        <v>64239</v>
      </c>
      <c r="D3077" t="s">
        <v>64240</v>
      </c>
      <c r="E3077" t="s">
        <v>64241</v>
      </c>
      <c r="F3077" t="s">
        <v>64242</v>
      </c>
      <c r="G3077" t="s">
        <v>64243</v>
      </c>
      <c r="H3077" t="s">
        <v>64244</v>
      </c>
      <c r="I3077" t="s">
        <v>64245</v>
      </c>
      <c r="J3077" t="s">
        <v>64246</v>
      </c>
      <c r="K3077" t="s">
        <v>64247</v>
      </c>
      <c r="L3077" t="s">
        <v>64248</v>
      </c>
      <c r="M3077" t="s">
        <v>64249</v>
      </c>
      <c r="N3077" t="s">
        <v>64250</v>
      </c>
      <c r="O3077">
        <f>-737.16623711207 -77.7490579446605 -711.328317390474</f>
        <v>-1526.2436124472047</v>
      </c>
      <c r="P3077">
        <f>-684.345814213399 -78.485164238074 -399.245502378254</f>
        <v>-1162.076480829727</v>
      </c>
      <c r="Q3077">
        <f>-435.687788873798 -3.80952824817427 -383.921532351066</f>
        <v>-823.41884947303834</v>
      </c>
      <c r="R3077" t="s">
        <v>64251</v>
      </c>
      <c r="S3077" t="s">
        <v>64252</v>
      </c>
      <c r="T3077" t="s">
        <v>64253</v>
      </c>
      <c r="U3077" t="s">
        <v>64254</v>
      </c>
      <c r="V3077" t="s">
        <v>64255</v>
      </c>
      <c r="W3077" t="s">
        <v>64256</v>
      </c>
      <c r="X3077" t="s">
        <v>64257</v>
      </c>
      <c r="Y3077" t="s">
        <v>64258</v>
      </c>
    </row>
    <row r="3078" spans="1:25" x14ac:dyDescent="0.3">
      <c r="A3078">
        <v>153850</v>
      </c>
      <c r="B3078" t="s">
        <v>64259</v>
      </c>
      <c r="C3078" t="s">
        <v>64260</v>
      </c>
      <c r="D3078" t="s">
        <v>64261</v>
      </c>
      <c r="E3078" t="s">
        <v>64262</v>
      </c>
      <c r="F3078" t="s">
        <v>64263</v>
      </c>
      <c r="G3078" t="s">
        <v>64264</v>
      </c>
      <c r="H3078" t="s">
        <v>64265</v>
      </c>
      <c r="I3078" t="s">
        <v>64266</v>
      </c>
      <c r="J3078" t="s">
        <v>64267</v>
      </c>
      <c r="K3078" t="s">
        <v>64268</v>
      </c>
      <c r="L3078" t="s">
        <v>64269</v>
      </c>
      <c r="M3078" t="s">
        <v>64270</v>
      </c>
      <c r="N3078" t="s">
        <v>64271</v>
      </c>
      <c r="O3078">
        <f>-737.81924841507 -77.9626807338211 -711.019634431328</f>
        <v>-1526.801563580219</v>
      </c>
      <c r="P3078">
        <f>-684.972070861052 -78.029236340921 -398.940537393809</f>
        <v>-1161.941844595782</v>
      </c>
      <c r="Q3078">
        <f>-436.106723346344 -4.0513189262283 -383.5990814546</f>
        <v>-823.75712372717226</v>
      </c>
      <c r="R3078" t="s">
        <v>64272</v>
      </c>
      <c r="S3078" t="s">
        <v>64273</v>
      </c>
      <c r="T3078" t="s">
        <v>64274</v>
      </c>
      <c r="U3078" t="s">
        <v>64275</v>
      </c>
      <c r="V3078" t="s">
        <v>64276</v>
      </c>
      <c r="W3078" t="s">
        <v>64277</v>
      </c>
      <c r="X3078" t="s">
        <v>64278</v>
      </c>
      <c r="Y3078" t="s">
        <v>64279</v>
      </c>
    </row>
    <row r="3079" spans="1:25" x14ac:dyDescent="0.3">
      <c r="A3079">
        <v>153900</v>
      </c>
      <c r="B3079" t="s">
        <v>64280</v>
      </c>
      <c r="C3079" t="s">
        <v>64281</v>
      </c>
      <c r="D3079" t="s">
        <v>64282</v>
      </c>
      <c r="E3079" t="s">
        <v>64283</v>
      </c>
      <c r="F3079" t="s">
        <v>64284</v>
      </c>
      <c r="G3079" t="s">
        <v>64285</v>
      </c>
      <c r="H3079" t="s">
        <v>64286</v>
      </c>
      <c r="I3079" t="s">
        <v>64287</v>
      </c>
      <c r="J3079" t="s">
        <v>64288</v>
      </c>
      <c r="K3079" t="s">
        <v>64289</v>
      </c>
      <c r="L3079" t="s">
        <v>64290</v>
      </c>
      <c r="M3079" t="s">
        <v>64291</v>
      </c>
      <c r="N3079" t="s">
        <v>64292</v>
      </c>
      <c r="O3079">
        <f>-738.299814471257 -77.923757418107 -710.840802800162</f>
        <v>-1527.0643746895262</v>
      </c>
      <c r="P3079">
        <f>-685.174101054499 -77.6361928441477 -398.809040285599</f>
        <v>-1161.6193341842456</v>
      </c>
      <c r="Q3079">
        <f>-436.221373748613 -3.98750548608905 -383.301932156862</f>
        <v>-823.51081139156406</v>
      </c>
      <c r="R3079" t="s">
        <v>64293</v>
      </c>
      <c r="S3079" t="s">
        <v>64294</v>
      </c>
      <c r="T3079" t="s">
        <v>64295</v>
      </c>
      <c r="U3079" t="s">
        <v>64296</v>
      </c>
      <c r="V3079" t="s">
        <v>64297</v>
      </c>
      <c r="W3079" t="s">
        <v>64298</v>
      </c>
      <c r="X3079" t="s">
        <v>64299</v>
      </c>
      <c r="Y3079" t="s">
        <v>64300</v>
      </c>
    </row>
    <row r="3080" spans="1:25" x14ac:dyDescent="0.3">
      <c r="A3080">
        <v>153950</v>
      </c>
      <c r="B3080" t="s">
        <v>64301</v>
      </c>
      <c r="C3080" t="s">
        <v>64302</v>
      </c>
      <c r="D3080" t="s">
        <v>64303</v>
      </c>
      <c r="E3080" t="s">
        <v>64304</v>
      </c>
      <c r="F3080" t="s">
        <v>64305</v>
      </c>
      <c r="G3080" t="s">
        <v>64306</v>
      </c>
      <c r="H3080" t="s">
        <v>64307</v>
      </c>
      <c r="I3080" t="s">
        <v>64308</v>
      </c>
      <c r="J3080" t="s">
        <v>64309</v>
      </c>
      <c r="K3080" t="s">
        <v>64310</v>
      </c>
      <c r="L3080" t="s">
        <v>64311</v>
      </c>
      <c r="M3080" t="s">
        <v>64312</v>
      </c>
      <c r="N3080" t="s">
        <v>64313</v>
      </c>
      <c r="O3080">
        <f>-739.41537073779 -78.2579838165138 -710.37519282606</f>
        <v>-1528.0485473803637</v>
      </c>
      <c r="P3080">
        <f>-686.030099562677 -77.7856205651301 -398.388045260698</f>
        <v>-1162.2037653885052</v>
      </c>
      <c r="Q3080">
        <f>-437.098376479678 -4.09301215435721 -382.751396830193</f>
        <v>-823.94278546422822</v>
      </c>
      <c r="R3080" t="s">
        <v>64314</v>
      </c>
      <c r="S3080" t="s">
        <v>64315</v>
      </c>
      <c r="T3080" t="s">
        <v>64316</v>
      </c>
      <c r="U3080" t="s">
        <v>64317</v>
      </c>
      <c r="V3080" t="s">
        <v>64318</v>
      </c>
      <c r="W3080" t="s">
        <v>64319</v>
      </c>
      <c r="X3080" t="s">
        <v>64320</v>
      </c>
      <c r="Y3080" t="s">
        <v>64321</v>
      </c>
    </row>
    <row r="3081" spans="1:25" x14ac:dyDescent="0.3">
      <c r="A3081">
        <v>154000</v>
      </c>
      <c r="B3081" t="s">
        <v>64322</v>
      </c>
      <c r="C3081" t="s">
        <v>64323</v>
      </c>
      <c r="D3081" t="s">
        <v>64324</v>
      </c>
      <c r="E3081" t="s">
        <v>64325</v>
      </c>
      <c r="F3081" t="s">
        <v>64326</v>
      </c>
      <c r="G3081" t="s">
        <v>64327</v>
      </c>
      <c r="H3081" t="s">
        <v>64328</v>
      </c>
      <c r="I3081" t="s">
        <v>64329</v>
      </c>
      <c r="J3081" t="s">
        <v>64330</v>
      </c>
      <c r="K3081" t="s">
        <v>64331</v>
      </c>
      <c r="L3081" t="s">
        <v>64332</v>
      </c>
      <c r="M3081" t="s">
        <v>64333</v>
      </c>
      <c r="N3081" t="s">
        <v>64334</v>
      </c>
      <c r="O3081">
        <f>-740.088623482462 -78.2500212119712 -710.177876120832</f>
        <v>-1528.5165208152653</v>
      </c>
      <c r="P3081">
        <f>-686.437659108421 -77.5388340026836 -398.236754587297</f>
        <v>-1162.2132476984016</v>
      </c>
      <c r="Q3081">
        <f>-437.516980420507 -3.90275408514799 -382.166552037332</f>
        <v>-823.58628654298695</v>
      </c>
      <c r="R3081" t="s">
        <v>64335</v>
      </c>
      <c r="S3081" t="s">
        <v>64336</v>
      </c>
      <c r="T3081" t="s">
        <v>64337</v>
      </c>
      <c r="U3081" t="s">
        <v>64338</v>
      </c>
      <c r="V3081" t="s">
        <v>64339</v>
      </c>
      <c r="W3081" t="s">
        <v>64340</v>
      </c>
      <c r="X3081" t="s">
        <v>64341</v>
      </c>
      <c r="Y3081" t="s">
        <v>64342</v>
      </c>
    </row>
    <row r="3082" spans="1:25" x14ac:dyDescent="0.3">
      <c r="A3082">
        <v>154050</v>
      </c>
      <c r="B3082" t="s">
        <v>64343</v>
      </c>
      <c r="C3082" t="s">
        <v>64344</v>
      </c>
      <c r="D3082" t="s">
        <v>64345</v>
      </c>
      <c r="E3082" t="s">
        <v>64346</v>
      </c>
      <c r="F3082" t="s">
        <v>64347</v>
      </c>
      <c r="G3082" t="s">
        <v>64348</v>
      </c>
      <c r="H3082" t="s">
        <v>64349</v>
      </c>
      <c r="I3082" t="s">
        <v>64350</v>
      </c>
      <c r="J3082" t="s">
        <v>64351</v>
      </c>
      <c r="K3082" t="s">
        <v>64352</v>
      </c>
      <c r="L3082" t="s">
        <v>64353</v>
      </c>
      <c r="M3082" t="s">
        <v>64354</v>
      </c>
      <c r="N3082" t="s">
        <v>64355</v>
      </c>
      <c r="O3082">
        <f>-741.053555579832 -78.6931346957379 -709.692512002483</f>
        <v>-1529.439202278053</v>
      </c>
      <c r="P3082">
        <f>-687.304968110831 -77.2944264231139 -397.770485937346</f>
        <v>-1162.369880471291</v>
      </c>
      <c r="Q3082">
        <f>-438.401978364969 -3.74663553572077 -381.03614334856</f>
        <v>-823.18475724924974</v>
      </c>
      <c r="R3082" t="s">
        <v>64356</v>
      </c>
      <c r="S3082" t="s">
        <v>64357</v>
      </c>
      <c r="T3082" t="s">
        <v>64358</v>
      </c>
      <c r="U3082" t="s">
        <v>64359</v>
      </c>
      <c r="V3082" t="s">
        <v>64360</v>
      </c>
      <c r="W3082" t="s">
        <v>64361</v>
      </c>
      <c r="X3082" t="s">
        <v>64362</v>
      </c>
      <c r="Y3082" t="s">
        <v>64363</v>
      </c>
    </row>
    <row r="3083" spans="1:25" x14ac:dyDescent="0.3">
      <c r="A3083">
        <v>154100</v>
      </c>
      <c r="B3083" t="s">
        <v>64364</v>
      </c>
      <c r="C3083" t="s">
        <v>64365</v>
      </c>
      <c r="D3083" t="s">
        <v>64366</v>
      </c>
      <c r="E3083" t="s">
        <v>64367</v>
      </c>
      <c r="F3083" t="s">
        <v>64368</v>
      </c>
      <c r="G3083" t="s">
        <v>64369</v>
      </c>
      <c r="H3083" t="s">
        <v>64370</v>
      </c>
      <c r="I3083" t="s">
        <v>64371</v>
      </c>
      <c r="J3083" t="s">
        <v>64372</v>
      </c>
      <c r="K3083" t="s">
        <v>64373</v>
      </c>
      <c r="L3083" t="s">
        <v>64374</v>
      </c>
      <c r="M3083" t="s">
        <v>64375</v>
      </c>
      <c r="N3083" t="s">
        <v>64376</v>
      </c>
      <c r="O3083">
        <f>-741.532320990029 -78.8325207099958 -709.411156714445</f>
        <v>-1529.77599841447</v>
      </c>
      <c r="P3083">
        <f>-687.288274308835 -76.8329992304336 -397.578168999321</f>
        <v>-1161.6994425385897</v>
      </c>
      <c r="Q3083">
        <f>-438.500380920133 -2.90524913454738 -380.804117634566</f>
        <v>-822.20974768924634</v>
      </c>
      <c r="R3083" t="s">
        <v>64377</v>
      </c>
      <c r="S3083" t="s">
        <v>64378</v>
      </c>
      <c r="T3083" t="s">
        <v>64379</v>
      </c>
      <c r="U3083" t="s">
        <v>64380</v>
      </c>
      <c r="V3083" t="s">
        <v>64381</v>
      </c>
      <c r="W3083" t="s">
        <v>64382</v>
      </c>
      <c r="X3083" t="s">
        <v>64383</v>
      </c>
      <c r="Y3083" t="s">
        <v>64384</v>
      </c>
    </row>
    <row r="3084" spans="1:25" x14ac:dyDescent="0.3">
      <c r="A3084">
        <v>154150</v>
      </c>
      <c r="B3084" t="s">
        <v>64385</v>
      </c>
      <c r="C3084" t="s">
        <v>64386</v>
      </c>
      <c r="D3084" t="s">
        <v>64387</v>
      </c>
      <c r="E3084" t="s">
        <v>64388</v>
      </c>
      <c r="F3084" t="s">
        <v>64389</v>
      </c>
      <c r="G3084" t="s">
        <v>64390</v>
      </c>
      <c r="H3084" t="s">
        <v>64391</v>
      </c>
      <c r="I3084" t="s">
        <v>64392</v>
      </c>
      <c r="J3084" t="s">
        <v>64393</v>
      </c>
      <c r="K3084" t="s">
        <v>64394</v>
      </c>
      <c r="L3084" t="s">
        <v>64395</v>
      </c>
      <c r="M3084" t="s">
        <v>64396</v>
      </c>
      <c r="N3084" t="s">
        <v>64397</v>
      </c>
      <c r="O3084">
        <f>-742.79108137349 -79.281575590381 -708.793565849428</f>
        <v>-1530.8662228132989</v>
      </c>
      <c r="P3084">
        <f>-688.217845931237 -76.853954300999 -397.021263093739</f>
        <v>-1162.093063325975</v>
      </c>
      <c r="Q3084">
        <f>-439.679819103577 -1.30129308887308 -384.264308747521</f>
        <v>-825.24542093997115</v>
      </c>
      <c r="R3084" t="s">
        <v>64398</v>
      </c>
      <c r="S3084" t="s">
        <v>64399</v>
      </c>
      <c r="T3084" t="s">
        <v>64400</v>
      </c>
      <c r="U3084" t="s">
        <v>64401</v>
      </c>
      <c r="V3084" t="s">
        <v>64402</v>
      </c>
      <c r="W3084" t="s">
        <v>64403</v>
      </c>
      <c r="X3084" t="s">
        <v>64404</v>
      </c>
      <c r="Y3084" t="s">
        <v>64405</v>
      </c>
    </row>
    <row r="3085" spans="1:25" x14ac:dyDescent="0.3">
      <c r="A3085">
        <v>154200</v>
      </c>
      <c r="B3085" t="s">
        <v>64406</v>
      </c>
      <c r="C3085" t="s">
        <v>64407</v>
      </c>
      <c r="D3085" t="s">
        <v>64408</v>
      </c>
      <c r="E3085" t="s">
        <v>64409</v>
      </c>
      <c r="F3085" t="s">
        <v>64410</v>
      </c>
      <c r="G3085" t="s">
        <v>64411</v>
      </c>
      <c r="H3085" t="s">
        <v>64412</v>
      </c>
      <c r="I3085" t="s">
        <v>64413</v>
      </c>
      <c r="J3085" t="s">
        <v>64414</v>
      </c>
      <c r="K3085" t="s">
        <v>64415</v>
      </c>
      <c r="L3085" t="s">
        <v>64416</v>
      </c>
      <c r="M3085" t="s">
        <v>64417</v>
      </c>
      <c r="N3085" t="s">
        <v>64418</v>
      </c>
      <c r="O3085">
        <f>-743.473786845761 -79.2140069646912 -708.69792905075</f>
        <v>-1531.3857228612021</v>
      </c>
      <c r="P3085">
        <f>-688.890852390972 -76.9309632117497 -396.926101180745</f>
        <v>-1162.7479167834667</v>
      </c>
      <c r="Q3085">
        <f>-439.868428167253 -2.70227303770912 -385.969608210444</f>
        <v>-828.54030941540611</v>
      </c>
      <c r="R3085" t="s">
        <v>64419</v>
      </c>
      <c r="S3085" t="s">
        <v>64420</v>
      </c>
      <c r="T3085" t="s">
        <v>64421</v>
      </c>
      <c r="U3085" t="s">
        <v>64422</v>
      </c>
      <c r="V3085" t="s">
        <v>64423</v>
      </c>
      <c r="W3085" t="s">
        <v>64424</v>
      </c>
      <c r="X3085" t="s">
        <v>64425</v>
      </c>
      <c r="Y3085" t="s">
        <v>64426</v>
      </c>
    </row>
    <row r="3086" spans="1:25" x14ac:dyDescent="0.3">
      <c r="A3086">
        <v>154250</v>
      </c>
      <c r="B3086" t="s">
        <v>64427</v>
      </c>
      <c r="C3086" t="s">
        <v>64428</v>
      </c>
      <c r="D3086" t="s">
        <v>64429</v>
      </c>
      <c r="E3086" t="s">
        <v>64430</v>
      </c>
      <c r="F3086" t="s">
        <v>64431</v>
      </c>
      <c r="G3086" t="s">
        <v>64432</v>
      </c>
      <c r="H3086" t="s">
        <v>64433</v>
      </c>
      <c r="I3086" t="s">
        <v>64434</v>
      </c>
      <c r="J3086" t="s">
        <v>64435</v>
      </c>
      <c r="K3086" t="s">
        <v>64436</v>
      </c>
      <c r="L3086" t="s">
        <v>64437</v>
      </c>
      <c r="M3086" t="s">
        <v>64438</v>
      </c>
      <c r="N3086" t="s">
        <v>64439</v>
      </c>
      <c r="O3086">
        <f>-744.481333621511 -79.2580984655508 -708.62975721578</f>
        <v>-1532.3691893028417</v>
      </c>
      <c r="P3086">
        <f>-689.497625920475 -77.49251218431 -396.925034541412</f>
        <v>-1163.9151726461971</v>
      </c>
      <c r="Q3086">
        <f>-439.845003419016 -5.27829630938368 -386.889021567855</f>
        <v>-832.01232129625464</v>
      </c>
      <c r="R3086" t="s">
        <v>64440</v>
      </c>
      <c r="S3086" t="s">
        <v>64441</v>
      </c>
      <c r="T3086" t="s">
        <v>64442</v>
      </c>
      <c r="U3086" t="s">
        <v>64443</v>
      </c>
      <c r="V3086" t="s">
        <v>64444</v>
      </c>
      <c r="W3086" t="s">
        <v>64445</v>
      </c>
      <c r="X3086" t="s">
        <v>64446</v>
      </c>
      <c r="Y3086" t="s">
        <v>64447</v>
      </c>
    </row>
    <row r="3087" spans="1:25" x14ac:dyDescent="0.3">
      <c r="A3087">
        <v>154300</v>
      </c>
      <c r="B3087" t="s">
        <v>64448</v>
      </c>
      <c r="C3087" t="s">
        <v>64449</v>
      </c>
      <c r="D3087" t="s">
        <v>64450</v>
      </c>
      <c r="E3087" t="s">
        <v>64451</v>
      </c>
      <c r="F3087" t="s">
        <v>64452</v>
      </c>
      <c r="G3087" t="s">
        <v>64453</v>
      </c>
      <c r="H3087" t="s">
        <v>64454</v>
      </c>
      <c r="I3087" t="s">
        <v>64455</v>
      </c>
      <c r="J3087" t="s">
        <v>64456</v>
      </c>
      <c r="K3087" t="s">
        <v>64457</v>
      </c>
      <c r="L3087" t="s">
        <v>64458</v>
      </c>
      <c r="M3087" t="s">
        <v>64459</v>
      </c>
      <c r="N3087" t="s">
        <v>64460</v>
      </c>
      <c r="O3087">
        <f>-746.906704555286 -78.8402220204489 -708.772203767952</f>
        <v>-1534.5191303436868</v>
      </c>
      <c r="P3087">
        <f>-692.687900976165 -77.624299152139 -396.93068965439</f>
        <v>-1167.242889782694</v>
      </c>
      <c r="Q3087">
        <f>-442.557601947791 -6.92159983987858 -388.098845822495</f>
        <v>-837.5780476101645</v>
      </c>
      <c r="R3087" t="s">
        <v>64461</v>
      </c>
      <c r="S3087" t="s">
        <v>64462</v>
      </c>
      <c r="T3087" t="s">
        <v>64463</v>
      </c>
      <c r="U3087" t="s">
        <v>64464</v>
      </c>
      <c r="V3087" t="s">
        <v>64465</v>
      </c>
      <c r="W3087" t="s">
        <v>64466</v>
      </c>
      <c r="X3087" t="s">
        <v>64467</v>
      </c>
      <c r="Y3087" t="s">
        <v>64468</v>
      </c>
    </row>
    <row r="3088" spans="1:25" x14ac:dyDescent="0.3">
      <c r="A3088">
        <v>154350</v>
      </c>
      <c r="B3088" t="s">
        <v>64469</v>
      </c>
      <c r="C3088" t="s">
        <v>64470</v>
      </c>
      <c r="D3088" t="s">
        <v>64471</v>
      </c>
      <c r="E3088" t="s">
        <v>64472</v>
      </c>
      <c r="F3088" t="s">
        <v>64473</v>
      </c>
      <c r="G3088" t="s">
        <v>64474</v>
      </c>
      <c r="H3088" t="s">
        <v>64475</v>
      </c>
      <c r="I3088" t="s">
        <v>64476</v>
      </c>
      <c r="J3088" t="s">
        <v>64477</v>
      </c>
      <c r="K3088" t="s">
        <v>64478</v>
      </c>
      <c r="L3088" t="s">
        <v>64479</v>
      </c>
      <c r="M3088" t="s">
        <v>64480</v>
      </c>
      <c r="N3088" t="s">
        <v>64481</v>
      </c>
      <c r="O3088">
        <f>-748.52289691449 -78.8908754983829 -708.916947618198</f>
        <v>-1536.330720031071</v>
      </c>
      <c r="P3088">
        <f>-695.303573836723 -77.7202042529893 -396.903172494415</f>
        <v>-1169.9269505841273</v>
      </c>
      <c r="Q3088">
        <f>-445.011447538302 -7.57917303392242 -388.176411504353</f>
        <v>-840.76703207657738</v>
      </c>
      <c r="R3088" t="s">
        <v>64482</v>
      </c>
      <c r="S3088" t="s">
        <v>64483</v>
      </c>
      <c r="T3088" t="s">
        <v>64484</v>
      </c>
      <c r="U3088" t="s">
        <v>64485</v>
      </c>
      <c r="V3088" t="s">
        <v>64486</v>
      </c>
      <c r="W3088" t="s">
        <v>64487</v>
      </c>
      <c r="X3088" t="s">
        <v>64488</v>
      </c>
      <c r="Y3088" t="s">
        <v>64489</v>
      </c>
    </row>
    <row r="3089" spans="1:25" x14ac:dyDescent="0.3">
      <c r="A3089">
        <v>154400</v>
      </c>
      <c r="B3089" t="s">
        <v>64490</v>
      </c>
      <c r="C3089" t="s">
        <v>64491</v>
      </c>
      <c r="D3089" t="s">
        <v>64492</v>
      </c>
      <c r="E3089" t="s">
        <v>64493</v>
      </c>
      <c r="F3089" t="s">
        <v>64494</v>
      </c>
      <c r="G3089" t="s">
        <v>64495</v>
      </c>
      <c r="H3089" t="s">
        <v>64496</v>
      </c>
      <c r="I3089" t="s">
        <v>64497</v>
      </c>
      <c r="J3089" t="s">
        <v>64498</v>
      </c>
      <c r="K3089" t="s">
        <v>64499</v>
      </c>
      <c r="L3089" t="s">
        <v>64500</v>
      </c>
      <c r="M3089" t="s">
        <v>64501</v>
      </c>
      <c r="N3089" t="s">
        <v>64502</v>
      </c>
      <c r="O3089">
        <f>-749.207443886227 -79.0411778722173 -708.80370964532</f>
        <v>-1537.0523314037644</v>
      </c>
      <c r="P3089">
        <f>-696.680153143845 -77.9250116442208 -396.672542377204</f>
        <v>-1171.2777071652699</v>
      </c>
      <c r="Q3089">
        <f>-446.464463034641 -7.48586901113117 -388.156018965019</f>
        <v>-842.10635101079117</v>
      </c>
      <c r="R3089" t="s">
        <v>64503</v>
      </c>
      <c r="S3089" t="s">
        <v>64504</v>
      </c>
      <c r="T3089" t="s">
        <v>64505</v>
      </c>
      <c r="U3089" t="s">
        <v>64506</v>
      </c>
      <c r="V3089" t="s">
        <v>64507</v>
      </c>
      <c r="W3089" t="s">
        <v>64508</v>
      </c>
      <c r="X3089" t="s">
        <v>64509</v>
      </c>
      <c r="Y3089" t="s">
        <v>64510</v>
      </c>
    </row>
    <row r="3090" spans="1:25" x14ac:dyDescent="0.3">
      <c r="A3090">
        <v>154450</v>
      </c>
      <c r="B3090" t="s">
        <v>64511</v>
      </c>
      <c r="C3090" t="s">
        <v>64512</v>
      </c>
      <c r="D3090" t="s">
        <v>64513</v>
      </c>
      <c r="E3090" t="s">
        <v>64514</v>
      </c>
      <c r="F3090" t="s">
        <v>64515</v>
      </c>
      <c r="G3090" t="s">
        <v>64516</v>
      </c>
      <c r="H3090" t="s">
        <v>64517</v>
      </c>
      <c r="I3090" t="s">
        <v>64518</v>
      </c>
      <c r="J3090" t="s">
        <v>64519</v>
      </c>
      <c r="K3090" t="s">
        <v>64520</v>
      </c>
      <c r="L3090" t="s">
        <v>64521</v>
      </c>
      <c r="M3090" t="s">
        <v>64522</v>
      </c>
      <c r="N3090" t="s">
        <v>64523</v>
      </c>
      <c r="O3090">
        <f>-750.935299410824 -79.6952849751342 -708.711604523646</f>
        <v>-1539.3421889096041</v>
      </c>
      <c r="P3090">
        <f>-699.360226694438 -77.9345916499276 -396.424711835103</f>
        <v>-1173.7195301794686</v>
      </c>
      <c r="Q3090">
        <f>-449.684804221153 -5.57645892009486 -388.14508669619</f>
        <v>-843.4063498374378</v>
      </c>
      <c r="R3090" t="s">
        <v>64524</v>
      </c>
      <c r="S3090" t="s">
        <v>64525</v>
      </c>
      <c r="T3090" t="s">
        <v>64526</v>
      </c>
      <c r="U3090" t="s">
        <v>64527</v>
      </c>
      <c r="V3090" t="s">
        <v>64528</v>
      </c>
      <c r="W3090" t="s">
        <v>64529</v>
      </c>
      <c r="X3090" t="s">
        <v>64530</v>
      </c>
      <c r="Y3090" t="s">
        <v>64531</v>
      </c>
    </row>
    <row r="3091" spans="1:25" x14ac:dyDescent="0.3">
      <c r="A3091">
        <v>154500</v>
      </c>
      <c r="B3091" t="s">
        <v>64532</v>
      </c>
      <c r="C3091" t="s">
        <v>64533</v>
      </c>
      <c r="D3091" t="s">
        <v>64534</v>
      </c>
      <c r="E3091" t="s">
        <v>64535</v>
      </c>
      <c r="F3091" t="s">
        <v>64536</v>
      </c>
      <c r="G3091" t="s">
        <v>64537</v>
      </c>
      <c r="H3091" t="s">
        <v>64538</v>
      </c>
      <c r="I3091" t="s">
        <v>64539</v>
      </c>
      <c r="J3091" t="s">
        <v>64540</v>
      </c>
      <c r="K3091" t="s">
        <v>64541</v>
      </c>
      <c r="L3091" t="s">
        <v>64542</v>
      </c>
      <c r="M3091" t="s">
        <v>64543</v>
      </c>
      <c r="N3091" t="s">
        <v>64544</v>
      </c>
      <c r="O3091">
        <f>-752.019725529816 -79.6808747285663 -708.771319975584</f>
        <v>-1540.4719202339663</v>
      </c>
      <c r="P3091">
        <f>-700.35119485364 -78.1315085995043 -396.49866188971</f>
        <v>-1174.9813653428541</v>
      </c>
      <c r="Q3091">
        <f>-450.748328846606 -5.51342075327443 -388.30837433717</f>
        <v>-844.57012393705043</v>
      </c>
      <c r="R3091" t="s">
        <v>64545</v>
      </c>
      <c r="S3091" t="s">
        <v>64546</v>
      </c>
      <c r="T3091" t="s">
        <v>64547</v>
      </c>
      <c r="U3091" t="s">
        <v>64548</v>
      </c>
      <c r="V3091" t="s">
        <v>64549</v>
      </c>
      <c r="W3091" t="s">
        <v>64550</v>
      </c>
      <c r="X3091" t="s">
        <v>64551</v>
      </c>
      <c r="Y3091" t="s">
        <v>64552</v>
      </c>
    </row>
    <row r="3092" spans="1:25" x14ac:dyDescent="0.3">
      <c r="A3092">
        <v>154550</v>
      </c>
      <c r="B3092" t="s">
        <v>64553</v>
      </c>
      <c r="C3092" t="s">
        <v>64554</v>
      </c>
      <c r="D3092" t="s">
        <v>64555</v>
      </c>
      <c r="E3092" t="s">
        <v>64556</v>
      </c>
      <c r="F3092" t="s">
        <v>64557</v>
      </c>
      <c r="G3092" t="s">
        <v>64558</v>
      </c>
      <c r="H3092" t="s">
        <v>64559</v>
      </c>
      <c r="I3092" t="s">
        <v>64560</v>
      </c>
      <c r="J3092" t="s">
        <v>64561</v>
      </c>
      <c r="K3092" t="s">
        <v>64562</v>
      </c>
      <c r="L3092" t="s">
        <v>64563</v>
      </c>
      <c r="M3092" t="s">
        <v>64564</v>
      </c>
      <c r="N3092" t="s">
        <v>64565</v>
      </c>
      <c r="O3092">
        <f>-753.979946109674 -79.388745026183 -708.730971699715</f>
        <v>-1542.099662835572</v>
      </c>
      <c r="P3092">
        <f>-701.656344464941 -77.6254414020016 -396.568654023356</f>
        <v>-1175.8504398902985</v>
      </c>
      <c r="Q3092">
        <f>-452.652195445334 -3.05131742972731 -387.757270286537</f>
        <v>-843.46078316159833</v>
      </c>
      <c r="R3092" t="s">
        <v>64566</v>
      </c>
      <c r="S3092" t="s">
        <v>64567</v>
      </c>
      <c r="T3092" t="s">
        <v>64568</v>
      </c>
      <c r="U3092" t="s">
        <v>64569</v>
      </c>
      <c r="V3092" t="s">
        <v>64570</v>
      </c>
      <c r="W3092" t="s">
        <v>64571</v>
      </c>
      <c r="X3092" t="s">
        <v>64572</v>
      </c>
      <c r="Y3092" t="s">
        <v>64573</v>
      </c>
    </row>
    <row r="3093" spans="1:25" x14ac:dyDescent="0.3">
      <c r="A3093">
        <v>154600</v>
      </c>
      <c r="B3093" t="s">
        <v>64574</v>
      </c>
      <c r="C3093" t="s">
        <v>64575</v>
      </c>
      <c r="D3093" t="s">
        <v>64576</v>
      </c>
      <c r="E3093" t="s">
        <v>64577</v>
      </c>
      <c r="F3093" t="s">
        <v>64578</v>
      </c>
      <c r="G3093" t="s">
        <v>64579</v>
      </c>
      <c r="H3093" t="s">
        <v>64580</v>
      </c>
      <c r="I3093" t="s">
        <v>64581</v>
      </c>
      <c r="J3093" t="s">
        <v>64582</v>
      </c>
      <c r="K3093" t="s">
        <v>64583</v>
      </c>
      <c r="L3093" t="s">
        <v>64584</v>
      </c>
      <c r="M3093" t="s">
        <v>64585</v>
      </c>
      <c r="N3093" t="s">
        <v>64586</v>
      </c>
      <c r="O3093">
        <f>-754.886958335404 -79.2568861700977 -708.559545454018</f>
        <v>-1542.7033899595197</v>
      </c>
      <c r="P3093">
        <f>-702.297861659283 -76.683712028525 -396.447412898627</f>
        <v>-1175.4289865864348</v>
      </c>
      <c r="Q3093">
        <f>-453.345475302433 -1.9958740525492 -387.150348899715</f>
        <v>-842.49169825469721</v>
      </c>
      <c r="R3093" t="s">
        <v>64587</v>
      </c>
      <c r="S3093" t="s">
        <v>64588</v>
      </c>
      <c r="T3093" t="s">
        <v>64589</v>
      </c>
      <c r="U3093" t="s">
        <v>64590</v>
      </c>
      <c r="V3093" t="s">
        <v>64591</v>
      </c>
      <c r="W3093" t="s">
        <v>64592</v>
      </c>
      <c r="X3093" t="s">
        <v>64593</v>
      </c>
      <c r="Y3093" t="s">
        <v>64594</v>
      </c>
    </row>
    <row r="3094" spans="1:25" x14ac:dyDescent="0.3">
      <c r="A3094">
        <v>154650</v>
      </c>
      <c r="B3094" t="s">
        <v>64595</v>
      </c>
      <c r="C3094" t="s">
        <v>64596</v>
      </c>
      <c r="D3094" t="s">
        <v>64597</v>
      </c>
      <c r="E3094" t="s">
        <v>64598</v>
      </c>
      <c r="F3094" t="s">
        <v>64599</v>
      </c>
      <c r="G3094" t="s">
        <v>64600</v>
      </c>
      <c r="H3094" t="s">
        <v>64601</v>
      </c>
      <c r="I3094" t="s">
        <v>64602</v>
      </c>
      <c r="J3094" t="s">
        <v>64603</v>
      </c>
      <c r="K3094" t="s">
        <v>64604</v>
      </c>
      <c r="L3094" t="s">
        <v>64605</v>
      </c>
      <c r="M3094" t="s">
        <v>64606</v>
      </c>
      <c r="N3094" t="s">
        <v>64607</v>
      </c>
      <c r="O3094">
        <f>-756.2962683154 -78.6917099678612 -707.840860827324</f>
        <v>-1542.8288391105852</v>
      </c>
      <c r="P3094">
        <f>-702.80825220184 -75.5939308118618 -395.886329626411</f>
        <v>-1174.2885126401129</v>
      </c>
      <c r="Q3094">
        <f>-453.69842868888 -2.22192461388681 -381.642164882563</f>
        <v>-837.56251818532985</v>
      </c>
      <c r="R3094" t="s">
        <v>64608</v>
      </c>
      <c r="S3094" t="s">
        <v>64609</v>
      </c>
      <c r="T3094" t="s">
        <v>64610</v>
      </c>
      <c r="U3094" t="s">
        <v>64611</v>
      </c>
      <c r="V3094" t="s">
        <v>64612</v>
      </c>
      <c r="W3094" t="s">
        <v>64613</v>
      </c>
      <c r="X3094" t="s">
        <v>64614</v>
      </c>
      <c r="Y3094" t="s">
        <v>64615</v>
      </c>
    </row>
    <row r="3095" spans="1:25" x14ac:dyDescent="0.3">
      <c r="A3095">
        <v>154700</v>
      </c>
      <c r="B3095" t="s">
        <v>64616</v>
      </c>
      <c r="C3095" t="s">
        <v>64617</v>
      </c>
      <c r="D3095" t="s">
        <v>64618</v>
      </c>
      <c r="E3095" t="s">
        <v>64619</v>
      </c>
      <c r="F3095" t="s">
        <v>64620</v>
      </c>
      <c r="G3095" t="s">
        <v>64621</v>
      </c>
      <c r="H3095" t="s">
        <v>64622</v>
      </c>
      <c r="I3095" t="s">
        <v>64623</v>
      </c>
      <c r="J3095" t="s">
        <v>64624</v>
      </c>
      <c r="K3095" t="s">
        <v>64625</v>
      </c>
      <c r="L3095" t="s">
        <v>64626</v>
      </c>
      <c r="M3095" t="s">
        <v>64627</v>
      </c>
      <c r="N3095" t="s">
        <v>64628</v>
      </c>
      <c r="O3095">
        <f>-756.936256285031 -78.3084830711139 -707.380548252495</f>
        <v>-1542.6252876086401</v>
      </c>
      <c r="P3095">
        <f>-703.330669070692 -74.8106417982451 -395.45039925579</f>
        <v>-1173.5917101247271</v>
      </c>
      <c r="Q3095">
        <f>-454.447084866348 -1.79101214101206 -376.290140206369</f>
        <v>-832.52823721372908</v>
      </c>
      <c r="R3095" t="s">
        <v>64629</v>
      </c>
      <c r="S3095" t="s">
        <v>64630</v>
      </c>
      <c r="T3095" t="s">
        <v>64631</v>
      </c>
      <c r="U3095" t="s">
        <v>64632</v>
      </c>
      <c r="V3095" t="s">
        <v>64633</v>
      </c>
      <c r="W3095" t="s">
        <v>64634</v>
      </c>
      <c r="X3095" t="s">
        <v>64635</v>
      </c>
      <c r="Y3095" t="s">
        <v>64636</v>
      </c>
    </row>
    <row r="3096" spans="1:25" x14ac:dyDescent="0.3">
      <c r="A3096">
        <v>154750</v>
      </c>
      <c r="B3096" t="s">
        <v>64637</v>
      </c>
      <c r="C3096" t="s">
        <v>64638</v>
      </c>
      <c r="D3096" t="s">
        <v>64639</v>
      </c>
      <c r="E3096" t="s">
        <v>64640</v>
      </c>
      <c r="F3096" t="s">
        <v>64641</v>
      </c>
      <c r="G3096" t="s">
        <v>64642</v>
      </c>
      <c r="H3096" t="s">
        <v>64643</v>
      </c>
      <c r="I3096" t="s">
        <v>64644</v>
      </c>
      <c r="J3096" t="s">
        <v>64645</v>
      </c>
      <c r="K3096" t="s">
        <v>64646</v>
      </c>
      <c r="L3096" t="s">
        <v>64647</v>
      </c>
      <c r="M3096" t="s">
        <v>64648</v>
      </c>
      <c r="N3096" t="s">
        <v>64649</v>
      </c>
      <c r="O3096">
        <f>-758.255492485608 -77.4497390410963 -706.18491920339</f>
        <v>-1541.8901507300943</v>
      </c>
      <c r="P3096">
        <f>-702.135799399073 -74.0638075657573 -394.696045410656</f>
        <v>-1170.8956523754864</v>
      </c>
      <c r="Q3096" t="s">
        <v>64650</v>
      </c>
      <c r="R3096" t="s">
        <v>64651</v>
      </c>
      <c r="S3096" t="s">
        <v>64652</v>
      </c>
      <c r="T3096" t="s">
        <v>64653</v>
      </c>
      <c r="U3096" t="s">
        <v>64654</v>
      </c>
      <c r="V3096" t="s">
        <v>64655</v>
      </c>
      <c r="W3096" t="s">
        <v>64656</v>
      </c>
      <c r="X3096" t="s">
        <v>64657</v>
      </c>
      <c r="Y3096" t="s">
        <v>64658</v>
      </c>
    </row>
    <row r="3097" spans="1:25" x14ac:dyDescent="0.3">
      <c r="A3097">
        <v>154800</v>
      </c>
      <c r="B3097" t="s">
        <v>64659</v>
      </c>
      <c r="C3097" t="s">
        <v>64660</v>
      </c>
      <c r="D3097" t="s">
        <v>64661</v>
      </c>
      <c r="E3097" t="s">
        <v>64662</v>
      </c>
      <c r="F3097" t="s">
        <v>64663</v>
      </c>
      <c r="G3097" t="s">
        <v>64664</v>
      </c>
      <c r="H3097" t="s">
        <v>64665</v>
      </c>
      <c r="I3097" t="s">
        <v>64666</v>
      </c>
      <c r="J3097" t="s">
        <v>64667</v>
      </c>
      <c r="K3097" t="s">
        <v>64668</v>
      </c>
      <c r="L3097" t="s">
        <v>64669</v>
      </c>
      <c r="M3097" t="s">
        <v>64670</v>
      </c>
      <c r="N3097" t="s">
        <v>64671</v>
      </c>
      <c r="O3097">
        <f>-760.205863024234 -78.1133202783062 -704.255633440597</f>
        <v>-1542.574816743137</v>
      </c>
      <c r="P3097">
        <f>-700.370557734086 -71.340760878777 -393.514543064173</f>
        <v>-1165.2258616770359</v>
      </c>
      <c r="Q3097" t="s">
        <v>64672</v>
      </c>
      <c r="R3097" t="s">
        <v>64673</v>
      </c>
      <c r="S3097" t="s">
        <v>64674</v>
      </c>
      <c r="T3097" t="s">
        <v>64675</v>
      </c>
      <c r="U3097" t="s">
        <v>64676</v>
      </c>
      <c r="V3097" t="s">
        <v>64677</v>
      </c>
      <c r="W3097" t="s">
        <v>64678</v>
      </c>
      <c r="X3097" t="s">
        <v>64679</v>
      </c>
      <c r="Y3097" t="s">
        <v>64680</v>
      </c>
    </row>
    <row r="3098" spans="1:25" x14ac:dyDescent="0.3">
      <c r="A3098">
        <v>154850</v>
      </c>
      <c r="B3098" t="s">
        <v>64681</v>
      </c>
      <c r="C3098" t="s">
        <v>64682</v>
      </c>
      <c r="D3098" t="s">
        <v>64683</v>
      </c>
      <c r="E3098" t="s">
        <v>64684</v>
      </c>
      <c r="F3098" t="s">
        <v>64685</v>
      </c>
      <c r="G3098" t="s">
        <v>64686</v>
      </c>
      <c r="H3098" t="s">
        <v>64687</v>
      </c>
      <c r="I3098" t="s">
        <v>64688</v>
      </c>
      <c r="J3098" t="s">
        <v>64689</v>
      </c>
      <c r="K3098" t="s">
        <v>64690</v>
      </c>
      <c r="L3098" t="s">
        <v>64691</v>
      </c>
      <c r="M3098" t="s">
        <v>64692</v>
      </c>
      <c r="N3098" t="s">
        <v>64693</v>
      </c>
      <c r="O3098">
        <f>-761.479012979311 -78.7429802485847 -703.094189707517</f>
        <v>-1543.3161829354126</v>
      </c>
      <c r="P3098">
        <f>-699.894864758338 -70.6641360402614 -392.726258929296</f>
        <v>-1163.2852597278954</v>
      </c>
      <c r="Q3098" t="s">
        <v>64694</v>
      </c>
      <c r="R3098" t="s">
        <v>64695</v>
      </c>
      <c r="S3098" t="s">
        <v>64696</v>
      </c>
      <c r="T3098" t="s">
        <v>64697</v>
      </c>
      <c r="U3098" t="s">
        <v>64698</v>
      </c>
      <c r="V3098" t="s">
        <v>64699</v>
      </c>
      <c r="W3098" t="s">
        <v>64700</v>
      </c>
      <c r="X3098" t="s">
        <v>64701</v>
      </c>
      <c r="Y3098" t="s">
        <v>64702</v>
      </c>
    </row>
    <row r="3099" spans="1:25" x14ac:dyDescent="0.3">
      <c r="A3099">
        <v>154900</v>
      </c>
      <c r="B3099" t="s">
        <v>64703</v>
      </c>
      <c r="C3099" t="s">
        <v>64704</v>
      </c>
      <c r="D3099" t="s">
        <v>64705</v>
      </c>
      <c r="E3099" t="s">
        <v>64706</v>
      </c>
      <c r="F3099" t="s">
        <v>64707</v>
      </c>
      <c r="G3099" t="s">
        <v>64708</v>
      </c>
      <c r="H3099" t="s">
        <v>64709</v>
      </c>
      <c r="I3099" t="s">
        <v>64710</v>
      </c>
      <c r="J3099" t="s">
        <v>64711</v>
      </c>
      <c r="K3099" t="s">
        <v>64712</v>
      </c>
      <c r="L3099" t="s">
        <v>64713</v>
      </c>
      <c r="M3099" t="s">
        <v>64714</v>
      </c>
      <c r="N3099" t="s">
        <v>64715</v>
      </c>
      <c r="O3099">
        <f>-762.831046436396 -78.9034265488201 -702.027704028399</f>
        <v>-1543.7621770136152</v>
      </c>
      <c r="P3099">
        <f>-699.182032690051 -71.5397454733341 -392.058772565742</f>
        <v>-1162.7805507291271</v>
      </c>
      <c r="Q3099" t="s">
        <v>64716</v>
      </c>
      <c r="R3099" t="s">
        <v>64717</v>
      </c>
      <c r="S3099" t="s">
        <v>64718</v>
      </c>
      <c r="T3099" t="s">
        <v>64719</v>
      </c>
      <c r="U3099" t="s">
        <v>64720</v>
      </c>
      <c r="V3099" t="s">
        <v>64721</v>
      </c>
      <c r="W3099" t="s">
        <v>64722</v>
      </c>
      <c r="X3099" t="s">
        <v>64723</v>
      </c>
      <c r="Y3099" t="s">
        <v>64724</v>
      </c>
    </row>
    <row r="3100" spans="1:25" x14ac:dyDescent="0.3">
      <c r="A3100">
        <v>154950</v>
      </c>
      <c r="B3100" t="s">
        <v>64725</v>
      </c>
      <c r="C3100" t="s">
        <v>64726</v>
      </c>
      <c r="D3100" t="s">
        <v>64727</v>
      </c>
      <c r="E3100" t="s">
        <v>64728</v>
      </c>
      <c r="F3100" t="s">
        <v>64729</v>
      </c>
      <c r="G3100" t="s">
        <v>64730</v>
      </c>
      <c r="H3100" t="s">
        <v>64731</v>
      </c>
      <c r="I3100" t="s">
        <v>64732</v>
      </c>
      <c r="J3100" t="s">
        <v>64733</v>
      </c>
      <c r="K3100" t="s">
        <v>64734</v>
      </c>
      <c r="L3100" t="s">
        <v>64735</v>
      </c>
      <c r="M3100" t="s">
        <v>64736</v>
      </c>
      <c r="N3100" t="s">
        <v>64737</v>
      </c>
      <c r="O3100">
        <f>-765.535840744837 -78.1479932545656 -701.146826310449</f>
        <v>-1544.8306603098515</v>
      </c>
      <c r="P3100">
        <f>-699.442891110825 -74.0927626457692 -391.628608861829</f>
        <v>-1165.1642626184232</v>
      </c>
      <c r="Q3100" t="s">
        <v>64738</v>
      </c>
      <c r="R3100" t="s">
        <v>64739</v>
      </c>
      <c r="S3100" t="s">
        <v>64740</v>
      </c>
      <c r="T3100" t="s">
        <v>64741</v>
      </c>
      <c r="U3100" t="s">
        <v>64742</v>
      </c>
      <c r="V3100" t="s">
        <v>64743</v>
      </c>
      <c r="W3100" t="s">
        <v>64744</v>
      </c>
      <c r="X3100" t="s">
        <v>64745</v>
      </c>
      <c r="Y3100" t="s">
        <v>64746</v>
      </c>
    </row>
    <row r="3101" spans="1:25" x14ac:dyDescent="0.3">
      <c r="A3101">
        <v>155000</v>
      </c>
      <c r="B3101" t="s">
        <v>64747</v>
      </c>
      <c r="C3101" t="s">
        <v>64748</v>
      </c>
      <c r="D3101" t="s">
        <v>64749</v>
      </c>
      <c r="E3101" t="s">
        <v>64750</v>
      </c>
      <c r="F3101" t="s">
        <v>64751</v>
      </c>
      <c r="G3101" t="s">
        <v>64752</v>
      </c>
      <c r="H3101" t="s">
        <v>64753</v>
      </c>
      <c r="I3101" t="s">
        <v>64754</v>
      </c>
      <c r="J3101" t="s">
        <v>64755</v>
      </c>
      <c r="K3101" t="s">
        <v>64756</v>
      </c>
      <c r="L3101" t="s">
        <v>64757</v>
      </c>
      <c r="M3101" t="s">
        <v>64758</v>
      </c>
      <c r="N3101" t="s">
        <v>64759</v>
      </c>
      <c r="O3101">
        <f>-766.615302922616 -77.7088807754751 -701.148539503077</f>
        <v>-1545.4727232011683</v>
      </c>
      <c r="P3101">
        <f>-699.653219342745 -73.8373608874397 -391.815042471423</f>
        <v>-1165.3056227016077</v>
      </c>
      <c r="Q3101" t="s">
        <v>64760</v>
      </c>
      <c r="R3101" t="s">
        <v>64761</v>
      </c>
      <c r="S3101" t="s">
        <v>64762</v>
      </c>
      <c r="T3101" t="s">
        <v>64763</v>
      </c>
      <c r="U3101" t="s">
        <v>64764</v>
      </c>
      <c r="V3101" t="s">
        <v>64765</v>
      </c>
      <c r="W3101" t="s">
        <v>64766</v>
      </c>
      <c r="X3101" t="s">
        <v>64767</v>
      </c>
      <c r="Y3101" t="s">
        <v>64768</v>
      </c>
    </row>
    <row r="3102" spans="1:25" x14ac:dyDescent="0.3">
      <c r="A3102">
        <v>155050</v>
      </c>
      <c r="B3102" t="s">
        <v>64769</v>
      </c>
      <c r="C3102" t="s">
        <v>64770</v>
      </c>
      <c r="D3102" t="s">
        <v>64771</v>
      </c>
      <c r="E3102" t="s">
        <v>64772</v>
      </c>
      <c r="F3102" t="s">
        <v>64773</v>
      </c>
      <c r="G3102" t="s">
        <v>64774</v>
      </c>
      <c r="H3102" t="s">
        <v>64775</v>
      </c>
      <c r="I3102" t="s">
        <v>64776</v>
      </c>
      <c r="J3102" t="s">
        <v>64777</v>
      </c>
      <c r="K3102" t="s">
        <v>64778</v>
      </c>
      <c r="L3102" t="s">
        <v>64779</v>
      </c>
      <c r="M3102" t="s">
        <v>64780</v>
      </c>
      <c r="N3102" t="s">
        <v>64781</v>
      </c>
      <c r="O3102">
        <f>-768.534280544527 -77.0357864989085 -701.374779890918</f>
        <v>-1546.9448469343533</v>
      </c>
      <c r="P3102">
        <f>-701.115073527698 -72.4342626903103 -392.150462666442</f>
        <v>-1165.6997988844503</v>
      </c>
      <c r="Q3102" t="s">
        <v>64782</v>
      </c>
      <c r="R3102" t="s">
        <v>64783</v>
      </c>
      <c r="S3102" t="s">
        <v>64784</v>
      </c>
      <c r="T3102" t="s">
        <v>64785</v>
      </c>
      <c r="U3102" t="s">
        <v>64786</v>
      </c>
      <c r="V3102" t="s">
        <v>64787</v>
      </c>
      <c r="W3102" t="s">
        <v>64788</v>
      </c>
      <c r="X3102" t="s">
        <v>64789</v>
      </c>
      <c r="Y3102" t="s">
        <v>64790</v>
      </c>
    </row>
    <row r="3103" spans="1:25" x14ac:dyDescent="0.3">
      <c r="A3103">
        <v>155100</v>
      </c>
      <c r="B3103" t="s">
        <v>64791</v>
      </c>
      <c r="C3103" t="s">
        <v>64792</v>
      </c>
      <c r="D3103" t="s">
        <v>64793</v>
      </c>
      <c r="E3103" t="s">
        <v>64794</v>
      </c>
      <c r="F3103" t="s">
        <v>64795</v>
      </c>
      <c r="G3103" t="s">
        <v>64796</v>
      </c>
      <c r="H3103" t="s">
        <v>64797</v>
      </c>
      <c r="I3103" t="s">
        <v>64798</v>
      </c>
      <c r="J3103" t="s">
        <v>64799</v>
      </c>
      <c r="K3103" t="s">
        <v>64800</v>
      </c>
      <c r="L3103" t="s">
        <v>64801</v>
      </c>
      <c r="M3103" t="s">
        <v>64802</v>
      </c>
      <c r="N3103" t="s">
        <v>64803</v>
      </c>
      <c r="O3103">
        <f>-769.116772162115 -76.6782683806757 -701.626332212373</f>
        <v>-1547.4213727551637</v>
      </c>
      <c r="P3103">
        <f>-701.947779784743 -72.0044299612459 -392.348730568153</f>
        <v>-1166.3009403141418</v>
      </c>
      <c r="Q3103" t="s">
        <v>64804</v>
      </c>
      <c r="R3103" t="s">
        <v>64805</v>
      </c>
      <c r="S3103" t="s">
        <v>64806</v>
      </c>
      <c r="T3103" t="s">
        <v>64807</v>
      </c>
      <c r="U3103" t="s">
        <v>64808</v>
      </c>
      <c r="V3103" t="s">
        <v>64809</v>
      </c>
      <c r="W3103" t="s">
        <v>64810</v>
      </c>
      <c r="X3103" t="s">
        <v>64811</v>
      </c>
      <c r="Y3103" t="s">
        <v>64812</v>
      </c>
    </row>
    <row r="3104" spans="1:25" x14ac:dyDescent="0.3">
      <c r="A3104">
        <v>155150</v>
      </c>
      <c r="B3104" t="s">
        <v>64813</v>
      </c>
      <c r="C3104" t="s">
        <v>64814</v>
      </c>
      <c r="D3104" t="s">
        <v>64815</v>
      </c>
      <c r="E3104" t="s">
        <v>64816</v>
      </c>
      <c r="F3104" t="s">
        <v>64817</v>
      </c>
      <c r="G3104" t="s">
        <v>64818</v>
      </c>
      <c r="H3104" t="s">
        <v>64819</v>
      </c>
      <c r="I3104" t="s">
        <v>64820</v>
      </c>
      <c r="J3104" t="s">
        <v>64821</v>
      </c>
      <c r="K3104" t="s">
        <v>64822</v>
      </c>
      <c r="L3104" t="s">
        <v>64823</v>
      </c>
      <c r="M3104" t="s">
        <v>64824</v>
      </c>
      <c r="N3104" t="s">
        <v>64825</v>
      </c>
      <c r="O3104">
        <f>-770.5828172759 -76.3758142811344 -701.5962950051</f>
        <v>-1548.5549265621344</v>
      </c>
      <c r="P3104">
        <f>-704.211881793476 -71.5385045894272 -392.149035846665</f>
        <v>-1167.8994222295682</v>
      </c>
      <c r="Q3104" t="s">
        <v>64826</v>
      </c>
      <c r="R3104" t="s">
        <v>64827</v>
      </c>
      <c r="S3104" t="s">
        <v>64828</v>
      </c>
      <c r="T3104" t="s">
        <v>64829</v>
      </c>
      <c r="U3104" t="s">
        <v>64830</v>
      </c>
      <c r="V3104" t="s">
        <v>64831</v>
      </c>
      <c r="W3104" t="s">
        <v>64832</v>
      </c>
      <c r="X3104" t="s">
        <v>64833</v>
      </c>
      <c r="Y3104" t="s">
        <v>64834</v>
      </c>
    </row>
    <row r="3105" spans="1:25" x14ac:dyDescent="0.3">
      <c r="A3105">
        <v>155200</v>
      </c>
      <c r="B3105" t="s">
        <v>64835</v>
      </c>
      <c r="C3105" t="s">
        <v>64836</v>
      </c>
      <c r="D3105" t="s">
        <v>64837</v>
      </c>
      <c r="E3105" t="s">
        <v>64838</v>
      </c>
      <c r="F3105" t="s">
        <v>64839</v>
      </c>
      <c r="G3105" t="s">
        <v>64840</v>
      </c>
      <c r="H3105" t="s">
        <v>64841</v>
      </c>
      <c r="I3105" t="s">
        <v>64842</v>
      </c>
      <c r="J3105" t="s">
        <v>64843</v>
      </c>
      <c r="K3105" t="s">
        <v>64844</v>
      </c>
      <c r="L3105" t="s">
        <v>64845</v>
      </c>
      <c r="M3105" t="s">
        <v>64846</v>
      </c>
      <c r="N3105" t="s">
        <v>64847</v>
      </c>
      <c r="O3105">
        <f>-771.227379577756 -76.0414443092304 -701.640459884453</f>
        <v>-1548.9092837714393</v>
      </c>
      <c r="P3105">
        <f>-705.116759302894 -72.0594126756919 -392.125227102754</f>
        <v>-1169.3013990813399</v>
      </c>
      <c r="Q3105" t="s">
        <v>64848</v>
      </c>
      <c r="R3105" t="s">
        <v>64849</v>
      </c>
      <c r="S3105" t="s">
        <v>64850</v>
      </c>
      <c r="T3105" t="s">
        <v>64851</v>
      </c>
      <c r="U3105" t="s">
        <v>64852</v>
      </c>
      <c r="V3105" t="s">
        <v>64853</v>
      </c>
      <c r="W3105" t="s">
        <v>64854</v>
      </c>
      <c r="X3105" t="s">
        <v>64855</v>
      </c>
      <c r="Y3105" t="s">
        <v>64856</v>
      </c>
    </row>
    <row r="3106" spans="1:25" x14ac:dyDescent="0.3">
      <c r="A3106">
        <v>155250</v>
      </c>
      <c r="B3106" t="s">
        <v>64857</v>
      </c>
      <c r="C3106" t="s">
        <v>64858</v>
      </c>
      <c r="D3106" t="s">
        <v>64859</v>
      </c>
      <c r="E3106" t="s">
        <v>64860</v>
      </c>
      <c r="F3106" t="s">
        <v>64861</v>
      </c>
      <c r="G3106" t="s">
        <v>64862</v>
      </c>
      <c r="H3106" t="s">
        <v>64863</v>
      </c>
      <c r="I3106" t="s">
        <v>64864</v>
      </c>
      <c r="J3106" t="s">
        <v>64865</v>
      </c>
      <c r="K3106" t="s">
        <v>64866</v>
      </c>
      <c r="L3106" t="s">
        <v>64867</v>
      </c>
      <c r="M3106" t="s">
        <v>64868</v>
      </c>
      <c r="N3106" t="s">
        <v>64869</v>
      </c>
      <c r="O3106">
        <f>-772.682016396629 -75.5680165366716 -701.697345256955</f>
        <v>-1549.9473781902557</v>
      </c>
      <c r="P3106">
        <f>-708.349947105756 -72.2356705605923 -391.799874149559</f>
        <v>-1172.3854918159072</v>
      </c>
      <c r="Q3106" t="s">
        <v>64870</v>
      </c>
      <c r="R3106" t="s">
        <v>64871</v>
      </c>
      <c r="S3106" t="s">
        <v>64872</v>
      </c>
      <c r="T3106" t="s">
        <v>64873</v>
      </c>
      <c r="U3106" t="s">
        <v>64874</v>
      </c>
      <c r="V3106" t="s">
        <v>64875</v>
      </c>
      <c r="W3106" t="s">
        <v>64876</v>
      </c>
      <c r="X3106" t="s">
        <v>64877</v>
      </c>
      <c r="Y3106" t="s">
        <v>64878</v>
      </c>
    </row>
    <row r="3107" spans="1:25" x14ac:dyDescent="0.3">
      <c r="A3107">
        <v>155300</v>
      </c>
      <c r="B3107" t="s">
        <v>64879</v>
      </c>
      <c r="C3107" t="s">
        <v>64880</v>
      </c>
      <c r="D3107" t="s">
        <v>64881</v>
      </c>
      <c r="E3107" t="s">
        <v>64882</v>
      </c>
      <c r="F3107" t="s">
        <v>64883</v>
      </c>
      <c r="G3107" t="s">
        <v>64884</v>
      </c>
      <c r="H3107" t="s">
        <v>64885</v>
      </c>
      <c r="I3107" t="s">
        <v>64886</v>
      </c>
      <c r="J3107" t="s">
        <v>64887</v>
      </c>
      <c r="K3107" t="s">
        <v>64888</v>
      </c>
      <c r="L3107" t="s">
        <v>64889</v>
      </c>
      <c r="M3107" t="s">
        <v>64890</v>
      </c>
      <c r="N3107" t="s">
        <v>64891</v>
      </c>
      <c r="O3107">
        <f>-773.517552909104 -75.0714585442929 -701.906795484965</f>
        <v>-1550.495806938362</v>
      </c>
      <c r="P3107">
        <f>-709.431002552641 -72.0160300018588 -391.955498106912</f>
        <v>-1173.4025306614117</v>
      </c>
      <c r="Q3107" t="s">
        <v>64892</v>
      </c>
      <c r="R3107" t="s">
        <v>64893</v>
      </c>
      <c r="S3107" t="s">
        <v>64894</v>
      </c>
      <c r="T3107" t="s">
        <v>64895</v>
      </c>
      <c r="U3107" t="s">
        <v>64896</v>
      </c>
      <c r="V3107" t="s">
        <v>64897</v>
      </c>
      <c r="W3107" t="s">
        <v>64898</v>
      </c>
      <c r="X3107" t="s">
        <v>64899</v>
      </c>
      <c r="Y3107" t="s">
        <v>64900</v>
      </c>
    </row>
    <row r="3108" spans="1:25" x14ac:dyDescent="0.3">
      <c r="A3108">
        <v>155350</v>
      </c>
      <c r="B3108" t="s">
        <v>64901</v>
      </c>
      <c r="C3108" t="s">
        <v>64902</v>
      </c>
      <c r="D3108" t="s">
        <v>64903</v>
      </c>
      <c r="E3108" t="s">
        <v>64904</v>
      </c>
      <c r="F3108" t="s">
        <v>64905</v>
      </c>
      <c r="G3108" t="s">
        <v>64906</v>
      </c>
      <c r="H3108" t="s">
        <v>64907</v>
      </c>
      <c r="I3108" t="s">
        <v>64908</v>
      </c>
      <c r="J3108" t="s">
        <v>64909</v>
      </c>
      <c r="K3108" t="s">
        <v>64910</v>
      </c>
      <c r="L3108" t="s">
        <v>64911</v>
      </c>
      <c r="M3108" t="s">
        <v>64912</v>
      </c>
      <c r="N3108" t="s">
        <v>64913</v>
      </c>
      <c r="O3108">
        <f>-775.668420253513 -74.4389283385387 -702.144469247376</f>
        <v>-1552.2518178394278</v>
      </c>
      <c r="P3108">
        <f>-712.650863841709 -70.8933328301634 -391.979259100028</f>
        <v>-1175.5234557719004</v>
      </c>
      <c r="Q3108" t="s">
        <v>64914</v>
      </c>
      <c r="R3108" t="s">
        <v>64915</v>
      </c>
      <c r="S3108" t="s">
        <v>64916</v>
      </c>
      <c r="T3108" t="s">
        <v>64917</v>
      </c>
      <c r="U3108" t="s">
        <v>64918</v>
      </c>
      <c r="V3108" t="s">
        <v>64919</v>
      </c>
      <c r="W3108" t="s">
        <v>64920</v>
      </c>
      <c r="X3108" t="s">
        <v>64921</v>
      </c>
      <c r="Y3108" t="s">
        <v>64922</v>
      </c>
    </row>
    <row r="3109" spans="1:25" x14ac:dyDescent="0.3">
      <c r="A3109">
        <v>155400</v>
      </c>
      <c r="B3109" t="s">
        <v>64923</v>
      </c>
      <c r="C3109" t="s">
        <v>64924</v>
      </c>
      <c r="D3109" t="s">
        <v>64925</v>
      </c>
      <c r="E3109" t="s">
        <v>64926</v>
      </c>
      <c r="F3109" t="s">
        <v>64927</v>
      </c>
      <c r="G3109" t="s">
        <v>64928</v>
      </c>
      <c r="H3109" t="s">
        <v>64929</v>
      </c>
      <c r="I3109" t="s">
        <v>64930</v>
      </c>
      <c r="J3109" t="s">
        <v>64931</v>
      </c>
      <c r="K3109" t="s">
        <v>64932</v>
      </c>
      <c r="L3109" t="s">
        <v>64933</v>
      </c>
      <c r="M3109" t="s">
        <v>64934</v>
      </c>
      <c r="N3109" t="s">
        <v>64935</v>
      </c>
      <c r="O3109">
        <f>-776.518939679848 -74.2666401261531 -702.405348562407</f>
        <v>-1553.1909283684081</v>
      </c>
      <c r="P3109">
        <f>-714.520709402758 -70.5145041510871 -392.037287307724</f>
        <v>-1177.0725008615691</v>
      </c>
      <c r="Q3109" t="s">
        <v>64936</v>
      </c>
      <c r="R3109" t="s">
        <v>64937</v>
      </c>
      <c r="S3109" t="s">
        <v>64938</v>
      </c>
      <c r="T3109" t="s">
        <v>64939</v>
      </c>
      <c r="U3109" t="s">
        <v>64940</v>
      </c>
      <c r="V3109" t="s">
        <v>64941</v>
      </c>
      <c r="W3109" t="s">
        <v>64942</v>
      </c>
      <c r="X3109" t="s">
        <v>64943</v>
      </c>
      <c r="Y3109" t="s">
        <v>64944</v>
      </c>
    </row>
    <row r="3110" spans="1:25" x14ac:dyDescent="0.3">
      <c r="A3110">
        <v>155450</v>
      </c>
      <c r="B3110" t="s">
        <v>64945</v>
      </c>
      <c r="C3110" t="s">
        <v>64946</v>
      </c>
      <c r="D3110" t="s">
        <v>64947</v>
      </c>
      <c r="E3110" t="s">
        <v>64948</v>
      </c>
      <c r="F3110" t="s">
        <v>64949</v>
      </c>
      <c r="G3110" t="s">
        <v>64950</v>
      </c>
      <c r="H3110" t="s">
        <v>64951</v>
      </c>
      <c r="I3110" t="s">
        <v>64952</v>
      </c>
      <c r="J3110" t="s">
        <v>64953</v>
      </c>
      <c r="K3110" t="s">
        <v>64954</v>
      </c>
      <c r="L3110" t="s">
        <v>64955</v>
      </c>
      <c r="M3110" t="s">
        <v>64956</v>
      </c>
      <c r="N3110" t="s">
        <v>64957</v>
      </c>
      <c r="O3110">
        <f>-777.841498931531 -73.5168240335995 -703.225010428594</f>
        <v>-1554.5833333937244</v>
      </c>
      <c r="P3110">
        <f>-717.638739542088 -69.9749664446715 -392.501340982182</f>
        <v>-1180.1150469689414</v>
      </c>
      <c r="Q3110" t="s">
        <v>64958</v>
      </c>
      <c r="R3110" t="s">
        <v>64959</v>
      </c>
      <c r="S3110" t="s">
        <v>64960</v>
      </c>
      <c r="T3110" t="s">
        <v>64961</v>
      </c>
      <c r="U3110" t="s">
        <v>64962</v>
      </c>
      <c r="V3110" t="s">
        <v>64963</v>
      </c>
      <c r="W3110" t="s">
        <v>64964</v>
      </c>
      <c r="X3110" t="s">
        <v>64965</v>
      </c>
      <c r="Y3110" t="s">
        <v>64966</v>
      </c>
    </row>
    <row r="3111" spans="1:25" x14ac:dyDescent="0.3">
      <c r="A3111">
        <v>155500</v>
      </c>
      <c r="B3111" t="s">
        <v>64967</v>
      </c>
      <c r="C3111" t="s">
        <v>64968</v>
      </c>
      <c r="D3111" t="s">
        <v>64969</v>
      </c>
      <c r="E3111" t="s">
        <v>64970</v>
      </c>
      <c r="F3111" t="s">
        <v>64971</v>
      </c>
      <c r="G3111" t="s">
        <v>64972</v>
      </c>
      <c r="H3111" t="s">
        <v>64973</v>
      </c>
      <c r="I3111" t="s">
        <v>64974</v>
      </c>
      <c r="J3111" t="s">
        <v>64975</v>
      </c>
      <c r="K3111" t="s">
        <v>64976</v>
      </c>
      <c r="L3111" t="s">
        <v>64977</v>
      </c>
      <c r="M3111" t="s">
        <v>64978</v>
      </c>
      <c r="N3111" t="s">
        <v>64979</v>
      </c>
      <c r="O3111">
        <f>-777.841269235241 -73.4162990175275 -703.62419471524</f>
        <v>-1554.8817629680086</v>
      </c>
      <c r="P3111">
        <f>-718.697711874264 -69.8830782028165 -392.697014724557</f>
        <v>-1181.2778048016376</v>
      </c>
      <c r="Q3111" t="s">
        <v>64980</v>
      </c>
      <c r="R3111" t="s">
        <v>64981</v>
      </c>
      <c r="S3111" t="s">
        <v>64982</v>
      </c>
      <c r="T3111" t="s">
        <v>64983</v>
      </c>
      <c r="U3111" t="s">
        <v>64984</v>
      </c>
      <c r="V3111" t="s">
        <v>64985</v>
      </c>
      <c r="W3111" t="s">
        <v>64986</v>
      </c>
      <c r="X3111" t="s">
        <v>64987</v>
      </c>
      <c r="Y3111" t="s">
        <v>64988</v>
      </c>
    </row>
    <row r="3112" spans="1:25" x14ac:dyDescent="0.3">
      <c r="A3112">
        <v>155550</v>
      </c>
      <c r="B3112" t="s">
        <v>64989</v>
      </c>
      <c r="C3112" t="s">
        <v>64990</v>
      </c>
      <c r="D3112" t="s">
        <v>64991</v>
      </c>
      <c r="E3112" t="s">
        <v>64992</v>
      </c>
      <c r="F3112" t="s">
        <v>64993</v>
      </c>
      <c r="G3112" t="s">
        <v>64994</v>
      </c>
      <c r="H3112" t="s">
        <v>64995</v>
      </c>
      <c r="I3112" t="s">
        <v>64996</v>
      </c>
      <c r="J3112" t="s">
        <v>64997</v>
      </c>
      <c r="K3112" t="s">
        <v>64998</v>
      </c>
      <c r="L3112" t="s">
        <v>64999</v>
      </c>
      <c r="M3112" t="s">
        <v>65000</v>
      </c>
      <c r="N3112" t="s">
        <v>65001</v>
      </c>
      <c r="O3112">
        <f>-778.057109382067 -73.4977799730088 -704.588203070069</f>
        <v>-1556.1430924251449</v>
      </c>
      <c r="P3112">
        <f>-720.535598800901 -69.7693654547611 -393.359127202185</f>
        <v>-1183.664091457847</v>
      </c>
      <c r="Q3112" t="s">
        <v>65002</v>
      </c>
      <c r="R3112" t="s">
        <v>65003</v>
      </c>
      <c r="S3112" t="s">
        <v>65004</v>
      </c>
      <c r="T3112" t="s">
        <v>65005</v>
      </c>
      <c r="U3112" t="s">
        <v>65006</v>
      </c>
      <c r="V3112" t="s">
        <v>65007</v>
      </c>
      <c r="W3112" t="s">
        <v>65008</v>
      </c>
      <c r="X3112" t="s">
        <v>65009</v>
      </c>
      <c r="Y3112" t="s">
        <v>65010</v>
      </c>
    </row>
    <row r="3113" spans="1:25" x14ac:dyDescent="0.3">
      <c r="A3113">
        <v>155600</v>
      </c>
      <c r="B3113" t="s">
        <v>65011</v>
      </c>
      <c r="C3113" t="s">
        <v>65012</v>
      </c>
      <c r="D3113" t="s">
        <v>65013</v>
      </c>
      <c r="E3113" t="s">
        <v>65014</v>
      </c>
      <c r="F3113" t="s">
        <v>65015</v>
      </c>
      <c r="G3113" t="s">
        <v>65016</v>
      </c>
      <c r="H3113" t="s">
        <v>65017</v>
      </c>
      <c r="I3113" t="s">
        <v>65018</v>
      </c>
      <c r="J3113" t="s">
        <v>65019</v>
      </c>
      <c r="K3113" t="s">
        <v>65020</v>
      </c>
      <c r="L3113" t="s">
        <v>65021</v>
      </c>
      <c r="M3113" t="s">
        <v>65022</v>
      </c>
      <c r="N3113" t="s">
        <v>65023</v>
      </c>
      <c r="O3113">
        <f>-778.205055405115 -73.3400614930856 -705.128390621782</f>
        <v>-1556.6735075199826</v>
      </c>
      <c r="P3113">
        <f>-721.246071426383 -70.045835328224 -393.790863242809</f>
        <v>-1185.0827699974161</v>
      </c>
      <c r="Q3113" t="s">
        <v>65024</v>
      </c>
      <c r="R3113" t="s">
        <v>65025</v>
      </c>
      <c r="S3113" t="s">
        <v>65026</v>
      </c>
      <c r="T3113" t="s">
        <v>65027</v>
      </c>
      <c r="U3113" t="s">
        <v>65028</v>
      </c>
      <c r="V3113" t="s">
        <v>65029</v>
      </c>
      <c r="W3113" t="s">
        <v>65030</v>
      </c>
      <c r="X3113" t="s">
        <v>65031</v>
      </c>
      <c r="Y3113" t="s">
        <v>65032</v>
      </c>
    </row>
    <row r="3114" spans="1:25" x14ac:dyDescent="0.3">
      <c r="A3114">
        <v>155650</v>
      </c>
      <c r="B3114" t="s">
        <v>65033</v>
      </c>
      <c r="C3114" t="s">
        <v>65034</v>
      </c>
      <c r="D3114" t="s">
        <v>65035</v>
      </c>
      <c r="E3114" t="s">
        <v>65036</v>
      </c>
      <c r="F3114" t="s">
        <v>65037</v>
      </c>
      <c r="G3114" t="s">
        <v>65038</v>
      </c>
      <c r="H3114" t="s">
        <v>65039</v>
      </c>
      <c r="I3114" t="s">
        <v>65040</v>
      </c>
      <c r="J3114" t="s">
        <v>65041</v>
      </c>
      <c r="K3114" t="s">
        <v>65042</v>
      </c>
      <c r="L3114" t="s">
        <v>65043</v>
      </c>
      <c r="M3114" t="s">
        <v>65044</v>
      </c>
      <c r="N3114" t="s">
        <v>65045</v>
      </c>
      <c r="O3114">
        <f>-778.10646064999 -73.061924866942 -706.285418053359</f>
        <v>-1557.453803570291</v>
      </c>
      <c r="P3114">
        <f>-722.480326827111 -70.034942696743 -394.704313144029</f>
        <v>-1187.2195826678831</v>
      </c>
      <c r="Q3114" t="s">
        <v>65046</v>
      </c>
      <c r="R3114" t="s">
        <v>65047</v>
      </c>
      <c r="S3114" t="s">
        <v>65048</v>
      </c>
      <c r="T3114" t="s">
        <v>65049</v>
      </c>
      <c r="U3114" t="s">
        <v>65050</v>
      </c>
      <c r="V3114" t="s">
        <v>65051</v>
      </c>
      <c r="W3114" t="s">
        <v>65052</v>
      </c>
      <c r="X3114" t="s">
        <v>65053</v>
      </c>
      <c r="Y3114" t="s">
        <v>65054</v>
      </c>
    </row>
    <row r="3115" spans="1:25" x14ac:dyDescent="0.3">
      <c r="A3115">
        <v>155700</v>
      </c>
      <c r="B3115" t="s">
        <v>65055</v>
      </c>
      <c r="C3115" t="s">
        <v>65056</v>
      </c>
      <c r="D3115" t="s">
        <v>65057</v>
      </c>
      <c r="E3115" t="s">
        <v>65058</v>
      </c>
      <c r="F3115" t="s">
        <v>65059</v>
      </c>
      <c r="G3115" t="s">
        <v>65060</v>
      </c>
      <c r="H3115" t="s">
        <v>65061</v>
      </c>
      <c r="I3115" t="s">
        <v>65062</v>
      </c>
      <c r="J3115" t="s">
        <v>65063</v>
      </c>
      <c r="K3115" t="s">
        <v>65064</v>
      </c>
      <c r="L3115" t="s">
        <v>65065</v>
      </c>
      <c r="M3115" t="s">
        <v>65066</v>
      </c>
      <c r="N3115" t="s">
        <v>65067</v>
      </c>
      <c r="O3115">
        <f>-777.911914443063 -73.0617674847313 -706.772269595555</f>
        <v>-1557.7459515233493</v>
      </c>
      <c r="P3115">
        <f>-723.165310874519 -70.063169551586 -395.035236196306</f>
        <v>-1188.263716622411</v>
      </c>
      <c r="Q3115" t="s">
        <v>65068</v>
      </c>
      <c r="R3115" t="s">
        <v>65069</v>
      </c>
      <c r="S3115" t="s">
        <v>65070</v>
      </c>
      <c r="T3115" t="s">
        <v>65071</v>
      </c>
      <c r="U3115" t="s">
        <v>65072</v>
      </c>
      <c r="V3115" t="s">
        <v>65073</v>
      </c>
      <c r="W3115" t="s">
        <v>65074</v>
      </c>
      <c r="X3115" t="s">
        <v>65075</v>
      </c>
      <c r="Y3115" t="s">
        <v>65076</v>
      </c>
    </row>
    <row r="3116" spans="1:25" x14ac:dyDescent="0.3">
      <c r="A3116">
        <v>155750</v>
      </c>
      <c r="B3116" t="s">
        <v>65077</v>
      </c>
      <c r="C3116" t="s">
        <v>65078</v>
      </c>
      <c r="D3116" t="s">
        <v>65079</v>
      </c>
      <c r="E3116" t="s">
        <v>65080</v>
      </c>
      <c r="F3116" t="s">
        <v>65081</v>
      </c>
      <c r="G3116" t="s">
        <v>65082</v>
      </c>
      <c r="H3116" t="s">
        <v>65083</v>
      </c>
      <c r="I3116" t="s">
        <v>65084</v>
      </c>
      <c r="J3116" t="s">
        <v>65085</v>
      </c>
      <c r="K3116" t="s">
        <v>65086</v>
      </c>
      <c r="L3116" t="s">
        <v>65087</v>
      </c>
      <c r="M3116" t="s">
        <v>65088</v>
      </c>
      <c r="N3116" t="s">
        <v>65089</v>
      </c>
      <c r="O3116">
        <f>-777.246020747869 -72.75138001712 -707.691616202414</f>
        <v>-1557.6890169674029</v>
      </c>
      <c r="P3116">
        <f>-724.167452382886 -70.3553261598386 -395.661051096643</f>
        <v>-1190.1838296393676</v>
      </c>
      <c r="Q3116">
        <f>-474.460059988587 -1.30257038993204 -372.858205818329</f>
        <v>-848.62083619684802</v>
      </c>
      <c r="R3116" t="s">
        <v>65090</v>
      </c>
      <c r="S3116" t="s">
        <v>65091</v>
      </c>
      <c r="T3116" t="s">
        <v>65092</v>
      </c>
      <c r="U3116" t="s">
        <v>65093</v>
      </c>
      <c r="V3116" t="s">
        <v>65094</v>
      </c>
      <c r="W3116" t="s">
        <v>65095</v>
      </c>
      <c r="X3116" t="s">
        <v>65096</v>
      </c>
      <c r="Y3116" t="s">
        <v>65097</v>
      </c>
    </row>
    <row r="3117" spans="1:25" x14ac:dyDescent="0.3">
      <c r="A3117">
        <v>155800</v>
      </c>
      <c r="B3117" t="s">
        <v>65098</v>
      </c>
      <c r="C3117" t="s">
        <v>65099</v>
      </c>
      <c r="D3117" t="s">
        <v>65100</v>
      </c>
      <c r="E3117" t="s">
        <v>65101</v>
      </c>
      <c r="F3117" t="s">
        <v>65102</v>
      </c>
      <c r="G3117" t="s">
        <v>65103</v>
      </c>
      <c r="H3117" t="s">
        <v>65104</v>
      </c>
      <c r="I3117" t="s">
        <v>65105</v>
      </c>
      <c r="J3117" t="s">
        <v>65106</v>
      </c>
      <c r="K3117" t="s">
        <v>65107</v>
      </c>
      <c r="L3117" t="s">
        <v>65108</v>
      </c>
      <c r="M3117" t="s">
        <v>65109</v>
      </c>
      <c r="N3117" t="s">
        <v>65110</v>
      </c>
      <c r="O3117">
        <f>-776.752842229192 -72.7709283444358 -708.120244551251</f>
        <v>-1557.6440151248787</v>
      </c>
      <c r="P3117">
        <f>-724.532548749433 -70.38307426601 -395.944638729551</f>
        <v>-1190.860261744994</v>
      </c>
      <c r="Q3117">
        <f>-474.895782833462 -1.51685377699027 -371.841850825405</f>
        <v>-848.2544874358573</v>
      </c>
      <c r="R3117" t="s">
        <v>65111</v>
      </c>
      <c r="S3117" t="s">
        <v>65112</v>
      </c>
      <c r="T3117" t="s">
        <v>65113</v>
      </c>
      <c r="U3117" t="s">
        <v>65114</v>
      </c>
      <c r="V3117" t="s">
        <v>65115</v>
      </c>
      <c r="W3117" t="s">
        <v>65116</v>
      </c>
      <c r="X3117" t="s">
        <v>65117</v>
      </c>
      <c r="Y3117" t="s">
        <v>65118</v>
      </c>
    </row>
    <row r="3118" spans="1:25" x14ac:dyDescent="0.3">
      <c r="A3118">
        <v>155850</v>
      </c>
      <c r="B3118" t="s">
        <v>65119</v>
      </c>
      <c r="C3118" t="s">
        <v>65120</v>
      </c>
      <c r="D3118" t="s">
        <v>65121</v>
      </c>
      <c r="E3118" t="s">
        <v>65122</v>
      </c>
      <c r="F3118" t="s">
        <v>65123</v>
      </c>
      <c r="G3118" t="s">
        <v>65124</v>
      </c>
      <c r="H3118" t="s">
        <v>65125</v>
      </c>
      <c r="I3118" t="s">
        <v>65126</v>
      </c>
      <c r="J3118" t="s">
        <v>65127</v>
      </c>
      <c r="K3118" t="s">
        <v>65128</v>
      </c>
      <c r="L3118" t="s">
        <v>65129</v>
      </c>
      <c r="M3118" t="s">
        <v>65130</v>
      </c>
      <c r="N3118" t="s">
        <v>65131</v>
      </c>
      <c r="O3118">
        <f>-775.214510808076 -73.1566222911699 -708.867245868984</f>
        <v>-1557.2383789682299</v>
      </c>
      <c r="P3118">
        <f>-724.035975373283 -70.9327337021527 -396.517936035333</f>
        <v>-1191.4866451107687</v>
      </c>
      <c r="Q3118">
        <f>-474.496890194436 -2.9048772657211 -369.232396924839</f>
        <v>-846.6341643849961</v>
      </c>
      <c r="R3118" t="s">
        <v>65132</v>
      </c>
      <c r="S3118" t="s">
        <v>65133</v>
      </c>
      <c r="T3118" t="s">
        <v>65134</v>
      </c>
      <c r="U3118" t="s">
        <v>65135</v>
      </c>
      <c r="V3118" t="s">
        <v>65136</v>
      </c>
      <c r="W3118" t="s">
        <v>65137</v>
      </c>
      <c r="X3118" t="s">
        <v>65138</v>
      </c>
      <c r="Y3118" t="s">
        <v>65139</v>
      </c>
    </row>
    <row r="3119" spans="1:25" x14ac:dyDescent="0.3">
      <c r="A3119">
        <v>155900</v>
      </c>
      <c r="B3119" t="s">
        <v>65140</v>
      </c>
      <c r="C3119" t="s">
        <v>65141</v>
      </c>
      <c r="D3119" t="s">
        <v>65142</v>
      </c>
      <c r="E3119" t="s">
        <v>65143</v>
      </c>
      <c r="F3119" t="s">
        <v>65144</v>
      </c>
      <c r="G3119" t="s">
        <v>65145</v>
      </c>
      <c r="H3119" t="s">
        <v>65146</v>
      </c>
      <c r="I3119" t="s">
        <v>65147</v>
      </c>
      <c r="J3119" t="s">
        <v>65148</v>
      </c>
      <c r="K3119" t="s">
        <v>65149</v>
      </c>
      <c r="L3119" t="s">
        <v>65150</v>
      </c>
      <c r="M3119" t="s">
        <v>65151</v>
      </c>
      <c r="N3119" t="s">
        <v>65152</v>
      </c>
      <c r="O3119">
        <f>-774.494268012477 -73.4070793658211 -709.244045161117</f>
        <v>-1557.1453925394153</v>
      </c>
      <c r="P3119">
        <f>-723.651369273961 -70.9764477541469 -396.841503381109</f>
        <v>-1191.4693204092168</v>
      </c>
      <c r="Q3119">
        <f>-474.209602626122 -3.1669293306079 -368.157545105574</f>
        <v>-845.53407706230382</v>
      </c>
      <c r="R3119" t="s">
        <v>65153</v>
      </c>
      <c r="S3119" t="s">
        <v>65154</v>
      </c>
      <c r="T3119" t="s">
        <v>65155</v>
      </c>
      <c r="U3119" t="s">
        <v>65156</v>
      </c>
      <c r="V3119" t="s">
        <v>65157</v>
      </c>
      <c r="W3119" t="s">
        <v>65158</v>
      </c>
      <c r="X3119" t="s">
        <v>65159</v>
      </c>
      <c r="Y3119" t="s">
        <v>65160</v>
      </c>
    </row>
    <row r="3120" spans="1:25" x14ac:dyDescent="0.3">
      <c r="A3120">
        <v>155950</v>
      </c>
      <c r="B3120" t="s">
        <v>65161</v>
      </c>
      <c r="C3120" t="s">
        <v>65162</v>
      </c>
      <c r="D3120" t="s">
        <v>65163</v>
      </c>
      <c r="E3120" t="s">
        <v>65164</v>
      </c>
      <c r="F3120" t="s">
        <v>65165</v>
      </c>
      <c r="G3120" t="s">
        <v>65166</v>
      </c>
      <c r="H3120" t="s">
        <v>65167</v>
      </c>
      <c r="I3120" t="s">
        <v>65168</v>
      </c>
      <c r="J3120" t="s">
        <v>65169</v>
      </c>
      <c r="K3120" t="s">
        <v>65170</v>
      </c>
      <c r="L3120" t="s">
        <v>65171</v>
      </c>
      <c r="M3120" t="s">
        <v>65172</v>
      </c>
      <c r="N3120" t="s">
        <v>65173</v>
      </c>
      <c r="O3120">
        <f>-772.46352925865 -73.7381865395812 -710.337763588014</f>
        <v>-1556.5394793862451</v>
      </c>
      <c r="P3120">
        <f>-722.345218984445 -71.6531766542498 -397.815816509834</f>
        <v>-1191.8142121485289</v>
      </c>
      <c r="Q3120">
        <f>-473.245251496043 -4.0364258399884 -365.890848257457</f>
        <v>-843.17252559348844</v>
      </c>
      <c r="R3120" t="s">
        <v>65174</v>
      </c>
      <c r="S3120" t="s">
        <v>65175</v>
      </c>
      <c r="T3120" t="s">
        <v>65176</v>
      </c>
      <c r="U3120" t="s">
        <v>65177</v>
      </c>
      <c r="V3120" t="s">
        <v>65178</v>
      </c>
      <c r="W3120" t="s">
        <v>65179</v>
      </c>
      <c r="X3120" t="s">
        <v>65180</v>
      </c>
      <c r="Y3120" t="s">
        <v>65181</v>
      </c>
    </row>
    <row r="3121" spans="1:25" x14ac:dyDescent="0.3">
      <c r="A3121">
        <v>156000</v>
      </c>
      <c r="B3121" t="s">
        <v>65182</v>
      </c>
      <c r="C3121" t="s">
        <v>65183</v>
      </c>
      <c r="D3121" t="s">
        <v>65184</v>
      </c>
      <c r="E3121" t="s">
        <v>65185</v>
      </c>
      <c r="F3121" t="s">
        <v>65186</v>
      </c>
      <c r="G3121" t="s">
        <v>65187</v>
      </c>
      <c r="H3121" t="s">
        <v>65188</v>
      </c>
      <c r="I3121" t="s">
        <v>65189</v>
      </c>
      <c r="J3121" t="s">
        <v>65190</v>
      </c>
      <c r="K3121" t="s">
        <v>65191</v>
      </c>
      <c r="L3121" t="s">
        <v>65192</v>
      </c>
      <c r="M3121" t="s">
        <v>65193</v>
      </c>
      <c r="N3121" t="s">
        <v>65194</v>
      </c>
      <c r="O3121">
        <f>-771.259676665054 -73.9051175898148 -710.997167400694</f>
        <v>-1556.1619616555629</v>
      </c>
      <c r="P3121">
        <f>-722.167578118431 -72.0125398685639 -398.311016914651</f>
        <v>-1192.4911349016459</v>
      </c>
      <c r="Q3121">
        <f>-473.300729905004 -4.20756113475295 -364.997085794553</f>
        <v>-842.50537683431003</v>
      </c>
      <c r="R3121" t="s">
        <v>65195</v>
      </c>
      <c r="S3121" t="s">
        <v>65196</v>
      </c>
      <c r="T3121" t="s">
        <v>65197</v>
      </c>
      <c r="U3121" t="s">
        <v>65198</v>
      </c>
      <c r="V3121" t="s">
        <v>65199</v>
      </c>
      <c r="W3121" t="s">
        <v>65200</v>
      </c>
      <c r="X3121" t="s">
        <v>65201</v>
      </c>
      <c r="Y3121" t="s">
        <v>65202</v>
      </c>
    </row>
    <row r="3122" spans="1:25" x14ac:dyDescent="0.3">
      <c r="A3122">
        <v>156050</v>
      </c>
      <c r="B3122" t="s">
        <v>65203</v>
      </c>
      <c r="C3122" t="s">
        <v>65204</v>
      </c>
      <c r="D3122" t="s">
        <v>65205</v>
      </c>
      <c r="E3122" t="s">
        <v>65206</v>
      </c>
      <c r="F3122" t="s">
        <v>65207</v>
      </c>
      <c r="G3122" t="s">
        <v>65208</v>
      </c>
      <c r="H3122" t="s">
        <v>65209</v>
      </c>
      <c r="I3122" t="s">
        <v>65210</v>
      </c>
      <c r="J3122" t="s">
        <v>65211</v>
      </c>
      <c r="K3122" t="s">
        <v>65212</v>
      </c>
      <c r="L3122" t="s">
        <v>65213</v>
      </c>
      <c r="M3122" t="s">
        <v>65214</v>
      </c>
      <c r="N3122" t="s">
        <v>65215</v>
      </c>
      <c r="O3122">
        <f>-768.195759338017 -74.2356924953926 -712.248326532472</f>
        <v>-1554.6797783658817</v>
      </c>
      <c r="P3122">
        <f>-721.391742518329 -72.8436988322778 -399.209025482878</f>
        <v>-1193.444466833485</v>
      </c>
      <c r="Q3122">
        <f>-472.974604136314 -4.75463635195661 -363.225332037049</f>
        <v>-840.95457252531958</v>
      </c>
      <c r="R3122" t="s">
        <v>65216</v>
      </c>
      <c r="S3122" t="s">
        <v>65217</v>
      </c>
      <c r="T3122" t="s">
        <v>65218</v>
      </c>
      <c r="U3122" t="s">
        <v>65219</v>
      </c>
      <c r="V3122" t="s">
        <v>65220</v>
      </c>
      <c r="W3122" t="s">
        <v>65221</v>
      </c>
      <c r="X3122" t="s">
        <v>65222</v>
      </c>
      <c r="Y3122" t="s">
        <v>65223</v>
      </c>
    </row>
    <row r="3123" spans="1:25" x14ac:dyDescent="0.3">
      <c r="A3123">
        <v>156100</v>
      </c>
      <c r="B3123" t="s">
        <v>65224</v>
      </c>
      <c r="C3123" t="s">
        <v>65225</v>
      </c>
      <c r="D3123" t="s">
        <v>65226</v>
      </c>
      <c r="E3123" t="s">
        <v>65227</v>
      </c>
      <c r="F3123" t="s">
        <v>65228</v>
      </c>
      <c r="G3123" t="s">
        <v>65229</v>
      </c>
      <c r="H3123" t="s">
        <v>65230</v>
      </c>
      <c r="I3123" t="s">
        <v>65231</v>
      </c>
      <c r="J3123" t="s">
        <v>65232</v>
      </c>
      <c r="K3123" t="s">
        <v>65233</v>
      </c>
      <c r="L3123" t="s">
        <v>65234</v>
      </c>
      <c r="M3123" t="s">
        <v>65235</v>
      </c>
      <c r="N3123" t="s">
        <v>65236</v>
      </c>
      <c r="O3123">
        <f>-766.675461405285 -74.4673161453095 -712.748720622395</f>
        <v>-1553.8914981729895</v>
      </c>
      <c r="P3123">
        <f>-720.885622774876 -73.1284127176523 -399.559057145513</f>
        <v>-1193.5730926380413</v>
      </c>
      <c r="Q3123">
        <f>-472.695031580189 -4.76195342421374 -362.553029321201</f>
        <v>-840.01001432560372</v>
      </c>
      <c r="R3123" t="s">
        <v>65237</v>
      </c>
      <c r="S3123" t="s">
        <v>65238</v>
      </c>
      <c r="T3123" t="s">
        <v>65239</v>
      </c>
      <c r="U3123" t="s">
        <v>65240</v>
      </c>
      <c r="V3123" t="s">
        <v>65241</v>
      </c>
      <c r="W3123" t="s">
        <v>65242</v>
      </c>
      <c r="X3123" t="s">
        <v>65243</v>
      </c>
      <c r="Y3123" t="s">
        <v>65244</v>
      </c>
    </row>
    <row r="3124" spans="1:25" x14ac:dyDescent="0.3">
      <c r="A3124">
        <v>156150</v>
      </c>
      <c r="B3124" t="s">
        <v>65245</v>
      </c>
      <c r="C3124" t="s">
        <v>65246</v>
      </c>
      <c r="D3124" t="s">
        <v>65247</v>
      </c>
      <c r="E3124" t="s">
        <v>65248</v>
      </c>
      <c r="F3124" t="s">
        <v>65249</v>
      </c>
      <c r="G3124" t="s">
        <v>65250</v>
      </c>
      <c r="H3124" t="s">
        <v>65251</v>
      </c>
      <c r="I3124" t="s">
        <v>65252</v>
      </c>
      <c r="J3124" t="s">
        <v>65253</v>
      </c>
      <c r="K3124" t="s">
        <v>65254</v>
      </c>
      <c r="L3124" t="s">
        <v>65255</v>
      </c>
      <c r="M3124" t="s">
        <v>65256</v>
      </c>
      <c r="N3124" t="s">
        <v>65257</v>
      </c>
      <c r="O3124">
        <f>-763.956805590269 -74.9460817202037 -713.64013565643</f>
        <v>-1552.5430229669028</v>
      </c>
      <c r="P3124">
        <f>-719.504627057782 -74.0773225368948 -400.256266132058</f>
        <v>-1193.8382157267349</v>
      </c>
      <c r="Q3124">
        <f>-471.734315384788 -5.14495327537338 -361.523192396844</f>
        <v>-838.40246105700544</v>
      </c>
      <c r="R3124" t="s">
        <v>65258</v>
      </c>
      <c r="S3124" t="s">
        <v>65259</v>
      </c>
      <c r="T3124" t="s">
        <v>65260</v>
      </c>
      <c r="U3124" t="s">
        <v>65261</v>
      </c>
      <c r="V3124" t="s">
        <v>65262</v>
      </c>
      <c r="W3124" t="s">
        <v>65263</v>
      </c>
      <c r="X3124" t="s">
        <v>65264</v>
      </c>
      <c r="Y3124" t="s">
        <v>65265</v>
      </c>
    </row>
    <row r="3125" spans="1:25" x14ac:dyDescent="0.3">
      <c r="A3125">
        <v>156200</v>
      </c>
      <c r="B3125" t="s">
        <v>65266</v>
      </c>
      <c r="C3125" t="s">
        <v>65267</v>
      </c>
      <c r="D3125" t="s">
        <v>65268</v>
      </c>
      <c r="E3125" t="s">
        <v>65269</v>
      </c>
      <c r="F3125" t="s">
        <v>65270</v>
      </c>
      <c r="G3125" t="s">
        <v>65271</v>
      </c>
      <c r="H3125" t="s">
        <v>65272</v>
      </c>
      <c r="I3125" t="s">
        <v>65273</v>
      </c>
      <c r="J3125" t="s">
        <v>65274</v>
      </c>
      <c r="K3125" t="s">
        <v>65275</v>
      </c>
      <c r="L3125" t="s">
        <v>65276</v>
      </c>
      <c r="M3125" t="s">
        <v>65277</v>
      </c>
      <c r="N3125" t="s">
        <v>65278</v>
      </c>
      <c r="O3125">
        <f>-762.617313139401 -75.4430488918506 -714.106474812264</f>
        <v>-1552.1668368435155</v>
      </c>
      <c r="P3125">
        <f>-718.637508078054 -74.5318333754344 -400.656064116291</f>
        <v>-1193.8254055697794</v>
      </c>
      <c r="Q3125">
        <f>-470.985044729692 -5.3939005029074 -361.538164810986</f>
        <v>-837.91711004358535</v>
      </c>
      <c r="R3125" t="s">
        <v>65279</v>
      </c>
      <c r="S3125" t="s">
        <v>65280</v>
      </c>
      <c r="T3125" t="s">
        <v>65281</v>
      </c>
      <c r="U3125" t="s">
        <v>65282</v>
      </c>
      <c r="V3125" t="s">
        <v>65283</v>
      </c>
      <c r="W3125" t="s">
        <v>65284</v>
      </c>
      <c r="X3125" t="s">
        <v>65285</v>
      </c>
      <c r="Y3125" t="s">
        <v>65286</v>
      </c>
    </row>
    <row r="3126" spans="1:25" x14ac:dyDescent="0.3">
      <c r="A3126">
        <v>156250</v>
      </c>
      <c r="B3126" t="s">
        <v>65287</v>
      </c>
      <c r="C3126" t="s">
        <v>65288</v>
      </c>
      <c r="D3126" t="s">
        <v>65289</v>
      </c>
      <c r="E3126" t="s">
        <v>65290</v>
      </c>
      <c r="F3126" t="s">
        <v>65291</v>
      </c>
      <c r="G3126" t="s">
        <v>65292</v>
      </c>
      <c r="H3126" t="s">
        <v>65293</v>
      </c>
      <c r="I3126" t="s">
        <v>65294</v>
      </c>
      <c r="J3126" t="s">
        <v>65295</v>
      </c>
      <c r="K3126" t="s">
        <v>65296</v>
      </c>
      <c r="L3126" t="s">
        <v>65297</v>
      </c>
      <c r="M3126" t="s">
        <v>65298</v>
      </c>
      <c r="N3126" t="s">
        <v>65299</v>
      </c>
      <c r="O3126">
        <f>-760.577631840017 -76.7008566210955 -714.777006526405</f>
        <v>-1552.0554949875175</v>
      </c>
      <c r="P3126">
        <f>-716.614364619547 -75.7402061013322 -401.324536789276</f>
        <v>-1193.6791075101553</v>
      </c>
      <c r="Q3126">
        <f>-468.83551138913 -6.97931000298126 -362.342480074211</f>
        <v>-838.15730146632222</v>
      </c>
      <c r="R3126" t="s">
        <v>65300</v>
      </c>
      <c r="S3126" t="s">
        <v>65301</v>
      </c>
      <c r="T3126" t="s">
        <v>65302</v>
      </c>
      <c r="U3126" t="s">
        <v>65303</v>
      </c>
      <c r="V3126" t="s">
        <v>65304</v>
      </c>
      <c r="W3126" t="s">
        <v>65305</v>
      </c>
      <c r="X3126" t="s">
        <v>65306</v>
      </c>
      <c r="Y3126" t="s">
        <v>65307</v>
      </c>
    </row>
    <row r="3127" spans="1:25" x14ac:dyDescent="0.3">
      <c r="A3127">
        <v>156300</v>
      </c>
      <c r="B3127" t="s">
        <v>65308</v>
      </c>
      <c r="C3127" t="s">
        <v>65309</v>
      </c>
      <c r="D3127" t="s">
        <v>65310</v>
      </c>
      <c r="E3127" t="s">
        <v>65311</v>
      </c>
      <c r="F3127" t="s">
        <v>65312</v>
      </c>
      <c r="G3127" t="s">
        <v>65313</v>
      </c>
      <c r="H3127" t="s">
        <v>65314</v>
      </c>
      <c r="I3127" t="s">
        <v>65315</v>
      </c>
      <c r="J3127" t="s">
        <v>65316</v>
      </c>
      <c r="K3127" t="s">
        <v>65317</v>
      </c>
      <c r="L3127" t="s">
        <v>65318</v>
      </c>
      <c r="M3127" t="s">
        <v>65319</v>
      </c>
      <c r="N3127" t="s">
        <v>65320</v>
      </c>
      <c r="O3127">
        <f>-759.592202058232 -77.2375139123822 -714.998593816578</f>
        <v>-1551.8283097871922</v>
      </c>
      <c r="P3127">
        <f>-715.211530343947 -76.7919469136095 -401.603727329281</f>
        <v>-1193.6072045868375</v>
      </c>
      <c r="Q3127">
        <f>-467.224531472727 -8.54550859489746 -363.042674752997</f>
        <v>-838.81271482062152</v>
      </c>
      <c r="R3127" t="s">
        <v>65321</v>
      </c>
      <c r="S3127" t="s">
        <v>65322</v>
      </c>
      <c r="T3127" t="s">
        <v>65323</v>
      </c>
      <c r="U3127" t="s">
        <v>65324</v>
      </c>
      <c r="V3127" t="s">
        <v>65325</v>
      </c>
      <c r="W3127" t="s">
        <v>65326</v>
      </c>
      <c r="X3127" t="s">
        <v>65327</v>
      </c>
      <c r="Y3127" t="s">
        <v>65328</v>
      </c>
    </row>
    <row r="3128" spans="1:25" x14ac:dyDescent="0.3">
      <c r="A3128">
        <v>156350</v>
      </c>
      <c r="B3128" t="s">
        <v>65329</v>
      </c>
      <c r="C3128" t="s">
        <v>65330</v>
      </c>
      <c r="D3128" t="s">
        <v>65331</v>
      </c>
      <c r="E3128" t="s">
        <v>65332</v>
      </c>
      <c r="F3128" t="s">
        <v>65333</v>
      </c>
      <c r="G3128" t="s">
        <v>65334</v>
      </c>
      <c r="H3128" t="s">
        <v>65335</v>
      </c>
      <c r="I3128" t="s">
        <v>65336</v>
      </c>
      <c r="J3128" t="s">
        <v>65337</v>
      </c>
      <c r="K3128" t="s">
        <v>65338</v>
      </c>
      <c r="L3128" t="s">
        <v>65339</v>
      </c>
      <c r="M3128" t="s">
        <v>65340</v>
      </c>
      <c r="N3128" t="s">
        <v>65341</v>
      </c>
      <c r="O3128">
        <f>-757.034748669701 -78.0996675474123 -715.325934561645</f>
        <v>-1550.4603507787583</v>
      </c>
      <c r="P3128">
        <f>-712.834360852031 -78.4290257687724 -401.905484330455</f>
        <v>-1193.1688709512582</v>
      </c>
      <c r="Q3128">
        <f>-464.321596040714 -11.6930190887576 -364.093594572397</f>
        <v>-840.10820970186865</v>
      </c>
      <c r="R3128" t="s">
        <v>65342</v>
      </c>
      <c r="S3128" t="s">
        <v>65343</v>
      </c>
      <c r="T3128" t="s">
        <v>65344</v>
      </c>
      <c r="U3128" t="s">
        <v>65345</v>
      </c>
      <c r="V3128" t="s">
        <v>65346</v>
      </c>
      <c r="W3128" t="s">
        <v>65347</v>
      </c>
      <c r="X3128" t="s">
        <v>65348</v>
      </c>
      <c r="Y3128" t="s">
        <v>65349</v>
      </c>
    </row>
    <row r="3129" spans="1:25" x14ac:dyDescent="0.3">
      <c r="A3129">
        <v>156400</v>
      </c>
      <c r="B3129" t="s">
        <v>65350</v>
      </c>
      <c r="C3129" t="s">
        <v>65351</v>
      </c>
      <c r="D3129" t="s">
        <v>65352</v>
      </c>
      <c r="E3129" t="s">
        <v>65353</v>
      </c>
      <c r="F3129" t="s">
        <v>65354</v>
      </c>
      <c r="G3129" t="s">
        <v>65355</v>
      </c>
      <c r="H3129" t="s">
        <v>65356</v>
      </c>
      <c r="I3129" t="s">
        <v>65357</v>
      </c>
      <c r="J3129" t="s">
        <v>65358</v>
      </c>
      <c r="K3129" t="s">
        <v>65359</v>
      </c>
      <c r="L3129" t="s">
        <v>65360</v>
      </c>
      <c r="M3129" t="s">
        <v>65361</v>
      </c>
      <c r="N3129" t="s">
        <v>65362</v>
      </c>
      <c r="O3129">
        <f>-755.753061624425 -78.8129200973988 -715.337424264895</f>
        <v>-1549.9034059867188</v>
      </c>
      <c r="P3129">
        <f>-712.003832561878 -78.9569040691533 -401.853441286914</f>
        <v>-1192.8141779179452</v>
      </c>
      <c r="Q3129">
        <f>-463.229620684159 -13.1025742428053 -364.215123184198</f>
        <v>-840.54731811116221</v>
      </c>
      <c r="R3129" t="s">
        <v>65363</v>
      </c>
      <c r="S3129" t="s">
        <v>65364</v>
      </c>
      <c r="T3129" t="s">
        <v>65365</v>
      </c>
      <c r="U3129" t="s">
        <v>65366</v>
      </c>
      <c r="V3129" t="s">
        <v>65367</v>
      </c>
      <c r="W3129" t="s">
        <v>65368</v>
      </c>
      <c r="X3129" t="s">
        <v>65369</v>
      </c>
      <c r="Y3129" t="s">
        <v>65370</v>
      </c>
    </row>
    <row r="3130" spans="1:25" x14ac:dyDescent="0.3">
      <c r="A3130">
        <v>156450</v>
      </c>
      <c r="B3130" t="s">
        <v>65371</v>
      </c>
      <c r="C3130" t="s">
        <v>65372</v>
      </c>
      <c r="D3130" t="s">
        <v>65373</v>
      </c>
      <c r="E3130" t="s">
        <v>65374</v>
      </c>
      <c r="F3130" t="s">
        <v>65375</v>
      </c>
      <c r="G3130" t="s">
        <v>65376</v>
      </c>
      <c r="H3130" t="s">
        <v>65377</v>
      </c>
      <c r="I3130" t="s">
        <v>65378</v>
      </c>
      <c r="J3130" t="s">
        <v>65379</v>
      </c>
      <c r="K3130" t="s">
        <v>65380</v>
      </c>
      <c r="L3130" t="s">
        <v>65381</v>
      </c>
      <c r="M3130" t="s">
        <v>65382</v>
      </c>
      <c r="N3130" t="s">
        <v>65383</v>
      </c>
      <c r="O3130">
        <f>-752.676763278933 -80.6922668643824 -715.099450551698</f>
        <v>-1548.4684806950136</v>
      </c>
      <c r="P3130">
        <f>-709.548225783984 -80.8035124465905 -401.529577911639</f>
        <v>-1191.8813161422136</v>
      </c>
      <c r="Q3130">
        <f>-460.389559098867 -16.6422567418567 -363.511358019455</f>
        <v>-840.54317386017863</v>
      </c>
      <c r="R3130" t="s">
        <v>65384</v>
      </c>
      <c r="S3130" t="s">
        <v>65385</v>
      </c>
      <c r="T3130" t="s">
        <v>65386</v>
      </c>
      <c r="U3130" t="s">
        <v>65387</v>
      </c>
      <c r="V3130" t="s">
        <v>65388</v>
      </c>
      <c r="W3130" t="s">
        <v>65389</v>
      </c>
      <c r="X3130" t="s">
        <v>65390</v>
      </c>
      <c r="Y3130" t="s">
        <v>65391</v>
      </c>
    </row>
    <row r="3131" spans="1:25" x14ac:dyDescent="0.3">
      <c r="A3131">
        <v>156500</v>
      </c>
      <c r="B3131" t="s">
        <v>65392</v>
      </c>
      <c r="C3131" t="s">
        <v>65393</v>
      </c>
      <c r="D3131" t="s">
        <v>65394</v>
      </c>
      <c r="E3131" t="s">
        <v>65395</v>
      </c>
      <c r="F3131" t="s">
        <v>65396</v>
      </c>
      <c r="G3131" t="s">
        <v>65397</v>
      </c>
      <c r="H3131" t="s">
        <v>65398</v>
      </c>
      <c r="I3131" t="s">
        <v>65399</v>
      </c>
      <c r="J3131" t="s">
        <v>65400</v>
      </c>
      <c r="K3131" t="s">
        <v>65401</v>
      </c>
      <c r="L3131" t="s">
        <v>65402</v>
      </c>
      <c r="M3131" t="s">
        <v>65403</v>
      </c>
      <c r="N3131" t="s">
        <v>65404</v>
      </c>
      <c r="O3131">
        <f>-751.237959049301 -81.9879478603202 -714.874832818739</f>
        <v>-1548.1007397283602</v>
      </c>
      <c r="P3131">
        <f>-708.296413823048 -81.207151943825 -401.2802496673</f>
        <v>-1190.783815434173</v>
      </c>
      <c r="Q3131">
        <f>-458.930089453823 -18.3047427470481 -362.527582464996</f>
        <v>-839.76241466586703</v>
      </c>
      <c r="R3131" t="s">
        <v>65405</v>
      </c>
      <c r="S3131" t="s">
        <v>65406</v>
      </c>
      <c r="T3131" t="s">
        <v>65407</v>
      </c>
      <c r="U3131" t="s">
        <v>65408</v>
      </c>
      <c r="V3131" t="s">
        <v>65409</v>
      </c>
      <c r="W3131" t="s">
        <v>65410</v>
      </c>
      <c r="X3131" t="s">
        <v>65411</v>
      </c>
      <c r="Y3131" t="s">
        <v>65412</v>
      </c>
    </row>
    <row r="3132" spans="1:25" x14ac:dyDescent="0.3">
      <c r="A3132">
        <v>156550</v>
      </c>
      <c r="B3132" t="s">
        <v>65413</v>
      </c>
      <c r="C3132" t="s">
        <v>65414</v>
      </c>
      <c r="D3132" t="s">
        <v>65415</v>
      </c>
      <c r="E3132" t="s">
        <v>65416</v>
      </c>
      <c r="F3132" t="s">
        <v>65417</v>
      </c>
      <c r="G3132" t="s">
        <v>65418</v>
      </c>
      <c r="H3132" t="s">
        <v>65419</v>
      </c>
      <c r="I3132" t="s">
        <v>65420</v>
      </c>
      <c r="J3132" t="s">
        <v>65421</v>
      </c>
      <c r="K3132" t="s">
        <v>65422</v>
      </c>
      <c r="L3132" t="s">
        <v>65423</v>
      </c>
      <c r="M3132" t="s">
        <v>65424</v>
      </c>
      <c r="N3132" t="s">
        <v>65425</v>
      </c>
      <c r="O3132">
        <f>-747.42533383737 -83.8014375437831 -714.799450450979</f>
        <v>-1546.026221832132</v>
      </c>
      <c r="P3132">
        <f>-704.986124912197 -81.837229980976 -401.141673606173</f>
        <v>-1187.9650284993461</v>
      </c>
      <c r="Q3132">
        <f>-455.539301255697 -19.9774115984376 -361.24511081104</f>
        <v>-836.76182366517457</v>
      </c>
      <c r="R3132" t="s">
        <v>65426</v>
      </c>
      <c r="S3132" t="s">
        <v>65427</v>
      </c>
      <c r="T3132" t="s">
        <v>65428</v>
      </c>
      <c r="U3132" t="s">
        <v>65429</v>
      </c>
      <c r="V3132" t="s">
        <v>65430</v>
      </c>
      <c r="W3132" t="s">
        <v>65431</v>
      </c>
      <c r="X3132" t="s">
        <v>65432</v>
      </c>
      <c r="Y3132" t="s">
        <v>65433</v>
      </c>
    </row>
    <row r="3133" spans="1:25" x14ac:dyDescent="0.3">
      <c r="A3133">
        <v>156600</v>
      </c>
      <c r="B3133" t="s">
        <v>65434</v>
      </c>
      <c r="C3133" t="s">
        <v>65435</v>
      </c>
      <c r="D3133" t="s">
        <v>65436</v>
      </c>
      <c r="E3133" t="s">
        <v>65437</v>
      </c>
      <c r="F3133" t="s">
        <v>65438</v>
      </c>
      <c r="G3133" t="s">
        <v>65439</v>
      </c>
      <c r="H3133" t="s">
        <v>65440</v>
      </c>
      <c r="I3133" t="s">
        <v>65441</v>
      </c>
      <c r="J3133" t="s">
        <v>65442</v>
      </c>
      <c r="K3133" t="s">
        <v>65443</v>
      </c>
      <c r="L3133" t="s">
        <v>65444</v>
      </c>
      <c r="M3133" t="s">
        <v>65445</v>
      </c>
      <c r="N3133" t="s">
        <v>65446</v>
      </c>
      <c r="O3133">
        <f>-745.686736735325 -84.5545301508437 -714.980614487655</f>
        <v>-1545.2218813738236</v>
      </c>
      <c r="P3133">
        <f>-703.578175670593 -81.5941447404512 -401.285997335483</f>
        <v>-1186.4583177465272</v>
      </c>
      <c r="Q3133">
        <f>-454.216962464219 -19.5592804548726 -361.127782501657</f>
        <v>-834.90402542074867</v>
      </c>
      <c r="R3133" t="s">
        <v>65447</v>
      </c>
      <c r="S3133" t="s">
        <v>65448</v>
      </c>
      <c r="T3133" t="s">
        <v>65449</v>
      </c>
      <c r="U3133" t="s">
        <v>65450</v>
      </c>
      <c r="V3133" t="s">
        <v>65451</v>
      </c>
      <c r="W3133" t="s">
        <v>65452</v>
      </c>
      <c r="X3133" t="s">
        <v>65453</v>
      </c>
      <c r="Y3133" t="s">
        <v>65454</v>
      </c>
    </row>
    <row r="3134" spans="1:25" x14ac:dyDescent="0.3">
      <c r="A3134">
        <v>156650</v>
      </c>
      <c r="B3134" t="s">
        <v>65455</v>
      </c>
      <c r="C3134" t="s">
        <v>65456</v>
      </c>
      <c r="D3134" t="s">
        <v>65457</v>
      </c>
      <c r="E3134" t="s">
        <v>65458</v>
      </c>
      <c r="F3134" t="s">
        <v>65459</v>
      </c>
      <c r="G3134" t="s">
        <v>65460</v>
      </c>
      <c r="H3134" t="s">
        <v>65461</v>
      </c>
      <c r="I3134" t="s">
        <v>65462</v>
      </c>
      <c r="J3134" t="s">
        <v>65463</v>
      </c>
      <c r="K3134" t="s">
        <v>65464</v>
      </c>
      <c r="L3134" t="s">
        <v>65465</v>
      </c>
      <c r="M3134" t="s">
        <v>65466</v>
      </c>
      <c r="N3134" t="s">
        <v>65467</v>
      </c>
      <c r="O3134">
        <f>-743.064165053713 -84.9335922399364 -715.88711181778</f>
        <v>-1543.8848691114295</v>
      </c>
      <c r="P3134">
        <f>-700.796166901393 -81.6191467716053 -402.217461121738</f>
        <v>-1184.6327747947362</v>
      </c>
      <c r="Q3134">
        <f>-451.658624999734 -18.8892302633183 -361.751704852291</f>
        <v>-832.29956011534341</v>
      </c>
      <c r="R3134" t="s">
        <v>65468</v>
      </c>
      <c r="S3134" t="s">
        <v>65469</v>
      </c>
      <c r="T3134" t="s">
        <v>65470</v>
      </c>
      <c r="U3134" t="s">
        <v>65471</v>
      </c>
      <c r="V3134" t="s">
        <v>65472</v>
      </c>
      <c r="W3134" t="s">
        <v>65473</v>
      </c>
      <c r="X3134" t="s">
        <v>65474</v>
      </c>
      <c r="Y3134" t="s">
        <v>65475</v>
      </c>
    </row>
    <row r="3135" spans="1:25" x14ac:dyDescent="0.3">
      <c r="A3135">
        <v>156700</v>
      </c>
      <c r="B3135" t="s">
        <v>65476</v>
      </c>
      <c r="C3135" t="s">
        <v>65477</v>
      </c>
      <c r="D3135" t="s">
        <v>65478</v>
      </c>
      <c r="E3135" t="s">
        <v>65479</v>
      </c>
      <c r="F3135" t="s">
        <v>65480</v>
      </c>
      <c r="G3135" t="s">
        <v>65481</v>
      </c>
      <c r="H3135" t="s">
        <v>65482</v>
      </c>
      <c r="I3135" t="s">
        <v>65483</v>
      </c>
      <c r="J3135" t="s">
        <v>65484</v>
      </c>
      <c r="K3135" t="s">
        <v>65485</v>
      </c>
      <c r="L3135" t="s">
        <v>65486</v>
      </c>
      <c r="M3135" t="s">
        <v>65487</v>
      </c>
      <c r="N3135" t="s">
        <v>65488</v>
      </c>
      <c r="O3135">
        <f>-742.23011203103 -85.025589434226 -716.345309334285</f>
        <v>-1543.6010107995412</v>
      </c>
      <c r="P3135">
        <f>-699.767208077884 -82.0098098200576 -402.699125544777</f>
        <v>-1184.4761434427187</v>
      </c>
      <c r="Q3135">
        <f>-450.783678987799 -18.725039194203 -362.148430855934</f>
        <v>-831.65714903793605</v>
      </c>
      <c r="R3135" t="s">
        <v>65489</v>
      </c>
      <c r="S3135" t="s">
        <v>65490</v>
      </c>
      <c r="T3135" t="s">
        <v>65491</v>
      </c>
      <c r="U3135" t="s">
        <v>65492</v>
      </c>
      <c r="V3135" t="s">
        <v>65493</v>
      </c>
      <c r="W3135" t="s">
        <v>65494</v>
      </c>
      <c r="X3135" t="s">
        <v>65495</v>
      </c>
      <c r="Y3135" t="s">
        <v>65496</v>
      </c>
    </row>
    <row r="3136" spans="1:25" x14ac:dyDescent="0.3">
      <c r="A3136">
        <v>156750</v>
      </c>
      <c r="B3136" t="s">
        <v>65497</v>
      </c>
      <c r="C3136" t="s">
        <v>65498</v>
      </c>
      <c r="D3136" t="s">
        <v>65499</v>
      </c>
      <c r="E3136" t="s">
        <v>65500</v>
      </c>
      <c r="F3136" t="s">
        <v>65501</v>
      </c>
      <c r="G3136" t="s">
        <v>65502</v>
      </c>
      <c r="H3136" t="s">
        <v>65503</v>
      </c>
      <c r="I3136" t="s">
        <v>65504</v>
      </c>
      <c r="J3136" t="s">
        <v>65505</v>
      </c>
      <c r="K3136" t="s">
        <v>65506</v>
      </c>
      <c r="L3136" t="s">
        <v>65507</v>
      </c>
      <c r="M3136" t="s">
        <v>65508</v>
      </c>
      <c r="N3136" t="s">
        <v>65509</v>
      </c>
      <c r="O3136">
        <f>-740.271113371337 -85.744015035375 -716.985258616463</f>
        <v>-1543.0003870231751</v>
      </c>
      <c r="P3136">
        <f>-697.947651321031 -83.3779661198619 -403.314431224414</f>
        <v>-1184.6400486653069</v>
      </c>
      <c r="Q3136">
        <f>-449.220478101168 -18.8816180302047 -363.101660574611</f>
        <v>-831.20375670598378</v>
      </c>
      <c r="R3136" t="s">
        <v>65510</v>
      </c>
      <c r="S3136" t="s">
        <v>65511</v>
      </c>
      <c r="T3136" t="s">
        <v>65512</v>
      </c>
      <c r="U3136" t="s">
        <v>65513</v>
      </c>
      <c r="V3136" t="s">
        <v>65514</v>
      </c>
      <c r="W3136" t="s">
        <v>65515</v>
      </c>
      <c r="X3136" t="s">
        <v>65516</v>
      </c>
      <c r="Y3136" t="s">
        <v>65517</v>
      </c>
    </row>
    <row r="3137" spans="1:25" x14ac:dyDescent="0.3">
      <c r="A3137">
        <v>156800</v>
      </c>
      <c r="B3137" t="s">
        <v>65518</v>
      </c>
      <c r="C3137" t="s">
        <v>65519</v>
      </c>
      <c r="D3137" t="s">
        <v>65520</v>
      </c>
      <c r="E3137" t="s">
        <v>65521</v>
      </c>
      <c r="F3137" t="s">
        <v>65522</v>
      </c>
      <c r="G3137" t="s">
        <v>65523</v>
      </c>
      <c r="H3137" t="s">
        <v>65524</v>
      </c>
      <c r="I3137" t="s">
        <v>65525</v>
      </c>
      <c r="J3137" t="s">
        <v>65526</v>
      </c>
      <c r="K3137" t="s">
        <v>65527</v>
      </c>
      <c r="L3137" t="s">
        <v>65528</v>
      </c>
      <c r="M3137" t="s">
        <v>65529</v>
      </c>
      <c r="N3137" t="s">
        <v>65530</v>
      </c>
      <c r="O3137">
        <f>-739.441274553349 -85.9947447131892 -717.229893180522</f>
        <v>-1542.6659124470602</v>
      </c>
      <c r="P3137">
        <f>-697.081110807671 -84.2497826371105 -403.559970056959</f>
        <v>-1184.8908635017406</v>
      </c>
      <c r="Q3137">
        <f>-448.422440003654 -19.3713392358777 -363.539238008256</f>
        <v>-831.33301724778767</v>
      </c>
      <c r="R3137" t="s">
        <v>65531</v>
      </c>
      <c r="S3137" t="s">
        <v>65532</v>
      </c>
      <c r="T3137" t="s">
        <v>65533</v>
      </c>
      <c r="U3137" t="s">
        <v>65534</v>
      </c>
      <c r="V3137" t="s">
        <v>65535</v>
      </c>
      <c r="W3137" t="s">
        <v>65536</v>
      </c>
      <c r="X3137" t="s">
        <v>65537</v>
      </c>
      <c r="Y3137" t="s">
        <v>65538</v>
      </c>
    </row>
    <row r="3138" spans="1:25" x14ac:dyDescent="0.3">
      <c r="A3138">
        <v>156850</v>
      </c>
      <c r="B3138" t="s">
        <v>65539</v>
      </c>
      <c r="C3138" t="s">
        <v>65540</v>
      </c>
      <c r="D3138" t="s">
        <v>65541</v>
      </c>
      <c r="E3138" t="s">
        <v>65542</v>
      </c>
      <c r="F3138" t="s">
        <v>65543</v>
      </c>
      <c r="G3138" t="s">
        <v>65544</v>
      </c>
      <c r="H3138" t="s">
        <v>65545</v>
      </c>
      <c r="I3138" t="s">
        <v>65546</v>
      </c>
      <c r="J3138" t="s">
        <v>65547</v>
      </c>
      <c r="K3138" t="s">
        <v>65548</v>
      </c>
      <c r="L3138" t="s">
        <v>65549</v>
      </c>
      <c r="M3138" t="s">
        <v>65550</v>
      </c>
      <c r="N3138" t="s">
        <v>65551</v>
      </c>
      <c r="O3138">
        <f>-738.018695918342 -86.6111598805096 -717.456133607162</f>
        <v>-1542.0859894060136</v>
      </c>
      <c r="P3138">
        <f>-695.836308716517 -85.3718800930346 -403.759956297235</f>
        <v>-1184.9681451067868</v>
      </c>
      <c r="Q3138">
        <f>-447.197256819467 -20.2015758840912 -364.092169448245</f>
        <v>-831.49100215180317</v>
      </c>
      <c r="R3138" t="s">
        <v>65552</v>
      </c>
      <c r="S3138" t="s">
        <v>65553</v>
      </c>
      <c r="T3138" t="s">
        <v>65554</v>
      </c>
      <c r="U3138" t="s">
        <v>65555</v>
      </c>
      <c r="V3138" t="s">
        <v>65556</v>
      </c>
      <c r="W3138" t="s">
        <v>65557</v>
      </c>
      <c r="X3138" t="s">
        <v>65558</v>
      </c>
      <c r="Y3138" t="s">
        <v>65559</v>
      </c>
    </row>
    <row r="3139" spans="1:25" x14ac:dyDescent="0.3">
      <c r="A3139">
        <v>156900</v>
      </c>
      <c r="B3139" t="s">
        <v>65560</v>
      </c>
      <c r="C3139" t="s">
        <v>65561</v>
      </c>
      <c r="D3139" t="s">
        <v>65562</v>
      </c>
      <c r="E3139" t="s">
        <v>65563</v>
      </c>
      <c r="F3139" t="s">
        <v>65564</v>
      </c>
      <c r="G3139" t="s">
        <v>65565</v>
      </c>
      <c r="H3139" t="s">
        <v>65566</v>
      </c>
      <c r="I3139" t="s">
        <v>65567</v>
      </c>
      <c r="J3139" t="s">
        <v>65568</v>
      </c>
      <c r="K3139" t="s">
        <v>65569</v>
      </c>
      <c r="L3139" t="s">
        <v>65570</v>
      </c>
      <c r="M3139" t="s">
        <v>65571</v>
      </c>
      <c r="N3139" t="s">
        <v>65572</v>
      </c>
      <c r="O3139">
        <f>-736.885906001864 -86.8176885597502 -717.645355621136</f>
        <v>-1541.3489501827503</v>
      </c>
      <c r="P3139">
        <f>-694.885112937594 -85.6657502403066 -403.924450669877</f>
        <v>-1184.4753138477777</v>
      </c>
      <c r="Q3139">
        <f>-446.271988398158 -20.5225824737811 -364.050319771941</f>
        <v>-830.84489064388003</v>
      </c>
      <c r="R3139" t="s">
        <v>65573</v>
      </c>
      <c r="S3139" t="s">
        <v>65574</v>
      </c>
      <c r="T3139" t="s">
        <v>65575</v>
      </c>
      <c r="U3139" t="s">
        <v>65576</v>
      </c>
      <c r="V3139" t="s">
        <v>65577</v>
      </c>
      <c r="W3139" t="s">
        <v>65578</v>
      </c>
      <c r="X3139" t="s">
        <v>65579</v>
      </c>
      <c r="Y3139" t="s">
        <v>65580</v>
      </c>
    </row>
    <row r="3140" spans="1:25" x14ac:dyDescent="0.3">
      <c r="A3140">
        <v>156950</v>
      </c>
      <c r="B3140" t="s">
        <v>65581</v>
      </c>
      <c r="C3140" t="s">
        <v>65582</v>
      </c>
      <c r="D3140" t="s">
        <v>65583</v>
      </c>
      <c r="E3140" t="s">
        <v>65584</v>
      </c>
      <c r="F3140" t="s">
        <v>65585</v>
      </c>
      <c r="G3140" t="s">
        <v>65586</v>
      </c>
      <c r="H3140" t="s">
        <v>65587</v>
      </c>
      <c r="I3140" t="s">
        <v>65588</v>
      </c>
      <c r="J3140" t="s">
        <v>65589</v>
      </c>
      <c r="K3140" t="s">
        <v>65590</v>
      </c>
      <c r="L3140" t="s">
        <v>65591</v>
      </c>
      <c r="M3140" t="s">
        <v>65592</v>
      </c>
      <c r="N3140" t="s">
        <v>65593</v>
      </c>
      <c r="O3140">
        <f>-735.857986656984 -87.2924082684499 -718.071782909561</f>
        <v>-1541.2221778349949</v>
      </c>
      <c r="P3140">
        <f>-694.537464875171 -86.4335681903578 -404.259717107512</f>
        <v>-1185.2307501730409</v>
      </c>
      <c r="Q3140">
        <f>-446.191708763934 -20.8467220163845 -363.457887148994</f>
        <v>-830.49631792931245</v>
      </c>
      <c r="R3140" t="s">
        <v>65594</v>
      </c>
      <c r="S3140" t="s">
        <v>65595</v>
      </c>
      <c r="T3140" t="s">
        <v>65596</v>
      </c>
      <c r="U3140" t="s">
        <v>65597</v>
      </c>
      <c r="V3140" t="s">
        <v>65598</v>
      </c>
      <c r="W3140" t="s">
        <v>65599</v>
      </c>
      <c r="X3140" t="s">
        <v>65600</v>
      </c>
      <c r="Y3140" t="s">
        <v>65601</v>
      </c>
    </row>
    <row r="3141" spans="1:25" x14ac:dyDescent="0.3">
      <c r="A3141">
        <v>157000</v>
      </c>
      <c r="B3141" t="s">
        <v>65602</v>
      </c>
      <c r="C3141" t="s">
        <v>65603</v>
      </c>
      <c r="D3141" t="s">
        <v>65604</v>
      </c>
      <c r="E3141" t="s">
        <v>65605</v>
      </c>
      <c r="F3141" t="s">
        <v>65606</v>
      </c>
      <c r="G3141" t="s">
        <v>65607</v>
      </c>
      <c r="H3141" t="s">
        <v>65608</v>
      </c>
      <c r="I3141" t="s">
        <v>65609</v>
      </c>
      <c r="J3141" t="s">
        <v>65610</v>
      </c>
      <c r="K3141" t="s">
        <v>65611</v>
      </c>
      <c r="L3141" t="s">
        <v>65612</v>
      </c>
      <c r="M3141" t="s">
        <v>65613</v>
      </c>
      <c r="N3141" t="s">
        <v>65614</v>
      </c>
      <c r="O3141">
        <f>-735.251629679462 -87.6411744046502 -718.324420170636</f>
        <v>-1541.2172242547481</v>
      </c>
      <c r="P3141">
        <f>-694.314178516353 -86.8403674659589 -404.461997497467</f>
        <v>-1185.616543479779</v>
      </c>
      <c r="Q3141">
        <f>-446.114256863819 -20.9756854937395 -363.221757771772</f>
        <v>-830.31170012933046</v>
      </c>
      <c r="R3141" t="s">
        <v>65615</v>
      </c>
      <c r="S3141" t="s">
        <v>65616</v>
      </c>
      <c r="T3141" t="s">
        <v>65617</v>
      </c>
      <c r="U3141" t="s">
        <v>65618</v>
      </c>
      <c r="V3141" t="s">
        <v>65619</v>
      </c>
      <c r="W3141" t="s">
        <v>65620</v>
      </c>
      <c r="X3141" t="s">
        <v>65621</v>
      </c>
      <c r="Y3141" t="s">
        <v>65622</v>
      </c>
    </row>
    <row r="3142" spans="1:25" x14ac:dyDescent="0.3">
      <c r="A3142">
        <v>157050</v>
      </c>
      <c r="B3142" t="s">
        <v>65623</v>
      </c>
      <c r="C3142" t="s">
        <v>65624</v>
      </c>
      <c r="D3142" t="s">
        <v>65625</v>
      </c>
      <c r="E3142" t="s">
        <v>65626</v>
      </c>
      <c r="F3142" t="s">
        <v>65627</v>
      </c>
      <c r="G3142" t="s">
        <v>65628</v>
      </c>
      <c r="H3142" t="s">
        <v>65629</v>
      </c>
      <c r="I3142" t="s">
        <v>65630</v>
      </c>
      <c r="J3142" t="s">
        <v>65631</v>
      </c>
      <c r="K3142" t="s">
        <v>65632</v>
      </c>
      <c r="L3142" t="s">
        <v>65633</v>
      </c>
      <c r="M3142" t="s">
        <v>65634</v>
      </c>
      <c r="N3142" t="s">
        <v>65635</v>
      </c>
      <c r="O3142">
        <f>-734.036888858229 -88.2773681762255 -718.76467419302</f>
        <v>-1541.0789312274746</v>
      </c>
      <c r="P3142">
        <f>-693.992209687795 -87.4589669415168 -404.787058188331</f>
        <v>-1186.2382348176429</v>
      </c>
      <c r="Q3142">
        <f>-445.976373350937 -21.1353021806899 -363.176739052249</f>
        <v>-830.28841458387592</v>
      </c>
      <c r="R3142" t="s">
        <v>65636</v>
      </c>
      <c r="S3142" t="s">
        <v>65637</v>
      </c>
      <c r="T3142" t="s">
        <v>65638</v>
      </c>
      <c r="U3142" t="s">
        <v>65639</v>
      </c>
      <c r="V3142" t="s">
        <v>65640</v>
      </c>
      <c r="W3142" t="s">
        <v>65641</v>
      </c>
      <c r="X3142" t="s">
        <v>65642</v>
      </c>
      <c r="Y3142" t="s">
        <v>65643</v>
      </c>
    </row>
    <row r="3143" spans="1:25" x14ac:dyDescent="0.3">
      <c r="A3143">
        <v>157100</v>
      </c>
      <c r="B3143" t="s">
        <v>65644</v>
      </c>
      <c r="C3143" t="s">
        <v>65645</v>
      </c>
      <c r="D3143" t="s">
        <v>65646</v>
      </c>
      <c r="E3143" t="s">
        <v>65647</v>
      </c>
      <c r="F3143" t="s">
        <v>65648</v>
      </c>
      <c r="G3143" t="s">
        <v>65649</v>
      </c>
      <c r="H3143" t="s">
        <v>65650</v>
      </c>
      <c r="I3143" t="s">
        <v>65651</v>
      </c>
      <c r="J3143" t="s">
        <v>65652</v>
      </c>
      <c r="K3143" t="s">
        <v>65653</v>
      </c>
      <c r="L3143" t="s">
        <v>65654</v>
      </c>
      <c r="M3143" t="s">
        <v>65655</v>
      </c>
      <c r="N3143" t="s">
        <v>65656</v>
      </c>
      <c r="O3143">
        <f>-733.408417907663 -88.6313318907073 -718.92399997555</f>
        <v>-1540.9637497739204</v>
      </c>
      <c r="P3143">
        <f>-693.69928133518 -87.5858531134118 -404.904403665011</f>
        <v>-1186.1895381136028</v>
      </c>
      <c r="Q3143">
        <f>-445.73638754271 -21.2769410852979 -362.957098062958</f>
        <v>-829.97042669096595</v>
      </c>
      <c r="R3143" t="s">
        <v>65657</v>
      </c>
      <c r="S3143" t="s">
        <v>65658</v>
      </c>
      <c r="T3143" t="s">
        <v>65659</v>
      </c>
      <c r="U3143" t="s">
        <v>65660</v>
      </c>
      <c r="V3143" t="s">
        <v>65661</v>
      </c>
      <c r="W3143" t="s">
        <v>65662</v>
      </c>
      <c r="X3143" t="s">
        <v>65663</v>
      </c>
      <c r="Y3143" t="s">
        <v>65664</v>
      </c>
    </row>
    <row r="3144" spans="1:25" x14ac:dyDescent="0.3">
      <c r="A3144">
        <v>157150</v>
      </c>
      <c r="B3144" t="s">
        <v>65665</v>
      </c>
      <c r="C3144" t="s">
        <v>65666</v>
      </c>
      <c r="D3144" t="s">
        <v>65667</v>
      </c>
      <c r="E3144" t="s">
        <v>65668</v>
      </c>
      <c r="F3144" t="s">
        <v>65669</v>
      </c>
      <c r="G3144" t="s">
        <v>65670</v>
      </c>
      <c r="H3144" t="s">
        <v>65671</v>
      </c>
      <c r="I3144" t="s">
        <v>65672</v>
      </c>
      <c r="J3144" t="s">
        <v>65673</v>
      </c>
      <c r="K3144" t="s">
        <v>65674</v>
      </c>
      <c r="L3144" t="s">
        <v>65675</v>
      </c>
      <c r="M3144" t="s">
        <v>65676</v>
      </c>
      <c r="N3144" t="s">
        <v>65677</v>
      </c>
      <c r="O3144">
        <f>-732.782736982659 -89.2377768939832 -719.057882200451</f>
        <v>-1541.0783960770932</v>
      </c>
      <c r="P3144">
        <f>-693.431316085444 -87.779926238105 -404.995044817792</f>
        <v>-1186.2062871413409</v>
      </c>
      <c r="Q3144">
        <f>-445.563367955874 -21.5131663993516 -362.424300618662</f>
        <v>-829.50083497388755</v>
      </c>
      <c r="R3144" t="s">
        <v>65678</v>
      </c>
      <c r="S3144" t="s">
        <v>65679</v>
      </c>
      <c r="T3144" t="s">
        <v>65680</v>
      </c>
      <c r="U3144" t="s">
        <v>65681</v>
      </c>
      <c r="V3144" t="s">
        <v>65682</v>
      </c>
      <c r="W3144" t="s">
        <v>65683</v>
      </c>
      <c r="X3144" t="s">
        <v>65684</v>
      </c>
      <c r="Y3144" t="s">
        <v>65685</v>
      </c>
    </row>
    <row r="3145" spans="1:25" x14ac:dyDescent="0.3">
      <c r="A3145">
        <v>157200</v>
      </c>
      <c r="B3145" t="s">
        <v>65686</v>
      </c>
      <c r="C3145" t="s">
        <v>65687</v>
      </c>
      <c r="D3145" t="s">
        <v>65688</v>
      </c>
      <c r="E3145" t="s">
        <v>65689</v>
      </c>
      <c r="F3145" t="s">
        <v>65690</v>
      </c>
      <c r="G3145" t="s">
        <v>65691</v>
      </c>
      <c r="H3145" t="s">
        <v>65692</v>
      </c>
      <c r="I3145" t="s">
        <v>65693</v>
      </c>
      <c r="J3145" t="s">
        <v>65694</v>
      </c>
      <c r="K3145" t="s">
        <v>65695</v>
      </c>
      <c r="L3145" t="s">
        <v>65696</v>
      </c>
      <c r="M3145" t="s">
        <v>65697</v>
      </c>
      <c r="N3145" t="s">
        <v>65698</v>
      </c>
      <c r="O3145">
        <f>-732.690138186894 -89.6052133563151 -719.018670259684</f>
        <v>-1541.314021802893</v>
      </c>
      <c r="P3145">
        <f>-693.255030909128 -87.8328005756666 -404.967902415928</f>
        <v>-1186.0557339007225</v>
      </c>
      <c r="Q3145">
        <f>-445.358622966525 -21.8476970330539 -362.125899344431</f>
        <v>-829.3322193440099</v>
      </c>
      <c r="R3145" t="s">
        <v>65699</v>
      </c>
      <c r="S3145" t="s">
        <v>65700</v>
      </c>
      <c r="T3145" t="s">
        <v>65701</v>
      </c>
      <c r="U3145" t="s">
        <v>65702</v>
      </c>
      <c r="V3145" t="s">
        <v>65703</v>
      </c>
      <c r="W3145" t="s">
        <v>65704</v>
      </c>
      <c r="X3145" t="s">
        <v>65705</v>
      </c>
      <c r="Y3145" t="s">
        <v>65706</v>
      </c>
    </row>
    <row r="3146" spans="1:25" x14ac:dyDescent="0.3">
      <c r="A3146">
        <v>157250</v>
      </c>
      <c r="B3146" t="s">
        <v>65707</v>
      </c>
      <c r="C3146" t="s">
        <v>65708</v>
      </c>
      <c r="D3146" t="s">
        <v>65709</v>
      </c>
      <c r="E3146" t="s">
        <v>65710</v>
      </c>
      <c r="F3146" t="s">
        <v>65711</v>
      </c>
      <c r="G3146" t="s">
        <v>65712</v>
      </c>
      <c r="H3146" t="s">
        <v>65713</v>
      </c>
      <c r="I3146" t="s">
        <v>65714</v>
      </c>
      <c r="J3146" t="s">
        <v>65715</v>
      </c>
      <c r="K3146" t="s">
        <v>65716</v>
      </c>
      <c r="L3146" t="s">
        <v>65717</v>
      </c>
      <c r="M3146" t="s">
        <v>65718</v>
      </c>
      <c r="N3146" t="s">
        <v>65719</v>
      </c>
      <c r="O3146">
        <f>-732.939945573688 -90.3279890129011 -718.703094018884</f>
        <v>-1541.9710286054731</v>
      </c>
      <c r="P3146">
        <f>-693.201958039685 -88.1201861094814 -404.693087380864</f>
        <v>-1186.0152315300304</v>
      </c>
      <c r="Q3146">
        <f>-445.367632654187 -21.6212202751422 -362.288727015942</f>
        <v>-829.27757994527121</v>
      </c>
      <c r="R3146" t="s">
        <v>65720</v>
      </c>
      <c r="S3146" t="s">
        <v>65721</v>
      </c>
      <c r="T3146" t="s">
        <v>65722</v>
      </c>
      <c r="U3146" t="s">
        <v>65723</v>
      </c>
      <c r="V3146" t="s">
        <v>65724</v>
      </c>
      <c r="W3146" t="s">
        <v>65725</v>
      </c>
      <c r="X3146" t="s">
        <v>65726</v>
      </c>
      <c r="Y3146" t="s">
        <v>65727</v>
      </c>
    </row>
    <row r="3147" spans="1:25" x14ac:dyDescent="0.3">
      <c r="A3147">
        <v>157300</v>
      </c>
      <c r="B3147" t="s">
        <v>65728</v>
      </c>
      <c r="C3147" t="s">
        <v>65729</v>
      </c>
      <c r="D3147" t="s">
        <v>65730</v>
      </c>
      <c r="E3147" t="s">
        <v>65731</v>
      </c>
      <c r="F3147" t="s">
        <v>65732</v>
      </c>
      <c r="G3147" t="s">
        <v>65733</v>
      </c>
      <c r="H3147" t="s">
        <v>65734</v>
      </c>
      <c r="I3147" t="s">
        <v>65735</v>
      </c>
      <c r="J3147" t="s">
        <v>65736</v>
      </c>
      <c r="K3147" t="s">
        <v>65737</v>
      </c>
      <c r="L3147" t="s">
        <v>65738</v>
      </c>
      <c r="M3147" t="s">
        <v>65739</v>
      </c>
      <c r="N3147" t="s">
        <v>65740</v>
      </c>
      <c r="O3147">
        <f>-733.062157815712 -90.7915276148469 -718.4650157299</f>
        <v>-1542.3187011604589</v>
      </c>
      <c r="P3147">
        <f>-693.131275209963 -88.0411431354403 -404.483914161681</f>
        <v>-1185.6563325070842</v>
      </c>
      <c r="Q3147">
        <f>-445.310860926819 -21.2988711884814 -362.382029744718</f>
        <v>-828.99176186001841</v>
      </c>
      <c r="R3147" t="s">
        <v>65741</v>
      </c>
      <c r="S3147" t="s">
        <v>65742</v>
      </c>
      <c r="T3147" t="s">
        <v>65743</v>
      </c>
      <c r="U3147" t="s">
        <v>65744</v>
      </c>
      <c r="V3147" t="s">
        <v>65745</v>
      </c>
      <c r="W3147" t="s">
        <v>65746</v>
      </c>
      <c r="X3147" t="s">
        <v>65747</v>
      </c>
      <c r="Y3147" t="s">
        <v>65748</v>
      </c>
    </row>
    <row r="3148" spans="1:25" x14ac:dyDescent="0.3">
      <c r="A3148">
        <v>157350</v>
      </c>
      <c r="B3148" t="s">
        <v>65749</v>
      </c>
      <c r="C3148" t="s">
        <v>65750</v>
      </c>
      <c r="D3148" t="s">
        <v>65751</v>
      </c>
      <c r="E3148" t="s">
        <v>65752</v>
      </c>
      <c r="F3148" t="s">
        <v>65753</v>
      </c>
      <c r="G3148" t="s">
        <v>65754</v>
      </c>
      <c r="H3148" t="s">
        <v>65755</v>
      </c>
      <c r="I3148" t="s">
        <v>65756</v>
      </c>
      <c r="J3148" t="s">
        <v>65757</v>
      </c>
      <c r="K3148" t="s">
        <v>65758</v>
      </c>
      <c r="L3148" t="s">
        <v>65759</v>
      </c>
      <c r="M3148" t="s">
        <v>65760</v>
      </c>
      <c r="N3148" t="s">
        <v>65761</v>
      </c>
      <c r="O3148">
        <f>-733.361703732099 -91.4493944333635 -717.963448526781</f>
        <v>-1542.7745466922436</v>
      </c>
      <c r="P3148">
        <f>-693.114642086694 -88.311040528615 -404.026202828841</f>
        <v>-1185.4518854441499</v>
      </c>
      <c r="Q3148">
        <f>-445.43332593208 -20.9316226017111 -362.121094022557</f>
        <v>-828.48604255634814</v>
      </c>
      <c r="R3148" t="s">
        <v>65762</v>
      </c>
      <c r="S3148" t="s">
        <v>65763</v>
      </c>
      <c r="T3148" t="s">
        <v>65764</v>
      </c>
      <c r="U3148" t="s">
        <v>65765</v>
      </c>
      <c r="V3148" t="s">
        <v>65766</v>
      </c>
      <c r="W3148" t="s">
        <v>65767</v>
      </c>
      <c r="X3148" t="s">
        <v>65768</v>
      </c>
      <c r="Y3148" t="s">
        <v>65769</v>
      </c>
    </row>
    <row r="3149" spans="1:25" x14ac:dyDescent="0.3">
      <c r="A3149">
        <v>157400</v>
      </c>
      <c r="B3149" t="s">
        <v>65770</v>
      </c>
      <c r="C3149" t="s">
        <v>65771</v>
      </c>
      <c r="D3149" t="s">
        <v>65772</v>
      </c>
      <c r="E3149" t="s">
        <v>65773</v>
      </c>
      <c r="F3149" t="s">
        <v>65774</v>
      </c>
      <c r="G3149" t="s">
        <v>65775</v>
      </c>
      <c r="H3149" t="s">
        <v>65776</v>
      </c>
      <c r="I3149" t="s">
        <v>65777</v>
      </c>
      <c r="J3149" t="s">
        <v>65778</v>
      </c>
      <c r="K3149" t="s">
        <v>65779</v>
      </c>
      <c r="L3149" t="s">
        <v>65780</v>
      </c>
      <c r="M3149" t="s">
        <v>65781</v>
      </c>
      <c r="N3149" t="s">
        <v>65782</v>
      </c>
      <c r="O3149">
        <f>-733.542616965453 -91.6402970975475 -717.769072695234</f>
        <v>-1542.9519867582344</v>
      </c>
      <c r="P3149">
        <f>-693.288980410172 -88.2202651740074 -403.835756412667</f>
        <v>-1185.3450019968463</v>
      </c>
      <c r="Q3149">
        <f>-445.730911991303 -20.4082046752164 -361.899515350023</f>
        <v>-828.03863201654235</v>
      </c>
      <c r="R3149" t="s">
        <v>65783</v>
      </c>
      <c r="S3149" t="s">
        <v>65784</v>
      </c>
      <c r="T3149" t="s">
        <v>65785</v>
      </c>
      <c r="U3149" t="s">
        <v>65786</v>
      </c>
      <c r="V3149" t="s">
        <v>65787</v>
      </c>
      <c r="W3149" t="s">
        <v>65788</v>
      </c>
      <c r="X3149" t="s">
        <v>65789</v>
      </c>
      <c r="Y3149" t="s">
        <v>65790</v>
      </c>
    </row>
    <row r="3150" spans="1:25" x14ac:dyDescent="0.3">
      <c r="A3150">
        <v>157450</v>
      </c>
      <c r="B3150" t="s">
        <v>65791</v>
      </c>
      <c r="C3150" t="s">
        <v>65792</v>
      </c>
      <c r="D3150" t="s">
        <v>65793</v>
      </c>
      <c r="E3150" t="s">
        <v>65794</v>
      </c>
      <c r="F3150" t="s">
        <v>65795</v>
      </c>
      <c r="G3150" t="s">
        <v>65796</v>
      </c>
      <c r="H3150" t="s">
        <v>65797</v>
      </c>
      <c r="I3150" t="s">
        <v>65798</v>
      </c>
      <c r="J3150" t="s">
        <v>65799</v>
      </c>
      <c r="K3150" t="s">
        <v>65800</v>
      </c>
      <c r="L3150" t="s">
        <v>65801</v>
      </c>
      <c r="M3150" t="s">
        <v>65802</v>
      </c>
      <c r="N3150" t="s">
        <v>65803</v>
      </c>
      <c r="O3150">
        <f>-734.199827466835 -91.5421806334921 -717.543727748299</f>
        <v>-1543.2857358486262</v>
      </c>
      <c r="P3150">
        <f>-693.806097797254 -88.76382037791 -403.622123378601</f>
        <v>-1186.192041553765</v>
      </c>
      <c r="Q3150">
        <f>-446.436895767903 -19.8072558297256 -362.445685649579</f>
        <v>-828.68983724720761</v>
      </c>
      <c r="R3150" t="s">
        <v>65804</v>
      </c>
      <c r="S3150" t="s">
        <v>65805</v>
      </c>
      <c r="T3150" t="s">
        <v>65806</v>
      </c>
      <c r="U3150" t="s">
        <v>65807</v>
      </c>
      <c r="V3150" t="s">
        <v>65808</v>
      </c>
      <c r="W3150" t="s">
        <v>65809</v>
      </c>
      <c r="X3150" t="s">
        <v>65810</v>
      </c>
      <c r="Y3150" t="s">
        <v>65811</v>
      </c>
    </row>
    <row r="3151" spans="1:25" x14ac:dyDescent="0.3">
      <c r="A3151">
        <v>157500</v>
      </c>
      <c r="B3151" t="s">
        <v>65812</v>
      </c>
      <c r="C3151" t="s">
        <v>65813</v>
      </c>
      <c r="D3151" t="s">
        <v>65814</v>
      </c>
      <c r="E3151" t="s">
        <v>65815</v>
      </c>
      <c r="F3151" t="s">
        <v>65816</v>
      </c>
      <c r="G3151" t="s">
        <v>65817</v>
      </c>
      <c r="H3151" t="s">
        <v>65818</v>
      </c>
      <c r="I3151" t="s">
        <v>65819</v>
      </c>
      <c r="J3151" t="s">
        <v>65820</v>
      </c>
      <c r="K3151" t="s">
        <v>65821</v>
      </c>
      <c r="L3151" t="s">
        <v>65822</v>
      </c>
      <c r="M3151" t="s">
        <v>65823</v>
      </c>
      <c r="N3151" t="s">
        <v>65824</v>
      </c>
      <c r="O3151">
        <f>-734.707282529687 -91.4399320603127 -717.467035000909</f>
        <v>-1543.6142495909087</v>
      </c>
      <c r="P3151">
        <f>-694.046292361216 -88.7370536171079 -403.579195647091</f>
        <v>-1186.3625416254149</v>
      </c>
      <c r="Q3151">
        <f>-446.788748751522 -19.0910948368935 -362.895980066016</f>
        <v>-828.77582365443152</v>
      </c>
      <c r="R3151" t="s">
        <v>65825</v>
      </c>
      <c r="S3151" t="s">
        <v>65826</v>
      </c>
      <c r="T3151" t="s">
        <v>65827</v>
      </c>
      <c r="U3151" t="s">
        <v>65828</v>
      </c>
      <c r="V3151" t="s">
        <v>65829</v>
      </c>
      <c r="W3151" t="s">
        <v>65830</v>
      </c>
      <c r="X3151" t="s">
        <v>65831</v>
      </c>
      <c r="Y3151" t="s">
        <v>65832</v>
      </c>
    </row>
    <row r="3152" spans="1:25" x14ac:dyDescent="0.3">
      <c r="A3152">
        <v>157550</v>
      </c>
      <c r="B3152" t="s">
        <v>65833</v>
      </c>
      <c r="C3152" t="s">
        <v>65834</v>
      </c>
      <c r="D3152" t="s">
        <v>65835</v>
      </c>
      <c r="E3152" t="s">
        <v>65836</v>
      </c>
      <c r="F3152" t="s">
        <v>65837</v>
      </c>
      <c r="G3152" t="s">
        <v>65838</v>
      </c>
      <c r="H3152" t="s">
        <v>65839</v>
      </c>
      <c r="I3152" t="s">
        <v>65840</v>
      </c>
      <c r="J3152" t="s">
        <v>65841</v>
      </c>
      <c r="K3152" t="s">
        <v>65842</v>
      </c>
      <c r="L3152" t="s">
        <v>65843</v>
      </c>
      <c r="M3152" t="s">
        <v>65844</v>
      </c>
      <c r="N3152" t="s">
        <v>65845</v>
      </c>
      <c r="O3152">
        <f>-735.878542435746 -91.2494177692124 -717.374311455389</f>
        <v>-1544.5022716603476</v>
      </c>
      <c r="P3152">
        <f>-694.715703696407 -88.6312008218529 -403.551180167697</f>
        <v>-1186.8980846859567</v>
      </c>
      <c r="Q3152">
        <f>-447.630280573229 -18.2223549302216 -363.134710838214</f>
        <v>-828.98734634166465</v>
      </c>
      <c r="R3152" t="s">
        <v>65846</v>
      </c>
      <c r="S3152" t="s">
        <v>65847</v>
      </c>
      <c r="T3152" t="s">
        <v>65848</v>
      </c>
      <c r="U3152" t="s">
        <v>65849</v>
      </c>
      <c r="V3152" t="s">
        <v>65850</v>
      </c>
      <c r="W3152" t="s">
        <v>65851</v>
      </c>
      <c r="X3152" t="s">
        <v>65852</v>
      </c>
      <c r="Y3152" t="s">
        <v>65853</v>
      </c>
    </row>
    <row r="3153" spans="1:25" x14ac:dyDescent="0.3">
      <c r="A3153">
        <v>157600</v>
      </c>
      <c r="B3153" t="s">
        <v>65854</v>
      </c>
      <c r="C3153" t="s">
        <v>65855</v>
      </c>
      <c r="D3153" t="s">
        <v>65856</v>
      </c>
      <c r="E3153" t="s">
        <v>65857</v>
      </c>
      <c r="F3153" t="s">
        <v>65858</v>
      </c>
      <c r="G3153" t="s">
        <v>65859</v>
      </c>
      <c r="H3153" t="s">
        <v>65860</v>
      </c>
      <c r="I3153" t="s">
        <v>65861</v>
      </c>
      <c r="J3153" t="s">
        <v>65862</v>
      </c>
      <c r="K3153" t="s">
        <v>65863</v>
      </c>
      <c r="L3153" t="s">
        <v>65864</v>
      </c>
      <c r="M3153" t="s">
        <v>65865</v>
      </c>
      <c r="N3153" t="s">
        <v>65866</v>
      </c>
      <c r="O3153">
        <f>-736.591471144302 -91.2186253553286 -717.301279206406</f>
        <v>-1545.1113757060366</v>
      </c>
      <c r="P3153">
        <f>-695.456337448049 -88.7253970334655 -403.473517681954</f>
        <v>-1187.6552521634685</v>
      </c>
      <c r="Q3153">
        <f>-448.471280655658 -18.0484881284799 -362.911879567847</f>
        <v>-829.4316483519849</v>
      </c>
      <c r="R3153" t="s">
        <v>65867</v>
      </c>
      <c r="S3153" t="s">
        <v>65868</v>
      </c>
      <c r="T3153" t="s">
        <v>65869</v>
      </c>
      <c r="U3153" t="s">
        <v>65870</v>
      </c>
      <c r="V3153" t="s">
        <v>65871</v>
      </c>
      <c r="W3153" t="s">
        <v>65872</v>
      </c>
      <c r="X3153" t="s">
        <v>65873</v>
      </c>
      <c r="Y3153" t="s">
        <v>65874</v>
      </c>
    </row>
    <row r="3154" spans="1:25" x14ac:dyDescent="0.3">
      <c r="A3154">
        <v>157650</v>
      </c>
      <c r="B3154" t="s">
        <v>65854</v>
      </c>
      <c r="C3154" t="s">
        <v>65855</v>
      </c>
      <c r="D3154" t="s">
        <v>65856</v>
      </c>
      <c r="E3154" t="s">
        <v>65857</v>
      </c>
      <c r="F3154" t="s">
        <v>65858</v>
      </c>
      <c r="G3154" t="s">
        <v>65859</v>
      </c>
      <c r="H3154" t="s">
        <v>65860</v>
      </c>
      <c r="I3154" t="s">
        <v>65861</v>
      </c>
      <c r="J3154" t="s">
        <v>65862</v>
      </c>
      <c r="K3154" t="s">
        <v>65863</v>
      </c>
      <c r="L3154" t="s">
        <v>65864</v>
      </c>
      <c r="M3154" t="s">
        <v>65865</v>
      </c>
      <c r="N3154" t="s">
        <v>65866</v>
      </c>
      <c r="O3154">
        <f>-736.591471144302 -91.2186253553286 -717.301279206406</f>
        <v>-1545.1113757060366</v>
      </c>
      <c r="P3154">
        <f>-695.456337448049 -88.7253970334655 -403.473517681954</f>
        <v>-1187.6552521634685</v>
      </c>
      <c r="Q3154">
        <f>-448.471280655658 -18.0484881284799 -362.911879567847</f>
        <v>-829.4316483519849</v>
      </c>
      <c r="R3154" t="s">
        <v>65867</v>
      </c>
      <c r="S3154" t="s">
        <v>65868</v>
      </c>
      <c r="T3154" t="s">
        <v>65869</v>
      </c>
      <c r="U3154" t="s">
        <v>65870</v>
      </c>
      <c r="V3154" t="s">
        <v>65871</v>
      </c>
      <c r="W3154" t="s">
        <v>65872</v>
      </c>
      <c r="X3154" t="s">
        <v>65873</v>
      </c>
      <c r="Y3154" t="s">
        <v>65874</v>
      </c>
    </row>
    <row r="3155" spans="1:25" x14ac:dyDescent="0.3">
      <c r="A3155">
        <v>157700</v>
      </c>
      <c r="B3155" t="s">
        <v>65875</v>
      </c>
      <c r="C3155" t="s">
        <v>65876</v>
      </c>
      <c r="D3155" t="s">
        <v>65877</v>
      </c>
      <c r="E3155" t="s">
        <v>65878</v>
      </c>
      <c r="F3155" t="s">
        <v>65879</v>
      </c>
      <c r="G3155" t="s">
        <v>65880</v>
      </c>
      <c r="H3155" t="s">
        <v>65881</v>
      </c>
      <c r="I3155" t="s">
        <v>65882</v>
      </c>
      <c r="J3155" t="s">
        <v>65883</v>
      </c>
      <c r="K3155" t="s">
        <v>65884</v>
      </c>
      <c r="L3155" t="s">
        <v>65885</v>
      </c>
      <c r="M3155" t="s">
        <v>65886</v>
      </c>
      <c r="N3155" t="s">
        <v>65887</v>
      </c>
      <c r="O3155">
        <f>-737.246157412426 -91.0528726727396 -717.295522618135</f>
        <v>-1545.5945527033005</v>
      </c>
      <c r="P3155">
        <f>-696.231405692057 -88.5874793653973 -403.451878830646</f>
        <v>-1188.2707638881002</v>
      </c>
      <c r="Q3155">
        <f>-449.356328237182 -17.6420568549904 -362.690498595012</f>
        <v>-829.68888368718444</v>
      </c>
      <c r="R3155" t="s">
        <v>65888</v>
      </c>
      <c r="S3155" t="s">
        <v>65889</v>
      </c>
      <c r="T3155" t="s">
        <v>65890</v>
      </c>
      <c r="U3155" t="s">
        <v>65891</v>
      </c>
      <c r="V3155" t="s">
        <v>65892</v>
      </c>
      <c r="W3155" t="s">
        <v>65893</v>
      </c>
      <c r="X3155" t="s">
        <v>65894</v>
      </c>
      <c r="Y3155" t="s">
        <v>65895</v>
      </c>
    </row>
    <row r="3156" spans="1:25" x14ac:dyDescent="0.3">
      <c r="A3156">
        <v>157750</v>
      </c>
      <c r="B3156" t="s">
        <v>65875</v>
      </c>
      <c r="C3156" t="s">
        <v>65876</v>
      </c>
      <c r="D3156" t="s">
        <v>65877</v>
      </c>
      <c r="E3156" t="s">
        <v>65878</v>
      </c>
      <c r="F3156" t="s">
        <v>65879</v>
      </c>
      <c r="G3156" t="s">
        <v>65880</v>
      </c>
      <c r="H3156" t="s">
        <v>65881</v>
      </c>
      <c r="I3156" t="s">
        <v>65882</v>
      </c>
      <c r="J3156" t="s">
        <v>65883</v>
      </c>
      <c r="K3156" t="s">
        <v>65884</v>
      </c>
      <c r="L3156" t="s">
        <v>65885</v>
      </c>
      <c r="M3156" t="s">
        <v>65886</v>
      </c>
      <c r="N3156" t="s">
        <v>65887</v>
      </c>
      <c r="O3156">
        <f>-737.246157412426 -91.0528726727396 -717.295522618135</f>
        <v>-1545.5945527033005</v>
      </c>
      <c r="P3156">
        <f>-696.231405692057 -88.5874793653973 -403.451878830646</f>
        <v>-1188.2707638881002</v>
      </c>
      <c r="Q3156">
        <f>-449.356328237182 -17.6420568549904 -362.690498595012</f>
        <v>-829.68888368718444</v>
      </c>
      <c r="R3156" t="s">
        <v>65888</v>
      </c>
      <c r="S3156" t="s">
        <v>65889</v>
      </c>
      <c r="T3156" t="s">
        <v>65890</v>
      </c>
      <c r="U3156" t="s">
        <v>65891</v>
      </c>
      <c r="V3156" t="s">
        <v>65892</v>
      </c>
      <c r="W3156" t="s">
        <v>65893</v>
      </c>
      <c r="X3156" t="s">
        <v>65894</v>
      </c>
      <c r="Y3156" t="s">
        <v>65895</v>
      </c>
    </row>
    <row r="3157" spans="1:25" x14ac:dyDescent="0.3">
      <c r="A3157">
        <v>157800</v>
      </c>
      <c r="B3157" t="s">
        <v>65896</v>
      </c>
      <c r="C3157" t="s">
        <v>65897</v>
      </c>
      <c r="D3157" t="s">
        <v>65898</v>
      </c>
      <c r="E3157" t="s">
        <v>65899</v>
      </c>
      <c r="F3157" t="s">
        <v>65900</v>
      </c>
      <c r="G3157" t="s">
        <v>65901</v>
      </c>
      <c r="H3157" t="s">
        <v>65902</v>
      </c>
      <c r="I3157" t="s">
        <v>65903</v>
      </c>
      <c r="J3157" t="s">
        <v>65904</v>
      </c>
      <c r="K3157" t="s">
        <v>65905</v>
      </c>
      <c r="L3157" t="s">
        <v>65906</v>
      </c>
      <c r="M3157" t="s">
        <v>65907</v>
      </c>
      <c r="N3157" t="s">
        <v>65908</v>
      </c>
      <c r="O3157">
        <f>-741.15943260225 -89.5255796142499 -717.337675639626</f>
        <v>-1548.0226878561259</v>
      </c>
      <c r="P3157">
        <f>-699.780695755623 -88.13046271709 -403.535115383175</f>
        <v>-1191.4462738558882</v>
      </c>
      <c r="Q3157">
        <f>-452.834312645684 -17.548582356912 -362.57503873379</f>
        <v>-832.95793373638594</v>
      </c>
      <c r="R3157" t="s">
        <v>65909</v>
      </c>
      <c r="S3157" t="s">
        <v>65910</v>
      </c>
      <c r="T3157" t="s">
        <v>65911</v>
      </c>
      <c r="U3157" t="s">
        <v>65912</v>
      </c>
      <c r="V3157" t="s">
        <v>65913</v>
      </c>
      <c r="W3157" t="s">
        <v>65914</v>
      </c>
      <c r="X3157" t="s">
        <v>65915</v>
      </c>
      <c r="Y3157" t="s">
        <v>65916</v>
      </c>
    </row>
    <row r="3158" spans="1:25" x14ac:dyDescent="0.3">
      <c r="A3158">
        <v>157850</v>
      </c>
      <c r="B3158" t="s">
        <v>65917</v>
      </c>
      <c r="C3158" t="s">
        <v>65918</v>
      </c>
      <c r="D3158" t="s">
        <v>65919</v>
      </c>
      <c r="E3158" t="s">
        <v>65920</v>
      </c>
      <c r="F3158" t="s">
        <v>65921</v>
      </c>
      <c r="G3158" t="s">
        <v>65922</v>
      </c>
      <c r="H3158" t="s">
        <v>65923</v>
      </c>
      <c r="I3158" t="s">
        <v>65924</v>
      </c>
      <c r="J3158" t="s">
        <v>65925</v>
      </c>
      <c r="K3158" t="s">
        <v>65926</v>
      </c>
      <c r="L3158" t="s">
        <v>65927</v>
      </c>
      <c r="M3158" t="s">
        <v>65928</v>
      </c>
      <c r="N3158" t="s">
        <v>65929</v>
      </c>
      <c r="O3158">
        <f>-742.57490074081 -89.2049123547972 -717.486279934152</f>
        <v>-1549.2660930297593</v>
      </c>
      <c r="P3158">
        <f>-700.921253038471 -88.2859265705274 -403.71823450005</f>
        <v>-1192.9254141090485</v>
      </c>
      <c r="Q3158">
        <f>-453.806253395546 -18.2525782533735 -362.833131135244</f>
        <v>-834.89196278416352</v>
      </c>
      <c r="R3158" t="s">
        <v>65930</v>
      </c>
      <c r="S3158" t="s">
        <v>65931</v>
      </c>
      <c r="T3158" t="s">
        <v>65932</v>
      </c>
      <c r="U3158" t="s">
        <v>65933</v>
      </c>
      <c r="V3158" t="s">
        <v>65934</v>
      </c>
      <c r="W3158" t="s">
        <v>65935</v>
      </c>
      <c r="X3158" t="s">
        <v>65936</v>
      </c>
      <c r="Y3158" t="s">
        <v>65937</v>
      </c>
    </row>
    <row r="3159" spans="1:25" x14ac:dyDescent="0.3">
      <c r="A3159">
        <v>157900</v>
      </c>
      <c r="B3159" t="s">
        <v>65938</v>
      </c>
      <c r="C3159" t="s">
        <v>65939</v>
      </c>
      <c r="D3159" t="s">
        <v>65940</v>
      </c>
      <c r="E3159" t="s">
        <v>65941</v>
      </c>
      <c r="F3159" t="s">
        <v>65942</v>
      </c>
      <c r="G3159" t="s">
        <v>65943</v>
      </c>
      <c r="H3159" t="s">
        <v>65944</v>
      </c>
      <c r="I3159" t="s">
        <v>65945</v>
      </c>
      <c r="J3159" t="s">
        <v>65946</v>
      </c>
      <c r="K3159" t="s">
        <v>65947</v>
      </c>
      <c r="L3159" t="s">
        <v>65948</v>
      </c>
      <c r="M3159" t="s">
        <v>65949</v>
      </c>
      <c r="N3159" t="s">
        <v>65950</v>
      </c>
      <c r="O3159">
        <f>-743.265135061153 -88.9958621838134 -717.648703833055</f>
        <v>-1549.9097010780215</v>
      </c>
      <c r="P3159">
        <f>-701.533854202202 -88.3726519573056 -403.890323574421</f>
        <v>-1193.7968297339285</v>
      </c>
      <c r="Q3159">
        <f>-454.282038073693 -18.7860287710796 -363.069716080624</f>
        <v>-836.13778292539655</v>
      </c>
      <c r="R3159" t="s">
        <v>65951</v>
      </c>
      <c r="S3159" t="s">
        <v>65952</v>
      </c>
      <c r="T3159" t="s">
        <v>65953</v>
      </c>
      <c r="U3159" t="s">
        <v>65954</v>
      </c>
      <c r="V3159" t="s">
        <v>65955</v>
      </c>
      <c r="W3159" t="s">
        <v>65956</v>
      </c>
      <c r="X3159" t="s">
        <v>65957</v>
      </c>
      <c r="Y3159" t="s">
        <v>65958</v>
      </c>
    </row>
    <row r="3160" spans="1:25" x14ac:dyDescent="0.3">
      <c r="A3160">
        <v>157950</v>
      </c>
      <c r="B3160" t="s">
        <v>65959</v>
      </c>
      <c r="C3160" t="s">
        <v>65960</v>
      </c>
      <c r="D3160" t="s">
        <v>65961</v>
      </c>
      <c r="E3160" t="s">
        <v>65962</v>
      </c>
      <c r="F3160" t="s">
        <v>65963</v>
      </c>
      <c r="G3160" t="s">
        <v>65964</v>
      </c>
      <c r="H3160" t="s">
        <v>65965</v>
      </c>
      <c r="I3160" t="s">
        <v>65966</v>
      </c>
      <c r="J3160" t="s">
        <v>65967</v>
      </c>
      <c r="K3160" t="s">
        <v>65968</v>
      </c>
      <c r="L3160" t="s">
        <v>65969</v>
      </c>
      <c r="M3160" t="s">
        <v>65970</v>
      </c>
      <c r="N3160" t="s">
        <v>65971</v>
      </c>
      <c r="O3160">
        <f>-744.512194122565 -88.2908878050509 -717.872565491813</f>
        <v>-1550.675647419429</v>
      </c>
      <c r="P3160">
        <f>-702.446729805628 -88.1145663608033 -404.15832720187</f>
        <v>-1194.7196233683014</v>
      </c>
      <c r="Q3160">
        <f>-454.912641252057 -19.3473153564896 -363.660890525235</f>
        <v>-837.92084713378165</v>
      </c>
      <c r="R3160" t="s">
        <v>65972</v>
      </c>
      <c r="S3160" t="s">
        <v>65973</v>
      </c>
      <c r="T3160" t="s">
        <v>65974</v>
      </c>
      <c r="U3160" t="s">
        <v>65975</v>
      </c>
      <c r="V3160" t="s">
        <v>65976</v>
      </c>
      <c r="W3160" t="s">
        <v>65977</v>
      </c>
      <c r="X3160" t="s">
        <v>65978</v>
      </c>
      <c r="Y3160" t="s">
        <v>65979</v>
      </c>
    </row>
    <row r="3161" spans="1:25" x14ac:dyDescent="0.3">
      <c r="A3161">
        <v>158000</v>
      </c>
      <c r="B3161" t="s">
        <v>65980</v>
      </c>
      <c r="C3161" t="s">
        <v>65981</v>
      </c>
      <c r="D3161" t="s">
        <v>65982</v>
      </c>
      <c r="E3161" t="s">
        <v>65983</v>
      </c>
      <c r="F3161" t="s">
        <v>65984</v>
      </c>
      <c r="G3161" t="s">
        <v>65985</v>
      </c>
      <c r="H3161" t="s">
        <v>65986</v>
      </c>
      <c r="I3161" t="s">
        <v>65987</v>
      </c>
      <c r="J3161" t="s">
        <v>65988</v>
      </c>
      <c r="K3161" t="s">
        <v>65989</v>
      </c>
      <c r="L3161" t="s">
        <v>65990</v>
      </c>
      <c r="M3161" t="s">
        <v>65991</v>
      </c>
      <c r="N3161" t="s">
        <v>65992</v>
      </c>
      <c r="O3161">
        <f>-745.049389093122 -87.8832377764054 -717.926302957942</f>
        <v>-1550.8589298274694</v>
      </c>
      <c r="P3161">
        <f>-702.744815050259 -87.8802660937647 -404.24416738977</f>
        <v>-1194.8692485337938</v>
      </c>
      <c r="Q3161">
        <f>-455.101150187105 -19.3969131167037 -363.936797416111</f>
        <v>-838.4348607199197</v>
      </c>
      <c r="R3161" t="s">
        <v>65993</v>
      </c>
      <c r="S3161" t="s">
        <v>65994</v>
      </c>
      <c r="T3161" t="s">
        <v>65995</v>
      </c>
      <c r="U3161" t="s">
        <v>65996</v>
      </c>
      <c r="V3161" t="s">
        <v>65997</v>
      </c>
      <c r="W3161" t="s">
        <v>65998</v>
      </c>
      <c r="X3161" t="s">
        <v>65999</v>
      </c>
      <c r="Y3161" t="s">
        <v>66000</v>
      </c>
    </row>
    <row r="3162" spans="1:25" x14ac:dyDescent="0.3">
      <c r="A3162">
        <v>158050</v>
      </c>
      <c r="B3162" t="s">
        <v>66001</v>
      </c>
      <c r="C3162" t="s">
        <v>66002</v>
      </c>
      <c r="D3162" t="s">
        <v>66003</v>
      </c>
      <c r="E3162" t="s">
        <v>66004</v>
      </c>
      <c r="F3162" t="s">
        <v>66005</v>
      </c>
      <c r="G3162" t="s">
        <v>66006</v>
      </c>
      <c r="H3162" t="s">
        <v>66007</v>
      </c>
      <c r="I3162" t="s">
        <v>66008</v>
      </c>
      <c r="J3162" t="s">
        <v>66009</v>
      </c>
      <c r="K3162" t="s">
        <v>66010</v>
      </c>
      <c r="L3162" t="s">
        <v>66011</v>
      </c>
      <c r="M3162" t="s">
        <v>66012</v>
      </c>
      <c r="N3162" t="s">
        <v>66013</v>
      </c>
      <c r="O3162">
        <f>-745.933555827788 -87.1739021766575 -717.912480065272</f>
        <v>-1551.0199380697177</v>
      </c>
      <c r="P3162">
        <f>-703.286178264902 -87.5482485901589 -404.276852589532</f>
        <v>-1195.1112794445928</v>
      </c>
      <c r="Q3162">
        <f>-455.514768367115 -19.4442076099374 -364.111792616724</f>
        <v>-839.07076859377639</v>
      </c>
      <c r="R3162" t="s">
        <v>66014</v>
      </c>
      <c r="S3162" t="s">
        <v>66015</v>
      </c>
      <c r="T3162" t="s">
        <v>66016</v>
      </c>
      <c r="U3162" t="s">
        <v>66017</v>
      </c>
      <c r="V3162" t="s">
        <v>66018</v>
      </c>
      <c r="W3162" t="s">
        <v>66019</v>
      </c>
      <c r="X3162" t="s">
        <v>66020</v>
      </c>
      <c r="Y3162" t="s">
        <v>66021</v>
      </c>
    </row>
    <row r="3163" spans="1:25" x14ac:dyDescent="0.3">
      <c r="A3163">
        <v>158100</v>
      </c>
      <c r="B3163" t="s">
        <v>66022</v>
      </c>
      <c r="C3163" t="s">
        <v>66023</v>
      </c>
      <c r="D3163" t="s">
        <v>66024</v>
      </c>
      <c r="E3163" t="s">
        <v>66025</v>
      </c>
      <c r="F3163" t="s">
        <v>66026</v>
      </c>
      <c r="G3163" t="s">
        <v>66027</v>
      </c>
      <c r="H3163" t="s">
        <v>66028</v>
      </c>
      <c r="I3163" t="s">
        <v>66029</v>
      </c>
      <c r="J3163" t="s">
        <v>66030</v>
      </c>
      <c r="K3163" t="s">
        <v>66031</v>
      </c>
      <c r="L3163" t="s">
        <v>66032</v>
      </c>
      <c r="M3163" t="s">
        <v>66033</v>
      </c>
      <c r="N3163" t="s">
        <v>66034</v>
      </c>
      <c r="O3163">
        <f>-746.300957449724 -86.9711362426001 -717.843501526259</f>
        <v>-1551.1155952185832</v>
      </c>
      <c r="P3163">
        <f>-703.49844057885 -87.3595556255978 -404.22907936322</f>
        <v>-1195.0870755676679</v>
      </c>
      <c r="Q3163">
        <f>-455.682499319033 -19.4632473222762 -363.986828974808</f>
        <v>-839.13257561611726</v>
      </c>
      <c r="R3163" t="s">
        <v>66035</v>
      </c>
      <c r="S3163" t="s">
        <v>66036</v>
      </c>
      <c r="T3163" t="s">
        <v>66037</v>
      </c>
      <c r="U3163" t="s">
        <v>66038</v>
      </c>
      <c r="V3163" t="s">
        <v>66039</v>
      </c>
      <c r="W3163" t="s">
        <v>66040</v>
      </c>
      <c r="X3163" t="s">
        <v>66041</v>
      </c>
      <c r="Y3163" t="s">
        <v>66042</v>
      </c>
    </row>
    <row r="3164" spans="1:25" x14ac:dyDescent="0.3">
      <c r="A3164">
        <v>158150</v>
      </c>
      <c r="B3164" t="s">
        <v>66043</v>
      </c>
      <c r="C3164" t="s">
        <v>66044</v>
      </c>
      <c r="D3164" t="s">
        <v>66045</v>
      </c>
      <c r="E3164" t="s">
        <v>66046</v>
      </c>
      <c r="F3164" t="s">
        <v>66047</v>
      </c>
      <c r="G3164" t="s">
        <v>66048</v>
      </c>
      <c r="H3164" t="s">
        <v>66049</v>
      </c>
      <c r="I3164" t="s">
        <v>66050</v>
      </c>
      <c r="J3164" t="s">
        <v>66051</v>
      </c>
      <c r="K3164" t="s">
        <v>66052</v>
      </c>
      <c r="L3164" t="s">
        <v>66053</v>
      </c>
      <c r="M3164" t="s">
        <v>66054</v>
      </c>
      <c r="N3164" t="s">
        <v>66055</v>
      </c>
      <c r="O3164">
        <f>-746.924806784077 -86.5160308558545 -717.73018063723</f>
        <v>-1551.1710182771615</v>
      </c>
      <c r="P3164">
        <f>-704.0011101982 -87.0161653781186 -404.132538225653</f>
        <v>-1195.1498138019715</v>
      </c>
      <c r="Q3164">
        <f>-456.300113558769 -18.8206971539751 -363.689287643207</f>
        <v>-838.81009835595114</v>
      </c>
      <c r="R3164" t="s">
        <v>66056</v>
      </c>
      <c r="S3164" t="s">
        <v>66057</v>
      </c>
      <c r="T3164" t="s">
        <v>66058</v>
      </c>
      <c r="U3164" t="s">
        <v>66059</v>
      </c>
      <c r="V3164" t="s">
        <v>66060</v>
      </c>
      <c r="W3164" t="s">
        <v>66061</v>
      </c>
      <c r="X3164" t="s">
        <v>66062</v>
      </c>
      <c r="Y3164" t="s">
        <v>66063</v>
      </c>
    </row>
    <row r="3165" spans="1:25" x14ac:dyDescent="0.3">
      <c r="A3165">
        <v>158200</v>
      </c>
      <c r="B3165" t="s">
        <v>66064</v>
      </c>
      <c r="C3165" t="s">
        <v>66065</v>
      </c>
      <c r="D3165" t="s">
        <v>66066</v>
      </c>
      <c r="E3165" t="s">
        <v>66067</v>
      </c>
      <c r="F3165" t="s">
        <v>66068</v>
      </c>
      <c r="G3165" t="s">
        <v>66069</v>
      </c>
      <c r="H3165" t="s">
        <v>66070</v>
      </c>
      <c r="I3165" t="s">
        <v>66071</v>
      </c>
      <c r="J3165" t="s">
        <v>66072</v>
      </c>
      <c r="K3165" t="s">
        <v>66073</v>
      </c>
      <c r="L3165" t="s">
        <v>66074</v>
      </c>
      <c r="M3165" t="s">
        <v>66075</v>
      </c>
      <c r="N3165" t="s">
        <v>66076</v>
      </c>
      <c r="O3165">
        <f>-747.153976745751 -86.2359129987196 -717.624546274719</f>
        <v>-1551.0144360191898</v>
      </c>
      <c r="P3165">
        <f>-704.143411815849 -86.589233177132 -404.038654929097</f>
        <v>-1194.771299922078</v>
      </c>
      <c r="Q3165">
        <f>-456.540016847301 -18.0042014387302 -363.656241166369</f>
        <v>-838.2004594524002</v>
      </c>
      <c r="R3165" t="s">
        <v>66077</v>
      </c>
      <c r="S3165" t="s">
        <v>66078</v>
      </c>
      <c r="T3165" t="s">
        <v>66079</v>
      </c>
      <c r="U3165" t="s">
        <v>66080</v>
      </c>
      <c r="V3165" t="s">
        <v>66081</v>
      </c>
      <c r="W3165" t="s">
        <v>66082</v>
      </c>
      <c r="X3165" t="s">
        <v>66083</v>
      </c>
      <c r="Y3165" t="s">
        <v>66084</v>
      </c>
    </row>
    <row r="3166" spans="1:25" x14ac:dyDescent="0.3">
      <c r="A3166">
        <v>158250</v>
      </c>
      <c r="B3166" t="s">
        <v>66085</v>
      </c>
      <c r="C3166" t="s">
        <v>66086</v>
      </c>
      <c r="D3166" t="s">
        <v>66087</v>
      </c>
      <c r="E3166" t="s">
        <v>66088</v>
      </c>
      <c r="F3166" t="s">
        <v>66089</v>
      </c>
      <c r="G3166" t="s">
        <v>66090</v>
      </c>
      <c r="H3166" t="s">
        <v>66091</v>
      </c>
      <c r="I3166" t="s">
        <v>66092</v>
      </c>
      <c r="J3166" t="s">
        <v>66093</v>
      </c>
      <c r="K3166" t="s">
        <v>66094</v>
      </c>
      <c r="L3166" t="s">
        <v>66095</v>
      </c>
      <c r="M3166" t="s">
        <v>66096</v>
      </c>
      <c r="N3166" t="s">
        <v>66097</v>
      </c>
      <c r="O3166">
        <f>-747.500163755123 -85.5261263328418 -717.475828840678</f>
        <v>-1550.5021189286429</v>
      </c>
      <c r="P3166">
        <f>-704.124991249104 -85.6499345120694 -403.939925601891</f>
        <v>-1193.7148513630646</v>
      </c>
      <c r="Q3166">
        <f>-456.666868095088 -16.3809379704942 -363.835487698138</f>
        <v>-836.88329376372019</v>
      </c>
      <c r="R3166" t="s">
        <v>66098</v>
      </c>
      <c r="S3166" t="s">
        <v>66099</v>
      </c>
      <c r="T3166" t="s">
        <v>66100</v>
      </c>
      <c r="U3166" t="s">
        <v>66101</v>
      </c>
      <c r="V3166" t="s">
        <v>66102</v>
      </c>
      <c r="W3166" t="s">
        <v>66103</v>
      </c>
      <c r="X3166" t="s">
        <v>66104</v>
      </c>
      <c r="Y3166" t="s">
        <v>66105</v>
      </c>
    </row>
    <row r="3167" spans="1:25" x14ac:dyDescent="0.3">
      <c r="A3167">
        <v>158300</v>
      </c>
      <c r="B3167" t="s">
        <v>66106</v>
      </c>
      <c r="C3167" t="s">
        <v>66107</v>
      </c>
      <c r="D3167" t="s">
        <v>66108</v>
      </c>
      <c r="E3167" t="s">
        <v>66109</v>
      </c>
      <c r="F3167" t="s">
        <v>66110</v>
      </c>
      <c r="G3167" t="s">
        <v>66111</v>
      </c>
      <c r="H3167" t="s">
        <v>66112</v>
      </c>
      <c r="I3167" t="s">
        <v>66113</v>
      </c>
      <c r="J3167" t="s">
        <v>66114</v>
      </c>
      <c r="K3167" t="s">
        <v>66115</v>
      </c>
      <c r="L3167" t="s">
        <v>66116</v>
      </c>
      <c r="M3167" t="s">
        <v>66117</v>
      </c>
      <c r="N3167" t="s">
        <v>66118</v>
      </c>
      <c r="O3167">
        <f>-747.545638188538 -85.080645958192 -717.382849379962</f>
        <v>-1550.009133526692</v>
      </c>
      <c r="P3167">
        <f>-704.150184541825 -84.9980150886427 -403.849762099299</f>
        <v>-1192.9979617297668</v>
      </c>
      <c r="Q3167">
        <f>-456.834670513916 -14.9344384741607 -364.249807160239</f>
        <v>-836.01891614831572</v>
      </c>
      <c r="R3167" t="s">
        <v>66119</v>
      </c>
      <c r="S3167" t="s">
        <v>66120</v>
      </c>
      <c r="T3167" t="s">
        <v>66121</v>
      </c>
      <c r="U3167" t="s">
        <v>66122</v>
      </c>
      <c r="V3167" t="s">
        <v>66123</v>
      </c>
      <c r="W3167" t="s">
        <v>66124</v>
      </c>
      <c r="X3167" t="s">
        <v>66125</v>
      </c>
      <c r="Y3167" t="s">
        <v>66126</v>
      </c>
    </row>
    <row r="3168" spans="1:25" x14ac:dyDescent="0.3">
      <c r="A3168">
        <v>158350</v>
      </c>
      <c r="B3168" t="s">
        <v>66127</v>
      </c>
      <c r="C3168" t="s">
        <v>66128</v>
      </c>
      <c r="D3168" t="s">
        <v>66129</v>
      </c>
      <c r="E3168" t="s">
        <v>66130</v>
      </c>
      <c r="F3168" t="s">
        <v>66131</v>
      </c>
      <c r="G3168" t="s">
        <v>66132</v>
      </c>
      <c r="H3168" t="s">
        <v>66133</v>
      </c>
      <c r="I3168" t="s">
        <v>66134</v>
      </c>
      <c r="J3168" t="s">
        <v>66135</v>
      </c>
      <c r="K3168" t="s">
        <v>66136</v>
      </c>
      <c r="L3168" t="s">
        <v>66137</v>
      </c>
      <c r="M3168" t="s">
        <v>66138</v>
      </c>
      <c r="N3168" t="s">
        <v>66139</v>
      </c>
      <c r="O3168">
        <f>-747.847499113178 -84.3991807539717 -717.130891072412</f>
        <v>-1549.3775709395618</v>
      </c>
      <c r="P3168">
        <f>-704.640891984334 -83.8679114043459 -403.57210071629</f>
        <v>-1192.0809041049699</v>
      </c>
      <c r="Q3168">
        <f>-457.263199594672 -13.7224722650878 -364.508171472998</f>
        <v>-835.49384333275782</v>
      </c>
      <c r="R3168" t="s">
        <v>66140</v>
      </c>
      <c r="S3168" t="s">
        <v>66141</v>
      </c>
      <c r="T3168" t="s">
        <v>66142</v>
      </c>
      <c r="U3168" t="s">
        <v>66143</v>
      </c>
      <c r="V3168" t="s">
        <v>66144</v>
      </c>
      <c r="W3168" t="s">
        <v>66145</v>
      </c>
      <c r="X3168" t="s">
        <v>66146</v>
      </c>
      <c r="Y3168" t="s">
        <v>66147</v>
      </c>
    </row>
    <row r="3169" spans="1:25" x14ac:dyDescent="0.3">
      <c r="A3169">
        <v>158400</v>
      </c>
      <c r="B3169" t="s">
        <v>66148</v>
      </c>
      <c r="C3169" t="s">
        <v>66149</v>
      </c>
      <c r="D3169" t="s">
        <v>66150</v>
      </c>
      <c r="E3169" t="s">
        <v>66151</v>
      </c>
      <c r="F3169" t="s">
        <v>66152</v>
      </c>
      <c r="G3169" t="s">
        <v>66153</v>
      </c>
      <c r="H3169" t="s">
        <v>66154</v>
      </c>
      <c r="I3169" t="s">
        <v>66155</v>
      </c>
      <c r="J3169" t="s">
        <v>66156</v>
      </c>
      <c r="K3169" t="s">
        <v>66157</v>
      </c>
      <c r="L3169" t="s">
        <v>66158</v>
      </c>
      <c r="M3169" t="s">
        <v>66159</v>
      </c>
      <c r="N3169" t="s">
        <v>66160</v>
      </c>
      <c r="O3169">
        <f>-748.208709398152 -83.8831743458925 -716.955292019154</f>
        <v>-1549.0471757631985</v>
      </c>
      <c r="P3169">
        <f>-704.589761075863 -83.8555458358449 -403.453229880424</f>
        <v>-1191.8985367921318</v>
      </c>
      <c r="Q3169">
        <f>-457.094750674915 -13.8108417810513 -364.956395257158</f>
        <v>-835.86198771312434</v>
      </c>
      <c r="R3169" t="s">
        <v>66161</v>
      </c>
      <c r="S3169" t="s">
        <v>66162</v>
      </c>
      <c r="T3169" t="s">
        <v>66163</v>
      </c>
      <c r="U3169" t="s">
        <v>66164</v>
      </c>
      <c r="V3169" t="s">
        <v>66165</v>
      </c>
      <c r="W3169" t="s">
        <v>66166</v>
      </c>
      <c r="X3169" t="s">
        <v>66167</v>
      </c>
      <c r="Y3169" t="s">
        <v>66168</v>
      </c>
    </row>
    <row r="3170" spans="1:25" x14ac:dyDescent="0.3">
      <c r="A3170">
        <v>158450</v>
      </c>
      <c r="B3170" t="s">
        <v>66169</v>
      </c>
      <c r="C3170" t="s">
        <v>66170</v>
      </c>
      <c r="D3170" t="s">
        <v>66171</v>
      </c>
      <c r="E3170" t="s">
        <v>66172</v>
      </c>
      <c r="F3170" t="s">
        <v>66173</v>
      </c>
      <c r="G3170" t="s">
        <v>66174</v>
      </c>
      <c r="H3170" t="s">
        <v>66175</v>
      </c>
      <c r="I3170" t="s">
        <v>66176</v>
      </c>
      <c r="J3170" t="s">
        <v>66177</v>
      </c>
      <c r="K3170" t="s">
        <v>66178</v>
      </c>
      <c r="L3170" t="s">
        <v>66179</v>
      </c>
      <c r="M3170" t="s">
        <v>66180</v>
      </c>
      <c r="N3170" t="s">
        <v>66181</v>
      </c>
      <c r="O3170">
        <f>-749.158800516486 -82.7355944506446 -716.732015068807</f>
        <v>-1548.6264100359376</v>
      </c>
      <c r="P3170">
        <f>-704.808344189204 -83.0061608050755 -403.332661219236</f>
        <v>-1191.1471662135154</v>
      </c>
      <c r="Q3170">
        <f>-457.349541474257 -12.1001819031892 -366.203489574196</f>
        <v>-835.65321295164222</v>
      </c>
      <c r="R3170" t="s">
        <v>66182</v>
      </c>
      <c r="S3170" t="s">
        <v>66183</v>
      </c>
      <c r="T3170" t="s">
        <v>66184</v>
      </c>
      <c r="U3170" t="s">
        <v>66185</v>
      </c>
      <c r="V3170" t="s">
        <v>66186</v>
      </c>
      <c r="W3170" t="s">
        <v>66187</v>
      </c>
      <c r="X3170" t="s">
        <v>66188</v>
      </c>
      <c r="Y3170" t="s">
        <v>66189</v>
      </c>
    </row>
    <row r="3171" spans="1:25" x14ac:dyDescent="0.3">
      <c r="A3171">
        <v>158500</v>
      </c>
      <c r="B3171" t="s">
        <v>66190</v>
      </c>
      <c r="C3171" t="s">
        <v>66191</v>
      </c>
      <c r="D3171" t="s">
        <v>66192</v>
      </c>
      <c r="E3171" t="s">
        <v>66193</v>
      </c>
      <c r="F3171" t="s">
        <v>66194</v>
      </c>
      <c r="G3171" t="s">
        <v>66195</v>
      </c>
      <c r="H3171" t="s">
        <v>66196</v>
      </c>
      <c r="I3171" t="s">
        <v>66197</v>
      </c>
      <c r="J3171" t="s">
        <v>66198</v>
      </c>
      <c r="K3171" t="s">
        <v>66199</v>
      </c>
      <c r="L3171" t="s">
        <v>66200</v>
      </c>
      <c r="M3171" t="s">
        <v>66201</v>
      </c>
      <c r="N3171" t="s">
        <v>66202</v>
      </c>
      <c r="O3171">
        <f>-749.453113759722 -82.2752010906152 -716.649031796011</f>
        <v>-1548.3773466463481</v>
      </c>
      <c r="P3171">
        <f>-704.848227982041 -82.4317018736504 -403.285911347261</f>
        <v>-1190.5658412029522</v>
      </c>
      <c r="Q3171">
        <f>-457.46812156747 -11.0195815396478 -366.605342791469</f>
        <v>-835.09304589858675</v>
      </c>
      <c r="R3171" t="s">
        <v>66203</v>
      </c>
      <c r="S3171" t="s">
        <v>66204</v>
      </c>
      <c r="T3171" t="s">
        <v>66205</v>
      </c>
      <c r="U3171" t="s">
        <v>66206</v>
      </c>
      <c r="V3171" t="s">
        <v>66207</v>
      </c>
      <c r="W3171" t="s">
        <v>66208</v>
      </c>
      <c r="X3171" t="s">
        <v>66209</v>
      </c>
      <c r="Y3171" t="s">
        <v>66210</v>
      </c>
    </row>
    <row r="3172" spans="1:25" x14ac:dyDescent="0.3">
      <c r="A3172">
        <v>158550</v>
      </c>
      <c r="B3172" t="s">
        <v>66211</v>
      </c>
      <c r="C3172" t="s">
        <v>66212</v>
      </c>
      <c r="D3172" t="s">
        <v>66213</v>
      </c>
      <c r="E3172" t="s">
        <v>66214</v>
      </c>
      <c r="F3172" t="s">
        <v>66215</v>
      </c>
      <c r="G3172" t="s">
        <v>66216</v>
      </c>
      <c r="H3172" t="s">
        <v>66217</v>
      </c>
      <c r="I3172" t="s">
        <v>66218</v>
      </c>
      <c r="J3172" t="s">
        <v>66219</v>
      </c>
      <c r="K3172" t="s">
        <v>66220</v>
      </c>
      <c r="L3172" t="s">
        <v>66221</v>
      </c>
      <c r="M3172" t="s">
        <v>66222</v>
      </c>
      <c r="N3172" t="s">
        <v>66223</v>
      </c>
      <c r="O3172">
        <f>-749.651272284205 -81.2910300086442 -716.374731369257</f>
        <v>-1547.317033662106</v>
      </c>
      <c r="P3172">
        <f>-705.187780274131 -80.6089960618001 -402.992074761865</f>
        <v>-1188.7888510977962</v>
      </c>
      <c r="Q3172">
        <f>-457.975723021432 -9.16439618071263 -365.257257437414</f>
        <v>-832.39737663955862</v>
      </c>
      <c r="R3172" t="s">
        <v>66224</v>
      </c>
      <c r="S3172" t="s">
        <v>66225</v>
      </c>
      <c r="T3172" t="s">
        <v>66226</v>
      </c>
      <c r="U3172" t="s">
        <v>66227</v>
      </c>
      <c r="V3172" t="s">
        <v>66228</v>
      </c>
      <c r="W3172" t="s">
        <v>66229</v>
      </c>
      <c r="X3172" t="s">
        <v>66230</v>
      </c>
      <c r="Y3172" t="s">
        <v>66231</v>
      </c>
    </row>
    <row r="3173" spans="1:25" x14ac:dyDescent="0.3">
      <c r="A3173">
        <v>158600</v>
      </c>
      <c r="B3173" t="s">
        <v>66232</v>
      </c>
      <c r="C3173" t="s">
        <v>66233</v>
      </c>
      <c r="D3173" t="s">
        <v>66234</v>
      </c>
      <c r="E3173" t="s">
        <v>66235</v>
      </c>
      <c r="F3173" t="s">
        <v>66236</v>
      </c>
      <c r="G3173" t="s">
        <v>66237</v>
      </c>
      <c r="H3173" t="s">
        <v>66238</v>
      </c>
      <c r="I3173" t="s">
        <v>66239</v>
      </c>
      <c r="J3173" t="s">
        <v>66240</v>
      </c>
      <c r="K3173" t="s">
        <v>66241</v>
      </c>
      <c r="L3173" t="s">
        <v>66242</v>
      </c>
      <c r="M3173" t="s">
        <v>66243</v>
      </c>
      <c r="N3173" t="s">
        <v>66244</v>
      </c>
      <c r="O3173">
        <f>-749.747968906677 -81.0206391439242 -716.197247453048</f>
        <v>-1546.9658555036492</v>
      </c>
      <c r="P3173">
        <f>-705.746482064542 -79.9498891847259 -402.750389329509</f>
        <v>-1188.4467605787768</v>
      </c>
      <c r="Q3173">
        <f>-458.591203929534 -8.66268418163168 -364.352044467177</f>
        <v>-831.60593257834262</v>
      </c>
      <c r="R3173" t="s">
        <v>66245</v>
      </c>
      <c r="S3173" t="s">
        <v>66246</v>
      </c>
      <c r="T3173" t="s">
        <v>66247</v>
      </c>
      <c r="U3173" t="s">
        <v>66248</v>
      </c>
      <c r="V3173" t="s">
        <v>66249</v>
      </c>
      <c r="W3173" t="s">
        <v>66250</v>
      </c>
      <c r="X3173" t="s">
        <v>66251</v>
      </c>
      <c r="Y3173" t="s">
        <v>66252</v>
      </c>
    </row>
    <row r="3174" spans="1:25" x14ac:dyDescent="0.3">
      <c r="A3174">
        <v>158650</v>
      </c>
      <c r="B3174" t="s">
        <v>66253</v>
      </c>
      <c r="C3174" t="s">
        <v>66254</v>
      </c>
      <c r="D3174" t="s">
        <v>66255</v>
      </c>
      <c r="E3174" t="s">
        <v>66256</v>
      </c>
      <c r="F3174" t="s">
        <v>66257</v>
      </c>
      <c r="G3174" t="s">
        <v>66258</v>
      </c>
      <c r="H3174" t="s">
        <v>66259</v>
      </c>
      <c r="I3174" t="s">
        <v>66260</v>
      </c>
      <c r="J3174" t="s">
        <v>66261</v>
      </c>
      <c r="K3174" t="s">
        <v>66262</v>
      </c>
      <c r="L3174" t="s">
        <v>66263</v>
      </c>
      <c r="M3174" t="s">
        <v>66264</v>
      </c>
      <c r="N3174" t="s">
        <v>66265</v>
      </c>
      <c r="O3174">
        <f>-750.313719608156 -80.0200276852584 -716.077525434641</f>
        <v>-1546.4112727280553</v>
      </c>
      <c r="P3174">
        <f>-706.427938006572 -79.6214350276318 -402.612781244945</f>
        <v>-1188.6621542791488</v>
      </c>
      <c r="Q3174">
        <f>-459.406318193008 -8.09207812484033 -363.806370609216</f>
        <v>-831.30476692706429</v>
      </c>
      <c r="R3174" t="s">
        <v>66266</v>
      </c>
      <c r="S3174" t="s">
        <v>66267</v>
      </c>
      <c r="T3174" t="s">
        <v>66268</v>
      </c>
      <c r="U3174" t="s">
        <v>66269</v>
      </c>
      <c r="V3174" t="s">
        <v>66270</v>
      </c>
      <c r="W3174" t="s">
        <v>66271</v>
      </c>
      <c r="X3174" t="s">
        <v>66272</v>
      </c>
      <c r="Y3174" t="s">
        <v>66273</v>
      </c>
    </row>
    <row r="3175" spans="1:25" x14ac:dyDescent="0.3">
      <c r="A3175">
        <v>158700</v>
      </c>
      <c r="B3175" t="s">
        <v>66274</v>
      </c>
      <c r="C3175" t="s">
        <v>66275</v>
      </c>
      <c r="D3175" t="s">
        <v>66276</v>
      </c>
      <c r="E3175" t="s">
        <v>66277</v>
      </c>
      <c r="F3175" t="s">
        <v>66278</v>
      </c>
      <c r="G3175" t="s">
        <v>66279</v>
      </c>
      <c r="H3175" t="s">
        <v>66280</v>
      </c>
      <c r="I3175" t="s">
        <v>66281</v>
      </c>
      <c r="J3175" t="s">
        <v>66282</v>
      </c>
      <c r="K3175" t="s">
        <v>66283</v>
      </c>
      <c r="L3175" t="s">
        <v>66284</v>
      </c>
      <c r="M3175" t="s">
        <v>66285</v>
      </c>
      <c r="N3175" t="s">
        <v>66286</v>
      </c>
      <c r="O3175">
        <f>-750.54493618301 -79.5281502059979 -716.054207570388</f>
        <v>-1546.127293959396</v>
      </c>
      <c r="P3175">
        <f>-706.680375507976 -79.0721845605724 -402.586579216515</f>
        <v>-1188.3391392850635</v>
      </c>
      <c r="Q3175">
        <f>-459.735049098413 -6.99317505326076 -364.315200285838</f>
        <v>-831.0434244375117</v>
      </c>
      <c r="R3175" t="s">
        <v>66287</v>
      </c>
      <c r="S3175" t="s">
        <v>66288</v>
      </c>
      <c r="T3175" t="s">
        <v>66289</v>
      </c>
      <c r="U3175" t="s">
        <v>66290</v>
      </c>
      <c r="V3175" t="s">
        <v>66291</v>
      </c>
      <c r="W3175" t="s">
        <v>66292</v>
      </c>
      <c r="X3175" t="s">
        <v>66293</v>
      </c>
      <c r="Y3175" t="s">
        <v>66294</v>
      </c>
    </row>
    <row r="3176" spans="1:25" x14ac:dyDescent="0.3">
      <c r="A3176">
        <v>158750</v>
      </c>
      <c r="B3176" t="s">
        <v>66295</v>
      </c>
      <c r="C3176" t="s">
        <v>66296</v>
      </c>
      <c r="D3176" t="s">
        <v>66297</v>
      </c>
      <c r="E3176" t="s">
        <v>66298</v>
      </c>
      <c r="F3176" t="s">
        <v>66299</v>
      </c>
      <c r="G3176" t="s">
        <v>66300</v>
      </c>
      <c r="H3176" t="s">
        <v>66301</v>
      </c>
      <c r="I3176" t="s">
        <v>66302</v>
      </c>
      <c r="J3176" t="s">
        <v>66303</v>
      </c>
      <c r="K3176" t="s">
        <v>66304</v>
      </c>
      <c r="L3176" t="s">
        <v>66305</v>
      </c>
      <c r="M3176" t="s">
        <v>66306</v>
      </c>
      <c r="N3176" t="s">
        <v>66307</v>
      </c>
      <c r="O3176">
        <f>-750.930438859935 -78.1822139490482 -716.142504598326</f>
        <v>-1545.2551574073091</v>
      </c>
      <c r="P3176">
        <f>-706.570421023195 -78.5117972909195 -402.74460992107</f>
        <v>-1187.8268282351844</v>
      </c>
      <c r="Q3176">
        <f>-459.624018872044 -5.5156212926986 -366.260443296623</f>
        <v>-831.40008346136563</v>
      </c>
      <c r="R3176" t="s">
        <v>66308</v>
      </c>
      <c r="S3176" t="s">
        <v>66309</v>
      </c>
      <c r="T3176" t="s">
        <v>66310</v>
      </c>
      <c r="U3176" t="s">
        <v>66311</v>
      </c>
      <c r="V3176" t="s">
        <v>66312</v>
      </c>
      <c r="W3176" t="s">
        <v>66313</v>
      </c>
      <c r="X3176" t="s">
        <v>66314</v>
      </c>
      <c r="Y3176" t="s">
        <v>66315</v>
      </c>
    </row>
    <row r="3177" spans="1:25" x14ac:dyDescent="0.3">
      <c r="A3177">
        <v>158800</v>
      </c>
      <c r="B3177" t="s">
        <v>66316</v>
      </c>
      <c r="C3177" t="s">
        <v>66317</v>
      </c>
      <c r="D3177" t="s">
        <v>66318</v>
      </c>
      <c r="E3177" t="s">
        <v>66319</v>
      </c>
      <c r="F3177" t="s">
        <v>66320</v>
      </c>
      <c r="G3177" t="s">
        <v>66321</v>
      </c>
      <c r="H3177" t="s">
        <v>66322</v>
      </c>
      <c r="I3177" t="s">
        <v>66323</v>
      </c>
      <c r="J3177" t="s">
        <v>66324</v>
      </c>
      <c r="K3177" t="s">
        <v>66325</v>
      </c>
      <c r="L3177" t="s">
        <v>66326</v>
      </c>
      <c r="M3177" t="s">
        <v>66327</v>
      </c>
      <c r="N3177" t="s">
        <v>66328</v>
      </c>
      <c r="O3177">
        <f>-751.032941138474 -77.6852259542393 -716.289486741102</f>
        <v>-1545.0076538338153</v>
      </c>
      <c r="P3177">
        <f>-706.490546389002 -78.5278319240042 -402.918307482833</f>
        <v>-1187.9366857958391</v>
      </c>
      <c r="Q3177">
        <f>-459.508740834112 -5.19907161087531 -367.352647061582</f>
        <v>-832.06045950656926</v>
      </c>
      <c r="R3177" t="s">
        <v>66329</v>
      </c>
      <c r="S3177" t="s">
        <v>66330</v>
      </c>
      <c r="T3177" t="s">
        <v>66331</v>
      </c>
      <c r="U3177" t="s">
        <v>66332</v>
      </c>
      <c r="V3177" t="s">
        <v>66333</v>
      </c>
      <c r="W3177" t="s">
        <v>66334</v>
      </c>
      <c r="X3177" t="s">
        <v>66335</v>
      </c>
      <c r="Y3177" t="s">
        <v>66336</v>
      </c>
    </row>
    <row r="3178" spans="1:25" x14ac:dyDescent="0.3">
      <c r="A3178">
        <v>158850</v>
      </c>
      <c r="B3178" t="s">
        <v>66337</v>
      </c>
      <c r="C3178" t="s">
        <v>66338</v>
      </c>
      <c r="D3178" t="s">
        <v>66339</v>
      </c>
      <c r="E3178" t="s">
        <v>66340</v>
      </c>
      <c r="F3178" t="s">
        <v>66341</v>
      </c>
      <c r="G3178" t="s">
        <v>66342</v>
      </c>
      <c r="H3178" t="s">
        <v>66343</v>
      </c>
      <c r="I3178" t="s">
        <v>66344</v>
      </c>
      <c r="J3178" t="s">
        <v>66345</v>
      </c>
      <c r="K3178" t="s">
        <v>66346</v>
      </c>
      <c r="L3178" t="s">
        <v>66347</v>
      </c>
      <c r="M3178" t="s">
        <v>66348</v>
      </c>
      <c r="N3178" t="s">
        <v>66349</v>
      </c>
      <c r="O3178">
        <f>-750.840272896562 -77.1149356268465 -716.761356112017</f>
        <v>-1544.7165646354256</v>
      </c>
      <c r="P3178">
        <f>-706.196127528793 -78.4578835582731 -403.406564959031</f>
        <v>-1188.0605760460971</v>
      </c>
      <c r="Q3178">
        <f>-458.987134329439 -5.4391623563738 -368.793920794748</f>
        <v>-833.22021748056079</v>
      </c>
      <c r="R3178" t="s">
        <v>66350</v>
      </c>
      <c r="S3178" t="s">
        <v>66351</v>
      </c>
      <c r="T3178" t="s">
        <v>66352</v>
      </c>
      <c r="U3178" t="s">
        <v>66353</v>
      </c>
      <c r="V3178" t="s">
        <v>66354</v>
      </c>
      <c r="W3178" t="s">
        <v>66355</v>
      </c>
      <c r="X3178" t="s">
        <v>66356</v>
      </c>
      <c r="Y3178" t="s">
        <v>66357</v>
      </c>
    </row>
    <row r="3179" spans="1:25" x14ac:dyDescent="0.3">
      <c r="A3179">
        <v>158900</v>
      </c>
      <c r="B3179" t="s">
        <v>66358</v>
      </c>
      <c r="C3179" t="s">
        <v>66359</v>
      </c>
      <c r="D3179" t="s">
        <v>66360</v>
      </c>
      <c r="E3179" t="s">
        <v>66361</v>
      </c>
      <c r="F3179" t="s">
        <v>66362</v>
      </c>
      <c r="G3179" t="s">
        <v>66363</v>
      </c>
      <c r="H3179" t="s">
        <v>66364</v>
      </c>
      <c r="I3179" t="s">
        <v>66365</v>
      </c>
      <c r="J3179" t="s">
        <v>66366</v>
      </c>
      <c r="K3179" t="s">
        <v>66367</v>
      </c>
      <c r="L3179" t="s">
        <v>66368</v>
      </c>
      <c r="M3179" t="s">
        <v>66369</v>
      </c>
      <c r="N3179" t="s">
        <v>66370</v>
      </c>
      <c r="O3179">
        <f>-750.525931627165 -76.8119879731046 -717.104126572659</f>
        <v>-1544.4420461729287</v>
      </c>
      <c r="P3179">
        <f>-706.047379120837 -77.8789472886958 -403.724628642254</f>
        <v>-1187.6509550517869</v>
      </c>
      <c r="Q3179">
        <f>-458.660129353662 -5.44395094426409 -369.158578170783</f>
        <v>-833.26265846870911</v>
      </c>
      <c r="R3179" t="s">
        <v>66371</v>
      </c>
      <c r="S3179" t="s">
        <v>66372</v>
      </c>
      <c r="T3179" t="s">
        <v>66373</v>
      </c>
      <c r="U3179" t="s">
        <v>66374</v>
      </c>
      <c r="V3179" t="s">
        <v>66375</v>
      </c>
      <c r="W3179" t="s">
        <v>66376</v>
      </c>
      <c r="X3179" t="s">
        <v>66377</v>
      </c>
      <c r="Y3179" t="s">
        <v>66378</v>
      </c>
    </row>
    <row r="3180" spans="1:25" x14ac:dyDescent="0.3">
      <c r="A3180">
        <v>158950</v>
      </c>
      <c r="B3180" t="s">
        <v>66379</v>
      </c>
      <c r="C3180" t="s">
        <v>66380</v>
      </c>
      <c r="D3180" t="s">
        <v>66381</v>
      </c>
      <c r="E3180" t="s">
        <v>66382</v>
      </c>
      <c r="F3180" t="s">
        <v>66383</v>
      </c>
      <c r="G3180" t="s">
        <v>66384</v>
      </c>
      <c r="H3180" t="s">
        <v>66385</v>
      </c>
      <c r="I3180" t="s">
        <v>66386</v>
      </c>
      <c r="J3180" t="s">
        <v>66387</v>
      </c>
      <c r="K3180" t="s">
        <v>66388</v>
      </c>
      <c r="L3180" t="s">
        <v>66389</v>
      </c>
      <c r="M3180" t="s">
        <v>66390</v>
      </c>
      <c r="N3180" t="s">
        <v>66391</v>
      </c>
      <c r="O3180">
        <f>-750.305203102261 -76.478503021119 -717.17227401384</f>
        <v>-1543.95598013722</v>
      </c>
      <c r="P3180">
        <f>-706.166587837705 -76.7927102106548 -403.743070840585</f>
        <v>-1186.7023688889449</v>
      </c>
      <c r="Q3180">
        <f>-458.1893261694 -6.58895031961083 -368.803748183595</f>
        <v>-833.58202467260583</v>
      </c>
      <c r="R3180" t="s">
        <v>66392</v>
      </c>
      <c r="S3180" t="s">
        <v>66393</v>
      </c>
      <c r="T3180" t="s">
        <v>66394</v>
      </c>
      <c r="U3180" t="s">
        <v>66395</v>
      </c>
      <c r="V3180" t="s">
        <v>66396</v>
      </c>
      <c r="W3180" t="s">
        <v>66397</v>
      </c>
      <c r="X3180" t="s">
        <v>66398</v>
      </c>
      <c r="Y3180" t="s">
        <v>66399</v>
      </c>
    </row>
    <row r="3181" spans="1:25" x14ac:dyDescent="0.3">
      <c r="A3181">
        <v>159000</v>
      </c>
      <c r="B3181" t="s">
        <v>66400</v>
      </c>
      <c r="C3181" t="s">
        <v>66401</v>
      </c>
      <c r="D3181" t="s">
        <v>66402</v>
      </c>
      <c r="E3181" t="s">
        <v>66403</v>
      </c>
      <c r="F3181" t="s">
        <v>66404</v>
      </c>
      <c r="G3181" t="s">
        <v>66405</v>
      </c>
      <c r="H3181" t="s">
        <v>66406</v>
      </c>
      <c r="I3181" t="s">
        <v>66407</v>
      </c>
      <c r="J3181" t="s">
        <v>66408</v>
      </c>
      <c r="K3181" t="s">
        <v>66409</v>
      </c>
      <c r="L3181" t="s">
        <v>66410</v>
      </c>
      <c r="M3181" t="s">
        <v>66411</v>
      </c>
      <c r="N3181" t="s">
        <v>66412</v>
      </c>
      <c r="O3181">
        <f>-750.139344079768 -75.7665814032046 -717.199114551244</f>
        <v>-1543.1050400342165</v>
      </c>
      <c r="P3181">
        <f>-706.018154061565 -76.5031781426301 -403.768154622851</f>
        <v>-1186.2894868270462</v>
      </c>
      <c r="Q3181">
        <f>-457.724949022343 -7.61627476474996 -368.453765620253</f>
        <v>-833.79498940734607</v>
      </c>
      <c r="R3181" t="s">
        <v>66413</v>
      </c>
      <c r="S3181" t="s">
        <v>66414</v>
      </c>
      <c r="T3181" t="s">
        <v>66415</v>
      </c>
      <c r="U3181" t="s">
        <v>66416</v>
      </c>
      <c r="V3181" t="s">
        <v>66417</v>
      </c>
      <c r="W3181" t="s">
        <v>66418</v>
      </c>
      <c r="X3181" t="s">
        <v>66419</v>
      </c>
      <c r="Y3181" t="s">
        <v>66420</v>
      </c>
    </row>
    <row r="3182" spans="1:25" x14ac:dyDescent="0.3">
      <c r="A3182">
        <v>159050</v>
      </c>
      <c r="B3182" t="s">
        <v>66421</v>
      </c>
      <c r="C3182" t="s">
        <v>66422</v>
      </c>
      <c r="D3182" t="s">
        <v>66423</v>
      </c>
      <c r="E3182" t="s">
        <v>66424</v>
      </c>
      <c r="F3182" t="s">
        <v>66425</v>
      </c>
      <c r="G3182" t="s">
        <v>66426</v>
      </c>
      <c r="H3182" t="s">
        <v>66427</v>
      </c>
      <c r="I3182" t="s">
        <v>66428</v>
      </c>
      <c r="J3182" t="s">
        <v>66429</v>
      </c>
      <c r="K3182" t="s">
        <v>66430</v>
      </c>
      <c r="L3182" t="s">
        <v>66431</v>
      </c>
      <c r="M3182" t="s">
        <v>66432</v>
      </c>
      <c r="N3182" t="s">
        <v>66433</v>
      </c>
      <c r="O3182">
        <f>-749.726074420413 -74.2274283884014 -717.240133033846</f>
        <v>-1541.1936358426606</v>
      </c>
      <c r="P3182">
        <f>-705.978520532117 -75.8867622993128 -403.760395717768</f>
        <v>-1185.6256785491978</v>
      </c>
      <c r="Q3182">
        <f>-457.139669756335 -9.41703186400332 -367.661981147586</f>
        <v>-834.21868276792429</v>
      </c>
      <c r="R3182" t="s">
        <v>66434</v>
      </c>
      <c r="S3182" t="s">
        <v>66435</v>
      </c>
      <c r="T3182" t="s">
        <v>66436</v>
      </c>
      <c r="U3182" t="s">
        <v>66437</v>
      </c>
      <c r="V3182" t="s">
        <v>66438</v>
      </c>
      <c r="W3182" t="s">
        <v>66439</v>
      </c>
      <c r="X3182" t="s">
        <v>66440</v>
      </c>
      <c r="Y3182" t="s">
        <v>66441</v>
      </c>
    </row>
    <row r="3183" spans="1:25" x14ac:dyDescent="0.3">
      <c r="A3183">
        <v>159100</v>
      </c>
      <c r="B3183" t="s">
        <v>66442</v>
      </c>
      <c r="C3183" t="s">
        <v>66443</v>
      </c>
      <c r="D3183" t="s">
        <v>66444</v>
      </c>
      <c r="E3183" t="s">
        <v>66445</v>
      </c>
      <c r="F3183" t="s">
        <v>66446</v>
      </c>
      <c r="G3183" t="s">
        <v>66447</v>
      </c>
      <c r="H3183" t="s">
        <v>66448</v>
      </c>
      <c r="I3183" t="s">
        <v>66449</v>
      </c>
      <c r="J3183" t="s">
        <v>66450</v>
      </c>
      <c r="K3183" t="s">
        <v>66451</v>
      </c>
      <c r="L3183" t="s">
        <v>66452</v>
      </c>
      <c r="M3183" t="s">
        <v>66453</v>
      </c>
      <c r="N3183" t="s">
        <v>66454</v>
      </c>
      <c r="O3183">
        <f>-749.093619158752 -73.4745616090761 -717.403281610893</f>
        <v>-1539.9714623787211</v>
      </c>
      <c r="P3183">
        <f>-705.706617840083 -75.6734499255745 -403.87663664049</f>
        <v>-1185.2567044061475</v>
      </c>
      <c r="Q3183">
        <f>-456.663688503641 -10.1829472412328 -367.398814291613</f>
        <v>-834.24545003648677</v>
      </c>
      <c r="R3183" t="s">
        <v>66455</v>
      </c>
      <c r="S3183" t="s">
        <v>66456</v>
      </c>
      <c r="T3183" t="s">
        <v>66457</v>
      </c>
      <c r="U3183" t="s">
        <v>66458</v>
      </c>
      <c r="V3183" t="s">
        <v>66459</v>
      </c>
      <c r="W3183" t="s">
        <v>66460</v>
      </c>
      <c r="X3183" t="s">
        <v>66461</v>
      </c>
      <c r="Y3183" t="s">
        <v>66462</v>
      </c>
    </row>
    <row r="3184" spans="1:25" x14ac:dyDescent="0.3">
      <c r="A3184">
        <v>159150</v>
      </c>
      <c r="B3184" t="s">
        <v>66463</v>
      </c>
      <c r="C3184" t="s">
        <v>66464</v>
      </c>
      <c r="D3184" t="s">
        <v>66465</v>
      </c>
      <c r="E3184" t="s">
        <v>66466</v>
      </c>
      <c r="F3184" t="s">
        <v>66467</v>
      </c>
      <c r="G3184" t="s">
        <v>66468</v>
      </c>
      <c r="H3184" t="s">
        <v>66469</v>
      </c>
      <c r="I3184" t="s">
        <v>66470</v>
      </c>
      <c r="J3184" t="s">
        <v>66471</v>
      </c>
      <c r="K3184" t="s">
        <v>66472</v>
      </c>
      <c r="L3184" t="s">
        <v>66473</v>
      </c>
      <c r="M3184" t="s">
        <v>66474</v>
      </c>
      <c r="N3184" t="s">
        <v>66475</v>
      </c>
      <c r="O3184">
        <f>-747.841009334478 -71.6827454117019 -717.993079833669</f>
        <v>-1537.5168345798488</v>
      </c>
      <c r="P3184">
        <f>-705.627327356922 -74.647465211018 -404.31266104886</f>
        <v>-1184.5874536168001</v>
      </c>
      <c r="Q3184">
        <f>-456.402683703274 -10.3580452372673 -366.950001274758</f>
        <v>-833.71073021529924</v>
      </c>
      <c r="R3184" t="s">
        <v>66476</v>
      </c>
      <c r="S3184" t="s">
        <v>66477</v>
      </c>
      <c r="T3184" t="s">
        <v>66478</v>
      </c>
      <c r="U3184" t="s">
        <v>66479</v>
      </c>
      <c r="V3184" t="s">
        <v>66480</v>
      </c>
      <c r="W3184" t="s">
        <v>66481</v>
      </c>
      <c r="X3184" t="s">
        <v>66482</v>
      </c>
      <c r="Y3184" t="s">
        <v>66483</v>
      </c>
    </row>
    <row r="3185" spans="1:25" x14ac:dyDescent="0.3">
      <c r="A3185">
        <v>159200</v>
      </c>
      <c r="B3185" t="s">
        <v>66484</v>
      </c>
      <c r="C3185" t="s">
        <v>66485</v>
      </c>
      <c r="D3185" t="s">
        <v>66486</v>
      </c>
      <c r="E3185" t="s">
        <v>66487</v>
      </c>
      <c r="F3185" t="s">
        <v>66488</v>
      </c>
      <c r="G3185" t="s">
        <v>66489</v>
      </c>
      <c r="H3185" t="s">
        <v>66490</v>
      </c>
      <c r="I3185" t="s">
        <v>66491</v>
      </c>
      <c r="J3185" t="s">
        <v>66492</v>
      </c>
      <c r="K3185" t="s">
        <v>66493</v>
      </c>
      <c r="L3185" t="s">
        <v>66494</v>
      </c>
      <c r="M3185" t="s">
        <v>66495</v>
      </c>
      <c r="N3185" t="s">
        <v>66496</v>
      </c>
      <c r="O3185">
        <f>-747.194024936898 -71.0438484208055 -718.386586767389</f>
        <v>-1536.6244601250924</v>
      </c>
      <c r="P3185">
        <f>-705.622604356639 -74.3818430436761 -404.624152496852</f>
        <v>-1184.6285998971671</v>
      </c>
      <c r="Q3185">
        <f>-456.45418676716 -10.3777144141006 -366.406092384472</f>
        <v>-833.23799356573261</v>
      </c>
      <c r="R3185" t="s">
        <v>66497</v>
      </c>
      <c r="S3185" t="s">
        <v>66498</v>
      </c>
      <c r="T3185" t="s">
        <v>66499</v>
      </c>
      <c r="U3185" t="s">
        <v>66500</v>
      </c>
      <c r="V3185" t="s">
        <v>66501</v>
      </c>
      <c r="W3185" t="s">
        <v>66502</v>
      </c>
      <c r="X3185" t="s">
        <v>66503</v>
      </c>
      <c r="Y3185" t="s">
        <v>66504</v>
      </c>
    </row>
    <row r="3186" spans="1:25" x14ac:dyDescent="0.3">
      <c r="A3186">
        <v>159250</v>
      </c>
      <c r="B3186" t="s">
        <v>66505</v>
      </c>
      <c r="C3186" t="s">
        <v>66506</v>
      </c>
      <c r="D3186" t="s">
        <v>66507</v>
      </c>
      <c r="E3186" t="s">
        <v>66508</v>
      </c>
      <c r="F3186" t="s">
        <v>66509</v>
      </c>
      <c r="G3186" t="s">
        <v>66510</v>
      </c>
      <c r="H3186" t="s">
        <v>66511</v>
      </c>
      <c r="I3186" t="s">
        <v>66512</v>
      </c>
      <c r="J3186" t="s">
        <v>66513</v>
      </c>
      <c r="K3186" t="s">
        <v>66514</v>
      </c>
      <c r="L3186" t="s">
        <v>66515</v>
      </c>
      <c r="M3186" t="s">
        <v>66516</v>
      </c>
      <c r="N3186" t="s">
        <v>66517</v>
      </c>
      <c r="O3186">
        <f>-745.831494284603 -70.5225679005348 -719.13700175879</f>
        <v>-1535.4910639439277</v>
      </c>
      <c r="P3186">
        <f>-705.596647971416 -74.0793461719366 -405.202785743203</f>
        <v>-1184.8787798865555</v>
      </c>
      <c r="Q3186">
        <f>-456.710752651652 -9.60830198022654 -365.942947125221</f>
        <v>-832.2620017570996</v>
      </c>
      <c r="R3186" t="s">
        <v>66518</v>
      </c>
      <c r="S3186" t="s">
        <v>66519</v>
      </c>
      <c r="T3186" t="s">
        <v>66520</v>
      </c>
      <c r="U3186" t="s">
        <v>66521</v>
      </c>
      <c r="V3186" t="s">
        <v>66522</v>
      </c>
      <c r="W3186" t="s">
        <v>66523</v>
      </c>
      <c r="X3186" t="s">
        <v>66524</v>
      </c>
      <c r="Y3186" t="s">
        <v>66525</v>
      </c>
    </row>
    <row r="3187" spans="1:25" x14ac:dyDescent="0.3">
      <c r="A3187">
        <v>159300</v>
      </c>
      <c r="B3187" t="s">
        <v>66526</v>
      </c>
      <c r="C3187" t="s">
        <v>66527</v>
      </c>
      <c r="D3187" t="s">
        <v>66528</v>
      </c>
      <c r="E3187" t="s">
        <v>66529</v>
      </c>
      <c r="F3187" t="s">
        <v>66530</v>
      </c>
      <c r="G3187" t="s">
        <v>66531</v>
      </c>
      <c r="H3187" t="s">
        <v>66532</v>
      </c>
      <c r="I3187" t="s">
        <v>66533</v>
      </c>
      <c r="J3187" t="s">
        <v>66534</v>
      </c>
      <c r="K3187" t="s">
        <v>66535</v>
      </c>
      <c r="L3187" t="s">
        <v>66536</v>
      </c>
      <c r="M3187" t="s">
        <v>66537</v>
      </c>
      <c r="N3187" t="s">
        <v>66538</v>
      </c>
      <c r="O3187">
        <f>-745.278631471757 -70.2222645594904 -719.443323895688</f>
        <v>-1534.9442199269354</v>
      </c>
      <c r="P3187">
        <f>-705.366292254467 -73.8965306857067 -405.469312501688</f>
        <v>-1184.7321354418618</v>
      </c>
      <c r="Q3187">
        <f>-456.666957647517 -8.97879396498502 -365.765699249093</f>
        <v>-831.41145086159509</v>
      </c>
      <c r="R3187" t="s">
        <v>66539</v>
      </c>
      <c r="S3187" t="s">
        <v>66540</v>
      </c>
      <c r="T3187" t="s">
        <v>66541</v>
      </c>
      <c r="U3187" t="s">
        <v>66542</v>
      </c>
      <c r="V3187" t="s">
        <v>66543</v>
      </c>
      <c r="W3187" t="s">
        <v>66544</v>
      </c>
      <c r="X3187" t="s">
        <v>66545</v>
      </c>
      <c r="Y3187" t="s">
        <v>66546</v>
      </c>
    </row>
    <row r="3188" spans="1:25" x14ac:dyDescent="0.3">
      <c r="A3188">
        <v>159350</v>
      </c>
      <c r="B3188" t="s">
        <v>66547</v>
      </c>
      <c r="C3188" t="s">
        <v>66548</v>
      </c>
      <c r="D3188" t="s">
        <v>66549</v>
      </c>
      <c r="E3188" t="s">
        <v>66550</v>
      </c>
      <c r="F3188" t="s">
        <v>66551</v>
      </c>
      <c r="G3188" t="s">
        <v>66552</v>
      </c>
      <c r="H3188" t="s">
        <v>66553</v>
      </c>
      <c r="I3188" t="s">
        <v>66554</v>
      </c>
      <c r="J3188" t="s">
        <v>66555</v>
      </c>
      <c r="K3188" t="s">
        <v>66556</v>
      </c>
      <c r="L3188" t="s">
        <v>66557</v>
      </c>
      <c r="M3188" t="s">
        <v>66558</v>
      </c>
      <c r="N3188" t="s">
        <v>66559</v>
      </c>
      <c r="O3188">
        <f>-745.240554692686 -70.8703108809666 -719.593045629957</f>
        <v>-1535.7039112036096</v>
      </c>
      <c r="P3188">
        <f>-706.032608933588 -73.9274361104365 -405.523593398649</f>
        <v>-1185.4836384426735</v>
      </c>
      <c r="Q3188">
        <f>-457.431062591175 -8.84076925125009 -365.485055495466</f>
        <v>-831.75688733789116</v>
      </c>
      <c r="R3188" t="s">
        <v>66560</v>
      </c>
      <c r="S3188" t="s">
        <v>66561</v>
      </c>
      <c r="T3188" t="s">
        <v>66562</v>
      </c>
      <c r="U3188" t="s">
        <v>66563</v>
      </c>
      <c r="V3188" t="s">
        <v>66564</v>
      </c>
      <c r="W3188" t="s">
        <v>66565</v>
      </c>
      <c r="X3188" t="s">
        <v>66566</v>
      </c>
      <c r="Y3188" t="s">
        <v>66567</v>
      </c>
    </row>
    <row r="3189" spans="1:25" x14ac:dyDescent="0.3">
      <c r="A3189">
        <v>159400</v>
      </c>
      <c r="B3189" t="s">
        <v>66568</v>
      </c>
      <c r="C3189" t="s">
        <v>66569</v>
      </c>
      <c r="D3189" t="s">
        <v>66570</v>
      </c>
      <c r="E3189" t="s">
        <v>66571</v>
      </c>
      <c r="F3189" t="s">
        <v>66572</v>
      </c>
      <c r="G3189" t="s">
        <v>66573</v>
      </c>
      <c r="H3189" t="s">
        <v>66574</v>
      </c>
      <c r="I3189" t="s">
        <v>66575</v>
      </c>
      <c r="J3189" t="s">
        <v>66576</v>
      </c>
      <c r="K3189" t="s">
        <v>66577</v>
      </c>
      <c r="L3189" t="s">
        <v>66578</v>
      </c>
      <c r="M3189" t="s">
        <v>66579</v>
      </c>
      <c r="N3189" t="s">
        <v>66580</v>
      </c>
      <c r="O3189">
        <f>-745.704824472379 -71.3800676926141 -719.297290591298</f>
        <v>-1536.3821827562911</v>
      </c>
      <c r="P3189">
        <f>-706.356752818663 -74.5266195349705 -405.246312974664</f>
        <v>-1186.1296853282975</v>
      </c>
      <c r="Q3189">
        <f>-457.656756407752 -9.68106560360138 -365.429531489053</f>
        <v>-832.76735350040644</v>
      </c>
      <c r="R3189" t="s">
        <v>66581</v>
      </c>
      <c r="S3189" t="s">
        <v>66582</v>
      </c>
      <c r="T3189" t="s">
        <v>66583</v>
      </c>
      <c r="U3189" t="s">
        <v>66584</v>
      </c>
      <c r="V3189" t="s">
        <v>66585</v>
      </c>
      <c r="W3189" t="s">
        <v>66586</v>
      </c>
      <c r="X3189" t="s">
        <v>66587</v>
      </c>
      <c r="Y3189" t="s">
        <v>66588</v>
      </c>
    </row>
    <row r="3190" spans="1:25" x14ac:dyDescent="0.3">
      <c r="A3190">
        <v>159450</v>
      </c>
      <c r="B3190" t="s">
        <v>66589</v>
      </c>
      <c r="C3190" t="s">
        <v>66590</v>
      </c>
      <c r="D3190" t="s">
        <v>66591</v>
      </c>
      <c r="E3190" t="s">
        <v>66592</v>
      </c>
      <c r="F3190" t="s">
        <v>66593</v>
      </c>
      <c r="G3190" t="s">
        <v>66594</v>
      </c>
      <c r="H3190" t="s">
        <v>66595</v>
      </c>
      <c r="I3190" t="s">
        <v>66596</v>
      </c>
      <c r="J3190" t="s">
        <v>66597</v>
      </c>
      <c r="K3190" t="s">
        <v>66598</v>
      </c>
      <c r="L3190" t="s">
        <v>66599</v>
      </c>
      <c r="M3190" t="s">
        <v>66600</v>
      </c>
      <c r="N3190" t="s">
        <v>66601</v>
      </c>
      <c r="O3190">
        <f>-745.575399853859 -73.086252868015 -717.981535435764</f>
        <v>-1536.6431881576382</v>
      </c>
      <c r="P3190">
        <f>-706.006342668611 -75.6488759250378 -403.953145497011</f>
        <v>-1185.6083640906597</v>
      </c>
      <c r="Q3190">
        <f>-456.747168314675 -12.2593548096752 -365.304171350445</f>
        <v>-834.31069447479513</v>
      </c>
      <c r="R3190" t="s">
        <v>66602</v>
      </c>
      <c r="S3190" t="s">
        <v>66603</v>
      </c>
      <c r="T3190" t="s">
        <v>66604</v>
      </c>
      <c r="U3190" t="s">
        <v>66605</v>
      </c>
      <c r="V3190" t="s">
        <v>66606</v>
      </c>
      <c r="W3190" t="s">
        <v>66607</v>
      </c>
      <c r="X3190" t="s">
        <v>66608</v>
      </c>
      <c r="Y3190" t="s">
        <v>66609</v>
      </c>
    </row>
    <row r="3191" spans="1:25" x14ac:dyDescent="0.3">
      <c r="A3191">
        <v>159500</v>
      </c>
      <c r="B3191" t="s">
        <v>66610</v>
      </c>
      <c r="C3191" t="s">
        <v>66611</v>
      </c>
      <c r="D3191" t="s">
        <v>66612</v>
      </c>
      <c r="E3191" t="s">
        <v>66613</v>
      </c>
      <c r="F3191" t="s">
        <v>66614</v>
      </c>
      <c r="G3191" t="s">
        <v>66615</v>
      </c>
      <c r="H3191" t="s">
        <v>66616</v>
      </c>
      <c r="I3191" t="s">
        <v>66617</v>
      </c>
      <c r="J3191" t="s">
        <v>66618</v>
      </c>
      <c r="K3191" t="s">
        <v>66619</v>
      </c>
      <c r="L3191" t="s">
        <v>66620</v>
      </c>
      <c r="M3191" t="s">
        <v>66621</v>
      </c>
      <c r="N3191" t="s">
        <v>66622</v>
      </c>
      <c r="O3191">
        <f>-745.677153436284 -73.9073977239796 -717.10400983607</f>
        <v>-1536.6885609963335</v>
      </c>
      <c r="P3191">
        <f>-705.83711777047 -75.9074107817942 -403.105665253257</f>
        <v>-1184.850193805521</v>
      </c>
      <c r="Q3191">
        <f>-456.258274154859 -13.3497428219102 -365.172210225999</f>
        <v>-834.78022720276817</v>
      </c>
      <c r="R3191" t="s">
        <v>66623</v>
      </c>
      <c r="S3191" t="s">
        <v>66624</v>
      </c>
      <c r="T3191" t="s">
        <v>66625</v>
      </c>
      <c r="U3191" t="s">
        <v>66626</v>
      </c>
      <c r="V3191" t="s">
        <v>66627</v>
      </c>
      <c r="W3191" t="s">
        <v>66628</v>
      </c>
      <c r="X3191" t="s">
        <v>66629</v>
      </c>
      <c r="Y3191" t="s">
        <v>66630</v>
      </c>
    </row>
    <row r="3192" spans="1:25" x14ac:dyDescent="0.3">
      <c r="A3192">
        <v>159550</v>
      </c>
      <c r="B3192" t="s">
        <v>66631</v>
      </c>
      <c r="C3192" t="s">
        <v>66632</v>
      </c>
      <c r="D3192" t="s">
        <v>66633</v>
      </c>
      <c r="E3192" t="s">
        <v>66634</v>
      </c>
      <c r="F3192" t="s">
        <v>66635</v>
      </c>
      <c r="G3192" t="s">
        <v>66636</v>
      </c>
      <c r="H3192" t="s">
        <v>66637</v>
      </c>
      <c r="I3192" t="s">
        <v>66638</v>
      </c>
      <c r="J3192" t="s">
        <v>66639</v>
      </c>
      <c r="K3192" t="s">
        <v>66640</v>
      </c>
      <c r="L3192" t="s">
        <v>66641</v>
      </c>
      <c r="M3192" t="s">
        <v>66642</v>
      </c>
      <c r="N3192" t="s">
        <v>66643</v>
      </c>
      <c r="O3192">
        <f>-746.179700766645 -75.4799149291946 -715.480476703368</f>
        <v>-1537.1400923992078</v>
      </c>
      <c r="P3192">
        <f>-705.150946192053 -76.4741510835552 -401.630327877519</f>
        <v>-1183.2554251531271</v>
      </c>
      <c r="Q3192">
        <f>-455.07429963062 -15.0184165635408 -365.203512694053</f>
        <v>-835.29622888821382</v>
      </c>
      <c r="R3192" t="s">
        <v>66644</v>
      </c>
      <c r="S3192" t="s">
        <v>66645</v>
      </c>
      <c r="T3192" t="s">
        <v>66646</v>
      </c>
      <c r="U3192" t="s">
        <v>66647</v>
      </c>
      <c r="V3192" t="s">
        <v>66648</v>
      </c>
      <c r="W3192" t="s">
        <v>66649</v>
      </c>
      <c r="X3192" t="s">
        <v>66650</v>
      </c>
      <c r="Y3192" t="s">
        <v>66651</v>
      </c>
    </row>
    <row r="3193" spans="1:25" x14ac:dyDescent="0.3">
      <c r="A3193">
        <v>159600</v>
      </c>
      <c r="B3193" t="s">
        <v>66652</v>
      </c>
      <c r="C3193" t="s">
        <v>66653</v>
      </c>
      <c r="D3193" t="s">
        <v>66654</v>
      </c>
      <c r="E3193" t="s">
        <v>66655</v>
      </c>
      <c r="F3193" t="s">
        <v>66656</v>
      </c>
      <c r="G3193" t="s">
        <v>66657</v>
      </c>
      <c r="H3193" t="s">
        <v>66658</v>
      </c>
      <c r="I3193" t="s">
        <v>66659</v>
      </c>
      <c r="J3193" t="s">
        <v>66660</v>
      </c>
      <c r="K3193" t="s">
        <v>66661</v>
      </c>
      <c r="L3193" t="s">
        <v>66662</v>
      </c>
      <c r="M3193" t="s">
        <v>66663</v>
      </c>
      <c r="N3193" t="s">
        <v>66664</v>
      </c>
      <c r="O3193">
        <f>-745.814703823498 -76.6509078154024 -714.723493171411</f>
        <v>-1537.1891048103114</v>
      </c>
      <c r="P3193">
        <f>-704.498725397188 -77.0744864282212 -400.909896327768</f>
        <v>-1182.4831081531772</v>
      </c>
      <c r="Q3193">
        <f>-454.153288649123 -16.5647508333593 -364.74709719316</f>
        <v>-835.46513667564227</v>
      </c>
      <c r="R3193" t="s">
        <v>66665</v>
      </c>
      <c r="S3193" t="s">
        <v>66666</v>
      </c>
      <c r="T3193" t="s">
        <v>66667</v>
      </c>
      <c r="U3193" t="s">
        <v>66668</v>
      </c>
      <c r="V3193" t="s">
        <v>66669</v>
      </c>
      <c r="W3193" t="s">
        <v>66670</v>
      </c>
      <c r="X3193" t="s">
        <v>66671</v>
      </c>
      <c r="Y3193" t="s">
        <v>66672</v>
      </c>
    </row>
    <row r="3194" spans="1:25" x14ac:dyDescent="0.3">
      <c r="A3194">
        <v>159650</v>
      </c>
      <c r="B3194" t="s">
        <v>66673</v>
      </c>
      <c r="C3194" t="s">
        <v>66674</v>
      </c>
      <c r="D3194" t="s">
        <v>66675</v>
      </c>
      <c r="E3194" t="s">
        <v>66676</v>
      </c>
      <c r="F3194" t="s">
        <v>66677</v>
      </c>
      <c r="G3194" t="s">
        <v>66678</v>
      </c>
      <c r="H3194" t="s">
        <v>66679</v>
      </c>
      <c r="I3194" t="s">
        <v>66680</v>
      </c>
      <c r="J3194" t="s">
        <v>66681</v>
      </c>
      <c r="K3194" t="s">
        <v>66682</v>
      </c>
      <c r="L3194" t="s">
        <v>66683</v>
      </c>
      <c r="M3194" t="s">
        <v>66684</v>
      </c>
      <c r="N3194" t="s">
        <v>66685</v>
      </c>
      <c r="O3194">
        <f>-744.376478292384 -79.1679212814524 -713.759411626156</f>
        <v>-1537.3038111999924</v>
      </c>
      <c r="P3194">
        <f>-703.148420025929 -78.1151204841974 -399.935654363589</f>
        <v>-1181.1991948737154</v>
      </c>
      <c r="Q3194">
        <f>-452.371218249029 -19.8205356777817 -363.130901432247</f>
        <v>-835.32265535905776</v>
      </c>
      <c r="R3194" t="s">
        <v>66686</v>
      </c>
      <c r="S3194" t="s">
        <v>66687</v>
      </c>
      <c r="T3194" t="s">
        <v>66688</v>
      </c>
      <c r="U3194" t="s">
        <v>66689</v>
      </c>
      <c r="V3194" t="s">
        <v>66690</v>
      </c>
      <c r="W3194" t="s">
        <v>66691</v>
      </c>
      <c r="X3194" t="s">
        <v>66692</v>
      </c>
      <c r="Y3194" t="s">
        <v>66693</v>
      </c>
    </row>
    <row r="3195" spans="1:25" x14ac:dyDescent="0.3">
      <c r="A3195">
        <v>159700</v>
      </c>
      <c r="B3195" t="s">
        <v>66694</v>
      </c>
      <c r="C3195" t="s">
        <v>66695</v>
      </c>
      <c r="D3195" t="s">
        <v>66696</v>
      </c>
      <c r="E3195" t="s">
        <v>66697</v>
      </c>
      <c r="F3195" t="s">
        <v>66698</v>
      </c>
      <c r="G3195" t="s">
        <v>66699</v>
      </c>
      <c r="H3195" t="s">
        <v>66700</v>
      </c>
      <c r="I3195" t="s">
        <v>66701</v>
      </c>
      <c r="J3195" t="s">
        <v>66702</v>
      </c>
      <c r="K3195" t="s">
        <v>66703</v>
      </c>
      <c r="L3195" t="s">
        <v>66704</v>
      </c>
      <c r="M3195" t="s">
        <v>66705</v>
      </c>
      <c r="N3195" t="s">
        <v>66706</v>
      </c>
      <c r="O3195">
        <f>-744.313957172265 -80.1295565634264 -713.571465529538</f>
        <v>-1538.0149792652294</v>
      </c>
      <c r="P3195">
        <f>-703.242820037678 -78.2866933258383 -399.730966931092</f>
        <v>-1181.2604802946084</v>
      </c>
      <c r="Q3195">
        <f>-452.362337642123 -21.0409611540858 -361.99543461365</f>
        <v>-835.39873340985878</v>
      </c>
      <c r="R3195" t="s">
        <v>66707</v>
      </c>
      <c r="S3195" t="s">
        <v>66708</v>
      </c>
      <c r="T3195" t="s">
        <v>66709</v>
      </c>
      <c r="U3195" t="s">
        <v>66710</v>
      </c>
      <c r="V3195" t="s">
        <v>66711</v>
      </c>
      <c r="W3195" t="s">
        <v>66712</v>
      </c>
      <c r="X3195" t="s">
        <v>66713</v>
      </c>
      <c r="Y3195" t="s">
        <v>66714</v>
      </c>
    </row>
    <row r="3196" spans="1:25" x14ac:dyDescent="0.3">
      <c r="A3196">
        <v>159750</v>
      </c>
      <c r="B3196" t="s">
        <v>66715</v>
      </c>
      <c r="C3196" t="s">
        <v>66716</v>
      </c>
      <c r="D3196" t="s">
        <v>66717</v>
      </c>
      <c r="E3196" t="s">
        <v>66718</v>
      </c>
      <c r="F3196" t="s">
        <v>66719</v>
      </c>
      <c r="G3196" t="s">
        <v>66720</v>
      </c>
      <c r="H3196" t="s">
        <v>66721</v>
      </c>
      <c r="I3196" t="s">
        <v>66722</v>
      </c>
      <c r="J3196" t="s">
        <v>66723</v>
      </c>
      <c r="K3196" t="s">
        <v>66724</v>
      </c>
      <c r="L3196" t="s">
        <v>66725</v>
      </c>
      <c r="M3196" t="s">
        <v>66726</v>
      </c>
      <c r="N3196" t="s">
        <v>66727</v>
      </c>
      <c r="O3196">
        <f>-744.486191326371 -81.3621077561684 -713.531081606939</f>
        <v>-1539.3793806894782</v>
      </c>
      <c r="P3196">
        <f>-703.125142901969 -78.3148704014218 -399.737934250923</f>
        <v>-1181.1779475543137</v>
      </c>
      <c r="Q3196">
        <f>-452.383393713116 -22.2434555211464 -359.406258947996</f>
        <v>-834.03310818225839</v>
      </c>
      <c r="R3196" t="s">
        <v>66728</v>
      </c>
      <c r="S3196" t="s">
        <v>66729</v>
      </c>
      <c r="T3196" t="s">
        <v>66730</v>
      </c>
      <c r="U3196" t="s">
        <v>66731</v>
      </c>
      <c r="V3196" t="s">
        <v>66732</v>
      </c>
      <c r="W3196" t="s">
        <v>66733</v>
      </c>
      <c r="X3196" t="s">
        <v>66734</v>
      </c>
      <c r="Y3196" t="s">
        <v>66735</v>
      </c>
    </row>
    <row r="3197" spans="1:25" x14ac:dyDescent="0.3">
      <c r="A3197">
        <v>159800</v>
      </c>
      <c r="B3197" t="s">
        <v>66736</v>
      </c>
      <c r="C3197" t="s">
        <v>66737</v>
      </c>
      <c r="D3197" t="s">
        <v>66738</v>
      </c>
      <c r="E3197" t="s">
        <v>66739</v>
      </c>
      <c r="F3197" t="s">
        <v>66740</v>
      </c>
      <c r="G3197" t="s">
        <v>66741</v>
      </c>
      <c r="H3197" t="s">
        <v>66742</v>
      </c>
      <c r="I3197" t="s">
        <v>66743</v>
      </c>
      <c r="J3197" t="s">
        <v>66744</v>
      </c>
      <c r="K3197" t="s">
        <v>66745</v>
      </c>
      <c r="L3197" t="s">
        <v>66746</v>
      </c>
      <c r="M3197" t="s">
        <v>66747</v>
      </c>
      <c r="N3197" t="s">
        <v>66748</v>
      </c>
      <c r="O3197">
        <f>-744.948307953745 -81.8616313251134 -713.423688424396</f>
        <v>-1540.2336277032546</v>
      </c>
      <c r="P3197">
        <f>-703.267622388478 -78.4453484837215 -399.676499421372</f>
        <v>-1181.3894702935715</v>
      </c>
      <c r="Q3197">
        <f>-452.750176564141 -21.8945344435822 -358.626843307023</f>
        <v>-833.27155431474625</v>
      </c>
      <c r="R3197" t="s">
        <v>66749</v>
      </c>
      <c r="S3197" t="s">
        <v>66750</v>
      </c>
      <c r="T3197" t="s">
        <v>66751</v>
      </c>
      <c r="U3197" t="s">
        <v>66752</v>
      </c>
      <c r="V3197" t="s">
        <v>66753</v>
      </c>
      <c r="W3197" t="s">
        <v>66754</v>
      </c>
      <c r="X3197" t="s">
        <v>66755</v>
      </c>
      <c r="Y3197" t="s">
        <v>66756</v>
      </c>
    </row>
    <row r="3198" spans="1:25" x14ac:dyDescent="0.3">
      <c r="A3198">
        <v>159850</v>
      </c>
      <c r="B3198" t="s">
        <v>66757</v>
      </c>
      <c r="C3198" t="s">
        <v>66758</v>
      </c>
      <c r="D3198" t="s">
        <v>66759</v>
      </c>
      <c r="E3198" t="s">
        <v>66760</v>
      </c>
      <c r="F3198" t="s">
        <v>66761</v>
      </c>
      <c r="G3198" t="s">
        <v>66762</v>
      </c>
      <c r="H3198" t="s">
        <v>66763</v>
      </c>
      <c r="I3198" t="s">
        <v>66764</v>
      </c>
      <c r="J3198" t="s">
        <v>66765</v>
      </c>
      <c r="K3198" t="s">
        <v>66766</v>
      </c>
      <c r="L3198" t="s">
        <v>66767</v>
      </c>
      <c r="M3198" t="s">
        <v>66768</v>
      </c>
      <c r="N3198" t="s">
        <v>66769</v>
      </c>
      <c r="O3198">
        <f>-746.400178357412 -82.7554659408493 -712.990579398928</f>
        <v>-1542.1462236971893</v>
      </c>
      <c r="P3198">
        <f>-703.767660403444 -79.6406885847273 -399.368133922329</f>
        <v>-1182.7764829105004</v>
      </c>
      <c r="Q3198">
        <f>-453.882465384438 -20.6432403197018 -357.910151906628</f>
        <v>-832.43585761076781</v>
      </c>
      <c r="R3198" t="s">
        <v>66770</v>
      </c>
      <c r="S3198" t="s">
        <v>66771</v>
      </c>
      <c r="T3198" t="s">
        <v>66772</v>
      </c>
      <c r="U3198" t="s">
        <v>66773</v>
      </c>
      <c r="V3198" t="s">
        <v>66774</v>
      </c>
      <c r="W3198" t="s">
        <v>66775</v>
      </c>
      <c r="X3198" t="s">
        <v>66776</v>
      </c>
      <c r="Y3198" t="s">
        <v>66777</v>
      </c>
    </row>
    <row r="3199" spans="1:25" x14ac:dyDescent="0.3">
      <c r="A3199">
        <v>159900</v>
      </c>
      <c r="B3199" t="s">
        <v>66778</v>
      </c>
      <c r="C3199" t="s">
        <v>66779</v>
      </c>
      <c r="D3199" t="s">
        <v>66780</v>
      </c>
      <c r="E3199" t="s">
        <v>66781</v>
      </c>
      <c r="F3199" t="s">
        <v>66782</v>
      </c>
      <c r="G3199" t="s">
        <v>66783</v>
      </c>
      <c r="H3199" t="s">
        <v>66784</v>
      </c>
      <c r="I3199" t="s">
        <v>66785</v>
      </c>
      <c r="J3199" t="s">
        <v>66786</v>
      </c>
      <c r="K3199" t="s">
        <v>66787</v>
      </c>
      <c r="L3199" t="s">
        <v>66788</v>
      </c>
      <c r="M3199" t="s">
        <v>66789</v>
      </c>
      <c r="N3199" t="s">
        <v>66790</v>
      </c>
      <c r="O3199">
        <f>-746.765716575616 -83.1099835224286 -712.768408387134</f>
        <v>-1542.6441084851785</v>
      </c>
      <c r="P3199">
        <f>-703.680477350524 -80.052969519895 -399.207411729172</f>
        <v>-1182.9408585995911</v>
      </c>
      <c r="Q3199">
        <f>-454.030780823377 -20.0363624155843 -357.793571488881</f>
        <v>-831.86071472784226</v>
      </c>
      <c r="R3199" t="s">
        <v>66791</v>
      </c>
      <c r="S3199" t="s">
        <v>66792</v>
      </c>
      <c r="T3199" t="s">
        <v>66793</v>
      </c>
      <c r="U3199" t="s">
        <v>66794</v>
      </c>
      <c r="V3199" t="s">
        <v>66795</v>
      </c>
      <c r="W3199" t="s">
        <v>66796</v>
      </c>
      <c r="X3199" t="s">
        <v>66797</v>
      </c>
      <c r="Y3199" t="s">
        <v>66798</v>
      </c>
    </row>
    <row r="3200" spans="1:25" x14ac:dyDescent="0.3">
      <c r="A3200">
        <v>159950</v>
      </c>
      <c r="B3200" t="s">
        <v>66799</v>
      </c>
      <c r="C3200" t="s">
        <v>66800</v>
      </c>
      <c r="D3200" t="s">
        <v>66801</v>
      </c>
      <c r="E3200" t="s">
        <v>66802</v>
      </c>
      <c r="F3200" t="s">
        <v>66803</v>
      </c>
      <c r="G3200" t="s">
        <v>66804</v>
      </c>
      <c r="H3200" t="s">
        <v>66805</v>
      </c>
      <c r="I3200" t="s">
        <v>66806</v>
      </c>
      <c r="J3200" t="s">
        <v>66807</v>
      </c>
      <c r="K3200" t="s">
        <v>66808</v>
      </c>
      <c r="L3200" t="s">
        <v>66809</v>
      </c>
      <c r="M3200" t="s">
        <v>66810</v>
      </c>
      <c r="N3200" t="s">
        <v>66811</v>
      </c>
      <c r="O3200">
        <f>-747.704201812347 -84.0623957865548 -712.395915700638</f>
        <v>-1544.16251329954</v>
      </c>
      <c r="P3200">
        <f>-703.684422659746 -81.2693328245869 -398.962296556512</f>
        <v>-1183.916052040845</v>
      </c>
      <c r="Q3200">
        <f>-454.448543935285 -19.7016045497321 -357.333487345156</f>
        <v>-831.48363583017317</v>
      </c>
      <c r="R3200" t="s">
        <v>66812</v>
      </c>
      <c r="S3200" t="s">
        <v>66813</v>
      </c>
      <c r="T3200" t="s">
        <v>66814</v>
      </c>
      <c r="U3200" t="s">
        <v>66815</v>
      </c>
      <c r="V3200" t="s">
        <v>66816</v>
      </c>
      <c r="W3200" t="s">
        <v>66817</v>
      </c>
      <c r="X3200" t="s">
        <v>66818</v>
      </c>
      <c r="Y3200" t="s">
        <v>66819</v>
      </c>
    </row>
    <row r="3201" spans="1:25" x14ac:dyDescent="0.3">
      <c r="A3201">
        <v>160000</v>
      </c>
      <c r="B3201" t="s">
        <v>66820</v>
      </c>
      <c r="C3201" t="s">
        <v>66821</v>
      </c>
      <c r="D3201" t="s">
        <v>66822</v>
      </c>
      <c r="E3201" t="s">
        <v>66823</v>
      </c>
      <c r="F3201" t="s">
        <v>66824</v>
      </c>
      <c r="G3201" t="s">
        <v>66825</v>
      </c>
      <c r="H3201" t="s">
        <v>66826</v>
      </c>
      <c r="I3201" t="s">
        <v>66827</v>
      </c>
      <c r="J3201" t="s">
        <v>66828</v>
      </c>
      <c r="K3201" t="s">
        <v>66829</v>
      </c>
      <c r="L3201" t="s">
        <v>66830</v>
      </c>
      <c r="M3201" t="s">
        <v>66831</v>
      </c>
      <c r="N3201" t="s">
        <v>66832</v>
      </c>
      <c r="O3201">
        <f>-748.020464382578 -84.7226409991674 -712.228971414482</f>
        <v>-1544.9720767962274</v>
      </c>
      <c r="P3201">
        <f>-703.767102079916 -82.3775781152897 -398.824589037973</f>
        <v>-1184.9692692331787</v>
      </c>
      <c r="Q3201">
        <f>-454.68289718857 -20.3025808179625 -357.041340030769</f>
        <v>-832.0268180373015</v>
      </c>
      <c r="R3201" t="s">
        <v>66833</v>
      </c>
      <c r="S3201" t="s">
        <v>66834</v>
      </c>
      <c r="T3201" t="s">
        <v>66835</v>
      </c>
      <c r="U3201" t="s">
        <v>66836</v>
      </c>
      <c r="V3201" t="s">
        <v>66837</v>
      </c>
      <c r="W3201" t="s">
        <v>66838</v>
      </c>
      <c r="X3201" t="s">
        <v>66839</v>
      </c>
      <c r="Y3201" t="s">
        <v>66840</v>
      </c>
    </row>
    <row r="3202" spans="1:25" x14ac:dyDescent="0.3">
      <c r="A3202">
        <v>160050</v>
      </c>
      <c r="B3202" t="s">
        <v>66841</v>
      </c>
      <c r="C3202" t="s">
        <v>66842</v>
      </c>
      <c r="D3202" t="s">
        <v>66843</v>
      </c>
      <c r="E3202" t="s">
        <v>66844</v>
      </c>
      <c r="F3202" t="s">
        <v>66845</v>
      </c>
      <c r="G3202" t="s">
        <v>66846</v>
      </c>
      <c r="H3202" t="s">
        <v>66847</v>
      </c>
      <c r="I3202" t="s">
        <v>66848</v>
      </c>
      <c r="J3202" t="s">
        <v>66849</v>
      </c>
      <c r="K3202" t="s">
        <v>66850</v>
      </c>
      <c r="L3202" t="s">
        <v>66851</v>
      </c>
      <c r="M3202" t="s">
        <v>66852</v>
      </c>
      <c r="N3202" t="s">
        <v>66853</v>
      </c>
      <c r="O3202">
        <f>-748.399621569203 -86.1710598156997 -712.072355479373</f>
        <v>-1546.6430368642755</v>
      </c>
      <c r="P3202">
        <f>-703.83737719249 -85.0163920253765 -398.705054102731</f>
        <v>-1187.5588233205974</v>
      </c>
      <c r="Q3202">
        <f>-454.920318787923 -22.0266840713643 -357.296407664939</f>
        <v>-834.24341052422631</v>
      </c>
      <c r="R3202" t="s">
        <v>66854</v>
      </c>
      <c r="S3202" t="s">
        <v>66855</v>
      </c>
      <c r="T3202" t="s">
        <v>66856</v>
      </c>
      <c r="U3202" t="s">
        <v>66857</v>
      </c>
      <c r="V3202" t="s">
        <v>66858</v>
      </c>
      <c r="W3202" t="s">
        <v>66859</v>
      </c>
      <c r="X3202" t="s">
        <v>66860</v>
      </c>
      <c r="Y3202" t="s">
        <v>66861</v>
      </c>
    </row>
    <row r="3203" spans="1:25" x14ac:dyDescent="0.3">
      <c r="A3203">
        <v>160100</v>
      </c>
      <c r="B3203" t="s">
        <v>66862</v>
      </c>
      <c r="C3203" t="s">
        <v>66863</v>
      </c>
      <c r="D3203" t="s">
        <v>66864</v>
      </c>
      <c r="E3203" t="s">
        <v>66865</v>
      </c>
      <c r="F3203" t="s">
        <v>66866</v>
      </c>
      <c r="G3203" t="s">
        <v>66867</v>
      </c>
      <c r="H3203" t="s">
        <v>66868</v>
      </c>
      <c r="I3203" t="s">
        <v>66869</v>
      </c>
      <c r="J3203" t="s">
        <v>66870</v>
      </c>
      <c r="K3203" t="s">
        <v>66871</v>
      </c>
      <c r="L3203" t="s">
        <v>66872</v>
      </c>
      <c r="M3203" t="s">
        <v>66873</v>
      </c>
      <c r="N3203" t="s">
        <v>66874</v>
      </c>
      <c r="O3203">
        <f>-748.128841893735 -87.0517921913047 -712.050175535903</f>
        <v>-1547.2308096209426</v>
      </c>
      <c r="P3203">
        <f>-703.401645842922 -86.2789653624745 -398.705218805041</f>
        <v>-1188.3858300104375</v>
      </c>
      <c r="Q3203">
        <f>-454.436746812878 -23.167346210726 -357.77235070744</f>
        <v>-835.37644373104399</v>
      </c>
      <c r="R3203" t="s">
        <v>66875</v>
      </c>
      <c r="S3203" t="s">
        <v>66876</v>
      </c>
      <c r="T3203" t="s">
        <v>66877</v>
      </c>
      <c r="U3203" t="s">
        <v>66878</v>
      </c>
      <c r="V3203" t="s">
        <v>66879</v>
      </c>
      <c r="W3203" t="s">
        <v>66880</v>
      </c>
      <c r="X3203" t="s">
        <v>66881</v>
      </c>
      <c r="Y3203" t="s">
        <v>66882</v>
      </c>
    </row>
    <row r="3204" spans="1:25" x14ac:dyDescent="0.3">
      <c r="A3204">
        <v>160150</v>
      </c>
      <c r="B3204" t="s">
        <v>66883</v>
      </c>
      <c r="C3204" t="s">
        <v>66884</v>
      </c>
      <c r="D3204" t="s">
        <v>66885</v>
      </c>
      <c r="E3204" t="s">
        <v>66886</v>
      </c>
      <c r="F3204" t="s">
        <v>66887</v>
      </c>
      <c r="G3204" t="s">
        <v>66888</v>
      </c>
      <c r="H3204" t="s">
        <v>66889</v>
      </c>
      <c r="I3204" t="s">
        <v>66890</v>
      </c>
      <c r="J3204" t="s">
        <v>66891</v>
      </c>
      <c r="K3204" t="s">
        <v>66892</v>
      </c>
      <c r="L3204" t="s">
        <v>66893</v>
      </c>
      <c r="M3204" t="s">
        <v>66894</v>
      </c>
      <c r="N3204" t="s">
        <v>66895</v>
      </c>
      <c r="O3204">
        <f>-747.393762649633 -88.78922426851 -712.087084005444</f>
        <v>-1548.2700709235869</v>
      </c>
      <c r="P3204">
        <f>-702.399374475875 -88.3187514899944 -398.779759398636</f>
        <v>-1189.4978853645052</v>
      </c>
      <c r="Q3204">
        <f>-453.351357442315 -25.2322358534789 -358.317381018964</f>
        <v>-836.90097431475795</v>
      </c>
      <c r="R3204" t="s">
        <v>66896</v>
      </c>
      <c r="S3204" t="s">
        <v>66897</v>
      </c>
      <c r="T3204" t="s">
        <v>66898</v>
      </c>
      <c r="U3204" t="s">
        <v>66899</v>
      </c>
      <c r="V3204" t="s">
        <v>66900</v>
      </c>
      <c r="W3204" t="s">
        <v>66901</v>
      </c>
      <c r="X3204" t="s">
        <v>66902</v>
      </c>
      <c r="Y3204" t="s">
        <v>66903</v>
      </c>
    </row>
    <row r="3205" spans="1:25" x14ac:dyDescent="0.3">
      <c r="A3205">
        <v>160200</v>
      </c>
      <c r="B3205" t="s">
        <v>66904</v>
      </c>
      <c r="C3205" t="s">
        <v>66905</v>
      </c>
      <c r="D3205" t="s">
        <v>66906</v>
      </c>
      <c r="E3205" t="s">
        <v>66907</v>
      </c>
      <c r="F3205" t="s">
        <v>66908</v>
      </c>
      <c r="G3205" t="s">
        <v>66909</v>
      </c>
      <c r="H3205" t="s">
        <v>66910</v>
      </c>
      <c r="I3205" t="s">
        <v>66911</v>
      </c>
      <c r="J3205" t="s">
        <v>66912</v>
      </c>
      <c r="K3205" t="s">
        <v>66913</v>
      </c>
      <c r="L3205" t="s">
        <v>66914</v>
      </c>
      <c r="M3205" t="s">
        <v>66915</v>
      </c>
      <c r="N3205" t="s">
        <v>66916</v>
      </c>
      <c r="O3205">
        <f>-746.845233883605 -89.431411331034 -712.275678212975</f>
        <v>-1548.5523234276141</v>
      </c>
      <c r="P3205">
        <f>-701.751711011165 -89.4872975972194 -398.982182452956</f>
        <v>-1190.2211910613403</v>
      </c>
      <c r="Q3205">
        <f>-452.900183461411 -25.6797528137495 -358.441470090992</f>
        <v>-837.02140636615252</v>
      </c>
      <c r="R3205" t="s">
        <v>66917</v>
      </c>
      <c r="S3205" t="s">
        <v>66918</v>
      </c>
      <c r="T3205" t="s">
        <v>66919</v>
      </c>
      <c r="U3205" t="s">
        <v>66920</v>
      </c>
      <c r="V3205" t="s">
        <v>66921</v>
      </c>
      <c r="W3205" t="s">
        <v>66922</v>
      </c>
      <c r="X3205" t="s">
        <v>66923</v>
      </c>
      <c r="Y3205" t="s">
        <v>66924</v>
      </c>
    </row>
    <row r="3206" spans="1:25" x14ac:dyDescent="0.3">
      <c r="A3206">
        <v>160250</v>
      </c>
      <c r="B3206" t="s">
        <v>66925</v>
      </c>
      <c r="C3206" t="s">
        <v>66926</v>
      </c>
      <c r="D3206" t="s">
        <v>66927</v>
      </c>
      <c r="E3206" t="s">
        <v>66928</v>
      </c>
      <c r="F3206" t="s">
        <v>66929</v>
      </c>
      <c r="G3206" t="s">
        <v>66930</v>
      </c>
      <c r="H3206" t="s">
        <v>66931</v>
      </c>
      <c r="I3206" t="s">
        <v>66932</v>
      </c>
      <c r="J3206" t="s">
        <v>66933</v>
      </c>
      <c r="K3206" t="s">
        <v>66934</v>
      </c>
      <c r="L3206" t="s">
        <v>66935</v>
      </c>
      <c r="M3206" t="s">
        <v>66936</v>
      </c>
      <c r="N3206" t="s">
        <v>66937</v>
      </c>
      <c r="O3206">
        <f>-745.401536628046 -90.9443757757551 -712.740160431221</f>
        <v>-1549.0860728350222</v>
      </c>
      <c r="P3206">
        <f>-700.988279025584 -90.9698422463791 -399.349595348547</f>
        <v>-1191.3077166205101</v>
      </c>
      <c r="Q3206">
        <f>-452.814870876404 -24.9635649043573 -358.177130569557</f>
        <v>-835.95556635031824</v>
      </c>
      <c r="R3206" t="s">
        <v>66938</v>
      </c>
      <c r="S3206" t="s">
        <v>66939</v>
      </c>
      <c r="T3206" t="s">
        <v>66940</v>
      </c>
      <c r="U3206" t="s">
        <v>66941</v>
      </c>
      <c r="V3206" t="s">
        <v>66942</v>
      </c>
      <c r="W3206" t="s">
        <v>66943</v>
      </c>
      <c r="X3206" t="s">
        <v>66944</v>
      </c>
      <c r="Y3206" t="s">
        <v>66945</v>
      </c>
    </row>
    <row r="3207" spans="1:25" x14ac:dyDescent="0.3">
      <c r="A3207">
        <v>160300</v>
      </c>
      <c r="B3207" t="s">
        <v>66946</v>
      </c>
      <c r="C3207" t="s">
        <v>66947</v>
      </c>
      <c r="D3207" t="s">
        <v>66948</v>
      </c>
      <c r="E3207" t="s">
        <v>66949</v>
      </c>
      <c r="F3207" t="s">
        <v>66950</v>
      </c>
      <c r="G3207" t="s">
        <v>66951</v>
      </c>
      <c r="H3207" t="s">
        <v>66952</v>
      </c>
      <c r="I3207" t="s">
        <v>66953</v>
      </c>
      <c r="J3207" t="s">
        <v>66954</v>
      </c>
      <c r="K3207" t="s">
        <v>66955</v>
      </c>
      <c r="L3207" t="s">
        <v>66956</v>
      </c>
      <c r="M3207" t="s">
        <v>66957</v>
      </c>
      <c r="N3207" t="s">
        <v>66958</v>
      </c>
      <c r="O3207">
        <f>-744.6452706013 -91.5221458417132 -713.015171090469</f>
        <v>-1549.1825875334821</v>
      </c>
      <c r="P3207">
        <f>-700.575157134485 -91.7026414426798 -399.576208728646</f>
        <v>-1191.8540073058109</v>
      </c>
      <c r="Q3207">
        <f>-452.844257093727 -24.4453186840001 -357.767963364459</f>
        <v>-835.05753914218599</v>
      </c>
      <c r="R3207" t="s">
        <v>66959</v>
      </c>
      <c r="S3207" t="s">
        <v>66960</v>
      </c>
      <c r="T3207" t="s">
        <v>66961</v>
      </c>
      <c r="U3207" t="s">
        <v>66962</v>
      </c>
      <c r="V3207" t="s">
        <v>66963</v>
      </c>
      <c r="W3207" t="s">
        <v>66964</v>
      </c>
      <c r="X3207" t="s">
        <v>66965</v>
      </c>
      <c r="Y3207" t="s">
        <v>66966</v>
      </c>
    </row>
    <row r="3208" spans="1:25" x14ac:dyDescent="0.3">
      <c r="A3208">
        <v>160350</v>
      </c>
      <c r="B3208" t="s">
        <v>66967</v>
      </c>
      <c r="C3208" t="s">
        <v>66968</v>
      </c>
      <c r="D3208" t="s">
        <v>66969</v>
      </c>
      <c r="E3208" t="s">
        <v>66970</v>
      </c>
      <c r="F3208" t="s">
        <v>66971</v>
      </c>
      <c r="G3208" t="s">
        <v>66972</v>
      </c>
      <c r="H3208" t="s">
        <v>66973</v>
      </c>
      <c r="I3208" t="s">
        <v>66974</v>
      </c>
      <c r="J3208" t="s">
        <v>66975</v>
      </c>
      <c r="K3208" t="s">
        <v>66976</v>
      </c>
      <c r="L3208" t="s">
        <v>66977</v>
      </c>
      <c r="M3208" t="s">
        <v>66978</v>
      </c>
      <c r="N3208" t="s">
        <v>66979</v>
      </c>
      <c r="O3208">
        <f>-743.29548077466 -92.5520875996096 -713.628427570247</f>
        <v>-1549.4759959445166</v>
      </c>
      <c r="P3208">
        <f>-700.181574149651 -92.0970997358031 -400.056716235223</f>
        <v>-1192.3353901206772</v>
      </c>
      <c r="Q3208">
        <f>-453.227012589976 -22.7860936347151 -357.027307879862</f>
        <v>-833.04041410455307</v>
      </c>
      <c r="R3208" t="s">
        <v>66980</v>
      </c>
      <c r="S3208" t="s">
        <v>66981</v>
      </c>
      <c r="T3208" t="s">
        <v>66982</v>
      </c>
      <c r="U3208" t="s">
        <v>66983</v>
      </c>
      <c r="V3208" t="s">
        <v>66984</v>
      </c>
      <c r="W3208" t="s">
        <v>66985</v>
      </c>
      <c r="X3208" t="s">
        <v>66986</v>
      </c>
      <c r="Y3208" t="s">
        <v>66987</v>
      </c>
    </row>
    <row r="3209" spans="1:25" x14ac:dyDescent="0.3">
      <c r="A3209">
        <v>160400</v>
      </c>
      <c r="B3209" t="s">
        <v>66988</v>
      </c>
      <c r="C3209" t="s">
        <v>66989</v>
      </c>
      <c r="D3209" t="s">
        <v>66990</v>
      </c>
      <c r="E3209" t="s">
        <v>66991</v>
      </c>
      <c r="F3209" t="s">
        <v>66992</v>
      </c>
      <c r="G3209" t="s">
        <v>66993</v>
      </c>
      <c r="H3209" t="s">
        <v>66994</v>
      </c>
      <c r="I3209" t="s">
        <v>66995</v>
      </c>
      <c r="J3209" t="s">
        <v>66996</v>
      </c>
      <c r="K3209" t="s">
        <v>66997</v>
      </c>
      <c r="L3209" t="s">
        <v>66998</v>
      </c>
      <c r="M3209" t="s">
        <v>66999</v>
      </c>
      <c r="N3209" t="s">
        <v>67000</v>
      </c>
      <c r="O3209">
        <f>-742.725946295245 -92.6715608065031 -714.05068681627</f>
        <v>-1549.448193918018</v>
      </c>
      <c r="P3209">
        <f>-700.063805083402 -92.2465249375855 -400.41725145487</f>
        <v>-1192.7275814758575</v>
      </c>
      <c r="Q3209">
        <f>-453.443645184307 -22.1985465296734 -356.670103848625</f>
        <v>-832.31229556260541</v>
      </c>
      <c r="R3209" t="s">
        <v>67001</v>
      </c>
      <c r="S3209" t="s">
        <v>67002</v>
      </c>
      <c r="T3209" t="s">
        <v>67003</v>
      </c>
      <c r="U3209" t="s">
        <v>67004</v>
      </c>
      <c r="V3209" t="s">
        <v>67005</v>
      </c>
      <c r="W3209" t="s">
        <v>67006</v>
      </c>
      <c r="X3209" t="s">
        <v>67007</v>
      </c>
      <c r="Y3209" t="s">
        <v>67008</v>
      </c>
    </row>
    <row r="3210" spans="1:25" x14ac:dyDescent="0.3">
      <c r="A3210">
        <v>160450</v>
      </c>
      <c r="B3210" t="s">
        <v>67009</v>
      </c>
      <c r="C3210" t="s">
        <v>67010</v>
      </c>
      <c r="D3210" t="s">
        <v>67011</v>
      </c>
      <c r="E3210" t="s">
        <v>67012</v>
      </c>
      <c r="F3210" t="s">
        <v>67013</v>
      </c>
      <c r="G3210" t="s">
        <v>67014</v>
      </c>
      <c r="H3210" t="s">
        <v>67015</v>
      </c>
      <c r="I3210" t="s">
        <v>67016</v>
      </c>
      <c r="J3210" t="s">
        <v>67017</v>
      </c>
      <c r="K3210" t="s">
        <v>67018</v>
      </c>
      <c r="L3210" t="s">
        <v>67019</v>
      </c>
      <c r="M3210" t="s">
        <v>67020</v>
      </c>
      <c r="N3210" t="s">
        <v>67021</v>
      </c>
      <c r="O3210">
        <f>-742.217305499219 -92.9070814542897 -714.744603455851</f>
        <v>-1549.8689904093599</v>
      </c>
      <c r="P3210">
        <f>-700.899979029426 -92.1294438525576 -400.931909843996</f>
        <v>-1193.9613327259797</v>
      </c>
      <c r="Q3210">
        <f>-454.710926542123 -21.2133339614466 -356.166402263242</f>
        <v>-832.09066276681165</v>
      </c>
      <c r="R3210" t="s">
        <v>67022</v>
      </c>
      <c r="S3210" t="s">
        <v>67023</v>
      </c>
      <c r="T3210" t="s">
        <v>67024</v>
      </c>
      <c r="U3210" t="s">
        <v>67025</v>
      </c>
      <c r="V3210" t="s">
        <v>67026</v>
      </c>
      <c r="W3210" t="s">
        <v>67027</v>
      </c>
      <c r="X3210" t="s">
        <v>67028</v>
      </c>
      <c r="Y3210" t="s">
        <v>67029</v>
      </c>
    </row>
    <row r="3211" spans="1:25" x14ac:dyDescent="0.3">
      <c r="A3211">
        <v>160500</v>
      </c>
      <c r="B3211" t="s">
        <v>67030</v>
      </c>
      <c r="C3211" t="s">
        <v>67031</v>
      </c>
      <c r="D3211" t="s">
        <v>67032</v>
      </c>
      <c r="E3211" t="s">
        <v>67033</v>
      </c>
      <c r="F3211" t="s">
        <v>67034</v>
      </c>
      <c r="G3211" t="s">
        <v>67035</v>
      </c>
      <c r="H3211" t="s">
        <v>67036</v>
      </c>
      <c r="I3211" t="s">
        <v>67037</v>
      </c>
      <c r="J3211" t="s">
        <v>67038</v>
      </c>
      <c r="K3211" t="s">
        <v>67039</v>
      </c>
      <c r="L3211" t="s">
        <v>67040</v>
      </c>
      <c r="M3211" t="s">
        <v>67041</v>
      </c>
      <c r="N3211" t="s">
        <v>67042</v>
      </c>
      <c r="O3211">
        <f>-742.050960477853 -92.9445083116998 -715.014879768263</f>
        <v>-1550.0103485578156</v>
      </c>
      <c r="P3211">
        <f>-701.095027699365 -92.2359972869524 -401.154515176436</f>
        <v>-1194.4855401627533</v>
      </c>
      <c r="Q3211">
        <f>-454.949402909383 -21.4372375470598 -355.967254509279</f>
        <v>-832.35389496572179</v>
      </c>
      <c r="R3211" t="s">
        <v>67043</v>
      </c>
      <c r="S3211" t="s">
        <v>67044</v>
      </c>
      <c r="T3211" t="s">
        <v>67045</v>
      </c>
      <c r="U3211" t="s">
        <v>67046</v>
      </c>
      <c r="V3211" t="s">
        <v>67047</v>
      </c>
      <c r="W3211" t="s">
        <v>67048</v>
      </c>
      <c r="X3211" t="s">
        <v>67049</v>
      </c>
      <c r="Y3211" t="s">
        <v>67050</v>
      </c>
    </row>
    <row r="3212" spans="1:25" x14ac:dyDescent="0.3">
      <c r="A3212">
        <v>160550</v>
      </c>
      <c r="B3212" t="s">
        <v>67051</v>
      </c>
      <c r="C3212" t="s">
        <v>67052</v>
      </c>
      <c r="D3212" t="s">
        <v>67053</v>
      </c>
      <c r="E3212" t="s">
        <v>67054</v>
      </c>
      <c r="F3212" t="s">
        <v>67055</v>
      </c>
      <c r="G3212" t="s">
        <v>67056</v>
      </c>
      <c r="H3212" t="s">
        <v>67057</v>
      </c>
      <c r="I3212" t="s">
        <v>67058</v>
      </c>
      <c r="J3212" t="s">
        <v>67059</v>
      </c>
      <c r="K3212" t="s">
        <v>67060</v>
      </c>
      <c r="L3212" t="s">
        <v>67061</v>
      </c>
      <c r="M3212" t="s">
        <v>67062</v>
      </c>
      <c r="N3212" t="s">
        <v>67063</v>
      </c>
      <c r="O3212">
        <f>-742.45942057927 -92.9023633490078 -715.32700443767</f>
        <v>-1550.6887883659479</v>
      </c>
      <c r="P3212">
        <f>-701.727259707919 -92.351894555148 -401.437246273196</f>
        <v>-1195.5164005362631</v>
      </c>
      <c r="Q3212">
        <f>-455.398153451256 -22.3030318107424 -356.080598749362</f>
        <v>-833.78178401136051</v>
      </c>
      <c r="R3212" t="s">
        <v>67064</v>
      </c>
      <c r="S3212" t="s">
        <v>67065</v>
      </c>
      <c r="T3212" t="s">
        <v>67066</v>
      </c>
      <c r="U3212" t="s">
        <v>67067</v>
      </c>
      <c r="V3212" t="s">
        <v>67068</v>
      </c>
      <c r="W3212" t="s">
        <v>67069</v>
      </c>
      <c r="X3212" t="s">
        <v>67070</v>
      </c>
      <c r="Y3212" t="s">
        <v>67071</v>
      </c>
    </row>
    <row r="3213" spans="1:25" x14ac:dyDescent="0.3">
      <c r="A3213">
        <v>160600</v>
      </c>
      <c r="B3213" t="s">
        <v>67072</v>
      </c>
      <c r="C3213" t="s">
        <v>67073</v>
      </c>
      <c r="D3213" t="s">
        <v>67074</v>
      </c>
      <c r="E3213" t="s">
        <v>67075</v>
      </c>
      <c r="F3213" t="s">
        <v>67076</v>
      </c>
      <c r="G3213" t="s">
        <v>67077</v>
      </c>
      <c r="H3213" t="s">
        <v>67078</v>
      </c>
      <c r="I3213" t="s">
        <v>67079</v>
      </c>
      <c r="J3213" t="s">
        <v>67080</v>
      </c>
      <c r="K3213" t="s">
        <v>67081</v>
      </c>
      <c r="L3213" t="s">
        <v>67082</v>
      </c>
      <c r="M3213" t="s">
        <v>67083</v>
      </c>
      <c r="N3213" t="s">
        <v>67084</v>
      </c>
      <c r="O3213">
        <f>-742.66190192627 -92.8858277185639 -715.47806878494</f>
        <v>-1551.0257984297739</v>
      </c>
      <c r="P3213">
        <f>-702.051976448366 -92.3950809304204 -401.572440430736</f>
        <v>-1196.0194978095224</v>
      </c>
      <c r="Q3213">
        <f>-455.580182638281 -22.8115914609821 -356.275273620039</f>
        <v>-834.6670477193021</v>
      </c>
      <c r="R3213" t="s">
        <v>67085</v>
      </c>
      <c r="S3213" t="s">
        <v>67086</v>
      </c>
      <c r="T3213" t="s">
        <v>67087</v>
      </c>
      <c r="U3213" t="s">
        <v>67088</v>
      </c>
      <c r="V3213" t="s">
        <v>67089</v>
      </c>
      <c r="W3213" t="s">
        <v>67090</v>
      </c>
      <c r="X3213" t="s">
        <v>67091</v>
      </c>
      <c r="Y3213" t="s">
        <v>67092</v>
      </c>
    </row>
    <row r="3214" spans="1:25" x14ac:dyDescent="0.3">
      <c r="A3214">
        <v>160650</v>
      </c>
      <c r="B3214" t="s">
        <v>67093</v>
      </c>
      <c r="C3214" t="s">
        <v>67094</v>
      </c>
      <c r="D3214" t="s">
        <v>67095</v>
      </c>
      <c r="E3214" t="s">
        <v>67096</v>
      </c>
      <c r="F3214" t="s">
        <v>67097</v>
      </c>
      <c r="G3214" t="s">
        <v>67098</v>
      </c>
      <c r="H3214" t="s">
        <v>67099</v>
      </c>
      <c r="I3214" t="s">
        <v>67100</v>
      </c>
      <c r="J3214" t="s">
        <v>67101</v>
      </c>
      <c r="K3214" t="s">
        <v>67102</v>
      </c>
      <c r="L3214" t="s">
        <v>67103</v>
      </c>
      <c r="M3214" t="s">
        <v>67104</v>
      </c>
      <c r="N3214" t="s">
        <v>67105</v>
      </c>
      <c r="O3214">
        <f>-743.30888522889 -92.7389137355065 -715.763034802594</f>
        <v>-1551.8108337669905</v>
      </c>
      <c r="P3214">
        <f>-702.792931837065 -92.8875048693121 -401.844868601906</f>
        <v>-1197.5253053082831</v>
      </c>
      <c r="Q3214">
        <f>-456.142501156734 -23.8496166874447 -356.685042604997</f>
        <v>-836.67716044917574</v>
      </c>
      <c r="R3214" t="s">
        <v>67106</v>
      </c>
      <c r="S3214" t="s">
        <v>67107</v>
      </c>
      <c r="T3214" t="s">
        <v>67108</v>
      </c>
      <c r="U3214" t="s">
        <v>67109</v>
      </c>
      <c r="V3214" t="s">
        <v>67110</v>
      </c>
      <c r="W3214" t="s">
        <v>67111</v>
      </c>
      <c r="X3214" t="s">
        <v>67112</v>
      </c>
      <c r="Y3214" t="s">
        <v>67113</v>
      </c>
    </row>
    <row r="3215" spans="1:25" x14ac:dyDescent="0.3">
      <c r="A3215">
        <v>160700</v>
      </c>
      <c r="B3215" t="s">
        <v>67114</v>
      </c>
      <c r="C3215" t="s">
        <v>67115</v>
      </c>
      <c r="D3215" t="s">
        <v>67116</v>
      </c>
      <c r="E3215" t="s">
        <v>67117</v>
      </c>
      <c r="F3215" t="s">
        <v>67118</v>
      </c>
      <c r="G3215" t="s">
        <v>67119</v>
      </c>
      <c r="H3215" t="s">
        <v>67120</v>
      </c>
      <c r="I3215" t="s">
        <v>67121</v>
      </c>
      <c r="J3215" t="s">
        <v>67122</v>
      </c>
      <c r="K3215" t="s">
        <v>67123</v>
      </c>
      <c r="L3215" t="s">
        <v>67124</v>
      </c>
      <c r="M3215" t="s">
        <v>67125</v>
      </c>
      <c r="N3215" t="s">
        <v>67126</v>
      </c>
      <c r="O3215">
        <f>-743.636066357814 -92.5981758806283 -715.930123605272</f>
        <v>-1552.1643658437142</v>
      </c>
      <c r="P3215">
        <f>-703.005216873427 -92.8628407860294 -402.026822831806</f>
        <v>-1197.8948804912625</v>
      </c>
      <c r="Q3215">
        <f>-456.312263893503 -24.0078548642421 -356.821254216138</f>
        <v>-837.14137297388311</v>
      </c>
      <c r="R3215" t="s">
        <v>67127</v>
      </c>
      <c r="S3215" t="s">
        <v>67128</v>
      </c>
      <c r="T3215" t="s">
        <v>67129</v>
      </c>
      <c r="U3215" t="s">
        <v>67130</v>
      </c>
      <c r="V3215" t="s">
        <v>67131</v>
      </c>
      <c r="W3215" t="s">
        <v>67132</v>
      </c>
      <c r="X3215" t="s">
        <v>67133</v>
      </c>
      <c r="Y3215" t="s">
        <v>67134</v>
      </c>
    </row>
    <row r="3216" spans="1:25" x14ac:dyDescent="0.3">
      <c r="A3216">
        <v>160750</v>
      </c>
      <c r="B3216" t="s">
        <v>67135</v>
      </c>
      <c r="C3216" t="s">
        <v>67136</v>
      </c>
      <c r="D3216" t="s">
        <v>67137</v>
      </c>
      <c r="E3216" t="s">
        <v>67138</v>
      </c>
      <c r="F3216" t="s">
        <v>67139</v>
      </c>
      <c r="G3216" t="s">
        <v>67140</v>
      </c>
      <c r="H3216" t="s">
        <v>67141</v>
      </c>
      <c r="I3216" t="s">
        <v>67142</v>
      </c>
      <c r="J3216" t="s">
        <v>67143</v>
      </c>
      <c r="K3216" t="s">
        <v>67144</v>
      </c>
      <c r="L3216" t="s">
        <v>67145</v>
      </c>
      <c r="M3216" t="s">
        <v>67146</v>
      </c>
      <c r="N3216" t="s">
        <v>67147</v>
      </c>
      <c r="O3216">
        <f>-744.160672246457 -92.4609204428662 -716.121140717231</f>
        <v>-1552.7427334065542</v>
      </c>
      <c r="P3216">
        <f>-703.311142652921 -92.9721174733734 -402.246586993033</f>
        <v>-1198.5298471193273</v>
      </c>
      <c r="Q3216">
        <f>-456.510473441827 -24.4480757285266 -357.124917968759</f>
        <v>-838.0834671391126</v>
      </c>
      <c r="R3216" t="s">
        <v>67148</v>
      </c>
      <c r="S3216" t="s">
        <v>67149</v>
      </c>
      <c r="T3216" t="s">
        <v>67150</v>
      </c>
      <c r="U3216" t="s">
        <v>67151</v>
      </c>
      <c r="V3216" t="s">
        <v>67152</v>
      </c>
      <c r="W3216" t="s">
        <v>67153</v>
      </c>
      <c r="X3216" t="s">
        <v>67154</v>
      </c>
      <c r="Y3216" t="s">
        <v>67155</v>
      </c>
    </row>
    <row r="3217" spans="1:25" x14ac:dyDescent="0.3">
      <c r="A3217">
        <v>160800</v>
      </c>
      <c r="B3217" t="s">
        <v>67156</v>
      </c>
      <c r="C3217" t="s">
        <v>67157</v>
      </c>
      <c r="D3217" t="s">
        <v>67158</v>
      </c>
      <c r="E3217" t="s">
        <v>67159</v>
      </c>
      <c r="F3217" t="s">
        <v>67160</v>
      </c>
      <c r="G3217" t="s">
        <v>67161</v>
      </c>
      <c r="H3217" t="s">
        <v>67162</v>
      </c>
      <c r="I3217" t="s">
        <v>67163</v>
      </c>
      <c r="J3217" t="s">
        <v>67164</v>
      </c>
      <c r="K3217" t="s">
        <v>67165</v>
      </c>
      <c r="L3217" t="s">
        <v>67166</v>
      </c>
      <c r="M3217" t="s">
        <v>67167</v>
      </c>
      <c r="N3217" t="s">
        <v>67168</v>
      </c>
      <c r="O3217">
        <f>-744.57865187772 -92.3519289336214 -716.296988637378</f>
        <v>-1553.2275694487194</v>
      </c>
      <c r="P3217">
        <f>-703.624245555133 -93.0053238304117 -402.436312492222</f>
        <v>-1199.0658818777667</v>
      </c>
      <c r="Q3217">
        <f>-456.817519158667 -24.3064486333221 -357.614923777085</f>
        <v>-838.73889156907399</v>
      </c>
      <c r="R3217" t="s">
        <v>67169</v>
      </c>
      <c r="S3217" t="s">
        <v>67170</v>
      </c>
      <c r="T3217" t="s">
        <v>67171</v>
      </c>
      <c r="U3217" t="s">
        <v>67172</v>
      </c>
      <c r="V3217" t="s">
        <v>67173</v>
      </c>
      <c r="W3217" t="s">
        <v>67174</v>
      </c>
      <c r="X3217" t="s">
        <v>67175</v>
      </c>
      <c r="Y3217" t="s">
        <v>67176</v>
      </c>
    </row>
    <row r="3218" spans="1:25" x14ac:dyDescent="0.3">
      <c r="A3218">
        <v>160850</v>
      </c>
      <c r="B3218" t="s">
        <v>67177</v>
      </c>
      <c r="C3218" t="s">
        <v>67178</v>
      </c>
      <c r="D3218" t="s">
        <v>67179</v>
      </c>
      <c r="E3218" t="s">
        <v>67180</v>
      </c>
      <c r="F3218" t="s">
        <v>67181</v>
      </c>
      <c r="G3218" t="s">
        <v>67182</v>
      </c>
      <c r="H3218" t="s">
        <v>67183</v>
      </c>
      <c r="I3218" t="s">
        <v>67184</v>
      </c>
      <c r="J3218" t="s">
        <v>67185</v>
      </c>
      <c r="K3218" t="s">
        <v>67186</v>
      </c>
      <c r="L3218" t="s">
        <v>67187</v>
      </c>
      <c r="M3218" t="s">
        <v>67188</v>
      </c>
      <c r="N3218" t="s">
        <v>67189</v>
      </c>
      <c r="O3218">
        <f>-744.942501517586 -92.2517420709714 -716.375424132846</f>
        <v>-1553.5696677214034</v>
      </c>
      <c r="P3218">
        <f>-703.892373114253 -92.8673379530001 -402.527201649439</f>
        <v>-1199.2869127166921</v>
      </c>
      <c r="Q3218">
        <f>-457.06902366499 -24.1362846918155 -357.847321111806</f>
        <v>-839.05262946861149</v>
      </c>
      <c r="R3218" t="s">
        <v>67190</v>
      </c>
      <c r="S3218" t="s">
        <v>67191</v>
      </c>
      <c r="T3218" t="s">
        <v>67192</v>
      </c>
      <c r="U3218" t="s">
        <v>67193</v>
      </c>
      <c r="V3218" t="s">
        <v>67194</v>
      </c>
      <c r="W3218" t="s">
        <v>67195</v>
      </c>
      <c r="X3218" t="s">
        <v>67196</v>
      </c>
      <c r="Y3218" t="s">
        <v>67197</v>
      </c>
    </row>
    <row r="3219" spans="1:25" x14ac:dyDescent="0.3">
      <c r="A3219">
        <v>160900</v>
      </c>
      <c r="B3219" t="s">
        <v>67198</v>
      </c>
      <c r="C3219" t="s">
        <v>67199</v>
      </c>
      <c r="D3219" t="s">
        <v>67200</v>
      </c>
      <c r="E3219" t="s">
        <v>67201</v>
      </c>
      <c r="F3219" t="s">
        <v>67202</v>
      </c>
      <c r="G3219" t="s">
        <v>67203</v>
      </c>
      <c r="H3219" t="s">
        <v>67204</v>
      </c>
      <c r="I3219" t="s">
        <v>67205</v>
      </c>
      <c r="J3219" t="s">
        <v>67206</v>
      </c>
      <c r="K3219" t="s">
        <v>67207</v>
      </c>
      <c r="L3219" t="s">
        <v>67208</v>
      </c>
      <c r="M3219" t="s">
        <v>67209</v>
      </c>
      <c r="N3219" t="s">
        <v>67210</v>
      </c>
      <c r="O3219">
        <f>-745.282480976773 -92.137140278302 -716.380148561405</f>
        <v>-1553.79976981648</v>
      </c>
      <c r="P3219">
        <f>-703.991225857624 -93.0346235497591 -402.564381983267</f>
        <v>-1199.5902313906502</v>
      </c>
      <c r="Q3219">
        <f>-457.1511061219 -24.2659375792323 -358.034822790056</f>
        <v>-839.4518664911883</v>
      </c>
      <c r="R3219" t="s">
        <v>67211</v>
      </c>
      <c r="S3219" t="s">
        <v>67212</v>
      </c>
      <c r="T3219" t="s">
        <v>67213</v>
      </c>
      <c r="U3219" t="s">
        <v>67214</v>
      </c>
      <c r="V3219" t="s">
        <v>67215</v>
      </c>
      <c r="W3219" t="s">
        <v>67216</v>
      </c>
      <c r="X3219" t="s">
        <v>67217</v>
      </c>
      <c r="Y3219" t="s">
        <v>67218</v>
      </c>
    </row>
    <row r="3220" spans="1:25" x14ac:dyDescent="0.3">
      <c r="A3220">
        <v>160950</v>
      </c>
      <c r="B3220" t="s">
        <v>67219</v>
      </c>
      <c r="C3220" t="s">
        <v>67220</v>
      </c>
      <c r="D3220" t="s">
        <v>67221</v>
      </c>
      <c r="E3220" t="s">
        <v>67222</v>
      </c>
      <c r="F3220" t="s">
        <v>67223</v>
      </c>
      <c r="G3220" t="s">
        <v>67224</v>
      </c>
      <c r="H3220" t="s">
        <v>67225</v>
      </c>
      <c r="I3220" t="s">
        <v>67226</v>
      </c>
      <c r="J3220" t="s">
        <v>67227</v>
      </c>
      <c r="K3220" t="s">
        <v>67228</v>
      </c>
      <c r="L3220" t="s">
        <v>67229</v>
      </c>
      <c r="M3220" t="s">
        <v>67230</v>
      </c>
      <c r="N3220" t="s">
        <v>67231</v>
      </c>
      <c r="O3220">
        <f>-745.761376872425 -91.6594572978461 -716.36603464143</f>
        <v>-1553.786868811701</v>
      </c>
      <c r="P3220">
        <f>-704.24173201316 -92.25228999909 -402.579492230383</f>
        <v>-1199.0735142426329</v>
      </c>
      <c r="Q3220">
        <f>-457.264750160924 -23.71179226102 -358.459429092303</f>
        <v>-839.43597151424706</v>
      </c>
      <c r="R3220" t="s">
        <v>67232</v>
      </c>
      <c r="S3220" t="s">
        <v>67233</v>
      </c>
      <c r="T3220" t="s">
        <v>67234</v>
      </c>
      <c r="U3220" t="s">
        <v>67235</v>
      </c>
      <c r="V3220" t="s">
        <v>67236</v>
      </c>
      <c r="W3220" t="s">
        <v>67237</v>
      </c>
      <c r="X3220" t="s">
        <v>67238</v>
      </c>
      <c r="Y3220" t="s">
        <v>67239</v>
      </c>
    </row>
    <row r="3221" spans="1:25" x14ac:dyDescent="0.3">
      <c r="A3221">
        <v>161000</v>
      </c>
      <c r="B3221" t="s">
        <v>67240</v>
      </c>
      <c r="C3221" t="s">
        <v>67241</v>
      </c>
      <c r="D3221" t="s">
        <v>67242</v>
      </c>
      <c r="E3221" t="s">
        <v>67243</v>
      </c>
      <c r="F3221" t="s">
        <v>67244</v>
      </c>
      <c r="G3221" t="s">
        <v>67245</v>
      </c>
      <c r="H3221" t="s">
        <v>67246</v>
      </c>
      <c r="I3221" t="s">
        <v>67247</v>
      </c>
      <c r="J3221" t="s">
        <v>67248</v>
      </c>
      <c r="K3221" t="s">
        <v>67249</v>
      </c>
      <c r="L3221" t="s">
        <v>67250</v>
      </c>
      <c r="M3221" t="s">
        <v>67251</v>
      </c>
      <c r="N3221" t="s">
        <v>67252</v>
      </c>
      <c r="O3221">
        <f>-745.846103052547 -91.426716706055 -716.356782056418</f>
        <v>-1553.6296018150201</v>
      </c>
      <c r="P3221">
        <f>-704.26864316765 -92.0795758967224 -402.577880973854</f>
        <v>-1198.9261000382264</v>
      </c>
      <c r="Q3221">
        <f>-457.247897278771 -23.56276148079 -358.665865961949</f>
        <v>-839.47652472151003</v>
      </c>
      <c r="R3221" t="s">
        <v>67253</v>
      </c>
      <c r="S3221" t="s">
        <v>67254</v>
      </c>
      <c r="T3221" t="s">
        <v>67255</v>
      </c>
      <c r="U3221" t="s">
        <v>67256</v>
      </c>
      <c r="V3221" t="s">
        <v>67257</v>
      </c>
      <c r="W3221" t="s">
        <v>67258</v>
      </c>
      <c r="X3221" t="s">
        <v>67259</v>
      </c>
      <c r="Y3221" t="s">
        <v>67260</v>
      </c>
    </row>
    <row r="3222" spans="1:25" x14ac:dyDescent="0.3">
      <c r="A3222">
        <v>161050</v>
      </c>
      <c r="B3222" t="s">
        <v>67261</v>
      </c>
      <c r="C3222" t="s">
        <v>67262</v>
      </c>
      <c r="D3222" t="s">
        <v>67263</v>
      </c>
      <c r="E3222" t="s">
        <v>67264</v>
      </c>
      <c r="F3222" t="s">
        <v>67265</v>
      </c>
      <c r="G3222" t="s">
        <v>67266</v>
      </c>
      <c r="H3222" t="s">
        <v>67267</v>
      </c>
      <c r="I3222" t="s">
        <v>67268</v>
      </c>
      <c r="J3222" t="s">
        <v>67269</v>
      </c>
      <c r="K3222" t="s">
        <v>67270</v>
      </c>
      <c r="L3222" t="s">
        <v>67271</v>
      </c>
      <c r="M3222" t="s">
        <v>67272</v>
      </c>
      <c r="N3222" t="s">
        <v>67273</v>
      </c>
      <c r="O3222">
        <f>-746.203319665159 -90.9721330146608 -716.201449153082</f>
        <v>-1553.3769018329017</v>
      </c>
      <c r="P3222">
        <f>-704.480635396579 -91.3932743012242 -402.441587634489</f>
        <v>-1198.3154973322921</v>
      </c>
      <c r="Q3222">
        <f>-457.513529966424 -22.3440317254911 -359.065464115632</f>
        <v>-838.92302580754711</v>
      </c>
      <c r="R3222" t="s">
        <v>67274</v>
      </c>
      <c r="S3222" t="s">
        <v>67275</v>
      </c>
      <c r="T3222" t="s">
        <v>67276</v>
      </c>
      <c r="U3222" t="s">
        <v>67277</v>
      </c>
      <c r="V3222" t="s">
        <v>67278</v>
      </c>
      <c r="W3222" t="s">
        <v>67279</v>
      </c>
      <c r="X3222" t="s">
        <v>67280</v>
      </c>
      <c r="Y3222" t="s">
        <v>67281</v>
      </c>
    </row>
    <row r="3223" spans="1:25" x14ac:dyDescent="0.3">
      <c r="A3223">
        <v>161100</v>
      </c>
      <c r="B3223" t="s">
        <v>67282</v>
      </c>
      <c r="C3223" t="s">
        <v>67283</v>
      </c>
      <c r="D3223" t="s">
        <v>67284</v>
      </c>
      <c r="E3223" t="s">
        <v>67285</v>
      </c>
      <c r="F3223" t="s">
        <v>67286</v>
      </c>
      <c r="G3223" t="s">
        <v>67287</v>
      </c>
      <c r="H3223" t="s">
        <v>67288</v>
      </c>
      <c r="I3223" t="s">
        <v>67289</v>
      </c>
      <c r="J3223" t="s">
        <v>67290</v>
      </c>
      <c r="K3223" t="s">
        <v>67291</v>
      </c>
      <c r="L3223" t="s">
        <v>67292</v>
      </c>
      <c r="M3223" t="s">
        <v>67293</v>
      </c>
      <c r="N3223" t="s">
        <v>67294</v>
      </c>
      <c r="O3223">
        <f>-746.457593252392 -90.6305215994632 -716.100348598172</f>
        <v>-1553.1884634500273</v>
      </c>
      <c r="P3223">
        <f>-704.603111190223 -90.8412718753161 -402.357803761741</f>
        <v>-1197.8021868272801</v>
      </c>
      <c r="Q3223">
        <f>-457.60607619649 -21.9612481610668 -358.882927202843</f>
        <v>-838.45025156039981</v>
      </c>
      <c r="R3223" t="s">
        <v>67295</v>
      </c>
      <c r="S3223" t="s">
        <v>67296</v>
      </c>
      <c r="T3223" t="s">
        <v>67297</v>
      </c>
      <c r="U3223" t="s">
        <v>67298</v>
      </c>
      <c r="V3223" t="s">
        <v>67299</v>
      </c>
      <c r="W3223" t="s">
        <v>67300</v>
      </c>
      <c r="X3223" t="s">
        <v>67301</v>
      </c>
      <c r="Y3223" t="s">
        <v>67302</v>
      </c>
    </row>
    <row r="3224" spans="1:25" x14ac:dyDescent="0.3">
      <c r="A3224">
        <v>161150</v>
      </c>
      <c r="B3224" t="s">
        <v>67303</v>
      </c>
      <c r="C3224" t="s">
        <v>67304</v>
      </c>
      <c r="D3224" t="s">
        <v>67305</v>
      </c>
      <c r="E3224" t="s">
        <v>67306</v>
      </c>
      <c r="F3224" t="s">
        <v>67307</v>
      </c>
      <c r="G3224" t="s">
        <v>67308</v>
      </c>
      <c r="H3224" t="s">
        <v>67309</v>
      </c>
      <c r="I3224" t="s">
        <v>67310</v>
      </c>
      <c r="J3224" t="s">
        <v>67311</v>
      </c>
      <c r="K3224" t="s">
        <v>67312</v>
      </c>
      <c r="L3224" t="s">
        <v>67313</v>
      </c>
      <c r="M3224" t="s">
        <v>67314</v>
      </c>
      <c r="N3224" t="s">
        <v>67315</v>
      </c>
      <c r="O3224">
        <f>-747.227710230155 -89.6884732768165 -715.895814816997</f>
        <v>-1552.8119983239685</v>
      </c>
      <c r="P3224">
        <f>-705.207568577741 -89.7124483987468 -402.175347522073</f>
        <v>-1197.0953644985607</v>
      </c>
      <c r="Q3224">
        <f>-458.202649395033 -20.7981667661463 -358.799816419432</f>
        <v>-837.80063258061136</v>
      </c>
      <c r="R3224" t="s">
        <v>67316</v>
      </c>
      <c r="S3224" t="s">
        <v>67317</v>
      </c>
      <c r="T3224" t="s">
        <v>67318</v>
      </c>
      <c r="U3224" t="s">
        <v>67319</v>
      </c>
      <c r="V3224" t="s">
        <v>67320</v>
      </c>
      <c r="W3224" t="s">
        <v>67321</v>
      </c>
      <c r="X3224" t="s">
        <v>67322</v>
      </c>
      <c r="Y3224" t="s">
        <v>67323</v>
      </c>
    </row>
    <row r="3225" spans="1:25" x14ac:dyDescent="0.3">
      <c r="A3225">
        <v>161200</v>
      </c>
      <c r="B3225" t="s">
        <v>67324</v>
      </c>
      <c r="C3225" t="s">
        <v>67325</v>
      </c>
      <c r="D3225" t="s">
        <v>67326</v>
      </c>
      <c r="E3225" t="s">
        <v>67327</v>
      </c>
      <c r="F3225" t="s">
        <v>67328</v>
      </c>
      <c r="G3225" t="s">
        <v>67329</v>
      </c>
      <c r="H3225" t="s">
        <v>67330</v>
      </c>
      <c r="I3225" t="s">
        <v>67331</v>
      </c>
      <c r="J3225" t="s">
        <v>67332</v>
      </c>
      <c r="K3225" t="s">
        <v>67333</v>
      </c>
      <c r="L3225" t="s">
        <v>67334</v>
      </c>
      <c r="M3225" t="s">
        <v>67335</v>
      </c>
      <c r="N3225" t="s">
        <v>67336</v>
      </c>
      <c r="O3225">
        <f>-747.607088612 -89.2260819592284 -715.72645820041</f>
        <v>-1552.5596287716385</v>
      </c>
      <c r="P3225">
        <f>-705.541253399535 -89.3286924729011 -402.012143489763</f>
        <v>-1196.8820893621992</v>
      </c>
      <c r="Q3225">
        <f>-458.528147980247 -20.445866775028 -358.632465090988</f>
        <v>-837.60647984626303</v>
      </c>
      <c r="R3225" t="s">
        <v>67337</v>
      </c>
      <c r="S3225" t="s">
        <v>67338</v>
      </c>
      <c r="T3225" t="s">
        <v>67339</v>
      </c>
      <c r="U3225" t="s">
        <v>67340</v>
      </c>
      <c r="V3225" t="s">
        <v>67341</v>
      </c>
      <c r="W3225" t="s">
        <v>67342</v>
      </c>
      <c r="X3225" t="s">
        <v>67343</v>
      </c>
      <c r="Y3225" t="s">
        <v>67344</v>
      </c>
    </row>
    <row r="3226" spans="1:25" x14ac:dyDescent="0.3">
      <c r="A3226">
        <v>161250</v>
      </c>
      <c r="B3226" t="s">
        <v>67345</v>
      </c>
      <c r="C3226" t="s">
        <v>67346</v>
      </c>
      <c r="D3226" t="s">
        <v>67347</v>
      </c>
      <c r="E3226" t="s">
        <v>67348</v>
      </c>
      <c r="F3226" t="s">
        <v>67349</v>
      </c>
      <c r="G3226" t="s">
        <v>67350</v>
      </c>
      <c r="H3226" t="s">
        <v>67351</v>
      </c>
      <c r="I3226" t="s">
        <v>67352</v>
      </c>
      <c r="J3226" t="s">
        <v>67353</v>
      </c>
      <c r="K3226" t="s">
        <v>67354</v>
      </c>
      <c r="L3226" t="s">
        <v>67355</v>
      </c>
      <c r="M3226" t="s">
        <v>67356</v>
      </c>
      <c r="N3226" t="s">
        <v>67357</v>
      </c>
      <c r="O3226">
        <f>-748.35099188487 -88.6429690074428 -715.444190363882</f>
        <v>-1552.4381512561949</v>
      </c>
      <c r="P3226">
        <f>-706.241981903633 -88.6396312023846 -401.735681255092</f>
        <v>-1196.6172943611095</v>
      </c>
      <c r="Q3226">
        <f>-459.211157890895 -19.8219719583315 -358.353931500556</f>
        <v>-837.38706134978247</v>
      </c>
      <c r="R3226" t="s">
        <v>67358</v>
      </c>
      <c r="S3226" t="s">
        <v>67359</v>
      </c>
      <c r="T3226" t="s">
        <v>67360</v>
      </c>
      <c r="U3226" t="s">
        <v>67361</v>
      </c>
      <c r="V3226" t="s">
        <v>67362</v>
      </c>
      <c r="W3226" t="s">
        <v>67363</v>
      </c>
      <c r="X3226" t="s">
        <v>67364</v>
      </c>
      <c r="Y3226" t="s">
        <v>67365</v>
      </c>
    </row>
    <row r="3227" spans="1:25" x14ac:dyDescent="0.3">
      <c r="A3227">
        <v>161300</v>
      </c>
      <c r="B3227" t="s">
        <v>67366</v>
      </c>
      <c r="C3227" t="s">
        <v>67367</v>
      </c>
      <c r="D3227" t="s">
        <v>67368</v>
      </c>
      <c r="E3227" t="s">
        <v>67369</v>
      </c>
      <c r="F3227" t="s">
        <v>67370</v>
      </c>
      <c r="G3227" t="s">
        <v>67371</v>
      </c>
      <c r="H3227" t="s">
        <v>67372</v>
      </c>
      <c r="I3227" t="s">
        <v>67373</v>
      </c>
      <c r="J3227" t="s">
        <v>67374</v>
      </c>
      <c r="K3227" t="s">
        <v>67375</v>
      </c>
      <c r="L3227" t="s">
        <v>67376</v>
      </c>
      <c r="M3227" t="s">
        <v>67377</v>
      </c>
      <c r="N3227" t="s">
        <v>67378</v>
      </c>
      <c r="O3227">
        <f>-748.752604465802 -88.2909523164424 -715.304351254046</f>
        <v>-1552.3479080362904</v>
      </c>
      <c r="P3227">
        <f>-706.650370832111 -88.3266406461562 -401.594897011148</f>
        <v>-1196.5719084894151</v>
      </c>
      <c r="Q3227">
        <f>-459.578039194521 -19.6710691156807 -358.192924449184</f>
        <v>-837.44203275938571</v>
      </c>
      <c r="R3227" t="s">
        <v>67379</v>
      </c>
      <c r="S3227" t="s">
        <v>67380</v>
      </c>
      <c r="T3227" t="s">
        <v>67381</v>
      </c>
      <c r="U3227" t="s">
        <v>67382</v>
      </c>
      <c r="V3227" t="s">
        <v>67383</v>
      </c>
      <c r="W3227" t="s">
        <v>67384</v>
      </c>
      <c r="X3227" t="s">
        <v>67385</v>
      </c>
      <c r="Y3227" t="s">
        <v>67386</v>
      </c>
    </row>
    <row r="3228" spans="1:25" x14ac:dyDescent="0.3">
      <c r="A3228">
        <v>161350</v>
      </c>
      <c r="B3228" t="s">
        <v>67387</v>
      </c>
      <c r="C3228" t="s">
        <v>67388</v>
      </c>
      <c r="D3228" t="s">
        <v>67389</v>
      </c>
      <c r="E3228" t="s">
        <v>67390</v>
      </c>
      <c r="F3228" t="s">
        <v>67391</v>
      </c>
      <c r="G3228" t="s">
        <v>67392</v>
      </c>
      <c r="H3228" t="s">
        <v>67393</v>
      </c>
      <c r="I3228" t="s">
        <v>67394</v>
      </c>
      <c r="J3228" t="s">
        <v>67395</v>
      </c>
      <c r="K3228" t="s">
        <v>67396</v>
      </c>
      <c r="L3228" t="s">
        <v>67397</v>
      </c>
      <c r="M3228" t="s">
        <v>67398</v>
      </c>
      <c r="N3228" t="s">
        <v>67399</v>
      </c>
      <c r="O3228">
        <f>-749.540207928618 -87.3167631609012 -715.135179254153</f>
        <v>-1551.9921503436722</v>
      </c>
      <c r="P3228">
        <f>-707.269123629842 -86.9827472058596 -401.448714325709</f>
        <v>-1195.7005851614106</v>
      </c>
      <c r="Q3228">
        <f>-460.025760170863 -18.9208493567889 -358.08563144489</f>
        <v>-837.0322409725419</v>
      </c>
      <c r="R3228" t="s">
        <v>67400</v>
      </c>
      <c r="S3228" t="s">
        <v>67401</v>
      </c>
      <c r="T3228" t="s">
        <v>67402</v>
      </c>
      <c r="U3228" t="s">
        <v>67403</v>
      </c>
      <c r="V3228" t="s">
        <v>67404</v>
      </c>
      <c r="W3228" t="s">
        <v>67405</v>
      </c>
      <c r="X3228" t="s">
        <v>67406</v>
      </c>
      <c r="Y3228" t="s">
        <v>67407</v>
      </c>
    </row>
    <row r="3229" spans="1:25" x14ac:dyDescent="0.3">
      <c r="A3229">
        <v>161400</v>
      </c>
      <c r="B3229" t="s">
        <v>67408</v>
      </c>
      <c r="C3229" t="s">
        <v>67409</v>
      </c>
      <c r="D3229" t="s">
        <v>67410</v>
      </c>
      <c r="E3229" t="s">
        <v>67411</v>
      </c>
      <c r="F3229" t="s">
        <v>67412</v>
      </c>
      <c r="G3229" t="s">
        <v>67413</v>
      </c>
      <c r="H3229" t="s">
        <v>67414</v>
      </c>
      <c r="I3229" t="s">
        <v>67415</v>
      </c>
      <c r="J3229" t="s">
        <v>67416</v>
      </c>
      <c r="K3229" t="s">
        <v>67417</v>
      </c>
      <c r="L3229" t="s">
        <v>67418</v>
      </c>
      <c r="M3229" t="s">
        <v>67419</v>
      </c>
      <c r="N3229" t="s">
        <v>67420</v>
      </c>
      <c r="O3229">
        <f>-749.86508160955 -86.6845852958875 -715.127775189913</f>
        <v>-1551.6774420953504</v>
      </c>
      <c r="P3229">
        <f>-707.485427088004 -86.5191303869992 -401.455772947385</f>
        <v>-1195.4603304223883</v>
      </c>
      <c r="Q3229">
        <f>-460.176318596191 -18.6537975627282 -358.159587673345</f>
        <v>-836.98970383226424</v>
      </c>
      <c r="R3229" t="s">
        <v>67421</v>
      </c>
      <c r="S3229" t="s">
        <v>67422</v>
      </c>
      <c r="T3229" t="s">
        <v>67423</v>
      </c>
      <c r="U3229" t="s">
        <v>67424</v>
      </c>
      <c r="V3229" t="s">
        <v>67425</v>
      </c>
      <c r="W3229" t="s">
        <v>67426</v>
      </c>
      <c r="X3229" t="s">
        <v>67427</v>
      </c>
      <c r="Y3229" t="s">
        <v>67428</v>
      </c>
    </row>
    <row r="3230" spans="1:25" x14ac:dyDescent="0.3">
      <c r="A3230">
        <v>161450</v>
      </c>
      <c r="B3230" t="s">
        <v>67429</v>
      </c>
      <c r="C3230" t="s">
        <v>67430</v>
      </c>
      <c r="D3230" t="s">
        <v>67431</v>
      </c>
      <c r="E3230" t="s">
        <v>67432</v>
      </c>
      <c r="F3230" t="s">
        <v>67433</v>
      </c>
      <c r="G3230" t="s">
        <v>67434</v>
      </c>
      <c r="H3230" t="s">
        <v>67435</v>
      </c>
      <c r="I3230" t="s">
        <v>67436</v>
      </c>
      <c r="J3230" t="s">
        <v>67437</v>
      </c>
      <c r="K3230" t="s">
        <v>67438</v>
      </c>
      <c r="L3230" t="s">
        <v>67439</v>
      </c>
      <c r="M3230" t="s">
        <v>67440</v>
      </c>
      <c r="N3230" t="s">
        <v>67441</v>
      </c>
      <c r="O3230">
        <f>-750.481230523178 -85.2831217543142 -715.265938286762</f>
        <v>-1551.0302905642543</v>
      </c>
      <c r="P3230">
        <f>-707.817271285145 -85.0005107229829 -401.63251061966</f>
        <v>-1194.4502926277878</v>
      </c>
      <c r="Q3230">
        <f>-460.267106886405 -17.9157142399904 -358.497358350748</f>
        <v>-836.68017947714338</v>
      </c>
      <c r="R3230" t="s">
        <v>67442</v>
      </c>
      <c r="S3230" t="s">
        <v>67443</v>
      </c>
      <c r="T3230" t="s">
        <v>67444</v>
      </c>
      <c r="U3230" t="s">
        <v>67445</v>
      </c>
      <c r="V3230" t="s">
        <v>67446</v>
      </c>
      <c r="W3230" t="s">
        <v>67447</v>
      </c>
      <c r="X3230" t="s">
        <v>67448</v>
      </c>
      <c r="Y3230" t="s">
        <v>67449</v>
      </c>
    </row>
    <row r="3231" spans="1:25" x14ac:dyDescent="0.3">
      <c r="A3231">
        <v>161500</v>
      </c>
      <c r="B3231" t="s">
        <v>67450</v>
      </c>
      <c r="C3231" t="s">
        <v>67451</v>
      </c>
      <c r="D3231" t="s">
        <v>67452</v>
      </c>
      <c r="E3231" t="s">
        <v>67453</v>
      </c>
      <c r="F3231" t="s">
        <v>67454</v>
      </c>
      <c r="G3231" t="s">
        <v>67455</v>
      </c>
      <c r="H3231" t="s">
        <v>67456</v>
      </c>
      <c r="I3231" t="s">
        <v>67457</v>
      </c>
      <c r="J3231" t="s">
        <v>67458</v>
      </c>
      <c r="K3231" t="s">
        <v>67459</v>
      </c>
      <c r="L3231" t="s">
        <v>67460</v>
      </c>
      <c r="M3231" t="s">
        <v>67461</v>
      </c>
      <c r="N3231" t="s">
        <v>67462</v>
      </c>
      <c r="O3231">
        <f>-750.714206038093 -84.5889634946259 -715.408165304897</f>
        <v>-1550.7113348376161</v>
      </c>
      <c r="P3231">
        <f>-707.880447940333 -84.5899147320381 -401.797940319736</f>
        <v>-1194.2683029921072</v>
      </c>
      <c r="Q3231">
        <f>-460.234669070544 -17.8236079368726 -358.717856245928</f>
        <v>-836.7761332533446</v>
      </c>
      <c r="R3231" t="s">
        <v>67463</v>
      </c>
      <c r="S3231" t="s">
        <v>67464</v>
      </c>
      <c r="T3231" t="s">
        <v>67465</v>
      </c>
      <c r="U3231" t="s">
        <v>67466</v>
      </c>
      <c r="V3231" t="s">
        <v>67467</v>
      </c>
      <c r="W3231" t="s">
        <v>67468</v>
      </c>
      <c r="X3231" t="s">
        <v>67469</v>
      </c>
      <c r="Y3231" t="s">
        <v>67470</v>
      </c>
    </row>
    <row r="3232" spans="1:25" x14ac:dyDescent="0.3">
      <c r="A3232">
        <v>161550</v>
      </c>
      <c r="B3232" t="s">
        <v>67471</v>
      </c>
      <c r="C3232" t="s">
        <v>67472</v>
      </c>
      <c r="D3232" t="s">
        <v>67473</v>
      </c>
      <c r="E3232" t="s">
        <v>67474</v>
      </c>
      <c r="F3232" t="s">
        <v>67475</v>
      </c>
      <c r="G3232" t="s">
        <v>67476</v>
      </c>
      <c r="H3232" t="s">
        <v>67477</v>
      </c>
      <c r="I3232" t="s">
        <v>67478</v>
      </c>
      <c r="J3232" t="s">
        <v>67479</v>
      </c>
      <c r="K3232" t="s">
        <v>67480</v>
      </c>
      <c r="L3232" t="s">
        <v>67481</v>
      </c>
      <c r="M3232" t="s">
        <v>67482</v>
      </c>
      <c r="N3232" t="s">
        <v>67483</v>
      </c>
      <c r="O3232">
        <f>-751.477086640834 -83.0080072585249 -715.688168457975</f>
        <v>-1550.1732623573339</v>
      </c>
      <c r="P3232">
        <f>-708.778142589092 -83.2777458937539 -402.059462354154</f>
        <v>-1194.1153508369998</v>
      </c>
      <c r="Q3232">
        <f>-460.984104872717 -17.1448684270895 -358.855589107931</f>
        <v>-836.98456240773749</v>
      </c>
      <c r="R3232" t="s">
        <v>67484</v>
      </c>
      <c r="S3232" t="s">
        <v>67485</v>
      </c>
      <c r="T3232" t="s">
        <v>67486</v>
      </c>
      <c r="U3232" t="s">
        <v>67487</v>
      </c>
      <c r="V3232" t="s">
        <v>67488</v>
      </c>
      <c r="W3232" t="s">
        <v>67489</v>
      </c>
      <c r="X3232" t="s">
        <v>67490</v>
      </c>
      <c r="Y3232" t="s">
        <v>67491</v>
      </c>
    </row>
    <row r="3233" spans="1:25" x14ac:dyDescent="0.3">
      <c r="A3233">
        <v>161600</v>
      </c>
      <c r="B3233" t="s">
        <v>67492</v>
      </c>
      <c r="C3233" t="s">
        <v>67493</v>
      </c>
      <c r="D3233" t="s">
        <v>67494</v>
      </c>
      <c r="E3233" t="s">
        <v>67495</v>
      </c>
      <c r="F3233" t="s">
        <v>67496</v>
      </c>
      <c r="G3233" t="s">
        <v>67497</v>
      </c>
      <c r="H3233" t="s">
        <v>67498</v>
      </c>
      <c r="I3233" t="s">
        <v>67499</v>
      </c>
      <c r="J3233" t="s">
        <v>67500</v>
      </c>
      <c r="K3233" t="s">
        <v>67501</v>
      </c>
      <c r="L3233" t="s">
        <v>67502</v>
      </c>
      <c r="M3233" t="s">
        <v>67503</v>
      </c>
      <c r="N3233" t="s">
        <v>67504</v>
      </c>
      <c r="O3233">
        <f>-751.655124275818 -82.1746514679521 -715.920629166085</f>
        <v>-1549.7504049098552</v>
      </c>
      <c r="P3233">
        <f>-709.117309399114 -83.0090111130339 -402.271042991122</f>
        <v>-1194.3973635032698</v>
      </c>
      <c r="Q3233">
        <f>-461.257529607795 -17.1851830170492 -358.972241388345</f>
        <v>-837.41495401318923</v>
      </c>
      <c r="R3233" t="s">
        <v>67505</v>
      </c>
      <c r="S3233" t="s">
        <v>67506</v>
      </c>
      <c r="T3233" t="s">
        <v>67507</v>
      </c>
      <c r="U3233" t="s">
        <v>67508</v>
      </c>
      <c r="V3233" t="s">
        <v>67509</v>
      </c>
      <c r="W3233" t="s">
        <v>67510</v>
      </c>
      <c r="X3233" t="s">
        <v>67511</v>
      </c>
      <c r="Y3233" t="s">
        <v>67512</v>
      </c>
    </row>
    <row r="3234" spans="1:25" x14ac:dyDescent="0.3">
      <c r="A3234">
        <v>161650</v>
      </c>
      <c r="B3234" t="s">
        <v>67513</v>
      </c>
      <c r="C3234" t="s">
        <v>67514</v>
      </c>
      <c r="D3234" t="s">
        <v>67515</v>
      </c>
      <c r="E3234" t="s">
        <v>67516</v>
      </c>
      <c r="F3234" t="s">
        <v>67517</v>
      </c>
      <c r="G3234" t="s">
        <v>67518</v>
      </c>
      <c r="H3234" t="s">
        <v>67519</v>
      </c>
      <c r="I3234" t="s">
        <v>67520</v>
      </c>
      <c r="J3234" t="s">
        <v>67521</v>
      </c>
      <c r="K3234" t="s">
        <v>67522</v>
      </c>
      <c r="L3234" t="s">
        <v>67523</v>
      </c>
      <c r="M3234" t="s">
        <v>67524</v>
      </c>
      <c r="N3234" t="s">
        <v>67525</v>
      </c>
      <c r="O3234">
        <f>-751.929905075727 -80.874354786913 -716.414390027973</f>
        <v>-1549.2186498906131</v>
      </c>
      <c r="P3234">
        <f>-709.681040298694 -82.1825129353886 -402.727379384094</f>
        <v>-1194.5909326181766</v>
      </c>
      <c r="Q3234">
        <f>-461.736691946624 -16.9762966740298 -358.980879717409</f>
        <v>-837.69386833806277</v>
      </c>
      <c r="R3234" t="s">
        <v>67526</v>
      </c>
      <c r="S3234" t="s">
        <v>67527</v>
      </c>
      <c r="T3234" t="s">
        <v>67528</v>
      </c>
      <c r="U3234" t="s">
        <v>67529</v>
      </c>
      <c r="V3234" t="s">
        <v>67530</v>
      </c>
      <c r="W3234" t="s">
        <v>67531</v>
      </c>
      <c r="X3234" t="s">
        <v>67532</v>
      </c>
      <c r="Y3234" t="s">
        <v>67533</v>
      </c>
    </row>
    <row r="3235" spans="1:25" x14ac:dyDescent="0.3">
      <c r="A3235">
        <v>161700</v>
      </c>
      <c r="B3235" t="s">
        <v>67534</v>
      </c>
      <c r="C3235" t="s">
        <v>67535</v>
      </c>
      <c r="D3235" t="s">
        <v>67536</v>
      </c>
      <c r="E3235" t="s">
        <v>67537</v>
      </c>
      <c r="F3235" t="s">
        <v>67538</v>
      </c>
      <c r="G3235" t="s">
        <v>67539</v>
      </c>
      <c r="H3235" t="s">
        <v>67540</v>
      </c>
      <c r="I3235" t="s">
        <v>67541</v>
      </c>
      <c r="J3235" t="s">
        <v>67542</v>
      </c>
      <c r="K3235" t="s">
        <v>67543</v>
      </c>
      <c r="L3235" t="s">
        <v>67544</v>
      </c>
      <c r="M3235" t="s">
        <v>67545</v>
      </c>
      <c r="N3235" t="s">
        <v>67546</v>
      </c>
      <c r="O3235">
        <f>-752.096464344531 -80.3837040289932 -716.68018286447</f>
        <v>-1549.1603512379943</v>
      </c>
      <c r="P3235">
        <f>-709.92978522462 -82.1896905399346 -402.984622962844</f>
        <v>-1195.1040987273987</v>
      </c>
      <c r="Q3235">
        <f>-461.967992074535 -17.1832424305128 -359.039588036623</f>
        <v>-838.19082254167074</v>
      </c>
      <c r="R3235" t="s">
        <v>67547</v>
      </c>
      <c r="S3235" t="s">
        <v>67548</v>
      </c>
      <c r="T3235" t="s">
        <v>67549</v>
      </c>
      <c r="U3235" t="s">
        <v>67550</v>
      </c>
      <c r="V3235" t="s">
        <v>67551</v>
      </c>
      <c r="W3235" t="s">
        <v>67552</v>
      </c>
      <c r="X3235" t="s">
        <v>67553</v>
      </c>
      <c r="Y3235" t="s">
        <v>67554</v>
      </c>
    </row>
    <row r="3236" spans="1:25" x14ac:dyDescent="0.3">
      <c r="A3236">
        <v>161750</v>
      </c>
      <c r="B3236" t="s">
        <v>67555</v>
      </c>
      <c r="C3236" t="s">
        <v>67556</v>
      </c>
      <c r="D3236" t="s">
        <v>67557</v>
      </c>
      <c r="E3236" t="s">
        <v>67558</v>
      </c>
      <c r="F3236" t="s">
        <v>67559</v>
      </c>
      <c r="G3236" t="s">
        <v>67560</v>
      </c>
      <c r="H3236" t="s">
        <v>67561</v>
      </c>
      <c r="I3236" t="s">
        <v>67562</v>
      </c>
      <c r="J3236" t="s">
        <v>67563</v>
      </c>
      <c r="K3236" t="s">
        <v>67564</v>
      </c>
      <c r="L3236" t="s">
        <v>67565</v>
      </c>
      <c r="M3236" t="s">
        <v>67566</v>
      </c>
      <c r="N3236" t="s">
        <v>67567</v>
      </c>
      <c r="O3236">
        <f>-752.447219941526 -79.7600582101022 -716.697812903876</f>
        <v>-1548.9050910555043</v>
      </c>
      <c r="P3236">
        <f>-710.131933763495 -82.0227860725681 -403.025252571848</f>
        <v>-1195.179972407911</v>
      </c>
      <c r="Q3236">
        <f>-462.067671004346 -17.0440311292093 -359.621085779282</f>
        <v>-838.73278791283724</v>
      </c>
      <c r="R3236" t="s">
        <v>67568</v>
      </c>
      <c r="S3236" t="s">
        <v>67569</v>
      </c>
      <c r="T3236" t="s">
        <v>67570</v>
      </c>
      <c r="U3236" t="s">
        <v>67571</v>
      </c>
      <c r="V3236" t="s">
        <v>67572</v>
      </c>
      <c r="W3236" t="s">
        <v>67573</v>
      </c>
      <c r="X3236" t="s">
        <v>67574</v>
      </c>
      <c r="Y3236" t="s">
        <v>67575</v>
      </c>
    </row>
    <row r="3237" spans="1:25" x14ac:dyDescent="0.3">
      <c r="A3237">
        <v>161800</v>
      </c>
      <c r="B3237" t="s">
        <v>67576</v>
      </c>
      <c r="C3237" t="s">
        <v>67577</v>
      </c>
      <c r="D3237" t="s">
        <v>67578</v>
      </c>
      <c r="E3237" t="s">
        <v>67579</v>
      </c>
      <c r="F3237" t="s">
        <v>67580</v>
      </c>
      <c r="G3237" t="s">
        <v>67581</v>
      </c>
      <c r="H3237" t="s">
        <v>67582</v>
      </c>
      <c r="I3237" t="s">
        <v>67583</v>
      </c>
      <c r="J3237" t="s">
        <v>67584</v>
      </c>
      <c r="K3237" t="s">
        <v>67585</v>
      </c>
      <c r="L3237" t="s">
        <v>67586</v>
      </c>
      <c r="M3237" t="s">
        <v>67587</v>
      </c>
      <c r="N3237" t="s">
        <v>67588</v>
      </c>
      <c r="O3237">
        <f>-752.56412068634 -79.390644433038 -716.594860344029</f>
        <v>-1548.549625463407</v>
      </c>
      <c r="P3237">
        <f>-709.475991351878 -82.0634793874822 -403.030807136657</f>
        <v>-1194.5702778760171</v>
      </c>
      <c r="Q3237">
        <f>-461.394471217821 -16.6179772255771 -360.434037033551</f>
        <v>-838.44648547694908</v>
      </c>
      <c r="R3237" t="s">
        <v>67589</v>
      </c>
      <c r="S3237" t="s">
        <v>67590</v>
      </c>
      <c r="T3237" t="s">
        <v>67591</v>
      </c>
      <c r="U3237" t="s">
        <v>67592</v>
      </c>
      <c r="V3237" t="s">
        <v>67593</v>
      </c>
      <c r="W3237" t="s">
        <v>67594</v>
      </c>
      <c r="X3237" t="s">
        <v>67595</v>
      </c>
      <c r="Y3237" t="s">
        <v>67596</v>
      </c>
    </row>
    <row r="3238" spans="1:25" x14ac:dyDescent="0.3">
      <c r="A3238">
        <v>161850</v>
      </c>
      <c r="B3238" t="s">
        <v>67597</v>
      </c>
      <c r="C3238" t="s">
        <v>67598</v>
      </c>
      <c r="D3238" t="s">
        <v>67599</v>
      </c>
      <c r="E3238" t="s">
        <v>67600</v>
      </c>
      <c r="F3238" t="s">
        <v>67601</v>
      </c>
      <c r="G3238" t="s">
        <v>67602</v>
      </c>
      <c r="H3238" t="s">
        <v>67603</v>
      </c>
      <c r="I3238" t="s">
        <v>67604</v>
      </c>
      <c r="J3238" t="s">
        <v>67605</v>
      </c>
      <c r="K3238" t="s">
        <v>67606</v>
      </c>
      <c r="L3238" t="s">
        <v>67607</v>
      </c>
      <c r="M3238" t="s">
        <v>67608</v>
      </c>
      <c r="N3238" t="s">
        <v>67609</v>
      </c>
      <c r="O3238">
        <f>-752.213843302312 -79.1188504448921 -716.061720518812</f>
        <v>-1547.3944142660162</v>
      </c>
      <c r="P3238">
        <f>-708.077641242131 -81.7371953048128 -402.643017032387</f>
        <v>-1192.4578535793307</v>
      </c>
      <c r="Q3238">
        <f>-459.63341276043 -16.9576381204058 -361.156955841427</f>
        <v>-837.74800672226286</v>
      </c>
      <c r="R3238" t="s">
        <v>67610</v>
      </c>
      <c r="S3238" t="s">
        <v>67611</v>
      </c>
      <c r="T3238" t="s">
        <v>67612</v>
      </c>
      <c r="U3238" t="s">
        <v>67613</v>
      </c>
      <c r="V3238" t="s">
        <v>67614</v>
      </c>
      <c r="W3238" t="s">
        <v>67615</v>
      </c>
      <c r="X3238" t="s">
        <v>67616</v>
      </c>
      <c r="Y3238" t="s">
        <v>67617</v>
      </c>
    </row>
    <row r="3239" spans="1:25" x14ac:dyDescent="0.3">
      <c r="A3239">
        <v>161900</v>
      </c>
      <c r="B3239" t="s">
        <v>67618</v>
      </c>
      <c r="C3239" t="s">
        <v>67619</v>
      </c>
      <c r="D3239" t="s">
        <v>67620</v>
      </c>
      <c r="E3239" t="s">
        <v>67621</v>
      </c>
      <c r="F3239" t="s">
        <v>67622</v>
      </c>
      <c r="G3239" t="s">
        <v>67623</v>
      </c>
      <c r="H3239" t="s">
        <v>67624</v>
      </c>
      <c r="I3239" t="s">
        <v>67625</v>
      </c>
      <c r="J3239" t="s">
        <v>67626</v>
      </c>
      <c r="K3239" t="s">
        <v>67627</v>
      </c>
      <c r="L3239" t="s">
        <v>67628</v>
      </c>
      <c r="M3239" t="s">
        <v>67629</v>
      </c>
      <c r="N3239" t="s">
        <v>67630</v>
      </c>
      <c r="O3239">
        <f>-751.982636541349 -79.3222823714955 -715.557537062074</f>
        <v>-1546.8624559749185</v>
      </c>
      <c r="P3239">
        <f>-708.04545196271 -81.2429927681762 -402.105658077611</f>
        <v>-1191.3941028084973</v>
      </c>
      <c r="Q3239">
        <f>-459.391533365675 -17.1800120594057 -360.762523758543</f>
        <v>-837.3340691836238</v>
      </c>
      <c r="R3239" t="s">
        <v>67631</v>
      </c>
      <c r="S3239" t="s">
        <v>67632</v>
      </c>
      <c r="T3239" t="s">
        <v>67633</v>
      </c>
      <c r="U3239" t="s">
        <v>67634</v>
      </c>
      <c r="V3239" t="s">
        <v>67635</v>
      </c>
      <c r="W3239" t="s">
        <v>67636</v>
      </c>
      <c r="X3239" t="s">
        <v>67637</v>
      </c>
      <c r="Y3239" t="s">
        <v>67638</v>
      </c>
    </row>
    <row r="3240" spans="1:25" x14ac:dyDescent="0.3">
      <c r="A3240">
        <v>161950</v>
      </c>
      <c r="B3240" t="s">
        <v>67639</v>
      </c>
      <c r="C3240" t="s">
        <v>67640</v>
      </c>
      <c r="D3240" t="s">
        <v>67641</v>
      </c>
      <c r="E3240" t="s">
        <v>67642</v>
      </c>
      <c r="F3240" t="s">
        <v>67643</v>
      </c>
      <c r="G3240" t="s">
        <v>67644</v>
      </c>
      <c r="H3240" t="s">
        <v>67645</v>
      </c>
      <c r="I3240" t="s">
        <v>67646</v>
      </c>
      <c r="J3240" t="s">
        <v>67647</v>
      </c>
      <c r="K3240" t="s">
        <v>67648</v>
      </c>
      <c r="L3240" t="s">
        <v>67649</v>
      </c>
      <c r="M3240" t="s">
        <v>67650</v>
      </c>
      <c r="N3240" t="s">
        <v>67651</v>
      </c>
      <c r="O3240">
        <f>-751.231165322939 -79.4777702937788 -714.501750798215</f>
        <v>-1545.2106864149328</v>
      </c>
      <c r="P3240">
        <f>-707.617893461463 -79.5682714437319 -400.998927946285</f>
        <v>-1188.18509285148</v>
      </c>
      <c r="Q3240">
        <f>-458.489372255541 -17.5724366056584 -359.36301195184</f>
        <v>-835.42482081303945</v>
      </c>
      <c r="R3240" t="s">
        <v>67652</v>
      </c>
      <c r="S3240" t="s">
        <v>67653</v>
      </c>
      <c r="T3240" t="s">
        <v>67654</v>
      </c>
      <c r="U3240" t="s">
        <v>67655</v>
      </c>
      <c r="V3240" t="s">
        <v>67656</v>
      </c>
      <c r="W3240" t="s">
        <v>67657</v>
      </c>
      <c r="X3240" t="s">
        <v>67658</v>
      </c>
      <c r="Y3240" t="s">
        <v>67659</v>
      </c>
    </row>
    <row r="3241" spans="1:25" x14ac:dyDescent="0.3">
      <c r="A3241">
        <v>162000</v>
      </c>
      <c r="B3241" t="s">
        <v>67660</v>
      </c>
      <c r="C3241" t="s">
        <v>67661</v>
      </c>
      <c r="D3241" t="s">
        <v>67662</v>
      </c>
      <c r="E3241" t="s">
        <v>67663</v>
      </c>
      <c r="F3241" t="s">
        <v>67664</v>
      </c>
      <c r="G3241" t="s">
        <v>67665</v>
      </c>
      <c r="H3241" t="s">
        <v>67666</v>
      </c>
      <c r="I3241" t="s">
        <v>67667</v>
      </c>
      <c r="J3241" t="s">
        <v>67668</v>
      </c>
      <c r="K3241" t="s">
        <v>67669</v>
      </c>
      <c r="L3241" t="s">
        <v>67670</v>
      </c>
      <c r="M3241" t="s">
        <v>67671</v>
      </c>
      <c r="N3241" t="s">
        <v>67672</v>
      </c>
      <c r="O3241">
        <f>-751.228224645192 -79.9711410400985 -713.834551729035</f>
        <v>-1545.0339174143255</v>
      </c>
      <c r="P3241">
        <f>-707.343654561384 -79.6430206933969 -400.369755357549</f>
        <v>-1187.3564306123299</v>
      </c>
      <c r="Q3241">
        <f>-457.95909933268 -18.3203877506196 -359.272745625813</f>
        <v>-835.55223270911256</v>
      </c>
      <c r="R3241" t="s">
        <v>67673</v>
      </c>
      <c r="S3241" t="s">
        <v>67674</v>
      </c>
      <c r="T3241" t="s">
        <v>67675</v>
      </c>
      <c r="U3241" t="s">
        <v>67676</v>
      </c>
      <c r="V3241" t="s">
        <v>67677</v>
      </c>
      <c r="W3241" t="s">
        <v>67678</v>
      </c>
      <c r="X3241" t="s">
        <v>67679</v>
      </c>
      <c r="Y3241" t="s">
        <v>67680</v>
      </c>
    </row>
    <row r="3242" spans="1:25" x14ac:dyDescent="0.3">
      <c r="A3242">
        <v>162050</v>
      </c>
      <c r="B3242" t="s">
        <v>67681</v>
      </c>
      <c r="C3242" t="s">
        <v>67682</v>
      </c>
      <c r="D3242" t="s">
        <v>67683</v>
      </c>
      <c r="E3242" t="s">
        <v>67684</v>
      </c>
      <c r="F3242" t="s">
        <v>67685</v>
      </c>
      <c r="G3242" t="s">
        <v>67686</v>
      </c>
      <c r="H3242" t="s">
        <v>67687</v>
      </c>
      <c r="I3242" t="s">
        <v>67688</v>
      </c>
      <c r="J3242" t="s">
        <v>67689</v>
      </c>
      <c r="K3242" t="s">
        <v>67690</v>
      </c>
      <c r="L3242" t="s">
        <v>67691</v>
      </c>
      <c r="M3242" t="s">
        <v>67692</v>
      </c>
      <c r="N3242" t="s">
        <v>67693</v>
      </c>
      <c r="O3242">
        <f>-751.158023076811 -81.2718043184489 -712.696458668405</f>
        <v>-1545.1262860636648</v>
      </c>
      <c r="P3242">
        <f>-706.132002724684 -80.6955544939672 -399.393921249794</f>
        <v>-1186.2214784684452</v>
      </c>
      <c r="Q3242">
        <f>-456.259973744894 -19.7590543472147 -360.758038558432</f>
        <v>-836.77706665054075</v>
      </c>
      <c r="R3242" t="s">
        <v>67694</v>
      </c>
      <c r="S3242" t="s">
        <v>67695</v>
      </c>
      <c r="T3242" t="s">
        <v>67696</v>
      </c>
      <c r="U3242" t="s">
        <v>67697</v>
      </c>
      <c r="V3242" t="s">
        <v>67698</v>
      </c>
      <c r="W3242" t="s">
        <v>67699</v>
      </c>
      <c r="X3242" t="s">
        <v>67700</v>
      </c>
      <c r="Y3242" t="s">
        <v>67701</v>
      </c>
    </row>
    <row r="3243" spans="1:25" x14ac:dyDescent="0.3">
      <c r="A3243">
        <v>162100</v>
      </c>
      <c r="B3243" t="s">
        <v>67702</v>
      </c>
      <c r="C3243" t="s">
        <v>67703</v>
      </c>
      <c r="D3243" t="s">
        <v>67704</v>
      </c>
      <c r="E3243" t="s">
        <v>67705</v>
      </c>
      <c r="F3243" t="s">
        <v>67706</v>
      </c>
      <c r="G3243" t="s">
        <v>67707</v>
      </c>
      <c r="H3243" t="s">
        <v>67708</v>
      </c>
      <c r="I3243" t="s">
        <v>67709</v>
      </c>
      <c r="J3243" t="s">
        <v>67710</v>
      </c>
      <c r="K3243" t="s">
        <v>67711</v>
      </c>
      <c r="L3243" t="s">
        <v>67712</v>
      </c>
      <c r="M3243" t="s">
        <v>67713</v>
      </c>
      <c r="N3243" t="s">
        <v>67714</v>
      </c>
      <c r="O3243">
        <f>-750.742044026488 -82.0002745700265 -712.313715761872</f>
        <v>-1545.0560343583866</v>
      </c>
      <c r="P3243">
        <f>-705.120761363833 -81.0512324835963 -399.098259747753</f>
        <v>-1185.2702535951823</v>
      </c>
      <c r="Q3243">
        <f>-454.926448719541 -20.5528255462496 -361.885132314768</f>
        <v>-837.36440658055858</v>
      </c>
      <c r="R3243" t="s">
        <v>67715</v>
      </c>
      <c r="S3243" t="s">
        <v>67716</v>
      </c>
      <c r="T3243" t="s">
        <v>67717</v>
      </c>
      <c r="U3243" t="s">
        <v>67718</v>
      </c>
      <c r="V3243" t="s">
        <v>67719</v>
      </c>
      <c r="W3243" t="s">
        <v>67720</v>
      </c>
      <c r="X3243" t="s">
        <v>67721</v>
      </c>
      <c r="Y3243" t="s">
        <v>67722</v>
      </c>
    </row>
    <row r="3244" spans="1:25" x14ac:dyDescent="0.3">
      <c r="A3244">
        <v>162150</v>
      </c>
      <c r="B3244" t="s">
        <v>67723</v>
      </c>
      <c r="C3244" t="s">
        <v>67724</v>
      </c>
      <c r="D3244" t="s">
        <v>67725</v>
      </c>
      <c r="E3244" t="s">
        <v>67726</v>
      </c>
      <c r="F3244" t="s">
        <v>67727</v>
      </c>
      <c r="G3244" t="s">
        <v>67728</v>
      </c>
      <c r="H3244" t="s">
        <v>67729</v>
      </c>
      <c r="I3244" t="s">
        <v>67730</v>
      </c>
      <c r="J3244" t="s">
        <v>67731</v>
      </c>
      <c r="K3244" t="s">
        <v>67732</v>
      </c>
      <c r="L3244" t="s">
        <v>67733</v>
      </c>
      <c r="M3244" t="s">
        <v>67734</v>
      </c>
      <c r="N3244" t="s">
        <v>67735</v>
      </c>
      <c r="O3244">
        <f>-749.800555605469 -83.4602454726607 -711.575442013466</f>
        <v>-1544.8362430915959</v>
      </c>
      <c r="P3244">
        <f>-703.865687001469 -81.9983641124338 -398.407777058094</f>
        <v>-1184.2718281719967</v>
      </c>
      <c r="Q3244">
        <f>-453.120826602438 -23.0769698658808 -362.389625126918</f>
        <v>-838.58742159523683</v>
      </c>
      <c r="R3244" t="s">
        <v>67736</v>
      </c>
      <c r="S3244" t="s">
        <v>67737</v>
      </c>
      <c r="T3244" t="s">
        <v>67738</v>
      </c>
      <c r="U3244" t="s">
        <v>67739</v>
      </c>
      <c r="V3244" t="s">
        <v>67740</v>
      </c>
      <c r="W3244" t="s">
        <v>67741</v>
      </c>
      <c r="X3244" t="s">
        <v>67742</v>
      </c>
      <c r="Y3244" t="s">
        <v>67743</v>
      </c>
    </row>
    <row r="3245" spans="1:25" x14ac:dyDescent="0.3">
      <c r="A3245">
        <v>162200</v>
      </c>
      <c r="B3245" t="s">
        <v>67744</v>
      </c>
      <c r="C3245" t="s">
        <v>67745</v>
      </c>
      <c r="D3245" t="s">
        <v>67746</v>
      </c>
      <c r="E3245" t="s">
        <v>67747</v>
      </c>
      <c r="F3245" t="s">
        <v>67748</v>
      </c>
      <c r="G3245" t="s">
        <v>67749</v>
      </c>
      <c r="H3245" t="s">
        <v>67750</v>
      </c>
      <c r="I3245" t="s">
        <v>67751</v>
      </c>
      <c r="J3245" t="s">
        <v>67752</v>
      </c>
      <c r="K3245" t="s">
        <v>67753</v>
      </c>
      <c r="L3245" t="s">
        <v>67754</v>
      </c>
      <c r="M3245" t="s">
        <v>67755</v>
      </c>
      <c r="N3245" t="s">
        <v>67756</v>
      </c>
      <c r="O3245">
        <f>-748.878047998726 -84.421778519667 -711.250038103153</f>
        <v>-1544.549864621546</v>
      </c>
      <c r="P3245">
        <f>-703.155273448463 -82.7741950261479 -398.052126874996</f>
        <v>-1183.981595349607</v>
      </c>
      <c r="Q3245">
        <f>-452.143253384729 -24.9613864892615 -362.098230699483</f>
        <v>-839.20287057347355</v>
      </c>
      <c r="R3245" t="s">
        <v>67757</v>
      </c>
      <c r="S3245" t="s">
        <v>67758</v>
      </c>
      <c r="T3245" t="s">
        <v>67759</v>
      </c>
      <c r="U3245" t="s">
        <v>67760</v>
      </c>
      <c r="V3245" t="s">
        <v>67761</v>
      </c>
      <c r="W3245" t="s">
        <v>67762</v>
      </c>
      <c r="X3245" t="s">
        <v>67763</v>
      </c>
      <c r="Y3245" t="s">
        <v>67764</v>
      </c>
    </row>
    <row r="3246" spans="1:25" x14ac:dyDescent="0.3">
      <c r="A3246">
        <v>162250</v>
      </c>
      <c r="B3246" t="s">
        <v>67765</v>
      </c>
      <c r="C3246" t="s">
        <v>67766</v>
      </c>
      <c r="D3246" t="s">
        <v>67767</v>
      </c>
      <c r="E3246" t="s">
        <v>67768</v>
      </c>
      <c r="F3246" t="s">
        <v>67769</v>
      </c>
      <c r="G3246" t="s">
        <v>67770</v>
      </c>
      <c r="H3246" t="s">
        <v>67771</v>
      </c>
      <c r="I3246" t="s">
        <v>67772</v>
      </c>
      <c r="J3246" t="s">
        <v>67773</v>
      </c>
      <c r="K3246" t="s">
        <v>67774</v>
      </c>
      <c r="L3246" t="s">
        <v>67775</v>
      </c>
      <c r="M3246" t="s">
        <v>67776</v>
      </c>
      <c r="N3246" t="s">
        <v>67777</v>
      </c>
      <c r="O3246">
        <f>-747.997012330796 -85.9982191454296 -710.472597978322</f>
        <v>-1544.4678294545477</v>
      </c>
      <c r="P3246">
        <f>-702.366962512563 -83.9598475186476 -397.263392631774</f>
        <v>-1183.5902026629847</v>
      </c>
      <c r="Q3246">
        <f>-451.181599312077 -26.3500951249448 -362.205084711281</f>
        <v>-839.73677914830284</v>
      </c>
      <c r="R3246" t="s">
        <v>67778</v>
      </c>
      <c r="S3246" t="s">
        <v>67779</v>
      </c>
      <c r="T3246" t="s">
        <v>67780</v>
      </c>
      <c r="U3246" t="s">
        <v>67781</v>
      </c>
      <c r="V3246" t="s">
        <v>67782</v>
      </c>
      <c r="W3246" t="s">
        <v>67783</v>
      </c>
      <c r="X3246" t="s">
        <v>67784</v>
      </c>
      <c r="Y3246" t="s">
        <v>67785</v>
      </c>
    </row>
    <row r="3247" spans="1:25" x14ac:dyDescent="0.3">
      <c r="A3247">
        <v>162300</v>
      </c>
      <c r="B3247" t="s">
        <v>67786</v>
      </c>
      <c r="C3247" t="s">
        <v>67787</v>
      </c>
      <c r="D3247" t="s">
        <v>67788</v>
      </c>
      <c r="E3247" t="s">
        <v>67789</v>
      </c>
      <c r="F3247" t="s">
        <v>67790</v>
      </c>
      <c r="G3247" t="s">
        <v>67791</v>
      </c>
      <c r="H3247" t="s">
        <v>67792</v>
      </c>
      <c r="I3247" t="s">
        <v>67793</v>
      </c>
      <c r="J3247" t="s">
        <v>67794</v>
      </c>
      <c r="K3247" t="s">
        <v>67795</v>
      </c>
      <c r="L3247" t="s">
        <v>67796</v>
      </c>
      <c r="M3247" t="s">
        <v>67797</v>
      </c>
      <c r="N3247" t="s">
        <v>67798</v>
      </c>
      <c r="O3247">
        <f>-747.449785631293 -86.8223182449353 -710.243611315902</f>
        <v>-1544.5157151921303</v>
      </c>
      <c r="P3247">
        <f>-701.857708581394 -84.4820061908783 -397.031042189421</f>
        <v>-1183.3707569616934</v>
      </c>
      <c r="Q3247">
        <f>-450.667222547925 -26.8174347366669 -362.099853759005</f>
        <v>-839.58451104359688</v>
      </c>
      <c r="R3247" t="s">
        <v>67799</v>
      </c>
      <c r="S3247" t="s">
        <v>67800</v>
      </c>
      <c r="T3247" t="s">
        <v>67801</v>
      </c>
      <c r="U3247" t="s">
        <v>67802</v>
      </c>
      <c r="V3247" t="s">
        <v>67803</v>
      </c>
      <c r="W3247" t="s">
        <v>67804</v>
      </c>
      <c r="X3247" t="s">
        <v>67805</v>
      </c>
      <c r="Y3247" t="s">
        <v>67806</v>
      </c>
    </row>
    <row r="3248" spans="1:25" x14ac:dyDescent="0.3">
      <c r="A3248">
        <v>162350</v>
      </c>
      <c r="B3248" t="s">
        <v>67807</v>
      </c>
      <c r="C3248" t="s">
        <v>67808</v>
      </c>
      <c r="D3248" t="s">
        <v>67809</v>
      </c>
      <c r="E3248" t="s">
        <v>67810</v>
      </c>
      <c r="F3248" t="s">
        <v>67811</v>
      </c>
      <c r="G3248" t="s">
        <v>67812</v>
      </c>
      <c r="H3248" t="s">
        <v>67813</v>
      </c>
      <c r="I3248" t="s">
        <v>67814</v>
      </c>
      <c r="J3248" t="s">
        <v>67815</v>
      </c>
      <c r="K3248" t="s">
        <v>67816</v>
      </c>
      <c r="L3248" t="s">
        <v>67817</v>
      </c>
      <c r="M3248" t="s">
        <v>67818</v>
      </c>
      <c r="N3248" t="s">
        <v>67819</v>
      </c>
      <c r="O3248">
        <f>-746.958956245957 -87.4195213279561 -710.11532704522</f>
        <v>-1544.4938046191332</v>
      </c>
      <c r="P3248">
        <f>-700.46863648058 -83.6276080454875 -397.049243649667</f>
        <v>-1181.1454881757345</v>
      </c>
      <c r="Q3248">
        <f>-449.555856719027 -25.3044182672907 -361.226764825341</f>
        <v>-836.08703981165877</v>
      </c>
      <c r="R3248" t="s">
        <v>67820</v>
      </c>
      <c r="S3248" t="s">
        <v>67821</v>
      </c>
      <c r="T3248" t="s">
        <v>67822</v>
      </c>
      <c r="U3248" t="s">
        <v>67823</v>
      </c>
      <c r="V3248" t="s">
        <v>67824</v>
      </c>
      <c r="W3248" t="s">
        <v>67825</v>
      </c>
      <c r="X3248" t="s">
        <v>67826</v>
      </c>
      <c r="Y3248" t="s">
        <v>67827</v>
      </c>
    </row>
    <row r="3249" spans="1:25" x14ac:dyDescent="0.3">
      <c r="A3249">
        <v>162400</v>
      </c>
      <c r="B3249" t="s">
        <v>67828</v>
      </c>
      <c r="C3249" t="s">
        <v>67829</v>
      </c>
      <c r="D3249" t="s">
        <v>67830</v>
      </c>
      <c r="E3249" t="s">
        <v>67831</v>
      </c>
      <c r="F3249" t="s">
        <v>67832</v>
      </c>
      <c r="G3249" t="s">
        <v>67833</v>
      </c>
      <c r="H3249" t="s">
        <v>67834</v>
      </c>
      <c r="I3249" t="s">
        <v>67835</v>
      </c>
      <c r="J3249" t="s">
        <v>67836</v>
      </c>
      <c r="K3249" t="s">
        <v>67837</v>
      </c>
      <c r="L3249" t="s">
        <v>67838</v>
      </c>
      <c r="M3249" t="s">
        <v>67839</v>
      </c>
      <c r="N3249" t="s">
        <v>67840</v>
      </c>
      <c r="O3249">
        <f>-746.431391114796 -87.6014149245336 -710.292066358274</f>
        <v>-1544.3248723976037</v>
      </c>
      <c r="P3249">
        <f>-700.152528920907 -84.0840623778024 -397.19124286191</f>
        <v>-1181.4278341606193</v>
      </c>
      <c r="Q3249">
        <f>-450.065890089825 -23.7154385272167 -359.055314780134</f>
        <v>-832.83664339717575</v>
      </c>
      <c r="R3249" t="s">
        <v>67841</v>
      </c>
      <c r="S3249" t="s">
        <v>67842</v>
      </c>
      <c r="T3249" t="s">
        <v>67843</v>
      </c>
      <c r="U3249" t="s">
        <v>67844</v>
      </c>
      <c r="V3249" t="s">
        <v>67845</v>
      </c>
      <c r="W3249" t="s">
        <v>67846</v>
      </c>
      <c r="X3249" t="s">
        <v>67847</v>
      </c>
      <c r="Y3249" t="s">
        <v>67848</v>
      </c>
    </row>
    <row r="3250" spans="1:25" x14ac:dyDescent="0.3">
      <c r="A3250">
        <v>162450</v>
      </c>
      <c r="B3250" t="s">
        <v>67849</v>
      </c>
      <c r="C3250" t="s">
        <v>67850</v>
      </c>
      <c r="D3250" t="s">
        <v>67851</v>
      </c>
      <c r="E3250" t="s">
        <v>67852</v>
      </c>
      <c r="F3250" t="s">
        <v>67853</v>
      </c>
      <c r="G3250" t="s">
        <v>67854</v>
      </c>
      <c r="H3250" t="s">
        <v>67855</v>
      </c>
      <c r="I3250" t="s">
        <v>67856</v>
      </c>
      <c r="J3250" t="s">
        <v>67857</v>
      </c>
      <c r="K3250" t="s">
        <v>67858</v>
      </c>
      <c r="L3250" t="s">
        <v>67859</v>
      </c>
      <c r="M3250" t="s">
        <v>67860</v>
      </c>
      <c r="N3250" t="s">
        <v>67861</v>
      </c>
      <c r="O3250">
        <f>-746.342513068932 -87.4705433032286 -710.471864088182</f>
        <v>-1544.2849204603426</v>
      </c>
      <c r="P3250">
        <f>-700.406128587118 -84.4782351846609 -397.315222064503</f>
        <v>-1182.199585836282</v>
      </c>
      <c r="Q3250">
        <f>-450.898501994276 -22.4546910594145 -358.05877881499</f>
        <v>-831.41197186868044</v>
      </c>
      <c r="R3250" t="s">
        <v>67862</v>
      </c>
      <c r="S3250" t="s">
        <v>67863</v>
      </c>
      <c r="T3250" t="s">
        <v>67864</v>
      </c>
      <c r="U3250" t="s">
        <v>67865</v>
      </c>
      <c r="V3250" t="s">
        <v>67866</v>
      </c>
      <c r="W3250" t="s">
        <v>67867</v>
      </c>
      <c r="X3250" t="s">
        <v>67868</v>
      </c>
      <c r="Y3250" t="s">
        <v>67869</v>
      </c>
    </row>
    <row r="3251" spans="1:25" x14ac:dyDescent="0.3">
      <c r="A3251">
        <v>162500</v>
      </c>
      <c r="B3251" t="s">
        <v>67870</v>
      </c>
      <c r="C3251" t="s">
        <v>67871</v>
      </c>
      <c r="D3251" t="s">
        <v>67872</v>
      </c>
      <c r="E3251" t="s">
        <v>67873</v>
      </c>
      <c r="F3251" t="s">
        <v>67874</v>
      </c>
      <c r="G3251" t="s">
        <v>67875</v>
      </c>
      <c r="H3251" t="s">
        <v>67876</v>
      </c>
      <c r="I3251" t="s">
        <v>67877</v>
      </c>
      <c r="J3251" t="s">
        <v>67878</v>
      </c>
      <c r="K3251" t="s">
        <v>67879</v>
      </c>
      <c r="L3251" t="s">
        <v>67880</v>
      </c>
      <c r="M3251" t="s">
        <v>67881</v>
      </c>
      <c r="N3251" t="s">
        <v>67882</v>
      </c>
      <c r="O3251">
        <f>-746.093978552016 -87.1518695658071 -710.626392738796</f>
        <v>-1543.8722408566191</v>
      </c>
      <c r="P3251">
        <f>-699.928683498569 -85.0478730862783 -397.496139191164</f>
        <v>-1182.4726957760113</v>
      </c>
      <c r="Q3251">
        <f>-450.889452227248 -21.4650095417771 -357.763262890234</f>
        <v>-830.11772465925901</v>
      </c>
      <c r="R3251" t="s">
        <v>67883</v>
      </c>
      <c r="S3251" t="s">
        <v>67884</v>
      </c>
      <c r="T3251" t="s">
        <v>67885</v>
      </c>
      <c r="U3251" t="s">
        <v>67886</v>
      </c>
      <c r="V3251" t="s">
        <v>67887</v>
      </c>
      <c r="W3251" t="s">
        <v>67888</v>
      </c>
      <c r="X3251" t="s">
        <v>67889</v>
      </c>
      <c r="Y3251" t="s">
        <v>67890</v>
      </c>
    </row>
    <row r="3252" spans="1:25" x14ac:dyDescent="0.3">
      <c r="A3252">
        <v>162550</v>
      </c>
      <c r="B3252" t="s">
        <v>67891</v>
      </c>
      <c r="C3252" t="s">
        <v>67892</v>
      </c>
      <c r="D3252" t="s">
        <v>67893</v>
      </c>
      <c r="E3252" t="s">
        <v>67894</v>
      </c>
      <c r="F3252" t="s">
        <v>67895</v>
      </c>
      <c r="G3252" t="s">
        <v>67896</v>
      </c>
      <c r="H3252" t="s">
        <v>67897</v>
      </c>
      <c r="I3252" t="s">
        <v>67898</v>
      </c>
      <c r="J3252" t="s">
        <v>67899</v>
      </c>
      <c r="K3252" t="s">
        <v>67900</v>
      </c>
      <c r="L3252" t="s">
        <v>67901</v>
      </c>
      <c r="M3252" t="s">
        <v>67902</v>
      </c>
      <c r="N3252" t="s">
        <v>67903</v>
      </c>
      <c r="O3252">
        <f>-746.230384304617 -87.3741005839338 -710.542403814278</f>
        <v>-1544.1468887028288</v>
      </c>
      <c r="P3252">
        <f>-699.241702719561 -85.3350111723942 -397.534271668702</f>
        <v>-1182.1109855606571</v>
      </c>
      <c r="Q3252">
        <f>-450.891769822654 -19.0742769801952 -357.862475652053</f>
        <v>-827.82852245490221</v>
      </c>
      <c r="R3252" t="s">
        <v>67904</v>
      </c>
      <c r="S3252" t="s">
        <v>67905</v>
      </c>
      <c r="T3252" t="s">
        <v>67906</v>
      </c>
      <c r="U3252" t="s">
        <v>67907</v>
      </c>
      <c r="V3252" t="s">
        <v>67908</v>
      </c>
      <c r="W3252" t="s">
        <v>67909</v>
      </c>
      <c r="X3252" t="s">
        <v>67910</v>
      </c>
      <c r="Y3252" t="s">
        <v>67911</v>
      </c>
    </row>
    <row r="3253" spans="1:25" x14ac:dyDescent="0.3">
      <c r="A3253">
        <v>162600</v>
      </c>
      <c r="B3253" t="s">
        <v>67912</v>
      </c>
      <c r="C3253" t="s">
        <v>67913</v>
      </c>
      <c r="D3253" t="s">
        <v>67914</v>
      </c>
      <c r="E3253" t="s">
        <v>67915</v>
      </c>
      <c r="F3253" t="s">
        <v>67916</v>
      </c>
      <c r="G3253" t="s">
        <v>67917</v>
      </c>
      <c r="H3253" t="s">
        <v>67918</v>
      </c>
      <c r="I3253" t="s">
        <v>67919</v>
      </c>
      <c r="J3253" t="s">
        <v>67920</v>
      </c>
      <c r="K3253" t="s">
        <v>67921</v>
      </c>
      <c r="L3253" t="s">
        <v>67922</v>
      </c>
      <c r="M3253" t="s">
        <v>67923</v>
      </c>
      <c r="N3253" t="s">
        <v>67924</v>
      </c>
      <c r="O3253">
        <f>-746.245249011622 -87.6490067119762 -710.47603765858</f>
        <v>-1544.3702933821783</v>
      </c>
      <c r="P3253">
        <f>-699.121837965704 -85.3998222510577 -397.489593750381</f>
        <v>-1182.0112539671427</v>
      </c>
      <c r="Q3253">
        <f>-450.753576292485 -19.2765662155068 -357.702797556442</f>
        <v>-827.73294006443382</v>
      </c>
      <c r="R3253" t="s">
        <v>67925</v>
      </c>
      <c r="S3253" t="s">
        <v>67926</v>
      </c>
      <c r="T3253" t="s">
        <v>67927</v>
      </c>
      <c r="U3253" t="s">
        <v>67928</v>
      </c>
      <c r="V3253" t="s">
        <v>67929</v>
      </c>
      <c r="W3253" t="s">
        <v>67930</v>
      </c>
      <c r="X3253" t="s">
        <v>67931</v>
      </c>
      <c r="Y3253" t="s">
        <v>67932</v>
      </c>
    </row>
    <row r="3254" spans="1:25" x14ac:dyDescent="0.3">
      <c r="A3254">
        <v>162650</v>
      </c>
      <c r="B3254" t="s">
        <v>67933</v>
      </c>
      <c r="C3254" t="s">
        <v>67934</v>
      </c>
      <c r="D3254" t="s">
        <v>67935</v>
      </c>
      <c r="E3254" t="s">
        <v>67936</v>
      </c>
      <c r="F3254" t="s">
        <v>67937</v>
      </c>
      <c r="G3254" t="s">
        <v>67938</v>
      </c>
      <c r="H3254" t="s">
        <v>67939</v>
      </c>
      <c r="I3254" t="s">
        <v>67940</v>
      </c>
      <c r="J3254" t="s">
        <v>67941</v>
      </c>
      <c r="K3254" t="s">
        <v>67942</v>
      </c>
      <c r="L3254" t="s">
        <v>67943</v>
      </c>
      <c r="M3254" t="s">
        <v>67944</v>
      </c>
      <c r="N3254" t="s">
        <v>67945</v>
      </c>
      <c r="O3254">
        <f>-746.019911400138 -88.1393670370792 -710.35183665668</f>
        <v>-1544.5111150938972</v>
      </c>
      <c r="P3254">
        <f>-699.060536165234 -85.6827672711042 -397.342243062598</f>
        <v>-1182.0855464989363</v>
      </c>
      <c r="Q3254">
        <f>-450.489183682242 -21.0653523283645 -356.367505075035</f>
        <v>-827.92204108564147</v>
      </c>
      <c r="R3254" t="s">
        <v>67946</v>
      </c>
      <c r="S3254" t="s">
        <v>67947</v>
      </c>
      <c r="T3254" t="s">
        <v>67948</v>
      </c>
      <c r="U3254" t="s">
        <v>67949</v>
      </c>
      <c r="V3254" t="s">
        <v>67950</v>
      </c>
      <c r="W3254" t="s">
        <v>67951</v>
      </c>
      <c r="X3254" t="s">
        <v>67952</v>
      </c>
      <c r="Y3254" t="s">
        <v>67953</v>
      </c>
    </row>
    <row r="3255" spans="1:25" x14ac:dyDescent="0.3">
      <c r="A3255">
        <v>162700</v>
      </c>
      <c r="B3255" t="s">
        <v>67954</v>
      </c>
      <c r="C3255" t="s">
        <v>67955</v>
      </c>
      <c r="D3255" t="s">
        <v>67956</v>
      </c>
      <c r="E3255" t="s">
        <v>67957</v>
      </c>
      <c r="F3255" t="s">
        <v>67958</v>
      </c>
      <c r="G3255" t="s">
        <v>67959</v>
      </c>
      <c r="H3255" t="s">
        <v>67960</v>
      </c>
      <c r="I3255" t="s">
        <v>67961</v>
      </c>
      <c r="J3255" t="s">
        <v>67962</v>
      </c>
      <c r="K3255" t="s">
        <v>67963</v>
      </c>
      <c r="L3255" t="s">
        <v>67964</v>
      </c>
      <c r="M3255" t="s">
        <v>67965</v>
      </c>
      <c r="N3255" t="s">
        <v>67966</v>
      </c>
      <c r="O3255">
        <f>-746.295504500133 -88.5064239447531 -710.128714821716</f>
        <v>-1544.9306432666021</v>
      </c>
      <c r="P3255">
        <f>-699.494363880578 -85.8818506267855 -397.096799744767</f>
        <v>-1182.4730142521305</v>
      </c>
      <c r="Q3255">
        <f>-450.790334396609 -21.7906580344088 -356.100533825662</f>
        <v>-828.68152625667983</v>
      </c>
      <c r="R3255" t="s">
        <v>67967</v>
      </c>
      <c r="S3255" t="s">
        <v>67968</v>
      </c>
      <c r="T3255" t="s">
        <v>67969</v>
      </c>
      <c r="U3255" t="s">
        <v>67970</v>
      </c>
      <c r="V3255" t="s">
        <v>67971</v>
      </c>
      <c r="W3255" t="s">
        <v>67972</v>
      </c>
      <c r="X3255" t="s">
        <v>67973</v>
      </c>
      <c r="Y3255" t="s">
        <v>67974</v>
      </c>
    </row>
    <row r="3256" spans="1:25" x14ac:dyDescent="0.3">
      <c r="A3256">
        <v>162750</v>
      </c>
      <c r="B3256" t="s">
        <v>67975</v>
      </c>
      <c r="C3256" t="s">
        <v>67976</v>
      </c>
      <c r="D3256" t="s">
        <v>67977</v>
      </c>
      <c r="E3256" t="s">
        <v>67978</v>
      </c>
      <c r="F3256" t="s">
        <v>67979</v>
      </c>
      <c r="G3256" t="s">
        <v>67980</v>
      </c>
      <c r="H3256" t="s">
        <v>67981</v>
      </c>
      <c r="I3256" t="s">
        <v>67982</v>
      </c>
      <c r="J3256" t="s">
        <v>67983</v>
      </c>
      <c r="K3256" t="s">
        <v>67984</v>
      </c>
      <c r="L3256" t="s">
        <v>67985</v>
      </c>
      <c r="M3256" t="s">
        <v>67986</v>
      </c>
      <c r="N3256" t="s">
        <v>67987</v>
      </c>
      <c r="O3256">
        <f>-747.00984964939 -88.5501480632281 -709.849160524613</f>
        <v>-1545.4091582372312</v>
      </c>
      <c r="P3256">
        <f>-699.542286932857 -85.6904492463425 -396.919702696214</f>
        <v>-1182.1524388754135</v>
      </c>
      <c r="Q3256">
        <f>-450.450768263033 -22.9432144180805 -356.197891141823</f>
        <v>-829.59187382293658</v>
      </c>
      <c r="R3256" t="s">
        <v>67988</v>
      </c>
      <c r="S3256" t="s">
        <v>67989</v>
      </c>
      <c r="T3256" t="s">
        <v>67990</v>
      </c>
      <c r="U3256" t="s">
        <v>67991</v>
      </c>
      <c r="V3256" t="s">
        <v>67992</v>
      </c>
      <c r="W3256" t="s">
        <v>67993</v>
      </c>
      <c r="X3256" t="s">
        <v>67994</v>
      </c>
      <c r="Y3256" t="s">
        <v>67995</v>
      </c>
    </row>
    <row r="3257" spans="1:25" x14ac:dyDescent="0.3">
      <c r="A3257">
        <v>162800</v>
      </c>
      <c r="B3257" t="s">
        <v>67996</v>
      </c>
      <c r="C3257" t="s">
        <v>67997</v>
      </c>
      <c r="D3257" t="s">
        <v>67998</v>
      </c>
      <c r="E3257" t="s">
        <v>67999</v>
      </c>
      <c r="F3257" t="s">
        <v>68000</v>
      </c>
      <c r="G3257" t="s">
        <v>68001</v>
      </c>
      <c r="H3257" t="s">
        <v>68002</v>
      </c>
      <c r="I3257" t="s">
        <v>68003</v>
      </c>
      <c r="J3257" t="s">
        <v>68004</v>
      </c>
      <c r="K3257" t="s">
        <v>68005</v>
      </c>
      <c r="L3257" t="s">
        <v>68006</v>
      </c>
      <c r="M3257" t="s">
        <v>68007</v>
      </c>
      <c r="N3257" t="s">
        <v>68008</v>
      </c>
      <c r="O3257">
        <f>-747.370534495182 -88.5009623958647 -709.7188757651</f>
        <v>-1545.5903726561469</v>
      </c>
      <c r="P3257">
        <f>-699.642128421297 -85.4420989185737 -396.831129621964</f>
        <v>-1181.9153569618347</v>
      </c>
      <c r="Q3257">
        <f>-450.449031189851 -23.0133805509843 -356.241201595855</f>
        <v>-829.7036133366903</v>
      </c>
      <c r="R3257" t="s">
        <v>68009</v>
      </c>
      <c r="S3257" t="s">
        <v>68010</v>
      </c>
      <c r="T3257" t="s">
        <v>68011</v>
      </c>
      <c r="U3257" t="s">
        <v>68012</v>
      </c>
      <c r="V3257" t="s">
        <v>68013</v>
      </c>
      <c r="W3257" t="s">
        <v>68014</v>
      </c>
      <c r="X3257" t="s">
        <v>68015</v>
      </c>
      <c r="Y3257" t="s">
        <v>68016</v>
      </c>
    </row>
    <row r="3258" spans="1:25" x14ac:dyDescent="0.3">
      <c r="A3258">
        <v>162850</v>
      </c>
      <c r="B3258" t="s">
        <v>68017</v>
      </c>
      <c r="C3258" t="s">
        <v>68018</v>
      </c>
      <c r="D3258" t="s">
        <v>68019</v>
      </c>
      <c r="E3258" t="s">
        <v>68020</v>
      </c>
      <c r="F3258" t="s">
        <v>68021</v>
      </c>
      <c r="G3258" t="s">
        <v>68022</v>
      </c>
      <c r="H3258" t="s">
        <v>68023</v>
      </c>
      <c r="I3258" t="s">
        <v>68024</v>
      </c>
      <c r="J3258" t="s">
        <v>68025</v>
      </c>
      <c r="K3258" t="s">
        <v>68026</v>
      </c>
      <c r="L3258" t="s">
        <v>68027</v>
      </c>
      <c r="M3258" t="s">
        <v>68028</v>
      </c>
      <c r="N3258" t="s">
        <v>68029</v>
      </c>
      <c r="O3258">
        <f>-748.295987304404 -88.0588377859556 -709.452602525851</f>
        <v>-1545.8074276162106</v>
      </c>
      <c r="P3258">
        <f>-700.234667039436 -84.9667767847845 -396.615908900742</f>
        <v>-1181.8173527249626</v>
      </c>
      <c r="Q3258">
        <f>-450.970145894395 -22.4669990296745 -356.577827273989</f>
        <v>-830.01497219805856</v>
      </c>
      <c r="R3258" t="s">
        <v>68030</v>
      </c>
      <c r="S3258" t="s">
        <v>68031</v>
      </c>
      <c r="T3258" t="s">
        <v>68032</v>
      </c>
      <c r="U3258" t="s">
        <v>68033</v>
      </c>
      <c r="V3258" t="s">
        <v>68034</v>
      </c>
      <c r="W3258" t="s">
        <v>68035</v>
      </c>
      <c r="X3258" t="s">
        <v>68036</v>
      </c>
      <c r="Y3258" t="s">
        <v>68037</v>
      </c>
    </row>
    <row r="3259" spans="1:25" x14ac:dyDescent="0.3">
      <c r="A3259">
        <v>162900</v>
      </c>
      <c r="B3259" t="s">
        <v>68038</v>
      </c>
      <c r="C3259" t="s">
        <v>68039</v>
      </c>
      <c r="D3259" t="s">
        <v>68040</v>
      </c>
      <c r="E3259" t="s">
        <v>68041</v>
      </c>
      <c r="F3259" t="s">
        <v>68042</v>
      </c>
      <c r="G3259" t="s">
        <v>68043</v>
      </c>
      <c r="H3259" t="s">
        <v>68044</v>
      </c>
      <c r="I3259" t="s">
        <v>68045</v>
      </c>
      <c r="J3259" t="s">
        <v>68046</v>
      </c>
      <c r="K3259" t="s">
        <v>68047</v>
      </c>
      <c r="L3259" t="s">
        <v>68048</v>
      </c>
      <c r="M3259" t="s">
        <v>68049</v>
      </c>
      <c r="N3259" t="s">
        <v>68050</v>
      </c>
      <c r="O3259">
        <f>-748.790845266475 -87.7399785609618 -709.264221802528</f>
        <v>-1545.795045629965</v>
      </c>
      <c r="P3259">
        <f>-700.62689205496 -84.4109783821852 -396.445817859608</f>
        <v>-1181.4836882967531</v>
      </c>
      <c r="Q3259">
        <f>-451.36554621507 -21.6197181039893 -356.847017951586</f>
        <v>-829.83228227064524</v>
      </c>
      <c r="R3259" t="s">
        <v>68051</v>
      </c>
      <c r="S3259" t="s">
        <v>68052</v>
      </c>
      <c r="T3259" t="s">
        <v>68053</v>
      </c>
      <c r="U3259" t="s">
        <v>68054</v>
      </c>
      <c r="V3259" t="s">
        <v>68055</v>
      </c>
      <c r="W3259" t="s">
        <v>68056</v>
      </c>
      <c r="X3259" t="s">
        <v>68057</v>
      </c>
      <c r="Y3259" t="s">
        <v>68058</v>
      </c>
    </row>
    <row r="3260" spans="1:25" x14ac:dyDescent="0.3">
      <c r="A3260">
        <v>162950</v>
      </c>
      <c r="B3260" t="s">
        <v>68059</v>
      </c>
      <c r="C3260" t="s">
        <v>68060</v>
      </c>
      <c r="D3260" t="s">
        <v>68061</v>
      </c>
      <c r="E3260" t="s">
        <v>68062</v>
      </c>
      <c r="F3260" t="s">
        <v>68063</v>
      </c>
      <c r="G3260" t="s">
        <v>68064</v>
      </c>
      <c r="H3260" t="s">
        <v>68065</v>
      </c>
      <c r="I3260" t="s">
        <v>68066</v>
      </c>
      <c r="J3260" t="s">
        <v>68067</v>
      </c>
      <c r="K3260" t="s">
        <v>68068</v>
      </c>
      <c r="L3260" t="s">
        <v>68069</v>
      </c>
      <c r="M3260" t="s">
        <v>68070</v>
      </c>
      <c r="N3260" t="s">
        <v>68071</v>
      </c>
      <c r="O3260">
        <f>-750.120440498783 -86.8261462139369 -709.020022845916</f>
        <v>-1545.9666095586358</v>
      </c>
      <c r="P3260">
        <f>-701.965964620773 -83.5087245187476 -396.200027635873</f>
        <v>-1181.6747167753936</v>
      </c>
      <c r="Q3260">
        <f>-452.790086064355 -19.9435459293181 -357.304281180343</f>
        <v>-830.03791317401613</v>
      </c>
      <c r="R3260" t="s">
        <v>68072</v>
      </c>
      <c r="S3260" t="s">
        <v>68073</v>
      </c>
      <c r="T3260" t="s">
        <v>68074</v>
      </c>
      <c r="U3260" t="s">
        <v>68075</v>
      </c>
      <c r="V3260" t="s">
        <v>68076</v>
      </c>
      <c r="W3260" t="s">
        <v>68077</v>
      </c>
      <c r="X3260" t="s">
        <v>68078</v>
      </c>
      <c r="Y3260" t="s">
        <v>68079</v>
      </c>
    </row>
    <row r="3261" spans="1:25" x14ac:dyDescent="0.3">
      <c r="A3261">
        <v>163000</v>
      </c>
      <c r="B3261" t="s">
        <v>68080</v>
      </c>
      <c r="C3261" t="s">
        <v>68081</v>
      </c>
      <c r="D3261" t="s">
        <v>68082</v>
      </c>
      <c r="E3261" t="s">
        <v>68083</v>
      </c>
      <c r="F3261" t="s">
        <v>68084</v>
      </c>
      <c r="G3261" t="s">
        <v>68085</v>
      </c>
      <c r="H3261" t="s">
        <v>68086</v>
      </c>
      <c r="I3261" t="s">
        <v>68087</v>
      </c>
      <c r="J3261" t="s">
        <v>68088</v>
      </c>
      <c r="K3261" t="s">
        <v>68089</v>
      </c>
      <c r="L3261" t="s">
        <v>68090</v>
      </c>
      <c r="M3261" t="s">
        <v>68091</v>
      </c>
      <c r="N3261" t="s">
        <v>68092</v>
      </c>
      <c r="O3261">
        <f>-750.818405894359 -86.0616362472206 -708.947342304797</f>
        <v>-1545.8273844463765</v>
      </c>
      <c r="P3261">
        <f>-702.458051139787 -82.7100413640503 -396.159444944219</f>
        <v>-1181.3275374480563</v>
      </c>
      <c r="Q3261">
        <f>-453.25206000953 -19.4977187551483 -356.884095074754</f>
        <v>-829.63387383943223</v>
      </c>
      <c r="R3261" t="s">
        <v>68093</v>
      </c>
      <c r="S3261" t="s">
        <v>68094</v>
      </c>
      <c r="T3261" t="s">
        <v>68095</v>
      </c>
      <c r="U3261" t="s">
        <v>68096</v>
      </c>
      <c r="V3261" t="s">
        <v>68097</v>
      </c>
      <c r="W3261" t="s">
        <v>68098</v>
      </c>
      <c r="X3261" t="s">
        <v>68099</v>
      </c>
      <c r="Y3261" t="s">
        <v>68100</v>
      </c>
    </row>
    <row r="3262" spans="1:25" x14ac:dyDescent="0.3">
      <c r="A3262">
        <v>163050</v>
      </c>
      <c r="B3262" t="s">
        <v>68101</v>
      </c>
      <c r="C3262" t="s">
        <v>68102</v>
      </c>
      <c r="D3262" t="s">
        <v>68103</v>
      </c>
      <c r="E3262" t="s">
        <v>68104</v>
      </c>
      <c r="F3262" t="s">
        <v>68105</v>
      </c>
      <c r="G3262" t="s">
        <v>68106</v>
      </c>
      <c r="H3262" t="s">
        <v>68107</v>
      </c>
      <c r="I3262" t="s">
        <v>68108</v>
      </c>
      <c r="J3262" t="s">
        <v>68109</v>
      </c>
      <c r="K3262" t="s">
        <v>68110</v>
      </c>
      <c r="L3262" t="s">
        <v>68111</v>
      </c>
      <c r="M3262" t="s">
        <v>68112</v>
      </c>
      <c r="N3262" t="s">
        <v>68113</v>
      </c>
      <c r="O3262">
        <f>-753.224750948128 -84.9871944995709 -708.630586261812</f>
        <v>-1546.8425317095109</v>
      </c>
      <c r="P3262">
        <f>-703.756090081939 -81.3466926138074 -396.019324742377</f>
        <v>-1181.1221074381233</v>
      </c>
      <c r="Q3262">
        <f>-454.757747029094 -18.3680631378552 -355.085722683198</f>
        <v>-828.21153285014725</v>
      </c>
      <c r="R3262" t="s">
        <v>68114</v>
      </c>
      <c r="S3262" t="s">
        <v>68115</v>
      </c>
      <c r="T3262" t="s">
        <v>68116</v>
      </c>
      <c r="U3262" t="s">
        <v>68117</v>
      </c>
      <c r="V3262" t="s">
        <v>68118</v>
      </c>
      <c r="W3262" t="s">
        <v>68119</v>
      </c>
      <c r="X3262" t="s">
        <v>68120</v>
      </c>
      <c r="Y3262" t="s">
        <v>68121</v>
      </c>
    </row>
    <row r="3263" spans="1:25" x14ac:dyDescent="0.3">
      <c r="A3263">
        <v>163100</v>
      </c>
      <c r="B3263" t="s">
        <v>68122</v>
      </c>
      <c r="C3263" t="s">
        <v>68123</v>
      </c>
      <c r="D3263" t="s">
        <v>68124</v>
      </c>
      <c r="E3263" t="s">
        <v>68125</v>
      </c>
      <c r="F3263" t="s">
        <v>68126</v>
      </c>
      <c r="G3263" t="s">
        <v>68127</v>
      </c>
      <c r="H3263" t="s">
        <v>68128</v>
      </c>
      <c r="I3263" t="s">
        <v>68129</v>
      </c>
      <c r="J3263" t="s">
        <v>68130</v>
      </c>
      <c r="K3263" t="s">
        <v>68131</v>
      </c>
      <c r="L3263" t="s">
        <v>68132</v>
      </c>
      <c r="M3263" t="s">
        <v>68133</v>
      </c>
      <c r="N3263" t="s">
        <v>68134</v>
      </c>
      <c r="O3263">
        <f>-754.144608127356 -84.2734730454563 -708.636882846583</f>
        <v>-1547.0549640193954</v>
      </c>
      <c r="P3263">
        <f>-704.5625128915 -80.7709895175451 -396.041977042087</f>
        <v>-1181.3754794511322</v>
      </c>
      <c r="Q3263">
        <f>-455.731551739171 -17.7406028525318 -354.180100190014</f>
        <v>-827.65225478171681</v>
      </c>
      <c r="R3263" t="s">
        <v>68135</v>
      </c>
      <c r="S3263" t="s">
        <v>68136</v>
      </c>
      <c r="T3263" t="s">
        <v>68137</v>
      </c>
      <c r="U3263" t="s">
        <v>68138</v>
      </c>
      <c r="V3263" t="s">
        <v>68139</v>
      </c>
      <c r="W3263" t="s">
        <v>68140</v>
      </c>
      <c r="X3263" t="s">
        <v>68141</v>
      </c>
      <c r="Y3263" t="s">
        <v>68142</v>
      </c>
    </row>
    <row r="3264" spans="1:25" x14ac:dyDescent="0.3">
      <c r="A3264">
        <v>163150</v>
      </c>
      <c r="B3264" t="s">
        <v>68143</v>
      </c>
      <c r="C3264" t="s">
        <v>68144</v>
      </c>
      <c r="D3264" t="s">
        <v>68145</v>
      </c>
      <c r="E3264" t="s">
        <v>68146</v>
      </c>
      <c r="F3264" t="s">
        <v>68147</v>
      </c>
      <c r="G3264" t="s">
        <v>68148</v>
      </c>
      <c r="H3264" t="s">
        <v>68149</v>
      </c>
      <c r="I3264" t="s">
        <v>68150</v>
      </c>
      <c r="J3264" t="s">
        <v>68151</v>
      </c>
      <c r="K3264" t="s">
        <v>68152</v>
      </c>
      <c r="L3264" t="s">
        <v>68153</v>
      </c>
      <c r="M3264" t="s">
        <v>68154</v>
      </c>
      <c r="N3264" t="s">
        <v>68155</v>
      </c>
      <c r="O3264">
        <f>-755.877452713556 -82.2688451043487 -708.943185727741</f>
        <v>-1547.0894835456456</v>
      </c>
      <c r="P3264">
        <f>-705.641375389782 -80.3928878582838 -396.43882182221</f>
        <v>-1182.4730850702758</v>
      </c>
      <c r="Q3264">
        <f>-457.254342173891 -17.3895642986386 -351.981161548917</f>
        <v>-826.62506802144662</v>
      </c>
      <c r="R3264" t="s">
        <v>68156</v>
      </c>
      <c r="S3264" t="s">
        <v>68157</v>
      </c>
      <c r="T3264" t="s">
        <v>68158</v>
      </c>
      <c r="U3264" t="s">
        <v>68159</v>
      </c>
      <c r="V3264" t="s">
        <v>68160</v>
      </c>
      <c r="W3264" t="s">
        <v>68161</v>
      </c>
      <c r="X3264" t="s">
        <v>68162</v>
      </c>
      <c r="Y3264" t="s">
        <v>68163</v>
      </c>
    </row>
    <row r="3265" spans="1:25" x14ac:dyDescent="0.3">
      <c r="A3265">
        <v>163200</v>
      </c>
      <c r="B3265" t="s">
        <v>68164</v>
      </c>
      <c r="C3265" t="s">
        <v>68165</v>
      </c>
      <c r="D3265" t="s">
        <v>68166</v>
      </c>
      <c r="E3265" t="s">
        <v>68167</v>
      </c>
      <c r="F3265" t="s">
        <v>68168</v>
      </c>
      <c r="G3265" t="s">
        <v>68169</v>
      </c>
      <c r="H3265" t="s">
        <v>68170</v>
      </c>
      <c r="I3265" t="s">
        <v>68171</v>
      </c>
      <c r="J3265" t="s">
        <v>68172</v>
      </c>
      <c r="K3265" t="s">
        <v>68173</v>
      </c>
      <c r="L3265" t="s">
        <v>68174</v>
      </c>
      <c r="M3265" t="s">
        <v>68175</v>
      </c>
      <c r="N3265" t="s">
        <v>68176</v>
      </c>
      <c r="O3265">
        <f>-756.759603264146 -81.5404667519272 -708.976327001541</f>
        <v>-1547.2763970176143</v>
      </c>
      <c r="P3265">
        <f>-706.1587516715 -80.6285395753566 -396.526542032361</f>
        <v>-1183.3138332792178</v>
      </c>
      <c r="Q3265">
        <f>-458.102071972308 -17.6317706908944 -350.251463026328</f>
        <v>-825.98530568953038</v>
      </c>
      <c r="R3265" t="s">
        <v>68177</v>
      </c>
      <c r="S3265" t="s">
        <v>68178</v>
      </c>
      <c r="T3265" t="s">
        <v>68179</v>
      </c>
      <c r="U3265" t="s">
        <v>68180</v>
      </c>
      <c r="V3265" t="s">
        <v>68181</v>
      </c>
      <c r="W3265" t="s">
        <v>68182</v>
      </c>
      <c r="X3265" t="s">
        <v>68183</v>
      </c>
      <c r="Y3265" t="s">
        <v>68184</v>
      </c>
    </row>
    <row r="3266" spans="1:25" x14ac:dyDescent="0.3">
      <c r="A3266">
        <v>163250</v>
      </c>
      <c r="B3266" t="s">
        <v>68185</v>
      </c>
      <c r="C3266" t="s">
        <v>68186</v>
      </c>
      <c r="D3266" t="s">
        <v>68187</v>
      </c>
      <c r="E3266" t="s">
        <v>68188</v>
      </c>
      <c r="F3266" t="s">
        <v>68189</v>
      </c>
      <c r="G3266" t="s">
        <v>68190</v>
      </c>
      <c r="H3266" t="s">
        <v>68191</v>
      </c>
      <c r="I3266" t="s">
        <v>68192</v>
      </c>
      <c r="J3266" t="s">
        <v>68193</v>
      </c>
      <c r="K3266" t="s">
        <v>68194</v>
      </c>
      <c r="L3266" t="s">
        <v>68195</v>
      </c>
      <c r="M3266" t="s">
        <v>68196</v>
      </c>
      <c r="N3266" t="s">
        <v>68197</v>
      </c>
      <c r="O3266">
        <f>-758.522090358745 -81.2168116290986 -708.541559434748</f>
        <v>-1548.2804614225915</v>
      </c>
      <c r="P3266">
        <f>-707.252588525693 -80.8936044216737 -396.199367004327</f>
        <v>-1184.3455599516938</v>
      </c>
      <c r="Q3266">
        <f>-460.067104388689 -16.1384389236073 -347.742398992028</f>
        <v>-823.94794230432422</v>
      </c>
      <c r="R3266" t="s">
        <v>68198</v>
      </c>
      <c r="S3266" t="s">
        <v>68199</v>
      </c>
      <c r="T3266" t="s">
        <v>68200</v>
      </c>
      <c r="U3266" t="s">
        <v>68201</v>
      </c>
      <c r="V3266" t="s">
        <v>68202</v>
      </c>
      <c r="W3266" t="s">
        <v>68203</v>
      </c>
      <c r="X3266" t="s">
        <v>68204</v>
      </c>
      <c r="Y3266" t="s">
        <v>68205</v>
      </c>
    </row>
    <row r="3267" spans="1:25" x14ac:dyDescent="0.3">
      <c r="A3267">
        <v>163300</v>
      </c>
      <c r="B3267" t="s">
        <v>68206</v>
      </c>
      <c r="C3267" t="s">
        <v>68207</v>
      </c>
      <c r="D3267" t="s">
        <v>68208</v>
      </c>
      <c r="E3267" t="s">
        <v>68209</v>
      </c>
      <c r="F3267" t="s">
        <v>68210</v>
      </c>
      <c r="G3267" t="s">
        <v>68211</v>
      </c>
      <c r="H3267" t="s">
        <v>68212</v>
      </c>
      <c r="I3267" t="s">
        <v>68213</v>
      </c>
      <c r="J3267" t="s">
        <v>68214</v>
      </c>
      <c r="K3267" t="s">
        <v>68215</v>
      </c>
      <c r="L3267" t="s">
        <v>68216</v>
      </c>
      <c r="M3267" t="s">
        <v>68217</v>
      </c>
      <c r="N3267" t="s">
        <v>68218</v>
      </c>
      <c r="O3267">
        <f>-759.368534552545 -80.9116352966644 -708.371715582973</f>
        <v>-1548.6518854321826</v>
      </c>
      <c r="P3267">
        <f>-707.993158274316 -80.5374198082602 -396.047174733289</f>
        <v>-1184.5777528158651</v>
      </c>
      <c r="Q3267">
        <f>-461.189825586675 -14.6474840411497 -347.172767432169</f>
        <v>-823.01007705999371</v>
      </c>
      <c r="R3267" t="s">
        <v>68219</v>
      </c>
      <c r="S3267" t="s">
        <v>68220</v>
      </c>
      <c r="T3267" t="s">
        <v>68221</v>
      </c>
      <c r="U3267" t="s">
        <v>68222</v>
      </c>
      <c r="V3267" t="s">
        <v>68223</v>
      </c>
      <c r="W3267" t="s">
        <v>68224</v>
      </c>
      <c r="X3267" t="s">
        <v>68225</v>
      </c>
      <c r="Y3267" t="s">
        <v>68226</v>
      </c>
    </row>
    <row r="3268" spans="1:25" x14ac:dyDescent="0.3">
      <c r="A3268">
        <v>163350</v>
      </c>
      <c r="B3268" t="s">
        <v>68227</v>
      </c>
      <c r="C3268" t="s">
        <v>68228</v>
      </c>
      <c r="D3268" t="s">
        <v>68229</v>
      </c>
      <c r="E3268" t="s">
        <v>68230</v>
      </c>
      <c r="F3268" t="s">
        <v>68231</v>
      </c>
      <c r="G3268" t="s">
        <v>68232</v>
      </c>
      <c r="H3268" t="s">
        <v>68233</v>
      </c>
      <c r="I3268" t="s">
        <v>68234</v>
      </c>
      <c r="J3268" t="s">
        <v>68235</v>
      </c>
      <c r="K3268" t="s">
        <v>68236</v>
      </c>
      <c r="L3268" t="s">
        <v>68237</v>
      </c>
      <c r="M3268" t="s">
        <v>68238</v>
      </c>
      <c r="N3268" t="s">
        <v>68239</v>
      </c>
      <c r="O3268">
        <f>-760.642326548953 -79.8770150498499 -707.980421867126</f>
        <v>-1548.4997634659289</v>
      </c>
      <c r="P3268">
        <f>-708.964157376749 -79.8137421369224 -395.705665941294</f>
        <v>-1184.4835654549654</v>
      </c>
      <c r="Q3268">
        <f>-462.701389131471 -12.3990363615462 -346.187859821632</f>
        <v>-821.28828531464922</v>
      </c>
      <c r="R3268" t="s">
        <v>68240</v>
      </c>
      <c r="S3268" t="s">
        <v>68241</v>
      </c>
      <c r="T3268" t="s">
        <v>68242</v>
      </c>
      <c r="U3268" t="s">
        <v>68243</v>
      </c>
      <c r="V3268" t="s">
        <v>68244</v>
      </c>
      <c r="W3268" t="s">
        <v>68245</v>
      </c>
      <c r="X3268" t="s">
        <v>68246</v>
      </c>
      <c r="Y3268" t="s">
        <v>68247</v>
      </c>
    </row>
    <row r="3269" spans="1:25" x14ac:dyDescent="0.3">
      <c r="A3269">
        <v>163400</v>
      </c>
      <c r="B3269" t="s">
        <v>68248</v>
      </c>
      <c r="C3269" t="s">
        <v>68249</v>
      </c>
      <c r="D3269" t="s">
        <v>68250</v>
      </c>
      <c r="E3269" t="s">
        <v>68251</v>
      </c>
      <c r="F3269" t="s">
        <v>68252</v>
      </c>
      <c r="G3269" t="s">
        <v>68253</v>
      </c>
      <c r="H3269" t="s">
        <v>68254</v>
      </c>
      <c r="I3269" t="s">
        <v>68255</v>
      </c>
      <c r="J3269" t="s">
        <v>68256</v>
      </c>
      <c r="K3269" t="s">
        <v>68257</v>
      </c>
      <c r="L3269" t="s">
        <v>68258</v>
      </c>
      <c r="M3269" t="s">
        <v>68259</v>
      </c>
      <c r="N3269" t="s">
        <v>68260</v>
      </c>
      <c r="O3269">
        <f>-761.1985953949 -79.6799207382892 -707.566630115572</f>
        <v>-1548.4451462487614</v>
      </c>
      <c r="P3269">
        <f>-709.238315525617 -79.3352281087691 -395.338780659133</f>
        <v>-1183.9123242935193</v>
      </c>
      <c r="Q3269">
        <f>-463.160352060531 -11.6405385530127 -345.287664721903</f>
        <v>-820.0885553354467</v>
      </c>
      <c r="R3269" t="s">
        <v>68261</v>
      </c>
      <c r="S3269" t="s">
        <v>68262</v>
      </c>
      <c r="T3269" t="s">
        <v>68263</v>
      </c>
      <c r="U3269" t="s">
        <v>68264</v>
      </c>
      <c r="V3269" t="s">
        <v>68265</v>
      </c>
      <c r="W3269" t="s">
        <v>68266</v>
      </c>
      <c r="X3269" t="s">
        <v>68267</v>
      </c>
      <c r="Y3269" t="s">
        <v>68268</v>
      </c>
    </row>
    <row r="3270" spans="1:25" x14ac:dyDescent="0.3">
      <c r="A3270">
        <v>163450</v>
      </c>
      <c r="B3270" t="s">
        <v>68269</v>
      </c>
      <c r="C3270" t="s">
        <v>68270</v>
      </c>
      <c r="D3270" t="s">
        <v>68271</v>
      </c>
      <c r="E3270" t="s">
        <v>68272</v>
      </c>
      <c r="F3270" t="s">
        <v>68273</v>
      </c>
      <c r="G3270" t="s">
        <v>68274</v>
      </c>
      <c r="H3270" t="s">
        <v>68275</v>
      </c>
      <c r="I3270" t="s">
        <v>68276</v>
      </c>
      <c r="J3270" t="s">
        <v>68277</v>
      </c>
      <c r="K3270" t="s">
        <v>68278</v>
      </c>
      <c r="L3270" t="s">
        <v>68279</v>
      </c>
      <c r="M3270" t="s">
        <v>68280</v>
      </c>
      <c r="N3270" t="s">
        <v>68281</v>
      </c>
      <c r="O3270">
        <f>-762.106071847699 -80.5877743955641 -706.084582361555</f>
        <v>-1548.7784286048181</v>
      </c>
      <c r="P3270">
        <f>-709.248274688882 -78.5069444662161 -394.014171419336</f>
        <v>-1181.7693905744341</v>
      </c>
      <c r="Q3270">
        <f>-463.420772467288 -11.8199058722817 -341.44295163458</f>
        <v>-816.68362997414965</v>
      </c>
      <c r="R3270" t="s">
        <v>68282</v>
      </c>
      <c r="S3270" t="s">
        <v>68283</v>
      </c>
      <c r="T3270" t="s">
        <v>68284</v>
      </c>
      <c r="U3270" t="s">
        <v>68285</v>
      </c>
      <c r="V3270" t="s">
        <v>68286</v>
      </c>
      <c r="W3270" t="s">
        <v>68287</v>
      </c>
      <c r="X3270" t="s">
        <v>68288</v>
      </c>
      <c r="Y3270" t="s">
        <v>68289</v>
      </c>
    </row>
    <row r="3271" spans="1:25" x14ac:dyDescent="0.3">
      <c r="A3271">
        <v>163500</v>
      </c>
      <c r="B3271" t="s">
        <v>68290</v>
      </c>
      <c r="C3271" t="s">
        <v>68291</v>
      </c>
      <c r="D3271" t="s">
        <v>68292</v>
      </c>
      <c r="E3271" t="s">
        <v>68293</v>
      </c>
      <c r="F3271" t="s">
        <v>68294</v>
      </c>
      <c r="G3271" t="s">
        <v>68295</v>
      </c>
      <c r="H3271" t="s">
        <v>68296</v>
      </c>
      <c r="I3271" t="s">
        <v>68297</v>
      </c>
      <c r="J3271" t="s">
        <v>68298</v>
      </c>
      <c r="K3271" t="s">
        <v>68299</v>
      </c>
      <c r="L3271" t="s">
        <v>68300</v>
      </c>
      <c r="M3271" t="s">
        <v>68301</v>
      </c>
      <c r="N3271" t="s">
        <v>68302</v>
      </c>
      <c r="O3271">
        <f>-762.09419969417 -81.1161119559108 -705.32752733602</f>
        <v>-1548.5378389861007</v>
      </c>
      <c r="P3271">
        <f>-709.240295033895 -77.8549782194284 -393.266489576981</f>
        <v>-1180.3617628303043</v>
      </c>
      <c r="Q3271">
        <f>-463.43761659044 -11.8782142115299 -339.692649420709</f>
        <v>-815.00848022267883</v>
      </c>
      <c r="R3271" t="s">
        <v>68303</v>
      </c>
      <c r="S3271" t="s">
        <v>68304</v>
      </c>
      <c r="T3271" t="s">
        <v>68305</v>
      </c>
      <c r="U3271" t="s">
        <v>68306</v>
      </c>
      <c r="V3271" t="s">
        <v>68307</v>
      </c>
      <c r="W3271" t="s">
        <v>68308</v>
      </c>
      <c r="X3271" t="s">
        <v>68309</v>
      </c>
      <c r="Y3271" t="s">
        <v>68310</v>
      </c>
    </row>
    <row r="3272" spans="1:25" x14ac:dyDescent="0.3">
      <c r="A3272">
        <v>163550</v>
      </c>
      <c r="B3272" t="s">
        <v>68311</v>
      </c>
      <c r="C3272" t="s">
        <v>68312</v>
      </c>
      <c r="D3272" t="s">
        <v>68313</v>
      </c>
      <c r="E3272" t="s">
        <v>68314</v>
      </c>
      <c r="F3272" t="s">
        <v>68315</v>
      </c>
      <c r="G3272" t="s">
        <v>68316</v>
      </c>
      <c r="H3272" t="s">
        <v>68317</v>
      </c>
      <c r="I3272" t="s">
        <v>68318</v>
      </c>
      <c r="J3272" t="s">
        <v>68319</v>
      </c>
      <c r="K3272" t="s">
        <v>68320</v>
      </c>
      <c r="L3272" t="s">
        <v>68321</v>
      </c>
      <c r="M3272" t="s">
        <v>68322</v>
      </c>
      <c r="N3272" t="s">
        <v>68323</v>
      </c>
      <c r="O3272">
        <f>-762.133823910716 -81.5905854630269 -703.599258532273</f>
        <v>-1547.323667906016</v>
      </c>
      <c r="P3272">
        <f>-709.036405372733 -76.130597684107 -391.610427484875</f>
        <v>-1176.7774305417151</v>
      </c>
      <c r="Q3272">
        <f>-462.913640258324 -11.0470725119224 -338.414624286264</f>
        <v>-812.37533705651038</v>
      </c>
      <c r="R3272" t="s">
        <v>68324</v>
      </c>
      <c r="S3272" t="s">
        <v>68325</v>
      </c>
      <c r="T3272" t="s">
        <v>68326</v>
      </c>
      <c r="U3272" t="s">
        <v>68327</v>
      </c>
      <c r="V3272" t="s">
        <v>68328</v>
      </c>
      <c r="W3272" t="s">
        <v>68329</v>
      </c>
      <c r="X3272" t="s">
        <v>68330</v>
      </c>
      <c r="Y3272" t="s">
        <v>68331</v>
      </c>
    </row>
    <row r="3273" spans="1:25" x14ac:dyDescent="0.3">
      <c r="A3273">
        <v>163600</v>
      </c>
      <c r="B3273" t="s">
        <v>68332</v>
      </c>
      <c r="C3273" t="s">
        <v>68333</v>
      </c>
      <c r="D3273" t="s">
        <v>68334</v>
      </c>
      <c r="E3273" t="s">
        <v>68335</v>
      </c>
      <c r="F3273" t="s">
        <v>68336</v>
      </c>
      <c r="G3273" t="s">
        <v>68337</v>
      </c>
      <c r="H3273" t="s">
        <v>68338</v>
      </c>
      <c r="I3273" t="s">
        <v>68339</v>
      </c>
      <c r="J3273" t="s">
        <v>68340</v>
      </c>
      <c r="K3273" t="s">
        <v>68341</v>
      </c>
      <c r="L3273" t="s">
        <v>68342</v>
      </c>
      <c r="M3273" t="s">
        <v>68343</v>
      </c>
      <c r="N3273" t="s">
        <v>68344</v>
      </c>
      <c r="O3273">
        <f>-762.1300439514 -81.7489956420625 -702.880885872841</f>
        <v>-1546.7599254663035</v>
      </c>
      <c r="P3273">
        <f>-708.503061607201 -74.9619024491915 -391.008690131859</f>
        <v>-1174.4736541882514</v>
      </c>
      <c r="Q3273">
        <f>-462.146772008526 -10.1753497068212 -338.536254298184</f>
        <v>-810.85837601353114</v>
      </c>
      <c r="R3273" t="s">
        <v>68345</v>
      </c>
      <c r="S3273" t="s">
        <v>68346</v>
      </c>
      <c r="T3273" t="s">
        <v>68347</v>
      </c>
      <c r="U3273" t="s">
        <v>68348</v>
      </c>
      <c r="V3273" t="s">
        <v>68349</v>
      </c>
      <c r="W3273" t="s">
        <v>68350</v>
      </c>
      <c r="X3273" t="s">
        <v>68351</v>
      </c>
      <c r="Y3273" t="s">
        <v>68352</v>
      </c>
    </row>
    <row r="3274" spans="1:25" x14ac:dyDescent="0.3">
      <c r="A3274">
        <v>163650</v>
      </c>
      <c r="B3274" t="s">
        <v>68353</v>
      </c>
      <c r="C3274" t="s">
        <v>68354</v>
      </c>
      <c r="D3274" t="s">
        <v>68355</v>
      </c>
      <c r="E3274" t="s">
        <v>68356</v>
      </c>
      <c r="F3274" t="s">
        <v>68357</v>
      </c>
      <c r="G3274" t="s">
        <v>68358</v>
      </c>
      <c r="H3274" t="s">
        <v>68359</v>
      </c>
      <c r="I3274" t="s">
        <v>68360</v>
      </c>
      <c r="J3274" t="s">
        <v>68361</v>
      </c>
      <c r="K3274" t="s">
        <v>68362</v>
      </c>
      <c r="L3274" t="s">
        <v>68363</v>
      </c>
      <c r="M3274" t="s">
        <v>68364</v>
      </c>
      <c r="N3274" t="s">
        <v>68365</v>
      </c>
      <c r="O3274">
        <f>-761.879015860844 -82.3769855943801 -701.929866437766</f>
        <v>-1546.1858678929902</v>
      </c>
      <c r="P3274">
        <f>-706.819501453207 -74.3741967998144 -390.336193475012</f>
        <v>-1171.5298917280334</v>
      </c>
      <c r="Q3274">
        <f>-460.118821530256 -7.32439517485955 -342.533484467214</f>
        <v>-809.97670117232951</v>
      </c>
      <c r="R3274" t="s">
        <v>68366</v>
      </c>
      <c r="S3274" t="s">
        <v>68367</v>
      </c>
      <c r="T3274" t="s">
        <v>68368</v>
      </c>
      <c r="U3274" t="s">
        <v>68369</v>
      </c>
      <c r="V3274" t="s">
        <v>68370</v>
      </c>
      <c r="W3274" t="s">
        <v>68371</v>
      </c>
      <c r="X3274" t="s">
        <v>68372</v>
      </c>
      <c r="Y3274" t="s">
        <v>68373</v>
      </c>
    </row>
    <row r="3275" spans="1:25" x14ac:dyDescent="0.3">
      <c r="A3275">
        <v>163700</v>
      </c>
      <c r="B3275" t="s">
        <v>68374</v>
      </c>
      <c r="C3275" t="s">
        <v>68375</v>
      </c>
      <c r="D3275" t="s">
        <v>68376</v>
      </c>
      <c r="E3275" t="s">
        <v>68377</v>
      </c>
      <c r="F3275" t="s">
        <v>68378</v>
      </c>
      <c r="G3275" t="s">
        <v>68379</v>
      </c>
      <c r="H3275" t="s">
        <v>68380</v>
      </c>
      <c r="I3275" t="s">
        <v>68381</v>
      </c>
      <c r="J3275" t="s">
        <v>68382</v>
      </c>
      <c r="K3275" t="s">
        <v>68383</v>
      </c>
      <c r="L3275" t="s">
        <v>68384</v>
      </c>
      <c r="M3275" t="s">
        <v>68385</v>
      </c>
      <c r="N3275" t="s">
        <v>68386</v>
      </c>
      <c r="O3275">
        <f>-761.637110029069 -82.5167068686744 -701.79598834486</f>
        <v>-1545.9498052426034</v>
      </c>
      <c r="P3275">
        <f>-705.854721170168 -74.8618629609207 -390.322201203016</f>
        <v>-1171.0387853341047</v>
      </c>
      <c r="Q3275">
        <f>-458.98554222193 -6.44323529134226 -345.415880253001</f>
        <v>-810.84465776627326</v>
      </c>
      <c r="R3275" t="s">
        <v>68387</v>
      </c>
      <c r="S3275" t="s">
        <v>68388</v>
      </c>
      <c r="T3275" t="s">
        <v>68389</v>
      </c>
      <c r="U3275" t="s">
        <v>68390</v>
      </c>
      <c r="V3275" t="s">
        <v>68391</v>
      </c>
      <c r="W3275" t="s">
        <v>68392</v>
      </c>
      <c r="X3275" t="s">
        <v>68393</v>
      </c>
      <c r="Y3275" t="s">
        <v>68394</v>
      </c>
    </row>
    <row r="3276" spans="1:25" x14ac:dyDescent="0.3">
      <c r="A3276">
        <v>163750</v>
      </c>
      <c r="B3276" t="s">
        <v>68395</v>
      </c>
      <c r="C3276" t="s">
        <v>68396</v>
      </c>
      <c r="D3276" t="s">
        <v>68397</v>
      </c>
      <c r="E3276" t="s">
        <v>68398</v>
      </c>
      <c r="F3276" t="s">
        <v>68399</v>
      </c>
      <c r="G3276" t="s">
        <v>68400</v>
      </c>
      <c r="H3276" t="s">
        <v>68401</v>
      </c>
      <c r="I3276" t="s">
        <v>68402</v>
      </c>
      <c r="J3276" t="s">
        <v>68403</v>
      </c>
      <c r="K3276" t="s">
        <v>68404</v>
      </c>
      <c r="L3276" t="s">
        <v>68405</v>
      </c>
      <c r="M3276" t="s">
        <v>68406</v>
      </c>
      <c r="N3276" t="s">
        <v>68407</v>
      </c>
      <c r="O3276">
        <f>-761.119107719292 -83.0922308068091 -702.063339218</f>
        <v>-1546.2746777441012</v>
      </c>
      <c r="P3276">
        <f>-704.037837293553 -75.9555213019439 -390.812647659325</f>
        <v>-1170.806006254822</v>
      </c>
      <c r="Q3276">
        <f>-456.73257248862 -6.53268726246324 -350.037193448859</f>
        <v>-813.30245319994219</v>
      </c>
      <c r="R3276" t="s">
        <v>68408</v>
      </c>
      <c r="S3276" t="s">
        <v>68409</v>
      </c>
      <c r="T3276" t="s">
        <v>68410</v>
      </c>
      <c r="U3276" t="s">
        <v>68411</v>
      </c>
      <c r="V3276" t="s">
        <v>68412</v>
      </c>
      <c r="W3276" t="s">
        <v>68413</v>
      </c>
      <c r="X3276" t="s">
        <v>68414</v>
      </c>
      <c r="Y3276" t="s">
        <v>68415</v>
      </c>
    </row>
    <row r="3277" spans="1:25" x14ac:dyDescent="0.3">
      <c r="A3277">
        <v>163800</v>
      </c>
      <c r="B3277" t="s">
        <v>68416</v>
      </c>
      <c r="C3277" t="s">
        <v>68417</v>
      </c>
      <c r="D3277" t="s">
        <v>68418</v>
      </c>
      <c r="E3277" t="s">
        <v>68419</v>
      </c>
      <c r="F3277" t="s">
        <v>68420</v>
      </c>
      <c r="G3277" t="s">
        <v>68421</v>
      </c>
      <c r="H3277" t="s">
        <v>68422</v>
      </c>
      <c r="I3277" t="s">
        <v>68423</v>
      </c>
      <c r="J3277" t="s">
        <v>68424</v>
      </c>
      <c r="K3277" t="s">
        <v>68425</v>
      </c>
      <c r="L3277" t="s">
        <v>68426</v>
      </c>
      <c r="M3277" t="s">
        <v>68427</v>
      </c>
      <c r="N3277" t="s">
        <v>68428</v>
      </c>
      <c r="O3277">
        <f>-761.179760774441 -83.3725040704439 -702.317800339904</f>
        <v>-1546.8700651847889</v>
      </c>
      <c r="P3277">
        <f>-703.715670526087 -77.1419512399675 -391.118110757897</f>
        <v>-1171.9757325239516</v>
      </c>
      <c r="Q3277">
        <f>-456.386025899215 -6.76686821032058 -352.163551060835</f>
        <v>-815.31644517037057</v>
      </c>
      <c r="R3277" t="s">
        <v>68429</v>
      </c>
      <c r="S3277" t="s">
        <v>68430</v>
      </c>
      <c r="T3277" t="s">
        <v>68431</v>
      </c>
      <c r="U3277" t="s">
        <v>68432</v>
      </c>
      <c r="V3277" t="s">
        <v>68433</v>
      </c>
      <c r="W3277" t="s">
        <v>68434</v>
      </c>
      <c r="X3277" t="s">
        <v>68435</v>
      </c>
      <c r="Y3277" t="s">
        <v>68436</v>
      </c>
    </row>
    <row r="3278" spans="1:25" x14ac:dyDescent="0.3">
      <c r="A3278">
        <v>163850</v>
      </c>
      <c r="B3278" t="s">
        <v>68437</v>
      </c>
      <c r="C3278" t="s">
        <v>68438</v>
      </c>
      <c r="D3278" t="s">
        <v>68439</v>
      </c>
      <c r="E3278" t="s">
        <v>68440</v>
      </c>
      <c r="F3278" t="s">
        <v>68441</v>
      </c>
      <c r="G3278" t="s">
        <v>68442</v>
      </c>
      <c r="H3278" t="s">
        <v>68443</v>
      </c>
      <c r="I3278" t="s">
        <v>68444</v>
      </c>
      <c r="J3278" t="s">
        <v>68445</v>
      </c>
      <c r="K3278" t="s">
        <v>68446</v>
      </c>
      <c r="L3278" t="s">
        <v>68447</v>
      </c>
      <c r="M3278" t="s">
        <v>68448</v>
      </c>
      <c r="N3278" t="s">
        <v>68449</v>
      </c>
      <c r="O3278">
        <f>-761.734378485011 -83.3339484855378 -703.374311685639</f>
        <v>-1548.4426386561877</v>
      </c>
      <c r="P3278">
        <f>-703.365123508521 -78.5727559999316 -392.317242228222</f>
        <v>-1174.2551217366747</v>
      </c>
      <c r="Q3278">
        <f>-455.412306247709 -9.16419827798222 -355.657868500614</f>
        <v>-820.23437302630521</v>
      </c>
      <c r="R3278" t="s">
        <v>68450</v>
      </c>
      <c r="S3278" t="s">
        <v>68451</v>
      </c>
      <c r="T3278" t="s">
        <v>68452</v>
      </c>
      <c r="U3278" t="s">
        <v>68453</v>
      </c>
      <c r="V3278" t="s">
        <v>68454</v>
      </c>
      <c r="W3278" t="s">
        <v>68455</v>
      </c>
      <c r="X3278" t="s">
        <v>68456</v>
      </c>
      <c r="Y3278" t="s">
        <v>68457</v>
      </c>
    </row>
    <row r="3279" spans="1:25" x14ac:dyDescent="0.3">
      <c r="A3279">
        <v>163900</v>
      </c>
      <c r="B3279" t="s">
        <v>68458</v>
      </c>
      <c r="C3279" t="s">
        <v>68459</v>
      </c>
      <c r="D3279" t="s">
        <v>68460</v>
      </c>
      <c r="E3279" t="s">
        <v>68461</v>
      </c>
      <c r="F3279" t="s">
        <v>68462</v>
      </c>
      <c r="G3279" t="s">
        <v>68463</v>
      </c>
      <c r="H3279" t="s">
        <v>68464</v>
      </c>
      <c r="I3279" t="s">
        <v>68465</v>
      </c>
      <c r="J3279" t="s">
        <v>68466</v>
      </c>
      <c r="K3279" t="s">
        <v>68467</v>
      </c>
      <c r="L3279" t="s">
        <v>68468</v>
      </c>
      <c r="M3279" t="s">
        <v>68469</v>
      </c>
      <c r="N3279" t="s">
        <v>68470</v>
      </c>
      <c r="O3279">
        <f>-762.23663744015 -82.7406606861041 -703.997301235293</f>
        <v>-1548.974599361547</v>
      </c>
      <c r="P3279">
        <f>-703.454812541326 -79.5895451010806 -392.997326022031</f>
        <v>-1176.0416836644376</v>
      </c>
      <c r="Q3279">
        <f>-455.346591150702 -10.0923413993016 -357.578110075219</f>
        <v>-823.01704262522253</v>
      </c>
      <c r="R3279" t="s">
        <v>68471</v>
      </c>
      <c r="S3279" t="s">
        <v>68472</v>
      </c>
      <c r="T3279" t="s">
        <v>68473</v>
      </c>
      <c r="U3279" t="s">
        <v>68474</v>
      </c>
      <c r="V3279" t="s">
        <v>68475</v>
      </c>
      <c r="W3279" t="s">
        <v>68476</v>
      </c>
      <c r="X3279" t="s">
        <v>68477</v>
      </c>
      <c r="Y3279" t="s">
        <v>68478</v>
      </c>
    </row>
    <row r="3280" spans="1:25" x14ac:dyDescent="0.3">
      <c r="A3280">
        <v>163950</v>
      </c>
      <c r="B3280" t="s">
        <v>68479</v>
      </c>
      <c r="C3280" t="s">
        <v>68480</v>
      </c>
      <c r="D3280" t="s">
        <v>68481</v>
      </c>
      <c r="E3280" t="s">
        <v>68482</v>
      </c>
      <c r="F3280" t="s">
        <v>68483</v>
      </c>
      <c r="G3280" t="s">
        <v>68484</v>
      </c>
      <c r="H3280" t="s">
        <v>68485</v>
      </c>
      <c r="I3280" t="s">
        <v>68486</v>
      </c>
      <c r="J3280" t="s">
        <v>68487</v>
      </c>
      <c r="K3280" t="s">
        <v>68488</v>
      </c>
      <c r="L3280" t="s">
        <v>68489</v>
      </c>
      <c r="M3280" t="s">
        <v>68490</v>
      </c>
      <c r="N3280" t="s">
        <v>68491</v>
      </c>
      <c r="O3280">
        <f>-762.922997284402 -81.8608600431414 -704.904556905216</f>
        <v>-1549.6884142327594</v>
      </c>
      <c r="P3280">
        <f>-703.011321465349 -81.5607035459891 -394.104530404941</f>
        <v>-1178.6765554162791</v>
      </c>
      <c r="Q3280">
        <f>-454.779210919366 -11.2111421225022 -361.335147041024</f>
        <v>-827.32550008289218</v>
      </c>
      <c r="R3280" t="s">
        <v>68492</v>
      </c>
      <c r="S3280" t="s">
        <v>68493</v>
      </c>
      <c r="T3280" t="s">
        <v>68494</v>
      </c>
      <c r="U3280" t="s">
        <v>68495</v>
      </c>
      <c r="V3280" t="s">
        <v>68496</v>
      </c>
      <c r="W3280" t="s">
        <v>68497</v>
      </c>
      <c r="X3280" t="s">
        <v>68498</v>
      </c>
      <c r="Y3280" t="s">
        <v>68499</v>
      </c>
    </row>
    <row r="3281" spans="1:25" x14ac:dyDescent="0.3">
      <c r="A3281">
        <v>164000</v>
      </c>
      <c r="B3281" t="s">
        <v>68500</v>
      </c>
      <c r="C3281" t="s">
        <v>68501</v>
      </c>
      <c r="D3281" t="s">
        <v>68502</v>
      </c>
      <c r="E3281" t="s">
        <v>68503</v>
      </c>
      <c r="F3281" t="s">
        <v>68504</v>
      </c>
      <c r="G3281" t="s">
        <v>68505</v>
      </c>
      <c r="H3281" t="s">
        <v>68506</v>
      </c>
      <c r="I3281" t="s">
        <v>68507</v>
      </c>
      <c r="J3281" t="s">
        <v>68508</v>
      </c>
      <c r="K3281" t="s">
        <v>68509</v>
      </c>
      <c r="L3281" t="s">
        <v>68510</v>
      </c>
      <c r="M3281" t="s">
        <v>68511</v>
      </c>
      <c r="N3281" t="s">
        <v>68512</v>
      </c>
      <c r="O3281">
        <f>-762.947395358888 -81.5844929998623 -705.160678118756</f>
        <v>-1549.6925664775063</v>
      </c>
      <c r="P3281">
        <f>-702.441407747877 -82.2904485506976 -394.476350104304</f>
        <v>-1179.2082064028787</v>
      </c>
      <c r="Q3281">
        <f>-453.966407272887 -12.5825618568476 -362.180449900037</f>
        <v>-828.72941902977163</v>
      </c>
      <c r="R3281" t="s">
        <v>68513</v>
      </c>
      <c r="S3281" t="s">
        <v>68514</v>
      </c>
      <c r="T3281" t="s">
        <v>68515</v>
      </c>
      <c r="U3281" t="s">
        <v>68516</v>
      </c>
      <c r="V3281" t="s">
        <v>68517</v>
      </c>
      <c r="W3281" t="s">
        <v>68518</v>
      </c>
      <c r="X3281" t="s">
        <v>68519</v>
      </c>
      <c r="Y3281" t="s">
        <v>68520</v>
      </c>
    </row>
    <row r="3282" spans="1:25" x14ac:dyDescent="0.3">
      <c r="A3282">
        <v>164050</v>
      </c>
      <c r="B3282" t="s">
        <v>68521</v>
      </c>
      <c r="C3282" t="s">
        <v>68522</v>
      </c>
      <c r="D3282" t="s">
        <v>68523</v>
      </c>
      <c r="E3282" t="s">
        <v>68524</v>
      </c>
      <c r="F3282" t="s">
        <v>68525</v>
      </c>
      <c r="G3282" t="s">
        <v>68526</v>
      </c>
      <c r="H3282" t="s">
        <v>68527</v>
      </c>
      <c r="I3282" t="s">
        <v>68528</v>
      </c>
      <c r="J3282" t="s">
        <v>68529</v>
      </c>
      <c r="K3282" t="s">
        <v>68530</v>
      </c>
      <c r="L3282" t="s">
        <v>68531</v>
      </c>
      <c r="M3282" t="s">
        <v>68532</v>
      </c>
      <c r="N3282" t="s">
        <v>68533</v>
      </c>
      <c r="O3282">
        <f>-762.465324107555 -81.57624879897 -705.3925186197</f>
        <v>-1549.4340915262251</v>
      </c>
      <c r="P3282">
        <f>-702.128472929443 -82.2978456710102 -394.675385408409</f>
        <v>-1179.1017040088623</v>
      </c>
      <c r="Q3282">
        <f>-453.090499439703 -15.2755446184287 -361.057657963614</f>
        <v>-829.42370202174573</v>
      </c>
      <c r="R3282" t="s">
        <v>68534</v>
      </c>
      <c r="S3282" t="s">
        <v>68535</v>
      </c>
      <c r="T3282" t="s">
        <v>68536</v>
      </c>
      <c r="U3282" t="s">
        <v>68537</v>
      </c>
      <c r="V3282" t="s">
        <v>68538</v>
      </c>
      <c r="W3282" t="s">
        <v>68539</v>
      </c>
      <c r="X3282" t="s">
        <v>68540</v>
      </c>
      <c r="Y3282" t="s">
        <v>68541</v>
      </c>
    </row>
    <row r="3283" spans="1:25" x14ac:dyDescent="0.3">
      <c r="A3283">
        <v>164100</v>
      </c>
      <c r="B3283" t="s">
        <v>68542</v>
      </c>
      <c r="C3283" t="s">
        <v>68543</v>
      </c>
      <c r="D3283" t="s">
        <v>68544</v>
      </c>
      <c r="E3283" t="s">
        <v>68545</v>
      </c>
      <c r="F3283" t="s">
        <v>68546</v>
      </c>
      <c r="G3283" t="s">
        <v>68547</v>
      </c>
      <c r="H3283" t="s">
        <v>68548</v>
      </c>
      <c r="I3283" t="s">
        <v>68549</v>
      </c>
      <c r="J3283" t="s">
        <v>68550</v>
      </c>
      <c r="K3283" t="s">
        <v>68551</v>
      </c>
      <c r="L3283" t="s">
        <v>68552</v>
      </c>
      <c r="M3283" t="s">
        <v>68553</v>
      </c>
      <c r="N3283" t="s">
        <v>68554</v>
      </c>
      <c r="O3283">
        <f>-761.960384364704 -82.2190373639116 -705.407543962933</f>
        <v>-1549.5869656915488</v>
      </c>
      <c r="P3283">
        <f>-702.535698196383 -82.2139870676763 -394.513897745509</f>
        <v>-1179.2635830095683</v>
      </c>
      <c r="Q3283">
        <f>-453.292368643926 -16.6374958735103 -359.592601424088</f>
        <v>-829.52246594152439</v>
      </c>
      <c r="R3283" t="s">
        <v>68555</v>
      </c>
      <c r="S3283" t="s">
        <v>68556</v>
      </c>
      <c r="T3283" t="s">
        <v>68557</v>
      </c>
      <c r="U3283" t="s">
        <v>68558</v>
      </c>
      <c r="V3283" t="s">
        <v>68559</v>
      </c>
      <c r="W3283" t="s">
        <v>68560</v>
      </c>
      <c r="X3283" t="s">
        <v>68561</v>
      </c>
      <c r="Y3283" t="s">
        <v>68562</v>
      </c>
    </row>
    <row r="3284" spans="1:25" x14ac:dyDescent="0.3">
      <c r="A3284">
        <v>164150</v>
      </c>
      <c r="B3284" t="s">
        <v>68563</v>
      </c>
      <c r="C3284" t="s">
        <v>68564</v>
      </c>
      <c r="D3284" t="s">
        <v>68565</v>
      </c>
      <c r="E3284" t="s">
        <v>68566</v>
      </c>
      <c r="F3284" t="s">
        <v>68567</v>
      </c>
      <c r="G3284" t="s">
        <v>68568</v>
      </c>
      <c r="H3284" t="s">
        <v>68569</v>
      </c>
      <c r="I3284" t="s">
        <v>68570</v>
      </c>
      <c r="J3284" t="s">
        <v>68571</v>
      </c>
      <c r="K3284" t="s">
        <v>68572</v>
      </c>
      <c r="L3284" t="s">
        <v>68573</v>
      </c>
      <c r="M3284" t="s">
        <v>68574</v>
      </c>
      <c r="N3284" t="s">
        <v>68575</v>
      </c>
      <c r="O3284">
        <f>-762.013209016478 -84.0924176148985 -704.960921128719</f>
        <v>-1551.0665477600955</v>
      </c>
      <c r="P3284">
        <f>-704.150154035016 -83.0383379200396 -393.774649827851</f>
        <v>-1180.9631417829066</v>
      </c>
      <c r="Q3284">
        <f>-454.299499300281 -20.4027514117615 -357.810181247002</f>
        <v>-832.51243195904453</v>
      </c>
      <c r="R3284" t="s">
        <v>68576</v>
      </c>
      <c r="S3284" t="s">
        <v>68577</v>
      </c>
      <c r="T3284" t="s">
        <v>68578</v>
      </c>
      <c r="U3284" t="s">
        <v>68579</v>
      </c>
      <c r="V3284" t="s">
        <v>68580</v>
      </c>
      <c r="W3284" t="s">
        <v>68581</v>
      </c>
      <c r="X3284" t="s">
        <v>68582</v>
      </c>
      <c r="Y3284" t="s">
        <v>68583</v>
      </c>
    </row>
    <row r="3285" spans="1:25" x14ac:dyDescent="0.3">
      <c r="A3285">
        <v>164200</v>
      </c>
      <c r="B3285" t="s">
        <v>68584</v>
      </c>
      <c r="C3285" t="s">
        <v>68585</v>
      </c>
      <c r="D3285" t="s">
        <v>68586</v>
      </c>
      <c r="E3285" t="s">
        <v>68587</v>
      </c>
      <c r="F3285" t="s">
        <v>68588</v>
      </c>
      <c r="G3285" t="s">
        <v>68589</v>
      </c>
      <c r="H3285" t="s">
        <v>68590</v>
      </c>
      <c r="I3285" t="s">
        <v>68591</v>
      </c>
      <c r="J3285" t="s">
        <v>68592</v>
      </c>
      <c r="K3285" t="s">
        <v>68593</v>
      </c>
      <c r="L3285" t="s">
        <v>68594</v>
      </c>
      <c r="M3285" t="s">
        <v>68595</v>
      </c>
      <c r="N3285" t="s">
        <v>68596</v>
      </c>
      <c r="O3285">
        <f>-762.683074104258 -85.0328514160444 -704.436705805786</f>
        <v>-1552.1526313260883</v>
      </c>
      <c r="P3285">
        <f>-704.680453238294 -83.0423900069277 -393.280858411779</f>
        <v>-1181.0037016570006</v>
      </c>
      <c r="Q3285">
        <f>-454.365733575708 -22.6945575881468 -356.637260099452</f>
        <v>-833.69755126330688</v>
      </c>
      <c r="R3285" t="s">
        <v>68597</v>
      </c>
      <c r="S3285" t="s">
        <v>68598</v>
      </c>
      <c r="T3285" t="s">
        <v>68599</v>
      </c>
      <c r="U3285" t="s">
        <v>68600</v>
      </c>
      <c r="V3285" t="s">
        <v>68601</v>
      </c>
      <c r="W3285" t="s">
        <v>68602</v>
      </c>
      <c r="X3285" t="s">
        <v>68603</v>
      </c>
      <c r="Y3285" t="s">
        <v>68604</v>
      </c>
    </row>
    <row r="3286" spans="1:25" x14ac:dyDescent="0.3">
      <c r="A3286">
        <v>164250</v>
      </c>
      <c r="B3286" t="s">
        <v>68605</v>
      </c>
      <c r="C3286" t="s">
        <v>68606</v>
      </c>
      <c r="D3286" t="s">
        <v>68607</v>
      </c>
      <c r="E3286" t="s">
        <v>68608</v>
      </c>
      <c r="F3286" t="s">
        <v>68609</v>
      </c>
      <c r="G3286" t="s">
        <v>68610</v>
      </c>
      <c r="H3286" t="s">
        <v>68611</v>
      </c>
      <c r="I3286" t="s">
        <v>68612</v>
      </c>
      <c r="J3286" t="s">
        <v>68613</v>
      </c>
      <c r="K3286" t="s">
        <v>68614</v>
      </c>
      <c r="L3286" t="s">
        <v>68615</v>
      </c>
      <c r="M3286" t="s">
        <v>68616</v>
      </c>
      <c r="N3286" t="s">
        <v>68617</v>
      </c>
      <c r="O3286">
        <f>-764.465392532062 -87.4935650576078 -702.879948927616</f>
        <v>-1554.838906517286</v>
      </c>
      <c r="P3286">
        <f>-705.963628230882 -82.8597743518742 -391.845781218748</f>
        <v>-1180.6691838015042</v>
      </c>
      <c r="Q3286">
        <f>-454.410289053157 -28.7728900709735 -353.931043507793</f>
        <v>-837.11422263192344</v>
      </c>
      <c r="R3286" t="s">
        <v>68618</v>
      </c>
      <c r="S3286" t="s">
        <v>68619</v>
      </c>
      <c r="T3286" t="s">
        <v>68620</v>
      </c>
      <c r="U3286" t="s">
        <v>68621</v>
      </c>
      <c r="V3286" t="s">
        <v>68622</v>
      </c>
      <c r="W3286" t="s">
        <v>68623</v>
      </c>
      <c r="X3286" t="s">
        <v>68624</v>
      </c>
      <c r="Y3286" t="s">
        <v>68625</v>
      </c>
    </row>
    <row r="3287" spans="1:25" x14ac:dyDescent="0.3">
      <c r="A3287">
        <v>164300</v>
      </c>
      <c r="B3287" t="s">
        <v>68626</v>
      </c>
      <c r="C3287" t="s">
        <v>68627</v>
      </c>
      <c r="D3287" t="s">
        <v>68628</v>
      </c>
      <c r="E3287" t="s">
        <v>68629</v>
      </c>
      <c r="F3287" t="s">
        <v>68630</v>
      </c>
      <c r="G3287" t="s">
        <v>68631</v>
      </c>
      <c r="H3287" t="s">
        <v>68632</v>
      </c>
      <c r="I3287" t="s">
        <v>68633</v>
      </c>
      <c r="J3287" t="s">
        <v>68634</v>
      </c>
      <c r="K3287" t="s">
        <v>68635</v>
      </c>
      <c r="L3287" t="s">
        <v>68636</v>
      </c>
      <c r="M3287" t="s">
        <v>68637</v>
      </c>
      <c r="N3287" t="s">
        <v>68638</v>
      </c>
      <c r="O3287">
        <f>-765.192698722338 -88.4012697503024 -702.260445967546</f>
        <v>-1555.8544144401865</v>
      </c>
      <c r="P3287">
        <f>-706.803462205527 -82.5410891408417 -391.225894011776</f>
        <v>-1180.5704453581448</v>
      </c>
      <c r="Q3287">
        <f>-454.612283941658 -32.1549159674178 -352.458209692038</f>
        <v>-839.22540960111382</v>
      </c>
      <c r="R3287" t="s">
        <v>68639</v>
      </c>
      <c r="S3287" t="s">
        <v>68640</v>
      </c>
      <c r="T3287" t="s">
        <v>68641</v>
      </c>
      <c r="U3287" t="s">
        <v>68642</v>
      </c>
      <c r="V3287" t="s">
        <v>68643</v>
      </c>
      <c r="W3287" t="s">
        <v>68644</v>
      </c>
      <c r="X3287" t="s">
        <v>68645</v>
      </c>
      <c r="Y3287" t="s">
        <v>68646</v>
      </c>
    </row>
    <row r="3288" spans="1:25" x14ac:dyDescent="0.3">
      <c r="A3288">
        <v>164350</v>
      </c>
      <c r="B3288" t="s">
        <v>68647</v>
      </c>
      <c r="C3288" t="s">
        <v>68648</v>
      </c>
      <c r="D3288" t="s">
        <v>68649</v>
      </c>
      <c r="E3288" t="s">
        <v>68650</v>
      </c>
      <c r="F3288" t="s">
        <v>68651</v>
      </c>
      <c r="G3288" t="s">
        <v>68652</v>
      </c>
      <c r="H3288" t="s">
        <v>68653</v>
      </c>
      <c r="I3288" t="s">
        <v>68654</v>
      </c>
      <c r="J3288" t="s">
        <v>68655</v>
      </c>
      <c r="K3288" t="s">
        <v>68656</v>
      </c>
      <c r="L3288" t="s">
        <v>68657</v>
      </c>
      <c r="M3288" t="s">
        <v>68658</v>
      </c>
      <c r="N3288" t="s">
        <v>68659</v>
      </c>
      <c r="O3288">
        <f>-765.918744082757 -88.8147551813079 -701.90608922665</f>
        <v>-1556.6395884907149</v>
      </c>
      <c r="P3288">
        <f>-707.638116681407 -82.2175748690695 -390.865818458941</f>
        <v>-1180.7215100094177</v>
      </c>
      <c r="Q3288">
        <f>-454.898867760709 -34.9561354827849 -351.733840007521</f>
        <v>-841.58884325101485</v>
      </c>
      <c r="R3288" t="s">
        <v>68660</v>
      </c>
      <c r="S3288" t="s">
        <v>68661</v>
      </c>
      <c r="T3288" t="s">
        <v>68662</v>
      </c>
      <c r="U3288" t="s">
        <v>68663</v>
      </c>
      <c r="V3288" t="s">
        <v>68664</v>
      </c>
      <c r="W3288" t="s">
        <v>68665</v>
      </c>
      <c r="X3288" t="s">
        <v>68666</v>
      </c>
      <c r="Y3288" t="s">
        <v>68667</v>
      </c>
    </row>
    <row r="3289" spans="1:25" x14ac:dyDescent="0.3">
      <c r="A3289">
        <v>164400</v>
      </c>
      <c r="B3289" t="s">
        <v>68668</v>
      </c>
      <c r="C3289" t="s">
        <v>68669</v>
      </c>
      <c r="D3289" t="s">
        <v>68670</v>
      </c>
      <c r="E3289" t="s">
        <v>68671</v>
      </c>
      <c r="F3289" t="s">
        <v>68672</v>
      </c>
      <c r="G3289" t="s">
        <v>68673</v>
      </c>
      <c r="H3289" t="s">
        <v>68674</v>
      </c>
      <c r="I3289" t="s">
        <v>68675</v>
      </c>
      <c r="J3289" t="s">
        <v>68676</v>
      </c>
      <c r="K3289" t="s">
        <v>68677</v>
      </c>
      <c r="L3289" t="s">
        <v>68678</v>
      </c>
      <c r="M3289" t="s">
        <v>68679</v>
      </c>
      <c r="N3289" t="s">
        <v>68680</v>
      </c>
      <c r="O3289">
        <f>-766.926880611887 -88.7568959615926 -701.653081909588</f>
        <v>-1557.3368584830675</v>
      </c>
      <c r="P3289">
        <f>-708.259401519595 -81.8472118163252 -390.692482381943</f>
        <v>-1180.7990957178631</v>
      </c>
      <c r="Q3289">
        <f>-455.134841764706 -36.6610910484792 -351.600278670339</f>
        <v>-843.39621148352421</v>
      </c>
      <c r="R3289" t="s">
        <v>68681</v>
      </c>
      <c r="S3289" t="s">
        <v>68682</v>
      </c>
      <c r="T3289" t="s">
        <v>68683</v>
      </c>
      <c r="U3289" t="s">
        <v>68684</v>
      </c>
      <c r="V3289" t="s">
        <v>68685</v>
      </c>
      <c r="W3289" t="s">
        <v>68686</v>
      </c>
      <c r="X3289" t="s">
        <v>68687</v>
      </c>
      <c r="Y3289" t="s">
        <v>68688</v>
      </c>
    </row>
    <row r="3290" spans="1:25" x14ac:dyDescent="0.3">
      <c r="A3290">
        <v>164450</v>
      </c>
      <c r="B3290" t="s">
        <v>68689</v>
      </c>
      <c r="C3290" t="s">
        <v>68690</v>
      </c>
      <c r="D3290" t="s">
        <v>68691</v>
      </c>
      <c r="E3290" t="s">
        <v>68692</v>
      </c>
      <c r="F3290" t="s">
        <v>68693</v>
      </c>
      <c r="G3290" t="s">
        <v>68694</v>
      </c>
      <c r="H3290" t="s">
        <v>68695</v>
      </c>
      <c r="I3290" t="s">
        <v>68696</v>
      </c>
      <c r="J3290" t="s">
        <v>68697</v>
      </c>
      <c r="K3290" t="s">
        <v>68698</v>
      </c>
      <c r="L3290" t="s">
        <v>68699</v>
      </c>
      <c r="M3290" t="s">
        <v>68700</v>
      </c>
      <c r="N3290" t="s">
        <v>68701</v>
      </c>
      <c r="O3290">
        <f>-770.709521130854 -88.1501357675288 -701.190557655023</f>
        <v>-1560.0502145534058</v>
      </c>
      <c r="P3290">
        <f>-710.946450227425 -79.6713127372659 -390.477356222932</f>
        <v>-1181.0951191876229</v>
      </c>
      <c r="Q3290">
        <f>-457.152325804802 -39.6533426065123 -350.114086559966</f>
        <v>-846.91975497128033</v>
      </c>
      <c r="R3290" t="s">
        <v>68702</v>
      </c>
      <c r="S3290" t="s">
        <v>68703</v>
      </c>
      <c r="T3290" t="s">
        <v>68704</v>
      </c>
      <c r="U3290" t="s">
        <v>68705</v>
      </c>
      <c r="V3290" t="s">
        <v>68706</v>
      </c>
      <c r="W3290" t="s">
        <v>68707</v>
      </c>
      <c r="X3290" t="s">
        <v>68708</v>
      </c>
      <c r="Y3290" t="s">
        <v>68709</v>
      </c>
    </row>
    <row r="3291" spans="1:25" x14ac:dyDescent="0.3">
      <c r="A3291">
        <v>164500</v>
      </c>
      <c r="B3291" t="s">
        <v>68710</v>
      </c>
      <c r="C3291" t="s">
        <v>68711</v>
      </c>
      <c r="D3291" t="s">
        <v>68712</v>
      </c>
      <c r="E3291" t="s">
        <v>68713</v>
      </c>
      <c r="F3291" t="s">
        <v>68714</v>
      </c>
      <c r="G3291" t="s">
        <v>68715</v>
      </c>
      <c r="H3291" t="s">
        <v>68716</v>
      </c>
      <c r="I3291" t="s">
        <v>68717</v>
      </c>
      <c r="J3291" t="s">
        <v>68718</v>
      </c>
      <c r="K3291" t="s">
        <v>68719</v>
      </c>
      <c r="L3291" t="s">
        <v>68720</v>
      </c>
      <c r="M3291" t="s">
        <v>68721</v>
      </c>
      <c r="N3291" t="s">
        <v>68722</v>
      </c>
      <c r="O3291">
        <f>-771.79778518676 -87.9481412344301 -701.175911498686</f>
        <v>-1560.921837919876</v>
      </c>
      <c r="P3291">
        <f>-712.056198888816 -79.6435435320957 -390.453918500682</f>
        <v>-1182.1536609215937</v>
      </c>
      <c r="Q3291">
        <f>-458.386827564823 -39.3598049986986 -349.575462621314</f>
        <v>-847.32209518483569</v>
      </c>
      <c r="R3291" t="s">
        <v>68723</v>
      </c>
      <c r="S3291" t="s">
        <v>68724</v>
      </c>
      <c r="T3291" t="s">
        <v>68725</v>
      </c>
      <c r="U3291" t="s">
        <v>68726</v>
      </c>
      <c r="V3291" t="s">
        <v>68727</v>
      </c>
      <c r="W3291" t="s">
        <v>68728</v>
      </c>
      <c r="X3291" t="s">
        <v>68729</v>
      </c>
      <c r="Y3291" t="s">
        <v>68730</v>
      </c>
    </row>
    <row r="3292" spans="1:25" x14ac:dyDescent="0.3">
      <c r="A3292">
        <v>164550</v>
      </c>
      <c r="B3292" t="s">
        <v>68731</v>
      </c>
      <c r="C3292" t="s">
        <v>68732</v>
      </c>
      <c r="D3292" t="s">
        <v>68733</v>
      </c>
      <c r="E3292" t="s">
        <v>68734</v>
      </c>
      <c r="F3292" t="s">
        <v>68735</v>
      </c>
      <c r="G3292" t="s">
        <v>68736</v>
      </c>
      <c r="H3292" t="s">
        <v>68737</v>
      </c>
      <c r="I3292" t="s">
        <v>68738</v>
      </c>
      <c r="J3292" t="s">
        <v>68739</v>
      </c>
      <c r="K3292" t="s">
        <v>68740</v>
      </c>
      <c r="L3292" t="s">
        <v>68741</v>
      </c>
      <c r="M3292" t="s">
        <v>68742</v>
      </c>
      <c r="N3292" t="s">
        <v>68743</v>
      </c>
      <c r="O3292">
        <f>-773.232887643423 -87.5304122165014 -701.456444328556</f>
        <v>-1562.2197441884805</v>
      </c>
      <c r="P3292">
        <f>-713.95954793352 -79.9321171590018 -390.626805446081</f>
        <v>-1184.5184705386027</v>
      </c>
      <c r="Q3292">
        <f>-460.734415983351 -37.5788576615994 -349.089970237277</f>
        <v>-847.40324388222734</v>
      </c>
      <c r="R3292" t="s">
        <v>68744</v>
      </c>
      <c r="S3292" t="s">
        <v>68745</v>
      </c>
      <c r="T3292" t="s">
        <v>68746</v>
      </c>
      <c r="U3292" t="s">
        <v>68747</v>
      </c>
      <c r="V3292" t="s">
        <v>68748</v>
      </c>
      <c r="W3292" t="s">
        <v>68749</v>
      </c>
      <c r="X3292" t="s">
        <v>68750</v>
      </c>
      <c r="Y3292" t="s">
        <v>68751</v>
      </c>
    </row>
    <row r="3293" spans="1:25" x14ac:dyDescent="0.3">
      <c r="A3293">
        <v>164600</v>
      </c>
      <c r="B3293" t="s">
        <v>68752</v>
      </c>
      <c r="C3293" t="s">
        <v>68753</v>
      </c>
      <c r="D3293" t="s">
        <v>68754</v>
      </c>
      <c r="E3293" t="s">
        <v>68755</v>
      </c>
      <c r="F3293" t="s">
        <v>68756</v>
      </c>
      <c r="G3293" t="s">
        <v>68757</v>
      </c>
      <c r="H3293" t="s">
        <v>68758</v>
      </c>
      <c r="I3293" t="s">
        <v>68759</v>
      </c>
      <c r="J3293" t="s">
        <v>68760</v>
      </c>
      <c r="K3293" t="s">
        <v>68761</v>
      </c>
      <c r="L3293" t="s">
        <v>68762</v>
      </c>
      <c r="M3293" t="s">
        <v>68763</v>
      </c>
      <c r="N3293" t="s">
        <v>68764</v>
      </c>
      <c r="O3293">
        <f>-773.957197387542 -87.4506698665259 -701.583242481823</f>
        <v>-1562.9911097358909</v>
      </c>
      <c r="P3293">
        <f>-714.788476112825 -79.8045401108845 -390.734743447126</f>
        <v>-1185.3277596708356</v>
      </c>
      <c r="Q3293">
        <f>-461.767185780801 -36.1929264800901 -349.258403417428</f>
        <v>-847.21851567831914</v>
      </c>
      <c r="R3293" t="s">
        <v>68765</v>
      </c>
      <c r="S3293" t="s">
        <v>68766</v>
      </c>
      <c r="T3293" t="s">
        <v>68767</v>
      </c>
      <c r="U3293" t="s">
        <v>68768</v>
      </c>
      <c r="V3293" t="s">
        <v>68769</v>
      </c>
      <c r="W3293" t="s">
        <v>68770</v>
      </c>
      <c r="X3293" t="s">
        <v>68771</v>
      </c>
      <c r="Y3293" t="s">
        <v>68772</v>
      </c>
    </row>
    <row r="3294" spans="1:25" x14ac:dyDescent="0.3">
      <c r="A3294">
        <v>164650</v>
      </c>
      <c r="B3294" t="s">
        <v>68773</v>
      </c>
      <c r="C3294" t="s">
        <v>68774</v>
      </c>
      <c r="D3294" t="s">
        <v>68775</v>
      </c>
      <c r="E3294" t="s">
        <v>68776</v>
      </c>
      <c r="F3294" t="s">
        <v>68777</v>
      </c>
      <c r="G3294" t="s">
        <v>68778</v>
      </c>
      <c r="H3294" t="s">
        <v>68779</v>
      </c>
      <c r="I3294" t="s">
        <v>68780</v>
      </c>
      <c r="J3294" t="s">
        <v>68781</v>
      </c>
      <c r="K3294" t="s">
        <v>68782</v>
      </c>
      <c r="L3294" t="s">
        <v>68783</v>
      </c>
      <c r="M3294" t="s">
        <v>68784</v>
      </c>
      <c r="N3294" t="s">
        <v>68785</v>
      </c>
      <c r="O3294">
        <f>-775.687210853883 -87.5369237969765 -701.849719735541</f>
        <v>-1565.0738543864004</v>
      </c>
      <c r="P3294">
        <f>-716.147694504545 -80.8924473508637 -391.048982494834</f>
        <v>-1188.0891243502426</v>
      </c>
      <c r="Q3294">
        <f>-463.790040564264 -33.3189506509332 -349.885158017745</f>
        <v>-846.99414923294216</v>
      </c>
      <c r="R3294" t="s">
        <v>68786</v>
      </c>
      <c r="S3294" t="s">
        <v>68787</v>
      </c>
      <c r="T3294" t="s">
        <v>68788</v>
      </c>
      <c r="U3294" t="s">
        <v>68789</v>
      </c>
      <c r="V3294" t="s">
        <v>68790</v>
      </c>
      <c r="W3294" t="s">
        <v>68791</v>
      </c>
      <c r="X3294" t="s">
        <v>68792</v>
      </c>
      <c r="Y3294" t="s">
        <v>68793</v>
      </c>
    </row>
    <row r="3295" spans="1:25" x14ac:dyDescent="0.3">
      <c r="A3295">
        <v>164700</v>
      </c>
      <c r="B3295" t="s">
        <v>68794</v>
      </c>
      <c r="C3295" t="s">
        <v>68795</v>
      </c>
      <c r="D3295" t="s">
        <v>68796</v>
      </c>
      <c r="E3295" t="s">
        <v>68797</v>
      </c>
      <c r="F3295" t="s">
        <v>68798</v>
      </c>
      <c r="G3295" t="s">
        <v>68799</v>
      </c>
      <c r="H3295" t="s">
        <v>68800</v>
      </c>
      <c r="I3295" t="s">
        <v>68801</v>
      </c>
      <c r="J3295" t="s">
        <v>68802</v>
      </c>
      <c r="K3295" t="s">
        <v>68803</v>
      </c>
      <c r="L3295" t="s">
        <v>68804</v>
      </c>
      <c r="M3295" t="s">
        <v>68805</v>
      </c>
      <c r="N3295" t="s">
        <v>68806</v>
      </c>
      <c r="O3295">
        <f>-776.587675842506 -87.7462268476659 -701.899283424755</f>
        <v>-1566.2331861149269</v>
      </c>
      <c r="P3295">
        <f>-716.833507296276 -80.9140140934117 -391.143862996535</f>
        <v>-1188.8913843862226</v>
      </c>
      <c r="Q3295">
        <f>-464.77556181439 -31.8176066800343 -349.932213066349</f>
        <v>-846.52538156077333</v>
      </c>
      <c r="R3295" t="s">
        <v>68807</v>
      </c>
      <c r="S3295" t="s">
        <v>68808</v>
      </c>
      <c r="T3295" t="s">
        <v>68809</v>
      </c>
      <c r="U3295" t="s">
        <v>68810</v>
      </c>
      <c r="V3295" t="s">
        <v>68811</v>
      </c>
      <c r="W3295" t="s">
        <v>68812</v>
      </c>
      <c r="X3295" t="s">
        <v>68813</v>
      </c>
      <c r="Y3295" t="s">
        <v>68814</v>
      </c>
    </row>
    <row r="3296" spans="1:25" x14ac:dyDescent="0.3">
      <c r="A3296">
        <v>164750</v>
      </c>
      <c r="B3296" t="s">
        <v>68815</v>
      </c>
      <c r="C3296" t="s">
        <v>68816</v>
      </c>
      <c r="D3296" t="s">
        <v>68817</v>
      </c>
      <c r="E3296" t="s">
        <v>68818</v>
      </c>
      <c r="F3296" t="s">
        <v>68819</v>
      </c>
      <c r="G3296" t="s">
        <v>68820</v>
      </c>
      <c r="H3296" t="s">
        <v>68821</v>
      </c>
      <c r="I3296" t="s">
        <v>68822</v>
      </c>
      <c r="J3296" t="s">
        <v>68823</v>
      </c>
      <c r="K3296" t="s">
        <v>68824</v>
      </c>
      <c r="L3296" t="s">
        <v>68825</v>
      </c>
      <c r="M3296" t="s">
        <v>68826</v>
      </c>
      <c r="N3296" t="s">
        <v>68827</v>
      </c>
      <c r="O3296">
        <f>-778.109058607373 -88.0217094617135 -702.084126263003</f>
        <v>-1568.2148943320894</v>
      </c>
      <c r="P3296">
        <f>-717.896100665593 -81.2150641255193 -391.416688524762</f>
        <v>-1190.5278533158744</v>
      </c>
      <c r="Q3296">
        <f>-466.364965115147 -30.2418384282907 -349.275524987813</f>
        <v>-845.88232853125078</v>
      </c>
      <c r="R3296" t="s">
        <v>68828</v>
      </c>
      <c r="S3296" t="s">
        <v>68829</v>
      </c>
      <c r="T3296" t="s">
        <v>68830</v>
      </c>
      <c r="U3296" t="s">
        <v>68831</v>
      </c>
      <c r="V3296" t="s">
        <v>68832</v>
      </c>
      <c r="W3296" t="s">
        <v>68833</v>
      </c>
      <c r="X3296" t="s">
        <v>68834</v>
      </c>
      <c r="Y3296" t="s">
        <v>68835</v>
      </c>
    </row>
    <row r="3297" spans="1:25" x14ac:dyDescent="0.3">
      <c r="A3297">
        <v>164800</v>
      </c>
      <c r="B3297" t="s">
        <v>68836</v>
      </c>
      <c r="C3297" t="s">
        <v>68837</v>
      </c>
      <c r="D3297" t="s">
        <v>68838</v>
      </c>
      <c r="E3297" t="s">
        <v>68839</v>
      </c>
      <c r="F3297" t="s">
        <v>68840</v>
      </c>
      <c r="G3297" t="s">
        <v>68841</v>
      </c>
      <c r="H3297" t="s">
        <v>68842</v>
      </c>
      <c r="I3297" t="s">
        <v>68843</v>
      </c>
      <c r="J3297" t="s">
        <v>68844</v>
      </c>
      <c r="K3297" t="s">
        <v>68845</v>
      </c>
      <c r="L3297" t="s">
        <v>68846</v>
      </c>
      <c r="M3297" t="s">
        <v>68847</v>
      </c>
      <c r="N3297" t="s">
        <v>68848</v>
      </c>
      <c r="O3297">
        <f>-779.022876926526 -88.0383661079588 -702.202315748247</f>
        <v>-1569.2635587827317</v>
      </c>
      <c r="P3297">
        <f>-718.721941610528 -81.7682375076809 -391.540860332194</f>
        <v>-1192.0310394504029</v>
      </c>
      <c r="Q3297">
        <f>-467.441933880034 -29.9469742258075 -348.938416606517</f>
        <v>-846.32732471235852</v>
      </c>
      <c r="R3297" t="s">
        <v>68849</v>
      </c>
      <c r="S3297" t="s">
        <v>68850</v>
      </c>
      <c r="T3297" t="s">
        <v>68851</v>
      </c>
      <c r="U3297" t="s">
        <v>68852</v>
      </c>
      <c r="V3297" t="s">
        <v>68853</v>
      </c>
      <c r="W3297" t="s">
        <v>68854</v>
      </c>
      <c r="X3297" t="s">
        <v>68855</v>
      </c>
      <c r="Y3297" t="s">
        <v>68856</v>
      </c>
    </row>
    <row r="3298" spans="1:25" x14ac:dyDescent="0.3">
      <c r="A3298">
        <v>164850</v>
      </c>
      <c r="B3298" t="s">
        <v>68857</v>
      </c>
      <c r="C3298" t="s">
        <v>68858</v>
      </c>
      <c r="D3298" t="s">
        <v>68859</v>
      </c>
      <c r="E3298" t="s">
        <v>68860</v>
      </c>
      <c r="F3298" t="s">
        <v>68861</v>
      </c>
      <c r="G3298" t="s">
        <v>68862</v>
      </c>
      <c r="H3298" t="s">
        <v>68863</v>
      </c>
      <c r="I3298" t="s">
        <v>68864</v>
      </c>
      <c r="J3298" t="s">
        <v>68865</v>
      </c>
      <c r="K3298" t="s">
        <v>68866</v>
      </c>
      <c r="L3298" t="s">
        <v>68867</v>
      </c>
      <c r="M3298" t="s">
        <v>68868</v>
      </c>
      <c r="N3298" t="s">
        <v>68869</v>
      </c>
      <c r="O3298">
        <f>-780.396472739033 -88.0379880184666 -702.371444055357</f>
        <v>-1570.8059048128566</v>
      </c>
      <c r="P3298">
        <f>-719.935419762051 -82.6903450621462 -391.723608927291</f>
        <v>-1194.3493737514882</v>
      </c>
      <c r="Q3298">
        <f>-468.986641338347 -29.6804759811307 -348.63424389432</f>
        <v>-847.30136121379769</v>
      </c>
      <c r="R3298" t="s">
        <v>68870</v>
      </c>
      <c r="S3298" t="s">
        <v>68871</v>
      </c>
      <c r="T3298" t="s">
        <v>68872</v>
      </c>
      <c r="U3298" t="s">
        <v>68873</v>
      </c>
      <c r="V3298" t="s">
        <v>68874</v>
      </c>
      <c r="W3298" t="s">
        <v>68875</v>
      </c>
      <c r="X3298" t="s">
        <v>68876</v>
      </c>
      <c r="Y3298" t="s">
        <v>68877</v>
      </c>
    </row>
    <row r="3299" spans="1:25" x14ac:dyDescent="0.3">
      <c r="A3299">
        <v>164900</v>
      </c>
      <c r="B3299" t="s">
        <v>68878</v>
      </c>
      <c r="C3299" t="s">
        <v>68879</v>
      </c>
      <c r="D3299" t="s">
        <v>68880</v>
      </c>
      <c r="E3299" t="s">
        <v>68881</v>
      </c>
      <c r="F3299" t="s">
        <v>68882</v>
      </c>
      <c r="G3299" t="s">
        <v>68883</v>
      </c>
      <c r="H3299" t="s">
        <v>68884</v>
      </c>
      <c r="I3299" t="s">
        <v>68885</v>
      </c>
      <c r="J3299" t="s">
        <v>68886</v>
      </c>
      <c r="K3299" t="s">
        <v>68887</v>
      </c>
      <c r="L3299" t="s">
        <v>68888</v>
      </c>
      <c r="M3299" t="s">
        <v>68889</v>
      </c>
      <c r="N3299" t="s">
        <v>68890</v>
      </c>
      <c r="O3299">
        <f>-780.524892205168 -88.2056814079576 -702.511801828062</f>
        <v>-1571.2423754411875</v>
      </c>
      <c r="P3299">
        <f>-720.001066024924 -83.1621166299967 -391.871077229192</f>
        <v>-1195.0342598841125</v>
      </c>
      <c r="Q3299">
        <f>-469.032440298254 -30.0975889997726 -348.964445980021</f>
        <v>-848.09447527804764</v>
      </c>
      <c r="R3299" t="s">
        <v>68891</v>
      </c>
      <c r="S3299" t="s">
        <v>68892</v>
      </c>
      <c r="T3299" t="s">
        <v>68893</v>
      </c>
      <c r="U3299" t="s">
        <v>68894</v>
      </c>
      <c r="V3299" t="s">
        <v>68895</v>
      </c>
      <c r="W3299" t="s">
        <v>68896</v>
      </c>
      <c r="X3299" t="s">
        <v>68897</v>
      </c>
      <c r="Y3299" t="s">
        <v>68898</v>
      </c>
    </row>
    <row r="3300" spans="1:25" x14ac:dyDescent="0.3">
      <c r="A3300">
        <v>164950</v>
      </c>
      <c r="B3300" t="s">
        <v>68899</v>
      </c>
      <c r="C3300" t="s">
        <v>68900</v>
      </c>
      <c r="D3300" t="s">
        <v>68901</v>
      </c>
      <c r="E3300" t="s">
        <v>68902</v>
      </c>
      <c r="F3300" t="s">
        <v>68903</v>
      </c>
      <c r="G3300" t="s">
        <v>68904</v>
      </c>
      <c r="H3300" t="s">
        <v>68905</v>
      </c>
      <c r="I3300" t="s">
        <v>68906</v>
      </c>
      <c r="J3300" t="s">
        <v>68907</v>
      </c>
      <c r="K3300" t="s">
        <v>68908</v>
      </c>
      <c r="L3300" t="s">
        <v>68909</v>
      </c>
      <c r="M3300" t="s">
        <v>68910</v>
      </c>
      <c r="N3300" t="s">
        <v>68911</v>
      </c>
      <c r="O3300">
        <f>-781.081953931156 -88.4106848472238 -702.693940464156</f>
        <v>-1572.1865792425358</v>
      </c>
      <c r="P3300">
        <f>-720.522652943591 -83.742797783043 -392.054325726955</f>
        <v>-1196.3197764535889</v>
      </c>
      <c r="Q3300">
        <f>-469.407579230634 -31.1555291512852 -349.417778932204</f>
        <v>-849.98088731412315</v>
      </c>
      <c r="R3300" t="s">
        <v>68912</v>
      </c>
      <c r="S3300" t="s">
        <v>68913</v>
      </c>
      <c r="T3300" t="s">
        <v>68914</v>
      </c>
      <c r="U3300" t="s">
        <v>68915</v>
      </c>
      <c r="V3300" t="s">
        <v>68916</v>
      </c>
      <c r="W3300" t="s">
        <v>68917</v>
      </c>
      <c r="X3300" t="s">
        <v>68918</v>
      </c>
      <c r="Y3300" t="s">
        <v>68919</v>
      </c>
    </row>
    <row r="3301" spans="1:25" x14ac:dyDescent="0.3">
      <c r="A3301">
        <v>165000</v>
      </c>
      <c r="B3301" t="s">
        <v>68920</v>
      </c>
      <c r="C3301" t="s">
        <v>68921</v>
      </c>
      <c r="D3301" t="s">
        <v>68922</v>
      </c>
      <c r="E3301" t="s">
        <v>68923</v>
      </c>
      <c r="F3301" t="s">
        <v>68924</v>
      </c>
      <c r="G3301" t="s">
        <v>68925</v>
      </c>
      <c r="H3301" t="s">
        <v>68926</v>
      </c>
      <c r="I3301" t="s">
        <v>68927</v>
      </c>
      <c r="J3301" t="s">
        <v>68928</v>
      </c>
      <c r="K3301" t="s">
        <v>68929</v>
      </c>
      <c r="L3301" t="s">
        <v>68930</v>
      </c>
      <c r="M3301" t="s">
        <v>68931</v>
      </c>
      <c r="N3301" t="s">
        <v>68932</v>
      </c>
      <c r="O3301">
        <f>-781.365305840594 -88.3721580122408 -702.810337840225</f>
        <v>-1572.5478016930597</v>
      </c>
      <c r="P3301">
        <f>-720.808010187789 -83.606647117286 -392.171814433148</f>
        <v>-1196.5864717382231</v>
      </c>
      <c r="Q3301">
        <f>-469.576145153655 -31.4929312401669 -349.643127163219</f>
        <v>-850.71220355704088</v>
      </c>
      <c r="R3301" t="s">
        <v>68933</v>
      </c>
      <c r="S3301" t="s">
        <v>68934</v>
      </c>
      <c r="T3301" t="s">
        <v>68935</v>
      </c>
      <c r="U3301" t="s">
        <v>68936</v>
      </c>
      <c r="V3301" t="s">
        <v>68937</v>
      </c>
      <c r="W3301" t="s">
        <v>68938</v>
      </c>
      <c r="X3301" t="s">
        <v>68939</v>
      </c>
      <c r="Y3301" t="s">
        <v>68940</v>
      </c>
    </row>
    <row r="3302" spans="1:25" x14ac:dyDescent="0.3">
      <c r="A3302">
        <v>165050</v>
      </c>
      <c r="B3302" t="s">
        <v>68941</v>
      </c>
      <c r="C3302" t="s">
        <v>68942</v>
      </c>
      <c r="D3302" t="s">
        <v>68943</v>
      </c>
      <c r="E3302" t="s">
        <v>68944</v>
      </c>
      <c r="F3302" t="s">
        <v>68945</v>
      </c>
      <c r="G3302" t="s">
        <v>68946</v>
      </c>
      <c r="H3302" t="s">
        <v>68947</v>
      </c>
      <c r="I3302" t="s">
        <v>68948</v>
      </c>
      <c r="J3302" t="s">
        <v>68949</v>
      </c>
      <c r="K3302" t="s">
        <v>68950</v>
      </c>
      <c r="L3302" t="s">
        <v>68951</v>
      </c>
      <c r="M3302" t="s">
        <v>68952</v>
      </c>
      <c r="N3302" t="s">
        <v>68953</v>
      </c>
      <c r="O3302">
        <f>-781.981698015807 -87.9526696036589 -703.108525082909</f>
        <v>-1573.042892702375</v>
      </c>
      <c r="P3302">
        <f>-720.746716212817 -83.2916072841804 -392.601217113702</f>
        <v>-1196.6395406106994</v>
      </c>
      <c r="Q3302">
        <f>-469.253219484081 -32.5333801495972 -349.978693810163</f>
        <v>-851.76529344384119</v>
      </c>
      <c r="R3302" t="s">
        <v>68954</v>
      </c>
      <c r="S3302" t="s">
        <v>68955</v>
      </c>
      <c r="T3302" t="s">
        <v>68956</v>
      </c>
      <c r="U3302" t="s">
        <v>68957</v>
      </c>
      <c r="V3302" t="s">
        <v>68958</v>
      </c>
      <c r="W3302" t="s">
        <v>68959</v>
      </c>
      <c r="X3302" t="s">
        <v>68960</v>
      </c>
      <c r="Y3302" t="s">
        <v>68961</v>
      </c>
    </row>
    <row r="3303" spans="1:25" x14ac:dyDescent="0.3">
      <c r="A3303">
        <v>165100</v>
      </c>
      <c r="B3303" t="s">
        <v>68962</v>
      </c>
      <c r="C3303" t="s">
        <v>68963</v>
      </c>
      <c r="D3303" t="s">
        <v>68964</v>
      </c>
      <c r="E3303" t="s">
        <v>68965</v>
      </c>
      <c r="F3303" t="s">
        <v>68966</v>
      </c>
      <c r="G3303" t="s">
        <v>68967</v>
      </c>
      <c r="H3303" t="s">
        <v>68968</v>
      </c>
      <c r="I3303" t="s">
        <v>68969</v>
      </c>
      <c r="J3303" t="s">
        <v>68970</v>
      </c>
      <c r="K3303" t="s">
        <v>68971</v>
      </c>
      <c r="L3303" t="s">
        <v>68972</v>
      </c>
      <c r="M3303" t="s">
        <v>68973</v>
      </c>
      <c r="N3303" t="s">
        <v>68974</v>
      </c>
      <c r="O3303">
        <f>-782.466635359644 -87.6832679569752 -703.340564278003</f>
        <v>-1573.4904675946223</v>
      </c>
      <c r="P3303">
        <f>-721.291376368304 -82.6807485270892 -392.82679832656</f>
        <v>-1196.7989232219531</v>
      </c>
      <c r="Q3303">
        <f>-469.934159532809 -31.0058278981999 -350.503274785345</f>
        <v>-851.44326221635401</v>
      </c>
      <c r="R3303" t="s">
        <v>68975</v>
      </c>
      <c r="S3303" t="s">
        <v>68976</v>
      </c>
      <c r="T3303" t="s">
        <v>68977</v>
      </c>
      <c r="U3303" t="s">
        <v>68978</v>
      </c>
      <c r="V3303" t="s">
        <v>68979</v>
      </c>
      <c r="W3303" t="s">
        <v>68980</v>
      </c>
      <c r="X3303" t="s">
        <v>68981</v>
      </c>
      <c r="Y3303" t="s">
        <v>68982</v>
      </c>
    </row>
    <row r="3304" spans="1:25" x14ac:dyDescent="0.3">
      <c r="A3304">
        <v>165150</v>
      </c>
      <c r="B3304" t="s">
        <v>68983</v>
      </c>
      <c r="C3304" t="s">
        <v>68984</v>
      </c>
      <c r="D3304" t="s">
        <v>68985</v>
      </c>
      <c r="E3304" t="s">
        <v>68986</v>
      </c>
      <c r="F3304" t="s">
        <v>68987</v>
      </c>
      <c r="G3304" t="s">
        <v>68988</v>
      </c>
      <c r="H3304" t="s">
        <v>68989</v>
      </c>
      <c r="I3304" t="s">
        <v>68990</v>
      </c>
      <c r="J3304" t="s">
        <v>68991</v>
      </c>
      <c r="K3304" t="s">
        <v>68992</v>
      </c>
      <c r="L3304" t="s">
        <v>68993</v>
      </c>
      <c r="M3304" t="s">
        <v>68994</v>
      </c>
      <c r="N3304" t="s">
        <v>68995</v>
      </c>
      <c r="O3304">
        <f>-782.889556965081 -87.4904235982135 -703.514254568125</f>
        <v>-1573.8942351314195</v>
      </c>
      <c r="P3304">
        <f>-721.630002616579 -82.2931986316553 -393.020283231831</f>
        <v>-1196.9434844800653</v>
      </c>
      <c r="Q3304">
        <f>-470.154327720394 -30.4652265499474 -351.59655769274</f>
        <v>-852.2161119630814</v>
      </c>
      <c r="R3304" t="s">
        <v>68996</v>
      </c>
      <c r="S3304" t="s">
        <v>68997</v>
      </c>
      <c r="T3304" t="s">
        <v>68998</v>
      </c>
      <c r="U3304" t="s">
        <v>68999</v>
      </c>
      <c r="V3304" t="s">
        <v>69000</v>
      </c>
      <c r="W3304" t="s">
        <v>69001</v>
      </c>
      <c r="X3304" t="s">
        <v>69002</v>
      </c>
      <c r="Y3304" t="s">
        <v>69003</v>
      </c>
    </row>
    <row r="3305" spans="1:25" x14ac:dyDescent="0.3">
      <c r="A3305">
        <v>165200</v>
      </c>
      <c r="B3305" t="s">
        <v>69004</v>
      </c>
      <c r="C3305" t="s">
        <v>69005</v>
      </c>
      <c r="D3305" t="s">
        <v>69006</v>
      </c>
      <c r="E3305" t="s">
        <v>69007</v>
      </c>
      <c r="F3305" t="s">
        <v>69008</v>
      </c>
      <c r="G3305" t="s">
        <v>69009</v>
      </c>
      <c r="H3305" t="s">
        <v>69010</v>
      </c>
      <c r="I3305" t="s">
        <v>69011</v>
      </c>
      <c r="J3305" t="s">
        <v>69012</v>
      </c>
      <c r="K3305" t="s">
        <v>69013</v>
      </c>
      <c r="L3305" t="s">
        <v>69014</v>
      </c>
      <c r="M3305" t="s">
        <v>69015</v>
      </c>
      <c r="N3305" t="s">
        <v>69016</v>
      </c>
      <c r="O3305">
        <f>-783.187569581157 -87.3966083114346 -703.623791962835</f>
        <v>-1574.2079698554267</v>
      </c>
      <c r="P3305">
        <f>-721.462015914304 -82.3880236750824 -393.218961525904</f>
        <v>-1197.0690011152903</v>
      </c>
      <c r="Q3305">
        <f>-469.927980994328 -29.7862207706962 -353.147696418371</f>
        <v>-852.86189818339517</v>
      </c>
      <c r="R3305" t="s">
        <v>69017</v>
      </c>
      <c r="S3305" t="s">
        <v>69018</v>
      </c>
      <c r="T3305" t="s">
        <v>69019</v>
      </c>
      <c r="U3305" t="s">
        <v>69020</v>
      </c>
      <c r="V3305" t="s">
        <v>69021</v>
      </c>
      <c r="W3305" t="s">
        <v>69022</v>
      </c>
      <c r="X3305" t="s">
        <v>69023</v>
      </c>
      <c r="Y3305" t="s">
        <v>69024</v>
      </c>
    </row>
    <row r="3306" spans="1:25" x14ac:dyDescent="0.3">
      <c r="A3306">
        <v>165250</v>
      </c>
      <c r="B3306" t="s">
        <v>69025</v>
      </c>
      <c r="C3306" t="s">
        <v>69026</v>
      </c>
      <c r="D3306" t="s">
        <v>69027</v>
      </c>
      <c r="E3306" t="s">
        <v>69028</v>
      </c>
      <c r="F3306" t="s">
        <v>69029</v>
      </c>
      <c r="G3306" t="s">
        <v>69030</v>
      </c>
      <c r="H3306" t="s">
        <v>69031</v>
      </c>
      <c r="I3306" t="s">
        <v>69032</v>
      </c>
      <c r="J3306" t="s">
        <v>69033</v>
      </c>
      <c r="K3306" t="s">
        <v>69034</v>
      </c>
      <c r="L3306" t="s">
        <v>69035</v>
      </c>
      <c r="M3306" t="s">
        <v>69036</v>
      </c>
      <c r="N3306" t="s">
        <v>69037</v>
      </c>
      <c r="O3306">
        <f>-783.599560731259 -87.3877301061536 -703.518587744045</f>
        <v>-1574.5058785814576</v>
      </c>
      <c r="P3306">
        <f>-722.09780185325 -81.4237272520666 -393.086375642175</f>
        <v>-1196.6079047474916</v>
      </c>
      <c r="Q3306">
        <f>-470.537338358033 -28.6424479071393 -353.419092552049</f>
        <v>-852.59887881722125</v>
      </c>
      <c r="R3306" t="s">
        <v>69038</v>
      </c>
      <c r="S3306" t="s">
        <v>69039</v>
      </c>
      <c r="T3306" t="s">
        <v>69040</v>
      </c>
      <c r="U3306" t="s">
        <v>69041</v>
      </c>
      <c r="V3306" t="s">
        <v>69042</v>
      </c>
      <c r="W3306" t="s">
        <v>69043</v>
      </c>
      <c r="X3306" t="s">
        <v>69044</v>
      </c>
      <c r="Y3306" t="s">
        <v>69045</v>
      </c>
    </row>
    <row r="3307" spans="1:25" x14ac:dyDescent="0.3">
      <c r="A3307">
        <v>165300</v>
      </c>
      <c r="B3307" t="s">
        <v>69046</v>
      </c>
      <c r="C3307" t="s">
        <v>69047</v>
      </c>
      <c r="D3307" t="s">
        <v>69048</v>
      </c>
      <c r="E3307" t="s">
        <v>69049</v>
      </c>
      <c r="F3307" t="s">
        <v>69050</v>
      </c>
      <c r="G3307" t="s">
        <v>69051</v>
      </c>
      <c r="H3307" t="s">
        <v>69052</v>
      </c>
      <c r="I3307" t="s">
        <v>69053</v>
      </c>
      <c r="J3307" t="s">
        <v>69054</v>
      </c>
      <c r="K3307" t="s">
        <v>69055</v>
      </c>
      <c r="L3307" t="s">
        <v>69056</v>
      </c>
      <c r="M3307" t="s">
        <v>69057</v>
      </c>
      <c r="N3307" t="s">
        <v>69058</v>
      </c>
      <c r="O3307">
        <f>-783.72109457794 -87.0930363842378 -703.453113725084</f>
        <v>-1574.2672446872618</v>
      </c>
      <c r="P3307">
        <f>-722.202080965467 -80.7315313773984 -393.032185900167</f>
        <v>-1195.9657982430324</v>
      </c>
      <c r="Q3307">
        <f>-470.438871127927 -29.3087361800197 -352.869770205569</f>
        <v>-852.61737751351575</v>
      </c>
      <c r="R3307" t="s">
        <v>69059</v>
      </c>
      <c r="S3307" t="s">
        <v>69060</v>
      </c>
      <c r="T3307" t="s">
        <v>69061</v>
      </c>
      <c r="U3307" t="s">
        <v>69062</v>
      </c>
      <c r="V3307" t="s">
        <v>69063</v>
      </c>
      <c r="W3307" t="s">
        <v>69064</v>
      </c>
      <c r="X3307" t="s">
        <v>69065</v>
      </c>
      <c r="Y3307" t="s">
        <v>69066</v>
      </c>
    </row>
    <row r="3308" spans="1:25" x14ac:dyDescent="0.3">
      <c r="A3308">
        <v>165350</v>
      </c>
      <c r="B3308" t="s">
        <v>69067</v>
      </c>
      <c r="C3308" t="s">
        <v>69068</v>
      </c>
      <c r="D3308" t="s">
        <v>69069</v>
      </c>
      <c r="E3308" t="s">
        <v>69070</v>
      </c>
      <c r="F3308" t="s">
        <v>69071</v>
      </c>
      <c r="G3308" t="s">
        <v>69072</v>
      </c>
      <c r="H3308" t="s">
        <v>69073</v>
      </c>
      <c r="I3308" t="s">
        <v>69074</v>
      </c>
      <c r="J3308" t="s">
        <v>69075</v>
      </c>
      <c r="K3308" t="s">
        <v>69076</v>
      </c>
      <c r="L3308" t="s">
        <v>69077</v>
      </c>
      <c r="M3308" t="s">
        <v>69078</v>
      </c>
      <c r="N3308" t="s">
        <v>69079</v>
      </c>
      <c r="O3308">
        <f>-783.97537109664 -85.827074386799 -703.115432266585</f>
        <v>-1572.917877750024</v>
      </c>
      <c r="P3308">
        <f>-720.998416713157 -79.1932178451957 -392.992671909659</f>
        <v>-1193.1843064680118</v>
      </c>
      <c r="Q3308">
        <f>-468.263342744404 -36.8768631481751 -348.536131589072</f>
        <v>-853.6763374816511</v>
      </c>
      <c r="R3308" t="s">
        <v>69080</v>
      </c>
      <c r="S3308" t="s">
        <v>69081</v>
      </c>
      <c r="T3308" t="s">
        <v>69082</v>
      </c>
      <c r="U3308" t="s">
        <v>69083</v>
      </c>
      <c r="V3308" t="s">
        <v>69084</v>
      </c>
      <c r="W3308" t="s">
        <v>69085</v>
      </c>
      <c r="X3308" t="s">
        <v>69086</v>
      </c>
      <c r="Y3308" t="s">
        <v>69087</v>
      </c>
    </row>
    <row r="3309" spans="1:25" x14ac:dyDescent="0.3">
      <c r="A3309">
        <v>165400</v>
      </c>
      <c r="B3309" t="s">
        <v>69088</v>
      </c>
      <c r="C3309" t="s">
        <v>69089</v>
      </c>
      <c r="D3309" t="s">
        <v>69090</v>
      </c>
      <c r="E3309" t="s">
        <v>69091</v>
      </c>
      <c r="F3309" t="s">
        <v>69092</v>
      </c>
      <c r="G3309" t="s">
        <v>69093</v>
      </c>
      <c r="H3309" t="s">
        <v>69094</v>
      </c>
      <c r="I3309" t="s">
        <v>69095</v>
      </c>
      <c r="J3309" t="s">
        <v>69096</v>
      </c>
      <c r="K3309" t="s">
        <v>69097</v>
      </c>
      <c r="L3309" t="s">
        <v>69098</v>
      </c>
      <c r="M3309" t="s">
        <v>69099</v>
      </c>
      <c r="N3309" t="s">
        <v>69100</v>
      </c>
      <c r="O3309">
        <f>-784.537377951408 -85.3984344451383 -702.885232684165</f>
        <v>-1572.8210450807112</v>
      </c>
      <c r="P3309">
        <f>-720.28376116635 -77.9549673247491 -393.042862745263</f>
        <v>-1191.2815912363621</v>
      </c>
      <c r="Q3309">
        <f>-467.138204034007 -43.0054314701836 -344.690634641309</f>
        <v>-854.83427014549966</v>
      </c>
      <c r="R3309" t="s">
        <v>69101</v>
      </c>
      <c r="S3309" t="s">
        <v>69102</v>
      </c>
      <c r="T3309" t="s">
        <v>69103</v>
      </c>
      <c r="U3309" t="s">
        <v>69104</v>
      </c>
      <c r="V3309" t="s">
        <v>69105</v>
      </c>
      <c r="W3309" t="s">
        <v>69106</v>
      </c>
      <c r="X3309" t="s">
        <v>69107</v>
      </c>
      <c r="Y3309" t="s">
        <v>69108</v>
      </c>
    </row>
    <row r="3310" spans="1:25" x14ac:dyDescent="0.3">
      <c r="A3310">
        <v>165450</v>
      </c>
      <c r="B3310" t="s">
        <v>69109</v>
      </c>
      <c r="C3310" t="s">
        <v>69110</v>
      </c>
      <c r="D3310" t="s">
        <v>69111</v>
      </c>
      <c r="E3310" t="s">
        <v>69112</v>
      </c>
      <c r="F3310" t="s">
        <v>69113</v>
      </c>
      <c r="G3310" t="s">
        <v>69114</v>
      </c>
      <c r="H3310" t="s">
        <v>69115</v>
      </c>
      <c r="I3310" t="s">
        <v>69116</v>
      </c>
      <c r="J3310" t="s">
        <v>69117</v>
      </c>
      <c r="K3310" t="s">
        <v>69118</v>
      </c>
      <c r="L3310" t="s">
        <v>69119</v>
      </c>
      <c r="M3310" t="s">
        <v>69120</v>
      </c>
      <c r="N3310" t="s">
        <v>69121</v>
      </c>
      <c r="O3310">
        <f>-785.73224211267 -85.7999617682215 -701.828494606374</f>
        <v>-1573.3606984872654</v>
      </c>
      <c r="P3310">
        <f>-719.539320673056 -76.0478180269399 -392.458831514935</f>
        <v>-1188.045970214931</v>
      </c>
      <c r="Q3310">
        <f>-466.314244437727 -49.2807404911448 -339.51880583759</f>
        <v>-855.11379076646176</v>
      </c>
      <c r="R3310" t="s">
        <v>69122</v>
      </c>
      <c r="S3310" t="s">
        <v>69123</v>
      </c>
      <c r="T3310" t="s">
        <v>69124</v>
      </c>
      <c r="U3310" t="s">
        <v>69125</v>
      </c>
      <c r="V3310" t="s">
        <v>69126</v>
      </c>
      <c r="W3310" t="s">
        <v>69127</v>
      </c>
      <c r="X3310" t="s">
        <v>69128</v>
      </c>
      <c r="Y3310" t="s">
        <v>69129</v>
      </c>
    </row>
    <row r="3311" spans="1:25" x14ac:dyDescent="0.3">
      <c r="A3311">
        <v>165500</v>
      </c>
      <c r="B3311" t="s">
        <v>69130</v>
      </c>
      <c r="C3311" t="s">
        <v>69131</v>
      </c>
      <c r="D3311" t="s">
        <v>69132</v>
      </c>
      <c r="E3311" t="s">
        <v>69133</v>
      </c>
      <c r="F3311" t="s">
        <v>69134</v>
      </c>
      <c r="G3311" t="s">
        <v>69135</v>
      </c>
      <c r="H3311" t="s">
        <v>69136</v>
      </c>
      <c r="I3311" t="s">
        <v>69137</v>
      </c>
      <c r="J3311" t="s">
        <v>69138</v>
      </c>
      <c r="K3311" t="s">
        <v>69139</v>
      </c>
      <c r="L3311" t="s">
        <v>69140</v>
      </c>
      <c r="M3311" t="s">
        <v>69141</v>
      </c>
      <c r="N3311" t="s">
        <v>69142</v>
      </c>
      <c r="O3311">
        <f>-786.409995420154 -86.2033116980322 -701.132254958196</f>
        <v>-1573.7455620763822</v>
      </c>
      <c r="P3311">
        <f>-720.303813763213 -76.0631163933126 -391.7565716803</f>
        <v>-1188.1235018368257</v>
      </c>
      <c r="Q3311">
        <f>-466.835164592159 -50.3088176174188 -339.483814284308</f>
        <v>-856.62779649388574</v>
      </c>
      <c r="R3311" t="s">
        <v>69143</v>
      </c>
      <c r="S3311" t="s">
        <v>69144</v>
      </c>
      <c r="T3311" t="s">
        <v>69145</v>
      </c>
      <c r="U3311" t="s">
        <v>69146</v>
      </c>
      <c r="V3311" t="s">
        <v>69147</v>
      </c>
      <c r="W3311" t="s">
        <v>69148</v>
      </c>
      <c r="X3311" t="s">
        <v>69149</v>
      </c>
      <c r="Y3311" t="s">
        <v>69150</v>
      </c>
    </row>
    <row r="3312" spans="1:25" x14ac:dyDescent="0.3">
      <c r="A3312">
        <v>165550</v>
      </c>
      <c r="B3312" t="s">
        <v>69151</v>
      </c>
      <c r="C3312" t="s">
        <v>69152</v>
      </c>
      <c r="D3312" t="s">
        <v>69153</v>
      </c>
      <c r="E3312" t="s">
        <v>69154</v>
      </c>
      <c r="F3312" t="s">
        <v>69155</v>
      </c>
      <c r="G3312" t="s">
        <v>69156</v>
      </c>
      <c r="H3312" t="s">
        <v>69157</v>
      </c>
      <c r="I3312" t="s">
        <v>69158</v>
      </c>
      <c r="J3312" t="s">
        <v>69159</v>
      </c>
      <c r="K3312" t="s">
        <v>69160</v>
      </c>
      <c r="L3312" t="s">
        <v>69161</v>
      </c>
      <c r="M3312" t="s">
        <v>69162</v>
      </c>
      <c r="N3312" t="s">
        <v>69163</v>
      </c>
      <c r="O3312">
        <f>-787.655557700245 -86.2388150822853 -700.286845530904</f>
        <v>-1574.1812183134343</v>
      </c>
      <c r="P3312">
        <f>-721.555176146361 -76.3414965517095 -390.901975896182</f>
        <v>-1188.7986485942524</v>
      </c>
      <c r="Q3312">
        <f>-467.207767703761 -48.7820459577117 -344.10549912108</f>
        <v>-860.0953127825527</v>
      </c>
      <c r="R3312" t="s">
        <v>69164</v>
      </c>
      <c r="S3312" t="s">
        <v>69165</v>
      </c>
      <c r="T3312" t="s">
        <v>69166</v>
      </c>
      <c r="U3312" t="s">
        <v>69167</v>
      </c>
      <c r="V3312" t="s">
        <v>69168</v>
      </c>
      <c r="W3312" t="s">
        <v>69169</v>
      </c>
      <c r="X3312" t="s">
        <v>69170</v>
      </c>
      <c r="Y3312" t="s">
        <v>69171</v>
      </c>
    </row>
    <row r="3313" spans="1:25" x14ac:dyDescent="0.3">
      <c r="A3313">
        <v>165600</v>
      </c>
      <c r="B3313" t="s">
        <v>69172</v>
      </c>
      <c r="C3313" t="s">
        <v>69173</v>
      </c>
      <c r="D3313" t="s">
        <v>69174</v>
      </c>
      <c r="E3313" t="s">
        <v>69175</v>
      </c>
      <c r="F3313" t="s">
        <v>69176</v>
      </c>
      <c r="G3313" t="s">
        <v>69177</v>
      </c>
      <c r="H3313" t="s">
        <v>69178</v>
      </c>
      <c r="I3313" t="s">
        <v>69179</v>
      </c>
      <c r="J3313" t="s">
        <v>69180</v>
      </c>
      <c r="K3313" t="s">
        <v>69181</v>
      </c>
      <c r="L3313" t="s">
        <v>69182</v>
      </c>
      <c r="M3313" t="s">
        <v>69183</v>
      </c>
      <c r="N3313" t="s">
        <v>69184</v>
      </c>
      <c r="O3313">
        <f>-787.533693834398 -85.9264213882652 -699.946237332146</f>
        <v>-1573.4063525548092</v>
      </c>
      <c r="P3313">
        <f>-721.101883465922 -75.4140979077411 -390.652718283543</f>
        <v>-1187.1686996572062</v>
      </c>
      <c r="Q3313">
        <f>-466.164077893508 -48.7743655619995 -346.617790367798</f>
        <v>-861.55623382330555</v>
      </c>
      <c r="R3313" t="s">
        <v>69185</v>
      </c>
      <c r="S3313" t="s">
        <v>69186</v>
      </c>
      <c r="T3313" t="s">
        <v>69187</v>
      </c>
      <c r="U3313" t="s">
        <v>69188</v>
      </c>
      <c r="V3313" t="s">
        <v>69189</v>
      </c>
      <c r="W3313" t="s">
        <v>69190</v>
      </c>
      <c r="X3313" t="s">
        <v>69191</v>
      </c>
      <c r="Y3313" t="s">
        <v>69192</v>
      </c>
    </row>
    <row r="3314" spans="1:25" x14ac:dyDescent="0.3">
      <c r="A3314">
        <v>165650</v>
      </c>
      <c r="B3314" t="s">
        <v>69193</v>
      </c>
      <c r="C3314" t="s">
        <v>69194</v>
      </c>
      <c r="D3314" t="s">
        <v>69195</v>
      </c>
      <c r="E3314" t="s">
        <v>69196</v>
      </c>
      <c r="F3314" t="s">
        <v>69197</v>
      </c>
      <c r="G3314" t="s">
        <v>69198</v>
      </c>
      <c r="H3314" t="s">
        <v>69199</v>
      </c>
      <c r="I3314" t="s">
        <v>69200</v>
      </c>
      <c r="J3314" t="s">
        <v>69201</v>
      </c>
      <c r="K3314" t="s">
        <v>69202</v>
      </c>
      <c r="L3314" t="s">
        <v>69203</v>
      </c>
      <c r="M3314" t="s">
        <v>69204</v>
      </c>
      <c r="N3314" t="s">
        <v>69205</v>
      </c>
      <c r="O3314">
        <f>-786.568294017012 -85.4950625185368 -699.509107450057</f>
        <v>-1571.5724639856057</v>
      </c>
      <c r="P3314">
        <f>-719.312567253741 -73.2226388669226 -390.458521814336</f>
        <v>-1182.9937279349997</v>
      </c>
      <c r="Q3314">
        <f>-464.36291288416 -52.1820129645582 -343.554128858809</f>
        <v>-860.09905470752722</v>
      </c>
      <c r="R3314" t="s">
        <v>69206</v>
      </c>
      <c r="S3314" t="s">
        <v>69207</v>
      </c>
      <c r="T3314" t="s">
        <v>69208</v>
      </c>
      <c r="U3314" t="s">
        <v>69209</v>
      </c>
      <c r="V3314" t="s">
        <v>69210</v>
      </c>
      <c r="W3314" t="s">
        <v>69211</v>
      </c>
      <c r="X3314" t="s">
        <v>69212</v>
      </c>
      <c r="Y3314" t="s">
        <v>69213</v>
      </c>
    </row>
    <row r="3315" spans="1:25" x14ac:dyDescent="0.3">
      <c r="A3315">
        <v>165700</v>
      </c>
      <c r="B3315" t="s">
        <v>69214</v>
      </c>
      <c r="C3315" t="s">
        <v>69215</v>
      </c>
      <c r="D3315" t="s">
        <v>69216</v>
      </c>
      <c r="E3315" t="s">
        <v>69217</v>
      </c>
      <c r="F3315" t="s">
        <v>69218</v>
      </c>
      <c r="G3315" t="s">
        <v>69219</v>
      </c>
      <c r="H3315" t="s">
        <v>69220</v>
      </c>
      <c r="I3315" t="s">
        <v>69221</v>
      </c>
      <c r="J3315" t="s">
        <v>69222</v>
      </c>
      <c r="K3315" t="s">
        <v>69223</v>
      </c>
      <c r="L3315" t="s">
        <v>69224</v>
      </c>
      <c r="M3315" t="s">
        <v>69225</v>
      </c>
      <c r="N3315" t="s">
        <v>69226</v>
      </c>
      <c r="O3315">
        <f>-785.877130854402 -85.0097473408041 -699.670219525008</f>
        <v>-1570.5570977202142</v>
      </c>
      <c r="P3315">
        <f>-719.956100356283 -71.46423446925 -390.385370935528</f>
        <v>-1181.8057057610608</v>
      </c>
      <c r="Q3315">
        <f>-465.331791178941 -52.2924725340933 -340.979141529799</f>
        <v>-858.60340524283333</v>
      </c>
      <c r="R3315" t="s">
        <v>69227</v>
      </c>
      <c r="S3315" t="s">
        <v>69228</v>
      </c>
      <c r="T3315" t="s">
        <v>69229</v>
      </c>
      <c r="U3315" t="s">
        <v>69230</v>
      </c>
      <c r="V3315" t="s">
        <v>69231</v>
      </c>
      <c r="W3315" t="s">
        <v>69232</v>
      </c>
      <c r="X3315" t="s">
        <v>69233</v>
      </c>
      <c r="Y3315" t="s">
        <v>69234</v>
      </c>
    </row>
    <row r="3316" spans="1:25" x14ac:dyDescent="0.3">
      <c r="A3316">
        <v>165750</v>
      </c>
      <c r="B3316" t="s">
        <v>69235</v>
      </c>
      <c r="C3316" t="s">
        <v>69236</v>
      </c>
      <c r="D3316" t="s">
        <v>69237</v>
      </c>
      <c r="E3316" t="s">
        <v>69238</v>
      </c>
      <c r="F3316" t="s">
        <v>69239</v>
      </c>
      <c r="G3316" t="s">
        <v>69240</v>
      </c>
      <c r="H3316" t="s">
        <v>69241</v>
      </c>
      <c r="I3316" t="s">
        <v>69242</v>
      </c>
      <c r="J3316" t="s">
        <v>69243</v>
      </c>
      <c r="K3316" t="s">
        <v>69244</v>
      </c>
      <c r="L3316" t="s">
        <v>69245</v>
      </c>
      <c r="M3316" t="s">
        <v>69246</v>
      </c>
      <c r="N3316" t="s">
        <v>69247</v>
      </c>
      <c r="O3316">
        <f>-785.078417988248 -84.6786226873824 -700.080697267707</f>
        <v>-1569.8377379433373</v>
      </c>
      <c r="P3316">
        <f>-721.612111909606 -71.8183364845254 -390.253616636955</f>
        <v>-1183.6840650310864</v>
      </c>
      <c r="Q3316">
        <f>-467.28562923407 -53.1544186585536 -339.148135158171</f>
        <v>-859.58818305079467</v>
      </c>
      <c r="R3316" t="s">
        <v>69248</v>
      </c>
      <c r="S3316" t="s">
        <v>69249</v>
      </c>
      <c r="T3316" t="s">
        <v>69250</v>
      </c>
      <c r="U3316" t="s">
        <v>69251</v>
      </c>
      <c r="V3316" t="s">
        <v>69252</v>
      </c>
      <c r="W3316" t="s">
        <v>69253</v>
      </c>
      <c r="X3316" t="s">
        <v>69254</v>
      </c>
      <c r="Y3316" t="s">
        <v>69255</v>
      </c>
    </row>
    <row r="3317" spans="1:25" x14ac:dyDescent="0.3">
      <c r="A3317">
        <v>165800</v>
      </c>
      <c r="B3317" t="s">
        <v>69256</v>
      </c>
      <c r="C3317" t="s">
        <v>69257</v>
      </c>
      <c r="D3317" t="s">
        <v>69258</v>
      </c>
      <c r="E3317" t="s">
        <v>69259</v>
      </c>
      <c r="F3317" t="s">
        <v>69260</v>
      </c>
      <c r="G3317" t="s">
        <v>69261</v>
      </c>
      <c r="H3317" t="s">
        <v>69262</v>
      </c>
      <c r="I3317" t="s">
        <v>69263</v>
      </c>
      <c r="J3317" t="s">
        <v>69264</v>
      </c>
      <c r="K3317" t="s">
        <v>69265</v>
      </c>
      <c r="L3317" t="s">
        <v>69266</v>
      </c>
      <c r="M3317" t="s">
        <v>69267</v>
      </c>
      <c r="N3317" t="s">
        <v>69268</v>
      </c>
      <c r="O3317">
        <f>-782.404732404483 -83.3126715395372 -701.98984709667</f>
        <v>-1567.7072510406902</v>
      </c>
      <c r="P3317">
        <f>-724.606916978153 -73.3502937873041 -390.949124111916</f>
        <v>-1188.906334877373</v>
      </c>
      <c r="Q3317">
        <f>-470.890825037804 -54.359010150205 -337.009020648512</f>
        <v>-862.25885583652098</v>
      </c>
      <c r="R3317" t="s">
        <v>69269</v>
      </c>
      <c r="S3317" t="s">
        <v>69270</v>
      </c>
      <c r="T3317" t="s">
        <v>69271</v>
      </c>
      <c r="U3317" t="s">
        <v>69272</v>
      </c>
      <c r="V3317" t="s">
        <v>69273</v>
      </c>
      <c r="W3317" t="s">
        <v>69274</v>
      </c>
      <c r="X3317" t="s">
        <v>69275</v>
      </c>
      <c r="Y3317" t="s">
        <v>69276</v>
      </c>
    </row>
    <row r="3318" spans="1:25" x14ac:dyDescent="0.3">
      <c r="A3318">
        <v>165850</v>
      </c>
      <c r="B3318" t="s">
        <v>69277</v>
      </c>
      <c r="C3318" t="s">
        <v>69278</v>
      </c>
      <c r="D3318" t="s">
        <v>69279</v>
      </c>
      <c r="E3318" t="s">
        <v>69280</v>
      </c>
      <c r="F3318" t="s">
        <v>69281</v>
      </c>
      <c r="G3318" t="s">
        <v>69282</v>
      </c>
      <c r="H3318" t="s">
        <v>69283</v>
      </c>
      <c r="I3318" t="s">
        <v>69284</v>
      </c>
      <c r="J3318" t="s">
        <v>69285</v>
      </c>
      <c r="K3318" t="s">
        <v>69286</v>
      </c>
      <c r="L3318" t="s">
        <v>69287</v>
      </c>
      <c r="M3318" t="s">
        <v>69288</v>
      </c>
      <c r="N3318" t="s">
        <v>69289</v>
      </c>
      <c r="O3318">
        <f>-780.44512843863 -81.9799970053582 -703.30166932689</f>
        <v>-1565.7267947708783</v>
      </c>
      <c r="P3318">
        <f>-725.237265531792 -70.7793173011301 -391.832789194517</f>
        <v>-1187.8493720274391</v>
      </c>
      <c r="Q3318">
        <f>-471.827532090813 -51.3817334288779 -336.612784937954</f>
        <v>-859.82205045764499</v>
      </c>
      <c r="R3318" t="s">
        <v>69290</v>
      </c>
      <c r="S3318" t="s">
        <v>69291</v>
      </c>
      <c r="T3318" t="s">
        <v>69292</v>
      </c>
      <c r="U3318" t="s">
        <v>69293</v>
      </c>
      <c r="V3318" t="s">
        <v>69294</v>
      </c>
      <c r="W3318" t="s">
        <v>69295</v>
      </c>
      <c r="X3318" t="s">
        <v>69296</v>
      </c>
      <c r="Y3318" t="s">
        <v>69297</v>
      </c>
    </row>
    <row r="3319" spans="1:25" x14ac:dyDescent="0.3">
      <c r="A3319">
        <v>165900</v>
      </c>
      <c r="B3319" t="s">
        <v>69298</v>
      </c>
      <c r="C3319" t="s">
        <v>69299</v>
      </c>
      <c r="D3319" t="s">
        <v>69300</v>
      </c>
      <c r="E3319" t="s">
        <v>69301</v>
      </c>
      <c r="F3319" t="s">
        <v>69302</v>
      </c>
      <c r="G3319" t="s">
        <v>69303</v>
      </c>
      <c r="H3319" t="s">
        <v>69304</v>
      </c>
      <c r="I3319" t="s">
        <v>69305</v>
      </c>
      <c r="J3319" t="s">
        <v>69306</v>
      </c>
      <c r="K3319" t="s">
        <v>69307</v>
      </c>
      <c r="L3319" t="s">
        <v>69308</v>
      </c>
      <c r="M3319" t="s">
        <v>69309</v>
      </c>
      <c r="N3319" t="s">
        <v>69310</v>
      </c>
      <c r="O3319">
        <f>-780.281400885243 -81.8484049517756 -703.302172325796</f>
        <v>-1565.4319781628146</v>
      </c>
      <c r="P3319">
        <f>-724.486515026012 -68.9203636622096 -392.004836350093</f>
        <v>-1185.4117150383145</v>
      </c>
      <c r="Q3319">
        <f>-470.870683468942 -49.7443228434488 -337.660220604273</f>
        <v>-858.27522691666377</v>
      </c>
      <c r="R3319" t="s">
        <v>69311</v>
      </c>
      <c r="S3319" t="s">
        <v>69312</v>
      </c>
      <c r="T3319" t="s">
        <v>69313</v>
      </c>
      <c r="U3319" t="s">
        <v>69314</v>
      </c>
      <c r="V3319" t="s">
        <v>69315</v>
      </c>
      <c r="W3319" t="s">
        <v>69316</v>
      </c>
      <c r="X3319" t="s">
        <v>69317</v>
      </c>
      <c r="Y3319" t="s">
        <v>69318</v>
      </c>
    </row>
    <row r="3320" spans="1:25" x14ac:dyDescent="0.3">
      <c r="A3320">
        <v>165950</v>
      </c>
      <c r="B3320" t="s">
        <v>69319</v>
      </c>
      <c r="C3320" t="s">
        <v>69320</v>
      </c>
      <c r="D3320" t="s">
        <v>69321</v>
      </c>
      <c r="E3320" t="s">
        <v>69322</v>
      </c>
      <c r="F3320" t="s">
        <v>69323</v>
      </c>
      <c r="G3320" t="s">
        <v>69324</v>
      </c>
      <c r="H3320" t="s">
        <v>69325</v>
      </c>
      <c r="I3320" t="s">
        <v>69326</v>
      </c>
      <c r="J3320" t="s">
        <v>69327</v>
      </c>
      <c r="K3320" t="s">
        <v>69328</v>
      </c>
      <c r="L3320" t="s">
        <v>69329</v>
      </c>
      <c r="M3320" t="s">
        <v>69330</v>
      </c>
      <c r="N3320" t="s">
        <v>69331</v>
      </c>
      <c r="O3320">
        <f>-782.03843569672 -81.6980032418248 -702.272131149155</f>
        <v>-1566.0085700876998</v>
      </c>
      <c r="P3320">
        <f>-723.073810252303 -67.2224443964562 -391.62794023515</f>
        <v>-1181.9241948839092</v>
      </c>
      <c r="Q3320">
        <f>-468.91084646845 -48.0143247383619 -339.914237127239</f>
        <v>-856.83940833405086</v>
      </c>
      <c r="R3320" t="s">
        <v>69332</v>
      </c>
      <c r="S3320" t="s">
        <v>69333</v>
      </c>
      <c r="T3320" t="s">
        <v>69334</v>
      </c>
      <c r="U3320" t="s">
        <v>69335</v>
      </c>
      <c r="V3320" t="s">
        <v>69336</v>
      </c>
      <c r="W3320" t="s">
        <v>69337</v>
      </c>
      <c r="X3320" t="s">
        <v>69338</v>
      </c>
      <c r="Y3320" t="s">
        <v>69339</v>
      </c>
    </row>
    <row r="3321" spans="1:25" x14ac:dyDescent="0.3">
      <c r="A3321">
        <v>166000</v>
      </c>
      <c r="B3321" t="s">
        <v>69340</v>
      </c>
      <c r="C3321" t="s">
        <v>69341</v>
      </c>
      <c r="D3321" t="s">
        <v>69342</v>
      </c>
      <c r="E3321" t="s">
        <v>69343</v>
      </c>
      <c r="F3321" t="s">
        <v>69344</v>
      </c>
      <c r="G3321" t="s">
        <v>69345</v>
      </c>
      <c r="H3321" t="s">
        <v>69346</v>
      </c>
      <c r="I3321" t="s">
        <v>69347</v>
      </c>
      <c r="J3321" t="s">
        <v>69348</v>
      </c>
      <c r="K3321" t="s">
        <v>69349</v>
      </c>
      <c r="L3321" t="s">
        <v>69350</v>
      </c>
      <c r="M3321" t="s">
        <v>69351</v>
      </c>
      <c r="N3321" t="s">
        <v>69352</v>
      </c>
      <c r="O3321">
        <f>-783.620295617168 -81.3795598633724 -701.61971203018</f>
        <v>-1566.6195675107206</v>
      </c>
      <c r="P3321">
        <f>-722.836586685023 -66.2685419241025 -391.356629185356</f>
        <v>-1180.4617577944814</v>
      </c>
      <c r="Q3321">
        <f>-468.408494191147 -45.3145031735548 -341.664372350604</f>
        <v>-855.38736971530579</v>
      </c>
      <c r="R3321" t="s">
        <v>69353</v>
      </c>
      <c r="S3321" t="s">
        <v>69354</v>
      </c>
      <c r="T3321" t="s">
        <v>69355</v>
      </c>
      <c r="U3321" t="s">
        <v>69356</v>
      </c>
      <c r="V3321" t="s">
        <v>69357</v>
      </c>
      <c r="W3321" t="s">
        <v>69358</v>
      </c>
      <c r="X3321" t="s">
        <v>69359</v>
      </c>
      <c r="Y3321" t="s">
        <v>69360</v>
      </c>
    </row>
    <row r="3322" spans="1:25" x14ac:dyDescent="0.3">
      <c r="A3322">
        <v>166050</v>
      </c>
      <c r="B3322" t="s">
        <v>69361</v>
      </c>
      <c r="C3322" t="s">
        <v>69362</v>
      </c>
      <c r="D3322" t="s">
        <v>69363</v>
      </c>
      <c r="E3322" t="s">
        <v>69364</v>
      </c>
      <c r="F3322" t="s">
        <v>69365</v>
      </c>
      <c r="G3322" t="s">
        <v>69366</v>
      </c>
      <c r="H3322" t="s">
        <v>69367</v>
      </c>
      <c r="I3322" t="s">
        <v>69368</v>
      </c>
      <c r="J3322" t="s">
        <v>69369</v>
      </c>
      <c r="K3322" t="s">
        <v>69370</v>
      </c>
      <c r="L3322" t="s">
        <v>69371</v>
      </c>
      <c r="M3322" t="s">
        <v>69372</v>
      </c>
      <c r="N3322" t="s">
        <v>69373</v>
      </c>
      <c r="O3322">
        <f>-785.661053627843 -80.4206968134849 -700.275835296566</f>
        <v>-1566.3575857378939</v>
      </c>
      <c r="P3322">
        <f>-721.730505259696 -64.4988059787331 -390.686456537351</f>
        <v>-1176.9157677757801</v>
      </c>
      <c r="Q3322">
        <f>-466.676966016171 -40.0217585368177 -346.069455974493</f>
        <v>-852.76818052748172</v>
      </c>
      <c r="R3322" t="s">
        <v>69374</v>
      </c>
      <c r="S3322" t="s">
        <v>69375</v>
      </c>
      <c r="T3322" t="s">
        <v>69376</v>
      </c>
      <c r="U3322" t="s">
        <v>69377</v>
      </c>
      <c r="V3322" t="s">
        <v>69378</v>
      </c>
      <c r="W3322" t="s">
        <v>69379</v>
      </c>
      <c r="X3322" t="s">
        <v>69380</v>
      </c>
      <c r="Y3322" t="s">
        <v>69381</v>
      </c>
    </row>
    <row r="3323" spans="1:25" x14ac:dyDescent="0.3">
      <c r="A3323">
        <v>166100</v>
      </c>
      <c r="B3323" t="s">
        <v>69382</v>
      </c>
      <c r="C3323" t="s">
        <v>69383</v>
      </c>
      <c r="D3323" t="s">
        <v>69384</v>
      </c>
      <c r="E3323" t="s">
        <v>69385</v>
      </c>
      <c r="F3323" t="s">
        <v>69386</v>
      </c>
      <c r="G3323" t="s">
        <v>69387</v>
      </c>
      <c r="H3323" t="s">
        <v>69388</v>
      </c>
      <c r="I3323" t="s">
        <v>69389</v>
      </c>
      <c r="J3323" t="s">
        <v>69390</v>
      </c>
      <c r="K3323" t="s">
        <v>69391</v>
      </c>
      <c r="L3323" t="s">
        <v>69392</v>
      </c>
      <c r="M3323" t="s">
        <v>69393</v>
      </c>
      <c r="N3323" t="s">
        <v>69394</v>
      </c>
      <c r="O3323">
        <f>-786.390835671435 -79.9782380990052 -699.320341372616</f>
        <v>-1565.6894151430561</v>
      </c>
      <c r="P3323">
        <f>-720.881990530383 -62.6406816634242 -390.137120936773</f>
        <v>-1173.6597931305801</v>
      </c>
      <c r="Q3323">
        <f>-465.350490411377 -36.8768171874733 -349.125906540272</f>
        <v>-851.35321413912231</v>
      </c>
      <c r="R3323" t="s">
        <v>69395</v>
      </c>
      <c r="S3323" t="s">
        <v>69396</v>
      </c>
      <c r="T3323" t="s">
        <v>69397</v>
      </c>
      <c r="U3323" t="s">
        <v>69398</v>
      </c>
      <c r="V3323" t="s">
        <v>69399</v>
      </c>
      <c r="W3323" t="s">
        <v>69400</v>
      </c>
      <c r="X3323" t="s">
        <v>69401</v>
      </c>
      <c r="Y3323" t="s">
        <v>69402</v>
      </c>
    </row>
    <row r="3324" spans="1:25" x14ac:dyDescent="0.3">
      <c r="A3324">
        <v>166150</v>
      </c>
      <c r="B3324" t="s">
        <v>69403</v>
      </c>
      <c r="C3324" t="s">
        <v>69404</v>
      </c>
      <c r="D3324" t="s">
        <v>69405</v>
      </c>
      <c r="E3324" t="s">
        <v>69406</v>
      </c>
      <c r="F3324" t="s">
        <v>69407</v>
      </c>
      <c r="G3324" t="s">
        <v>69408</v>
      </c>
      <c r="H3324" t="s">
        <v>69409</v>
      </c>
      <c r="I3324" t="s">
        <v>69410</v>
      </c>
      <c r="J3324" t="s">
        <v>69411</v>
      </c>
      <c r="K3324" t="s">
        <v>69412</v>
      </c>
      <c r="L3324" t="s">
        <v>69413</v>
      </c>
      <c r="M3324" t="s">
        <v>69414</v>
      </c>
      <c r="N3324" t="s">
        <v>69415</v>
      </c>
      <c r="O3324">
        <f>-787.343357497371 -80.1013551687026 -696.788868711931</f>
        <v>-1564.2335813780046</v>
      </c>
      <c r="P3324">
        <f>-721.368371987052 -61.6963816310254 -387.766632287635</f>
        <v>-1170.8313859057123</v>
      </c>
      <c r="Q3324">
        <f>-464.882788745667 -36.0396211243881 -353.141027714814</f>
        <v>-854.06343758486912</v>
      </c>
      <c r="R3324" t="s">
        <v>69416</v>
      </c>
      <c r="S3324" t="s">
        <v>69417</v>
      </c>
      <c r="T3324" t="s">
        <v>69418</v>
      </c>
      <c r="U3324" t="s">
        <v>69419</v>
      </c>
      <c r="V3324" t="s">
        <v>69420</v>
      </c>
      <c r="W3324" t="s">
        <v>69421</v>
      </c>
      <c r="X3324" t="s">
        <v>69422</v>
      </c>
      <c r="Y3324" t="s">
        <v>69423</v>
      </c>
    </row>
    <row r="3325" spans="1:25" x14ac:dyDescent="0.3">
      <c r="A3325">
        <v>166200</v>
      </c>
      <c r="B3325" t="s">
        <v>69424</v>
      </c>
      <c r="C3325" t="s">
        <v>69425</v>
      </c>
      <c r="D3325" t="s">
        <v>69426</v>
      </c>
      <c r="E3325" t="s">
        <v>69427</v>
      </c>
      <c r="F3325" t="s">
        <v>69428</v>
      </c>
      <c r="G3325" t="s">
        <v>69429</v>
      </c>
      <c r="H3325" t="s">
        <v>69430</v>
      </c>
      <c r="I3325" t="s">
        <v>69431</v>
      </c>
      <c r="J3325" t="s">
        <v>69432</v>
      </c>
      <c r="K3325" t="s">
        <v>69433</v>
      </c>
      <c r="L3325" t="s">
        <v>69434</v>
      </c>
      <c r="M3325" t="s">
        <v>69435</v>
      </c>
      <c r="N3325" t="s">
        <v>69436</v>
      </c>
      <c r="O3325">
        <f>-787.507648161965 -79.9597077383178 -695.950255882225</f>
        <v>-1563.4176117825077</v>
      </c>
      <c r="P3325">
        <f>-721.82767725499 -62.0260273464869 -386.837417618548</f>
        <v>-1170.6911222200249</v>
      </c>
      <c r="Q3325">
        <f>-465.152666240703 -35.5140516730037 -354.324331287871</f>
        <v>-854.99104920157765</v>
      </c>
      <c r="R3325" t="s">
        <v>69437</v>
      </c>
      <c r="S3325" t="s">
        <v>69438</v>
      </c>
      <c r="T3325" t="s">
        <v>69439</v>
      </c>
      <c r="U3325" t="s">
        <v>69440</v>
      </c>
      <c r="V3325" t="s">
        <v>69441</v>
      </c>
      <c r="W3325" t="s">
        <v>69442</v>
      </c>
      <c r="X3325" t="s">
        <v>69443</v>
      </c>
      <c r="Y3325" t="s">
        <v>69444</v>
      </c>
    </row>
    <row r="3326" spans="1:25" x14ac:dyDescent="0.3">
      <c r="A3326">
        <v>166250</v>
      </c>
      <c r="B3326" t="s">
        <v>69445</v>
      </c>
      <c r="C3326" t="s">
        <v>69446</v>
      </c>
      <c r="D3326" t="s">
        <v>69447</v>
      </c>
      <c r="E3326" t="s">
        <v>69448</v>
      </c>
      <c r="F3326" t="s">
        <v>69449</v>
      </c>
      <c r="G3326" t="s">
        <v>69450</v>
      </c>
      <c r="H3326" t="s">
        <v>69451</v>
      </c>
      <c r="I3326" t="s">
        <v>69452</v>
      </c>
      <c r="J3326" t="s">
        <v>69453</v>
      </c>
      <c r="K3326" t="s">
        <v>69454</v>
      </c>
      <c r="L3326" t="s">
        <v>69455</v>
      </c>
      <c r="M3326" t="s">
        <v>69456</v>
      </c>
      <c r="N3326" t="s">
        <v>69457</v>
      </c>
      <c r="O3326">
        <f>-787.335155387595 -79.623465198506 -695.005247350668</f>
        <v>-1561.963867936769</v>
      </c>
      <c r="P3326">
        <f>-720.060575106312 -60.6329284610388 -386.298564225238</f>
        <v>-1166.9920677925888</v>
      </c>
      <c r="Q3326">
        <f>-463.454620919989 -34.3404605376913 -353.070155117965</f>
        <v>-850.86523657564521</v>
      </c>
      <c r="R3326" t="s">
        <v>69458</v>
      </c>
      <c r="S3326" t="s">
        <v>69459</v>
      </c>
      <c r="T3326" t="s">
        <v>69460</v>
      </c>
      <c r="U3326" t="s">
        <v>69461</v>
      </c>
      <c r="V3326" t="s">
        <v>69462</v>
      </c>
      <c r="W3326" t="s">
        <v>69463</v>
      </c>
      <c r="X3326" t="s">
        <v>69464</v>
      </c>
      <c r="Y3326" t="s">
        <v>69465</v>
      </c>
    </row>
    <row r="3327" spans="1:25" x14ac:dyDescent="0.3">
      <c r="A3327">
        <v>166300</v>
      </c>
      <c r="B3327" t="s">
        <v>69466</v>
      </c>
      <c r="C3327" t="s">
        <v>69467</v>
      </c>
      <c r="D3327" t="s">
        <v>69468</v>
      </c>
      <c r="E3327" t="s">
        <v>69469</v>
      </c>
      <c r="F3327" t="s">
        <v>69470</v>
      </c>
      <c r="G3327" t="s">
        <v>69471</v>
      </c>
      <c r="H3327" t="s">
        <v>69472</v>
      </c>
      <c r="I3327" t="s">
        <v>69473</v>
      </c>
      <c r="J3327" t="s">
        <v>69474</v>
      </c>
      <c r="K3327" t="s">
        <v>69475</v>
      </c>
      <c r="L3327" t="s">
        <v>69476</v>
      </c>
      <c r="M3327" t="s">
        <v>69477</v>
      </c>
      <c r="N3327" t="s">
        <v>69478</v>
      </c>
      <c r="O3327">
        <f>-786.754833664267 -79.8932393823779 -694.793148665378</f>
        <v>-1561.441221712023</v>
      </c>
      <c r="P3327">
        <f>-719.653487247398 -59.3011164766131 -386.151644215824</f>
        <v>-1165.1062479398349</v>
      </c>
      <c r="Q3327">
        <f>-463.130708333414 -33.5622501798177 -351.864853197918</f>
        <v>-848.55781171114972</v>
      </c>
      <c r="R3327" t="s">
        <v>69479</v>
      </c>
      <c r="S3327" t="s">
        <v>69480</v>
      </c>
      <c r="T3327" t="s">
        <v>69481</v>
      </c>
      <c r="U3327" t="s">
        <v>69482</v>
      </c>
      <c r="V3327" t="s">
        <v>69483</v>
      </c>
      <c r="W3327" t="s">
        <v>69484</v>
      </c>
      <c r="X3327" t="s">
        <v>69485</v>
      </c>
      <c r="Y3327" t="s">
        <v>69486</v>
      </c>
    </row>
    <row r="3328" spans="1:25" x14ac:dyDescent="0.3">
      <c r="A3328">
        <v>166350</v>
      </c>
      <c r="B3328" t="s">
        <v>69487</v>
      </c>
      <c r="C3328" t="s">
        <v>69488</v>
      </c>
      <c r="D3328" t="s">
        <v>69489</v>
      </c>
      <c r="E3328" t="s">
        <v>69490</v>
      </c>
      <c r="F3328" t="s">
        <v>69491</v>
      </c>
      <c r="G3328" t="s">
        <v>69492</v>
      </c>
      <c r="H3328" t="s">
        <v>69493</v>
      </c>
      <c r="I3328" t="s">
        <v>69494</v>
      </c>
      <c r="J3328" t="s">
        <v>69495</v>
      </c>
      <c r="K3328" t="s">
        <v>69496</v>
      </c>
      <c r="L3328" t="s">
        <v>69497</v>
      </c>
      <c r="M3328" t="s">
        <v>69498</v>
      </c>
      <c r="N3328" t="s">
        <v>69499</v>
      </c>
      <c r="O3328">
        <f>-783.480050778605 -80.9787458551211 -695.02525185615</f>
        <v>-1559.4840484898762</v>
      </c>
      <c r="P3328">
        <f>-718.113046863386 -58.5459723420024 -386.139967299104</f>
        <v>-1162.7989865044924</v>
      </c>
      <c r="Q3328">
        <f>-461.561668677677 -34.4659275117574 -350.87508445609</f>
        <v>-846.90268064552447</v>
      </c>
      <c r="R3328" t="s">
        <v>69500</v>
      </c>
      <c r="S3328" t="s">
        <v>69501</v>
      </c>
      <c r="T3328" t="s">
        <v>69502</v>
      </c>
      <c r="U3328" t="s">
        <v>69503</v>
      </c>
      <c r="V3328" t="s">
        <v>69504</v>
      </c>
      <c r="W3328" t="s">
        <v>69505</v>
      </c>
      <c r="X3328" t="s">
        <v>69506</v>
      </c>
      <c r="Y3328" t="s">
        <v>69507</v>
      </c>
    </row>
    <row r="3329" spans="1:25" x14ac:dyDescent="0.3">
      <c r="A3329">
        <v>166400</v>
      </c>
      <c r="B3329" t="s">
        <v>69508</v>
      </c>
      <c r="C3329" t="s">
        <v>69509</v>
      </c>
      <c r="D3329" t="s">
        <v>69510</v>
      </c>
      <c r="E3329" t="s">
        <v>69511</v>
      </c>
      <c r="F3329" t="s">
        <v>69512</v>
      </c>
      <c r="G3329" t="s">
        <v>69513</v>
      </c>
      <c r="H3329" t="s">
        <v>69514</v>
      </c>
      <c r="I3329" t="s">
        <v>69515</v>
      </c>
      <c r="J3329" t="s">
        <v>69516</v>
      </c>
      <c r="K3329" t="s">
        <v>69517</v>
      </c>
      <c r="L3329" t="s">
        <v>69518</v>
      </c>
      <c r="M3329" t="s">
        <v>69519</v>
      </c>
      <c r="N3329" t="s">
        <v>69520</v>
      </c>
      <c r="O3329">
        <f>-781.849683824614 -81.7426197842592 -695.057219650514</f>
        <v>-1558.649523259387</v>
      </c>
      <c r="P3329">
        <f>-717.470947749346 -58.6066976636234 -386.01625890242</f>
        <v>-1162.0939043153894</v>
      </c>
      <c r="Q3329">
        <f>-460.84417839692 -35.4497937825329 -350.681258050173</f>
        <v>-846.97523022962582</v>
      </c>
      <c r="R3329" t="s">
        <v>69521</v>
      </c>
      <c r="S3329" t="s">
        <v>69522</v>
      </c>
      <c r="T3329" t="s">
        <v>69523</v>
      </c>
      <c r="U3329" t="s">
        <v>69524</v>
      </c>
      <c r="V3329" t="s">
        <v>69525</v>
      </c>
      <c r="W3329" t="s">
        <v>69526</v>
      </c>
      <c r="X3329" t="s">
        <v>69527</v>
      </c>
      <c r="Y3329" t="s">
        <v>69528</v>
      </c>
    </row>
    <row r="3330" spans="1:25" x14ac:dyDescent="0.3">
      <c r="A3330">
        <v>166450</v>
      </c>
      <c r="B3330" t="s">
        <v>69529</v>
      </c>
      <c r="C3330" t="s">
        <v>69530</v>
      </c>
      <c r="D3330" t="s">
        <v>69531</v>
      </c>
      <c r="E3330" t="s">
        <v>69532</v>
      </c>
      <c r="F3330" t="s">
        <v>69533</v>
      </c>
      <c r="G3330" t="s">
        <v>69534</v>
      </c>
      <c r="H3330" t="s">
        <v>69535</v>
      </c>
      <c r="I3330" t="s">
        <v>69536</v>
      </c>
      <c r="J3330" t="s">
        <v>69537</v>
      </c>
      <c r="K3330" t="s">
        <v>69538</v>
      </c>
      <c r="L3330" t="s">
        <v>69539</v>
      </c>
      <c r="M3330" t="s">
        <v>69540</v>
      </c>
      <c r="N3330" t="s">
        <v>69541</v>
      </c>
      <c r="O3330">
        <f>-778.447129453897 -83.897457546763 -695.288331373663</f>
        <v>-1557.632918374323</v>
      </c>
      <c r="P3330">
        <f>-715.185519147408 -58.8467154654352 -386.166010396989</f>
        <v>-1160.1982450098321</v>
      </c>
      <c r="Q3330">
        <f>-458.640330727313 -36.2996571771932 -349.858425471327</f>
        <v>-844.79841337583321</v>
      </c>
      <c r="R3330" t="s">
        <v>69542</v>
      </c>
      <c r="S3330" t="s">
        <v>69543</v>
      </c>
      <c r="T3330" t="s">
        <v>69544</v>
      </c>
      <c r="U3330" t="s">
        <v>69545</v>
      </c>
      <c r="V3330" t="s">
        <v>69546</v>
      </c>
      <c r="W3330" t="s">
        <v>69547</v>
      </c>
      <c r="X3330" t="s">
        <v>69548</v>
      </c>
      <c r="Y3330" t="s">
        <v>69549</v>
      </c>
    </row>
    <row r="3331" spans="1:25" x14ac:dyDescent="0.3">
      <c r="A3331">
        <v>166500</v>
      </c>
      <c r="B3331" t="s">
        <v>69550</v>
      </c>
      <c r="C3331" t="s">
        <v>69551</v>
      </c>
      <c r="D3331" t="s">
        <v>69552</v>
      </c>
      <c r="E3331" t="s">
        <v>69553</v>
      </c>
      <c r="F3331" t="s">
        <v>69554</v>
      </c>
      <c r="G3331" t="s">
        <v>69555</v>
      </c>
      <c r="H3331" t="s">
        <v>69556</v>
      </c>
      <c r="I3331" t="s">
        <v>69557</v>
      </c>
      <c r="J3331" t="s">
        <v>69558</v>
      </c>
      <c r="K3331" t="s">
        <v>69559</v>
      </c>
      <c r="L3331" t="s">
        <v>69560</v>
      </c>
      <c r="M3331" t="s">
        <v>69561</v>
      </c>
      <c r="N3331" t="s">
        <v>69562</v>
      </c>
      <c r="O3331">
        <f>-776.974514593464 -85.0308136659501 -695.672554882618</f>
        <v>-1557.677883142032</v>
      </c>
      <c r="P3331">
        <f>-714.487532821349 -59.0921179645891 -386.465792161913</f>
        <v>-1160.0454429478509</v>
      </c>
      <c r="Q3331">
        <f>-458.105393088535 -35.9248494553492 -349.404873635483</f>
        <v>-843.43511617936724</v>
      </c>
      <c r="R3331" t="s">
        <v>69563</v>
      </c>
      <c r="S3331" t="s">
        <v>69564</v>
      </c>
      <c r="T3331" t="s">
        <v>69565</v>
      </c>
      <c r="U3331" t="s">
        <v>69566</v>
      </c>
      <c r="V3331" t="s">
        <v>69567</v>
      </c>
      <c r="W3331" t="s">
        <v>69568</v>
      </c>
      <c r="X3331" t="s">
        <v>69569</v>
      </c>
      <c r="Y3331" t="s">
        <v>69570</v>
      </c>
    </row>
    <row r="3332" spans="1:25" x14ac:dyDescent="0.3">
      <c r="A3332">
        <v>166550</v>
      </c>
      <c r="B3332" t="s">
        <v>69571</v>
      </c>
      <c r="C3332" t="s">
        <v>69572</v>
      </c>
      <c r="D3332" t="s">
        <v>69573</v>
      </c>
      <c r="E3332" t="s">
        <v>69574</v>
      </c>
      <c r="F3332" t="s">
        <v>69575</v>
      </c>
      <c r="G3332" t="s">
        <v>69576</v>
      </c>
      <c r="H3332" t="s">
        <v>69577</v>
      </c>
      <c r="I3332" t="s">
        <v>69578</v>
      </c>
      <c r="J3332" t="s">
        <v>69579</v>
      </c>
      <c r="K3332" t="s">
        <v>69580</v>
      </c>
      <c r="L3332" t="s">
        <v>69581</v>
      </c>
      <c r="M3332" t="s">
        <v>69582</v>
      </c>
      <c r="N3332" t="s">
        <v>69583</v>
      </c>
      <c r="O3332">
        <f>-774.473199227536 -86.4623388074501 -696.842601415313</f>
        <v>-1557.778139450299</v>
      </c>
      <c r="P3332">
        <f>-713.096518988512 -59.5630046419355 -387.495746347945</f>
        <v>-1160.1552699783924</v>
      </c>
      <c r="Q3332">
        <f>-457.013267482479 -34.903101467185 -349.347141167445</f>
        <v>-841.26351011710904</v>
      </c>
      <c r="R3332" t="s">
        <v>69584</v>
      </c>
      <c r="S3332" t="s">
        <v>69585</v>
      </c>
      <c r="T3332" t="s">
        <v>69586</v>
      </c>
      <c r="U3332" t="s">
        <v>69587</v>
      </c>
      <c r="V3332" t="s">
        <v>69588</v>
      </c>
      <c r="W3332" t="s">
        <v>69589</v>
      </c>
      <c r="X3332" t="s">
        <v>69590</v>
      </c>
      <c r="Y3332" t="s">
        <v>69591</v>
      </c>
    </row>
    <row r="3333" spans="1:25" x14ac:dyDescent="0.3">
      <c r="A3333">
        <v>166600</v>
      </c>
      <c r="B3333" t="s">
        <v>69592</v>
      </c>
      <c r="C3333" t="s">
        <v>69593</v>
      </c>
      <c r="D3333" t="s">
        <v>69594</v>
      </c>
      <c r="E3333" t="s">
        <v>69595</v>
      </c>
      <c r="F3333" t="s">
        <v>69596</v>
      </c>
      <c r="G3333" t="s">
        <v>69597</v>
      </c>
      <c r="H3333" t="s">
        <v>69598</v>
      </c>
      <c r="I3333" t="s">
        <v>69599</v>
      </c>
      <c r="J3333" t="s">
        <v>69600</v>
      </c>
      <c r="K3333" t="s">
        <v>69601</v>
      </c>
      <c r="L3333" t="s">
        <v>69602</v>
      </c>
      <c r="M3333" t="s">
        <v>69603</v>
      </c>
      <c r="N3333" t="s">
        <v>69604</v>
      </c>
      <c r="O3333">
        <f>-773.301464245074 -87.0918268554171 -697.41530477764</f>
        <v>-1557.8085958781312</v>
      </c>
      <c r="P3333">
        <f>-712.380286871318 -59.7921824995665 -388.013311121287</f>
        <v>-1160.1857804921715</v>
      </c>
      <c r="Q3333">
        <f>-456.402973093918 -34.7130130770906 -349.430165444261</f>
        <v>-840.54615161526954</v>
      </c>
      <c r="R3333" t="s">
        <v>69605</v>
      </c>
      <c r="S3333" t="s">
        <v>69606</v>
      </c>
      <c r="T3333" t="s">
        <v>69607</v>
      </c>
      <c r="U3333" t="s">
        <v>69608</v>
      </c>
      <c r="V3333" t="s">
        <v>69609</v>
      </c>
      <c r="W3333" t="s">
        <v>69610</v>
      </c>
      <c r="X3333" t="s">
        <v>69611</v>
      </c>
      <c r="Y3333" t="s">
        <v>69612</v>
      </c>
    </row>
    <row r="3334" spans="1:25" x14ac:dyDescent="0.3">
      <c r="A3334">
        <v>166650</v>
      </c>
      <c r="B3334" t="s">
        <v>69613</v>
      </c>
      <c r="C3334" t="s">
        <v>69614</v>
      </c>
      <c r="D3334" t="s">
        <v>69615</v>
      </c>
      <c r="E3334" t="s">
        <v>69616</v>
      </c>
      <c r="F3334" t="s">
        <v>69617</v>
      </c>
      <c r="G3334" t="s">
        <v>69618</v>
      </c>
      <c r="H3334" t="s">
        <v>69619</v>
      </c>
      <c r="I3334" t="s">
        <v>69620</v>
      </c>
      <c r="J3334" t="s">
        <v>69621</v>
      </c>
      <c r="K3334" t="s">
        <v>69622</v>
      </c>
      <c r="L3334" t="s">
        <v>69623</v>
      </c>
      <c r="M3334" t="s">
        <v>69624</v>
      </c>
      <c r="N3334" t="s">
        <v>69625</v>
      </c>
      <c r="O3334">
        <f>-770.82055369745 -88.3177862641789 -698.15762405044</f>
        <v>-1557.2959640120689</v>
      </c>
      <c r="P3334">
        <f>-711.032282834833 -60.7352246137384 -388.559960801822</f>
        <v>-1160.3274682503934</v>
      </c>
      <c r="Q3334">
        <f>-455.284615730002 -35.0358298204396 -348.877337013938</f>
        <v>-839.19778256437962</v>
      </c>
      <c r="R3334" t="s">
        <v>69626</v>
      </c>
      <c r="S3334" t="s">
        <v>69627</v>
      </c>
      <c r="T3334" t="s">
        <v>69628</v>
      </c>
      <c r="U3334" t="s">
        <v>69629</v>
      </c>
      <c r="V3334" t="s">
        <v>69630</v>
      </c>
      <c r="W3334" t="s">
        <v>69631</v>
      </c>
      <c r="X3334" t="s">
        <v>69632</v>
      </c>
      <c r="Y3334" t="s">
        <v>69633</v>
      </c>
    </row>
    <row r="3335" spans="1:25" x14ac:dyDescent="0.3">
      <c r="A3335">
        <v>166700</v>
      </c>
      <c r="B3335" t="s">
        <v>69634</v>
      </c>
      <c r="C3335" t="s">
        <v>69635</v>
      </c>
      <c r="D3335" t="s">
        <v>69636</v>
      </c>
      <c r="E3335" t="s">
        <v>69637</v>
      </c>
      <c r="F3335" t="s">
        <v>69638</v>
      </c>
      <c r="G3335" t="s">
        <v>69639</v>
      </c>
      <c r="H3335" t="s">
        <v>69640</v>
      </c>
      <c r="I3335" t="s">
        <v>69641</v>
      </c>
      <c r="J3335" t="s">
        <v>69642</v>
      </c>
      <c r="K3335" t="s">
        <v>69643</v>
      </c>
      <c r="L3335" t="s">
        <v>69644</v>
      </c>
      <c r="M3335" t="s">
        <v>69645</v>
      </c>
      <c r="N3335" t="s">
        <v>69646</v>
      </c>
      <c r="O3335">
        <f>-769.458560947368 -89.2490911554135 -698.25542239791</f>
        <v>-1556.9630745006916</v>
      </c>
      <c r="P3335">
        <f>-710.333463580546 -61.2213397720507 -388.570190693211</f>
        <v>-1160.1249940458076</v>
      </c>
      <c r="Q3335">
        <f>-454.677507148126 -35.5472245625613 -348.285057497903</f>
        <v>-838.50978920859029</v>
      </c>
      <c r="R3335" t="s">
        <v>69647</v>
      </c>
      <c r="S3335" t="s">
        <v>69648</v>
      </c>
      <c r="T3335" t="s">
        <v>69649</v>
      </c>
      <c r="U3335" t="s">
        <v>69650</v>
      </c>
      <c r="V3335" t="s">
        <v>69651</v>
      </c>
      <c r="W3335" t="s">
        <v>69652</v>
      </c>
      <c r="X3335" t="s">
        <v>69653</v>
      </c>
      <c r="Y3335" t="s">
        <v>69654</v>
      </c>
    </row>
    <row r="3336" spans="1:25" x14ac:dyDescent="0.3">
      <c r="A3336">
        <v>166750</v>
      </c>
      <c r="B3336" t="s">
        <v>69655</v>
      </c>
      <c r="C3336" t="s">
        <v>69656</v>
      </c>
      <c r="D3336" t="s">
        <v>69657</v>
      </c>
      <c r="E3336" t="s">
        <v>69658</v>
      </c>
      <c r="F3336" t="s">
        <v>69659</v>
      </c>
      <c r="G3336" t="s">
        <v>69660</v>
      </c>
      <c r="H3336" t="s">
        <v>69661</v>
      </c>
      <c r="I3336" t="s">
        <v>69662</v>
      </c>
      <c r="J3336" t="s">
        <v>69663</v>
      </c>
      <c r="K3336" t="s">
        <v>69664</v>
      </c>
      <c r="L3336" t="s">
        <v>69665</v>
      </c>
      <c r="M3336" t="s">
        <v>69666</v>
      </c>
      <c r="N3336" t="s">
        <v>69667</v>
      </c>
      <c r="O3336">
        <f>-767.053254948923 -90.9500494378397 -698.395446171975</f>
        <v>-1556.3987505587377</v>
      </c>
      <c r="P3336">
        <f>-709.027076284982 -62.7129018544124 -388.521635094174</f>
        <v>-1160.2616132335684</v>
      </c>
      <c r="Q3336">
        <f>-453.602135961402 -37.915570273228 -346.268743495342</f>
        <v>-837.78644972997199</v>
      </c>
      <c r="R3336" t="s">
        <v>69668</v>
      </c>
      <c r="S3336" t="s">
        <v>69669</v>
      </c>
      <c r="T3336" t="s">
        <v>69670</v>
      </c>
      <c r="U3336" t="s">
        <v>69671</v>
      </c>
      <c r="V3336" t="s">
        <v>69672</v>
      </c>
      <c r="W3336" t="s">
        <v>69673</v>
      </c>
      <c r="X3336" t="s">
        <v>69674</v>
      </c>
      <c r="Y3336" t="s">
        <v>69675</v>
      </c>
    </row>
    <row r="3337" spans="1:25" x14ac:dyDescent="0.3">
      <c r="A3337">
        <v>166800</v>
      </c>
      <c r="B3337" t="s">
        <v>69676</v>
      </c>
      <c r="C3337" t="s">
        <v>69677</v>
      </c>
      <c r="D3337" t="s">
        <v>69678</v>
      </c>
      <c r="E3337" t="s">
        <v>69679</v>
      </c>
      <c r="F3337" t="s">
        <v>69680</v>
      </c>
      <c r="G3337" t="s">
        <v>69681</v>
      </c>
      <c r="H3337" t="s">
        <v>69682</v>
      </c>
      <c r="I3337" t="s">
        <v>69683</v>
      </c>
      <c r="J3337" t="s">
        <v>69684</v>
      </c>
      <c r="K3337" t="s">
        <v>69685</v>
      </c>
      <c r="L3337" t="s">
        <v>69686</v>
      </c>
      <c r="M3337" t="s">
        <v>69687</v>
      </c>
      <c r="N3337" t="s">
        <v>69688</v>
      </c>
      <c r="O3337">
        <f>-765.693371658601 -91.6523505216212 -698.661750963872</f>
        <v>-1556.0074731440941</v>
      </c>
      <c r="P3337">
        <f>-708.357961447034 -63.4530991900529 -388.655846897843</f>
        <v>-1160.4669075349298</v>
      </c>
      <c r="Q3337">
        <f>-453.046709507589 -38.9675117029924 -345.54380168443</f>
        <v>-837.55802289501139</v>
      </c>
      <c r="R3337" t="s">
        <v>69689</v>
      </c>
      <c r="S3337" t="s">
        <v>69690</v>
      </c>
      <c r="T3337" t="s">
        <v>69691</v>
      </c>
      <c r="U3337" t="s">
        <v>69692</v>
      </c>
      <c r="V3337" t="s">
        <v>69693</v>
      </c>
      <c r="W3337" t="s">
        <v>69694</v>
      </c>
      <c r="X3337" t="s">
        <v>69695</v>
      </c>
      <c r="Y3337" t="s">
        <v>69696</v>
      </c>
    </row>
    <row r="3338" spans="1:25" x14ac:dyDescent="0.3">
      <c r="A3338">
        <v>166850</v>
      </c>
      <c r="B3338" t="s">
        <v>69697</v>
      </c>
      <c r="C3338" t="s">
        <v>69698</v>
      </c>
      <c r="D3338" t="s">
        <v>69699</v>
      </c>
      <c r="E3338" t="s">
        <v>69700</v>
      </c>
      <c r="F3338" t="s">
        <v>69701</v>
      </c>
      <c r="G3338" t="s">
        <v>69702</v>
      </c>
      <c r="H3338" t="s">
        <v>69703</v>
      </c>
      <c r="I3338" t="s">
        <v>69704</v>
      </c>
      <c r="J3338" t="s">
        <v>69705</v>
      </c>
      <c r="K3338" t="s">
        <v>69706</v>
      </c>
      <c r="L3338" t="s">
        <v>69707</v>
      </c>
      <c r="M3338" t="s">
        <v>69708</v>
      </c>
      <c r="N3338" t="s">
        <v>69709</v>
      </c>
      <c r="O3338">
        <f>-762.801831109963 -93.2250717142999 -699.646862713741</f>
        <v>-1555.6737655380039</v>
      </c>
      <c r="P3338">
        <f>-706.565207418008 -65.21520504317 -389.422611062787</f>
        <v>-1161.2030235239649</v>
      </c>
      <c r="Q3338">
        <f>-451.550562844547 -40.4171621906928 -344.761138086605</f>
        <v>-836.72886312184482</v>
      </c>
      <c r="R3338" t="s">
        <v>69710</v>
      </c>
      <c r="S3338" t="s">
        <v>69711</v>
      </c>
      <c r="T3338" t="s">
        <v>69712</v>
      </c>
      <c r="U3338" t="s">
        <v>69713</v>
      </c>
      <c r="V3338" t="s">
        <v>69714</v>
      </c>
      <c r="W3338" t="s">
        <v>69715</v>
      </c>
      <c r="X3338" t="s">
        <v>69716</v>
      </c>
      <c r="Y3338" t="s">
        <v>69717</v>
      </c>
    </row>
    <row r="3339" spans="1:25" x14ac:dyDescent="0.3">
      <c r="A3339">
        <v>166900</v>
      </c>
      <c r="B3339" t="s">
        <v>69718</v>
      </c>
      <c r="C3339" t="s">
        <v>69719</v>
      </c>
      <c r="D3339" t="s">
        <v>69720</v>
      </c>
      <c r="E3339" t="s">
        <v>69721</v>
      </c>
      <c r="F3339" t="s">
        <v>69722</v>
      </c>
      <c r="G3339" t="s">
        <v>69723</v>
      </c>
      <c r="H3339" t="s">
        <v>69724</v>
      </c>
      <c r="I3339" t="s">
        <v>69725</v>
      </c>
      <c r="J3339" t="s">
        <v>69726</v>
      </c>
      <c r="K3339" t="s">
        <v>69727</v>
      </c>
      <c r="L3339" t="s">
        <v>69728</v>
      </c>
      <c r="M3339" t="s">
        <v>69729</v>
      </c>
      <c r="N3339" t="s">
        <v>69730</v>
      </c>
      <c r="O3339">
        <f>-760.980911342143 -94.179051319679 -700.278436045146</f>
        <v>-1555.4383987069682</v>
      </c>
      <c r="P3339">
        <f>-704.974447206225 -66.6391609776231 -389.970523781358</f>
        <v>-1161.5841319652061</v>
      </c>
      <c r="Q3339">
        <f>-450.069632511583 -41.1934874955928 -345.047093011067</f>
        <v>-836.31021301824285</v>
      </c>
      <c r="R3339" t="s">
        <v>69731</v>
      </c>
      <c r="S3339" t="s">
        <v>69732</v>
      </c>
      <c r="T3339" t="s">
        <v>69733</v>
      </c>
      <c r="U3339" t="s">
        <v>69734</v>
      </c>
      <c r="V3339" t="s">
        <v>69735</v>
      </c>
      <c r="W3339" t="s">
        <v>69736</v>
      </c>
      <c r="X3339" t="s">
        <v>69737</v>
      </c>
      <c r="Y3339" t="s">
        <v>69738</v>
      </c>
    </row>
    <row r="3340" spans="1:25" x14ac:dyDescent="0.3">
      <c r="A3340">
        <v>166950</v>
      </c>
      <c r="B3340" t="s">
        <v>69739</v>
      </c>
      <c r="C3340" t="s">
        <v>69740</v>
      </c>
      <c r="D3340" t="s">
        <v>69741</v>
      </c>
      <c r="E3340" t="s">
        <v>69742</v>
      </c>
      <c r="F3340" t="s">
        <v>69743</v>
      </c>
      <c r="G3340" t="s">
        <v>69744</v>
      </c>
      <c r="H3340" t="s">
        <v>69745</v>
      </c>
      <c r="I3340" t="s">
        <v>69746</v>
      </c>
      <c r="J3340" t="s">
        <v>69747</v>
      </c>
      <c r="K3340" t="s">
        <v>69748</v>
      </c>
      <c r="L3340" t="s">
        <v>69749</v>
      </c>
      <c r="M3340" t="s">
        <v>69750</v>
      </c>
      <c r="N3340" t="s">
        <v>69751</v>
      </c>
      <c r="O3340">
        <f>-759.500037583084 -95.1129872707488 -700.808569121839</f>
        <v>-1555.4215939756718</v>
      </c>
      <c r="P3340">
        <f>-703.628518211968 -67.3725785702891 -390.494238866407</f>
        <v>-1161.495335648664</v>
      </c>
      <c r="Q3340">
        <f>-448.795339878577 -41.0907496492184 -345.645775944256</f>
        <v>-835.53186547205144</v>
      </c>
      <c r="R3340" t="s">
        <v>69752</v>
      </c>
      <c r="S3340" t="s">
        <v>69753</v>
      </c>
      <c r="T3340" t="s">
        <v>69754</v>
      </c>
      <c r="U3340" t="s">
        <v>69755</v>
      </c>
      <c r="V3340" t="s">
        <v>69756</v>
      </c>
      <c r="W3340" t="s">
        <v>69757</v>
      </c>
      <c r="X3340" t="s">
        <v>69758</v>
      </c>
      <c r="Y3340" t="s">
        <v>69759</v>
      </c>
    </row>
    <row r="3341" spans="1:25" x14ac:dyDescent="0.3">
      <c r="A3341">
        <v>167000</v>
      </c>
      <c r="B3341" t="s">
        <v>69760</v>
      </c>
      <c r="C3341" t="s">
        <v>69761</v>
      </c>
      <c r="D3341" t="s">
        <v>69762</v>
      </c>
      <c r="E3341" t="s">
        <v>69763</v>
      </c>
      <c r="F3341" t="s">
        <v>69764</v>
      </c>
      <c r="G3341" t="s">
        <v>69765</v>
      </c>
      <c r="H3341" t="s">
        <v>69766</v>
      </c>
      <c r="I3341" t="s">
        <v>69767</v>
      </c>
      <c r="J3341" t="s">
        <v>69768</v>
      </c>
      <c r="K3341" t="s">
        <v>69769</v>
      </c>
      <c r="L3341" t="s">
        <v>69770</v>
      </c>
      <c r="M3341" t="s">
        <v>69771</v>
      </c>
      <c r="N3341" t="s">
        <v>69772</v>
      </c>
      <c r="O3341">
        <f>-758.086634264198 -95.964195292257 -701.200666019263</f>
        <v>-1555.2514955757181</v>
      </c>
      <c r="P3341">
        <f>-702.333044707399 -68.2193311765261 -390.865462770397</f>
        <v>-1161.4178386543222</v>
      </c>
      <c r="Q3341">
        <f>-447.526955269158 -41.1620668510179 -346.325285817682</f>
        <v>-835.01430793785789</v>
      </c>
      <c r="R3341" t="s">
        <v>69773</v>
      </c>
      <c r="S3341" t="s">
        <v>69774</v>
      </c>
      <c r="T3341" t="s">
        <v>69775</v>
      </c>
      <c r="U3341" t="s">
        <v>69776</v>
      </c>
      <c r="V3341" t="s">
        <v>69777</v>
      </c>
      <c r="W3341" t="s">
        <v>69778</v>
      </c>
      <c r="X3341" t="s">
        <v>69779</v>
      </c>
      <c r="Y3341" t="s">
        <v>69780</v>
      </c>
    </row>
    <row r="3342" spans="1:25" x14ac:dyDescent="0.3">
      <c r="A3342">
        <v>167050</v>
      </c>
      <c r="B3342" t="s">
        <v>69781</v>
      </c>
      <c r="C3342" t="s">
        <v>69782</v>
      </c>
      <c r="D3342" t="s">
        <v>69783</v>
      </c>
      <c r="E3342" t="s">
        <v>69784</v>
      </c>
      <c r="F3342" t="s">
        <v>69785</v>
      </c>
      <c r="G3342" t="s">
        <v>69786</v>
      </c>
      <c r="H3342" t="s">
        <v>69787</v>
      </c>
      <c r="I3342" t="s">
        <v>69788</v>
      </c>
      <c r="J3342" t="s">
        <v>69789</v>
      </c>
      <c r="K3342" t="s">
        <v>69790</v>
      </c>
      <c r="L3342" t="s">
        <v>69791</v>
      </c>
      <c r="M3342" t="s">
        <v>69792</v>
      </c>
      <c r="N3342" t="s">
        <v>69793</v>
      </c>
      <c r="O3342">
        <f>-753.978606494899 -98.4624399598324 -701.6105463528</f>
        <v>-1554.0515928075315</v>
      </c>
      <c r="P3342">
        <f>-698.375168621536 -70.3321996890008 -391.28304756769</f>
        <v>-1159.9904158782269</v>
      </c>
      <c r="Q3342">
        <f>-443.569741682747 -41.0128728666682 -348.194722229393</f>
        <v>-832.77733677880815</v>
      </c>
      <c r="R3342" t="s">
        <v>69794</v>
      </c>
      <c r="S3342" t="s">
        <v>69795</v>
      </c>
      <c r="T3342" t="s">
        <v>69796</v>
      </c>
      <c r="U3342" t="s">
        <v>69797</v>
      </c>
      <c r="V3342" t="s">
        <v>69798</v>
      </c>
      <c r="W3342" t="s">
        <v>69799</v>
      </c>
      <c r="X3342" t="s">
        <v>69800</v>
      </c>
      <c r="Y3342" t="s">
        <v>69801</v>
      </c>
    </row>
    <row r="3343" spans="1:25" x14ac:dyDescent="0.3">
      <c r="A3343">
        <v>167100</v>
      </c>
      <c r="B3343" t="s">
        <v>69802</v>
      </c>
      <c r="C3343" t="s">
        <v>69803</v>
      </c>
      <c r="D3343" t="s">
        <v>69804</v>
      </c>
      <c r="E3343" t="s">
        <v>69805</v>
      </c>
      <c r="F3343" t="s">
        <v>69806</v>
      </c>
      <c r="G3343" t="s">
        <v>69807</v>
      </c>
      <c r="H3343" t="s">
        <v>69808</v>
      </c>
      <c r="I3343" t="s">
        <v>69809</v>
      </c>
      <c r="J3343" t="s">
        <v>69810</v>
      </c>
      <c r="K3343" t="s">
        <v>69811</v>
      </c>
      <c r="L3343" t="s">
        <v>69812</v>
      </c>
      <c r="M3343" t="s">
        <v>69813</v>
      </c>
      <c r="N3343" t="s">
        <v>69814</v>
      </c>
      <c r="O3343">
        <f>-753.097660048401 -99.2597709028103 -701.483555125924</f>
        <v>-1553.8409860771353</v>
      </c>
      <c r="P3343">
        <f>-697.358117837759 -70.978942114645 -391.19417838326</f>
        <v>-1159.5312383356641</v>
      </c>
      <c r="Q3343">
        <f>-442.646593388997 -40.8459189901794 -348.112294944877</f>
        <v>-831.60480732405347</v>
      </c>
      <c r="R3343" t="s">
        <v>69815</v>
      </c>
      <c r="S3343" t="s">
        <v>69816</v>
      </c>
      <c r="T3343" t="s">
        <v>69817</v>
      </c>
      <c r="U3343" t="s">
        <v>69818</v>
      </c>
      <c r="V3343" t="s">
        <v>69819</v>
      </c>
      <c r="W3343" t="s">
        <v>69820</v>
      </c>
      <c r="X3343" t="s">
        <v>69821</v>
      </c>
      <c r="Y3343" t="s">
        <v>69822</v>
      </c>
    </row>
    <row r="3344" spans="1:25" x14ac:dyDescent="0.3">
      <c r="A3344">
        <v>167150</v>
      </c>
      <c r="B3344" t="s">
        <v>69823</v>
      </c>
      <c r="C3344" t="s">
        <v>69824</v>
      </c>
      <c r="D3344" t="s">
        <v>69825</v>
      </c>
      <c r="E3344" t="s">
        <v>69826</v>
      </c>
      <c r="F3344" t="s">
        <v>69827</v>
      </c>
      <c r="G3344" t="s">
        <v>69828</v>
      </c>
      <c r="H3344" t="s">
        <v>69829</v>
      </c>
      <c r="I3344" t="s">
        <v>69830</v>
      </c>
      <c r="J3344" t="s">
        <v>69831</v>
      </c>
      <c r="K3344" t="s">
        <v>69832</v>
      </c>
      <c r="L3344" t="s">
        <v>69833</v>
      </c>
      <c r="M3344" t="s">
        <v>69834</v>
      </c>
      <c r="N3344" t="s">
        <v>69835</v>
      </c>
      <c r="O3344">
        <f>-751.338753008535 -100.856906654843 -700.799574629387</f>
        <v>-1552.995234292765</v>
      </c>
      <c r="P3344">
        <f>-695.869708164872 -72.3157564394435 -390.485474993468</f>
        <v>-1158.6709395977834</v>
      </c>
      <c r="Q3344">
        <f>-441.358247081443 -40.6314169752231 -347.333794624516</f>
        <v>-829.32345868118205</v>
      </c>
      <c r="R3344" t="s">
        <v>69836</v>
      </c>
      <c r="S3344" t="s">
        <v>69837</v>
      </c>
      <c r="T3344" t="s">
        <v>69838</v>
      </c>
      <c r="U3344" t="s">
        <v>69839</v>
      </c>
      <c r="V3344" t="s">
        <v>69840</v>
      </c>
      <c r="W3344" t="s">
        <v>69841</v>
      </c>
      <c r="X3344" t="s">
        <v>69842</v>
      </c>
      <c r="Y3344" t="s">
        <v>69843</v>
      </c>
    </row>
    <row r="3345" spans="1:25" x14ac:dyDescent="0.3">
      <c r="A3345">
        <v>167200</v>
      </c>
      <c r="B3345" t="s">
        <v>69844</v>
      </c>
      <c r="C3345" t="s">
        <v>69845</v>
      </c>
      <c r="D3345" t="s">
        <v>69846</v>
      </c>
      <c r="E3345" t="s">
        <v>69847</v>
      </c>
      <c r="F3345" t="s">
        <v>69848</v>
      </c>
      <c r="G3345" t="s">
        <v>69849</v>
      </c>
      <c r="H3345" t="s">
        <v>69850</v>
      </c>
      <c r="I3345" t="s">
        <v>69851</v>
      </c>
      <c r="J3345" t="s">
        <v>69852</v>
      </c>
      <c r="K3345" t="s">
        <v>69853</v>
      </c>
      <c r="L3345" t="s">
        <v>69854</v>
      </c>
      <c r="M3345" t="s">
        <v>69855</v>
      </c>
      <c r="N3345" t="s">
        <v>69856</v>
      </c>
      <c r="O3345">
        <f>-750.253121093922 -102.154700654547 -699.906451773772</f>
        <v>-1552.3142735222409</v>
      </c>
      <c r="P3345">
        <f>-694.99902423647 -72.5629077802296 -389.652520146276</f>
        <v>-1157.2144521629755</v>
      </c>
      <c r="Q3345">
        <f>-440.72784386372 -39.7433432529256 -345.936497725721</f>
        <v>-826.40768484236662</v>
      </c>
      <c r="R3345" t="s">
        <v>69857</v>
      </c>
      <c r="S3345" t="s">
        <v>69858</v>
      </c>
      <c r="T3345" t="s">
        <v>69859</v>
      </c>
      <c r="U3345" t="s">
        <v>69860</v>
      </c>
      <c r="V3345" t="s">
        <v>69861</v>
      </c>
      <c r="W3345" t="s">
        <v>69862</v>
      </c>
      <c r="X3345" t="s">
        <v>69863</v>
      </c>
      <c r="Y3345" t="s">
        <v>69864</v>
      </c>
    </row>
    <row r="3346" spans="1:25" x14ac:dyDescent="0.3">
      <c r="A3346">
        <v>167250</v>
      </c>
      <c r="B3346" t="s">
        <v>69865</v>
      </c>
      <c r="C3346" t="s">
        <v>69866</v>
      </c>
      <c r="D3346" t="s">
        <v>69867</v>
      </c>
      <c r="E3346" t="s">
        <v>69868</v>
      </c>
      <c r="F3346" t="s">
        <v>69869</v>
      </c>
      <c r="G3346" t="s">
        <v>69870</v>
      </c>
      <c r="H3346" t="s">
        <v>69871</v>
      </c>
      <c r="I3346" t="s">
        <v>69872</v>
      </c>
      <c r="J3346" t="s">
        <v>69873</v>
      </c>
      <c r="K3346" t="s">
        <v>69874</v>
      </c>
      <c r="L3346" t="s">
        <v>69875</v>
      </c>
      <c r="M3346" t="s">
        <v>69876</v>
      </c>
      <c r="N3346" t="s">
        <v>69877</v>
      </c>
      <c r="O3346">
        <f>-749.808605267258 -102.709614435768 -699.497420170261</f>
        <v>-1552.015639873287</v>
      </c>
      <c r="P3346">
        <f>-695.035495216653 -72.65685253582 -389.202502406328</f>
        <v>-1156.8948501588011</v>
      </c>
      <c r="Q3346">
        <f>-440.850621580602 -39.5366576708859 -345.212596765338</f>
        <v>-825.59987601682587</v>
      </c>
      <c r="R3346" t="s">
        <v>69878</v>
      </c>
      <c r="S3346" t="s">
        <v>69879</v>
      </c>
      <c r="T3346" t="s">
        <v>69880</v>
      </c>
      <c r="U3346" t="s">
        <v>69881</v>
      </c>
      <c r="V3346" t="s">
        <v>69882</v>
      </c>
      <c r="W3346" t="s">
        <v>69883</v>
      </c>
      <c r="X3346" t="s">
        <v>69884</v>
      </c>
      <c r="Y3346" t="s">
        <v>69885</v>
      </c>
    </row>
    <row r="3347" spans="1:25" x14ac:dyDescent="0.3">
      <c r="A3347">
        <v>167300</v>
      </c>
      <c r="B3347" t="s">
        <v>69886</v>
      </c>
      <c r="C3347" t="s">
        <v>69887</v>
      </c>
      <c r="D3347" t="s">
        <v>69888</v>
      </c>
      <c r="E3347" t="s">
        <v>69889</v>
      </c>
      <c r="F3347" t="s">
        <v>69890</v>
      </c>
      <c r="G3347" t="s">
        <v>69891</v>
      </c>
      <c r="H3347" t="s">
        <v>69892</v>
      </c>
      <c r="I3347" t="s">
        <v>69893</v>
      </c>
      <c r="J3347" t="s">
        <v>69894</v>
      </c>
      <c r="K3347" t="s">
        <v>69895</v>
      </c>
      <c r="L3347" t="s">
        <v>69896</v>
      </c>
      <c r="M3347" t="s">
        <v>69897</v>
      </c>
      <c r="N3347" t="s">
        <v>69898</v>
      </c>
      <c r="O3347">
        <f>-749.64603251365 -102.891341316363 -699.236463744077</f>
        <v>-1551.7738375740901</v>
      </c>
      <c r="P3347">
        <f>-695.34341845275 -72.1091874741785 -388.930327091154</f>
        <v>-1156.3829330180824</v>
      </c>
      <c r="Q3347">
        <f>-441.256441325018 -39.0741068141224 -344.314975677542</f>
        <v>-824.64552381668238</v>
      </c>
      <c r="R3347" t="s">
        <v>69899</v>
      </c>
      <c r="S3347" t="s">
        <v>69900</v>
      </c>
      <c r="T3347" t="s">
        <v>69901</v>
      </c>
      <c r="U3347" t="s">
        <v>69902</v>
      </c>
      <c r="V3347" t="s">
        <v>69903</v>
      </c>
      <c r="W3347" t="s">
        <v>69904</v>
      </c>
      <c r="X3347" t="s">
        <v>69905</v>
      </c>
      <c r="Y3347" t="s">
        <v>69906</v>
      </c>
    </row>
    <row r="3348" spans="1:25" x14ac:dyDescent="0.3">
      <c r="A3348">
        <v>167350</v>
      </c>
      <c r="B3348" t="s">
        <v>69907</v>
      </c>
      <c r="C3348" t="s">
        <v>69908</v>
      </c>
      <c r="D3348" t="s">
        <v>69909</v>
      </c>
      <c r="E3348" t="s">
        <v>69910</v>
      </c>
      <c r="F3348" t="s">
        <v>69911</v>
      </c>
      <c r="G3348" t="s">
        <v>69912</v>
      </c>
      <c r="H3348" t="s">
        <v>69913</v>
      </c>
      <c r="I3348" t="s">
        <v>69914</v>
      </c>
      <c r="J3348" t="s">
        <v>69915</v>
      </c>
      <c r="K3348" t="s">
        <v>69916</v>
      </c>
      <c r="L3348" t="s">
        <v>69917</v>
      </c>
      <c r="M3348" t="s">
        <v>69918</v>
      </c>
      <c r="N3348" t="s">
        <v>69919</v>
      </c>
      <c r="O3348">
        <f>-749.955125318769 -102.559664647278 -698.714001584428</f>
        <v>-1551.2287915504749</v>
      </c>
      <c r="P3348">
        <f>-696.103718645705 -71.4328002709319 -388.363615061615</f>
        <v>-1155.9001339782519</v>
      </c>
      <c r="Q3348">
        <f>-442.272566858382 -39.3806177117503 -341.625176679496</f>
        <v>-823.27836124962823</v>
      </c>
      <c r="R3348" t="s">
        <v>69920</v>
      </c>
      <c r="S3348" t="s">
        <v>69921</v>
      </c>
      <c r="T3348" t="s">
        <v>69922</v>
      </c>
      <c r="U3348" t="s">
        <v>69923</v>
      </c>
      <c r="V3348" t="s">
        <v>69924</v>
      </c>
      <c r="W3348" t="s">
        <v>69925</v>
      </c>
      <c r="X3348" t="s">
        <v>69926</v>
      </c>
      <c r="Y3348" t="s">
        <v>69927</v>
      </c>
    </row>
    <row r="3349" spans="1:25" x14ac:dyDescent="0.3">
      <c r="A3349">
        <v>167400</v>
      </c>
      <c r="B3349" t="s">
        <v>69928</v>
      </c>
      <c r="C3349" t="s">
        <v>69929</v>
      </c>
      <c r="D3349" t="s">
        <v>69930</v>
      </c>
      <c r="E3349" t="s">
        <v>69931</v>
      </c>
      <c r="F3349" t="s">
        <v>69932</v>
      </c>
      <c r="G3349" t="s">
        <v>69933</v>
      </c>
      <c r="H3349" t="s">
        <v>69934</v>
      </c>
      <c r="I3349" t="s">
        <v>69935</v>
      </c>
      <c r="J3349" t="s">
        <v>69936</v>
      </c>
      <c r="K3349" t="s">
        <v>69937</v>
      </c>
      <c r="L3349" t="s">
        <v>69938</v>
      </c>
      <c r="M3349" t="s">
        <v>69939</v>
      </c>
      <c r="N3349" t="s">
        <v>69940</v>
      </c>
      <c r="O3349">
        <f>-750.140510005177 -102.436919527686 -698.54191026381</f>
        <v>-1551.1193397966731</v>
      </c>
      <c r="P3349">
        <f>-696.627674185291 -70.5075744814801 -388.214556204594</f>
        <v>-1155.349804871365</v>
      </c>
      <c r="Q3349">
        <f>-442.832737379396 -38.9736474165575 -340.930101674124</f>
        <v>-822.73648647007747</v>
      </c>
      <c r="R3349" t="s">
        <v>69941</v>
      </c>
      <c r="S3349" t="s">
        <v>69942</v>
      </c>
      <c r="T3349" t="s">
        <v>69943</v>
      </c>
      <c r="U3349" t="s">
        <v>69944</v>
      </c>
      <c r="V3349" t="s">
        <v>69945</v>
      </c>
      <c r="W3349" t="s">
        <v>69946</v>
      </c>
      <c r="X3349" t="s">
        <v>69947</v>
      </c>
      <c r="Y3349" t="s">
        <v>69948</v>
      </c>
    </row>
    <row r="3350" spans="1:25" x14ac:dyDescent="0.3">
      <c r="A3350">
        <v>167450</v>
      </c>
      <c r="B3350" t="s">
        <v>69949</v>
      </c>
      <c r="C3350" t="s">
        <v>69950</v>
      </c>
      <c r="D3350" t="s">
        <v>69951</v>
      </c>
      <c r="E3350" t="s">
        <v>69952</v>
      </c>
      <c r="F3350" t="s">
        <v>69953</v>
      </c>
      <c r="G3350" t="s">
        <v>69954</v>
      </c>
      <c r="H3350" t="s">
        <v>69955</v>
      </c>
      <c r="I3350" t="s">
        <v>69956</v>
      </c>
      <c r="J3350" t="s">
        <v>69957</v>
      </c>
      <c r="K3350" t="s">
        <v>69958</v>
      </c>
      <c r="L3350" t="s">
        <v>69959</v>
      </c>
      <c r="M3350" t="s">
        <v>69960</v>
      </c>
      <c r="N3350" t="s">
        <v>69961</v>
      </c>
      <c r="O3350">
        <f>-750.905168963395 -102.055298174426 -698.177879455735</f>
        <v>-1551.138346593556</v>
      </c>
      <c r="P3350">
        <f>-697.814050911192 -70.0571098210803 -387.785176613412</f>
        <v>-1155.6563373456843</v>
      </c>
      <c r="Q3350">
        <f>-443.986665856817 -39.7804877171332 -339.858057261736</f>
        <v>-823.62521083568618</v>
      </c>
      <c r="R3350" t="s">
        <v>69962</v>
      </c>
      <c r="S3350" t="s">
        <v>69963</v>
      </c>
      <c r="T3350" t="s">
        <v>69964</v>
      </c>
      <c r="U3350" t="s">
        <v>69965</v>
      </c>
      <c r="V3350" t="s">
        <v>69966</v>
      </c>
      <c r="W3350" t="s">
        <v>69967</v>
      </c>
      <c r="X3350" t="s">
        <v>69968</v>
      </c>
      <c r="Y3350" t="s">
        <v>69969</v>
      </c>
    </row>
    <row r="3351" spans="1:25" x14ac:dyDescent="0.3">
      <c r="A3351">
        <v>167500</v>
      </c>
      <c r="B3351" t="s">
        <v>69970</v>
      </c>
      <c r="C3351" t="s">
        <v>69971</v>
      </c>
      <c r="D3351" t="s">
        <v>69972</v>
      </c>
      <c r="E3351" t="s">
        <v>69973</v>
      </c>
      <c r="F3351" t="s">
        <v>69974</v>
      </c>
      <c r="G3351" t="s">
        <v>69975</v>
      </c>
      <c r="H3351" t="s">
        <v>69976</v>
      </c>
      <c r="I3351" t="s">
        <v>69977</v>
      </c>
      <c r="J3351" t="s">
        <v>69978</v>
      </c>
      <c r="K3351" t="s">
        <v>69979</v>
      </c>
      <c r="L3351" t="s">
        <v>69980</v>
      </c>
      <c r="M3351" t="s">
        <v>69981</v>
      </c>
      <c r="N3351" t="s">
        <v>69982</v>
      </c>
      <c r="O3351">
        <f>-751.362472925653 -101.661952446962 -698.04907703753</f>
        <v>-1551.073502410145</v>
      </c>
      <c r="P3351">
        <f>-698.301125982243 -69.5980636385946 -387.658159623516</f>
        <v>-1155.5573492443536</v>
      </c>
      <c r="Q3351">
        <f>-444.434490144643 -39.6655088630664 -339.722179631564</f>
        <v>-823.82217863927349</v>
      </c>
      <c r="R3351" t="s">
        <v>69983</v>
      </c>
      <c r="S3351" t="s">
        <v>69984</v>
      </c>
      <c r="T3351" t="s">
        <v>69985</v>
      </c>
      <c r="U3351" t="s">
        <v>69986</v>
      </c>
      <c r="V3351" t="s">
        <v>69987</v>
      </c>
      <c r="W3351" t="s">
        <v>69988</v>
      </c>
      <c r="X3351" t="s">
        <v>69989</v>
      </c>
      <c r="Y3351" t="s">
        <v>69990</v>
      </c>
    </row>
    <row r="3352" spans="1:25" x14ac:dyDescent="0.3">
      <c r="A3352">
        <v>167550</v>
      </c>
      <c r="B3352" t="s">
        <v>69991</v>
      </c>
      <c r="C3352" t="s">
        <v>69992</v>
      </c>
      <c r="D3352" t="s">
        <v>69993</v>
      </c>
      <c r="E3352" t="s">
        <v>69994</v>
      </c>
      <c r="F3352" t="s">
        <v>69995</v>
      </c>
      <c r="G3352" t="s">
        <v>69996</v>
      </c>
      <c r="H3352" t="s">
        <v>69997</v>
      </c>
      <c r="I3352" t="s">
        <v>69998</v>
      </c>
      <c r="J3352" t="s">
        <v>69999</v>
      </c>
      <c r="K3352" t="s">
        <v>70000</v>
      </c>
      <c r="L3352" t="s">
        <v>70001</v>
      </c>
      <c r="M3352" t="s">
        <v>70002</v>
      </c>
      <c r="N3352" t="s">
        <v>70003</v>
      </c>
      <c r="O3352">
        <f>-752.314171489553 -101.130963694967 -697.77868010532</f>
        <v>-1551.2238152898399</v>
      </c>
      <c r="P3352">
        <f>-699.137623516674 -68.728279977993 -387.442577875272</f>
        <v>-1155.308481369939</v>
      </c>
      <c r="Q3352">
        <f>-445.233551446289 -38.8535665065369 -339.669361449113</f>
        <v>-823.75647940193892</v>
      </c>
      <c r="R3352" t="s">
        <v>70004</v>
      </c>
      <c r="S3352" t="s">
        <v>70005</v>
      </c>
      <c r="T3352" t="s">
        <v>70006</v>
      </c>
      <c r="U3352" t="s">
        <v>70007</v>
      </c>
      <c r="V3352" t="s">
        <v>70008</v>
      </c>
      <c r="W3352" t="s">
        <v>70009</v>
      </c>
      <c r="X3352" t="s">
        <v>70010</v>
      </c>
      <c r="Y3352" t="s">
        <v>70011</v>
      </c>
    </row>
    <row r="3353" spans="1:25" x14ac:dyDescent="0.3">
      <c r="A3353">
        <v>167600</v>
      </c>
      <c r="B3353" t="s">
        <v>70012</v>
      </c>
      <c r="C3353" t="s">
        <v>70013</v>
      </c>
      <c r="D3353" t="s">
        <v>70014</v>
      </c>
      <c r="E3353" t="s">
        <v>70015</v>
      </c>
      <c r="F3353" t="s">
        <v>70016</v>
      </c>
      <c r="G3353" t="s">
        <v>70017</v>
      </c>
      <c r="H3353" t="s">
        <v>70018</v>
      </c>
      <c r="I3353" t="s">
        <v>70019</v>
      </c>
      <c r="J3353" t="s">
        <v>70020</v>
      </c>
      <c r="K3353" t="s">
        <v>70021</v>
      </c>
      <c r="L3353" t="s">
        <v>70022</v>
      </c>
      <c r="M3353" t="s">
        <v>70023</v>
      </c>
      <c r="N3353" t="s">
        <v>70024</v>
      </c>
      <c r="O3353">
        <f>-752.622650073597 -100.986677699663 -697.662315663517</f>
        <v>-1551.2716434367771</v>
      </c>
      <c r="P3353">
        <f>-699.395577822072 -68.466533153188 -387.347218630275</f>
        <v>-1155.209329605535</v>
      </c>
      <c r="Q3353">
        <f>-445.502212071238 -38.5431114239057 -339.548059500997</f>
        <v>-823.59338299614069</v>
      </c>
      <c r="R3353" t="s">
        <v>70025</v>
      </c>
      <c r="S3353" t="s">
        <v>70026</v>
      </c>
      <c r="T3353" t="s">
        <v>70027</v>
      </c>
      <c r="U3353" t="s">
        <v>70028</v>
      </c>
      <c r="V3353" t="s">
        <v>70029</v>
      </c>
      <c r="W3353" t="s">
        <v>70030</v>
      </c>
      <c r="X3353" t="s">
        <v>70031</v>
      </c>
      <c r="Y3353" t="s">
        <v>70032</v>
      </c>
    </row>
    <row r="3354" spans="1:25" x14ac:dyDescent="0.3">
      <c r="A3354">
        <v>167650</v>
      </c>
      <c r="B3354" t="s">
        <v>70033</v>
      </c>
      <c r="C3354" t="s">
        <v>70034</v>
      </c>
      <c r="D3354" t="s">
        <v>70035</v>
      </c>
      <c r="E3354" t="s">
        <v>70036</v>
      </c>
      <c r="F3354" t="s">
        <v>70037</v>
      </c>
      <c r="G3354" t="s">
        <v>70038</v>
      </c>
      <c r="H3354" t="s">
        <v>70039</v>
      </c>
      <c r="I3354" t="s">
        <v>70040</v>
      </c>
      <c r="J3354" t="s">
        <v>70041</v>
      </c>
      <c r="K3354" t="s">
        <v>70042</v>
      </c>
      <c r="L3354" t="s">
        <v>70043</v>
      </c>
      <c r="M3354" t="s">
        <v>70044</v>
      </c>
      <c r="N3354" t="s">
        <v>70045</v>
      </c>
      <c r="O3354">
        <f>-753.792442565439 -100.289172066377 -697.688317778516</f>
        <v>-1551.7699324103319</v>
      </c>
      <c r="P3354">
        <f>-700.26045160588 -67.7269123638182 -387.429988332234</f>
        <v>-1155.4173523019322</v>
      </c>
      <c r="Q3354">
        <f>-446.509155953958 -37.6239976377585 -338.993194178889</f>
        <v>-823.12634777060543</v>
      </c>
      <c r="R3354" t="s">
        <v>70046</v>
      </c>
      <c r="S3354" t="s">
        <v>70047</v>
      </c>
      <c r="T3354" t="s">
        <v>70048</v>
      </c>
      <c r="U3354" t="s">
        <v>70049</v>
      </c>
      <c r="V3354" t="s">
        <v>70050</v>
      </c>
      <c r="W3354" t="s">
        <v>70051</v>
      </c>
      <c r="X3354" t="s">
        <v>70052</v>
      </c>
      <c r="Y3354" t="s">
        <v>70053</v>
      </c>
    </row>
    <row r="3355" spans="1:25" x14ac:dyDescent="0.3">
      <c r="A3355">
        <v>167700</v>
      </c>
      <c r="B3355" t="s">
        <v>70054</v>
      </c>
      <c r="C3355" t="s">
        <v>70055</v>
      </c>
      <c r="D3355" t="s">
        <v>70056</v>
      </c>
      <c r="E3355" t="s">
        <v>70057</v>
      </c>
      <c r="F3355" t="s">
        <v>70058</v>
      </c>
      <c r="G3355" t="s">
        <v>70059</v>
      </c>
      <c r="H3355" t="s">
        <v>70060</v>
      </c>
      <c r="I3355" t="s">
        <v>70061</v>
      </c>
      <c r="J3355" t="s">
        <v>70062</v>
      </c>
      <c r="K3355" t="s">
        <v>70063</v>
      </c>
      <c r="L3355" t="s">
        <v>70064</v>
      </c>
      <c r="M3355" t="s">
        <v>70065</v>
      </c>
      <c r="N3355" t="s">
        <v>70066</v>
      </c>
      <c r="O3355">
        <f>-754.32589975581 -99.8622914185016 -697.776499494816</f>
        <v>-1551.9646906691278</v>
      </c>
      <c r="P3355">
        <f>-700.928203503826 -67.3950810972528 -387.485010325482</f>
        <v>-1155.8082949265608</v>
      </c>
      <c r="Q3355">
        <f>-447.260901415319 -37.1284553644632 -338.711446871218</f>
        <v>-823.10080365100021</v>
      </c>
      <c r="R3355" t="s">
        <v>70067</v>
      </c>
      <c r="S3355" t="s">
        <v>70068</v>
      </c>
      <c r="T3355" t="s">
        <v>70069</v>
      </c>
      <c r="U3355" t="s">
        <v>70070</v>
      </c>
      <c r="V3355" t="s">
        <v>70071</v>
      </c>
      <c r="W3355" t="s">
        <v>70072</v>
      </c>
      <c r="X3355" t="s">
        <v>70073</v>
      </c>
      <c r="Y3355" t="s">
        <v>70074</v>
      </c>
    </row>
    <row r="3356" spans="1:25" x14ac:dyDescent="0.3">
      <c r="A3356">
        <v>167750</v>
      </c>
      <c r="B3356" t="s">
        <v>70075</v>
      </c>
      <c r="C3356" t="s">
        <v>70076</v>
      </c>
      <c r="D3356" t="s">
        <v>70077</v>
      </c>
      <c r="E3356" t="s">
        <v>70078</v>
      </c>
      <c r="F3356" t="s">
        <v>70079</v>
      </c>
      <c r="G3356" t="s">
        <v>70080</v>
      </c>
      <c r="H3356" t="s">
        <v>70081</v>
      </c>
      <c r="I3356" t="s">
        <v>70082</v>
      </c>
      <c r="J3356" t="s">
        <v>70083</v>
      </c>
      <c r="K3356" t="s">
        <v>70084</v>
      </c>
      <c r="L3356" t="s">
        <v>70085</v>
      </c>
      <c r="M3356" t="s">
        <v>70086</v>
      </c>
      <c r="N3356" t="s">
        <v>70087</v>
      </c>
      <c r="O3356">
        <f>-754.893294469902 -99.2548251859107 -697.911889059655</f>
        <v>-1552.0600087154676</v>
      </c>
      <c r="P3356">
        <f>-701.826444701162 -66.51094388366 -387.592867747607</f>
        <v>-1155.9302563324291</v>
      </c>
      <c r="Q3356">
        <f>-448.220965789387 -36.7076833683864 -338.21581945459</f>
        <v>-823.14446861236343</v>
      </c>
      <c r="R3356" t="s">
        <v>70088</v>
      </c>
      <c r="S3356" t="s">
        <v>70089</v>
      </c>
      <c r="T3356" t="s">
        <v>70090</v>
      </c>
      <c r="U3356" t="s">
        <v>70091</v>
      </c>
      <c r="V3356" t="s">
        <v>70092</v>
      </c>
      <c r="W3356" t="s">
        <v>70093</v>
      </c>
      <c r="X3356" t="s">
        <v>70094</v>
      </c>
      <c r="Y3356" t="s">
        <v>70095</v>
      </c>
    </row>
    <row r="3357" spans="1:25" x14ac:dyDescent="0.3">
      <c r="A3357">
        <v>167800</v>
      </c>
      <c r="B3357" t="s">
        <v>70096</v>
      </c>
      <c r="C3357" t="s">
        <v>70097</v>
      </c>
      <c r="D3357" t="s">
        <v>70098</v>
      </c>
      <c r="E3357" t="s">
        <v>70099</v>
      </c>
      <c r="F3357" t="s">
        <v>70100</v>
      </c>
      <c r="G3357" t="s">
        <v>70101</v>
      </c>
      <c r="H3357" t="s">
        <v>70102</v>
      </c>
      <c r="I3357" t="s">
        <v>70103</v>
      </c>
      <c r="J3357" t="s">
        <v>70104</v>
      </c>
      <c r="K3357" t="s">
        <v>70105</v>
      </c>
      <c r="L3357" t="s">
        <v>70106</v>
      </c>
      <c r="M3357" t="s">
        <v>70107</v>
      </c>
      <c r="N3357" t="s">
        <v>70108</v>
      </c>
      <c r="O3357">
        <f>-755.165976386898 -98.9623955235745 -697.960815817548</f>
        <v>-1552.0891877280205</v>
      </c>
      <c r="P3357">
        <f>-702.253550489421 -65.8992882161654 -387.649200991237</f>
        <v>-1155.8020396968234</v>
      </c>
      <c r="Q3357">
        <f>-448.557239796951 -36.6070930686935 -338.433048707071</f>
        <v>-823.59738157271545</v>
      </c>
      <c r="R3357" t="s">
        <v>70109</v>
      </c>
      <c r="S3357" t="s">
        <v>70110</v>
      </c>
      <c r="T3357" t="s">
        <v>70111</v>
      </c>
      <c r="U3357" t="s">
        <v>70112</v>
      </c>
      <c r="V3357" t="s">
        <v>70113</v>
      </c>
      <c r="W3357" t="s">
        <v>70114</v>
      </c>
      <c r="X3357" t="s">
        <v>70115</v>
      </c>
      <c r="Y3357" t="s">
        <v>70116</v>
      </c>
    </row>
    <row r="3358" spans="1:25" x14ac:dyDescent="0.3">
      <c r="A3358">
        <v>167850</v>
      </c>
      <c r="B3358" t="s">
        <v>70117</v>
      </c>
      <c r="C3358" t="s">
        <v>70118</v>
      </c>
      <c r="D3358" t="s">
        <v>70119</v>
      </c>
      <c r="E3358" t="s">
        <v>70120</v>
      </c>
      <c r="F3358" t="s">
        <v>70121</v>
      </c>
      <c r="G3358" t="s">
        <v>70122</v>
      </c>
      <c r="H3358" t="s">
        <v>70123</v>
      </c>
      <c r="I3358" t="s">
        <v>70124</v>
      </c>
      <c r="J3358" t="s">
        <v>70125</v>
      </c>
      <c r="K3358" t="s">
        <v>70126</v>
      </c>
      <c r="L3358" t="s">
        <v>70127</v>
      </c>
      <c r="M3358" t="s">
        <v>70128</v>
      </c>
      <c r="N3358" t="s">
        <v>70129</v>
      </c>
      <c r="O3358">
        <f>-755.394651297936 -98.5911612152172 -698.054501316292</f>
        <v>-1552.040313829445</v>
      </c>
      <c r="P3358">
        <f>-702.994834638778 -65.938930545035 -387.612434255113</f>
        <v>-1156.5461994389259</v>
      </c>
      <c r="Q3358">
        <f>-449.122889606145 -38.1296691531147 -338.441480979509</f>
        <v>-825.69403973876865</v>
      </c>
      <c r="R3358" t="s">
        <v>70130</v>
      </c>
      <c r="S3358" t="s">
        <v>70131</v>
      </c>
      <c r="T3358" t="s">
        <v>70132</v>
      </c>
      <c r="U3358" t="s">
        <v>70133</v>
      </c>
      <c r="V3358" t="s">
        <v>70134</v>
      </c>
      <c r="W3358" t="s">
        <v>70135</v>
      </c>
      <c r="X3358" t="s">
        <v>70136</v>
      </c>
      <c r="Y3358" t="s">
        <v>70137</v>
      </c>
    </row>
    <row r="3359" spans="1:25" x14ac:dyDescent="0.3">
      <c r="A3359">
        <v>167900</v>
      </c>
      <c r="B3359" t="s">
        <v>70138</v>
      </c>
      <c r="C3359" t="s">
        <v>70139</v>
      </c>
      <c r="D3359" t="s">
        <v>70140</v>
      </c>
      <c r="E3359" t="s">
        <v>70141</v>
      </c>
      <c r="F3359" t="s">
        <v>70142</v>
      </c>
      <c r="G3359" t="s">
        <v>70143</v>
      </c>
      <c r="H3359" t="s">
        <v>70144</v>
      </c>
      <c r="I3359" t="s">
        <v>70145</v>
      </c>
      <c r="J3359" t="s">
        <v>70146</v>
      </c>
      <c r="K3359" t="s">
        <v>70147</v>
      </c>
      <c r="L3359" t="s">
        <v>70148</v>
      </c>
      <c r="M3359" t="s">
        <v>70149</v>
      </c>
      <c r="N3359" t="s">
        <v>70150</v>
      </c>
      <c r="O3359">
        <f>-755.765252870817 -98.0885195328158 -698.209236605284</f>
        <v>-1552.0630090089167</v>
      </c>
      <c r="P3359">
        <f>-703.538318273339 -65.6253028588351 -387.718271664974</f>
        <v>-1156.8818927971481</v>
      </c>
      <c r="Q3359">
        <f>-449.573323400514 -38.4183470016981 -338.691647152199</f>
        <v>-826.68331755441113</v>
      </c>
      <c r="R3359" t="s">
        <v>70151</v>
      </c>
      <c r="S3359" t="s">
        <v>70152</v>
      </c>
      <c r="T3359" t="s">
        <v>70153</v>
      </c>
      <c r="U3359" t="s">
        <v>70154</v>
      </c>
      <c r="V3359" t="s">
        <v>70155</v>
      </c>
      <c r="W3359" t="s">
        <v>70156</v>
      </c>
      <c r="X3359" t="s">
        <v>70157</v>
      </c>
      <c r="Y3359" t="s">
        <v>70158</v>
      </c>
    </row>
    <row r="3360" spans="1:25" x14ac:dyDescent="0.3">
      <c r="A3360">
        <v>167950</v>
      </c>
      <c r="B3360" t="s">
        <v>70159</v>
      </c>
      <c r="C3360" t="s">
        <v>70160</v>
      </c>
      <c r="D3360" t="s">
        <v>70161</v>
      </c>
      <c r="E3360" t="s">
        <v>70162</v>
      </c>
      <c r="F3360" t="s">
        <v>70163</v>
      </c>
      <c r="G3360" t="s">
        <v>70164</v>
      </c>
      <c r="H3360" t="s">
        <v>70165</v>
      </c>
      <c r="I3360" t="s">
        <v>70166</v>
      </c>
      <c r="J3360" t="s">
        <v>70167</v>
      </c>
      <c r="K3360" t="s">
        <v>70168</v>
      </c>
      <c r="L3360" t="s">
        <v>70169</v>
      </c>
      <c r="M3360" t="s">
        <v>70170</v>
      </c>
      <c r="N3360" t="s">
        <v>70171</v>
      </c>
      <c r="O3360">
        <f>-755.865600724341 -97.1677467891466 -698.742224432234</f>
        <v>-1551.7755719457216</v>
      </c>
      <c r="P3360">
        <f>-703.970243304094 -65.8493483113066 -388.078059637827</f>
        <v>-1157.8976512532277</v>
      </c>
      <c r="Q3360">
        <f>-449.784440508595 -39.9022501363763 -339.514797989471</f>
        <v>-829.20148863444228</v>
      </c>
      <c r="R3360" t="s">
        <v>70172</v>
      </c>
      <c r="S3360" t="s">
        <v>70173</v>
      </c>
      <c r="T3360" t="s">
        <v>70174</v>
      </c>
      <c r="U3360" t="s">
        <v>70175</v>
      </c>
      <c r="V3360" t="s">
        <v>70176</v>
      </c>
      <c r="W3360" t="s">
        <v>70177</v>
      </c>
      <c r="X3360" t="s">
        <v>70178</v>
      </c>
      <c r="Y3360" t="s">
        <v>70179</v>
      </c>
    </row>
    <row r="3361" spans="1:25" x14ac:dyDescent="0.3">
      <c r="A3361">
        <v>168000</v>
      </c>
      <c r="B3361" t="s">
        <v>70180</v>
      </c>
      <c r="C3361" t="s">
        <v>70181</v>
      </c>
      <c r="D3361" t="s">
        <v>70182</v>
      </c>
      <c r="E3361" t="s">
        <v>70183</v>
      </c>
      <c r="F3361" t="s">
        <v>70184</v>
      </c>
      <c r="G3361" t="s">
        <v>70185</v>
      </c>
      <c r="H3361" t="s">
        <v>70186</v>
      </c>
      <c r="I3361" t="s">
        <v>70187</v>
      </c>
      <c r="J3361" t="s">
        <v>70188</v>
      </c>
      <c r="K3361" t="s">
        <v>70189</v>
      </c>
      <c r="L3361" t="s">
        <v>70190</v>
      </c>
      <c r="M3361" t="s">
        <v>70191</v>
      </c>
      <c r="N3361" t="s">
        <v>70192</v>
      </c>
      <c r="O3361">
        <f>-755.876699876709 -96.5933786619291 -699.115681706533</f>
        <v>-1551.5857602451711</v>
      </c>
      <c r="P3361">
        <f>-704.249346296037 -65.6891554302902 -388.365330349423</f>
        <v>-1158.3038320757501</v>
      </c>
      <c r="Q3361">
        <f>-450.018376927152 -39.9954550186678 -339.904491629892</f>
        <v>-829.91832357571184</v>
      </c>
      <c r="R3361" t="s">
        <v>70193</v>
      </c>
      <c r="S3361" t="s">
        <v>70194</v>
      </c>
      <c r="T3361" t="s">
        <v>70195</v>
      </c>
      <c r="U3361" t="s">
        <v>70196</v>
      </c>
      <c r="V3361" t="s">
        <v>70197</v>
      </c>
      <c r="W3361" t="s">
        <v>70198</v>
      </c>
      <c r="X3361" t="s">
        <v>70199</v>
      </c>
      <c r="Y3361" t="s">
        <v>70200</v>
      </c>
    </row>
    <row r="3362" spans="1:25" x14ac:dyDescent="0.3">
      <c r="A3362">
        <v>168050</v>
      </c>
      <c r="B3362" t="s">
        <v>70201</v>
      </c>
      <c r="C3362" t="s">
        <v>70202</v>
      </c>
      <c r="D3362" t="s">
        <v>70203</v>
      </c>
      <c r="E3362" t="s">
        <v>70204</v>
      </c>
      <c r="F3362" t="s">
        <v>70205</v>
      </c>
      <c r="G3362" t="s">
        <v>70206</v>
      </c>
      <c r="H3362" t="s">
        <v>70207</v>
      </c>
      <c r="I3362" t="s">
        <v>70208</v>
      </c>
      <c r="J3362" t="s">
        <v>70209</v>
      </c>
      <c r="K3362" t="s">
        <v>70210</v>
      </c>
      <c r="L3362" t="s">
        <v>70211</v>
      </c>
      <c r="M3362" t="s">
        <v>70212</v>
      </c>
      <c r="N3362" t="s">
        <v>70213</v>
      </c>
      <c r="O3362">
        <f>-755.837560720085 -96.125156895278 -699.866331670794</f>
        <v>-1551.829049286157</v>
      </c>
      <c r="P3362">
        <f>-704.750384396751 -65.7817246137677 -388.971497095553</f>
        <v>-1159.5036061060716</v>
      </c>
      <c r="Q3362">
        <f>-450.556870764421 -40.0727375737192 -340.32229686226</f>
        <v>-830.95190520040023</v>
      </c>
      <c r="R3362" t="s">
        <v>70214</v>
      </c>
      <c r="S3362" t="s">
        <v>70215</v>
      </c>
      <c r="T3362" t="s">
        <v>70216</v>
      </c>
      <c r="U3362" t="s">
        <v>70217</v>
      </c>
      <c r="V3362" t="s">
        <v>70218</v>
      </c>
      <c r="W3362" t="s">
        <v>70219</v>
      </c>
      <c r="X3362" t="s">
        <v>70220</v>
      </c>
      <c r="Y3362" t="s">
        <v>70221</v>
      </c>
    </row>
    <row r="3363" spans="1:25" x14ac:dyDescent="0.3">
      <c r="A3363">
        <v>168100</v>
      </c>
      <c r="B3363" t="s">
        <v>70222</v>
      </c>
      <c r="C3363" t="s">
        <v>70223</v>
      </c>
      <c r="D3363" t="s">
        <v>70224</v>
      </c>
      <c r="E3363" t="s">
        <v>70225</v>
      </c>
      <c r="F3363" t="s">
        <v>70226</v>
      </c>
      <c r="G3363" t="s">
        <v>70227</v>
      </c>
      <c r="H3363" t="s">
        <v>70228</v>
      </c>
      <c r="I3363" t="s">
        <v>70229</v>
      </c>
      <c r="J3363" t="s">
        <v>70230</v>
      </c>
      <c r="K3363" t="s">
        <v>70231</v>
      </c>
      <c r="L3363" t="s">
        <v>70232</v>
      </c>
      <c r="M3363" t="s">
        <v>70233</v>
      </c>
      <c r="N3363" t="s">
        <v>70234</v>
      </c>
      <c r="O3363">
        <f>-756.076996201485 -95.8251334421068 -700.250282267803</f>
        <v>-1552.1524119113947</v>
      </c>
      <c r="P3363">
        <f>-705.13924493971 -65.6921213572198 -389.310512321348</f>
        <v>-1160.1418786182778</v>
      </c>
      <c r="Q3363">
        <f>-451.052295710062 -39.7295398003203 -340.241154636541</f>
        <v>-831.02299014692335</v>
      </c>
      <c r="R3363" t="s">
        <v>70235</v>
      </c>
      <c r="S3363" t="s">
        <v>70236</v>
      </c>
      <c r="T3363" t="s">
        <v>70237</v>
      </c>
      <c r="U3363" t="s">
        <v>70238</v>
      </c>
      <c r="V3363" t="s">
        <v>70239</v>
      </c>
      <c r="W3363" t="s">
        <v>70240</v>
      </c>
      <c r="X3363" t="s">
        <v>70241</v>
      </c>
      <c r="Y3363" t="s">
        <v>70242</v>
      </c>
    </row>
    <row r="3364" spans="1:25" x14ac:dyDescent="0.3">
      <c r="A3364">
        <v>168150</v>
      </c>
      <c r="B3364" t="s">
        <v>70243</v>
      </c>
      <c r="C3364" t="s">
        <v>70244</v>
      </c>
      <c r="D3364" t="s">
        <v>70245</v>
      </c>
      <c r="E3364" t="s">
        <v>70246</v>
      </c>
      <c r="F3364" t="s">
        <v>70247</v>
      </c>
      <c r="G3364" t="s">
        <v>70248</v>
      </c>
      <c r="H3364" t="s">
        <v>70249</v>
      </c>
      <c r="I3364" t="s">
        <v>70250</v>
      </c>
      <c r="J3364" t="s">
        <v>70251</v>
      </c>
      <c r="K3364" t="s">
        <v>70252</v>
      </c>
      <c r="L3364" t="s">
        <v>70253</v>
      </c>
      <c r="M3364" t="s">
        <v>70254</v>
      </c>
      <c r="N3364" t="s">
        <v>70255</v>
      </c>
      <c r="O3364">
        <f>-755.731197519711 -95.372411019021 -701.546911503587</f>
        <v>-1552.6505200423189</v>
      </c>
      <c r="P3364">
        <f>-705.437672590912 -66.017392064681 -390.427939997463</f>
        <v>-1161.8830046530561</v>
      </c>
      <c r="Q3364">
        <f>-451.635922714132 -39.3719861695188 -340.260279587415</f>
        <v>-831.26818847106574</v>
      </c>
      <c r="R3364" t="s">
        <v>70256</v>
      </c>
      <c r="S3364" t="s">
        <v>70257</v>
      </c>
      <c r="T3364" t="s">
        <v>70258</v>
      </c>
      <c r="U3364" t="s">
        <v>70259</v>
      </c>
      <c r="V3364" t="s">
        <v>70260</v>
      </c>
      <c r="W3364" t="s">
        <v>70261</v>
      </c>
      <c r="X3364" t="s">
        <v>70262</v>
      </c>
      <c r="Y3364" t="s">
        <v>70263</v>
      </c>
    </row>
    <row r="3365" spans="1:25" x14ac:dyDescent="0.3">
      <c r="A3365">
        <v>168200</v>
      </c>
      <c r="B3365" t="s">
        <v>70264</v>
      </c>
      <c r="C3365" t="s">
        <v>70265</v>
      </c>
      <c r="D3365" t="s">
        <v>70266</v>
      </c>
      <c r="E3365" t="s">
        <v>70267</v>
      </c>
      <c r="F3365" t="s">
        <v>70268</v>
      </c>
      <c r="G3365" t="s">
        <v>70269</v>
      </c>
      <c r="H3365" t="s">
        <v>70270</v>
      </c>
      <c r="I3365" t="s">
        <v>70271</v>
      </c>
      <c r="J3365" t="s">
        <v>70272</v>
      </c>
      <c r="K3365" t="s">
        <v>70273</v>
      </c>
      <c r="L3365" t="s">
        <v>70274</v>
      </c>
      <c r="M3365" t="s">
        <v>70275</v>
      </c>
      <c r="N3365" t="s">
        <v>70276</v>
      </c>
      <c r="O3365">
        <f>-755.720389570299 -94.9660181176664 -702.324385604386</f>
        <v>-1553.0107932923513</v>
      </c>
      <c r="P3365">
        <f>-705.776561417642 -65.8246518730007 -391.129087773536</f>
        <v>-1162.7303010641788</v>
      </c>
      <c r="Q3365">
        <f>-452.163938864499 -38.9482585698277 -340.135368331928</f>
        <v>-831.24756576625475</v>
      </c>
      <c r="R3365" t="s">
        <v>70277</v>
      </c>
      <c r="S3365" t="s">
        <v>70278</v>
      </c>
      <c r="T3365" t="s">
        <v>70279</v>
      </c>
      <c r="U3365" t="s">
        <v>70280</v>
      </c>
      <c r="V3365" t="s">
        <v>70281</v>
      </c>
      <c r="W3365" t="s">
        <v>70282</v>
      </c>
      <c r="X3365" t="s">
        <v>70283</v>
      </c>
      <c r="Y3365" t="s">
        <v>70284</v>
      </c>
    </row>
    <row r="3366" spans="1:25" x14ac:dyDescent="0.3">
      <c r="A3366">
        <v>168250</v>
      </c>
      <c r="B3366" t="s">
        <v>70285</v>
      </c>
      <c r="C3366" t="s">
        <v>70286</v>
      </c>
      <c r="D3366" t="s">
        <v>70287</v>
      </c>
      <c r="E3366" t="s">
        <v>70288</v>
      </c>
      <c r="F3366" t="s">
        <v>70289</v>
      </c>
      <c r="G3366" t="s">
        <v>70290</v>
      </c>
      <c r="H3366" t="s">
        <v>70291</v>
      </c>
      <c r="I3366" t="s">
        <v>70292</v>
      </c>
      <c r="J3366" t="s">
        <v>70293</v>
      </c>
      <c r="K3366" t="s">
        <v>70294</v>
      </c>
      <c r="L3366" t="s">
        <v>70295</v>
      </c>
      <c r="M3366" t="s">
        <v>70296</v>
      </c>
      <c r="N3366" t="s">
        <v>70297</v>
      </c>
      <c r="O3366">
        <f>-755.098329250679 -94.4753039364541 -703.616322924309</f>
        <v>-1553.1899561114419</v>
      </c>
      <c r="P3366">
        <f>-705.965784162262 -65.7533627562057 -392.252803551562</f>
        <v>-1163.9719504700297</v>
      </c>
      <c r="Q3366">
        <f>-452.648077119184 -38.2520267414552 -340.138624606353</f>
        <v>-831.03872846699221</v>
      </c>
      <c r="R3366" t="s">
        <v>70298</v>
      </c>
      <c r="S3366" t="s">
        <v>70299</v>
      </c>
      <c r="T3366" t="s">
        <v>70300</v>
      </c>
      <c r="U3366" t="s">
        <v>70301</v>
      </c>
      <c r="V3366" t="s">
        <v>70302</v>
      </c>
      <c r="W3366" t="s">
        <v>70303</v>
      </c>
      <c r="X3366" t="s">
        <v>70304</v>
      </c>
      <c r="Y3366" t="s">
        <v>70305</v>
      </c>
    </row>
    <row r="3367" spans="1:25" x14ac:dyDescent="0.3">
      <c r="A3367">
        <v>168300</v>
      </c>
      <c r="B3367" t="s">
        <v>70306</v>
      </c>
      <c r="C3367" t="s">
        <v>70307</v>
      </c>
      <c r="D3367" t="s">
        <v>70308</v>
      </c>
      <c r="E3367" t="s">
        <v>70309</v>
      </c>
      <c r="F3367" t="s">
        <v>70310</v>
      </c>
      <c r="G3367" t="s">
        <v>70311</v>
      </c>
      <c r="H3367" t="s">
        <v>70312</v>
      </c>
      <c r="I3367" t="s">
        <v>70313</v>
      </c>
      <c r="J3367" t="s">
        <v>70314</v>
      </c>
      <c r="K3367" t="s">
        <v>70315</v>
      </c>
      <c r="L3367" t="s">
        <v>70316</v>
      </c>
      <c r="M3367" t="s">
        <v>70317</v>
      </c>
      <c r="N3367" t="s">
        <v>70318</v>
      </c>
      <c r="O3367">
        <f>-754.994732313951 -94.2023840586462 -704.154183678671</f>
        <v>-1553.351300051268</v>
      </c>
      <c r="P3367">
        <f>-706.102819802845 -66.0882676723331 -392.697407858999</f>
        <v>-1164.8884953341772</v>
      </c>
      <c r="Q3367">
        <f>-452.891226912041 -38.3405989362852 -340.199442085214</f>
        <v>-831.4312679335402</v>
      </c>
      <c r="R3367" t="s">
        <v>70319</v>
      </c>
      <c r="S3367" t="s">
        <v>70320</v>
      </c>
      <c r="T3367" t="s">
        <v>70321</v>
      </c>
      <c r="U3367" t="s">
        <v>70322</v>
      </c>
      <c r="V3367" t="s">
        <v>70323</v>
      </c>
      <c r="W3367" t="s">
        <v>70324</v>
      </c>
      <c r="X3367" t="s">
        <v>70325</v>
      </c>
      <c r="Y3367" t="s">
        <v>70326</v>
      </c>
    </row>
    <row r="3368" spans="1:25" x14ac:dyDescent="0.3">
      <c r="A3368">
        <v>168350</v>
      </c>
      <c r="B3368" t="s">
        <v>70327</v>
      </c>
      <c r="C3368" t="s">
        <v>70328</v>
      </c>
      <c r="D3368" t="s">
        <v>70329</v>
      </c>
      <c r="E3368" t="s">
        <v>70330</v>
      </c>
      <c r="F3368" t="s">
        <v>70331</v>
      </c>
      <c r="G3368" t="s">
        <v>70332</v>
      </c>
      <c r="H3368" t="s">
        <v>70333</v>
      </c>
      <c r="I3368" t="s">
        <v>70334</v>
      </c>
      <c r="J3368" t="s">
        <v>70335</v>
      </c>
      <c r="K3368" t="s">
        <v>70336</v>
      </c>
      <c r="L3368" t="s">
        <v>70337</v>
      </c>
      <c r="M3368" t="s">
        <v>70338</v>
      </c>
      <c r="N3368" t="s">
        <v>70339</v>
      </c>
      <c r="O3368">
        <f>-754.387924500864 -94.1232919777367 -705.052257139057</f>
        <v>-1553.5634736176576</v>
      </c>
      <c r="P3368">
        <f>-705.712394675177 -67.0870185784602 -393.466062180555</f>
        <v>-1166.2654754341922</v>
      </c>
      <c r="Q3368">
        <f>-452.645864631143 -39.1238783426238 -340.386094463671</f>
        <v>-832.15583743743787</v>
      </c>
      <c r="R3368" t="s">
        <v>70340</v>
      </c>
      <c r="S3368" t="s">
        <v>70341</v>
      </c>
      <c r="T3368" t="s">
        <v>70342</v>
      </c>
      <c r="U3368" t="s">
        <v>70343</v>
      </c>
      <c r="V3368" t="s">
        <v>70344</v>
      </c>
      <c r="W3368" t="s">
        <v>70345</v>
      </c>
      <c r="X3368" t="s">
        <v>70346</v>
      </c>
      <c r="Y3368" t="s">
        <v>70347</v>
      </c>
    </row>
    <row r="3369" spans="1:25" x14ac:dyDescent="0.3">
      <c r="A3369">
        <v>168400</v>
      </c>
      <c r="B3369" t="s">
        <v>70348</v>
      </c>
      <c r="C3369" t="s">
        <v>70349</v>
      </c>
      <c r="D3369" t="s">
        <v>70350</v>
      </c>
      <c r="E3369" t="s">
        <v>70351</v>
      </c>
      <c r="F3369" t="s">
        <v>70352</v>
      </c>
      <c r="G3369" t="s">
        <v>70353</v>
      </c>
      <c r="H3369" t="s">
        <v>70354</v>
      </c>
      <c r="I3369" t="s">
        <v>70355</v>
      </c>
      <c r="J3369" t="s">
        <v>70356</v>
      </c>
      <c r="K3369" t="s">
        <v>70357</v>
      </c>
      <c r="L3369" t="s">
        <v>70358</v>
      </c>
      <c r="M3369" t="s">
        <v>70359</v>
      </c>
      <c r="N3369" t="s">
        <v>70360</v>
      </c>
      <c r="O3369">
        <f>-753.987087762176 -94.0412469323646 -705.396444861702</f>
        <v>-1553.4247795562426</v>
      </c>
      <c r="P3369">
        <f>-705.382274760729 -67.5207081563869 -393.754991060856</f>
        <v>-1166.657973977972</v>
      </c>
      <c r="Q3369">
        <f>-452.42312379903 -39.2740404356055 -340.315070379722</f>
        <v>-832.01223461435757</v>
      </c>
      <c r="R3369" t="s">
        <v>70361</v>
      </c>
      <c r="S3369" t="s">
        <v>70362</v>
      </c>
      <c r="T3369" t="s">
        <v>70363</v>
      </c>
      <c r="U3369" t="s">
        <v>70364</v>
      </c>
      <c r="V3369" t="s">
        <v>70365</v>
      </c>
      <c r="W3369" t="s">
        <v>70366</v>
      </c>
      <c r="X3369" t="s">
        <v>70367</v>
      </c>
      <c r="Y3369" t="s">
        <v>70368</v>
      </c>
    </row>
    <row r="3370" spans="1:25" x14ac:dyDescent="0.3">
      <c r="A3370">
        <v>168450</v>
      </c>
      <c r="B3370" t="s">
        <v>70369</v>
      </c>
      <c r="C3370" t="s">
        <v>70370</v>
      </c>
      <c r="D3370" t="s">
        <v>70371</v>
      </c>
      <c r="E3370" t="s">
        <v>70372</v>
      </c>
      <c r="F3370" t="s">
        <v>70373</v>
      </c>
      <c r="G3370" t="s">
        <v>70374</v>
      </c>
      <c r="H3370" t="s">
        <v>70375</v>
      </c>
      <c r="I3370" t="s">
        <v>70376</v>
      </c>
      <c r="J3370" t="s">
        <v>70377</v>
      </c>
      <c r="K3370" t="s">
        <v>70378</v>
      </c>
      <c r="L3370" t="s">
        <v>70379</v>
      </c>
      <c r="M3370" t="s">
        <v>70380</v>
      </c>
      <c r="N3370" t="s">
        <v>70381</v>
      </c>
      <c r="O3370">
        <f>-752.762179287718 -93.961035681524 -706.267393330229</f>
        <v>-1552.990608299471</v>
      </c>
      <c r="P3370">
        <f>-704.857770946764 -68.2195959702869 -394.452078830948</f>
        <v>-1167.529445747999</v>
      </c>
      <c r="Q3370">
        <f>-452.062090250708 -39.2724081054266 -340.614606996739</f>
        <v>-831.94910535287363</v>
      </c>
      <c r="R3370" t="s">
        <v>70382</v>
      </c>
      <c r="S3370" t="s">
        <v>70383</v>
      </c>
      <c r="T3370" t="s">
        <v>70384</v>
      </c>
      <c r="U3370" t="s">
        <v>70385</v>
      </c>
      <c r="V3370" t="s">
        <v>70386</v>
      </c>
      <c r="W3370" t="s">
        <v>70387</v>
      </c>
      <c r="X3370" t="s">
        <v>70388</v>
      </c>
      <c r="Y3370" t="s">
        <v>70389</v>
      </c>
    </row>
    <row r="3371" spans="1:25" x14ac:dyDescent="0.3">
      <c r="A3371">
        <v>168500</v>
      </c>
      <c r="B3371" t="s">
        <v>70390</v>
      </c>
      <c r="C3371" t="s">
        <v>70391</v>
      </c>
      <c r="D3371" t="s">
        <v>70392</v>
      </c>
      <c r="E3371" t="s">
        <v>70393</v>
      </c>
      <c r="F3371" t="s">
        <v>70394</v>
      </c>
      <c r="G3371" t="s">
        <v>70395</v>
      </c>
      <c r="H3371" t="s">
        <v>70396</v>
      </c>
      <c r="I3371" t="s">
        <v>70397</v>
      </c>
      <c r="J3371" t="s">
        <v>70398</v>
      </c>
      <c r="K3371" t="s">
        <v>70399</v>
      </c>
      <c r="L3371" t="s">
        <v>70400</v>
      </c>
      <c r="M3371" t="s">
        <v>70401</v>
      </c>
      <c r="N3371" t="s">
        <v>70402</v>
      </c>
      <c r="O3371">
        <f>-751.756058499488 -94.0993788221124 -706.746355464822</f>
        <v>-1552.6017927864223</v>
      </c>
      <c r="P3371">
        <f>-704.401236118358 -68.6533016817775 -394.823009603749</f>
        <v>-1167.8775474038846</v>
      </c>
      <c r="Q3371">
        <f>-451.735762462983 -39.066860809138 -340.722296887182</f>
        <v>-831.52492015930306</v>
      </c>
      <c r="R3371" t="s">
        <v>70403</v>
      </c>
      <c r="S3371" t="s">
        <v>70404</v>
      </c>
      <c r="T3371" t="s">
        <v>70405</v>
      </c>
      <c r="U3371" t="s">
        <v>70406</v>
      </c>
      <c r="V3371" t="s">
        <v>70407</v>
      </c>
      <c r="W3371" t="s">
        <v>70408</v>
      </c>
      <c r="X3371" t="s">
        <v>70409</v>
      </c>
      <c r="Y3371" t="s">
        <v>70410</v>
      </c>
    </row>
    <row r="3372" spans="1:25" x14ac:dyDescent="0.3">
      <c r="A3372">
        <v>168550</v>
      </c>
      <c r="B3372" t="s">
        <v>70411</v>
      </c>
      <c r="C3372" t="s">
        <v>70412</v>
      </c>
      <c r="D3372" t="s">
        <v>70413</v>
      </c>
      <c r="E3372" t="s">
        <v>70414</v>
      </c>
      <c r="F3372" t="s">
        <v>70415</v>
      </c>
      <c r="G3372" t="s">
        <v>70416</v>
      </c>
      <c r="H3372" t="s">
        <v>70417</v>
      </c>
      <c r="I3372" t="s">
        <v>70418</v>
      </c>
      <c r="J3372" t="s">
        <v>70419</v>
      </c>
      <c r="K3372" t="s">
        <v>70420</v>
      </c>
      <c r="L3372" t="s">
        <v>70421</v>
      </c>
      <c r="M3372" t="s">
        <v>70422</v>
      </c>
      <c r="N3372" t="s">
        <v>70423</v>
      </c>
      <c r="O3372">
        <f>-749.632667892603 -95.165791692519 -707.362049988179</f>
        <v>-1552.1605095733009</v>
      </c>
      <c r="P3372">
        <f>-703.606551145662 -69.7585952699549 -395.236523166408</f>
        <v>-1168.6016695820249</v>
      </c>
      <c r="Q3372">
        <f>-451.279494354347 -39.1564457108518 -340.131134142822</f>
        <v>-830.56707420802081</v>
      </c>
      <c r="R3372" t="s">
        <v>70424</v>
      </c>
      <c r="S3372" t="s">
        <v>70425</v>
      </c>
      <c r="T3372" t="s">
        <v>70426</v>
      </c>
      <c r="U3372" t="s">
        <v>70427</v>
      </c>
      <c r="V3372" t="s">
        <v>70428</v>
      </c>
      <c r="W3372" t="s">
        <v>70429</v>
      </c>
      <c r="X3372" t="s">
        <v>70430</v>
      </c>
      <c r="Y3372" t="s">
        <v>70431</v>
      </c>
    </row>
    <row r="3373" spans="1:25" x14ac:dyDescent="0.3">
      <c r="A3373">
        <v>168600</v>
      </c>
      <c r="B3373" t="s">
        <v>70432</v>
      </c>
      <c r="C3373" t="s">
        <v>70433</v>
      </c>
      <c r="D3373" t="s">
        <v>70434</v>
      </c>
      <c r="E3373" t="s">
        <v>70435</v>
      </c>
      <c r="F3373" t="s">
        <v>70436</v>
      </c>
      <c r="G3373" t="s">
        <v>70437</v>
      </c>
      <c r="H3373" t="s">
        <v>70438</v>
      </c>
      <c r="I3373" t="s">
        <v>70439</v>
      </c>
      <c r="J3373" t="s">
        <v>70440</v>
      </c>
      <c r="K3373" t="s">
        <v>70441</v>
      </c>
      <c r="L3373" t="s">
        <v>70442</v>
      </c>
      <c r="M3373" t="s">
        <v>70443</v>
      </c>
      <c r="N3373" t="s">
        <v>70444</v>
      </c>
      <c r="O3373">
        <f>-748.522562108271 -95.8743109924965 -707.482876598841</f>
        <v>-1551.8797496996085</v>
      </c>
      <c r="P3373">
        <f>-703.176099792183 -70.3248231105811 -395.269630615347</f>
        <v>-1168.770553518111</v>
      </c>
      <c r="Q3373">
        <f>-451.001600180454 -39.0952052294331 -339.818803760439</f>
        <v>-829.91560917032598</v>
      </c>
      <c r="R3373" t="s">
        <v>70445</v>
      </c>
      <c r="S3373" t="s">
        <v>70446</v>
      </c>
      <c r="T3373" t="s">
        <v>70447</v>
      </c>
      <c r="U3373" t="s">
        <v>70448</v>
      </c>
      <c r="V3373" t="s">
        <v>70449</v>
      </c>
      <c r="W3373" t="s">
        <v>70450</v>
      </c>
      <c r="X3373" t="s">
        <v>70451</v>
      </c>
      <c r="Y3373" t="s">
        <v>70452</v>
      </c>
    </row>
    <row r="3374" spans="1:25" x14ac:dyDescent="0.3">
      <c r="A3374">
        <v>168650</v>
      </c>
      <c r="B3374" t="s">
        <v>70453</v>
      </c>
      <c r="C3374" t="s">
        <v>70454</v>
      </c>
      <c r="D3374" t="s">
        <v>70455</v>
      </c>
      <c r="E3374" t="s">
        <v>70456</v>
      </c>
      <c r="F3374" t="s">
        <v>70457</v>
      </c>
      <c r="G3374" t="s">
        <v>70458</v>
      </c>
      <c r="H3374" t="s">
        <v>70459</v>
      </c>
      <c r="I3374" t="s">
        <v>70460</v>
      </c>
      <c r="J3374" t="s">
        <v>70461</v>
      </c>
      <c r="K3374" t="s">
        <v>70462</v>
      </c>
      <c r="L3374" t="s">
        <v>70463</v>
      </c>
      <c r="M3374" t="s">
        <v>70464</v>
      </c>
      <c r="N3374" t="s">
        <v>70465</v>
      </c>
      <c r="O3374">
        <f>-746.628197847044 -97.1111315641297 -707.799649166052</f>
        <v>-1551.5389785772256</v>
      </c>
      <c r="P3374">
        <f>-702.257784737588 -70.9825982552538 -395.494102134246</f>
        <v>-1168.734485127088</v>
      </c>
      <c r="Q3374">
        <f>-450.426644358683 -38.79143041511 -339.041869204884</f>
        <v>-828.25994397867703</v>
      </c>
      <c r="R3374" t="s">
        <v>70466</v>
      </c>
      <c r="S3374" t="s">
        <v>70467</v>
      </c>
      <c r="T3374" t="s">
        <v>70468</v>
      </c>
      <c r="U3374" t="s">
        <v>70469</v>
      </c>
      <c r="V3374" t="s">
        <v>70470</v>
      </c>
      <c r="W3374" t="s">
        <v>70471</v>
      </c>
      <c r="X3374" t="s">
        <v>70472</v>
      </c>
      <c r="Y3374" t="s">
        <v>70473</v>
      </c>
    </row>
    <row r="3375" spans="1:25" x14ac:dyDescent="0.3">
      <c r="A3375">
        <v>168700</v>
      </c>
      <c r="B3375" t="s">
        <v>70474</v>
      </c>
      <c r="C3375" t="s">
        <v>70475</v>
      </c>
      <c r="D3375" t="s">
        <v>70476</v>
      </c>
      <c r="E3375" t="s">
        <v>70477</v>
      </c>
      <c r="F3375" t="s">
        <v>70478</v>
      </c>
      <c r="G3375" t="s">
        <v>70479</v>
      </c>
      <c r="H3375" t="s">
        <v>70480</v>
      </c>
      <c r="I3375" t="s">
        <v>70481</v>
      </c>
      <c r="J3375" t="s">
        <v>70482</v>
      </c>
      <c r="K3375" t="s">
        <v>70483</v>
      </c>
      <c r="L3375" t="s">
        <v>70484</v>
      </c>
      <c r="M3375" t="s">
        <v>70485</v>
      </c>
      <c r="N3375" t="s">
        <v>70486</v>
      </c>
      <c r="O3375">
        <f>-745.760798572781 -97.5209130411263 -707.984410416701</f>
        <v>-1551.2661220306084</v>
      </c>
      <c r="P3375">
        <f>-701.645182159858 -71.6050176889601 -395.624938137327</f>
        <v>-1168.8751379861451</v>
      </c>
      <c r="Q3375">
        <f>-449.988934662107 -38.6410043230001 -338.839566020531</f>
        <v>-827.4695050056381</v>
      </c>
      <c r="R3375" t="s">
        <v>70487</v>
      </c>
      <c r="S3375" t="s">
        <v>70488</v>
      </c>
      <c r="T3375" t="s">
        <v>70489</v>
      </c>
      <c r="U3375" t="s">
        <v>70490</v>
      </c>
      <c r="V3375" t="s">
        <v>70491</v>
      </c>
      <c r="W3375" t="s">
        <v>70492</v>
      </c>
      <c r="X3375" t="s">
        <v>70493</v>
      </c>
      <c r="Y3375" t="s">
        <v>70494</v>
      </c>
    </row>
    <row r="3376" spans="1:25" x14ac:dyDescent="0.3">
      <c r="A3376">
        <v>168750</v>
      </c>
      <c r="B3376" t="s">
        <v>70495</v>
      </c>
      <c r="C3376" t="s">
        <v>70496</v>
      </c>
      <c r="D3376" t="s">
        <v>70497</v>
      </c>
      <c r="E3376" t="s">
        <v>70498</v>
      </c>
      <c r="F3376" t="s">
        <v>70499</v>
      </c>
      <c r="G3376" t="s">
        <v>70500</v>
      </c>
      <c r="H3376" t="s">
        <v>70501</v>
      </c>
      <c r="I3376" t="s">
        <v>70502</v>
      </c>
      <c r="J3376" t="s">
        <v>70503</v>
      </c>
      <c r="K3376" t="s">
        <v>70504</v>
      </c>
      <c r="L3376" t="s">
        <v>70505</v>
      </c>
      <c r="M3376" t="s">
        <v>70506</v>
      </c>
      <c r="N3376" t="s">
        <v>70507</v>
      </c>
      <c r="O3376">
        <f>-744.707813089168 -97.9116220663814 -708.315164269001</f>
        <v>-1550.9345994245505</v>
      </c>
      <c r="P3376">
        <f>-700.777277394804 -71.4054443217096 -395.97927409436</f>
        <v>-1168.1619958108736</v>
      </c>
      <c r="Q3376">
        <f>-449.512101289423 -37.4427126262078 -338.061735330808</f>
        <v>-825.0165492464389</v>
      </c>
      <c r="R3376" t="s">
        <v>70508</v>
      </c>
      <c r="S3376" t="s">
        <v>70509</v>
      </c>
      <c r="T3376" t="s">
        <v>70510</v>
      </c>
      <c r="U3376" t="s">
        <v>70511</v>
      </c>
      <c r="V3376" t="s">
        <v>70512</v>
      </c>
      <c r="W3376" t="s">
        <v>70513</v>
      </c>
      <c r="X3376" t="s">
        <v>70514</v>
      </c>
      <c r="Y3376" t="s">
        <v>70515</v>
      </c>
    </row>
    <row r="3377" spans="1:25" x14ac:dyDescent="0.3">
      <c r="A3377">
        <v>168800</v>
      </c>
      <c r="B3377" t="s">
        <v>70516</v>
      </c>
      <c r="C3377" t="s">
        <v>70517</v>
      </c>
      <c r="D3377" t="s">
        <v>70518</v>
      </c>
      <c r="E3377" t="s">
        <v>70519</v>
      </c>
      <c r="F3377" t="s">
        <v>70520</v>
      </c>
      <c r="G3377" t="s">
        <v>70521</v>
      </c>
      <c r="H3377" t="s">
        <v>70522</v>
      </c>
      <c r="I3377" t="s">
        <v>70523</v>
      </c>
      <c r="J3377" t="s">
        <v>70524</v>
      </c>
      <c r="K3377" t="s">
        <v>70525</v>
      </c>
      <c r="L3377" t="s">
        <v>70526</v>
      </c>
      <c r="M3377" t="s">
        <v>70527</v>
      </c>
      <c r="N3377" t="s">
        <v>70528</v>
      </c>
      <c r="O3377">
        <f>-744.04807863578 -97.9765840680966 -708.452947623572</f>
        <v>-1550.4776103274485</v>
      </c>
      <c r="P3377">
        <f>-700.169766420714 -71.5714363830912 -396.101159054381</f>
        <v>-1167.8423618581862</v>
      </c>
      <c r="Q3377">
        <f>-449.033220501358 -37.3701872779648 -337.767944074013</f>
        <v>-824.17135185333586</v>
      </c>
      <c r="R3377" t="s">
        <v>70529</v>
      </c>
      <c r="S3377" t="s">
        <v>70530</v>
      </c>
      <c r="T3377" t="s">
        <v>70531</v>
      </c>
      <c r="U3377" t="s">
        <v>70532</v>
      </c>
      <c r="V3377" t="s">
        <v>70533</v>
      </c>
      <c r="W3377" t="s">
        <v>70534</v>
      </c>
      <c r="X3377" t="s">
        <v>70535</v>
      </c>
      <c r="Y3377" t="s">
        <v>70536</v>
      </c>
    </row>
    <row r="3378" spans="1:25" x14ac:dyDescent="0.3">
      <c r="A3378">
        <v>168850</v>
      </c>
      <c r="B3378" t="s">
        <v>70537</v>
      </c>
      <c r="C3378" t="s">
        <v>70538</v>
      </c>
      <c r="D3378" t="s">
        <v>70539</v>
      </c>
      <c r="E3378" t="s">
        <v>70540</v>
      </c>
      <c r="F3378" t="s">
        <v>70541</v>
      </c>
      <c r="G3378" t="s">
        <v>70542</v>
      </c>
      <c r="H3378" t="s">
        <v>70543</v>
      </c>
      <c r="I3378" t="s">
        <v>70544</v>
      </c>
      <c r="J3378" t="s">
        <v>70545</v>
      </c>
      <c r="K3378" t="s">
        <v>70546</v>
      </c>
      <c r="L3378" t="s">
        <v>70547</v>
      </c>
      <c r="M3378" t="s">
        <v>70548</v>
      </c>
      <c r="N3378" t="s">
        <v>70549</v>
      </c>
      <c r="O3378">
        <f>-743.54925748547 -98.1023931848285 -708.420633190151</f>
        <v>-1550.0722838604495</v>
      </c>
      <c r="P3378">
        <f>-699.626062075185 -71.5534499799096 -396.087485425564</f>
        <v>-1167.2669974806586</v>
      </c>
      <c r="Q3378">
        <f>-448.677813449579 -35.9770281526762 -337.766355769604</f>
        <v>-822.42119737185919</v>
      </c>
      <c r="R3378" t="s">
        <v>70550</v>
      </c>
      <c r="S3378" t="s">
        <v>70551</v>
      </c>
      <c r="T3378" t="s">
        <v>70552</v>
      </c>
      <c r="U3378" t="s">
        <v>70553</v>
      </c>
      <c r="V3378" t="s">
        <v>70554</v>
      </c>
      <c r="W3378" t="s">
        <v>70555</v>
      </c>
      <c r="X3378" t="s">
        <v>70556</v>
      </c>
      <c r="Y3378" t="s">
        <v>70557</v>
      </c>
    </row>
    <row r="3379" spans="1:25" x14ac:dyDescent="0.3">
      <c r="A3379">
        <v>168900</v>
      </c>
      <c r="B3379" t="s">
        <v>70558</v>
      </c>
      <c r="C3379" t="s">
        <v>70559</v>
      </c>
      <c r="D3379" t="s">
        <v>70560</v>
      </c>
      <c r="E3379" t="s">
        <v>70561</v>
      </c>
      <c r="F3379" t="s">
        <v>70562</v>
      </c>
      <c r="G3379" t="s">
        <v>70563</v>
      </c>
      <c r="H3379" t="s">
        <v>70564</v>
      </c>
      <c r="I3379" t="s">
        <v>70565</v>
      </c>
      <c r="J3379" t="s">
        <v>70566</v>
      </c>
      <c r="K3379" t="s">
        <v>70567</v>
      </c>
      <c r="L3379" t="s">
        <v>70568</v>
      </c>
      <c r="M3379" t="s">
        <v>70569</v>
      </c>
      <c r="N3379" t="s">
        <v>70570</v>
      </c>
      <c r="O3379">
        <f>-743.501187835942 -98.2212033575174 -708.271939785586</f>
        <v>-1549.9943309790456</v>
      </c>
      <c r="P3379">
        <f>-699.311432973159 -71.8327596141396 -395.962637478032</f>
        <v>-1167.1068300653305</v>
      </c>
      <c r="Q3379">
        <f>-448.435484889992 -35.7051179147668 -337.669298954989</f>
        <v>-821.80990175974785</v>
      </c>
      <c r="R3379" t="s">
        <v>70571</v>
      </c>
      <c r="S3379" t="s">
        <v>70572</v>
      </c>
      <c r="T3379" t="s">
        <v>70573</v>
      </c>
      <c r="U3379" t="s">
        <v>70574</v>
      </c>
      <c r="V3379" t="s">
        <v>70575</v>
      </c>
      <c r="W3379" t="s">
        <v>70576</v>
      </c>
      <c r="X3379" t="s">
        <v>70577</v>
      </c>
      <c r="Y3379" t="s">
        <v>70578</v>
      </c>
    </row>
    <row r="3380" spans="1:25" x14ac:dyDescent="0.3">
      <c r="A3380">
        <v>168950</v>
      </c>
      <c r="B3380" t="s">
        <v>70579</v>
      </c>
      <c r="C3380" t="s">
        <v>70580</v>
      </c>
      <c r="D3380" t="s">
        <v>70581</v>
      </c>
      <c r="E3380" t="s">
        <v>70582</v>
      </c>
      <c r="F3380" t="s">
        <v>70583</v>
      </c>
      <c r="G3380" t="s">
        <v>70584</v>
      </c>
      <c r="H3380" t="s">
        <v>70585</v>
      </c>
      <c r="I3380" t="s">
        <v>70586</v>
      </c>
      <c r="J3380" t="s">
        <v>70587</v>
      </c>
      <c r="K3380" t="s">
        <v>70588</v>
      </c>
      <c r="L3380" t="s">
        <v>70589</v>
      </c>
      <c r="M3380" t="s">
        <v>70590</v>
      </c>
      <c r="N3380" t="s">
        <v>70591</v>
      </c>
      <c r="O3380">
        <f>-743.685604689032 -98.2999365532587 -707.616868878369</f>
        <v>-1549.6024101206597</v>
      </c>
      <c r="P3380">
        <f>-698.334313110776 -72.2692923080431 -395.444005939621</f>
        <v>-1166.04761135844</v>
      </c>
      <c r="Q3380">
        <f>-447.44297951739 -34.3039645661224 -338.39820741772</f>
        <v>-820.14515150123248</v>
      </c>
      <c r="R3380" t="s">
        <v>70592</v>
      </c>
      <c r="S3380" t="s">
        <v>70593</v>
      </c>
      <c r="T3380" t="s">
        <v>70594</v>
      </c>
      <c r="U3380" t="s">
        <v>70595</v>
      </c>
      <c r="V3380" t="s">
        <v>70596</v>
      </c>
      <c r="W3380" t="s">
        <v>70597</v>
      </c>
      <c r="X3380" t="s">
        <v>70598</v>
      </c>
      <c r="Y3380" t="s">
        <v>70599</v>
      </c>
    </row>
    <row r="3381" spans="1:25" x14ac:dyDescent="0.3">
      <c r="A3381">
        <v>169000</v>
      </c>
      <c r="B3381" t="s">
        <v>70600</v>
      </c>
      <c r="C3381" t="s">
        <v>70601</v>
      </c>
      <c r="D3381" t="s">
        <v>70602</v>
      </c>
      <c r="E3381" t="s">
        <v>70603</v>
      </c>
      <c r="F3381" t="s">
        <v>70604</v>
      </c>
      <c r="G3381" t="s">
        <v>70605</v>
      </c>
      <c r="H3381" t="s">
        <v>70606</v>
      </c>
      <c r="I3381" t="s">
        <v>70607</v>
      </c>
      <c r="J3381" t="s">
        <v>70608</v>
      </c>
      <c r="K3381" t="s">
        <v>70609</v>
      </c>
      <c r="L3381" t="s">
        <v>70610</v>
      </c>
      <c r="M3381" t="s">
        <v>70611</v>
      </c>
      <c r="N3381" t="s">
        <v>70612</v>
      </c>
      <c r="O3381">
        <f>-744.060260346803 -98.435155960914 -707.081328732669</f>
        <v>-1549.576745040386</v>
      </c>
      <c r="P3381">
        <f>-698.143600185133 -72.3855248886389 -394.992829792343</f>
        <v>-1165.5219548661148</v>
      </c>
      <c r="Q3381">
        <f>-447.216731128927 -33.4839181437269 -338.739649093339</f>
        <v>-819.44029836599293</v>
      </c>
      <c r="R3381" t="s">
        <v>70613</v>
      </c>
      <c r="S3381" t="s">
        <v>70614</v>
      </c>
      <c r="T3381" t="s">
        <v>70615</v>
      </c>
      <c r="U3381" t="s">
        <v>70616</v>
      </c>
      <c r="V3381" t="s">
        <v>70617</v>
      </c>
      <c r="W3381" t="s">
        <v>70618</v>
      </c>
      <c r="X3381" t="s">
        <v>70619</v>
      </c>
      <c r="Y3381" t="s">
        <v>70620</v>
      </c>
    </row>
    <row r="3382" spans="1:25" x14ac:dyDescent="0.3">
      <c r="A3382">
        <v>169050</v>
      </c>
      <c r="B3382" t="s">
        <v>70621</v>
      </c>
      <c r="C3382" t="s">
        <v>70622</v>
      </c>
      <c r="D3382" t="s">
        <v>70623</v>
      </c>
      <c r="E3382" t="s">
        <v>70624</v>
      </c>
      <c r="F3382" t="s">
        <v>70625</v>
      </c>
      <c r="G3382" t="s">
        <v>70626</v>
      </c>
      <c r="H3382" t="s">
        <v>70627</v>
      </c>
      <c r="I3382">
        <f>-610.447422358219 -1.33009543117737 -916.181520434313</f>
        <v>-1527.9590382237093</v>
      </c>
      <c r="J3382" t="s">
        <v>70628</v>
      </c>
      <c r="K3382" t="s">
        <v>70629</v>
      </c>
      <c r="L3382" t="s">
        <v>70630</v>
      </c>
      <c r="M3382" t="s">
        <v>70631</v>
      </c>
      <c r="N3382" t="s">
        <v>70632</v>
      </c>
      <c r="O3382">
        <f>-745.239123497666 -99.1665356443732 -705.456652369974</f>
        <v>-1549.8623115120131</v>
      </c>
      <c r="P3382">
        <f>-697.877720286454 -73.1247405307579 -393.58338960431</f>
        <v>-1164.5858504215219</v>
      </c>
      <c r="Q3382">
        <f>-446.788244936438 -33.0946900076019 -338.868588271348</f>
        <v>-818.75152321538792</v>
      </c>
      <c r="R3382" t="s">
        <v>70633</v>
      </c>
      <c r="S3382" t="s">
        <v>70634</v>
      </c>
      <c r="T3382" t="s">
        <v>70635</v>
      </c>
      <c r="U3382" t="s">
        <v>70636</v>
      </c>
      <c r="V3382" t="s">
        <v>70637</v>
      </c>
      <c r="W3382" t="s">
        <v>70638</v>
      </c>
      <c r="X3382" t="s">
        <v>70639</v>
      </c>
      <c r="Y3382" t="s">
        <v>70640</v>
      </c>
    </row>
    <row r="3383" spans="1:25" x14ac:dyDescent="0.3">
      <c r="A3383">
        <v>169100</v>
      </c>
      <c r="B3383" t="s">
        <v>70641</v>
      </c>
      <c r="C3383" t="s">
        <v>70642</v>
      </c>
      <c r="D3383" t="s">
        <v>70643</v>
      </c>
      <c r="E3383" t="s">
        <v>70644</v>
      </c>
      <c r="F3383" t="s">
        <v>70645</v>
      </c>
      <c r="G3383" t="s">
        <v>70646</v>
      </c>
      <c r="H3383" t="s">
        <v>70647</v>
      </c>
      <c r="I3383">
        <f>-611.567635609916 -2.18565835016375 -915.694712440194</f>
        <v>-1529.4480064002737</v>
      </c>
      <c r="J3383" t="s">
        <v>70648</v>
      </c>
      <c r="K3383" t="s">
        <v>70649</v>
      </c>
      <c r="L3383" t="s">
        <v>70650</v>
      </c>
      <c r="M3383" t="s">
        <v>70651</v>
      </c>
      <c r="N3383" t="s">
        <v>70652</v>
      </c>
      <c r="O3383">
        <f>-746.072898771432 -99.3426205293711 -704.542049056511</f>
        <v>-1549.9575683573141</v>
      </c>
      <c r="P3383">
        <f>-697.959448544036 -72.9004439579892 -392.817734263176</f>
        <v>-1163.6776267652012</v>
      </c>
      <c r="Q3383">
        <f>-446.724372737218 -32.4683099721435 -339.075247876885</f>
        <v>-818.26793058624651</v>
      </c>
      <c r="R3383" t="s">
        <v>70653</v>
      </c>
      <c r="S3383" t="s">
        <v>70654</v>
      </c>
      <c r="T3383" t="s">
        <v>70655</v>
      </c>
      <c r="U3383" t="s">
        <v>70656</v>
      </c>
      <c r="V3383" t="s">
        <v>70657</v>
      </c>
      <c r="W3383" t="s">
        <v>70658</v>
      </c>
      <c r="X3383" t="s">
        <v>70659</v>
      </c>
      <c r="Y3383" t="s">
        <v>70660</v>
      </c>
    </row>
    <row r="3384" spans="1:25" x14ac:dyDescent="0.3">
      <c r="A3384">
        <v>169150</v>
      </c>
      <c r="B3384" t="s">
        <v>70661</v>
      </c>
      <c r="C3384" t="s">
        <v>70662</v>
      </c>
      <c r="D3384" t="s">
        <v>70663</v>
      </c>
      <c r="E3384" t="s">
        <v>70664</v>
      </c>
      <c r="F3384" t="s">
        <v>70665</v>
      </c>
      <c r="G3384" t="s">
        <v>70666</v>
      </c>
      <c r="H3384" t="s">
        <v>70667</v>
      </c>
      <c r="I3384">
        <f>-613.377849002922 -3.48835406782428 -914.785686540155</f>
        <v>-1531.6518896109012</v>
      </c>
      <c r="J3384" t="s">
        <v>70668</v>
      </c>
      <c r="K3384" t="s">
        <v>70669</v>
      </c>
      <c r="L3384" t="s">
        <v>70670</v>
      </c>
      <c r="M3384" t="s">
        <v>70671</v>
      </c>
      <c r="N3384" t="s">
        <v>70672</v>
      </c>
      <c r="O3384">
        <f>-747.603517660084 -99.185783038638 -702.808859998837</f>
        <v>-1549.5981606975588</v>
      </c>
      <c r="P3384">
        <f>-697.738143269793 -72.4882256589867 -391.381574584703</f>
        <v>-1161.6079435134827</v>
      </c>
      <c r="Q3384">
        <f>-446.253940217896 -32.3819403261568 -338.568781988777</f>
        <v>-817.20466253282984</v>
      </c>
      <c r="R3384" t="s">
        <v>70673</v>
      </c>
      <c r="S3384" t="s">
        <v>70674</v>
      </c>
      <c r="T3384" t="s">
        <v>70675</v>
      </c>
      <c r="U3384" t="s">
        <v>70676</v>
      </c>
      <c r="V3384" t="s">
        <v>70677</v>
      </c>
      <c r="W3384" t="s">
        <v>70678</v>
      </c>
      <c r="X3384" t="s">
        <v>70679</v>
      </c>
      <c r="Y3384" t="s">
        <v>70680</v>
      </c>
    </row>
    <row r="3385" spans="1:25" x14ac:dyDescent="0.3">
      <c r="A3385">
        <v>169200</v>
      </c>
      <c r="B3385" t="s">
        <v>70681</v>
      </c>
      <c r="C3385" t="s">
        <v>70682</v>
      </c>
      <c r="D3385" t="s">
        <v>70683</v>
      </c>
      <c r="E3385" t="s">
        <v>70684</v>
      </c>
      <c r="F3385" t="s">
        <v>70685</v>
      </c>
      <c r="G3385" t="s">
        <v>70686</v>
      </c>
      <c r="H3385" t="s">
        <v>70687</v>
      </c>
      <c r="I3385">
        <f>-614.2527354762 -4.19538450667642 -914.433991123163</f>
        <v>-1532.8821111060392</v>
      </c>
      <c r="J3385" t="s">
        <v>70688</v>
      </c>
      <c r="K3385" t="s">
        <v>70689</v>
      </c>
      <c r="L3385" t="s">
        <v>70690</v>
      </c>
      <c r="M3385" t="s">
        <v>70691</v>
      </c>
      <c r="N3385" t="s">
        <v>70692</v>
      </c>
      <c r="O3385">
        <f>-748.194653777488 -99.1820202346744 -701.96528380942</f>
        <v>-1549.3419578215826</v>
      </c>
      <c r="P3385">
        <f>-697.48539218359 -71.5772155693776 -390.75360092891</f>
        <v>-1159.8162086818775</v>
      </c>
      <c r="Q3385">
        <f>-445.846172998909 -32.8466378543478 -337.652639416724</f>
        <v>-816.3454502699808</v>
      </c>
      <c r="R3385" t="s">
        <v>70693</v>
      </c>
      <c r="S3385" t="s">
        <v>70694</v>
      </c>
      <c r="T3385" t="s">
        <v>70695</v>
      </c>
      <c r="U3385" t="s">
        <v>70696</v>
      </c>
      <c r="V3385" t="s">
        <v>70697</v>
      </c>
      <c r="W3385" t="s">
        <v>70698</v>
      </c>
      <c r="X3385" t="s">
        <v>70699</v>
      </c>
      <c r="Y3385" t="s">
        <v>70700</v>
      </c>
    </row>
    <row r="3386" spans="1:25" x14ac:dyDescent="0.3">
      <c r="A3386">
        <v>169250</v>
      </c>
      <c r="B3386" t="s">
        <v>70701</v>
      </c>
      <c r="C3386" t="s">
        <v>70702</v>
      </c>
      <c r="D3386" t="s">
        <v>70703</v>
      </c>
      <c r="E3386" t="s">
        <v>70704</v>
      </c>
      <c r="F3386" t="s">
        <v>70705</v>
      </c>
      <c r="G3386" t="s">
        <v>70706</v>
      </c>
      <c r="H3386" t="s">
        <v>70707</v>
      </c>
      <c r="I3386">
        <f>-616.675332009015 -5.99245957698508 -913.876002254866</f>
        <v>-1536.5437938408661</v>
      </c>
      <c r="J3386" t="s">
        <v>70708</v>
      </c>
      <c r="K3386" t="s">
        <v>70709</v>
      </c>
      <c r="L3386" t="s">
        <v>70710</v>
      </c>
      <c r="M3386" t="s">
        <v>70711</v>
      </c>
      <c r="N3386" t="s">
        <v>70712</v>
      </c>
      <c r="O3386">
        <f>-749.754475577535 -99.5708970957658 -700.264181078789</f>
        <v>-1549.5895537520896</v>
      </c>
      <c r="P3386">
        <f>-696.703119185724 -69.9482979957309 -389.628945933709</f>
        <v>-1156.2803631151637</v>
      </c>
      <c r="Q3386">
        <f>-444.646289393029 -37.8688779672095 -334.128042036077</f>
        <v>-816.64320939631546</v>
      </c>
      <c r="R3386" t="s">
        <v>70713</v>
      </c>
      <c r="S3386" t="s">
        <v>70714</v>
      </c>
      <c r="T3386" t="s">
        <v>70715</v>
      </c>
      <c r="U3386" t="s">
        <v>70716</v>
      </c>
      <c r="V3386" t="s">
        <v>70717</v>
      </c>
      <c r="W3386" t="s">
        <v>70718</v>
      </c>
      <c r="X3386" t="s">
        <v>70719</v>
      </c>
      <c r="Y3386" t="s">
        <v>70720</v>
      </c>
    </row>
    <row r="3387" spans="1:25" x14ac:dyDescent="0.3">
      <c r="A3387">
        <v>169300</v>
      </c>
      <c r="B3387" t="s">
        <v>70721</v>
      </c>
      <c r="C3387" t="s">
        <v>70722</v>
      </c>
      <c r="D3387" t="s">
        <v>70723</v>
      </c>
      <c r="E3387" t="s">
        <v>70724</v>
      </c>
      <c r="F3387" t="s">
        <v>70725</v>
      </c>
      <c r="G3387" t="s">
        <v>70726</v>
      </c>
      <c r="H3387" t="s">
        <v>70727</v>
      </c>
      <c r="I3387">
        <f>-617.963392836433 -6.79249789590472 -913.719461103895</f>
        <v>-1538.4753518362327</v>
      </c>
      <c r="J3387" t="s">
        <v>70728</v>
      </c>
      <c r="K3387" t="s">
        <v>70729</v>
      </c>
      <c r="L3387" t="s">
        <v>70730</v>
      </c>
      <c r="M3387" t="s">
        <v>70731</v>
      </c>
      <c r="N3387" t="s">
        <v>70732</v>
      </c>
      <c r="O3387">
        <f>-750.522989502344 -99.7855861027699 -699.527589702659</f>
        <v>-1549.8361653077729</v>
      </c>
      <c r="P3387">
        <f>-696.971946639095 -69.618332902354 -389.030508288305</f>
        <v>-1155.6207878297541</v>
      </c>
      <c r="Q3387">
        <f>-444.821591720916 -41.0312713130043 -332.065502946346</f>
        <v>-817.91836598026634</v>
      </c>
      <c r="R3387" t="s">
        <v>70733</v>
      </c>
      <c r="S3387" t="s">
        <v>70734</v>
      </c>
      <c r="T3387" t="s">
        <v>70735</v>
      </c>
      <c r="U3387" t="s">
        <v>70736</v>
      </c>
      <c r="V3387" t="s">
        <v>70737</v>
      </c>
      <c r="W3387" t="s">
        <v>70738</v>
      </c>
      <c r="X3387" t="s">
        <v>70739</v>
      </c>
      <c r="Y3387" t="s">
        <v>70740</v>
      </c>
    </row>
    <row r="3388" spans="1:25" x14ac:dyDescent="0.3">
      <c r="A3388">
        <v>169350</v>
      </c>
      <c r="B3388" t="s">
        <v>70741</v>
      </c>
      <c r="C3388" t="s">
        <v>70742</v>
      </c>
      <c r="D3388" t="s">
        <v>70743</v>
      </c>
      <c r="E3388" t="s">
        <v>70744</v>
      </c>
      <c r="F3388" t="s">
        <v>70745</v>
      </c>
      <c r="G3388" t="s">
        <v>70746</v>
      </c>
      <c r="H3388" t="s">
        <v>70747</v>
      </c>
      <c r="I3388">
        <f>-619.452168947442 -7.37086131161459 -913.661384406019</f>
        <v>-1540.4844146650757</v>
      </c>
      <c r="J3388" t="s">
        <v>70748</v>
      </c>
      <c r="K3388" t="s">
        <v>70749</v>
      </c>
      <c r="L3388" t="s">
        <v>70750</v>
      </c>
      <c r="M3388" t="s">
        <v>70751</v>
      </c>
      <c r="N3388" t="s">
        <v>70752</v>
      </c>
      <c r="O3388">
        <f>-751.435979988317 -99.5566470672086 -698.885849961466</f>
        <v>-1549.8784770169914</v>
      </c>
      <c r="P3388">
        <f>-697.407611190417 -69.3258999895129 -388.477740415029</f>
        <v>-1155.2112515949589</v>
      </c>
      <c r="Q3388">
        <f>-445.0806381931 -43.0369222773966 -331.188630728544</f>
        <v>-819.30619119904065</v>
      </c>
      <c r="R3388" t="s">
        <v>70753</v>
      </c>
      <c r="S3388" t="s">
        <v>70754</v>
      </c>
      <c r="T3388" t="s">
        <v>70755</v>
      </c>
      <c r="U3388" t="s">
        <v>70756</v>
      </c>
      <c r="V3388" t="s">
        <v>70757</v>
      </c>
      <c r="W3388" t="s">
        <v>70758</v>
      </c>
      <c r="X3388" t="s">
        <v>70759</v>
      </c>
      <c r="Y3388" t="s">
        <v>70760</v>
      </c>
    </row>
    <row r="3389" spans="1:25" x14ac:dyDescent="0.3">
      <c r="A3389">
        <v>169400</v>
      </c>
      <c r="B3389" t="s">
        <v>70761</v>
      </c>
      <c r="C3389" t="s">
        <v>70762</v>
      </c>
      <c r="D3389" t="s">
        <v>70763</v>
      </c>
      <c r="E3389" t="s">
        <v>70764</v>
      </c>
      <c r="F3389" t="s">
        <v>70765</v>
      </c>
      <c r="G3389" t="s">
        <v>70766</v>
      </c>
      <c r="H3389" t="s">
        <v>70767</v>
      </c>
      <c r="I3389">
        <f>-619.920729611735 -7.33575865070202 -913.666639465435</f>
        <v>-1540.923127727872</v>
      </c>
      <c r="J3389" t="s">
        <v>70768</v>
      </c>
      <c r="K3389" t="s">
        <v>70769</v>
      </c>
      <c r="L3389" t="s">
        <v>70770</v>
      </c>
      <c r="M3389" t="s">
        <v>70771</v>
      </c>
      <c r="N3389" t="s">
        <v>70772</v>
      </c>
      <c r="O3389">
        <f>-751.852854598085 -99.2839189039726 -698.778974486722</f>
        <v>-1549.9157479887795</v>
      </c>
      <c r="P3389">
        <f>-697.713419371861 -68.936191018023 -388.40154914334</f>
        <v>-1155.0511595332241</v>
      </c>
      <c r="Q3389">
        <f>-445.282651423391 -42.4499707264736 -331.662999238437</f>
        <v>-819.39562138830161</v>
      </c>
      <c r="R3389" t="s">
        <v>70773</v>
      </c>
      <c r="S3389" t="s">
        <v>70774</v>
      </c>
      <c r="T3389" t="s">
        <v>70775</v>
      </c>
      <c r="U3389" t="s">
        <v>70776</v>
      </c>
      <c r="V3389" t="s">
        <v>70777</v>
      </c>
      <c r="W3389" t="s">
        <v>70778</v>
      </c>
      <c r="X3389" t="s">
        <v>70779</v>
      </c>
      <c r="Y3389" t="s">
        <v>70780</v>
      </c>
    </row>
    <row r="3390" spans="1:25" x14ac:dyDescent="0.3">
      <c r="A3390">
        <v>169450</v>
      </c>
      <c r="B3390" t="s">
        <v>70781</v>
      </c>
      <c r="C3390" t="s">
        <v>70782</v>
      </c>
      <c r="D3390" t="s">
        <v>70783</v>
      </c>
      <c r="E3390" t="s">
        <v>70784</v>
      </c>
      <c r="F3390" t="s">
        <v>70785</v>
      </c>
      <c r="G3390" t="s">
        <v>70786</v>
      </c>
      <c r="H3390" t="s">
        <v>70787</v>
      </c>
      <c r="I3390">
        <f>-620.977499952942 -7.04042488587288 -913.70681066203</f>
        <v>-1541.7247355008449</v>
      </c>
      <c r="J3390" t="s">
        <v>70788</v>
      </c>
      <c r="K3390" t="s">
        <v>70789</v>
      </c>
      <c r="L3390" t="s">
        <v>70790</v>
      </c>
      <c r="M3390" t="s">
        <v>70791</v>
      </c>
      <c r="N3390" t="s">
        <v>70792</v>
      </c>
      <c r="O3390">
        <f>-752.965558879882 -98.5097680955973 -698.564357984058</f>
        <v>-1550.0396849595372</v>
      </c>
      <c r="P3390">
        <f>-698.238595494113 -67.8744741943553 -388.318214255615</f>
        <v>-1154.4312839440834</v>
      </c>
      <c r="Q3390">
        <f>-445.848577907576 -39.4097556524159 -332.361581791362</f>
        <v>-817.61991535135394</v>
      </c>
      <c r="R3390" t="s">
        <v>70793</v>
      </c>
      <c r="S3390" t="s">
        <v>70794</v>
      </c>
      <c r="T3390" t="s">
        <v>70795</v>
      </c>
      <c r="U3390" t="s">
        <v>70796</v>
      </c>
      <c r="V3390" t="s">
        <v>70797</v>
      </c>
      <c r="W3390" t="s">
        <v>70798</v>
      </c>
      <c r="X3390" t="s">
        <v>70799</v>
      </c>
      <c r="Y3390" t="s">
        <v>70800</v>
      </c>
    </row>
    <row r="3391" spans="1:25" x14ac:dyDescent="0.3">
      <c r="A3391">
        <v>169500</v>
      </c>
      <c r="B3391" t="s">
        <v>70801</v>
      </c>
      <c r="C3391" t="s">
        <v>70802</v>
      </c>
      <c r="D3391" t="s">
        <v>70803</v>
      </c>
      <c r="E3391" t="s">
        <v>70804</v>
      </c>
      <c r="F3391" t="s">
        <v>70805</v>
      </c>
      <c r="G3391" t="s">
        <v>70806</v>
      </c>
      <c r="H3391" t="s">
        <v>70807</v>
      </c>
      <c r="I3391">
        <f>-621.161302574991 -7.10462984227092 -913.685869555359</f>
        <v>-1541.9518019726211</v>
      </c>
      <c r="J3391" t="s">
        <v>70808</v>
      </c>
      <c r="K3391" t="s">
        <v>70809</v>
      </c>
      <c r="L3391" t="s">
        <v>70810</v>
      </c>
      <c r="M3391" t="s">
        <v>70811</v>
      </c>
      <c r="N3391" t="s">
        <v>70812</v>
      </c>
      <c r="O3391">
        <f>-753.158517379364 -98.3470975641396 -698.451623639314</f>
        <v>-1549.9572385828176</v>
      </c>
      <c r="P3391">
        <f>-698.729169762083 -67.3670881514104 -388.187490012544</f>
        <v>-1154.2837479260374</v>
      </c>
      <c r="Q3391">
        <f>-446.559900115511 -38.0789867545168 -331.663861604408</f>
        <v>-816.30274847443582</v>
      </c>
      <c r="R3391" t="s">
        <v>70813</v>
      </c>
      <c r="S3391" t="s">
        <v>70814</v>
      </c>
      <c r="T3391" t="s">
        <v>70815</v>
      </c>
      <c r="U3391" t="s">
        <v>70816</v>
      </c>
      <c r="V3391" t="s">
        <v>70817</v>
      </c>
      <c r="W3391" t="s">
        <v>70818</v>
      </c>
      <c r="X3391" t="s">
        <v>70819</v>
      </c>
      <c r="Y3391" t="s">
        <v>70820</v>
      </c>
    </row>
    <row r="3392" spans="1:25" x14ac:dyDescent="0.3">
      <c r="A3392">
        <v>169550</v>
      </c>
      <c r="B3392" t="s">
        <v>70821</v>
      </c>
      <c r="C3392" t="s">
        <v>70822</v>
      </c>
      <c r="D3392" t="s">
        <v>70823</v>
      </c>
      <c r="E3392" t="s">
        <v>70824</v>
      </c>
      <c r="F3392" t="s">
        <v>70825</v>
      </c>
      <c r="G3392" t="s">
        <v>70826</v>
      </c>
      <c r="H3392" t="s">
        <v>70827</v>
      </c>
      <c r="I3392">
        <f>-621.145659034491 -7.28124219961524 -913.629933327299</f>
        <v>-1542.0568345614051</v>
      </c>
      <c r="J3392" t="s">
        <v>70828</v>
      </c>
      <c r="K3392" t="s">
        <v>70829</v>
      </c>
      <c r="L3392" t="s">
        <v>70830</v>
      </c>
      <c r="M3392" t="s">
        <v>70831</v>
      </c>
      <c r="N3392" t="s">
        <v>70832</v>
      </c>
      <c r="O3392">
        <f>-753.183117451238 -98.2992201141417 -698.41124652008</f>
        <v>-1549.8935840854597</v>
      </c>
      <c r="P3392">
        <f>-699.490017847347 -66.8209425108587 -388.068916555535</f>
        <v>-1154.3798769137406</v>
      </c>
      <c r="Q3392">
        <f>-447.604557705927 -36.3647469327848 -330.900809746202</f>
        <v>-814.87011438491379</v>
      </c>
      <c r="R3392" t="s">
        <v>70833</v>
      </c>
      <c r="S3392" t="s">
        <v>70834</v>
      </c>
      <c r="T3392" t="s">
        <v>70835</v>
      </c>
      <c r="U3392" t="s">
        <v>70836</v>
      </c>
      <c r="V3392" t="s">
        <v>70837</v>
      </c>
      <c r="W3392" t="s">
        <v>70838</v>
      </c>
      <c r="X3392" t="s">
        <v>70839</v>
      </c>
      <c r="Y3392" t="s">
        <v>70840</v>
      </c>
    </row>
    <row r="3393" spans="1:25" x14ac:dyDescent="0.3">
      <c r="A3393">
        <v>169600</v>
      </c>
      <c r="B3393" t="s">
        <v>70841</v>
      </c>
      <c r="C3393" t="s">
        <v>70842</v>
      </c>
      <c r="D3393" t="s">
        <v>70843</v>
      </c>
      <c r="E3393" t="s">
        <v>70844</v>
      </c>
      <c r="F3393" t="s">
        <v>70845</v>
      </c>
      <c r="G3393" t="s">
        <v>70846</v>
      </c>
      <c r="H3393" t="s">
        <v>70847</v>
      </c>
      <c r="I3393">
        <f>-620.258047544709 -6.66262957836329 -913.766464429252</f>
        <v>-1540.6871415523242</v>
      </c>
      <c r="J3393" t="s">
        <v>70848</v>
      </c>
      <c r="K3393" t="s">
        <v>70849</v>
      </c>
      <c r="L3393" t="s">
        <v>70850</v>
      </c>
      <c r="M3393" t="s">
        <v>70851</v>
      </c>
      <c r="N3393" t="s">
        <v>70852</v>
      </c>
      <c r="O3393">
        <f>-753.00022699478 -97.3570714147061 -698.802171143505</f>
        <v>-1549.1594695529911</v>
      </c>
      <c r="P3393">
        <f>-700.39938842128 -66.1749741892959 -388.243024288821</f>
        <v>-1154.817386899397</v>
      </c>
      <c r="Q3393">
        <f>-449.075125012064 -34.0555197520912 -329.536024836612</f>
        <v>-812.66666960076714</v>
      </c>
      <c r="R3393" t="s">
        <v>70853</v>
      </c>
      <c r="S3393" t="s">
        <v>70854</v>
      </c>
      <c r="T3393" t="s">
        <v>70855</v>
      </c>
      <c r="U3393" t="s">
        <v>70856</v>
      </c>
      <c r="V3393" t="s">
        <v>70857</v>
      </c>
      <c r="W3393" t="s">
        <v>70858</v>
      </c>
      <c r="X3393" t="s">
        <v>70859</v>
      </c>
      <c r="Y3393" t="s">
        <v>70860</v>
      </c>
    </row>
    <row r="3394" spans="1:25" x14ac:dyDescent="0.3">
      <c r="A3394">
        <v>169650</v>
      </c>
      <c r="B3394" t="s">
        <v>70861</v>
      </c>
      <c r="C3394" t="s">
        <v>70862</v>
      </c>
      <c r="D3394" t="s">
        <v>70863</v>
      </c>
      <c r="E3394" t="s">
        <v>70864</v>
      </c>
      <c r="F3394" t="s">
        <v>70865</v>
      </c>
      <c r="G3394" t="s">
        <v>70866</v>
      </c>
      <c r="H3394" t="s">
        <v>70867</v>
      </c>
      <c r="I3394">
        <f>-618.359033170245 -5.45393267207442 -913.98744116323</f>
        <v>-1537.8004070055495</v>
      </c>
      <c r="J3394" t="s">
        <v>70868</v>
      </c>
      <c r="K3394" t="s">
        <v>70869</v>
      </c>
      <c r="L3394" t="s">
        <v>70870</v>
      </c>
      <c r="M3394" t="s">
        <v>70871</v>
      </c>
      <c r="N3394" t="s">
        <v>70872</v>
      </c>
      <c r="O3394">
        <f>-752.145846641633 -96.1435732852005 -699.648618321942</f>
        <v>-1547.9380382487757</v>
      </c>
      <c r="P3394">
        <f>-700.887231507122 -65.6609715859624 -388.795671864488</f>
        <v>-1155.3438749575726</v>
      </c>
      <c r="Q3394">
        <f>-449.949010037169 -31.7244092641106 -329.462696851856</f>
        <v>-811.13611615313562</v>
      </c>
      <c r="R3394" t="s">
        <v>70873</v>
      </c>
      <c r="S3394" t="s">
        <v>70874</v>
      </c>
      <c r="T3394" t="s">
        <v>70875</v>
      </c>
      <c r="U3394" t="s">
        <v>70876</v>
      </c>
      <c r="V3394" t="s">
        <v>70877</v>
      </c>
      <c r="W3394" t="s">
        <v>70878</v>
      </c>
      <c r="X3394" t="s">
        <v>70879</v>
      </c>
      <c r="Y3394" t="s">
        <v>70880</v>
      </c>
    </row>
    <row r="3395" spans="1:25" x14ac:dyDescent="0.3">
      <c r="A3395">
        <v>169700</v>
      </c>
      <c r="B3395" t="s">
        <v>70881</v>
      </c>
      <c r="C3395" t="s">
        <v>70882</v>
      </c>
      <c r="D3395" t="s">
        <v>70883</v>
      </c>
      <c r="E3395" t="s">
        <v>70884</v>
      </c>
      <c r="F3395" t="s">
        <v>70885</v>
      </c>
      <c r="G3395" t="s">
        <v>70886</v>
      </c>
      <c r="H3395" t="s">
        <v>70887</v>
      </c>
      <c r="I3395">
        <f>-617.037050722842 -4.76921317328902 -914.177418425489</f>
        <v>-1535.9836823216201</v>
      </c>
      <c r="J3395" t="s">
        <v>70888</v>
      </c>
      <c r="K3395" t="s">
        <v>70889</v>
      </c>
      <c r="L3395" t="s">
        <v>70890</v>
      </c>
      <c r="M3395" t="s">
        <v>70891</v>
      </c>
      <c r="N3395" t="s">
        <v>70892</v>
      </c>
      <c r="O3395">
        <f>-751.540090965968 -95.5539898901827 -700.211756202364</f>
        <v>-1547.3058370585147</v>
      </c>
      <c r="P3395">
        <f>-701.13385641582 -65.4954489925854 -389.178164862075</f>
        <v>-1155.8074702704803</v>
      </c>
      <c r="Q3395">
        <f>-450.325181116501 -30.9372416269271 -329.656561441865</f>
        <v>-810.91898418529308</v>
      </c>
      <c r="R3395" t="s">
        <v>70893</v>
      </c>
      <c r="S3395" t="s">
        <v>70894</v>
      </c>
      <c r="T3395" t="s">
        <v>70895</v>
      </c>
      <c r="U3395" t="s">
        <v>70896</v>
      </c>
      <c r="V3395" t="s">
        <v>70897</v>
      </c>
      <c r="W3395" t="s">
        <v>70898</v>
      </c>
      <c r="X3395" t="s">
        <v>70899</v>
      </c>
      <c r="Y3395" t="s">
        <v>70900</v>
      </c>
    </row>
    <row r="3396" spans="1:25" x14ac:dyDescent="0.3">
      <c r="A3396">
        <v>169750</v>
      </c>
      <c r="B3396" t="s">
        <v>70901</v>
      </c>
      <c r="C3396" t="s">
        <v>70902</v>
      </c>
      <c r="D3396" t="s">
        <v>70903</v>
      </c>
      <c r="E3396" t="s">
        <v>70904</v>
      </c>
      <c r="F3396" t="s">
        <v>70905</v>
      </c>
      <c r="G3396" t="s">
        <v>70906</v>
      </c>
      <c r="H3396" t="s">
        <v>70907</v>
      </c>
      <c r="I3396">
        <f>-614.140558126395 -3.35928088549235 -914.234486128584</f>
        <v>-1531.7343251404714</v>
      </c>
      <c r="J3396" t="s">
        <v>70908</v>
      </c>
      <c r="K3396" t="s">
        <v>70909</v>
      </c>
      <c r="L3396" t="s">
        <v>70910</v>
      </c>
      <c r="M3396" t="s">
        <v>70911</v>
      </c>
      <c r="N3396" t="s">
        <v>70912</v>
      </c>
      <c r="O3396">
        <f>-750.173694099475 -94.3462530175239 -701.140954238442</f>
        <v>-1545.660901355441</v>
      </c>
      <c r="P3396">
        <f>-701.547796128015 -64.9656014090986 -389.759317477936</f>
        <v>-1156.2727150150495</v>
      </c>
      <c r="Q3396">
        <f>-451.014149548464 -29.9879152851279 -329.331393531674</f>
        <v>-810.33345836526587</v>
      </c>
      <c r="R3396" t="s">
        <v>70913</v>
      </c>
      <c r="S3396" t="s">
        <v>70914</v>
      </c>
      <c r="T3396" t="s">
        <v>70915</v>
      </c>
      <c r="U3396" t="s">
        <v>70916</v>
      </c>
      <c r="V3396" t="s">
        <v>70917</v>
      </c>
      <c r="W3396" t="s">
        <v>70918</v>
      </c>
      <c r="X3396" t="s">
        <v>70919</v>
      </c>
      <c r="Y3396" t="s">
        <v>70920</v>
      </c>
    </row>
    <row r="3397" spans="1:25" x14ac:dyDescent="0.3">
      <c r="A3397">
        <v>169800</v>
      </c>
      <c r="B3397" t="s">
        <v>70921</v>
      </c>
      <c r="C3397" t="s">
        <v>70922</v>
      </c>
      <c r="D3397" t="s">
        <v>70923</v>
      </c>
      <c r="E3397" t="s">
        <v>70924</v>
      </c>
      <c r="F3397" t="s">
        <v>70925</v>
      </c>
      <c r="G3397" t="s">
        <v>70926</v>
      </c>
      <c r="H3397" t="s">
        <v>70927</v>
      </c>
      <c r="I3397">
        <f>-612.733542469277 -2.94624764590549 -914.029822492388</f>
        <v>-1529.7096126075705</v>
      </c>
      <c r="J3397" t="s">
        <v>70928</v>
      </c>
      <c r="K3397" t="s">
        <v>70929</v>
      </c>
      <c r="L3397" t="s">
        <v>70930</v>
      </c>
      <c r="M3397" t="s">
        <v>70931</v>
      </c>
      <c r="N3397" t="s">
        <v>70932</v>
      </c>
      <c r="O3397">
        <f>-749.577820084486 -93.9443165237894 -701.375752426601</f>
        <v>-1544.8978890348765</v>
      </c>
      <c r="P3397">
        <f>-701.959269740512 -64.5742082616316 -389.837577528299</f>
        <v>-1156.3710555304426</v>
      </c>
      <c r="Q3397">
        <f>-451.57873174417 -29.5811998773879 -328.787051880379</f>
        <v>-809.94698350193698</v>
      </c>
      <c r="R3397" t="s">
        <v>70933</v>
      </c>
      <c r="S3397" t="s">
        <v>70934</v>
      </c>
      <c r="T3397" t="s">
        <v>70935</v>
      </c>
      <c r="U3397" t="s">
        <v>70936</v>
      </c>
      <c r="V3397" t="s">
        <v>70937</v>
      </c>
      <c r="W3397" t="s">
        <v>70938</v>
      </c>
      <c r="X3397" t="s">
        <v>70939</v>
      </c>
      <c r="Y3397" t="s">
        <v>70940</v>
      </c>
    </row>
    <row r="3398" spans="1:25" x14ac:dyDescent="0.3">
      <c r="A3398">
        <v>169850</v>
      </c>
      <c r="B3398" t="s">
        <v>70941</v>
      </c>
      <c r="C3398" t="s">
        <v>70942</v>
      </c>
      <c r="D3398" t="s">
        <v>70943</v>
      </c>
      <c r="E3398" t="s">
        <v>70944</v>
      </c>
      <c r="F3398" t="s">
        <v>70945</v>
      </c>
      <c r="G3398" t="s">
        <v>70946</v>
      </c>
      <c r="H3398" t="s">
        <v>70947</v>
      </c>
      <c r="I3398">
        <f>-610.936799490966 -1.62577201257295 -913.756953399298</f>
        <v>-1526.319524902837</v>
      </c>
      <c r="J3398" t="s">
        <v>70948</v>
      </c>
      <c r="K3398" t="s">
        <v>70949</v>
      </c>
      <c r="L3398" t="s">
        <v>70950</v>
      </c>
      <c r="M3398" t="s">
        <v>70951</v>
      </c>
      <c r="N3398" t="s">
        <v>70952</v>
      </c>
      <c r="O3398">
        <f>-749.487328229664 -92.5784588858542 -701.97074811202</f>
        <v>-1544.036535227538</v>
      </c>
      <c r="P3398">
        <f>-703.226011533776 -63.6675654943094 -390.185167767335</f>
        <v>-1157.0787447954203</v>
      </c>
      <c r="Q3398">
        <f>-453.227386475156 -28.7783066094416 -327.53126458249</f>
        <v>-809.53695766708756</v>
      </c>
      <c r="R3398" t="s">
        <v>70953</v>
      </c>
      <c r="S3398" t="s">
        <v>70954</v>
      </c>
      <c r="T3398" t="s">
        <v>70955</v>
      </c>
      <c r="U3398" t="s">
        <v>70956</v>
      </c>
      <c r="V3398" t="s">
        <v>70957</v>
      </c>
      <c r="W3398" t="s">
        <v>70958</v>
      </c>
      <c r="X3398" t="s">
        <v>70959</v>
      </c>
      <c r="Y3398" t="s">
        <v>70960</v>
      </c>
    </row>
    <row r="3399" spans="1:25" x14ac:dyDescent="0.3">
      <c r="A3399">
        <v>169900</v>
      </c>
      <c r="B3399" t="s">
        <v>70961</v>
      </c>
      <c r="C3399" t="s">
        <v>70962</v>
      </c>
      <c r="D3399" t="s">
        <v>70963</v>
      </c>
      <c r="E3399" t="s">
        <v>70964</v>
      </c>
      <c r="F3399" t="s">
        <v>70965</v>
      </c>
      <c r="G3399" t="s">
        <v>70966</v>
      </c>
      <c r="H3399" t="s">
        <v>70967</v>
      </c>
      <c r="I3399">
        <f>-610.205816973918 -0.725359243713228 -913.751327998257</f>
        <v>-1524.6825042158882</v>
      </c>
      <c r="J3399" t="s">
        <v>70968</v>
      </c>
      <c r="K3399" t="s">
        <v>70969</v>
      </c>
      <c r="L3399" t="s">
        <v>70970</v>
      </c>
      <c r="M3399" t="s">
        <v>70971</v>
      </c>
      <c r="N3399" t="s">
        <v>70972</v>
      </c>
      <c r="O3399">
        <f>-749.411509749914 -91.7026336514868 -702.345438149942</f>
        <v>-1543.4595815513428</v>
      </c>
      <c r="P3399">
        <f>-703.672086998072 -62.8465456565841 -390.477849044412</f>
        <v>-1156.9964816990682</v>
      </c>
      <c r="Q3399">
        <f>-453.706340907273 -28.3502913615723 -327.476349422683</f>
        <v>-809.53298169152822</v>
      </c>
      <c r="R3399" t="s">
        <v>70973</v>
      </c>
      <c r="S3399" t="s">
        <v>70974</v>
      </c>
      <c r="T3399" t="s">
        <v>70975</v>
      </c>
      <c r="U3399" t="s">
        <v>70976</v>
      </c>
      <c r="V3399" t="s">
        <v>70977</v>
      </c>
      <c r="W3399" t="s">
        <v>70978</v>
      </c>
      <c r="X3399" t="s">
        <v>70979</v>
      </c>
      <c r="Y3399" t="s">
        <v>70980</v>
      </c>
    </row>
    <row r="3400" spans="1:25" x14ac:dyDescent="0.3">
      <c r="A3400">
        <v>169950</v>
      </c>
      <c r="B3400" t="s">
        <v>70981</v>
      </c>
      <c r="C3400" t="s">
        <v>70982</v>
      </c>
      <c r="D3400" t="s">
        <v>70983</v>
      </c>
      <c r="E3400" t="s">
        <v>70984</v>
      </c>
      <c r="F3400" t="s">
        <v>70985</v>
      </c>
      <c r="G3400" t="s">
        <v>70986</v>
      </c>
      <c r="H3400" t="s">
        <v>70987</v>
      </c>
      <c r="I3400" t="s">
        <v>70988</v>
      </c>
      <c r="J3400" t="s">
        <v>70989</v>
      </c>
      <c r="K3400" t="s">
        <v>70990</v>
      </c>
      <c r="L3400" t="s">
        <v>70991</v>
      </c>
      <c r="M3400" t="s">
        <v>70992</v>
      </c>
      <c r="N3400" t="s">
        <v>70993</v>
      </c>
      <c r="O3400">
        <f>-748.967254605619 -89.8430241218471 -703.427793185722</f>
        <v>-1542.2380719131879</v>
      </c>
      <c r="P3400">
        <f>-704.008526120142 -62.1830858111973 -391.338290745613</f>
        <v>-1157.5299026769524</v>
      </c>
      <c r="Q3400">
        <f>-453.98517967791 -29.5870993298288 -327.558471871611</f>
        <v>-811.13075087934976</v>
      </c>
      <c r="R3400" t="s">
        <v>70994</v>
      </c>
      <c r="S3400" t="s">
        <v>70995</v>
      </c>
      <c r="T3400" t="s">
        <v>70996</v>
      </c>
      <c r="U3400" t="s">
        <v>70997</v>
      </c>
      <c r="V3400" t="s">
        <v>70998</v>
      </c>
      <c r="W3400" t="s">
        <v>70999</v>
      </c>
      <c r="X3400" t="s">
        <v>71000</v>
      </c>
      <c r="Y3400" t="s">
        <v>71001</v>
      </c>
    </row>
    <row r="3401" spans="1:25" x14ac:dyDescent="0.3">
      <c r="A3401">
        <v>170000</v>
      </c>
      <c r="B3401" t="s">
        <v>71002</v>
      </c>
      <c r="C3401" t="s">
        <v>71003</v>
      </c>
      <c r="D3401" t="s">
        <v>71004</v>
      </c>
      <c r="E3401" t="s">
        <v>71005</v>
      </c>
      <c r="F3401" t="s">
        <v>71006</v>
      </c>
      <c r="G3401" t="s">
        <v>71007</v>
      </c>
      <c r="H3401" t="s">
        <v>71008</v>
      </c>
      <c r="I3401" t="s">
        <v>71009</v>
      </c>
      <c r="J3401" t="s">
        <v>71010</v>
      </c>
      <c r="K3401" t="s">
        <v>71011</v>
      </c>
      <c r="L3401" t="s">
        <v>71012</v>
      </c>
      <c r="M3401" t="s">
        <v>71013</v>
      </c>
      <c r="N3401" t="s">
        <v>71014</v>
      </c>
      <c r="O3401">
        <f>-748.718126795796 -88.7831012465781 -704.073034816987</f>
        <v>-1541.5742628593612</v>
      </c>
      <c r="P3401">
        <f>-704.211552792511 -62.0673668786808 -391.836552551604</f>
        <v>-1158.1154722227957</v>
      </c>
      <c r="Q3401">
        <f>-454.159151175321 -30.918224058433 -327.45049828674</f>
        <v>-812.52787352049404</v>
      </c>
      <c r="R3401" t="s">
        <v>71015</v>
      </c>
      <c r="S3401" t="s">
        <v>71016</v>
      </c>
      <c r="T3401" t="s">
        <v>71017</v>
      </c>
      <c r="U3401" t="s">
        <v>71018</v>
      </c>
      <c r="V3401" t="s">
        <v>71019</v>
      </c>
      <c r="W3401" t="s">
        <v>71020</v>
      </c>
      <c r="X3401" t="s">
        <v>71021</v>
      </c>
      <c r="Y3401" t="s">
        <v>71022</v>
      </c>
    </row>
    <row r="3402" spans="1:25" x14ac:dyDescent="0.3">
      <c r="A3402">
        <v>170050</v>
      </c>
      <c r="B3402" t="s">
        <v>71023</v>
      </c>
      <c r="C3402" t="s">
        <v>71024</v>
      </c>
      <c r="D3402" t="s">
        <v>71025</v>
      </c>
      <c r="E3402" t="s">
        <v>71026</v>
      </c>
      <c r="F3402" t="s">
        <v>71027</v>
      </c>
      <c r="G3402" t="s">
        <v>71028</v>
      </c>
      <c r="H3402" t="s">
        <v>71029</v>
      </c>
      <c r="I3402" t="s">
        <v>71030</v>
      </c>
      <c r="J3402" t="s">
        <v>71031</v>
      </c>
      <c r="K3402" t="s">
        <v>71032</v>
      </c>
      <c r="L3402" t="s">
        <v>71033</v>
      </c>
      <c r="M3402" t="s">
        <v>71034</v>
      </c>
      <c r="N3402" t="s">
        <v>71035</v>
      </c>
      <c r="O3402">
        <f>-748.179385959708 -86.7432641721127 -705.681383645229</f>
        <v>-1540.6040337770496</v>
      </c>
      <c r="P3402">
        <f>-704.423583380642 -62.1725632115208 -393.162748756906</f>
        <v>-1159.7588953490688</v>
      </c>
      <c r="Q3402">
        <f>-454.204480848708 -33.2691033796518 -328.378137063447</f>
        <v>-815.85172129180683</v>
      </c>
      <c r="R3402" t="s">
        <v>71036</v>
      </c>
      <c r="S3402" t="s">
        <v>71037</v>
      </c>
      <c r="T3402" t="s">
        <v>71038</v>
      </c>
      <c r="U3402" t="s">
        <v>71039</v>
      </c>
      <c r="V3402" t="s">
        <v>71040</v>
      </c>
      <c r="W3402" t="s">
        <v>71041</v>
      </c>
      <c r="X3402" t="s">
        <v>71042</v>
      </c>
      <c r="Y3402" t="s">
        <v>71043</v>
      </c>
    </row>
    <row r="3403" spans="1:25" x14ac:dyDescent="0.3">
      <c r="A3403">
        <v>170100</v>
      </c>
      <c r="B3403" t="s">
        <v>71044</v>
      </c>
      <c r="C3403" t="s">
        <v>71045</v>
      </c>
      <c r="D3403" t="s">
        <v>71046</v>
      </c>
      <c r="E3403" t="s">
        <v>71047</v>
      </c>
      <c r="F3403" t="s">
        <v>71048</v>
      </c>
      <c r="G3403" t="s">
        <v>71049</v>
      </c>
      <c r="H3403" t="s">
        <v>71050</v>
      </c>
      <c r="I3403" t="s">
        <v>71051</v>
      </c>
      <c r="J3403" t="s">
        <v>71052</v>
      </c>
      <c r="K3403" t="s">
        <v>71053</v>
      </c>
      <c r="L3403" t="s">
        <v>71054</v>
      </c>
      <c r="M3403" t="s">
        <v>71055</v>
      </c>
      <c r="N3403" t="s">
        <v>71056</v>
      </c>
      <c r="O3403">
        <f>-747.960736254968 -85.9589874997157 -706.45506315625</f>
        <v>-1540.3747869109338</v>
      </c>
      <c r="P3403">
        <f>-704.406134371608 -62.7209521590059 -393.806450451484</f>
        <v>-1160.9335369820978</v>
      </c>
      <c r="Q3403">
        <f>-454.199918561458 -33.6265041411173 -329.057695827155</f>
        <v>-816.88411852973036</v>
      </c>
      <c r="R3403" t="s">
        <v>71057</v>
      </c>
      <c r="S3403" t="s">
        <v>71058</v>
      </c>
      <c r="T3403" t="s">
        <v>71059</v>
      </c>
      <c r="U3403" t="s">
        <v>71060</v>
      </c>
      <c r="V3403" t="s">
        <v>71061</v>
      </c>
      <c r="W3403" t="s">
        <v>71062</v>
      </c>
      <c r="X3403" t="s">
        <v>71063</v>
      </c>
      <c r="Y3403" t="s">
        <v>71064</v>
      </c>
    </row>
    <row r="3404" spans="1:25" x14ac:dyDescent="0.3">
      <c r="A3404">
        <v>170150</v>
      </c>
      <c r="B3404" t="s">
        <v>71065</v>
      </c>
      <c r="C3404" t="s">
        <v>71066</v>
      </c>
      <c r="D3404" t="s">
        <v>71067</v>
      </c>
      <c r="E3404" t="s">
        <v>71068</v>
      </c>
      <c r="F3404" t="s">
        <v>71069</v>
      </c>
      <c r="G3404" t="s">
        <v>71070</v>
      </c>
      <c r="H3404" t="s">
        <v>71071</v>
      </c>
      <c r="I3404" t="s">
        <v>71072</v>
      </c>
      <c r="J3404" t="s">
        <v>71073</v>
      </c>
      <c r="K3404" t="s">
        <v>71074</v>
      </c>
      <c r="L3404" t="s">
        <v>71075</v>
      </c>
      <c r="M3404" t="s">
        <v>71076</v>
      </c>
      <c r="N3404" t="s">
        <v>71077</v>
      </c>
      <c r="O3404">
        <f>-747.27085253158 -85.8414720917303 -707.604516521048</f>
        <v>-1540.7168411443583</v>
      </c>
      <c r="P3404">
        <f>-704.882101003864 -64.1607919827707 -394.683979225924</f>
        <v>-1163.7268722125586</v>
      </c>
      <c r="Q3404">
        <f>-454.478263925296 -31.8909734094598 -332.245299770326</f>
        <v>-818.61453710508181</v>
      </c>
      <c r="R3404" t="s">
        <v>71078</v>
      </c>
      <c r="S3404" t="s">
        <v>71079</v>
      </c>
      <c r="T3404" t="s">
        <v>71080</v>
      </c>
      <c r="U3404" t="s">
        <v>71081</v>
      </c>
      <c r="V3404" t="s">
        <v>71082</v>
      </c>
      <c r="W3404" t="s">
        <v>71083</v>
      </c>
      <c r="X3404" t="s">
        <v>71084</v>
      </c>
      <c r="Y3404" t="s">
        <v>71085</v>
      </c>
    </row>
    <row r="3405" spans="1:25" x14ac:dyDescent="0.3">
      <c r="A3405">
        <v>170200</v>
      </c>
      <c r="B3405" t="s">
        <v>71086</v>
      </c>
      <c r="C3405" t="s">
        <v>71087</v>
      </c>
      <c r="D3405" t="s">
        <v>71088</v>
      </c>
      <c r="E3405" t="s">
        <v>71089</v>
      </c>
      <c r="F3405" t="s">
        <v>71090</v>
      </c>
      <c r="G3405" t="s">
        <v>71091</v>
      </c>
      <c r="H3405" t="s">
        <v>71092</v>
      </c>
      <c r="I3405" t="s">
        <v>71093</v>
      </c>
      <c r="J3405" t="s">
        <v>71094</v>
      </c>
      <c r="K3405" t="s">
        <v>71095</v>
      </c>
      <c r="L3405" t="s">
        <v>71096</v>
      </c>
      <c r="M3405" t="s">
        <v>71097</v>
      </c>
      <c r="N3405" t="s">
        <v>71098</v>
      </c>
      <c r="O3405">
        <f>-746.818483849065 -86.0941556632636 -708.037512556359</f>
        <v>-1540.9501520686877</v>
      </c>
      <c r="P3405">
        <f>-704.404898837169 -65.0445853062236 -395.077022542309</f>
        <v>-1164.5265066857014</v>
      </c>
      <c r="Q3405">
        <f>-453.991745553658 -31.2638845560373 -333.48035987908</f>
        <v>-818.73598998877537</v>
      </c>
      <c r="R3405" t="s">
        <v>71099</v>
      </c>
      <c r="S3405" t="s">
        <v>71100</v>
      </c>
      <c r="T3405" t="s">
        <v>71101</v>
      </c>
      <c r="U3405" t="s">
        <v>71102</v>
      </c>
      <c r="V3405" t="s">
        <v>71103</v>
      </c>
      <c r="W3405" t="s">
        <v>71104</v>
      </c>
      <c r="X3405" t="s">
        <v>71105</v>
      </c>
      <c r="Y3405" t="s">
        <v>71106</v>
      </c>
    </row>
    <row r="3406" spans="1:25" x14ac:dyDescent="0.3">
      <c r="A3406">
        <v>170250</v>
      </c>
      <c r="B3406" t="s">
        <v>71107</v>
      </c>
      <c r="C3406" t="s">
        <v>71108</v>
      </c>
      <c r="D3406" t="s">
        <v>71109</v>
      </c>
      <c r="E3406" t="s">
        <v>71110</v>
      </c>
      <c r="F3406" t="s">
        <v>71111</v>
      </c>
      <c r="G3406" t="s">
        <v>71112</v>
      </c>
      <c r="H3406" t="s">
        <v>71113</v>
      </c>
      <c r="I3406" t="s">
        <v>71114</v>
      </c>
      <c r="J3406" t="s">
        <v>71115</v>
      </c>
      <c r="K3406" t="s">
        <v>71116</v>
      </c>
      <c r="L3406" t="s">
        <v>71117</v>
      </c>
      <c r="M3406" t="s">
        <v>71118</v>
      </c>
      <c r="N3406" t="s">
        <v>71119</v>
      </c>
      <c r="O3406">
        <f>-745.846993636161 -86.6703099539523 -708.583505705444</f>
        <v>-1541.1008092955572</v>
      </c>
      <c r="P3406">
        <f>-703.352979635484 -67.1738751693738 -395.533417816981</f>
        <v>-1166.0602726218387</v>
      </c>
      <c r="Q3406">
        <f>-453.120531347893 -29.7364095995242 -335.332424941494</f>
        <v>-818.1893658889112</v>
      </c>
      <c r="R3406" t="s">
        <v>71120</v>
      </c>
      <c r="S3406" t="s">
        <v>71121</v>
      </c>
      <c r="T3406" t="s">
        <v>71122</v>
      </c>
      <c r="U3406" t="s">
        <v>71123</v>
      </c>
      <c r="V3406" t="s">
        <v>71124</v>
      </c>
      <c r="W3406" t="s">
        <v>71125</v>
      </c>
      <c r="X3406" t="s">
        <v>71126</v>
      </c>
      <c r="Y3406" t="s">
        <v>71127</v>
      </c>
    </row>
    <row r="3407" spans="1:25" x14ac:dyDescent="0.3">
      <c r="A3407">
        <v>170300</v>
      </c>
      <c r="B3407" t="s">
        <v>71128</v>
      </c>
      <c r="C3407" t="s">
        <v>71129</v>
      </c>
      <c r="D3407" t="s">
        <v>71130</v>
      </c>
      <c r="E3407" t="s">
        <v>71131</v>
      </c>
      <c r="F3407" t="s">
        <v>71132</v>
      </c>
      <c r="G3407" t="s">
        <v>71133</v>
      </c>
      <c r="H3407" t="s">
        <v>71134</v>
      </c>
      <c r="I3407" t="s">
        <v>71135</v>
      </c>
      <c r="J3407" t="s">
        <v>71136</v>
      </c>
      <c r="K3407" t="s">
        <v>71137</v>
      </c>
      <c r="L3407" t="s">
        <v>71138</v>
      </c>
      <c r="M3407" t="s">
        <v>71139</v>
      </c>
      <c r="N3407" t="s">
        <v>71140</v>
      </c>
      <c r="O3407">
        <f>-744.942252196396 -87.3860373126699 -708.663136231243</f>
        <v>-1540.9914257403088</v>
      </c>
      <c r="P3407">
        <f>-702.303240579075 -69.2048855532883 -395.553750132607</f>
        <v>-1167.0618762649701</v>
      </c>
      <c r="Q3407">
        <f>-452.173655086358 -31.0681093712606 -335.363546705426</f>
        <v>-818.60531116304469</v>
      </c>
      <c r="R3407" t="s">
        <v>71141</v>
      </c>
      <c r="S3407" t="s">
        <v>71142</v>
      </c>
      <c r="T3407" t="s">
        <v>71143</v>
      </c>
      <c r="U3407" t="s">
        <v>71144</v>
      </c>
      <c r="V3407" t="s">
        <v>71145</v>
      </c>
      <c r="W3407" t="s">
        <v>71146</v>
      </c>
      <c r="X3407" t="s">
        <v>71147</v>
      </c>
      <c r="Y3407" t="s">
        <v>71148</v>
      </c>
    </row>
    <row r="3408" spans="1:25" x14ac:dyDescent="0.3">
      <c r="A3408">
        <v>170350</v>
      </c>
      <c r="B3408" t="s">
        <v>71149</v>
      </c>
      <c r="C3408" t="s">
        <v>71150</v>
      </c>
      <c r="D3408" t="s">
        <v>71151</v>
      </c>
      <c r="E3408" t="s">
        <v>71152</v>
      </c>
      <c r="F3408" t="s">
        <v>71153</v>
      </c>
      <c r="G3408" t="s">
        <v>71154</v>
      </c>
      <c r="H3408" t="s">
        <v>71155</v>
      </c>
      <c r="I3408" t="s">
        <v>71156</v>
      </c>
      <c r="J3408" t="s">
        <v>71157</v>
      </c>
      <c r="K3408" t="s">
        <v>71158</v>
      </c>
      <c r="L3408" t="s">
        <v>71159</v>
      </c>
      <c r="M3408" t="s">
        <v>71160</v>
      </c>
      <c r="N3408" t="s">
        <v>71161</v>
      </c>
      <c r="O3408">
        <f>-742.802286026386 -88.4572244026199 -708.794722920277</f>
        <v>-1540.0542333492829</v>
      </c>
      <c r="P3408">
        <f>-698.224111893275 -72.6823958675932 -395.824841785577</f>
        <v>-1166.7313495464452</v>
      </c>
      <c r="Q3408">
        <f>-448.547805717386 -34.6575498889329 -333.7133400042</f>
        <v>-816.91869561051885</v>
      </c>
      <c r="R3408" t="s">
        <v>71162</v>
      </c>
      <c r="S3408" t="s">
        <v>71163</v>
      </c>
      <c r="T3408" t="s">
        <v>71164</v>
      </c>
      <c r="U3408" t="s">
        <v>71165</v>
      </c>
      <c r="V3408" t="s">
        <v>71166</v>
      </c>
      <c r="W3408" t="s">
        <v>71167</v>
      </c>
      <c r="X3408" t="s">
        <v>71168</v>
      </c>
      <c r="Y3408" t="s">
        <v>71169</v>
      </c>
    </row>
    <row r="3409" spans="1:25" x14ac:dyDescent="0.3">
      <c r="A3409">
        <v>170400</v>
      </c>
      <c r="B3409" t="s">
        <v>71170</v>
      </c>
      <c r="C3409" t="s">
        <v>71171</v>
      </c>
      <c r="D3409" t="s">
        <v>71172</v>
      </c>
      <c r="E3409" t="s">
        <v>71173</v>
      </c>
      <c r="F3409" t="s">
        <v>71174</v>
      </c>
      <c r="G3409" t="s">
        <v>71175</v>
      </c>
      <c r="H3409" t="s">
        <v>71176</v>
      </c>
      <c r="I3409" t="s">
        <v>71177</v>
      </c>
      <c r="J3409" t="s">
        <v>71178</v>
      </c>
      <c r="K3409" t="s">
        <v>71179</v>
      </c>
      <c r="L3409" t="s">
        <v>71180</v>
      </c>
      <c r="M3409" t="s">
        <v>71181</v>
      </c>
      <c r="N3409" t="s">
        <v>71182</v>
      </c>
      <c r="O3409">
        <f>-741.720638288685 -89.4615408589709 -708.660772496359</f>
        <v>-1539.8429516440149</v>
      </c>
      <c r="P3409">
        <f>-696.178629762804 -73.6478734291195 -395.831571513395</f>
        <v>-1165.6580747053185</v>
      </c>
      <c r="Q3409">
        <f>-446.443889351365 -35.4254086324395 -334.076740538409</f>
        <v>-815.94603852221348</v>
      </c>
      <c r="R3409" t="s">
        <v>71183</v>
      </c>
      <c r="S3409" t="s">
        <v>71184</v>
      </c>
      <c r="T3409" t="s">
        <v>71185</v>
      </c>
      <c r="U3409" t="s">
        <v>71186</v>
      </c>
      <c r="V3409" t="s">
        <v>71187</v>
      </c>
      <c r="W3409" t="s">
        <v>71188</v>
      </c>
      <c r="X3409" t="s">
        <v>71189</v>
      </c>
      <c r="Y3409" t="s">
        <v>71190</v>
      </c>
    </row>
    <row r="3410" spans="1:25" x14ac:dyDescent="0.3">
      <c r="A3410">
        <v>170450</v>
      </c>
      <c r="B3410" t="s">
        <v>71191</v>
      </c>
      <c r="C3410" t="s">
        <v>71192</v>
      </c>
      <c r="D3410" t="s">
        <v>71193</v>
      </c>
      <c r="E3410" t="s">
        <v>71194</v>
      </c>
      <c r="F3410" t="s">
        <v>71195</v>
      </c>
      <c r="G3410" t="s">
        <v>71196</v>
      </c>
      <c r="H3410" t="s">
        <v>71197</v>
      </c>
      <c r="I3410" t="s">
        <v>71198</v>
      </c>
      <c r="J3410" t="s">
        <v>71199</v>
      </c>
      <c r="K3410" t="s">
        <v>71200</v>
      </c>
      <c r="L3410" t="s">
        <v>71201</v>
      </c>
      <c r="M3410" t="s">
        <v>71202</v>
      </c>
      <c r="N3410" t="s">
        <v>71203</v>
      </c>
      <c r="O3410">
        <f>-740.180343296244 -90.5279169944522 -708.914596771216</f>
        <v>-1539.6228570619123</v>
      </c>
      <c r="P3410">
        <f>-693.158019802386 -75.6719923475448 -396.257548272217</f>
        <v>-1165.0875604221478</v>
      </c>
      <c r="Q3410">
        <f>-443.221472299782 -36.1290896013788 -336.172877850128</f>
        <v>-815.52343975128883</v>
      </c>
      <c r="R3410" t="s">
        <v>71204</v>
      </c>
      <c r="S3410" t="s">
        <v>71205</v>
      </c>
      <c r="T3410" t="s">
        <v>71206</v>
      </c>
      <c r="U3410" t="s">
        <v>71207</v>
      </c>
      <c r="V3410" t="s">
        <v>71208</v>
      </c>
      <c r="W3410" t="s">
        <v>71209</v>
      </c>
      <c r="X3410" t="s">
        <v>71210</v>
      </c>
      <c r="Y3410" t="s">
        <v>71211</v>
      </c>
    </row>
    <row r="3411" spans="1:25" x14ac:dyDescent="0.3">
      <c r="A3411">
        <v>170500</v>
      </c>
      <c r="B3411" t="s">
        <v>71212</v>
      </c>
      <c r="C3411" t="s">
        <v>71213</v>
      </c>
      <c r="D3411" t="s">
        <v>71214</v>
      </c>
      <c r="E3411" t="s">
        <v>71215</v>
      </c>
      <c r="F3411" t="s">
        <v>71216</v>
      </c>
      <c r="G3411" t="s">
        <v>71217</v>
      </c>
      <c r="H3411" t="s">
        <v>71218</v>
      </c>
      <c r="I3411" t="s">
        <v>71219</v>
      </c>
      <c r="J3411" t="s">
        <v>71220</v>
      </c>
      <c r="K3411" t="s">
        <v>71221</v>
      </c>
      <c r="L3411" t="s">
        <v>71222</v>
      </c>
      <c r="M3411" t="s">
        <v>71223</v>
      </c>
      <c r="N3411" t="s">
        <v>71224</v>
      </c>
      <c r="O3411">
        <f>-740.476430464538 -90.3544659315489 -709.094566979832</f>
        <v>-1539.925463375919</v>
      </c>
      <c r="P3411">
        <f>-692.854707216057 -75.6618830383391 -396.520575468373</f>
        <v>-1165.037165722769</v>
      </c>
      <c r="Q3411">
        <f>-442.837859597609 -34.2228834649468 -338.070788099832</f>
        <v>-815.13153116238777</v>
      </c>
      <c r="R3411" t="s">
        <v>71225</v>
      </c>
      <c r="S3411" t="s">
        <v>71226</v>
      </c>
      <c r="T3411" t="s">
        <v>71227</v>
      </c>
      <c r="U3411" t="s">
        <v>71228</v>
      </c>
      <c r="V3411" t="s">
        <v>71229</v>
      </c>
      <c r="W3411" t="s">
        <v>71230</v>
      </c>
      <c r="X3411" t="s">
        <v>71231</v>
      </c>
      <c r="Y3411" t="s">
        <v>71232</v>
      </c>
    </row>
    <row r="3412" spans="1:25" x14ac:dyDescent="0.3">
      <c r="A3412">
        <v>170550</v>
      </c>
      <c r="B3412" t="s">
        <v>71233</v>
      </c>
      <c r="C3412" t="s">
        <v>71234</v>
      </c>
      <c r="D3412" t="s">
        <v>71235</v>
      </c>
      <c r="E3412" t="s">
        <v>71236</v>
      </c>
      <c r="F3412" t="s">
        <v>71237</v>
      </c>
      <c r="G3412" t="s">
        <v>71238</v>
      </c>
      <c r="H3412" t="s">
        <v>71239</v>
      </c>
      <c r="I3412" t="s">
        <v>71240</v>
      </c>
      <c r="J3412" t="s">
        <v>71241</v>
      </c>
      <c r="K3412" t="s">
        <v>71242</v>
      </c>
      <c r="L3412" t="s">
        <v>71243</v>
      </c>
      <c r="M3412" t="s">
        <v>71244</v>
      </c>
      <c r="N3412" t="s">
        <v>71245</v>
      </c>
      <c r="O3412">
        <f>-740.825568769603 -89.8632014557879 -709.63183498989</f>
        <v>-1540.3206052152809</v>
      </c>
      <c r="P3412">
        <f>-692.437442118091 -77.4815235388608 -397.075371151678</f>
        <v>-1166.9943368086297</v>
      </c>
      <c r="Q3412">
        <f>-442.372990494763 -31.9936201963942 -341.933100918318</f>
        <v>-816.29971160947525</v>
      </c>
      <c r="R3412" t="s">
        <v>71246</v>
      </c>
      <c r="S3412" t="s">
        <v>71247</v>
      </c>
      <c r="T3412" t="s">
        <v>71248</v>
      </c>
      <c r="U3412" t="s">
        <v>71249</v>
      </c>
      <c r="V3412" t="s">
        <v>71250</v>
      </c>
      <c r="W3412" t="s">
        <v>71251</v>
      </c>
      <c r="X3412" t="s">
        <v>71252</v>
      </c>
      <c r="Y3412" t="s">
        <v>71253</v>
      </c>
    </row>
    <row r="3413" spans="1:25" x14ac:dyDescent="0.3">
      <c r="A3413">
        <v>170600</v>
      </c>
      <c r="B3413" t="s">
        <v>71254</v>
      </c>
      <c r="C3413" t="s">
        <v>71255</v>
      </c>
      <c r="D3413" t="s">
        <v>71256</v>
      </c>
      <c r="E3413" t="s">
        <v>71257</v>
      </c>
      <c r="F3413" t="s">
        <v>71258</v>
      </c>
      <c r="G3413" t="s">
        <v>71259</v>
      </c>
      <c r="H3413" t="s">
        <v>71260</v>
      </c>
      <c r="I3413" t="s">
        <v>71261</v>
      </c>
      <c r="J3413" t="s">
        <v>71262</v>
      </c>
      <c r="K3413" t="s">
        <v>71263</v>
      </c>
      <c r="L3413" t="s">
        <v>71264</v>
      </c>
      <c r="M3413" t="s">
        <v>71265</v>
      </c>
      <c r="N3413" t="s">
        <v>71266</v>
      </c>
      <c r="O3413">
        <f>-741.268081761301 -89.5021526334604 -709.788787059229</f>
        <v>-1540.5590214539902</v>
      </c>
      <c r="P3413">
        <f>-692.489107514468 -78.3622117495631 -397.246456516403</f>
        <v>-1168.0977757804339</v>
      </c>
      <c r="Q3413">
        <f>-442.554877240564 -30.561452294419 -343.487628216621</f>
        <v>-816.60395775160396</v>
      </c>
      <c r="R3413" t="s">
        <v>71267</v>
      </c>
      <c r="S3413" t="s">
        <v>71268</v>
      </c>
      <c r="T3413" t="s">
        <v>71269</v>
      </c>
      <c r="U3413" t="s">
        <v>71270</v>
      </c>
      <c r="V3413" t="s">
        <v>71271</v>
      </c>
      <c r="W3413" t="s">
        <v>71272</v>
      </c>
      <c r="X3413" t="s">
        <v>71273</v>
      </c>
      <c r="Y3413" t="s">
        <v>71274</v>
      </c>
    </row>
    <row r="3414" spans="1:25" x14ac:dyDescent="0.3">
      <c r="A3414">
        <v>170650</v>
      </c>
      <c r="B3414" t="s">
        <v>71275</v>
      </c>
      <c r="C3414" t="s">
        <v>71276</v>
      </c>
      <c r="D3414" t="s">
        <v>71277</v>
      </c>
      <c r="E3414" t="s">
        <v>71278</v>
      </c>
      <c r="F3414" t="s">
        <v>71279</v>
      </c>
      <c r="G3414" t="s">
        <v>71280</v>
      </c>
      <c r="H3414" t="s">
        <v>71281</v>
      </c>
      <c r="I3414" t="s">
        <v>71282</v>
      </c>
      <c r="J3414" t="s">
        <v>71283</v>
      </c>
      <c r="K3414" t="s">
        <v>71284</v>
      </c>
      <c r="L3414" t="s">
        <v>71285</v>
      </c>
      <c r="M3414" t="s">
        <v>71286</v>
      </c>
      <c r="N3414" t="s">
        <v>71287</v>
      </c>
      <c r="O3414">
        <f>-742.083054672323 -89.5007223965156 -709.899875684451</f>
        <v>-1541.4836527532896</v>
      </c>
      <c r="P3414">
        <f>-693.043526008502 -80.1383607956332 -397.340115926831</f>
        <v>-1170.5220027309661</v>
      </c>
      <c r="Q3414">
        <f>-443.414697305132 -28.5957530056048 -345.660235766516</f>
        <v>-817.67068607725287</v>
      </c>
      <c r="R3414" t="s">
        <v>71288</v>
      </c>
      <c r="S3414" t="s">
        <v>71289</v>
      </c>
      <c r="T3414" t="s">
        <v>71290</v>
      </c>
      <c r="U3414" t="s">
        <v>71291</v>
      </c>
      <c r="V3414" t="s">
        <v>71292</v>
      </c>
      <c r="W3414" t="s">
        <v>71293</v>
      </c>
      <c r="X3414" t="s">
        <v>71294</v>
      </c>
      <c r="Y3414" t="s">
        <v>71295</v>
      </c>
    </row>
    <row r="3415" spans="1:25" x14ac:dyDescent="0.3">
      <c r="A3415">
        <v>170700</v>
      </c>
      <c r="B3415" t="s">
        <v>71296</v>
      </c>
      <c r="C3415" t="s">
        <v>71297</v>
      </c>
      <c r="D3415" t="s">
        <v>71298</v>
      </c>
      <c r="E3415" t="s">
        <v>71299</v>
      </c>
      <c r="F3415" t="s">
        <v>71300</v>
      </c>
      <c r="G3415" t="s">
        <v>71301</v>
      </c>
      <c r="H3415" t="s">
        <v>71302</v>
      </c>
      <c r="I3415" t="s">
        <v>71303</v>
      </c>
      <c r="J3415" t="s">
        <v>71304</v>
      </c>
      <c r="K3415" t="s">
        <v>71305</v>
      </c>
      <c r="L3415" t="s">
        <v>71306</v>
      </c>
      <c r="M3415" t="s">
        <v>71307</v>
      </c>
      <c r="N3415" t="s">
        <v>71308</v>
      </c>
      <c r="O3415">
        <f>-742.819794456141 -89.5540820689757 -709.884803296552</f>
        <v>-1542.2586798216689</v>
      </c>
      <c r="P3415">
        <f>-693.449478377487 -80.614670629783 -397.364641808481</f>
        <v>-1171.4287908157512</v>
      </c>
      <c r="Q3415">
        <f>-444.08591166375 -27.4981157039285 -345.998231815537</f>
        <v>-817.58225918321546</v>
      </c>
      <c r="R3415" t="s">
        <v>71309</v>
      </c>
      <c r="S3415" t="s">
        <v>71310</v>
      </c>
      <c r="T3415" t="s">
        <v>71311</v>
      </c>
      <c r="U3415" t="s">
        <v>71312</v>
      </c>
      <c r="V3415" t="s">
        <v>71313</v>
      </c>
      <c r="W3415" t="s">
        <v>71314</v>
      </c>
      <c r="X3415" t="s">
        <v>71315</v>
      </c>
      <c r="Y3415" t="s">
        <v>71316</v>
      </c>
    </row>
    <row r="3416" spans="1:25" x14ac:dyDescent="0.3">
      <c r="A3416">
        <v>170750</v>
      </c>
      <c r="B3416" t="s">
        <v>71317</v>
      </c>
      <c r="C3416" t="s">
        <v>71318</v>
      </c>
      <c r="D3416" t="s">
        <v>71319</v>
      </c>
      <c r="E3416" t="s">
        <v>71320</v>
      </c>
      <c r="F3416" t="s">
        <v>71321</v>
      </c>
      <c r="G3416" t="s">
        <v>71322</v>
      </c>
      <c r="H3416" t="s">
        <v>71323</v>
      </c>
      <c r="I3416" t="s">
        <v>71324</v>
      </c>
      <c r="J3416" t="s">
        <v>71325</v>
      </c>
      <c r="K3416" t="s">
        <v>71326</v>
      </c>
      <c r="L3416" t="s">
        <v>71327</v>
      </c>
      <c r="M3416" t="s">
        <v>71328</v>
      </c>
      <c r="N3416" t="s">
        <v>71329</v>
      </c>
      <c r="O3416">
        <f>-744.770741514025 -89.2011085068309 -710.014263486914</f>
        <v>-1543.9861135077699</v>
      </c>
      <c r="P3416">
        <f>-695.719317609241 -83.3952891190345 -397.370051235414</f>
        <v>-1176.4846579636894</v>
      </c>
      <c r="Q3416">
        <f>-447.304838961128 -25.7609119368949 -346.275891072038</f>
        <v>-819.34164197006089</v>
      </c>
      <c r="R3416" t="s">
        <v>71330</v>
      </c>
      <c r="S3416" t="s">
        <v>71331</v>
      </c>
      <c r="T3416" t="s">
        <v>71332</v>
      </c>
      <c r="U3416" t="s">
        <v>71333</v>
      </c>
      <c r="V3416" t="s">
        <v>71334</v>
      </c>
      <c r="W3416" t="s">
        <v>71335</v>
      </c>
      <c r="X3416" t="s">
        <v>71336</v>
      </c>
      <c r="Y3416" t="s">
        <v>71337</v>
      </c>
    </row>
    <row r="3417" spans="1:25" x14ac:dyDescent="0.3">
      <c r="A3417">
        <v>170800</v>
      </c>
      <c r="B3417" t="s">
        <v>71338</v>
      </c>
      <c r="C3417" t="s">
        <v>71339</v>
      </c>
      <c r="D3417" t="s">
        <v>71340</v>
      </c>
      <c r="E3417" t="s">
        <v>71341</v>
      </c>
      <c r="F3417" t="s">
        <v>71342</v>
      </c>
      <c r="G3417" t="s">
        <v>71343</v>
      </c>
      <c r="H3417" t="s">
        <v>71344</v>
      </c>
      <c r="I3417" t="s">
        <v>71345</v>
      </c>
      <c r="J3417" t="s">
        <v>71346</v>
      </c>
      <c r="K3417" t="s">
        <v>71347</v>
      </c>
      <c r="L3417" t="s">
        <v>71348</v>
      </c>
      <c r="M3417" t="s">
        <v>71349</v>
      </c>
      <c r="N3417" t="s">
        <v>71350</v>
      </c>
      <c r="O3417">
        <f>-745.533412922049 -89.1146085508751 -709.935843621202</f>
        <v>-1544.5838650941262</v>
      </c>
      <c r="P3417">
        <f>-696.544113652631 -83.6233547563256 -397.276161007542</f>
        <v>-1177.4436294164987</v>
      </c>
      <c r="Q3417">
        <f>-448.608293279595 -24.7209009414153 -345.310907208098</f>
        <v>-818.64010142910831</v>
      </c>
      <c r="R3417" t="s">
        <v>71351</v>
      </c>
      <c r="S3417" t="s">
        <v>71352</v>
      </c>
      <c r="T3417" t="s">
        <v>71353</v>
      </c>
      <c r="U3417" t="s">
        <v>71354</v>
      </c>
      <c r="V3417" t="s">
        <v>71355</v>
      </c>
      <c r="W3417" t="s">
        <v>71356</v>
      </c>
      <c r="X3417" t="s">
        <v>71357</v>
      </c>
      <c r="Y3417" t="s">
        <v>71358</v>
      </c>
    </row>
    <row r="3418" spans="1:25" x14ac:dyDescent="0.3">
      <c r="A3418">
        <v>170850</v>
      </c>
      <c r="B3418" t="s">
        <v>71359</v>
      </c>
      <c r="C3418" t="s">
        <v>71360</v>
      </c>
      <c r="D3418" t="s">
        <v>71361</v>
      </c>
      <c r="E3418" t="s">
        <v>71362</v>
      </c>
      <c r="F3418" t="s">
        <v>71363</v>
      </c>
      <c r="G3418" t="s">
        <v>71364</v>
      </c>
      <c r="H3418" t="s">
        <v>71365</v>
      </c>
      <c r="I3418" t="s">
        <v>71366</v>
      </c>
      <c r="J3418" t="s">
        <v>71367</v>
      </c>
      <c r="K3418" t="s">
        <v>71368</v>
      </c>
      <c r="L3418" t="s">
        <v>71369</v>
      </c>
      <c r="M3418" t="s">
        <v>71370</v>
      </c>
      <c r="N3418" t="s">
        <v>71371</v>
      </c>
      <c r="O3418">
        <f>-746.285312039177 -90.1984254199019 -709.596108499206</f>
        <v>-1546.079845958285</v>
      </c>
      <c r="P3418">
        <f>-698.316662842052 -84.0039675880466 -396.791471104618</f>
        <v>-1179.1121015347167</v>
      </c>
      <c r="Q3418">
        <f>-450.856997812049 -23.2177097253575 -344.726055041529</f>
        <v>-818.80076257893552</v>
      </c>
      <c r="R3418" t="s">
        <v>71372</v>
      </c>
      <c r="S3418" t="s">
        <v>71373</v>
      </c>
      <c r="T3418" t="s">
        <v>71374</v>
      </c>
      <c r="U3418" t="s">
        <v>71375</v>
      </c>
      <c r="V3418" t="s">
        <v>71376</v>
      </c>
      <c r="W3418" t="s">
        <v>71377</v>
      </c>
      <c r="X3418" t="s">
        <v>71378</v>
      </c>
      <c r="Y3418" t="s">
        <v>71379</v>
      </c>
    </row>
    <row r="3419" spans="1:25" x14ac:dyDescent="0.3">
      <c r="A3419">
        <v>170900</v>
      </c>
      <c r="B3419" t="s">
        <v>71380</v>
      </c>
      <c r="C3419" t="s">
        <v>71381</v>
      </c>
      <c r="D3419" t="s">
        <v>71382</v>
      </c>
      <c r="E3419" t="s">
        <v>71383</v>
      </c>
      <c r="F3419" t="s">
        <v>71384</v>
      </c>
      <c r="G3419" t="s">
        <v>71385</v>
      </c>
      <c r="H3419" t="s">
        <v>71386</v>
      </c>
      <c r="I3419" t="s">
        <v>71387</v>
      </c>
      <c r="J3419" t="s">
        <v>71388</v>
      </c>
      <c r="K3419" t="s">
        <v>71389</v>
      </c>
      <c r="L3419" t="s">
        <v>71390</v>
      </c>
      <c r="M3419" t="s">
        <v>71391</v>
      </c>
      <c r="N3419" t="s">
        <v>71392</v>
      </c>
      <c r="O3419">
        <f>-746.897250267664 -90.6156732416039 -709.436982790971</f>
        <v>-1546.949906300239</v>
      </c>
      <c r="P3419">
        <f>-699.090023531144 -84.3686305042563 -396.608439623625</f>
        <v>-1180.0670936590252</v>
      </c>
      <c r="Q3419">
        <f>-451.708594101383 -23.3212848667597 -344.477020282729</f>
        <v>-819.5068992508717</v>
      </c>
      <c r="R3419" t="s">
        <v>71393</v>
      </c>
      <c r="S3419" t="s">
        <v>71394</v>
      </c>
      <c r="T3419" t="s">
        <v>71395</v>
      </c>
      <c r="U3419" t="s">
        <v>71396</v>
      </c>
      <c r="V3419" t="s">
        <v>71397</v>
      </c>
      <c r="W3419" t="s">
        <v>71398</v>
      </c>
      <c r="X3419" t="s">
        <v>71399</v>
      </c>
      <c r="Y3419" t="s">
        <v>71400</v>
      </c>
    </row>
    <row r="3420" spans="1:25" x14ac:dyDescent="0.3">
      <c r="A3420">
        <v>170950</v>
      </c>
      <c r="B3420" t="s">
        <v>71401</v>
      </c>
      <c r="C3420" t="s">
        <v>71402</v>
      </c>
      <c r="D3420" t="s">
        <v>71403</v>
      </c>
      <c r="E3420" t="s">
        <v>71404</v>
      </c>
      <c r="F3420" t="s">
        <v>71405</v>
      </c>
      <c r="G3420" t="s">
        <v>71406</v>
      </c>
      <c r="H3420" t="s">
        <v>71407</v>
      </c>
      <c r="I3420" t="s">
        <v>71408</v>
      </c>
      <c r="J3420" t="s">
        <v>71409</v>
      </c>
      <c r="K3420" t="s">
        <v>71410</v>
      </c>
      <c r="L3420" t="s">
        <v>71411</v>
      </c>
      <c r="M3420" t="s">
        <v>71412</v>
      </c>
      <c r="N3420" t="s">
        <v>71413</v>
      </c>
      <c r="O3420">
        <f>-748.424196824906 -91.2423255703361 -709.187745774793</f>
        <v>-1548.8542681700351</v>
      </c>
      <c r="P3420">
        <f>-699.820797448337 -85.5926971266692 -396.470672303809</f>
        <v>-1181.8841668788152</v>
      </c>
      <c r="Q3420">
        <f>-452.099586783955 -25.2297482653075 -345.162562021556</f>
        <v>-822.49189707081848</v>
      </c>
      <c r="R3420" t="s">
        <v>71414</v>
      </c>
      <c r="S3420" t="s">
        <v>71415</v>
      </c>
      <c r="T3420" t="s">
        <v>71416</v>
      </c>
      <c r="U3420" t="s">
        <v>71417</v>
      </c>
      <c r="V3420" t="s">
        <v>71418</v>
      </c>
      <c r="W3420" t="s">
        <v>71419</v>
      </c>
      <c r="X3420" t="s">
        <v>71420</v>
      </c>
      <c r="Y3420" t="s">
        <v>71421</v>
      </c>
    </row>
    <row r="3421" spans="1:25" x14ac:dyDescent="0.3">
      <c r="A3421">
        <v>171000</v>
      </c>
      <c r="B3421" t="s">
        <v>71422</v>
      </c>
      <c r="C3421" t="s">
        <v>71423</v>
      </c>
      <c r="D3421" t="s">
        <v>71424</v>
      </c>
      <c r="E3421" t="s">
        <v>71425</v>
      </c>
      <c r="F3421" t="s">
        <v>71426</v>
      </c>
      <c r="G3421" t="s">
        <v>71427</v>
      </c>
      <c r="H3421" t="s">
        <v>71428</v>
      </c>
      <c r="I3421" t="s">
        <v>71429</v>
      </c>
      <c r="J3421" t="s">
        <v>71430</v>
      </c>
      <c r="K3421" t="s">
        <v>71431</v>
      </c>
      <c r="L3421" t="s">
        <v>71432</v>
      </c>
      <c r="M3421" t="s">
        <v>71433</v>
      </c>
      <c r="N3421" t="s">
        <v>71434</v>
      </c>
      <c r="O3421">
        <f>-749.134162291313 -91.3304698643299 -709.035916880546</f>
        <v>-1549.5005490361889</v>
      </c>
      <c r="P3421">
        <f>-699.408828825817 -86.3996552980441 -396.482961966264</f>
        <v>-1182.291446090125</v>
      </c>
      <c r="Q3421">
        <f>-451.395279946653 -27.1947422244193 -345.237436062373</f>
        <v>-823.82745823344521</v>
      </c>
      <c r="R3421" t="s">
        <v>71435</v>
      </c>
      <c r="S3421" t="s">
        <v>71436</v>
      </c>
      <c r="T3421" t="s">
        <v>71437</v>
      </c>
      <c r="U3421" t="s">
        <v>71438</v>
      </c>
      <c r="V3421" t="s">
        <v>71439</v>
      </c>
      <c r="W3421" t="s">
        <v>71440</v>
      </c>
      <c r="X3421" t="s">
        <v>71441</v>
      </c>
      <c r="Y3421" t="s">
        <v>71442</v>
      </c>
    </row>
    <row r="3422" spans="1:25" x14ac:dyDescent="0.3">
      <c r="A3422">
        <v>171050</v>
      </c>
      <c r="B3422" t="s">
        <v>71443</v>
      </c>
      <c r="C3422" t="s">
        <v>71444</v>
      </c>
      <c r="D3422" t="s">
        <v>71445</v>
      </c>
      <c r="E3422" t="s">
        <v>71446</v>
      </c>
      <c r="F3422" t="s">
        <v>71447</v>
      </c>
      <c r="G3422" t="s">
        <v>71448</v>
      </c>
      <c r="H3422" t="s">
        <v>71449</v>
      </c>
      <c r="I3422" t="s">
        <v>71450</v>
      </c>
      <c r="J3422" t="s">
        <v>71451</v>
      </c>
      <c r="K3422" t="s">
        <v>71452</v>
      </c>
      <c r="L3422" t="s">
        <v>71453</v>
      </c>
      <c r="M3422" t="s">
        <v>71454</v>
      </c>
      <c r="N3422" t="s">
        <v>71455</v>
      </c>
      <c r="O3422">
        <f>-750.612208348999 -90.9070100604383 -708.738516166648</f>
        <v>-1550.2577345760853</v>
      </c>
      <c r="P3422">
        <f>-698.708808392044 -86.116018333187 -396.53780540188</f>
        <v>-1181.3626321271111</v>
      </c>
      <c r="Q3422">
        <f>-450.573295086034 -26.1823798992591 -346.750081829771</f>
        <v>-823.50575681506416</v>
      </c>
      <c r="R3422" t="s">
        <v>71456</v>
      </c>
      <c r="S3422" t="s">
        <v>71457</v>
      </c>
      <c r="T3422" t="s">
        <v>71458</v>
      </c>
      <c r="U3422" t="s">
        <v>71459</v>
      </c>
      <c r="V3422" t="s">
        <v>71460</v>
      </c>
      <c r="W3422" t="s">
        <v>71461</v>
      </c>
      <c r="X3422" t="s">
        <v>71462</v>
      </c>
      <c r="Y3422" t="s">
        <v>71463</v>
      </c>
    </row>
    <row r="3423" spans="1:25" x14ac:dyDescent="0.3">
      <c r="A3423">
        <v>171100</v>
      </c>
      <c r="B3423" t="s">
        <v>71464</v>
      </c>
      <c r="C3423" t="s">
        <v>71465</v>
      </c>
      <c r="D3423" t="s">
        <v>71466</v>
      </c>
      <c r="E3423" t="s">
        <v>71467</v>
      </c>
      <c r="F3423" t="s">
        <v>71468</v>
      </c>
      <c r="G3423" t="s">
        <v>71469</v>
      </c>
      <c r="H3423" t="s">
        <v>71470</v>
      </c>
      <c r="I3423" t="s">
        <v>71471</v>
      </c>
      <c r="J3423" t="s">
        <v>71472</v>
      </c>
      <c r="K3423" t="s">
        <v>71473</v>
      </c>
      <c r="L3423" t="s">
        <v>71474</v>
      </c>
      <c r="M3423" t="s">
        <v>71475</v>
      </c>
      <c r="N3423" t="s">
        <v>71476</v>
      </c>
      <c r="O3423">
        <f>-751.116542710698 -90.5192142022286 -708.703847114931</f>
        <v>-1550.3396040278576</v>
      </c>
      <c r="P3423">
        <f>-698.947156569978 -86.2535390391974 -396.539926212904</f>
        <v>-1181.7406218220794</v>
      </c>
      <c r="Q3423">
        <f>-450.513193347179 -26.4947900854545 -348.047128647084</f>
        <v>-825.05511207971745</v>
      </c>
      <c r="R3423" t="s">
        <v>71477</v>
      </c>
      <c r="S3423" t="s">
        <v>71478</v>
      </c>
      <c r="T3423" t="s">
        <v>71479</v>
      </c>
      <c r="U3423" t="s">
        <v>71480</v>
      </c>
      <c r="V3423" t="s">
        <v>71481</v>
      </c>
      <c r="W3423" t="s">
        <v>71482</v>
      </c>
      <c r="X3423" t="s">
        <v>71483</v>
      </c>
      <c r="Y3423" t="s">
        <v>71484</v>
      </c>
    </row>
    <row r="3424" spans="1:25" x14ac:dyDescent="0.3">
      <c r="A3424">
        <v>171150</v>
      </c>
      <c r="B3424" t="s">
        <v>71485</v>
      </c>
      <c r="C3424" t="s">
        <v>71486</v>
      </c>
      <c r="D3424" t="s">
        <v>71487</v>
      </c>
      <c r="E3424" t="s">
        <v>71488</v>
      </c>
      <c r="F3424" t="s">
        <v>71489</v>
      </c>
      <c r="G3424" t="s">
        <v>71490</v>
      </c>
      <c r="H3424" t="s">
        <v>71491</v>
      </c>
      <c r="I3424" t="s">
        <v>71492</v>
      </c>
      <c r="J3424" t="s">
        <v>71493</v>
      </c>
      <c r="K3424" t="s">
        <v>71494</v>
      </c>
      <c r="L3424" t="s">
        <v>71495</v>
      </c>
      <c r="M3424" t="s">
        <v>71496</v>
      </c>
      <c r="N3424" t="s">
        <v>71497</v>
      </c>
      <c r="O3424">
        <f>-752.591331586016 -90.590084079628 -708.574831927576</f>
        <v>-1551.75624759322</v>
      </c>
      <c r="P3424">
        <f>-699.713981378775 -86.4309840838953 -396.528592976151</f>
        <v>-1182.6735584388211</v>
      </c>
      <c r="Q3424">
        <f>-450.053765758973 -29.3164438707506 -351.254459255897</f>
        <v>-830.62466888562062</v>
      </c>
      <c r="R3424" t="s">
        <v>71498</v>
      </c>
      <c r="S3424" t="s">
        <v>71499</v>
      </c>
      <c r="T3424" t="s">
        <v>71500</v>
      </c>
      <c r="U3424" t="s">
        <v>71501</v>
      </c>
      <c r="V3424" t="s">
        <v>71502</v>
      </c>
      <c r="W3424" t="s">
        <v>71503</v>
      </c>
      <c r="X3424" t="s">
        <v>71504</v>
      </c>
      <c r="Y3424" t="s">
        <v>71505</v>
      </c>
    </row>
    <row r="3425" spans="1:25" x14ac:dyDescent="0.3">
      <c r="A3425">
        <v>171200</v>
      </c>
      <c r="B3425" t="s">
        <v>71506</v>
      </c>
      <c r="C3425" t="s">
        <v>71507</v>
      </c>
      <c r="D3425" t="s">
        <v>71508</v>
      </c>
      <c r="E3425" t="s">
        <v>71509</v>
      </c>
      <c r="F3425" t="s">
        <v>71510</v>
      </c>
      <c r="G3425" t="s">
        <v>71511</v>
      </c>
      <c r="H3425" t="s">
        <v>71512</v>
      </c>
      <c r="I3425" t="s">
        <v>71513</v>
      </c>
      <c r="J3425" t="s">
        <v>71514</v>
      </c>
      <c r="K3425" t="s">
        <v>71515</v>
      </c>
      <c r="L3425" t="s">
        <v>71516</v>
      </c>
      <c r="M3425" t="s">
        <v>71517</v>
      </c>
      <c r="N3425" t="s">
        <v>71518</v>
      </c>
      <c r="O3425">
        <f>-753.723434970664 -90.8503801453967 -708.282968355095</f>
        <v>-1552.8567834711557</v>
      </c>
      <c r="P3425">
        <f>-700.408893559716 -87.1650487783675 -396.305196224776</f>
        <v>-1183.8791385628595</v>
      </c>
      <c r="Q3425">
        <f>-449.986497000781 -32.7140118519333 -351.968533920875</f>
        <v>-834.66904277358935</v>
      </c>
      <c r="R3425" t="s">
        <v>71519</v>
      </c>
      <c r="S3425" t="s">
        <v>71520</v>
      </c>
      <c r="T3425" t="s">
        <v>71521</v>
      </c>
      <c r="U3425" t="s">
        <v>71522</v>
      </c>
      <c r="V3425" t="s">
        <v>71523</v>
      </c>
      <c r="W3425" t="s">
        <v>71524</v>
      </c>
      <c r="X3425" t="s">
        <v>71525</v>
      </c>
      <c r="Y3425" t="s">
        <v>71526</v>
      </c>
    </row>
    <row r="3426" spans="1:25" x14ac:dyDescent="0.3">
      <c r="A3426">
        <v>171250</v>
      </c>
      <c r="B3426" t="s">
        <v>71527</v>
      </c>
      <c r="C3426" t="s">
        <v>71528</v>
      </c>
      <c r="D3426" t="s">
        <v>71529</v>
      </c>
      <c r="E3426" t="s">
        <v>71530</v>
      </c>
      <c r="F3426" t="s">
        <v>71531</v>
      </c>
      <c r="G3426" t="s">
        <v>71532</v>
      </c>
      <c r="H3426" t="s">
        <v>71533</v>
      </c>
      <c r="I3426" t="s">
        <v>71534</v>
      </c>
      <c r="J3426" t="s">
        <v>71535</v>
      </c>
      <c r="K3426" t="s">
        <v>71536</v>
      </c>
      <c r="L3426" t="s">
        <v>71537</v>
      </c>
      <c r="M3426" t="s">
        <v>71538</v>
      </c>
      <c r="N3426" t="s">
        <v>71539</v>
      </c>
      <c r="O3426">
        <f>-756.175935922703 -90.7650518232779 -707.4485517239</f>
        <v>-1554.3895394698809</v>
      </c>
      <c r="P3426">
        <f>-703.398542008335 -86.9551363622368 -395.380887737769</f>
        <v>-1185.7345661083407</v>
      </c>
      <c r="Q3426">
        <f>-451.750659166175 -37.0742485039523 -352.633966592459</f>
        <v>-841.45887426258628</v>
      </c>
      <c r="R3426" t="s">
        <v>71540</v>
      </c>
      <c r="S3426" t="s">
        <v>71541</v>
      </c>
      <c r="T3426" t="s">
        <v>71542</v>
      </c>
      <c r="U3426" t="s">
        <v>71543</v>
      </c>
      <c r="V3426" t="s">
        <v>71544</v>
      </c>
      <c r="W3426" t="s">
        <v>71545</v>
      </c>
      <c r="X3426" t="s">
        <v>71546</v>
      </c>
      <c r="Y3426" t="s">
        <v>71547</v>
      </c>
    </row>
    <row r="3427" spans="1:25" x14ac:dyDescent="0.3">
      <c r="A3427">
        <v>171300</v>
      </c>
      <c r="B3427" t="s">
        <v>71548</v>
      </c>
      <c r="C3427" t="s">
        <v>71549</v>
      </c>
      <c r="D3427" t="s">
        <v>71550</v>
      </c>
      <c r="E3427" t="s">
        <v>71551</v>
      </c>
      <c r="F3427" t="s">
        <v>71552</v>
      </c>
      <c r="G3427" t="s">
        <v>71553</v>
      </c>
      <c r="H3427" t="s">
        <v>71554</v>
      </c>
      <c r="I3427" t="s">
        <v>71555</v>
      </c>
      <c r="J3427" t="s">
        <v>71556</v>
      </c>
      <c r="K3427" t="s">
        <v>71557</v>
      </c>
      <c r="L3427" t="s">
        <v>71558</v>
      </c>
      <c r="M3427" t="s">
        <v>71559</v>
      </c>
      <c r="N3427" t="s">
        <v>71560</v>
      </c>
      <c r="O3427">
        <f>-757.03122387852 -90.1352053552021 -707.433797422275</f>
        <v>-1554.6002266559972</v>
      </c>
      <c r="P3427">
        <f>-704.424932344819 -87.6621683244714 -395.323730927122</f>
        <v>-1187.4108315964124</v>
      </c>
      <c r="Q3427">
        <f>-452.458721208822 -38.9624670450323 -353.09376234269</f>
        <v>-844.5149505965444</v>
      </c>
      <c r="R3427" t="s">
        <v>71561</v>
      </c>
      <c r="S3427" t="s">
        <v>71562</v>
      </c>
      <c r="T3427" t="s">
        <v>71563</v>
      </c>
      <c r="U3427" t="s">
        <v>71564</v>
      </c>
      <c r="V3427" t="s">
        <v>71565</v>
      </c>
      <c r="W3427" t="s">
        <v>71566</v>
      </c>
      <c r="X3427" t="s">
        <v>71567</v>
      </c>
      <c r="Y3427" t="s">
        <v>71568</v>
      </c>
    </row>
    <row r="3428" spans="1:25" x14ac:dyDescent="0.3">
      <c r="A3428">
        <v>171350</v>
      </c>
      <c r="B3428" t="s">
        <v>71569</v>
      </c>
      <c r="C3428" t="s">
        <v>71570</v>
      </c>
      <c r="D3428" t="s">
        <v>71571</v>
      </c>
      <c r="E3428" t="s">
        <v>71572</v>
      </c>
      <c r="F3428" t="s">
        <v>71573</v>
      </c>
      <c r="G3428" t="s">
        <v>71574</v>
      </c>
      <c r="H3428" t="s">
        <v>71575</v>
      </c>
      <c r="I3428" t="s">
        <v>71576</v>
      </c>
      <c r="J3428" t="s">
        <v>71577</v>
      </c>
      <c r="K3428" t="s">
        <v>71578</v>
      </c>
      <c r="L3428" t="s">
        <v>71579</v>
      </c>
      <c r="M3428" t="s">
        <v>71580</v>
      </c>
      <c r="N3428" t="s">
        <v>71581</v>
      </c>
      <c r="O3428">
        <f>-759.418841106988 -88.5543432113132 -707.167446049664</f>
        <v>-1555.1406303679651</v>
      </c>
      <c r="P3428">
        <f>-707.318924435393 -85.0347993441596 -394.982516457723</f>
        <v>-1187.3362402372757</v>
      </c>
      <c r="Q3428">
        <f>-454.927393652104 -38.928945609485 -352.381896338913</f>
        <v>-846.23823560050209</v>
      </c>
      <c r="R3428" t="s">
        <v>71582</v>
      </c>
      <c r="S3428" t="s">
        <v>71583</v>
      </c>
      <c r="T3428" t="s">
        <v>71584</v>
      </c>
      <c r="U3428" t="s">
        <v>71585</v>
      </c>
      <c r="V3428" t="s">
        <v>71586</v>
      </c>
      <c r="W3428" t="s">
        <v>71587</v>
      </c>
      <c r="X3428" t="s">
        <v>71588</v>
      </c>
      <c r="Y3428" t="s">
        <v>71589</v>
      </c>
    </row>
    <row r="3429" spans="1:25" x14ac:dyDescent="0.3">
      <c r="A3429">
        <v>171400</v>
      </c>
      <c r="B3429" t="s">
        <v>71590</v>
      </c>
      <c r="C3429" t="s">
        <v>71591</v>
      </c>
      <c r="D3429" t="s">
        <v>71592</v>
      </c>
      <c r="E3429" t="s">
        <v>71593</v>
      </c>
      <c r="F3429" t="s">
        <v>71594</v>
      </c>
      <c r="G3429" t="s">
        <v>71595</v>
      </c>
      <c r="H3429" t="s">
        <v>71596</v>
      </c>
      <c r="I3429" t="s">
        <v>71597</v>
      </c>
      <c r="J3429" t="s">
        <v>71598</v>
      </c>
      <c r="K3429" t="s">
        <v>71599</v>
      </c>
      <c r="L3429" t="s">
        <v>71600</v>
      </c>
      <c r="M3429" t="s">
        <v>71601</v>
      </c>
      <c r="N3429" t="s">
        <v>71602</v>
      </c>
      <c r="O3429">
        <f>-760.501638287284 -88.3028718173441 -706.893097622185</f>
        <v>-1555.6976077268132</v>
      </c>
      <c r="P3429">
        <f>-709.684034552911 -84.9996789024833 -394.494600843135</f>
        <v>-1189.1783142985294</v>
      </c>
      <c r="Q3429">
        <f>-457.095887737304 -39.8181943083825 -352.068765512616</f>
        <v>-848.98284755830241</v>
      </c>
      <c r="R3429" t="s">
        <v>71603</v>
      </c>
      <c r="S3429" t="s">
        <v>71604</v>
      </c>
      <c r="T3429" t="s">
        <v>71605</v>
      </c>
      <c r="U3429" t="s">
        <v>71606</v>
      </c>
      <c r="V3429" t="s">
        <v>71607</v>
      </c>
      <c r="W3429" t="s">
        <v>71608</v>
      </c>
      <c r="X3429" t="s">
        <v>71609</v>
      </c>
      <c r="Y3429" t="s">
        <v>71610</v>
      </c>
    </row>
    <row r="3430" spans="1:25" x14ac:dyDescent="0.3">
      <c r="A3430">
        <v>171450</v>
      </c>
      <c r="B3430" t="s">
        <v>71611</v>
      </c>
      <c r="C3430" t="s">
        <v>71612</v>
      </c>
      <c r="D3430" t="s">
        <v>71613</v>
      </c>
      <c r="E3430" t="s">
        <v>71614</v>
      </c>
      <c r="F3430" t="s">
        <v>71615</v>
      </c>
      <c r="G3430" t="s">
        <v>71616</v>
      </c>
      <c r="H3430" t="s">
        <v>71617</v>
      </c>
      <c r="I3430" t="s">
        <v>71618</v>
      </c>
      <c r="J3430" t="s">
        <v>71619</v>
      </c>
      <c r="K3430" t="s">
        <v>71620</v>
      </c>
      <c r="L3430" t="s">
        <v>71621</v>
      </c>
      <c r="M3430" t="s">
        <v>71622</v>
      </c>
      <c r="N3430" t="s">
        <v>71623</v>
      </c>
      <c r="O3430">
        <f>-762.957798655171 -87.2276460868593 -706.80065519144</f>
        <v>-1556.9860999334703</v>
      </c>
      <c r="P3430">
        <f>-712.992404602388 -87.7182487631478 -394.247631529005</f>
        <v>-1194.9582848945408</v>
      </c>
      <c r="Q3430">
        <f>-459.772078979427 -43.1948501548275 -355.015282836618</f>
        <v>-857.98221197087253</v>
      </c>
      <c r="R3430" t="s">
        <v>71624</v>
      </c>
      <c r="S3430" t="s">
        <v>71625</v>
      </c>
      <c r="T3430" t="s">
        <v>71626</v>
      </c>
      <c r="U3430" t="s">
        <v>71627</v>
      </c>
      <c r="V3430" t="s">
        <v>71628</v>
      </c>
      <c r="W3430" t="s">
        <v>71629</v>
      </c>
      <c r="X3430" t="s">
        <v>71630</v>
      </c>
      <c r="Y3430" t="s">
        <v>71631</v>
      </c>
    </row>
    <row r="3431" spans="1:25" x14ac:dyDescent="0.3">
      <c r="A3431">
        <v>171500</v>
      </c>
      <c r="B3431" t="s">
        <v>71632</v>
      </c>
      <c r="C3431" t="s">
        <v>71633</v>
      </c>
      <c r="D3431" t="s">
        <v>71634</v>
      </c>
      <c r="E3431" t="s">
        <v>71635</v>
      </c>
      <c r="F3431" t="s">
        <v>71636</v>
      </c>
      <c r="G3431" t="s">
        <v>71637</v>
      </c>
      <c r="H3431" t="s">
        <v>71638</v>
      </c>
      <c r="I3431" t="s">
        <v>71639</v>
      </c>
      <c r="J3431" t="s">
        <v>71640</v>
      </c>
      <c r="K3431" t="s">
        <v>71641</v>
      </c>
      <c r="L3431" t="s">
        <v>71642</v>
      </c>
      <c r="M3431" t="s">
        <v>71643</v>
      </c>
      <c r="N3431" t="s">
        <v>71644</v>
      </c>
      <c r="O3431">
        <f>-764.73731107699 -86.4703524027091 -706.682920043875</f>
        <v>-1557.8905835235742</v>
      </c>
      <c r="P3431">
        <f>-712.520627393056 -87.9039576210985 -394.500890820044</f>
        <v>-1194.9254758341986</v>
      </c>
      <c r="Q3431">
        <f>-459.442875526528 -41.2237457540007 -356.889295238424</f>
        <v>-857.5559165189527</v>
      </c>
      <c r="R3431" t="s">
        <v>71645</v>
      </c>
      <c r="S3431" t="s">
        <v>71646</v>
      </c>
      <c r="T3431" t="s">
        <v>71647</v>
      </c>
      <c r="U3431" t="s">
        <v>71648</v>
      </c>
      <c r="V3431" t="s">
        <v>71649</v>
      </c>
      <c r="W3431" t="s">
        <v>71650</v>
      </c>
      <c r="X3431" t="s">
        <v>71651</v>
      </c>
      <c r="Y3431" t="s">
        <v>71652</v>
      </c>
    </row>
    <row r="3432" spans="1:25" x14ac:dyDescent="0.3">
      <c r="A3432">
        <v>171550</v>
      </c>
      <c r="B3432" t="s">
        <v>71653</v>
      </c>
      <c r="C3432" t="s">
        <v>71654</v>
      </c>
      <c r="D3432" t="s">
        <v>71655</v>
      </c>
      <c r="E3432" t="s">
        <v>71656</v>
      </c>
      <c r="F3432" t="s">
        <v>71657</v>
      </c>
      <c r="G3432" t="s">
        <v>71658</v>
      </c>
      <c r="H3432" t="s">
        <v>71659</v>
      </c>
      <c r="I3432" t="s">
        <v>71660</v>
      </c>
      <c r="J3432" t="s">
        <v>71661</v>
      </c>
      <c r="K3432" t="s">
        <v>71662</v>
      </c>
      <c r="L3432" t="s">
        <v>71663</v>
      </c>
      <c r="M3432" t="s">
        <v>71664</v>
      </c>
      <c r="N3432" t="s">
        <v>71665</v>
      </c>
      <c r="O3432">
        <f>-767.918577800977 -86.3318472586607 -705.72952411447</f>
        <v>-1559.9799491741078</v>
      </c>
      <c r="P3432">
        <f>-710.509421423353 -83.9939759423048 -394.466119338557</f>
        <v>-1188.9695167042148</v>
      </c>
      <c r="Q3432">
        <f>-457.385170494067 -39.6685361418961 -354.39804795752</f>
        <v>-851.45175459348309</v>
      </c>
      <c r="R3432" t="s">
        <v>71666</v>
      </c>
      <c r="S3432" t="s">
        <v>71667</v>
      </c>
      <c r="T3432" t="s">
        <v>71668</v>
      </c>
      <c r="U3432" t="s">
        <v>71669</v>
      </c>
      <c r="V3432" t="s">
        <v>71670</v>
      </c>
      <c r="W3432" t="s">
        <v>71671</v>
      </c>
      <c r="X3432" t="s">
        <v>71672</v>
      </c>
      <c r="Y3432" t="s">
        <v>71673</v>
      </c>
    </row>
    <row r="3433" spans="1:25" x14ac:dyDescent="0.3">
      <c r="A3433">
        <v>171600</v>
      </c>
      <c r="B3433" t="s">
        <v>71674</v>
      </c>
      <c r="C3433" t="s">
        <v>71675</v>
      </c>
      <c r="D3433" t="s">
        <v>71676</v>
      </c>
      <c r="E3433" t="s">
        <v>71677</v>
      </c>
      <c r="F3433" t="s">
        <v>71678</v>
      </c>
      <c r="G3433" t="s">
        <v>71679</v>
      </c>
      <c r="H3433" t="s">
        <v>71680</v>
      </c>
      <c r="I3433" t="s">
        <v>71681</v>
      </c>
      <c r="J3433" t="s">
        <v>71682</v>
      </c>
      <c r="K3433" t="s">
        <v>71683</v>
      </c>
      <c r="L3433" t="s">
        <v>71684</v>
      </c>
      <c r="M3433" t="s">
        <v>71685</v>
      </c>
      <c r="N3433" t="s">
        <v>71686</v>
      </c>
      <c r="O3433">
        <f>-768.929015658191 -86.4604551051696 -705.129777065813</f>
        <v>-1560.5192478291735</v>
      </c>
      <c r="P3433">
        <f>-709.546379727469 -83.7477278896204 -394.239915658804</f>
        <v>-1187.5340232758933</v>
      </c>
      <c r="Q3433">
        <f>-456.035779351991 -40.5067215539905 -355.449959178264</f>
        <v>-851.99246008424552</v>
      </c>
      <c r="R3433" t="s">
        <v>71687</v>
      </c>
      <c r="S3433" t="s">
        <v>71688</v>
      </c>
      <c r="T3433" t="s">
        <v>71689</v>
      </c>
      <c r="U3433" t="s">
        <v>71690</v>
      </c>
      <c r="V3433" t="s">
        <v>71691</v>
      </c>
      <c r="W3433" t="s">
        <v>71692</v>
      </c>
      <c r="X3433" t="s">
        <v>71693</v>
      </c>
      <c r="Y3433" t="s">
        <v>71694</v>
      </c>
    </row>
    <row r="3434" spans="1:25" x14ac:dyDescent="0.3">
      <c r="A3434">
        <v>171650</v>
      </c>
      <c r="B3434" t="s">
        <v>71695</v>
      </c>
      <c r="C3434" t="s">
        <v>71696</v>
      </c>
      <c r="D3434" t="s">
        <v>71697</v>
      </c>
      <c r="E3434" t="s">
        <v>71698</v>
      </c>
      <c r="F3434" t="s">
        <v>71699</v>
      </c>
      <c r="G3434" t="s">
        <v>71700</v>
      </c>
      <c r="H3434" t="s">
        <v>71701</v>
      </c>
      <c r="I3434" t="s">
        <v>71702</v>
      </c>
      <c r="J3434" t="s">
        <v>71703</v>
      </c>
      <c r="K3434" t="s">
        <v>71704</v>
      </c>
      <c r="L3434" t="s">
        <v>71705</v>
      </c>
      <c r="M3434" t="s">
        <v>71706</v>
      </c>
      <c r="N3434" t="s">
        <v>71707</v>
      </c>
      <c r="O3434">
        <f>-770.246409166542 -86.0656060954886 -704.162729319078</f>
        <v>-1560.4747445811086</v>
      </c>
      <c r="P3434">
        <f>-706.246858943716 -82.8832520281785 -394.194873835177</f>
        <v>-1183.3249848070716</v>
      </c>
      <c r="Q3434">
        <f>-451.327454778455 -46.2191042266577 -357.946874872233</f>
        <v>-855.49343387734575</v>
      </c>
      <c r="R3434" t="s">
        <v>71708</v>
      </c>
      <c r="S3434" t="s">
        <v>71709</v>
      </c>
      <c r="T3434" t="s">
        <v>71710</v>
      </c>
      <c r="U3434" t="s">
        <v>71711</v>
      </c>
      <c r="V3434" t="s">
        <v>71712</v>
      </c>
      <c r="W3434" t="s">
        <v>71713</v>
      </c>
      <c r="X3434" t="s">
        <v>71714</v>
      </c>
      <c r="Y3434" t="s">
        <v>71715</v>
      </c>
    </row>
    <row r="3435" spans="1:25" x14ac:dyDescent="0.3">
      <c r="A3435">
        <v>171700</v>
      </c>
      <c r="B3435" t="s">
        <v>71716</v>
      </c>
      <c r="C3435" t="s">
        <v>71717</v>
      </c>
      <c r="D3435" t="s">
        <v>71718</v>
      </c>
      <c r="E3435" t="s">
        <v>71719</v>
      </c>
      <c r="F3435" t="s">
        <v>71720</v>
      </c>
      <c r="G3435" t="s">
        <v>71721</v>
      </c>
      <c r="H3435" t="s">
        <v>71722</v>
      </c>
      <c r="I3435" t="s">
        <v>71723</v>
      </c>
      <c r="J3435" t="s">
        <v>71724</v>
      </c>
      <c r="K3435" t="s">
        <v>71725</v>
      </c>
      <c r="L3435" t="s">
        <v>71726</v>
      </c>
      <c r="M3435" t="s">
        <v>71727</v>
      </c>
      <c r="N3435" t="s">
        <v>71728</v>
      </c>
      <c r="O3435">
        <f>-770.829586248507 -86.0899564025033 -703.740269933367</f>
        <v>-1560.6598125843773</v>
      </c>
      <c r="P3435">
        <f>-706.090098252315 -83.0381348699304 -393.924717331787</f>
        <v>-1183.0529504540325</v>
      </c>
      <c r="Q3435">
        <f>-450.819151340593 -48.5893195583349 -357.979716220877</f>
        <v>-857.38818711980491</v>
      </c>
      <c r="R3435" t="s">
        <v>71729</v>
      </c>
      <c r="S3435" t="s">
        <v>71730</v>
      </c>
      <c r="T3435" t="s">
        <v>71731</v>
      </c>
      <c r="U3435" t="s">
        <v>71732</v>
      </c>
      <c r="V3435" t="s">
        <v>71733</v>
      </c>
      <c r="W3435" t="s">
        <v>71734</v>
      </c>
      <c r="X3435" t="s">
        <v>71735</v>
      </c>
      <c r="Y3435" t="s">
        <v>71736</v>
      </c>
    </row>
    <row r="3436" spans="1:25" x14ac:dyDescent="0.3">
      <c r="A3436">
        <v>171750</v>
      </c>
      <c r="B3436" t="s">
        <v>71737</v>
      </c>
      <c r="C3436" t="s">
        <v>71738</v>
      </c>
      <c r="D3436" t="s">
        <v>71739</v>
      </c>
      <c r="E3436" t="s">
        <v>71740</v>
      </c>
      <c r="F3436" t="s">
        <v>71741</v>
      </c>
      <c r="G3436" t="s">
        <v>71742</v>
      </c>
      <c r="H3436" t="s">
        <v>71743</v>
      </c>
      <c r="I3436" t="s">
        <v>71744</v>
      </c>
      <c r="J3436" t="s">
        <v>71745</v>
      </c>
      <c r="K3436" t="s">
        <v>71746</v>
      </c>
      <c r="L3436" t="s">
        <v>71747</v>
      </c>
      <c r="M3436" t="s">
        <v>71748</v>
      </c>
      <c r="N3436" t="s">
        <v>71749</v>
      </c>
      <c r="O3436">
        <f>-771.999841781559 -85.9416797503425 -703.080362878657</f>
        <v>-1561.0218844105584</v>
      </c>
      <c r="P3436">
        <f>-706.755041946839 -83.0343259175559 -393.369476588703</f>
        <v>-1183.1588444530978</v>
      </c>
      <c r="Q3436">
        <f>-451.245193004727 -50.2924989472422 -357.526650860893</f>
        <v>-859.06434281286226</v>
      </c>
      <c r="R3436" t="s">
        <v>71750</v>
      </c>
      <c r="S3436" t="s">
        <v>71751</v>
      </c>
      <c r="T3436" t="s">
        <v>71752</v>
      </c>
      <c r="U3436" t="s">
        <v>71753</v>
      </c>
      <c r="V3436" t="s">
        <v>71754</v>
      </c>
      <c r="W3436" t="s">
        <v>71755</v>
      </c>
      <c r="X3436" t="s">
        <v>71756</v>
      </c>
      <c r="Y3436" t="s">
        <v>71757</v>
      </c>
    </row>
    <row r="3437" spans="1:25" x14ac:dyDescent="0.3">
      <c r="A3437">
        <v>171800</v>
      </c>
      <c r="B3437" t="s">
        <v>71758</v>
      </c>
      <c r="C3437" t="s">
        <v>71759</v>
      </c>
      <c r="D3437" t="s">
        <v>71760</v>
      </c>
      <c r="E3437" t="s">
        <v>71761</v>
      </c>
      <c r="F3437" t="s">
        <v>71762</v>
      </c>
      <c r="G3437" t="s">
        <v>71763</v>
      </c>
      <c r="H3437" t="s">
        <v>71764</v>
      </c>
      <c r="I3437" t="s">
        <v>71765</v>
      </c>
      <c r="J3437" t="s">
        <v>71766</v>
      </c>
      <c r="K3437" t="s">
        <v>71767</v>
      </c>
      <c r="L3437" t="s">
        <v>71768</v>
      </c>
      <c r="M3437" t="s">
        <v>71769</v>
      </c>
      <c r="N3437" t="s">
        <v>71770</v>
      </c>
      <c r="O3437">
        <f>-772.80292072867 -85.8450337565957 -702.759470971635</f>
        <v>-1561.4074254569007</v>
      </c>
      <c r="P3437">
        <f>-706.971366918459 -82.8664452596413 -393.173336307585</f>
        <v>-1183.0111484856852</v>
      </c>
      <c r="Q3437">
        <f>-451.302991696163 -50.3123997995526 -358.302805933563</f>
        <v>-859.91819742927862</v>
      </c>
      <c r="R3437" t="s">
        <v>71771</v>
      </c>
      <c r="S3437" t="s">
        <v>71772</v>
      </c>
      <c r="T3437" t="s">
        <v>71773</v>
      </c>
      <c r="U3437" t="s">
        <v>71774</v>
      </c>
      <c r="V3437" t="s">
        <v>71775</v>
      </c>
      <c r="W3437" t="s">
        <v>71776</v>
      </c>
      <c r="X3437" t="s">
        <v>71777</v>
      </c>
      <c r="Y3437" t="s">
        <v>71778</v>
      </c>
    </row>
    <row r="3438" spans="1:25" x14ac:dyDescent="0.3">
      <c r="A3438">
        <v>171850</v>
      </c>
      <c r="B3438" t="s">
        <v>71779</v>
      </c>
      <c r="C3438" t="s">
        <v>71780</v>
      </c>
      <c r="D3438" t="s">
        <v>71781</v>
      </c>
      <c r="E3438" t="s">
        <v>71782</v>
      </c>
      <c r="F3438" t="s">
        <v>71783</v>
      </c>
      <c r="G3438" t="s">
        <v>71784</v>
      </c>
      <c r="H3438" t="s">
        <v>71785</v>
      </c>
      <c r="I3438" t="s">
        <v>71786</v>
      </c>
      <c r="J3438" t="s">
        <v>71787</v>
      </c>
      <c r="K3438" t="s">
        <v>71788</v>
      </c>
      <c r="L3438" t="s">
        <v>71789</v>
      </c>
      <c r="M3438" t="s">
        <v>71790</v>
      </c>
      <c r="N3438" t="s">
        <v>71791</v>
      </c>
      <c r="O3438">
        <f>-774.324959829543 -85.6081827450898 -702.028343443173</f>
        <v>-1561.9614860178058</v>
      </c>
      <c r="P3438">
        <f>-706.685210174178 -82.5728934136971 -392.832877329465</f>
        <v>-1182.0909809173402</v>
      </c>
      <c r="Q3438">
        <f>-450.736257975712 -50.3351074079906 -359.773200296381</f>
        <v>-860.84456568008363</v>
      </c>
      <c r="R3438" t="s">
        <v>71792</v>
      </c>
      <c r="S3438" t="s">
        <v>71793</v>
      </c>
      <c r="T3438" t="s">
        <v>71794</v>
      </c>
      <c r="U3438" t="s">
        <v>71795</v>
      </c>
      <c r="V3438" t="s">
        <v>71796</v>
      </c>
      <c r="W3438" t="s">
        <v>71797</v>
      </c>
      <c r="X3438" t="s">
        <v>71798</v>
      </c>
      <c r="Y3438" t="s">
        <v>71799</v>
      </c>
    </row>
    <row r="3439" spans="1:25" x14ac:dyDescent="0.3">
      <c r="A3439">
        <v>171900</v>
      </c>
      <c r="B3439" t="s">
        <v>71800</v>
      </c>
      <c r="C3439" t="s">
        <v>71801</v>
      </c>
      <c r="D3439" t="s">
        <v>71802</v>
      </c>
      <c r="E3439" t="s">
        <v>71803</v>
      </c>
      <c r="F3439" t="s">
        <v>71804</v>
      </c>
      <c r="G3439" t="s">
        <v>71805</v>
      </c>
      <c r="H3439" t="s">
        <v>71806</v>
      </c>
      <c r="I3439" t="s">
        <v>71807</v>
      </c>
      <c r="J3439" t="s">
        <v>71808</v>
      </c>
      <c r="K3439" t="s">
        <v>71809</v>
      </c>
      <c r="L3439" t="s">
        <v>71810</v>
      </c>
      <c r="M3439" t="s">
        <v>71811</v>
      </c>
      <c r="N3439" t="s">
        <v>71812</v>
      </c>
      <c r="O3439">
        <f>-775.101634402882 -85.5423998465442 -701.669622393745</f>
        <v>-1562.3136566431713</v>
      </c>
      <c r="P3439">
        <f>-706.320454728425 -82.1160745822349 -392.730072882492</f>
        <v>-1181.1666021931519</v>
      </c>
      <c r="Q3439">
        <f>-450.400624135866 -49.9987507759356 -359.330194970872</f>
        <v>-859.72956988267356</v>
      </c>
      <c r="R3439" t="s">
        <v>71813</v>
      </c>
      <c r="S3439" t="s">
        <v>71814</v>
      </c>
      <c r="T3439" t="s">
        <v>71815</v>
      </c>
      <c r="U3439" t="s">
        <v>71816</v>
      </c>
      <c r="V3439" t="s">
        <v>71817</v>
      </c>
      <c r="W3439" t="s">
        <v>71818</v>
      </c>
      <c r="X3439" t="s">
        <v>71819</v>
      </c>
      <c r="Y3439" t="s">
        <v>71820</v>
      </c>
    </row>
    <row r="3440" spans="1:25" x14ac:dyDescent="0.3">
      <c r="A3440">
        <v>171950</v>
      </c>
      <c r="B3440" t="s">
        <v>71821</v>
      </c>
      <c r="C3440" t="s">
        <v>71822</v>
      </c>
      <c r="D3440" t="s">
        <v>71823</v>
      </c>
      <c r="E3440" t="s">
        <v>71824</v>
      </c>
      <c r="F3440" t="s">
        <v>71825</v>
      </c>
      <c r="G3440" t="s">
        <v>71826</v>
      </c>
      <c r="H3440" t="s">
        <v>71827</v>
      </c>
      <c r="I3440" t="s">
        <v>71828</v>
      </c>
      <c r="J3440" t="s">
        <v>71829</v>
      </c>
      <c r="K3440" t="s">
        <v>71830</v>
      </c>
      <c r="L3440" t="s">
        <v>71831</v>
      </c>
      <c r="M3440" t="s">
        <v>71832</v>
      </c>
      <c r="N3440" t="s">
        <v>71833</v>
      </c>
      <c r="O3440">
        <f>-776.170349782615 -85.8458438447724 -701.019341268292</f>
        <v>-1563.0355348956793</v>
      </c>
      <c r="P3440">
        <f>-706.761744187292 -82.5490953718104 -392.218778578925</f>
        <v>-1181.5296181380274</v>
      </c>
      <c r="Q3440">
        <f>-451.013034868083 -49.0938289378278 -358.821147165302</f>
        <v>-858.92801097121287</v>
      </c>
      <c r="R3440" t="s">
        <v>71834</v>
      </c>
      <c r="S3440" t="s">
        <v>71835</v>
      </c>
      <c r="T3440" t="s">
        <v>71836</v>
      </c>
      <c r="U3440" t="s">
        <v>71837</v>
      </c>
      <c r="V3440" t="s">
        <v>71838</v>
      </c>
      <c r="W3440" t="s">
        <v>71839</v>
      </c>
      <c r="X3440" t="s">
        <v>71840</v>
      </c>
      <c r="Y3440" t="s">
        <v>71841</v>
      </c>
    </row>
    <row r="3441" spans="1:25" x14ac:dyDescent="0.3">
      <c r="A3441">
        <v>172000</v>
      </c>
      <c r="B3441" t="s">
        <v>71842</v>
      </c>
      <c r="C3441" t="s">
        <v>71843</v>
      </c>
      <c r="D3441" t="s">
        <v>71844</v>
      </c>
      <c r="E3441" t="s">
        <v>71845</v>
      </c>
      <c r="F3441" t="s">
        <v>71846</v>
      </c>
      <c r="G3441" t="s">
        <v>71847</v>
      </c>
      <c r="H3441" t="s">
        <v>71848</v>
      </c>
      <c r="I3441" t="s">
        <v>71849</v>
      </c>
      <c r="J3441" t="s">
        <v>71850</v>
      </c>
      <c r="K3441" t="s">
        <v>71851</v>
      </c>
      <c r="L3441" t="s">
        <v>71852</v>
      </c>
      <c r="M3441" t="s">
        <v>71853</v>
      </c>
      <c r="N3441" t="s">
        <v>71854</v>
      </c>
      <c r="O3441">
        <f>-776.474925146628 -85.9002315075224 -700.758487906551</f>
        <v>-1563.1336445607014</v>
      </c>
      <c r="P3441">
        <f>-706.873842596067 -82.4549903695188 -392.002853140607</f>
        <v>-1181.3316861061928</v>
      </c>
      <c r="Q3441">
        <f>-451.171258285794 -48.3304695713296 -358.93077684868</f>
        <v>-858.43250470580369</v>
      </c>
      <c r="R3441" t="s">
        <v>71855</v>
      </c>
      <c r="S3441" t="s">
        <v>71856</v>
      </c>
      <c r="T3441" t="s">
        <v>71857</v>
      </c>
      <c r="U3441" t="s">
        <v>71858</v>
      </c>
      <c r="V3441" t="s">
        <v>71859</v>
      </c>
      <c r="W3441" t="s">
        <v>71860</v>
      </c>
      <c r="X3441" t="s">
        <v>71861</v>
      </c>
      <c r="Y3441" t="s">
        <v>71862</v>
      </c>
    </row>
    <row r="3442" spans="1:25" x14ac:dyDescent="0.3">
      <c r="A3442">
        <v>172050</v>
      </c>
      <c r="B3442" t="s">
        <v>71863</v>
      </c>
      <c r="C3442" t="s">
        <v>71864</v>
      </c>
      <c r="D3442" t="s">
        <v>71865</v>
      </c>
      <c r="E3442" t="s">
        <v>71866</v>
      </c>
      <c r="F3442" t="s">
        <v>71867</v>
      </c>
      <c r="G3442" t="s">
        <v>71868</v>
      </c>
      <c r="H3442" t="s">
        <v>71869</v>
      </c>
      <c r="I3442" t="s">
        <v>71870</v>
      </c>
      <c r="J3442" t="s">
        <v>71871</v>
      </c>
      <c r="K3442" t="s">
        <v>71872</v>
      </c>
      <c r="L3442" t="s">
        <v>71873</v>
      </c>
      <c r="M3442" t="s">
        <v>71874</v>
      </c>
      <c r="N3442" t="s">
        <v>71875</v>
      </c>
      <c r="O3442">
        <f>-777.20286215797 -85.9232348439516 -700.27162308938</f>
        <v>-1563.3977200913016</v>
      </c>
      <c r="P3442">
        <f>-706.881341714676 -82.1014059016829 -391.683777373773</f>
        <v>-1180.6665249901318</v>
      </c>
      <c r="Q3442">
        <f>-450.937284850153 -47.7021268081467 -360.838813888989</f>
        <v>-859.47822554728873</v>
      </c>
      <c r="R3442" t="s">
        <v>71876</v>
      </c>
      <c r="S3442" t="s">
        <v>71877</v>
      </c>
      <c r="T3442" t="s">
        <v>71878</v>
      </c>
      <c r="U3442" t="s">
        <v>71879</v>
      </c>
      <c r="V3442" t="s">
        <v>71880</v>
      </c>
      <c r="W3442" t="s">
        <v>71881</v>
      </c>
      <c r="X3442" t="s">
        <v>71882</v>
      </c>
      <c r="Y3442" t="s">
        <v>71883</v>
      </c>
    </row>
    <row r="3443" spans="1:25" x14ac:dyDescent="0.3">
      <c r="A3443">
        <v>172100</v>
      </c>
      <c r="B3443" t="s">
        <v>71884</v>
      </c>
      <c r="C3443" t="s">
        <v>71885</v>
      </c>
      <c r="D3443" t="s">
        <v>71886</v>
      </c>
      <c r="E3443" t="s">
        <v>71887</v>
      </c>
      <c r="F3443" t="s">
        <v>71888</v>
      </c>
      <c r="G3443" t="s">
        <v>71889</v>
      </c>
      <c r="H3443" t="s">
        <v>71890</v>
      </c>
      <c r="I3443" t="s">
        <v>71891</v>
      </c>
      <c r="J3443" t="s">
        <v>71892</v>
      </c>
      <c r="K3443" t="s">
        <v>71893</v>
      </c>
      <c r="L3443" t="s">
        <v>71894</v>
      </c>
      <c r="M3443" t="s">
        <v>71895</v>
      </c>
      <c r="N3443" t="s">
        <v>71896</v>
      </c>
      <c r="O3443">
        <f>-777.490149324705 -85.9026287363897 -700.002574822655</f>
        <v>-1563.3953528837496</v>
      </c>
      <c r="P3443">
        <f>-706.800566936109 -81.9683244744876 -391.500223497306</f>
        <v>-1180.2691149079028</v>
      </c>
      <c r="Q3443">
        <f>-450.668403740967 -48.1531499469911 -361.585924933543</f>
        <v>-860.40747862150113</v>
      </c>
      <c r="R3443" t="s">
        <v>71897</v>
      </c>
      <c r="S3443" t="s">
        <v>71898</v>
      </c>
      <c r="T3443" t="s">
        <v>71899</v>
      </c>
      <c r="U3443" t="s">
        <v>71900</v>
      </c>
      <c r="V3443" t="s">
        <v>71901</v>
      </c>
      <c r="W3443" t="s">
        <v>71902</v>
      </c>
      <c r="X3443" t="s">
        <v>71903</v>
      </c>
      <c r="Y3443" t="s">
        <v>71904</v>
      </c>
    </row>
    <row r="3444" spans="1:25" x14ac:dyDescent="0.3">
      <c r="A3444">
        <v>172150</v>
      </c>
      <c r="B3444" t="s">
        <v>71905</v>
      </c>
      <c r="C3444" t="s">
        <v>71906</v>
      </c>
      <c r="D3444" t="s">
        <v>71907</v>
      </c>
      <c r="E3444" t="s">
        <v>71908</v>
      </c>
      <c r="F3444" t="s">
        <v>71909</v>
      </c>
      <c r="G3444" t="s">
        <v>71910</v>
      </c>
      <c r="H3444" t="s">
        <v>71911</v>
      </c>
      <c r="I3444" t="s">
        <v>71912</v>
      </c>
      <c r="J3444" t="s">
        <v>71913</v>
      </c>
      <c r="K3444" t="s">
        <v>71914</v>
      </c>
      <c r="L3444" t="s">
        <v>71915</v>
      </c>
      <c r="M3444" t="s">
        <v>71916</v>
      </c>
      <c r="N3444" t="s">
        <v>71917</v>
      </c>
      <c r="O3444">
        <f>-778.384285008462 -85.6293109087756 -699.563687486819</f>
        <v>-1563.5772834040567</v>
      </c>
      <c r="P3444">
        <f>-706.921892840572 -81.7685264156914 -391.238538632637</f>
        <v>-1179.9289578889004</v>
      </c>
      <c r="Q3444">
        <f>-450.563407927782 -49.2140361682289 -361.868537165938</f>
        <v>-861.64598126194892</v>
      </c>
      <c r="R3444" t="s">
        <v>71918</v>
      </c>
      <c r="S3444" t="s">
        <v>71919</v>
      </c>
      <c r="T3444" t="s">
        <v>71920</v>
      </c>
      <c r="U3444" t="s">
        <v>71921</v>
      </c>
      <c r="V3444" t="s">
        <v>71922</v>
      </c>
      <c r="W3444" t="s">
        <v>71923</v>
      </c>
      <c r="X3444" t="s">
        <v>71924</v>
      </c>
      <c r="Y3444" t="s">
        <v>71925</v>
      </c>
    </row>
    <row r="3445" spans="1:25" x14ac:dyDescent="0.3">
      <c r="A3445">
        <v>172200</v>
      </c>
      <c r="B3445" t="s">
        <v>71926</v>
      </c>
      <c r="C3445" t="s">
        <v>71927</v>
      </c>
      <c r="D3445" t="s">
        <v>71928</v>
      </c>
      <c r="E3445" t="s">
        <v>71929</v>
      </c>
      <c r="F3445" t="s">
        <v>71930</v>
      </c>
      <c r="G3445" t="s">
        <v>71931</v>
      </c>
      <c r="H3445" t="s">
        <v>71932</v>
      </c>
      <c r="I3445" t="s">
        <v>71933</v>
      </c>
      <c r="J3445" t="s">
        <v>71934</v>
      </c>
      <c r="K3445" t="s">
        <v>71935</v>
      </c>
      <c r="L3445" t="s">
        <v>71936</v>
      </c>
      <c r="M3445" t="s">
        <v>71937</v>
      </c>
      <c r="N3445" t="s">
        <v>71938</v>
      </c>
      <c r="O3445">
        <f>-778.833448198516 -85.4621512492683 -699.390061130962</f>
        <v>-1563.6856605787461</v>
      </c>
      <c r="P3445">
        <f>-707.107661567855 -81.8384457198063 -391.123187651999</f>
        <v>-1180.0692949396603</v>
      </c>
      <c r="Q3445">
        <f>-450.661470533517 -50.0312311276666 -361.70025422913</f>
        <v>-862.3929558903136</v>
      </c>
      <c r="R3445" t="s">
        <v>71939</v>
      </c>
      <c r="S3445" t="s">
        <v>71940</v>
      </c>
      <c r="T3445" t="s">
        <v>71941</v>
      </c>
      <c r="U3445" t="s">
        <v>71942</v>
      </c>
      <c r="V3445" t="s">
        <v>71943</v>
      </c>
      <c r="W3445" t="s">
        <v>71944</v>
      </c>
      <c r="X3445" t="s">
        <v>71945</v>
      </c>
      <c r="Y3445" t="s">
        <v>71946</v>
      </c>
    </row>
    <row r="3446" spans="1:25" x14ac:dyDescent="0.3">
      <c r="A3446">
        <v>172250</v>
      </c>
      <c r="B3446" t="s">
        <v>71947</v>
      </c>
      <c r="C3446" t="s">
        <v>71948</v>
      </c>
      <c r="D3446" t="s">
        <v>71949</v>
      </c>
      <c r="E3446" t="s">
        <v>71950</v>
      </c>
      <c r="F3446" t="s">
        <v>71951</v>
      </c>
      <c r="G3446" t="s">
        <v>71952</v>
      </c>
      <c r="H3446" t="s">
        <v>71953</v>
      </c>
      <c r="I3446" t="s">
        <v>71954</v>
      </c>
      <c r="J3446" t="s">
        <v>71955</v>
      </c>
      <c r="K3446" t="s">
        <v>71956</v>
      </c>
      <c r="L3446" t="s">
        <v>71957</v>
      </c>
      <c r="M3446" t="s">
        <v>71958</v>
      </c>
      <c r="N3446" t="s">
        <v>71959</v>
      </c>
      <c r="O3446">
        <f>-779.471905080047 -84.968327603325 -699.120783132711</f>
        <v>-1563.561015816083</v>
      </c>
      <c r="P3446">
        <f>-707.286168993469 -81.5276346353601 -390.959104455153</f>
        <v>-1179.7729080839822</v>
      </c>
      <c r="Q3446">
        <f>-450.633392379783 -50.8720874893929 -362.121659993198</f>
        <v>-863.62713986237395</v>
      </c>
      <c r="R3446" t="s">
        <v>71960</v>
      </c>
      <c r="S3446" t="s">
        <v>71961</v>
      </c>
      <c r="T3446" t="s">
        <v>71962</v>
      </c>
      <c r="U3446" t="s">
        <v>71963</v>
      </c>
      <c r="V3446" t="s">
        <v>71964</v>
      </c>
      <c r="W3446" t="s">
        <v>71965</v>
      </c>
      <c r="X3446" t="s">
        <v>71966</v>
      </c>
      <c r="Y3446" t="s">
        <v>71967</v>
      </c>
    </row>
    <row r="3447" spans="1:25" x14ac:dyDescent="0.3">
      <c r="A3447">
        <v>172300</v>
      </c>
      <c r="B3447" t="s">
        <v>71968</v>
      </c>
      <c r="C3447" t="s">
        <v>71969</v>
      </c>
      <c r="D3447" t="s">
        <v>71970</v>
      </c>
      <c r="E3447" t="s">
        <v>71971</v>
      </c>
      <c r="F3447" t="s">
        <v>71972</v>
      </c>
      <c r="G3447" t="s">
        <v>71973</v>
      </c>
      <c r="H3447" t="s">
        <v>71974</v>
      </c>
      <c r="I3447" t="s">
        <v>71975</v>
      </c>
      <c r="J3447" t="s">
        <v>71976</v>
      </c>
      <c r="K3447" t="s">
        <v>71977</v>
      </c>
      <c r="L3447" t="s">
        <v>71978</v>
      </c>
      <c r="M3447" t="s">
        <v>71979</v>
      </c>
      <c r="N3447" t="s">
        <v>71980</v>
      </c>
      <c r="O3447">
        <f>-779.649065116043 -84.9131208885751 -698.96956741123</f>
        <v>-1563.531753415848</v>
      </c>
      <c r="P3447">
        <f>-707.396977543909 -81.7936270147175 -390.820204489749</f>
        <v>-1180.0108090483754</v>
      </c>
      <c r="Q3447">
        <f>-450.681256336658 -51.5150660743343 -362.144366402285</f>
        <v>-864.34068881327732</v>
      </c>
      <c r="R3447" t="s">
        <v>71981</v>
      </c>
      <c r="S3447" t="s">
        <v>71982</v>
      </c>
      <c r="T3447" t="s">
        <v>71983</v>
      </c>
      <c r="U3447" t="s">
        <v>71984</v>
      </c>
      <c r="V3447" t="s">
        <v>71985</v>
      </c>
      <c r="W3447" t="s">
        <v>71986</v>
      </c>
      <c r="X3447" t="s">
        <v>71987</v>
      </c>
      <c r="Y3447" t="s">
        <v>71988</v>
      </c>
    </row>
    <row r="3448" spans="1:25" x14ac:dyDescent="0.3">
      <c r="A3448">
        <v>172350</v>
      </c>
      <c r="B3448" t="s">
        <v>71989</v>
      </c>
      <c r="C3448" t="s">
        <v>71990</v>
      </c>
      <c r="D3448" t="s">
        <v>71991</v>
      </c>
      <c r="E3448" t="s">
        <v>71992</v>
      </c>
      <c r="F3448" t="s">
        <v>71993</v>
      </c>
      <c r="G3448" t="s">
        <v>71994</v>
      </c>
      <c r="H3448" t="s">
        <v>71995</v>
      </c>
      <c r="I3448" t="s">
        <v>71996</v>
      </c>
      <c r="J3448" t="s">
        <v>71997</v>
      </c>
      <c r="K3448" t="s">
        <v>71998</v>
      </c>
      <c r="L3448" t="s">
        <v>71999</v>
      </c>
      <c r="M3448" t="s">
        <v>72000</v>
      </c>
      <c r="N3448" t="s">
        <v>72001</v>
      </c>
      <c r="O3448">
        <f>-779.897545256133 -84.8981890288205 -698.670702622927</f>
        <v>-1563.4664369078805</v>
      </c>
      <c r="P3448">
        <f>-707.13518466711 -80.9174928657253 -390.651340897808</f>
        <v>-1178.7040184306434</v>
      </c>
      <c r="Q3448">
        <f>-450.558575734242 -50.5625497476522 -360.833289414188</f>
        <v>-861.9544148960822</v>
      </c>
      <c r="R3448" t="s">
        <v>72002</v>
      </c>
      <c r="S3448" t="s">
        <v>72003</v>
      </c>
      <c r="T3448" t="s">
        <v>72004</v>
      </c>
      <c r="U3448" t="s">
        <v>72005</v>
      </c>
      <c r="V3448" t="s">
        <v>72006</v>
      </c>
      <c r="W3448" t="s">
        <v>72007</v>
      </c>
      <c r="X3448" t="s">
        <v>72008</v>
      </c>
      <c r="Y3448" t="s">
        <v>72009</v>
      </c>
    </row>
    <row r="3449" spans="1:25" x14ac:dyDescent="0.3">
      <c r="A3449">
        <v>172400</v>
      </c>
      <c r="B3449" t="s">
        <v>72010</v>
      </c>
      <c r="C3449" t="s">
        <v>72011</v>
      </c>
      <c r="D3449" t="s">
        <v>72012</v>
      </c>
      <c r="E3449" t="s">
        <v>72013</v>
      </c>
      <c r="F3449" t="s">
        <v>72014</v>
      </c>
      <c r="G3449" t="s">
        <v>72015</v>
      </c>
      <c r="H3449" t="s">
        <v>72016</v>
      </c>
      <c r="I3449" t="s">
        <v>72017</v>
      </c>
      <c r="J3449" t="s">
        <v>72018</v>
      </c>
      <c r="K3449" t="s">
        <v>72019</v>
      </c>
      <c r="L3449" t="s">
        <v>72020</v>
      </c>
      <c r="M3449" t="s">
        <v>72021</v>
      </c>
      <c r="N3449" t="s">
        <v>72022</v>
      </c>
      <c r="O3449">
        <f>-779.778182135898 -85.1072673424824 -698.500548498183</f>
        <v>-1563.3859979765634</v>
      </c>
      <c r="P3449">
        <f>-707.474979339137 -81.0172114530626 -390.374343787314</f>
        <v>-1178.8665345795137</v>
      </c>
      <c r="Q3449">
        <f>-450.944577086789 -50.4122871414168 -360.41501819756</f>
        <v>-861.77188242576585</v>
      </c>
      <c r="R3449" t="s">
        <v>72023</v>
      </c>
      <c r="S3449" t="s">
        <v>72024</v>
      </c>
      <c r="T3449" t="s">
        <v>72025</v>
      </c>
      <c r="U3449" t="s">
        <v>72026</v>
      </c>
      <c r="V3449" t="s">
        <v>72027</v>
      </c>
      <c r="W3449" t="s">
        <v>72028</v>
      </c>
      <c r="X3449" t="s">
        <v>72029</v>
      </c>
      <c r="Y3449" t="s">
        <v>72030</v>
      </c>
    </row>
    <row r="3450" spans="1:25" x14ac:dyDescent="0.3">
      <c r="A3450">
        <v>172450</v>
      </c>
      <c r="B3450" t="s">
        <v>72031</v>
      </c>
      <c r="C3450" t="s">
        <v>72032</v>
      </c>
      <c r="D3450" t="s">
        <v>72033</v>
      </c>
      <c r="E3450" t="s">
        <v>72034</v>
      </c>
      <c r="F3450" t="s">
        <v>72035</v>
      </c>
      <c r="G3450" t="s">
        <v>72036</v>
      </c>
      <c r="H3450" t="s">
        <v>72037</v>
      </c>
      <c r="I3450" t="s">
        <v>72038</v>
      </c>
      <c r="J3450" t="s">
        <v>72039</v>
      </c>
      <c r="K3450" t="s">
        <v>72040</v>
      </c>
      <c r="L3450" t="s">
        <v>72041</v>
      </c>
      <c r="M3450" t="s">
        <v>72042</v>
      </c>
      <c r="N3450" t="s">
        <v>72043</v>
      </c>
      <c r="O3450">
        <f>-779.773825072027 -85.073054751585 -698.424073094848</f>
        <v>-1563.2709529184599</v>
      </c>
      <c r="P3450">
        <f>-707.716758138297 -80.6884691471346 -390.244286552094</f>
        <v>-1178.6495138375255</v>
      </c>
      <c r="Q3450">
        <f>-451.30465176207 -50.1892270887784 -359.185092645236</f>
        <v>-860.67897149608439</v>
      </c>
      <c r="R3450" t="s">
        <v>72044</v>
      </c>
      <c r="S3450" t="s">
        <v>72045</v>
      </c>
      <c r="T3450" t="s">
        <v>72046</v>
      </c>
      <c r="U3450" t="s">
        <v>72047</v>
      </c>
      <c r="V3450" t="s">
        <v>72048</v>
      </c>
      <c r="W3450" t="s">
        <v>72049</v>
      </c>
      <c r="X3450" t="s">
        <v>72050</v>
      </c>
      <c r="Y3450" t="s">
        <v>72051</v>
      </c>
    </row>
    <row r="3451" spans="1:25" x14ac:dyDescent="0.3">
      <c r="A3451">
        <v>172500</v>
      </c>
      <c r="B3451" t="s">
        <v>72052</v>
      </c>
      <c r="C3451" t="s">
        <v>72053</v>
      </c>
      <c r="D3451" t="s">
        <v>72054</v>
      </c>
      <c r="E3451" t="s">
        <v>72055</v>
      </c>
      <c r="F3451" t="s">
        <v>72056</v>
      </c>
      <c r="G3451" t="s">
        <v>72057</v>
      </c>
      <c r="H3451" t="s">
        <v>72058</v>
      </c>
      <c r="I3451" t="s">
        <v>72059</v>
      </c>
      <c r="J3451" t="s">
        <v>72060</v>
      </c>
      <c r="K3451" t="s">
        <v>72061</v>
      </c>
      <c r="L3451" t="s">
        <v>72062</v>
      </c>
      <c r="M3451" t="s">
        <v>72063</v>
      </c>
      <c r="N3451" t="s">
        <v>72064</v>
      </c>
      <c r="O3451">
        <f>-779.968400661487 -85.6827654876699 -698.147031135118</f>
        <v>-1563.7981972842749</v>
      </c>
      <c r="P3451">
        <f>-708.30753977381 -80.9409301964465 -389.880137866414</f>
        <v>-1179.1286078366707</v>
      </c>
      <c r="Q3451">
        <f>-451.885129936125 -50.770913585359 -358.585521188292</f>
        <v>-861.24156470977596</v>
      </c>
      <c r="R3451" t="s">
        <v>72065</v>
      </c>
      <c r="S3451" t="s">
        <v>72066</v>
      </c>
      <c r="T3451" t="s">
        <v>72067</v>
      </c>
      <c r="U3451" t="s">
        <v>72068</v>
      </c>
      <c r="V3451" t="s">
        <v>72069</v>
      </c>
      <c r="W3451" t="s">
        <v>72070</v>
      </c>
      <c r="X3451" t="s">
        <v>72071</v>
      </c>
      <c r="Y3451" t="s">
        <v>72072</v>
      </c>
    </row>
    <row r="3452" spans="1:25" x14ac:dyDescent="0.3">
      <c r="A3452">
        <v>172550</v>
      </c>
      <c r="B3452" t="s">
        <v>72073</v>
      </c>
      <c r="C3452" t="s">
        <v>72074</v>
      </c>
      <c r="D3452" t="s">
        <v>72075</v>
      </c>
      <c r="E3452" t="s">
        <v>72076</v>
      </c>
      <c r="F3452" t="s">
        <v>72077</v>
      </c>
      <c r="G3452" t="s">
        <v>72078</v>
      </c>
      <c r="H3452" t="s">
        <v>72079</v>
      </c>
      <c r="I3452" t="s">
        <v>72080</v>
      </c>
      <c r="J3452" t="s">
        <v>72081</v>
      </c>
      <c r="K3452" t="s">
        <v>72082</v>
      </c>
      <c r="L3452" t="s">
        <v>72083</v>
      </c>
      <c r="M3452" t="s">
        <v>72084</v>
      </c>
      <c r="N3452" t="s">
        <v>72085</v>
      </c>
      <c r="O3452">
        <f>-779.970625163939 -85.9978896502917 -697.831974914741</f>
        <v>-1563.8004897289716</v>
      </c>
      <c r="P3452">
        <f>-707.926621524013 -81.1364262648265 -389.656287039595</f>
        <v>-1178.7193348284345</v>
      </c>
      <c r="Q3452">
        <f>-451.465210763299 -52.6031452274788 -357.168831415684</f>
        <v>-861.23718740646177</v>
      </c>
      <c r="R3452" t="s">
        <v>72086</v>
      </c>
      <c r="S3452" t="s">
        <v>72087</v>
      </c>
      <c r="T3452" t="s">
        <v>72088</v>
      </c>
      <c r="U3452" t="s">
        <v>72089</v>
      </c>
      <c r="V3452" t="s">
        <v>72090</v>
      </c>
      <c r="W3452" t="s">
        <v>72091</v>
      </c>
      <c r="X3452" t="s">
        <v>72092</v>
      </c>
      <c r="Y3452" t="s">
        <v>72093</v>
      </c>
    </row>
    <row r="3453" spans="1:25" x14ac:dyDescent="0.3">
      <c r="A3453">
        <v>172600</v>
      </c>
      <c r="B3453" t="s">
        <v>72094</v>
      </c>
      <c r="C3453" t="s">
        <v>72095</v>
      </c>
      <c r="D3453" t="s">
        <v>72096</v>
      </c>
      <c r="E3453" t="s">
        <v>72097</v>
      </c>
      <c r="F3453" t="s">
        <v>72098</v>
      </c>
      <c r="G3453" t="s">
        <v>72099</v>
      </c>
      <c r="H3453" t="s">
        <v>72100</v>
      </c>
      <c r="I3453" t="s">
        <v>72101</v>
      </c>
      <c r="J3453" t="s">
        <v>72102</v>
      </c>
      <c r="K3453" t="s">
        <v>72103</v>
      </c>
      <c r="L3453" t="s">
        <v>72104</v>
      </c>
      <c r="M3453" t="s">
        <v>72105</v>
      </c>
      <c r="N3453" t="s">
        <v>72106</v>
      </c>
      <c r="O3453">
        <f>-779.433694089986 -86.4282066440073 -697.694347326391</f>
        <v>-1563.5562480603844</v>
      </c>
      <c r="P3453">
        <f>-707.488406170718 -80.8289984495937 -389.508172920053</f>
        <v>-1177.8255775403647</v>
      </c>
      <c r="Q3453">
        <f>-451.020596989399 -53.6157613664127 -355.955673988872</f>
        <v>-860.59203234468373</v>
      </c>
      <c r="R3453" t="s">
        <v>72107</v>
      </c>
      <c r="S3453" t="s">
        <v>72108</v>
      </c>
      <c r="T3453" t="s">
        <v>72109</v>
      </c>
      <c r="U3453" t="s">
        <v>72110</v>
      </c>
      <c r="V3453" t="s">
        <v>72111</v>
      </c>
      <c r="W3453" t="s">
        <v>72112</v>
      </c>
      <c r="X3453" t="s">
        <v>72113</v>
      </c>
      <c r="Y3453" t="s">
        <v>72114</v>
      </c>
    </row>
    <row r="3454" spans="1:25" x14ac:dyDescent="0.3">
      <c r="A3454">
        <v>172650</v>
      </c>
      <c r="B3454" t="s">
        <v>72115</v>
      </c>
      <c r="C3454" t="s">
        <v>72116</v>
      </c>
      <c r="D3454" t="s">
        <v>72117</v>
      </c>
      <c r="E3454" t="s">
        <v>72118</v>
      </c>
      <c r="F3454" t="s">
        <v>72119</v>
      </c>
      <c r="G3454" t="s">
        <v>72120</v>
      </c>
      <c r="H3454" t="s">
        <v>72121</v>
      </c>
      <c r="I3454" t="s">
        <v>72122</v>
      </c>
      <c r="J3454" t="s">
        <v>72123</v>
      </c>
      <c r="K3454" t="s">
        <v>72124</v>
      </c>
      <c r="L3454" t="s">
        <v>72125</v>
      </c>
      <c r="M3454" t="s">
        <v>72126</v>
      </c>
      <c r="N3454" t="s">
        <v>72127</v>
      </c>
      <c r="O3454">
        <f>-778.577444606636 -87.2827542413718 -697.409926269795</f>
        <v>-1563.2701251178028</v>
      </c>
      <c r="P3454">
        <f>-706.553770246375 -80.1743527148387 -389.273108111429</f>
        <v>-1176.0012310726429</v>
      </c>
      <c r="Q3454">
        <f>-450.165660599793 -54.413072105689 -354.009352210865</f>
        <v>-858.58808491634704</v>
      </c>
      <c r="R3454" t="s">
        <v>72128</v>
      </c>
      <c r="S3454" t="s">
        <v>72129</v>
      </c>
      <c r="T3454" t="s">
        <v>72130</v>
      </c>
      <c r="U3454" t="s">
        <v>72131</v>
      </c>
      <c r="V3454" t="s">
        <v>72132</v>
      </c>
      <c r="W3454" t="s">
        <v>72133</v>
      </c>
      <c r="X3454" t="s">
        <v>72134</v>
      </c>
      <c r="Y3454" t="s">
        <v>72135</v>
      </c>
    </row>
    <row r="3455" spans="1:25" x14ac:dyDescent="0.3">
      <c r="A3455">
        <v>172700</v>
      </c>
      <c r="B3455" t="s">
        <v>72136</v>
      </c>
      <c r="C3455" t="s">
        <v>72137</v>
      </c>
      <c r="D3455" t="s">
        <v>72138</v>
      </c>
      <c r="E3455" t="s">
        <v>72139</v>
      </c>
      <c r="F3455" t="s">
        <v>72140</v>
      </c>
      <c r="G3455" t="s">
        <v>72141</v>
      </c>
      <c r="H3455" t="s">
        <v>72142</v>
      </c>
      <c r="I3455" t="s">
        <v>72143</v>
      </c>
      <c r="J3455" t="s">
        <v>72144</v>
      </c>
      <c r="K3455" t="s">
        <v>72145</v>
      </c>
      <c r="L3455" t="s">
        <v>72146</v>
      </c>
      <c r="M3455" t="s">
        <v>72147</v>
      </c>
      <c r="N3455" t="s">
        <v>72148</v>
      </c>
      <c r="O3455">
        <f>-778.12730702501 -87.3620594374859 -697.580844148221</f>
        <v>-1563.0702106107169</v>
      </c>
      <c r="P3455">
        <f>-706.507793721613 -80.2558863311745 -389.349698359845</f>
        <v>-1176.1133784126323</v>
      </c>
      <c r="Q3455">
        <f>-450.223736182073 -54.43924917817 -353.377450897447</f>
        <v>-858.04043625769009</v>
      </c>
      <c r="R3455" t="s">
        <v>72149</v>
      </c>
      <c r="S3455" t="s">
        <v>72150</v>
      </c>
      <c r="T3455" t="s">
        <v>72151</v>
      </c>
      <c r="U3455" t="s">
        <v>72152</v>
      </c>
      <c r="V3455" t="s">
        <v>72153</v>
      </c>
      <c r="W3455" t="s">
        <v>72154</v>
      </c>
      <c r="X3455" t="s">
        <v>72155</v>
      </c>
      <c r="Y3455" t="s">
        <v>72156</v>
      </c>
    </row>
    <row r="3456" spans="1:25" x14ac:dyDescent="0.3">
      <c r="A3456">
        <v>172750</v>
      </c>
      <c r="B3456" t="s">
        <v>72157</v>
      </c>
      <c r="C3456" t="s">
        <v>72158</v>
      </c>
      <c r="D3456" t="s">
        <v>72159</v>
      </c>
      <c r="E3456" t="s">
        <v>72160</v>
      </c>
      <c r="F3456" t="s">
        <v>72161</v>
      </c>
      <c r="G3456" t="s">
        <v>72162</v>
      </c>
      <c r="H3456" t="s">
        <v>72163</v>
      </c>
      <c r="I3456" t="s">
        <v>72164</v>
      </c>
      <c r="J3456" t="s">
        <v>72165</v>
      </c>
      <c r="K3456" t="s">
        <v>72166</v>
      </c>
      <c r="L3456" t="s">
        <v>72167</v>
      </c>
      <c r="M3456" t="s">
        <v>72168</v>
      </c>
      <c r="N3456" t="s">
        <v>72169</v>
      </c>
      <c r="O3456">
        <f>-777.556801076426 -87.4585884907185 -697.720359349613</f>
        <v>-1562.7357489167575</v>
      </c>
      <c r="P3456">
        <f>-705.146053017773 -80.2749882993326 -389.675998582279</f>
        <v>-1175.0970398993845</v>
      </c>
      <c r="Q3456">
        <f>-449.074606111944 -53.076696113543 -353.21065911817</f>
        <v>-855.36196134365696</v>
      </c>
      <c r="R3456" t="s">
        <v>72170</v>
      </c>
      <c r="S3456" t="s">
        <v>72171</v>
      </c>
      <c r="T3456" t="s">
        <v>72172</v>
      </c>
      <c r="U3456" t="s">
        <v>72173</v>
      </c>
      <c r="V3456" t="s">
        <v>72174</v>
      </c>
      <c r="W3456" t="s">
        <v>72175</v>
      </c>
      <c r="X3456" t="s">
        <v>72176</v>
      </c>
      <c r="Y3456" t="s">
        <v>72177</v>
      </c>
    </row>
    <row r="3457" spans="1:25" x14ac:dyDescent="0.3">
      <c r="A3457">
        <v>172800</v>
      </c>
      <c r="B3457" t="s">
        <v>72178</v>
      </c>
      <c r="C3457" t="s">
        <v>72179</v>
      </c>
      <c r="D3457" t="s">
        <v>72180</v>
      </c>
      <c r="E3457" t="s">
        <v>72181</v>
      </c>
      <c r="F3457" t="s">
        <v>72182</v>
      </c>
      <c r="G3457" t="s">
        <v>72183</v>
      </c>
      <c r="H3457" t="s">
        <v>72184</v>
      </c>
      <c r="I3457" t="s">
        <v>72185</v>
      </c>
      <c r="J3457" t="s">
        <v>72186</v>
      </c>
      <c r="K3457" t="s">
        <v>72187</v>
      </c>
      <c r="L3457" t="s">
        <v>72188</v>
      </c>
      <c r="M3457" t="s">
        <v>72189</v>
      </c>
      <c r="N3457" t="s">
        <v>72190</v>
      </c>
      <c r="O3457">
        <f>-777.64997269319 -87.4411299577371 -697.742210497797</f>
        <v>-1562.8333131487241</v>
      </c>
      <c r="P3457">
        <f>-705.252275495923 -80.3694017579203 -389.692341216879</f>
        <v>-1175.3140184707222</v>
      </c>
      <c r="Q3457">
        <f>-449.224669661385 -52.4854598048512 -353.436842646718</f>
        <v>-855.14697211295424</v>
      </c>
      <c r="R3457" t="s">
        <v>72191</v>
      </c>
      <c r="S3457" t="s">
        <v>72192</v>
      </c>
      <c r="T3457" t="s">
        <v>72193</v>
      </c>
      <c r="U3457" t="s">
        <v>72194</v>
      </c>
      <c r="V3457" t="s">
        <v>72195</v>
      </c>
      <c r="W3457" t="s">
        <v>72196</v>
      </c>
      <c r="X3457" t="s">
        <v>72197</v>
      </c>
      <c r="Y3457" t="s">
        <v>72198</v>
      </c>
    </row>
    <row r="3458" spans="1:25" x14ac:dyDescent="0.3">
      <c r="A3458">
        <v>172850</v>
      </c>
      <c r="B3458" t="s">
        <v>72199</v>
      </c>
      <c r="C3458" t="s">
        <v>72200</v>
      </c>
      <c r="D3458" t="s">
        <v>72201</v>
      </c>
      <c r="E3458" t="s">
        <v>72202</v>
      </c>
      <c r="F3458" t="s">
        <v>72203</v>
      </c>
      <c r="G3458" t="s">
        <v>72204</v>
      </c>
      <c r="H3458" t="s">
        <v>72205</v>
      </c>
      <c r="I3458" t="s">
        <v>72206</v>
      </c>
      <c r="J3458" t="s">
        <v>72207</v>
      </c>
      <c r="K3458" t="s">
        <v>72208</v>
      </c>
      <c r="L3458" t="s">
        <v>72209</v>
      </c>
      <c r="M3458" t="s">
        <v>72210</v>
      </c>
      <c r="N3458" t="s">
        <v>72211</v>
      </c>
      <c r="O3458">
        <f>-777.258506500169 -87.2340589684479 -698.011904457016</f>
        <v>-1562.504469925633</v>
      </c>
      <c r="P3458">
        <f>-704.37611055162 -81.0524921729864 -390.057062955015</f>
        <v>-1175.4856656796214</v>
      </c>
      <c r="Q3458">
        <f>-448.355072348049 -52.1778732785442 -354.53869092998</f>
        <v>-855.07163655657325</v>
      </c>
      <c r="R3458" t="s">
        <v>72212</v>
      </c>
      <c r="S3458" t="s">
        <v>72213</v>
      </c>
      <c r="T3458" t="s">
        <v>72214</v>
      </c>
      <c r="U3458" t="s">
        <v>72215</v>
      </c>
      <c r="V3458" t="s">
        <v>72216</v>
      </c>
      <c r="W3458" t="s">
        <v>72217</v>
      </c>
      <c r="X3458" t="s">
        <v>72218</v>
      </c>
      <c r="Y3458" t="s">
        <v>72219</v>
      </c>
    </row>
    <row r="3459" spans="1:25" x14ac:dyDescent="0.3">
      <c r="A3459">
        <v>172900</v>
      </c>
      <c r="B3459" t="s">
        <v>72220</v>
      </c>
      <c r="C3459" t="s">
        <v>72221</v>
      </c>
      <c r="D3459" t="s">
        <v>72222</v>
      </c>
      <c r="E3459" t="s">
        <v>72223</v>
      </c>
      <c r="F3459" t="s">
        <v>72224</v>
      </c>
      <c r="G3459" t="s">
        <v>72225</v>
      </c>
      <c r="H3459" t="s">
        <v>72226</v>
      </c>
      <c r="I3459" t="s">
        <v>72227</v>
      </c>
      <c r="J3459" t="s">
        <v>72228</v>
      </c>
      <c r="K3459" t="s">
        <v>72229</v>
      </c>
      <c r="L3459" t="s">
        <v>72230</v>
      </c>
      <c r="M3459" t="s">
        <v>72231</v>
      </c>
      <c r="N3459" t="s">
        <v>72232</v>
      </c>
      <c r="O3459">
        <f>-777.221838236055 -87.7723427048679 -697.828991421005</f>
        <v>-1562.8231723619278</v>
      </c>
      <c r="P3459">
        <f>-704.667436533398 -82.1702851568853 -389.785862953335</f>
        <v>-1176.6235846436184</v>
      </c>
      <c r="Q3459">
        <f>-448.54539402957 -52.9634876755251 -355.281748071295</f>
        <v>-856.79062977639001</v>
      </c>
      <c r="R3459" t="s">
        <v>72233</v>
      </c>
      <c r="S3459" t="s">
        <v>72234</v>
      </c>
      <c r="T3459" t="s">
        <v>72235</v>
      </c>
      <c r="U3459" t="s">
        <v>72236</v>
      </c>
      <c r="V3459" t="s">
        <v>72237</v>
      </c>
      <c r="W3459" t="s">
        <v>72238</v>
      </c>
      <c r="X3459" t="s">
        <v>72239</v>
      </c>
      <c r="Y3459" t="s">
        <v>72240</v>
      </c>
    </row>
    <row r="3460" spans="1:25" x14ac:dyDescent="0.3">
      <c r="A3460">
        <v>172950</v>
      </c>
      <c r="B3460" t="s">
        <v>72241</v>
      </c>
      <c r="C3460" t="s">
        <v>72242</v>
      </c>
      <c r="D3460" t="s">
        <v>72243</v>
      </c>
      <c r="E3460" t="s">
        <v>72244</v>
      </c>
      <c r="F3460" t="s">
        <v>72245</v>
      </c>
      <c r="G3460" t="s">
        <v>72246</v>
      </c>
      <c r="H3460" t="s">
        <v>72247</v>
      </c>
      <c r="I3460" t="s">
        <v>72248</v>
      </c>
      <c r="J3460" t="s">
        <v>72249</v>
      </c>
      <c r="K3460" t="s">
        <v>72250</v>
      </c>
      <c r="L3460" t="s">
        <v>72251</v>
      </c>
      <c r="M3460" t="s">
        <v>72252</v>
      </c>
      <c r="N3460" t="s">
        <v>72253</v>
      </c>
      <c r="O3460">
        <f>-776.552317017447 -89.3059012656913 -697.205386802226</f>
        <v>-1563.0636050853643</v>
      </c>
      <c r="P3460">
        <f>-702.658638473242 -83.7705533868298 -389.479402716575</f>
        <v>-1175.9085945766469</v>
      </c>
      <c r="Q3460">
        <f>-446.191004000024 -56.1476510236541 -356.262144759017</f>
        <v>-858.60079978269505</v>
      </c>
      <c r="R3460" t="s">
        <v>72254</v>
      </c>
      <c r="S3460" t="s">
        <v>72255</v>
      </c>
      <c r="T3460" t="s">
        <v>72256</v>
      </c>
      <c r="U3460" t="s">
        <v>72257</v>
      </c>
      <c r="V3460" t="s">
        <v>72258</v>
      </c>
      <c r="W3460" t="s">
        <v>72259</v>
      </c>
      <c r="X3460" t="s">
        <v>72260</v>
      </c>
      <c r="Y3460" t="s">
        <v>72261</v>
      </c>
    </row>
    <row r="3461" spans="1:25" x14ac:dyDescent="0.3">
      <c r="A3461">
        <v>173000</v>
      </c>
      <c r="B3461" t="s">
        <v>72262</v>
      </c>
      <c r="C3461" t="s">
        <v>72263</v>
      </c>
      <c r="D3461" t="s">
        <v>72264</v>
      </c>
      <c r="E3461" t="s">
        <v>72265</v>
      </c>
      <c r="F3461" t="s">
        <v>72266</v>
      </c>
      <c r="G3461" t="s">
        <v>72267</v>
      </c>
      <c r="H3461" t="s">
        <v>72268</v>
      </c>
      <c r="I3461" t="s">
        <v>72269</v>
      </c>
      <c r="J3461" t="s">
        <v>72270</v>
      </c>
      <c r="K3461" t="s">
        <v>72271</v>
      </c>
      <c r="L3461" t="s">
        <v>72272</v>
      </c>
      <c r="M3461" t="s">
        <v>72273</v>
      </c>
      <c r="N3461" t="s">
        <v>72274</v>
      </c>
      <c r="O3461">
        <f>-776.262724994139 -89.9834132819014 -696.844274397914</f>
        <v>-1563.0904126739545</v>
      </c>
      <c r="P3461">
        <f>-701.576228450991 -84.2905339878348 -389.312706512493</f>
        <v>-1175.1794689513188</v>
      </c>
      <c r="Q3461">
        <f>-444.946341529347 -57.8031025366849 -356.425402626588</f>
        <v>-859.17484669261989</v>
      </c>
      <c r="R3461" t="s">
        <v>72275</v>
      </c>
      <c r="S3461" t="s">
        <v>72276</v>
      </c>
      <c r="T3461" t="s">
        <v>72277</v>
      </c>
      <c r="U3461" t="s">
        <v>72278</v>
      </c>
      <c r="V3461" t="s">
        <v>72279</v>
      </c>
      <c r="W3461" t="s">
        <v>72280</v>
      </c>
      <c r="X3461" t="s">
        <v>72281</v>
      </c>
      <c r="Y3461" t="s">
        <v>72282</v>
      </c>
    </row>
    <row r="3462" spans="1:25" x14ac:dyDescent="0.3">
      <c r="A3462">
        <v>173050</v>
      </c>
      <c r="B3462" t="s">
        <v>72283</v>
      </c>
      <c r="C3462" t="s">
        <v>72284</v>
      </c>
      <c r="D3462" t="s">
        <v>72285</v>
      </c>
      <c r="E3462" t="s">
        <v>72286</v>
      </c>
      <c r="F3462" t="s">
        <v>72287</v>
      </c>
      <c r="G3462" t="s">
        <v>72288</v>
      </c>
      <c r="H3462" t="s">
        <v>72289</v>
      </c>
      <c r="I3462" t="s">
        <v>72290</v>
      </c>
      <c r="J3462" t="s">
        <v>72291</v>
      </c>
      <c r="K3462" t="s">
        <v>72292</v>
      </c>
      <c r="L3462" t="s">
        <v>72293</v>
      </c>
      <c r="M3462" t="s">
        <v>72294</v>
      </c>
      <c r="N3462" t="s">
        <v>72295</v>
      </c>
      <c r="O3462">
        <f>-775.288031697061 -90.307600768343 -696.66454321306</f>
        <v>-1562.2601756784641</v>
      </c>
      <c r="P3462">
        <f>-699.802154049663 -85.1438129806413 -389.31880065407</f>
        <v>-1174.2647676843744</v>
      </c>
      <c r="Q3462">
        <f>-443.006237646538 -59.9250710775568 -356.731450802944</f>
        <v>-859.66275952703882</v>
      </c>
      <c r="R3462" t="s">
        <v>72296</v>
      </c>
      <c r="S3462" t="s">
        <v>72297</v>
      </c>
      <c r="T3462" t="s">
        <v>72298</v>
      </c>
      <c r="U3462" t="s">
        <v>72299</v>
      </c>
      <c r="V3462" t="s">
        <v>72300</v>
      </c>
      <c r="W3462" t="s">
        <v>72301</v>
      </c>
      <c r="X3462" t="s">
        <v>72302</v>
      </c>
      <c r="Y3462" t="s">
        <v>72303</v>
      </c>
    </row>
    <row r="3463" spans="1:25" x14ac:dyDescent="0.3">
      <c r="A3463">
        <v>173100</v>
      </c>
      <c r="B3463" t="s">
        <v>72304</v>
      </c>
      <c r="C3463" t="s">
        <v>72305</v>
      </c>
      <c r="D3463" t="s">
        <v>72306</v>
      </c>
      <c r="E3463" t="s">
        <v>72307</v>
      </c>
      <c r="F3463" t="s">
        <v>72308</v>
      </c>
      <c r="G3463" t="s">
        <v>72309</v>
      </c>
      <c r="H3463" t="s">
        <v>72310</v>
      </c>
      <c r="I3463" t="s">
        <v>72311</v>
      </c>
      <c r="J3463" t="s">
        <v>72312</v>
      </c>
      <c r="K3463" t="s">
        <v>72313</v>
      </c>
      <c r="L3463" t="s">
        <v>72314</v>
      </c>
      <c r="M3463" t="s">
        <v>72315</v>
      </c>
      <c r="N3463" t="s">
        <v>72316</v>
      </c>
      <c r="O3463">
        <f>-774.933526198975 -90.0806520328267 -696.750525738692</f>
        <v>-1561.7647039704937</v>
      </c>
      <c r="P3463">
        <f>-699.59944592296 -85.1767555219064 -389.363322281095</f>
        <v>-1174.1395237259615</v>
      </c>
      <c r="Q3463">
        <f>-442.800639126632 -60.1617958690508 -356.641586624698</f>
        <v>-859.60402162038076</v>
      </c>
      <c r="R3463" t="s">
        <v>72317</v>
      </c>
      <c r="S3463" t="s">
        <v>72318</v>
      </c>
      <c r="T3463" t="s">
        <v>72319</v>
      </c>
      <c r="U3463" t="s">
        <v>72320</v>
      </c>
      <c r="V3463" t="s">
        <v>72321</v>
      </c>
      <c r="W3463" t="s">
        <v>72322</v>
      </c>
      <c r="X3463" t="s">
        <v>72323</v>
      </c>
      <c r="Y3463" t="s">
        <v>72324</v>
      </c>
    </row>
    <row r="3464" spans="1:25" x14ac:dyDescent="0.3">
      <c r="A3464">
        <v>173150</v>
      </c>
      <c r="B3464" t="s">
        <v>72325</v>
      </c>
      <c r="C3464" t="s">
        <v>72326</v>
      </c>
      <c r="D3464" t="s">
        <v>72327</v>
      </c>
      <c r="E3464" t="s">
        <v>72328</v>
      </c>
      <c r="F3464" t="s">
        <v>72329</v>
      </c>
      <c r="G3464" t="s">
        <v>72330</v>
      </c>
      <c r="H3464" t="s">
        <v>72331</v>
      </c>
      <c r="I3464" t="s">
        <v>72332</v>
      </c>
      <c r="J3464" t="s">
        <v>72333</v>
      </c>
      <c r="K3464" t="s">
        <v>72334</v>
      </c>
      <c r="L3464" t="s">
        <v>72335</v>
      </c>
      <c r="M3464" t="s">
        <v>72336</v>
      </c>
      <c r="N3464" t="s">
        <v>72337</v>
      </c>
      <c r="O3464">
        <f>-774.88804658013 -89.1432297479248 -697.233178801376</f>
        <v>-1561.2644551294306</v>
      </c>
      <c r="P3464">
        <f>-700.714495923839 -84.9593586189233 -389.553136147978</f>
        <v>-1175.2269906907402</v>
      </c>
      <c r="Q3464">
        <f>-443.96751637738 -61.7749686150132 -355.122260064555</f>
        <v>-860.86474505694821</v>
      </c>
      <c r="R3464" t="s">
        <v>72338</v>
      </c>
      <c r="S3464" t="s">
        <v>72339</v>
      </c>
      <c r="T3464" t="s">
        <v>72340</v>
      </c>
      <c r="U3464" t="s">
        <v>72341</v>
      </c>
      <c r="V3464" t="s">
        <v>72342</v>
      </c>
      <c r="W3464" t="s">
        <v>72343</v>
      </c>
      <c r="X3464" t="s">
        <v>72344</v>
      </c>
      <c r="Y3464" t="s">
        <v>72345</v>
      </c>
    </row>
    <row r="3465" spans="1:25" x14ac:dyDescent="0.3">
      <c r="A3465">
        <v>173200</v>
      </c>
      <c r="B3465" t="s">
        <v>72346</v>
      </c>
      <c r="C3465" t="s">
        <v>72347</v>
      </c>
      <c r="D3465" t="s">
        <v>72348</v>
      </c>
      <c r="E3465" t="s">
        <v>72349</v>
      </c>
      <c r="F3465" t="s">
        <v>72350</v>
      </c>
      <c r="G3465" t="s">
        <v>72351</v>
      </c>
      <c r="H3465" t="s">
        <v>72352</v>
      </c>
      <c r="I3465" t="s">
        <v>72353</v>
      </c>
      <c r="J3465" t="s">
        <v>72354</v>
      </c>
      <c r="K3465" t="s">
        <v>72355</v>
      </c>
      <c r="L3465" t="s">
        <v>72356</v>
      </c>
      <c r="M3465" t="s">
        <v>72357</v>
      </c>
      <c r="N3465" t="s">
        <v>72358</v>
      </c>
      <c r="O3465">
        <f>-774.945020548873 -88.3410171737426 -697.558301745464</f>
        <v>-1560.8443394680794</v>
      </c>
      <c r="P3465">
        <f>-701.198411343457 -84.5020303257286 -389.77122721951</f>
        <v>-1175.4716688886956</v>
      </c>
      <c r="Q3465">
        <f>-444.441519022936 -62.8377126578262 -354.435369878358</f>
        <v>-861.71460155912018</v>
      </c>
      <c r="R3465" t="s">
        <v>72359</v>
      </c>
      <c r="S3465" t="s">
        <v>72360</v>
      </c>
      <c r="T3465" t="s">
        <v>72361</v>
      </c>
      <c r="U3465" t="s">
        <v>72362</v>
      </c>
      <c r="V3465" t="s">
        <v>72363</v>
      </c>
      <c r="W3465" t="s">
        <v>72364</v>
      </c>
      <c r="X3465" t="s">
        <v>72365</v>
      </c>
      <c r="Y3465" t="s">
        <v>72366</v>
      </c>
    </row>
    <row r="3466" spans="1:25" x14ac:dyDescent="0.3">
      <c r="A3466">
        <v>173250</v>
      </c>
      <c r="B3466" t="s">
        <v>72367</v>
      </c>
      <c r="C3466" t="s">
        <v>72368</v>
      </c>
      <c r="D3466" t="s">
        <v>72369</v>
      </c>
      <c r="E3466" t="s">
        <v>72370</v>
      </c>
      <c r="F3466" t="s">
        <v>72371</v>
      </c>
      <c r="G3466" t="s">
        <v>72372</v>
      </c>
      <c r="H3466" t="s">
        <v>72373</v>
      </c>
      <c r="I3466" t="s">
        <v>72374</v>
      </c>
      <c r="J3466" t="s">
        <v>72375</v>
      </c>
      <c r="K3466" t="s">
        <v>72376</v>
      </c>
      <c r="L3466" t="s">
        <v>72377</v>
      </c>
      <c r="M3466" t="s">
        <v>72378</v>
      </c>
      <c r="N3466" t="s">
        <v>72379</v>
      </c>
      <c r="O3466">
        <f>-775.178320696832 -86.8551050513222 -698.184134282589</f>
        <v>-1560.2175600307432</v>
      </c>
      <c r="P3466">
        <f>-702.06584550873 -84.1796072918582 -390.233480634805</f>
        <v>-1176.4789334353932</v>
      </c>
      <c r="Q3466">
        <f>-445.394337863468 -65.6200625313013 -352.586106886798</f>
        <v>-863.60050728156739</v>
      </c>
      <c r="R3466" t="s">
        <v>72380</v>
      </c>
      <c r="S3466" t="s">
        <v>72381</v>
      </c>
      <c r="T3466" t="s">
        <v>72382</v>
      </c>
      <c r="U3466" t="s">
        <v>72383</v>
      </c>
      <c r="V3466" t="s">
        <v>72384</v>
      </c>
      <c r="W3466" t="s">
        <v>72385</v>
      </c>
      <c r="X3466" t="s">
        <v>72386</v>
      </c>
      <c r="Y3466" t="s">
        <v>72387</v>
      </c>
    </row>
    <row r="3467" spans="1:25" x14ac:dyDescent="0.3">
      <c r="A3467">
        <v>173300</v>
      </c>
      <c r="B3467" t="s">
        <v>72388</v>
      </c>
      <c r="C3467" t="s">
        <v>72389</v>
      </c>
      <c r="D3467" t="s">
        <v>72390</v>
      </c>
      <c r="E3467" t="s">
        <v>72391</v>
      </c>
      <c r="F3467" t="s">
        <v>72392</v>
      </c>
      <c r="G3467" t="s">
        <v>72393</v>
      </c>
      <c r="H3467" t="s">
        <v>72394</v>
      </c>
      <c r="I3467" t="s">
        <v>72395</v>
      </c>
      <c r="J3467" t="s">
        <v>72396</v>
      </c>
      <c r="K3467" t="s">
        <v>72397</v>
      </c>
      <c r="L3467" t="s">
        <v>72398</v>
      </c>
      <c r="M3467" t="s">
        <v>72399</v>
      </c>
      <c r="N3467" t="s">
        <v>72400</v>
      </c>
      <c r="O3467">
        <f>-774.920550459042 -86.678413934402 -698.544449324969</f>
        <v>-1560.1434137184131</v>
      </c>
      <c r="P3467">
        <f>-702.76731833517 -84.5042709325544 -390.363666802386</f>
        <v>-1177.6352560701102</v>
      </c>
      <c r="Q3467">
        <f>-446.219926386678 -66.5265427928887 -351.604720069148</f>
        <v>-864.35118924871472</v>
      </c>
      <c r="R3467" t="s">
        <v>72401</v>
      </c>
      <c r="S3467" t="s">
        <v>72402</v>
      </c>
      <c r="T3467" t="s">
        <v>72403</v>
      </c>
      <c r="U3467" t="s">
        <v>72404</v>
      </c>
      <c r="V3467" t="s">
        <v>72405</v>
      </c>
      <c r="W3467" t="s">
        <v>72406</v>
      </c>
      <c r="X3467" t="s">
        <v>72407</v>
      </c>
      <c r="Y3467" t="s">
        <v>72408</v>
      </c>
    </row>
    <row r="3468" spans="1:25" x14ac:dyDescent="0.3">
      <c r="A3468">
        <v>173350</v>
      </c>
      <c r="B3468" t="s">
        <v>72409</v>
      </c>
      <c r="C3468" t="s">
        <v>72410</v>
      </c>
      <c r="D3468" t="s">
        <v>72411</v>
      </c>
      <c r="E3468" t="s">
        <v>72412</v>
      </c>
      <c r="F3468" t="s">
        <v>72413</v>
      </c>
      <c r="G3468" t="s">
        <v>72414</v>
      </c>
      <c r="H3468" t="s">
        <v>72415</v>
      </c>
      <c r="I3468" t="s">
        <v>72416</v>
      </c>
      <c r="J3468" t="s">
        <v>72417</v>
      </c>
      <c r="K3468" t="s">
        <v>72418</v>
      </c>
      <c r="L3468" t="s">
        <v>72419</v>
      </c>
      <c r="M3468" t="s">
        <v>72420</v>
      </c>
      <c r="N3468" t="s">
        <v>72421</v>
      </c>
      <c r="O3468">
        <f>-774.806977677548 -85.8809733946732 -699.608624234137</f>
        <v>-1560.2965753063581</v>
      </c>
      <c r="P3468">
        <f>-704.649761058211 -84.0072988841343 -390.965401508405</f>
        <v>-1179.6224614507503</v>
      </c>
      <c r="Q3468">
        <f>-448.484530517271 -65.5456005427689 -349.970344672838</f>
        <v>-864.00047573287793</v>
      </c>
      <c r="R3468" t="s">
        <v>72422</v>
      </c>
      <c r="S3468" t="s">
        <v>72423</v>
      </c>
      <c r="T3468" t="s">
        <v>72424</v>
      </c>
      <c r="U3468" t="s">
        <v>72425</v>
      </c>
      <c r="V3468" t="s">
        <v>72426</v>
      </c>
      <c r="W3468" t="s">
        <v>72427</v>
      </c>
      <c r="X3468" t="s">
        <v>72428</v>
      </c>
      <c r="Y3468" t="s">
        <v>72429</v>
      </c>
    </row>
    <row r="3469" spans="1:25" x14ac:dyDescent="0.3">
      <c r="A3469">
        <v>173400</v>
      </c>
      <c r="B3469" t="s">
        <v>72430</v>
      </c>
      <c r="C3469" t="s">
        <v>72431</v>
      </c>
      <c r="D3469" t="s">
        <v>72432</v>
      </c>
      <c r="E3469" t="s">
        <v>72433</v>
      </c>
      <c r="F3469" t="s">
        <v>72434</v>
      </c>
      <c r="G3469" t="s">
        <v>72435</v>
      </c>
      <c r="H3469" t="s">
        <v>72436</v>
      </c>
      <c r="I3469" t="s">
        <v>72437</v>
      </c>
      <c r="J3469" t="s">
        <v>72438</v>
      </c>
      <c r="K3469" t="s">
        <v>72439</v>
      </c>
      <c r="L3469" t="s">
        <v>72440</v>
      </c>
      <c r="M3469" t="s">
        <v>72441</v>
      </c>
      <c r="N3469" t="s">
        <v>72442</v>
      </c>
      <c r="O3469">
        <f>-774.876338422039 -85.8683616081887 -700.101097810722</f>
        <v>-1560.8457978409497</v>
      </c>
      <c r="P3469">
        <f>-705.640040360485 -83.8626692681171 -391.2507786247</f>
        <v>-1180.7534882533021</v>
      </c>
      <c r="Q3469">
        <f>-449.690686356955 -64.6716044183754 -349.254934883167</f>
        <v>-863.61722565849732</v>
      </c>
      <c r="R3469" t="s">
        <v>72443</v>
      </c>
      <c r="S3469" t="s">
        <v>72444</v>
      </c>
      <c r="T3469" t="s">
        <v>72445</v>
      </c>
      <c r="U3469" t="s">
        <v>72446</v>
      </c>
      <c r="V3469" t="s">
        <v>72447</v>
      </c>
      <c r="W3469" t="s">
        <v>72448</v>
      </c>
      <c r="X3469" t="s">
        <v>72449</v>
      </c>
      <c r="Y3469" t="s">
        <v>72450</v>
      </c>
    </row>
    <row r="3470" spans="1:25" x14ac:dyDescent="0.3">
      <c r="A3470">
        <v>173450</v>
      </c>
      <c r="B3470" t="s">
        <v>72451</v>
      </c>
      <c r="C3470" t="s">
        <v>72452</v>
      </c>
      <c r="D3470" t="s">
        <v>72453</v>
      </c>
      <c r="E3470" t="s">
        <v>72454</v>
      </c>
      <c r="F3470" t="s">
        <v>72455</v>
      </c>
      <c r="G3470" t="s">
        <v>72456</v>
      </c>
      <c r="H3470" t="s">
        <v>72457</v>
      </c>
      <c r="I3470" t="s">
        <v>72458</v>
      </c>
      <c r="J3470" t="s">
        <v>72459</v>
      </c>
      <c r="K3470" t="s">
        <v>72460</v>
      </c>
      <c r="L3470" t="s">
        <v>72461</v>
      </c>
      <c r="M3470" t="s">
        <v>72462</v>
      </c>
      <c r="N3470" t="s">
        <v>72463</v>
      </c>
      <c r="O3470">
        <f>-774.855506982632 -86.16076596932 -700.959974444917</f>
        <v>-1561.976247396869</v>
      </c>
      <c r="P3470">
        <f>-707.097650327958 -83.770085769967 -391.784666052826</f>
        <v>-1182.652402150751</v>
      </c>
      <c r="Q3470">
        <f>-451.657522621612 -62.4278470743479 -347.773954640435</f>
        <v>-861.85932433639493</v>
      </c>
      <c r="R3470" t="s">
        <v>72464</v>
      </c>
      <c r="S3470" t="s">
        <v>72465</v>
      </c>
      <c r="T3470" t="s">
        <v>72466</v>
      </c>
      <c r="U3470" t="s">
        <v>72467</v>
      </c>
      <c r="V3470" t="s">
        <v>72468</v>
      </c>
      <c r="W3470" t="s">
        <v>72469</v>
      </c>
      <c r="X3470" t="s">
        <v>72470</v>
      </c>
      <c r="Y3470" t="s">
        <v>72471</v>
      </c>
    </row>
    <row r="3471" spans="1:25" x14ac:dyDescent="0.3">
      <c r="A3471">
        <v>173500</v>
      </c>
      <c r="B3471" t="s">
        <v>72472</v>
      </c>
      <c r="C3471" t="s">
        <v>72473</v>
      </c>
      <c r="D3471" t="s">
        <v>72474</v>
      </c>
      <c r="E3471" t="s">
        <v>72475</v>
      </c>
      <c r="F3471" t="s">
        <v>72476</v>
      </c>
      <c r="G3471" t="s">
        <v>72477</v>
      </c>
      <c r="H3471" t="s">
        <v>72478</v>
      </c>
      <c r="I3471" t="s">
        <v>72479</v>
      </c>
      <c r="J3471" t="s">
        <v>72480</v>
      </c>
      <c r="K3471" t="s">
        <v>72481</v>
      </c>
      <c r="L3471" t="s">
        <v>72482</v>
      </c>
      <c r="M3471" t="s">
        <v>72483</v>
      </c>
      <c r="N3471" t="s">
        <v>72484</v>
      </c>
      <c r="O3471">
        <f>-774.506016844733 -86.146311360463 -701.405182849286</f>
        <v>-1562.0575110544819</v>
      </c>
      <c r="P3471">
        <f>-707.766867139993 -83.7474754349003 -392.008517686732</f>
        <v>-1183.5228602616253</v>
      </c>
      <c r="Q3471">
        <f>-452.607584180883 -61.9132532776059 -346.631574284326</f>
        <v>-861.15241174281493</v>
      </c>
      <c r="R3471" t="s">
        <v>72485</v>
      </c>
      <c r="S3471" t="s">
        <v>72486</v>
      </c>
      <c r="T3471" t="s">
        <v>72487</v>
      </c>
      <c r="U3471" t="s">
        <v>72488</v>
      </c>
      <c r="V3471" t="s">
        <v>72489</v>
      </c>
      <c r="W3471" t="s">
        <v>72490</v>
      </c>
      <c r="X3471" t="s">
        <v>72491</v>
      </c>
      <c r="Y3471" t="s">
        <v>72492</v>
      </c>
    </row>
    <row r="3472" spans="1:25" x14ac:dyDescent="0.3">
      <c r="A3472">
        <v>173550</v>
      </c>
      <c r="B3472" t="s">
        <v>72493</v>
      </c>
      <c r="C3472" t="s">
        <v>72494</v>
      </c>
      <c r="D3472" t="s">
        <v>72495</v>
      </c>
      <c r="E3472" t="s">
        <v>72496</v>
      </c>
      <c r="F3472" t="s">
        <v>72497</v>
      </c>
      <c r="G3472" t="s">
        <v>72498</v>
      </c>
      <c r="H3472" t="s">
        <v>72499</v>
      </c>
      <c r="I3472" t="s">
        <v>72500</v>
      </c>
      <c r="J3472" t="s">
        <v>72501</v>
      </c>
      <c r="K3472" t="s">
        <v>72502</v>
      </c>
      <c r="L3472" t="s">
        <v>72503</v>
      </c>
      <c r="M3472" t="s">
        <v>72504</v>
      </c>
      <c r="N3472" t="s">
        <v>72505</v>
      </c>
      <c r="O3472">
        <f>-772.702937999345 -86.299193097733 -702.645824338605</f>
        <v>-1561.6479554356829</v>
      </c>
      <c r="P3472">
        <f>-708.175143130056 -83.2814336599315 -392.785755319379</f>
        <v>-1184.2423321093665</v>
      </c>
      <c r="Q3472">
        <f>-453.651856313226 -59.5509434512433 -344.860478601612</f>
        <v>-858.06327836608125</v>
      </c>
      <c r="R3472" t="s">
        <v>72506</v>
      </c>
      <c r="S3472" t="s">
        <v>72507</v>
      </c>
      <c r="T3472" t="s">
        <v>72508</v>
      </c>
      <c r="U3472" t="s">
        <v>72509</v>
      </c>
      <c r="V3472" t="s">
        <v>72510</v>
      </c>
      <c r="W3472" t="s">
        <v>72511</v>
      </c>
      <c r="X3472" t="s">
        <v>72512</v>
      </c>
      <c r="Y3472" t="s">
        <v>72513</v>
      </c>
    </row>
    <row r="3473" spans="1:25" x14ac:dyDescent="0.3">
      <c r="A3473">
        <v>173600</v>
      </c>
      <c r="B3473" t="s">
        <v>72514</v>
      </c>
      <c r="C3473" t="s">
        <v>72515</v>
      </c>
      <c r="D3473" t="s">
        <v>72516</v>
      </c>
      <c r="E3473" t="s">
        <v>72517</v>
      </c>
      <c r="F3473" t="s">
        <v>72518</v>
      </c>
      <c r="G3473" t="s">
        <v>72519</v>
      </c>
      <c r="H3473" t="s">
        <v>72520</v>
      </c>
      <c r="I3473" t="s">
        <v>72521</v>
      </c>
      <c r="J3473" t="s">
        <v>72522</v>
      </c>
      <c r="K3473" t="s">
        <v>72523</v>
      </c>
      <c r="L3473" t="s">
        <v>72524</v>
      </c>
      <c r="M3473" t="s">
        <v>72525</v>
      </c>
      <c r="N3473" t="s">
        <v>72526</v>
      </c>
      <c r="O3473">
        <f>-772.311933076274 -86.3776981052149 -703.313683362851</f>
        <v>-1562.0033145443399</v>
      </c>
      <c r="P3473">
        <f>-708.976623627021 -83.434160756402 -393.206946755069</f>
        <v>-1185.617731138492</v>
      </c>
      <c r="Q3473">
        <f>-454.733364124299 -58.9956632981509 -344.164613820907</f>
        <v>-857.89364124335691</v>
      </c>
      <c r="R3473" t="s">
        <v>72527</v>
      </c>
      <c r="S3473" t="s">
        <v>72528</v>
      </c>
      <c r="T3473" t="s">
        <v>72529</v>
      </c>
      <c r="U3473" t="s">
        <v>72530</v>
      </c>
      <c r="V3473" t="s">
        <v>72531</v>
      </c>
      <c r="W3473" t="s">
        <v>72532</v>
      </c>
      <c r="X3473" t="s">
        <v>72533</v>
      </c>
      <c r="Y3473" t="s">
        <v>72534</v>
      </c>
    </row>
    <row r="3474" spans="1:25" x14ac:dyDescent="0.3">
      <c r="A3474">
        <v>173650</v>
      </c>
      <c r="B3474" t="s">
        <v>72535</v>
      </c>
      <c r="C3474" t="s">
        <v>72536</v>
      </c>
      <c r="D3474" t="s">
        <v>72537</v>
      </c>
      <c r="E3474" t="s">
        <v>72538</v>
      </c>
      <c r="F3474" t="s">
        <v>72539</v>
      </c>
      <c r="G3474" t="s">
        <v>72540</v>
      </c>
      <c r="H3474" t="s">
        <v>72541</v>
      </c>
      <c r="I3474" t="s">
        <v>72542</v>
      </c>
      <c r="J3474" t="s">
        <v>72543</v>
      </c>
      <c r="K3474" t="s">
        <v>72544</v>
      </c>
      <c r="L3474" t="s">
        <v>72545</v>
      </c>
      <c r="M3474" t="s">
        <v>72546</v>
      </c>
      <c r="N3474" t="s">
        <v>72547</v>
      </c>
      <c r="O3474">
        <f>-770.950909759856 -87.0283555839283 -704.267946837655</f>
        <v>-1562.2472121814394</v>
      </c>
      <c r="P3474">
        <f>-709.521186454191 -84.1977322418659 -393.77712918134</f>
        <v>-1187.4960478773969</v>
      </c>
      <c r="Q3474">
        <f>-455.598402226874 -58.1365997137887 -343.91673907939</f>
        <v>-857.65174102005267</v>
      </c>
      <c r="R3474" t="s">
        <v>72548</v>
      </c>
      <c r="S3474" t="s">
        <v>72549</v>
      </c>
      <c r="T3474" t="s">
        <v>72550</v>
      </c>
      <c r="U3474" t="s">
        <v>72551</v>
      </c>
      <c r="V3474" t="s">
        <v>72552</v>
      </c>
      <c r="W3474" t="s">
        <v>72553</v>
      </c>
      <c r="X3474" t="s">
        <v>72554</v>
      </c>
      <c r="Y3474" t="s">
        <v>72555</v>
      </c>
    </row>
    <row r="3475" spans="1:25" x14ac:dyDescent="0.3">
      <c r="A3475">
        <v>173700</v>
      </c>
      <c r="B3475" t="s">
        <v>72556</v>
      </c>
      <c r="C3475" t="s">
        <v>72557</v>
      </c>
      <c r="D3475" t="s">
        <v>72558</v>
      </c>
      <c r="E3475" t="s">
        <v>72559</v>
      </c>
      <c r="F3475" t="s">
        <v>72560</v>
      </c>
      <c r="G3475" t="s">
        <v>72561</v>
      </c>
      <c r="H3475" t="s">
        <v>72562</v>
      </c>
      <c r="I3475" t="s">
        <v>72563</v>
      </c>
      <c r="J3475" t="s">
        <v>72564</v>
      </c>
      <c r="K3475" t="s">
        <v>72565</v>
      </c>
      <c r="L3475" t="s">
        <v>72566</v>
      </c>
      <c r="M3475" t="s">
        <v>72567</v>
      </c>
      <c r="N3475" t="s">
        <v>72568</v>
      </c>
      <c r="O3475">
        <f>-770.61506095319 -87.6396378652323 -704.474788890564</f>
        <v>-1562.7294877089862</v>
      </c>
      <c r="P3475">
        <f>-710.373266723814 -84.5252487583416 -393.75402172309</f>
        <v>-1188.6525372052456</v>
      </c>
      <c r="Q3475">
        <f>-456.478022089316 -57.1886501990698 -344.438799844103</f>
        <v>-858.10547213248879</v>
      </c>
      <c r="R3475" t="s">
        <v>72569</v>
      </c>
      <c r="S3475" t="s">
        <v>72570</v>
      </c>
      <c r="T3475" t="s">
        <v>72571</v>
      </c>
      <c r="U3475" t="s">
        <v>72572</v>
      </c>
      <c r="V3475" t="s">
        <v>72573</v>
      </c>
      <c r="W3475" t="s">
        <v>72574</v>
      </c>
      <c r="X3475" t="s">
        <v>72575</v>
      </c>
      <c r="Y3475" t="s">
        <v>72576</v>
      </c>
    </row>
    <row r="3476" spans="1:25" x14ac:dyDescent="0.3">
      <c r="A3476">
        <v>173750</v>
      </c>
      <c r="B3476" t="s">
        <v>72577</v>
      </c>
      <c r="C3476" t="s">
        <v>72578</v>
      </c>
      <c r="D3476" t="s">
        <v>72579</v>
      </c>
      <c r="E3476" t="s">
        <v>72580</v>
      </c>
      <c r="F3476" t="s">
        <v>72581</v>
      </c>
      <c r="G3476" t="s">
        <v>72582</v>
      </c>
      <c r="H3476" t="s">
        <v>72583</v>
      </c>
      <c r="I3476" t="s">
        <v>72584</v>
      </c>
      <c r="J3476" t="s">
        <v>72585</v>
      </c>
      <c r="K3476" t="s">
        <v>72586</v>
      </c>
      <c r="L3476" t="s">
        <v>72587</v>
      </c>
      <c r="M3476" t="s">
        <v>72588</v>
      </c>
      <c r="N3476" t="s">
        <v>72589</v>
      </c>
      <c r="O3476">
        <f>-770.265717056967 -88.8238018448731 -704.548990559276</f>
        <v>-1563.638509461116</v>
      </c>
      <c r="P3476">
        <f>-711.843706221849 -86.3535888975073 -393.475101911065</f>
        <v>-1191.6723970304213</v>
      </c>
      <c r="Q3476">
        <f>-458.111544838479 -56.794647490166 -344.604789470365</f>
        <v>-859.5109817990101</v>
      </c>
      <c r="R3476" t="s">
        <v>72590</v>
      </c>
      <c r="S3476" t="s">
        <v>72591</v>
      </c>
      <c r="T3476" t="s">
        <v>72592</v>
      </c>
      <c r="U3476" t="s">
        <v>72593</v>
      </c>
      <c r="V3476" t="s">
        <v>72594</v>
      </c>
      <c r="W3476" t="s">
        <v>72595</v>
      </c>
      <c r="X3476" t="s">
        <v>72596</v>
      </c>
      <c r="Y3476" t="s">
        <v>72597</v>
      </c>
    </row>
    <row r="3477" spans="1:25" x14ac:dyDescent="0.3">
      <c r="A3477">
        <v>173800</v>
      </c>
      <c r="B3477" t="s">
        <v>72598</v>
      </c>
      <c r="C3477" t="s">
        <v>72599</v>
      </c>
      <c r="D3477" t="s">
        <v>72600</v>
      </c>
      <c r="E3477" t="s">
        <v>72601</v>
      </c>
      <c r="F3477" t="s">
        <v>72602</v>
      </c>
      <c r="G3477" t="s">
        <v>72603</v>
      </c>
      <c r="H3477" t="s">
        <v>72604</v>
      </c>
      <c r="I3477" t="s">
        <v>72605</v>
      </c>
      <c r="J3477" t="s">
        <v>72606</v>
      </c>
      <c r="K3477" t="s">
        <v>72607</v>
      </c>
      <c r="L3477" t="s">
        <v>72608</v>
      </c>
      <c r="M3477" t="s">
        <v>72609</v>
      </c>
      <c r="N3477" t="s">
        <v>72610</v>
      </c>
      <c r="O3477">
        <f>-770.142534585066 -89.3556529243824 -704.602257049565</f>
        <v>-1564.1004445590133</v>
      </c>
      <c r="P3477">
        <f>-712.585949488527 -85.9103442683304 -393.376292576963</f>
        <v>-1191.8725863338204</v>
      </c>
      <c r="Q3477">
        <f>-458.948668654298 -55.4691235215823 -344.555114993015</f>
        <v>-858.97290716889529</v>
      </c>
      <c r="R3477" t="s">
        <v>72611</v>
      </c>
      <c r="S3477" t="s">
        <v>72612</v>
      </c>
      <c r="T3477" t="s">
        <v>72613</v>
      </c>
      <c r="U3477" t="s">
        <v>72614</v>
      </c>
      <c r="V3477" t="s">
        <v>72615</v>
      </c>
      <c r="W3477" t="s">
        <v>72616</v>
      </c>
      <c r="X3477" t="s">
        <v>72617</v>
      </c>
      <c r="Y3477" t="s">
        <v>72618</v>
      </c>
    </row>
    <row r="3478" spans="1:25" x14ac:dyDescent="0.3">
      <c r="A3478">
        <v>173850</v>
      </c>
      <c r="B3478" t="s">
        <v>72619</v>
      </c>
      <c r="C3478" t="s">
        <v>72620</v>
      </c>
      <c r="D3478" t="s">
        <v>72621</v>
      </c>
      <c r="E3478" t="s">
        <v>72622</v>
      </c>
      <c r="F3478" t="s">
        <v>72623</v>
      </c>
      <c r="G3478" t="s">
        <v>72624</v>
      </c>
      <c r="H3478" t="s">
        <v>72625</v>
      </c>
      <c r="I3478" t="s">
        <v>72626</v>
      </c>
      <c r="J3478" t="s">
        <v>72627</v>
      </c>
      <c r="K3478" t="s">
        <v>72628</v>
      </c>
      <c r="L3478" t="s">
        <v>72629</v>
      </c>
      <c r="M3478" t="s">
        <v>72630</v>
      </c>
      <c r="N3478" t="s">
        <v>72631</v>
      </c>
      <c r="O3478">
        <f>-769.775181289043 -90.5651510669761 -704.577258447478</f>
        <v>-1564.9175908034972</v>
      </c>
      <c r="P3478">
        <f>-714.186187311888 -83.7742994347793 -393.048863977776</f>
        <v>-1191.0093507244433</v>
      </c>
      <c r="Q3478">
        <f>-461.122167409048 -55.4824862550272 -340.131757891529</f>
        <v>-856.73641155560415</v>
      </c>
      <c r="R3478" t="s">
        <v>72632</v>
      </c>
      <c r="S3478" t="s">
        <v>72633</v>
      </c>
      <c r="T3478" t="s">
        <v>72634</v>
      </c>
      <c r="U3478" t="s">
        <v>72635</v>
      </c>
      <c r="V3478" t="s">
        <v>72636</v>
      </c>
      <c r="W3478" t="s">
        <v>72637</v>
      </c>
      <c r="X3478" t="s">
        <v>72638</v>
      </c>
      <c r="Y3478" t="s">
        <v>72639</v>
      </c>
    </row>
    <row r="3479" spans="1:25" x14ac:dyDescent="0.3">
      <c r="A3479">
        <v>173900</v>
      </c>
      <c r="B3479" t="s">
        <v>72640</v>
      </c>
      <c r="C3479" t="s">
        <v>72641</v>
      </c>
      <c r="D3479" t="s">
        <v>72642</v>
      </c>
      <c r="E3479" t="s">
        <v>72643</v>
      </c>
      <c r="F3479" t="s">
        <v>72644</v>
      </c>
      <c r="G3479" t="s">
        <v>72645</v>
      </c>
      <c r="H3479" t="s">
        <v>72646</v>
      </c>
      <c r="I3479" t="s">
        <v>72647</v>
      </c>
      <c r="J3479" t="s">
        <v>72648</v>
      </c>
      <c r="K3479" t="s">
        <v>72649</v>
      </c>
      <c r="L3479" t="s">
        <v>72650</v>
      </c>
      <c r="M3479" t="s">
        <v>72651</v>
      </c>
      <c r="N3479" t="s">
        <v>72652</v>
      </c>
      <c r="O3479">
        <f>-769.421234200628 -91.037414016997 -704.439177277852</f>
        <v>-1564.8978254954768</v>
      </c>
      <c r="P3479">
        <f>-715.277091621954 -82.2196194121955 -392.707201907183</f>
        <v>-1190.2039129413324</v>
      </c>
      <c r="Q3479">
        <f>-462.147079095431 -56.2308768809671 -338.931249256277</f>
        <v>-857.30920523267514</v>
      </c>
      <c r="R3479" t="s">
        <v>72653</v>
      </c>
      <c r="S3479" t="s">
        <v>72654</v>
      </c>
      <c r="T3479" t="s">
        <v>72655</v>
      </c>
      <c r="U3479" t="s">
        <v>72656</v>
      </c>
      <c r="V3479" t="s">
        <v>72657</v>
      </c>
      <c r="W3479" t="s">
        <v>72658</v>
      </c>
      <c r="X3479" t="s">
        <v>72659</v>
      </c>
      <c r="Y3479" t="s">
        <v>72660</v>
      </c>
    </row>
    <row r="3480" spans="1:25" x14ac:dyDescent="0.3">
      <c r="A3480">
        <v>173950</v>
      </c>
      <c r="B3480" t="s">
        <v>72661</v>
      </c>
      <c r="C3480" t="s">
        <v>72662</v>
      </c>
      <c r="D3480" t="s">
        <v>72663</v>
      </c>
      <c r="E3480" t="s">
        <v>72664</v>
      </c>
      <c r="F3480" t="s">
        <v>72665</v>
      </c>
      <c r="G3480" t="s">
        <v>72666</v>
      </c>
      <c r="H3480" t="s">
        <v>72667</v>
      </c>
      <c r="I3480" t="s">
        <v>72668</v>
      </c>
      <c r="J3480" t="s">
        <v>72669</v>
      </c>
      <c r="K3480" t="s">
        <v>72670</v>
      </c>
      <c r="L3480" t="s">
        <v>72671</v>
      </c>
      <c r="M3480" t="s">
        <v>72672</v>
      </c>
      <c r="N3480" t="s">
        <v>72673</v>
      </c>
      <c r="O3480">
        <f>-770.224357809364 -91.6180703907523 -704.047745292981</f>
        <v>-1565.8901734930973</v>
      </c>
      <c r="P3480">
        <f>-718.473552913397 -80.9497510105352 -391.967220382367</f>
        <v>-1191.3905243062993</v>
      </c>
      <c r="Q3480">
        <f>-463.907691199941 -58.6760875992002 -343.571558062367</f>
        <v>-866.1553368615082</v>
      </c>
      <c r="R3480" t="s">
        <v>72674</v>
      </c>
      <c r="S3480" t="s">
        <v>72675</v>
      </c>
      <c r="T3480" t="s">
        <v>72676</v>
      </c>
      <c r="U3480" t="s">
        <v>72677</v>
      </c>
      <c r="V3480" t="s">
        <v>72678</v>
      </c>
      <c r="W3480" t="s">
        <v>72679</v>
      </c>
      <c r="X3480" t="s">
        <v>72680</v>
      </c>
      <c r="Y3480" t="s">
        <v>72681</v>
      </c>
    </row>
    <row r="3481" spans="1:25" x14ac:dyDescent="0.3">
      <c r="A3481">
        <v>174000</v>
      </c>
      <c r="B3481" t="s">
        <v>72682</v>
      </c>
      <c r="C3481" t="s">
        <v>72683</v>
      </c>
      <c r="D3481" t="s">
        <v>72684</v>
      </c>
      <c r="E3481" t="s">
        <v>72685</v>
      </c>
      <c r="F3481" t="s">
        <v>72686</v>
      </c>
      <c r="G3481" t="s">
        <v>72687</v>
      </c>
      <c r="H3481" t="s">
        <v>72688</v>
      </c>
      <c r="I3481" t="s">
        <v>72689</v>
      </c>
      <c r="J3481" t="s">
        <v>72690</v>
      </c>
      <c r="K3481" t="s">
        <v>72691</v>
      </c>
      <c r="L3481" t="s">
        <v>72692</v>
      </c>
      <c r="M3481" t="s">
        <v>72693</v>
      </c>
      <c r="N3481" t="s">
        <v>72694</v>
      </c>
      <c r="O3481">
        <f>-771.173338263045 -91.6926000963435 -703.860161861709</f>
        <v>-1566.7261002210976</v>
      </c>
      <c r="P3481">
        <f>-721.396224537283 -80.3946646210827 -391.480946202626</f>
        <v>-1193.2718353609916</v>
      </c>
      <c r="Q3481">
        <f>-465.673362243514 -61.6771334619848 -347.919792254399</f>
        <v>-875.27028795989781</v>
      </c>
      <c r="R3481" t="s">
        <v>72695</v>
      </c>
      <c r="S3481" t="s">
        <v>72696</v>
      </c>
      <c r="T3481" t="s">
        <v>72697</v>
      </c>
      <c r="U3481" t="s">
        <v>72698</v>
      </c>
      <c r="V3481" t="s">
        <v>72699</v>
      </c>
      <c r="W3481" t="s">
        <v>72700</v>
      </c>
      <c r="X3481" t="s">
        <v>72701</v>
      </c>
      <c r="Y3481" t="s">
        <v>72702</v>
      </c>
    </row>
    <row r="3482" spans="1:25" x14ac:dyDescent="0.3">
      <c r="A3482">
        <v>174050</v>
      </c>
      <c r="B3482" t="s">
        <v>72703</v>
      </c>
      <c r="C3482" t="s">
        <v>72704</v>
      </c>
      <c r="D3482" t="s">
        <v>72705</v>
      </c>
      <c r="E3482" t="s">
        <v>72706</v>
      </c>
      <c r="F3482" t="s">
        <v>72707</v>
      </c>
      <c r="G3482" t="s">
        <v>72708</v>
      </c>
      <c r="H3482" t="s">
        <v>72709</v>
      </c>
      <c r="I3482" t="s">
        <v>72710</v>
      </c>
      <c r="J3482" t="s">
        <v>72711</v>
      </c>
      <c r="K3482" t="s">
        <v>72712</v>
      </c>
      <c r="L3482" t="s">
        <v>72713</v>
      </c>
      <c r="M3482" t="s">
        <v>72714</v>
      </c>
      <c r="N3482" t="s">
        <v>72715</v>
      </c>
      <c r="O3482">
        <f>-772.75806557075 -91.9183495725529 -703.632499236928</f>
        <v>-1568.3089143802308</v>
      </c>
      <c r="P3482">
        <f>-726.611014093234 -83.2739846022621 -390.611789667946</f>
        <v>-1200.4967883634422</v>
      </c>
      <c r="Q3482">
        <f>-469.657130099202 -65.8726041033367 -354.363677491951</f>
        <v>-889.89341169448971</v>
      </c>
      <c r="R3482" t="s">
        <v>72716</v>
      </c>
      <c r="S3482" t="s">
        <v>72717</v>
      </c>
      <c r="T3482" t="s">
        <v>72718</v>
      </c>
      <c r="U3482" t="s">
        <v>72719</v>
      </c>
      <c r="V3482" t="s">
        <v>72720</v>
      </c>
      <c r="W3482" t="s">
        <v>72721</v>
      </c>
      <c r="X3482" t="s">
        <v>72722</v>
      </c>
      <c r="Y3482" t="s">
        <v>72723</v>
      </c>
    </row>
    <row r="3483" spans="1:25" x14ac:dyDescent="0.3">
      <c r="A3483">
        <v>174100</v>
      </c>
      <c r="B3483" t="s">
        <v>72724</v>
      </c>
      <c r="C3483" t="s">
        <v>72725</v>
      </c>
      <c r="D3483" t="s">
        <v>72726</v>
      </c>
      <c r="E3483" t="s">
        <v>72727</v>
      </c>
      <c r="F3483" t="s">
        <v>72728</v>
      </c>
      <c r="G3483" t="s">
        <v>72729</v>
      </c>
      <c r="H3483" t="s">
        <v>72730</v>
      </c>
      <c r="I3483" t="s">
        <v>72731</v>
      </c>
      <c r="J3483" t="s">
        <v>72732</v>
      </c>
      <c r="K3483" t="s">
        <v>72733</v>
      </c>
      <c r="L3483" t="s">
        <v>72734</v>
      </c>
      <c r="M3483" t="s">
        <v>72735</v>
      </c>
      <c r="N3483" t="s">
        <v>72736</v>
      </c>
      <c r="O3483">
        <f>-773.712335891173 -91.6189066382667 -703.584227758361</f>
        <v>-1568.9154702878006</v>
      </c>
      <c r="P3483">
        <f>-727.03804100496 -80.9060488213943 -390.705868731196</f>
        <v>-1198.6499585575502</v>
      </c>
      <c r="Q3483">
        <f>-469.665051269889 -65.4478427656011 -356.613961617097</f>
        <v>-891.72685565258712</v>
      </c>
      <c r="R3483" t="s">
        <v>72737</v>
      </c>
      <c r="S3483" t="s">
        <v>72738</v>
      </c>
      <c r="T3483" t="s">
        <v>72739</v>
      </c>
      <c r="U3483" t="s">
        <v>72740</v>
      </c>
      <c r="V3483" t="s">
        <v>72741</v>
      </c>
      <c r="W3483" t="s">
        <v>72742</v>
      </c>
      <c r="X3483" t="s">
        <v>72743</v>
      </c>
      <c r="Y3483" t="s">
        <v>72744</v>
      </c>
    </row>
    <row r="3484" spans="1:25" x14ac:dyDescent="0.3">
      <c r="A3484">
        <v>174150</v>
      </c>
      <c r="B3484" t="s">
        <v>72745</v>
      </c>
      <c r="C3484" t="s">
        <v>72746</v>
      </c>
      <c r="D3484" t="s">
        <v>72747</v>
      </c>
      <c r="E3484" t="s">
        <v>72748</v>
      </c>
      <c r="F3484" t="s">
        <v>72749</v>
      </c>
      <c r="G3484" t="s">
        <v>72750</v>
      </c>
      <c r="H3484" t="s">
        <v>72751</v>
      </c>
      <c r="I3484" t="s">
        <v>72752</v>
      </c>
      <c r="J3484" t="s">
        <v>72753</v>
      </c>
      <c r="K3484" t="s">
        <v>72754</v>
      </c>
      <c r="L3484" t="s">
        <v>72755</v>
      </c>
      <c r="M3484" t="s">
        <v>72756</v>
      </c>
      <c r="N3484" t="s">
        <v>72757</v>
      </c>
      <c r="O3484">
        <f>-777.191105685008 -90.8808531596151 -702.472816052755</f>
        <v>-1570.5447748973779</v>
      </c>
      <c r="P3484">
        <f>-727.475613897632 -78.5542880854075 -390.122667346158</f>
        <v>-1196.1525693291974</v>
      </c>
      <c r="Q3484">
        <f>-469.302853602939 -68.5825918967814 -360.298853877939</f>
        <v>-898.18429937765939</v>
      </c>
      <c r="R3484" t="s">
        <v>72758</v>
      </c>
      <c r="S3484" t="s">
        <v>72759</v>
      </c>
      <c r="T3484" t="s">
        <v>72760</v>
      </c>
      <c r="U3484" t="s">
        <v>72761</v>
      </c>
      <c r="V3484" t="s">
        <v>72762</v>
      </c>
      <c r="W3484" t="s">
        <v>72763</v>
      </c>
      <c r="X3484" t="s">
        <v>72764</v>
      </c>
      <c r="Y3484" t="s">
        <v>72765</v>
      </c>
    </row>
    <row r="3485" spans="1:25" x14ac:dyDescent="0.3">
      <c r="A3485">
        <v>174200</v>
      </c>
      <c r="B3485" t="s">
        <v>72766</v>
      </c>
      <c r="C3485" t="s">
        <v>72767</v>
      </c>
      <c r="D3485" t="s">
        <v>72768</v>
      </c>
      <c r="E3485" t="s">
        <v>72769</v>
      </c>
      <c r="F3485" t="s">
        <v>72770</v>
      </c>
      <c r="G3485" t="s">
        <v>72771</v>
      </c>
      <c r="H3485" t="s">
        <v>72772</v>
      </c>
      <c r="I3485" t="s">
        <v>72773</v>
      </c>
      <c r="J3485" t="s">
        <v>72774</v>
      </c>
      <c r="K3485" t="s">
        <v>72775</v>
      </c>
      <c r="L3485" t="s">
        <v>72776</v>
      </c>
      <c r="M3485" t="s">
        <v>72777</v>
      </c>
      <c r="N3485" t="s">
        <v>72778</v>
      </c>
      <c r="O3485">
        <f>-778.77136598616 -90.4234407420201 -702.158255201289</f>
        <v>-1571.3530619294693</v>
      </c>
      <c r="P3485">
        <f>-727.448738987159 -79.8746274986236 -390.003159227468</f>
        <v>-1197.3265257132507</v>
      </c>
      <c r="Q3485">
        <f>-469.069360823359 -72.4661246976275 -361.241094630567</f>
        <v>-902.7765801515535</v>
      </c>
      <c r="R3485" t="s">
        <v>72779</v>
      </c>
      <c r="S3485" t="s">
        <v>72780</v>
      </c>
      <c r="T3485" t="s">
        <v>72781</v>
      </c>
      <c r="U3485" t="s">
        <v>72782</v>
      </c>
      <c r="V3485" t="s">
        <v>72783</v>
      </c>
      <c r="W3485" t="s">
        <v>72784</v>
      </c>
      <c r="X3485" t="s">
        <v>72785</v>
      </c>
      <c r="Y3485" t="s">
        <v>72786</v>
      </c>
    </row>
    <row r="3486" spans="1:25" x14ac:dyDescent="0.3">
      <c r="A3486">
        <v>174250</v>
      </c>
      <c r="B3486" t="s">
        <v>72787</v>
      </c>
      <c r="C3486" t="s">
        <v>72788</v>
      </c>
      <c r="D3486" t="s">
        <v>72789</v>
      </c>
      <c r="E3486" t="s">
        <v>72790</v>
      </c>
      <c r="F3486" t="s">
        <v>72791</v>
      </c>
      <c r="G3486" t="s">
        <v>72792</v>
      </c>
      <c r="H3486" t="s">
        <v>72793</v>
      </c>
      <c r="I3486" t="s">
        <v>72794</v>
      </c>
      <c r="J3486" t="s">
        <v>72795</v>
      </c>
      <c r="K3486" t="s">
        <v>72796</v>
      </c>
      <c r="L3486" t="s">
        <v>72797</v>
      </c>
      <c r="M3486" t="s">
        <v>72798</v>
      </c>
      <c r="N3486" t="s">
        <v>72799</v>
      </c>
      <c r="O3486">
        <f>-781.554221389058 -88.64957027316 -702.334875274305</f>
        <v>-1572.538666936523</v>
      </c>
      <c r="P3486">
        <f>-729.77214795389 -80.5872111364961 -390.181440326804</f>
        <v>-1200.5407994171901</v>
      </c>
      <c r="Q3486">
        <f>-471.335524778103 -79.92877623974 -360.990237036934</f>
        <v>-912.25453805477696</v>
      </c>
      <c r="R3486" t="s">
        <v>72800</v>
      </c>
      <c r="S3486" t="s">
        <v>72801</v>
      </c>
      <c r="T3486" t="s">
        <v>72802</v>
      </c>
      <c r="U3486" t="s">
        <v>72803</v>
      </c>
      <c r="V3486" t="s">
        <v>72804</v>
      </c>
      <c r="W3486" t="s">
        <v>72805</v>
      </c>
      <c r="X3486" t="s">
        <v>72806</v>
      </c>
      <c r="Y3486" t="s">
        <v>72807</v>
      </c>
    </row>
    <row r="3487" spans="1:25" x14ac:dyDescent="0.3">
      <c r="A3487">
        <v>174300</v>
      </c>
      <c r="B3487" t="s">
        <v>72808</v>
      </c>
      <c r="C3487" t="s">
        <v>72809</v>
      </c>
      <c r="D3487" t="s">
        <v>72810</v>
      </c>
      <c r="E3487" t="s">
        <v>72811</v>
      </c>
      <c r="F3487" t="s">
        <v>72812</v>
      </c>
      <c r="G3487" t="s">
        <v>72813</v>
      </c>
      <c r="H3487" t="s">
        <v>72814</v>
      </c>
      <c r="I3487" t="s">
        <v>72815</v>
      </c>
      <c r="J3487" t="s">
        <v>72816</v>
      </c>
      <c r="K3487" t="s">
        <v>72817</v>
      </c>
      <c r="L3487" t="s">
        <v>72818</v>
      </c>
      <c r="M3487" t="s">
        <v>72819</v>
      </c>
      <c r="N3487" t="s">
        <v>72820</v>
      </c>
      <c r="O3487">
        <f>-782.226021196008 -87.7096030576824 -702.599725074546</f>
        <v>-1572.5353493282364</v>
      </c>
      <c r="P3487">
        <f>-730.926341188959 -83.1457549641723 -390.295888355627</f>
        <v>-1204.3679845087584</v>
      </c>
      <c r="Q3487">
        <f>-472.759761393343 -83.1177046109569 -358.79910430938</f>
        <v>-914.67657031367992</v>
      </c>
      <c r="R3487" t="s">
        <v>72821</v>
      </c>
      <c r="S3487" t="s">
        <v>72822</v>
      </c>
      <c r="T3487" t="s">
        <v>72823</v>
      </c>
      <c r="U3487" t="s">
        <v>72824</v>
      </c>
      <c r="V3487" t="s">
        <v>72825</v>
      </c>
      <c r="W3487" t="s">
        <v>72826</v>
      </c>
      <c r="X3487" t="s">
        <v>72827</v>
      </c>
      <c r="Y3487" t="s">
        <v>72828</v>
      </c>
    </row>
    <row r="3488" spans="1:25" x14ac:dyDescent="0.3">
      <c r="A3488">
        <v>174350</v>
      </c>
      <c r="B3488" t="s">
        <v>72829</v>
      </c>
      <c r="C3488" t="s">
        <v>72830</v>
      </c>
      <c r="D3488" t="s">
        <v>72831</v>
      </c>
      <c r="E3488" t="s">
        <v>72832</v>
      </c>
      <c r="F3488" t="s">
        <v>72833</v>
      </c>
      <c r="G3488" t="s">
        <v>72834</v>
      </c>
      <c r="H3488" t="s">
        <v>72835</v>
      </c>
      <c r="I3488" t="s">
        <v>72836</v>
      </c>
      <c r="J3488" t="s">
        <v>72837</v>
      </c>
      <c r="K3488" t="s">
        <v>72838</v>
      </c>
      <c r="L3488" t="s">
        <v>72839</v>
      </c>
      <c r="M3488" t="s">
        <v>72840</v>
      </c>
      <c r="N3488" t="s">
        <v>72841</v>
      </c>
      <c r="O3488">
        <f>-782.147534127187 -86.8018190927821 -703.049452506178</f>
        <v>-1571.9988057261471</v>
      </c>
      <c r="P3488">
        <f>-733.366285858384 -81.6299878685888 -390.351732207364</f>
        <v>-1205.3480059343369</v>
      </c>
      <c r="Q3488">
        <f>-475.657669246233 -83.0424193225347 -355.332858090416</f>
        <v>-914.03294665918361</v>
      </c>
      <c r="R3488" t="s">
        <v>72842</v>
      </c>
      <c r="S3488" t="s">
        <v>72843</v>
      </c>
      <c r="T3488" t="s">
        <v>72844</v>
      </c>
      <c r="U3488" t="s">
        <v>72845</v>
      </c>
      <c r="V3488" t="s">
        <v>72846</v>
      </c>
      <c r="W3488" t="s">
        <v>72847</v>
      </c>
      <c r="X3488" t="s">
        <v>72848</v>
      </c>
      <c r="Y3488" t="s">
        <v>72849</v>
      </c>
    </row>
    <row r="3489" spans="1:25" x14ac:dyDescent="0.3">
      <c r="A3489">
        <v>174400</v>
      </c>
      <c r="B3489" t="s">
        <v>72850</v>
      </c>
      <c r="C3489" t="s">
        <v>72851</v>
      </c>
      <c r="D3489" t="s">
        <v>72852</v>
      </c>
      <c r="E3489" t="s">
        <v>72853</v>
      </c>
      <c r="F3489" t="s">
        <v>72854</v>
      </c>
      <c r="G3489" t="s">
        <v>72855</v>
      </c>
      <c r="H3489" t="s">
        <v>72856</v>
      </c>
      <c r="I3489" t="s">
        <v>72857</v>
      </c>
      <c r="J3489" t="s">
        <v>72858</v>
      </c>
      <c r="K3489" t="s">
        <v>72859</v>
      </c>
      <c r="L3489" t="s">
        <v>72860</v>
      </c>
      <c r="M3489" t="s">
        <v>72861</v>
      </c>
      <c r="N3489" t="s">
        <v>72862</v>
      </c>
      <c r="O3489">
        <f>-781.780511366437 -87.1340674003977 -703.071638182707</f>
        <v>-1571.9862169495418</v>
      </c>
      <c r="P3489">
        <f>-734.535003559603 -80.0398759737445 -390.175970845406</f>
        <v>-1204.7508503787535</v>
      </c>
      <c r="Q3489">
        <f>-477.252417459797 -82.7856036375615 -352.226552656987</f>
        <v>-912.26457375434552</v>
      </c>
      <c r="R3489" t="s">
        <v>72863</v>
      </c>
      <c r="S3489" t="s">
        <v>72864</v>
      </c>
      <c r="T3489" t="s">
        <v>72865</v>
      </c>
      <c r="U3489" t="s">
        <v>72866</v>
      </c>
      <c r="V3489" t="s">
        <v>72867</v>
      </c>
      <c r="W3489" t="s">
        <v>72868</v>
      </c>
      <c r="X3489" t="s">
        <v>72869</v>
      </c>
      <c r="Y3489" t="s">
        <v>72870</v>
      </c>
    </row>
    <row r="3490" spans="1:25" x14ac:dyDescent="0.3">
      <c r="A3490">
        <v>174450</v>
      </c>
      <c r="B3490" t="s">
        <v>72871</v>
      </c>
      <c r="C3490" t="s">
        <v>72872</v>
      </c>
      <c r="D3490" t="s">
        <v>72873</v>
      </c>
      <c r="E3490" t="s">
        <v>72874</v>
      </c>
      <c r="F3490" t="s">
        <v>72875</v>
      </c>
      <c r="G3490" t="s">
        <v>72876</v>
      </c>
      <c r="H3490" t="s">
        <v>72877</v>
      </c>
      <c r="I3490" t="s">
        <v>72878</v>
      </c>
      <c r="J3490" t="s">
        <v>72879</v>
      </c>
      <c r="K3490" t="s">
        <v>72880</v>
      </c>
      <c r="L3490" t="s">
        <v>72881</v>
      </c>
      <c r="M3490" t="s">
        <v>72882</v>
      </c>
      <c r="N3490" t="s">
        <v>72883</v>
      </c>
      <c r="O3490">
        <f>-781.929671266847 -87.8249560707889 -702.579284768681</f>
        <v>-1572.3339121063168</v>
      </c>
      <c r="P3490">
        <f>-736.641744365059 -78.3583469271073 -389.456870001462</f>
        <v>-1204.4569612936284</v>
      </c>
      <c r="Q3490">
        <f>-479.450912397451 -86.4310575096044 -351.645200101688</f>
        <v>-917.5271700087435</v>
      </c>
      <c r="R3490" t="s">
        <v>72884</v>
      </c>
      <c r="S3490" t="s">
        <v>72885</v>
      </c>
      <c r="T3490" t="s">
        <v>72886</v>
      </c>
      <c r="U3490" t="s">
        <v>72887</v>
      </c>
      <c r="V3490" t="s">
        <v>72888</v>
      </c>
      <c r="W3490" t="s">
        <v>72889</v>
      </c>
      <c r="X3490" t="s">
        <v>72890</v>
      </c>
      <c r="Y3490" t="s">
        <v>72891</v>
      </c>
    </row>
    <row r="3491" spans="1:25" x14ac:dyDescent="0.3">
      <c r="A3491">
        <v>174500</v>
      </c>
      <c r="B3491" t="s">
        <v>72892</v>
      </c>
      <c r="C3491" t="s">
        <v>72893</v>
      </c>
      <c r="D3491" t="s">
        <v>72894</v>
      </c>
      <c r="E3491" t="s">
        <v>72895</v>
      </c>
      <c r="F3491" t="s">
        <v>72896</v>
      </c>
      <c r="G3491" t="s">
        <v>72897</v>
      </c>
      <c r="H3491" t="s">
        <v>72898</v>
      </c>
      <c r="I3491" t="s">
        <v>72899</v>
      </c>
      <c r="J3491" t="s">
        <v>72900</v>
      </c>
      <c r="K3491" t="s">
        <v>72901</v>
      </c>
      <c r="L3491" t="s">
        <v>72902</v>
      </c>
      <c r="M3491" t="s">
        <v>72903</v>
      </c>
      <c r="N3491" t="s">
        <v>72904</v>
      </c>
      <c r="O3491">
        <f>-782.76953577351 -87.4113491953312 -702.594856507706</f>
        <v>-1572.7757414765474</v>
      </c>
      <c r="P3491">
        <f>-737.62098853001 -78.6543259423108 -389.431799557723</f>
        <v>-1205.7071140300438</v>
      </c>
      <c r="Q3491">
        <f>-480.341940478964 -88.6501419949193 -352.694222503702</f>
        <v>-921.68630497758534</v>
      </c>
      <c r="R3491" t="s">
        <v>72905</v>
      </c>
      <c r="S3491" t="s">
        <v>72906</v>
      </c>
      <c r="T3491" t="s">
        <v>72907</v>
      </c>
      <c r="U3491" t="s">
        <v>72908</v>
      </c>
      <c r="V3491" t="s">
        <v>72909</v>
      </c>
      <c r="W3491" t="s">
        <v>72910</v>
      </c>
      <c r="X3491" t="s">
        <v>72911</v>
      </c>
      <c r="Y3491" t="s">
        <v>72912</v>
      </c>
    </row>
    <row r="3492" spans="1:25" x14ac:dyDescent="0.3">
      <c r="A3492">
        <v>174550</v>
      </c>
      <c r="B3492" t="s">
        <v>72913</v>
      </c>
      <c r="C3492" t="s">
        <v>72914</v>
      </c>
      <c r="D3492" t="s">
        <v>72915</v>
      </c>
      <c r="E3492" t="s">
        <v>72916</v>
      </c>
      <c r="F3492" t="s">
        <v>72917</v>
      </c>
      <c r="G3492" t="s">
        <v>72918</v>
      </c>
      <c r="H3492" t="s">
        <v>72919</v>
      </c>
      <c r="I3492" t="s">
        <v>72920</v>
      </c>
      <c r="J3492" t="s">
        <v>72921</v>
      </c>
      <c r="K3492" t="s">
        <v>72922</v>
      </c>
      <c r="L3492" t="s">
        <v>72923</v>
      </c>
      <c r="M3492" t="s">
        <v>72924</v>
      </c>
      <c r="N3492" t="s">
        <v>72925</v>
      </c>
      <c r="O3492">
        <f>-784.472756556387 -86.4002988119194 -702.794245003957</f>
        <v>-1573.6673003722635</v>
      </c>
      <c r="P3492">
        <f>-739.639105460565 -79.0152473305654 -389.55052632132</f>
        <v>-1208.2048791124505</v>
      </c>
      <c r="Q3492">
        <f>-482.070575221782 -88.8745231906107 -354.862302391186</f>
        <v>-925.80740080357873</v>
      </c>
      <c r="R3492" t="s">
        <v>72926</v>
      </c>
      <c r="S3492" t="s">
        <v>72927</v>
      </c>
      <c r="T3492" t="s">
        <v>72928</v>
      </c>
      <c r="U3492" t="s">
        <v>72929</v>
      </c>
      <c r="V3492" t="s">
        <v>72930</v>
      </c>
      <c r="W3492" t="s">
        <v>72931</v>
      </c>
      <c r="X3492" t="s">
        <v>72932</v>
      </c>
      <c r="Y3492" t="s">
        <v>72933</v>
      </c>
    </row>
    <row r="3493" spans="1:25" x14ac:dyDescent="0.3">
      <c r="A3493">
        <v>174600</v>
      </c>
      <c r="B3493" t="s">
        <v>72934</v>
      </c>
      <c r="C3493" t="s">
        <v>72935</v>
      </c>
      <c r="D3493" t="s">
        <v>72936</v>
      </c>
      <c r="E3493" t="s">
        <v>72937</v>
      </c>
      <c r="F3493" t="s">
        <v>72938</v>
      </c>
      <c r="G3493" t="s">
        <v>72939</v>
      </c>
      <c r="H3493" t="s">
        <v>72940</v>
      </c>
      <c r="I3493" t="s">
        <v>72941</v>
      </c>
      <c r="J3493" t="s">
        <v>72942</v>
      </c>
      <c r="K3493" t="s">
        <v>72943</v>
      </c>
      <c r="L3493" t="s">
        <v>72944</v>
      </c>
      <c r="M3493" t="s">
        <v>72945</v>
      </c>
      <c r="N3493" t="s">
        <v>72946</v>
      </c>
      <c r="O3493">
        <f>-784.867627303589 -85.6760648988948 -702.968570105606</f>
        <v>-1573.5122623080897</v>
      </c>
      <c r="P3493">
        <f>-738.267642679627 -75.8990568254301 -390.048396061548</f>
        <v>-1204.215095566605</v>
      </c>
      <c r="Q3493">
        <f>-481.116164410719 -87.3158958449146 -352.834873454345</f>
        <v>-921.2669337099785</v>
      </c>
      <c r="R3493" t="s">
        <v>72947</v>
      </c>
      <c r="S3493" t="s">
        <v>72948</v>
      </c>
      <c r="T3493" t="s">
        <v>72949</v>
      </c>
      <c r="U3493" t="s">
        <v>72950</v>
      </c>
      <c r="V3493" t="s">
        <v>72951</v>
      </c>
      <c r="W3493" t="s">
        <v>72952</v>
      </c>
      <c r="X3493" t="s">
        <v>72953</v>
      </c>
      <c r="Y3493" t="s">
        <v>72954</v>
      </c>
    </row>
    <row r="3494" spans="1:25" x14ac:dyDescent="0.3">
      <c r="A3494">
        <v>174650</v>
      </c>
      <c r="B3494" t="s">
        <v>72955</v>
      </c>
      <c r="C3494" t="s">
        <v>72956</v>
      </c>
      <c r="D3494" t="s">
        <v>72957</v>
      </c>
      <c r="E3494" t="s">
        <v>72958</v>
      </c>
      <c r="F3494" t="s">
        <v>72959</v>
      </c>
      <c r="G3494" t="s">
        <v>72960</v>
      </c>
      <c r="H3494" t="s">
        <v>72961</v>
      </c>
      <c r="I3494" t="s">
        <v>72962</v>
      </c>
      <c r="J3494" t="s">
        <v>72963</v>
      </c>
      <c r="K3494" t="s">
        <v>72964</v>
      </c>
      <c r="L3494" t="s">
        <v>72965</v>
      </c>
      <c r="M3494" t="s">
        <v>72966</v>
      </c>
      <c r="N3494" t="s">
        <v>72967</v>
      </c>
      <c r="O3494">
        <f>-784.680129385686 -85.7783741978865 -702.679022826968</f>
        <v>-1573.1375264105404</v>
      </c>
      <c r="P3494">
        <f>-737.468167691145 -72.6637434094432 -389.972774185807</f>
        <v>-1200.1046852863951</v>
      </c>
      <c r="Q3494">
        <f>-481.304002715796 -86.8015962867189 -347.286265257522</f>
        <v>-915.39186426003698</v>
      </c>
      <c r="R3494" t="s">
        <v>72968</v>
      </c>
      <c r="S3494" t="s">
        <v>72969</v>
      </c>
      <c r="T3494" t="s">
        <v>72970</v>
      </c>
      <c r="U3494" t="s">
        <v>72971</v>
      </c>
      <c r="V3494" t="s">
        <v>72972</v>
      </c>
      <c r="W3494" t="s">
        <v>72973</v>
      </c>
      <c r="X3494" t="s">
        <v>72974</v>
      </c>
      <c r="Y3494" t="s">
        <v>72975</v>
      </c>
    </row>
    <row r="3495" spans="1:25" x14ac:dyDescent="0.3">
      <c r="A3495">
        <v>174700</v>
      </c>
      <c r="B3495" t="s">
        <v>72976</v>
      </c>
      <c r="C3495" t="s">
        <v>72977</v>
      </c>
      <c r="D3495" t="s">
        <v>72978</v>
      </c>
      <c r="E3495" t="s">
        <v>72979</v>
      </c>
      <c r="F3495" t="s">
        <v>72980</v>
      </c>
      <c r="G3495" t="s">
        <v>72981</v>
      </c>
      <c r="H3495" t="s">
        <v>72982</v>
      </c>
      <c r="I3495" t="s">
        <v>72983</v>
      </c>
      <c r="J3495" t="s">
        <v>72984</v>
      </c>
      <c r="K3495" t="s">
        <v>72985</v>
      </c>
      <c r="L3495" t="s">
        <v>72986</v>
      </c>
      <c r="M3495" t="s">
        <v>72987</v>
      </c>
      <c r="N3495" t="s">
        <v>72988</v>
      </c>
      <c r="O3495">
        <f>-784.430174605028 -85.490956507181 -702.732160801096</f>
        <v>-1572.6532919133051</v>
      </c>
      <c r="P3495">
        <f>-737.383346265653 -71.1025612414344 -390.056857725498</f>
        <v>-1198.5427652325855</v>
      </c>
      <c r="Q3495">
        <f>-481.843604329212 -86.4040773819481 -344.151231782824</f>
        <v>-912.39891349398408</v>
      </c>
      <c r="R3495" t="s">
        <v>72989</v>
      </c>
      <c r="S3495" t="s">
        <v>72990</v>
      </c>
      <c r="T3495" t="s">
        <v>72991</v>
      </c>
      <c r="U3495" t="s">
        <v>72992</v>
      </c>
      <c r="V3495" t="s">
        <v>72993</v>
      </c>
      <c r="W3495" t="s">
        <v>72994</v>
      </c>
      <c r="X3495" t="s">
        <v>72995</v>
      </c>
      <c r="Y3495" t="s">
        <v>72996</v>
      </c>
    </row>
    <row r="3496" spans="1:25" x14ac:dyDescent="0.3">
      <c r="A3496">
        <v>174750</v>
      </c>
      <c r="B3496" t="s">
        <v>72997</v>
      </c>
      <c r="C3496" t="s">
        <v>72998</v>
      </c>
      <c r="D3496" t="s">
        <v>72999</v>
      </c>
      <c r="E3496" t="s">
        <v>73000</v>
      </c>
      <c r="F3496" t="s">
        <v>73001</v>
      </c>
      <c r="G3496" t="s">
        <v>73002</v>
      </c>
      <c r="H3496" t="s">
        <v>73003</v>
      </c>
      <c r="I3496" t="s">
        <v>73004</v>
      </c>
      <c r="J3496" t="s">
        <v>73005</v>
      </c>
      <c r="K3496" t="s">
        <v>73006</v>
      </c>
      <c r="L3496" t="s">
        <v>73007</v>
      </c>
      <c r="M3496" t="s">
        <v>73008</v>
      </c>
      <c r="N3496" t="s">
        <v>73009</v>
      </c>
      <c r="O3496">
        <f>-783.746538434715 -85.2069751571464 -702.471701471711</f>
        <v>-1571.4252150635725</v>
      </c>
      <c r="P3496">
        <f>-738.019027197651 -67.9953320319089 -389.74334539547</f>
        <v>-1195.7577046250299</v>
      </c>
      <c r="Q3496">
        <f>-483.40258724838 -85.1220588296869 -339.551636467428</f>
        <v>-908.07628254549491</v>
      </c>
      <c r="R3496" t="s">
        <v>73010</v>
      </c>
      <c r="S3496" t="s">
        <v>73011</v>
      </c>
      <c r="T3496" t="s">
        <v>73012</v>
      </c>
      <c r="U3496" t="s">
        <v>73013</v>
      </c>
      <c r="V3496" t="s">
        <v>73014</v>
      </c>
      <c r="W3496" t="s">
        <v>73015</v>
      </c>
      <c r="X3496" t="s">
        <v>73016</v>
      </c>
      <c r="Y3496" t="s">
        <v>73017</v>
      </c>
    </row>
    <row r="3497" spans="1:25" x14ac:dyDescent="0.3">
      <c r="A3497">
        <v>174800</v>
      </c>
      <c r="B3497" t="s">
        <v>73018</v>
      </c>
      <c r="C3497" t="s">
        <v>73019</v>
      </c>
      <c r="D3497" t="s">
        <v>73020</v>
      </c>
      <c r="E3497" t="s">
        <v>73021</v>
      </c>
      <c r="F3497" t="s">
        <v>73022</v>
      </c>
      <c r="G3497" t="s">
        <v>73023</v>
      </c>
      <c r="H3497" t="s">
        <v>73024</v>
      </c>
      <c r="I3497" t="s">
        <v>73025</v>
      </c>
      <c r="J3497" t="s">
        <v>73026</v>
      </c>
      <c r="K3497" t="s">
        <v>73027</v>
      </c>
      <c r="L3497" t="s">
        <v>73028</v>
      </c>
      <c r="M3497" t="s">
        <v>73029</v>
      </c>
      <c r="N3497" t="s">
        <v>73030</v>
      </c>
      <c r="O3497">
        <f>-783.552925227836 -85.0393426115759 -702.317125788108</f>
        <v>-1570.9093936275199</v>
      </c>
      <c r="P3497">
        <f>-738.356565515789 -65.7112431129867 -389.635317257797</f>
        <v>-1193.7031258865727</v>
      </c>
      <c r="Q3497">
        <f>-483.804885522827 -84.7906277227842 -339.821310827638</f>
        <v>-908.41682407324924</v>
      </c>
      <c r="R3497" t="s">
        <v>73031</v>
      </c>
      <c r="S3497" t="s">
        <v>73032</v>
      </c>
      <c r="T3497" t="s">
        <v>73033</v>
      </c>
      <c r="U3497" t="s">
        <v>73034</v>
      </c>
      <c r="V3497" t="s">
        <v>73035</v>
      </c>
      <c r="W3497" t="s">
        <v>73036</v>
      </c>
      <c r="X3497" t="s">
        <v>73037</v>
      </c>
      <c r="Y3497" t="s">
        <v>73038</v>
      </c>
    </row>
    <row r="3498" spans="1:25" x14ac:dyDescent="0.3">
      <c r="A3498">
        <v>174850</v>
      </c>
      <c r="B3498" t="s">
        <v>73039</v>
      </c>
      <c r="C3498" t="s">
        <v>73040</v>
      </c>
      <c r="D3498" t="s">
        <v>73041</v>
      </c>
      <c r="E3498" t="s">
        <v>73042</v>
      </c>
      <c r="F3498" t="s">
        <v>73043</v>
      </c>
      <c r="G3498" t="s">
        <v>73044</v>
      </c>
      <c r="H3498" t="s">
        <v>73045</v>
      </c>
      <c r="I3498" t="s">
        <v>73046</v>
      </c>
      <c r="J3498" t="s">
        <v>73047</v>
      </c>
      <c r="K3498" t="s">
        <v>73048</v>
      </c>
      <c r="L3498" t="s">
        <v>73049</v>
      </c>
      <c r="M3498" t="s">
        <v>73050</v>
      </c>
      <c r="N3498" t="s">
        <v>73051</v>
      </c>
      <c r="O3498">
        <f>-783.603973829854 -84.2493624250485 -701.999972988243</f>
        <v>-1569.8533092431455</v>
      </c>
      <c r="P3498">
        <f>-739.648339991991 -64.7440946978566 -389.152433626086</f>
        <v>-1193.5448683159334</v>
      </c>
      <c r="Q3498">
        <f>-484.402355823056 -86.3615194777894 -344.16109524755</f>
        <v>-914.92497054839532</v>
      </c>
      <c r="R3498" t="s">
        <v>73052</v>
      </c>
      <c r="S3498" t="s">
        <v>73053</v>
      </c>
      <c r="T3498" t="s">
        <v>73054</v>
      </c>
      <c r="U3498" t="s">
        <v>73055</v>
      </c>
      <c r="V3498" t="s">
        <v>73056</v>
      </c>
      <c r="W3498" t="s">
        <v>73057</v>
      </c>
      <c r="X3498" t="s">
        <v>73058</v>
      </c>
      <c r="Y3498" t="s">
        <v>73059</v>
      </c>
    </row>
    <row r="3499" spans="1:25" x14ac:dyDescent="0.3">
      <c r="A3499">
        <v>174900</v>
      </c>
      <c r="B3499" t="s">
        <v>73060</v>
      </c>
      <c r="C3499" t="s">
        <v>73061</v>
      </c>
      <c r="D3499" t="s">
        <v>73062</v>
      </c>
      <c r="E3499" t="s">
        <v>73063</v>
      </c>
      <c r="F3499" t="s">
        <v>73064</v>
      </c>
      <c r="G3499" t="s">
        <v>73065</v>
      </c>
      <c r="H3499" t="s">
        <v>73066</v>
      </c>
      <c r="I3499" t="s">
        <v>73067</v>
      </c>
      <c r="J3499" t="s">
        <v>73068</v>
      </c>
      <c r="K3499" t="s">
        <v>73069</v>
      </c>
      <c r="L3499" t="s">
        <v>73070</v>
      </c>
      <c r="M3499" t="s">
        <v>73071</v>
      </c>
      <c r="N3499" t="s">
        <v>73072</v>
      </c>
      <c r="O3499">
        <f>-783.973032592174 -83.6369661681358 -702.019743372033</f>
        <v>-1569.6297421323429</v>
      </c>
      <c r="P3499">
        <f>-740.388393876873 -65.1278955862801 -389.059657556767</f>
        <v>-1194.57594701992</v>
      </c>
      <c r="Q3499">
        <f>-484.833786874448 -86.70864396357 -345.837818910554</f>
        <v>-917.38024974857194</v>
      </c>
      <c r="R3499" t="s">
        <v>73073</v>
      </c>
      <c r="S3499" t="s">
        <v>73074</v>
      </c>
      <c r="T3499" t="s">
        <v>73075</v>
      </c>
      <c r="U3499" t="s">
        <v>73076</v>
      </c>
      <c r="V3499" t="s">
        <v>73077</v>
      </c>
      <c r="W3499" t="s">
        <v>73078</v>
      </c>
      <c r="X3499" t="s">
        <v>73079</v>
      </c>
      <c r="Y3499" t="s">
        <v>73080</v>
      </c>
    </row>
    <row r="3500" spans="1:25" x14ac:dyDescent="0.3">
      <c r="A3500">
        <v>174950</v>
      </c>
      <c r="B3500" t="s">
        <v>73081</v>
      </c>
      <c r="C3500" t="s">
        <v>73082</v>
      </c>
      <c r="D3500" t="s">
        <v>73083</v>
      </c>
      <c r="E3500" t="s">
        <v>73084</v>
      </c>
      <c r="F3500" t="s">
        <v>73085</v>
      </c>
      <c r="G3500" t="s">
        <v>73086</v>
      </c>
      <c r="H3500" t="s">
        <v>73087</v>
      </c>
      <c r="I3500" t="s">
        <v>73088</v>
      </c>
      <c r="J3500" t="s">
        <v>73089</v>
      </c>
      <c r="K3500" t="s">
        <v>73090</v>
      </c>
      <c r="L3500" t="s">
        <v>73091</v>
      </c>
      <c r="M3500" t="s">
        <v>73092</v>
      </c>
      <c r="N3500" t="s">
        <v>73093</v>
      </c>
      <c r="O3500">
        <f>-785.705142856036 -82.8352770304255 -701.413091380752</f>
        <v>-1569.9535112672133</v>
      </c>
      <c r="P3500">
        <f>-741.338862091028 -63.9250627263687 -388.58675617606</f>
        <v>-1193.8506809934565</v>
      </c>
      <c r="Q3500">
        <f>-484.920887349444 -84.4470258608833 -350.23706994528</f>
        <v>-919.60498315560721</v>
      </c>
      <c r="R3500" t="s">
        <v>73094</v>
      </c>
      <c r="S3500" t="s">
        <v>73095</v>
      </c>
      <c r="T3500" t="s">
        <v>73096</v>
      </c>
      <c r="U3500" t="s">
        <v>73097</v>
      </c>
      <c r="V3500" t="s">
        <v>73098</v>
      </c>
      <c r="W3500" t="s">
        <v>73099</v>
      </c>
      <c r="X3500" t="s">
        <v>73100</v>
      </c>
      <c r="Y3500" t="s">
        <v>73101</v>
      </c>
    </row>
    <row r="3501" spans="1:25" x14ac:dyDescent="0.3">
      <c r="A3501">
        <v>175000</v>
      </c>
      <c r="B3501" t="s">
        <v>73102</v>
      </c>
      <c r="C3501" t="s">
        <v>73103</v>
      </c>
      <c r="D3501" t="s">
        <v>73104</v>
      </c>
      <c r="E3501" t="s">
        <v>73105</v>
      </c>
      <c r="F3501" t="s">
        <v>73106</v>
      </c>
      <c r="G3501" t="s">
        <v>73107</v>
      </c>
      <c r="H3501" t="s">
        <v>73108</v>
      </c>
      <c r="I3501" t="s">
        <v>73109</v>
      </c>
      <c r="J3501" t="s">
        <v>73110</v>
      </c>
      <c r="K3501" t="s">
        <v>73111</v>
      </c>
      <c r="L3501" t="s">
        <v>73112</v>
      </c>
      <c r="M3501" t="s">
        <v>73113</v>
      </c>
      <c r="N3501" t="s">
        <v>73114</v>
      </c>
      <c r="O3501">
        <f>-786.741911271938 -82.7344677509464 -700.802263485778</f>
        <v>-1570.2786425086624</v>
      </c>
      <c r="P3501">
        <f>-742.96764236518 -65.0245976125127 -387.822451428558</f>
        <v>-1195.8146914062509</v>
      </c>
      <c r="Q3501">
        <f>-486.163589701641 -85.6830004211631 -352.227602478274</f>
        <v>-924.07419260107804</v>
      </c>
      <c r="R3501" t="s">
        <v>73115</v>
      </c>
      <c r="S3501" t="s">
        <v>73116</v>
      </c>
      <c r="T3501" t="s">
        <v>73117</v>
      </c>
      <c r="U3501" t="s">
        <v>73118</v>
      </c>
      <c r="V3501" t="s">
        <v>73119</v>
      </c>
      <c r="W3501" t="s">
        <v>73120</v>
      </c>
      <c r="X3501" t="s">
        <v>73121</v>
      </c>
      <c r="Y3501" t="s">
        <v>73122</v>
      </c>
    </row>
    <row r="3502" spans="1:25" x14ac:dyDescent="0.3">
      <c r="A3502">
        <v>175050</v>
      </c>
      <c r="B3502" t="s">
        <v>73123</v>
      </c>
      <c r="C3502" t="s">
        <v>73124</v>
      </c>
      <c r="D3502" t="s">
        <v>73125</v>
      </c>
      <c r="E3502" t="s">
        <v>73126</v>
      </c>
      <c r="F3502" t="s">
        <v>73127</v>
      </c>
      <c r="G3502" t="s">
        <v>73128</v>
      </c>
      <c r="H3502" t="s">
        <v>73129</v>
      </c>
      <c r="I3502" t="s">
        <v>73130</v>
      </c>
      <c r="J3502" t="s">
        <v>73131</v>
      </c>
      <c r="K3502" t="s">
        <v>73132</v>
      </c>
      <c r="L3502" t="s">
        <v>73133</v>
      </c>
      <c r="M3502" t="s">
        <v>73134</v>
      </c>
      <c r="N3502" t="s">
        <v>73135</v>
      </c>
      <c r="O3502">
        <f>-788.585602607216 -81.4406299655545 -700.268483023767</f>
        <v>-1570.2947155965376</v>
      </c>
      <c r="P3502">
        <f>-743.815129586394 -66.4536731779406 -387.287309412926</f>
        <v>-1197.5561121772607</v>
      </c>
      <c r="Q3502">
        <f>-486.660126565853 -88.4230812303906 -355.182617160584</f>
        <v>-930.2658249568276</v>
      </c>
      <c r="R3502" t="s">
        <v>73136</v>
      </c>
      <c r="S3502" t="s">
        <v>73137</v>
      </c>
      <c r="T3502" t="s">
        <v>73138</v>
      </c>
      <c r="U3502" t="s">
        <v>73139</v>
      </c>
      <c r="V3502" t="s">
        <v>73140</v>
      </c>
      <c r="W3502" t="s">
        <v>73141</v>
      </c>
      <c r="X3502" t="s">
        <v>73142</v>
      </c>
      <c r="Y3502" t="s">
        <v>73143</v>
      </c>
    </row>
    <row r="3503" spans="1:25" x14ac:dyDescent="0.3">
      <c r="A3503">
        <v>175100</v>
      </c>
      <c r="B3503" t="s">
        <v>73144</v>
      </c>
      <c r="C3503" t="s">
        <v>73145</v>
      </c>
      <c r="D3503" t="s">
        <v>73146</v>
      </c>
      <c r="E3503" t="s">
        <v>73147</v>
      </c>
      <c r="F3503" t="s">
        <v>73148</v>
      </c>
      <c r="G3503" t="s">
        <v>73149</v>
      </c>
      <c r="H3503" t="s">
        <v>73150</v>
      </c>
      <c r="I3503" t="s">
        <v>73151</v>
      </c>
      <c r="J3503" t="s">
        <v>73152</v>
      </c>
      <c r="K3503" t="s">
        <v>73153</v>
      </c>
      <c r="L3503" t="s">
        <v>73154</v>
      </c>
      <c r="M3503" t="s">
        <v>73155</v>
      </c>
      <c r="N3503" t="s">
        <v>73156</v>
      </c>
      <c r="O3503">
        <f>-789.323988635629 -80.8295601410391 -700.038040005653</f>
        <v>-1570.1915887823211</v>
      </c>
      <c r="P3503">
        <f>-743.869914079426 -66.2766562493237 -387.135035133483</f>
        <v>-1197.2816054622326</v>
      </c>
      <c r="Q3503">
        <f>-486.688087065683 -88.1327230342931 -355.167957638532</f>
        <v>-929.98876773850816</v>
      </c>
      <c r="R3503" t="s">
        <v>73157</v>
      </c>
      <c r="S3503" t="s">
        <v>73158</v>
      </c>
      <c r="T3503" t="s">
        <v>73159</v>
      </c>
      <c r="U3503" t="s">
        <v>73160</v>
      </c>
      <c r="V3503" t="s">
        <v>73161</v>
      </c>
      <c r="W3503" t="s">
        <v>73162</v>
      </c>
      <c r="X3503" t="s">
        <v>73163</v>
      </c>
      <c r="Y3503" t="s">
        <v>73164</v>
      </c>
    </row>
    <row r="3504" spans="1:25" x14ac:dyDescent="0.3">
      <c r="A3504">
        <v>175150</v>
      </c>
      <c r="B3504" t="s">
        <v>73165</v>
      </c>
      <c r="C3504" t="s">
        <v>73166</v>
      </c>
      <c r="D3504" t="s">
        <v>73167</v>
      </c>
      <c r="E3504" t="s">
        <v>73168</v>
      </c>
      <c r="F3504" t="s">
        <v>73169</v>
      </c>
      <c r="G3504" t="s">
        <v>73170</v>
      </c>
      <c r="H3504" t="s">
        <v>73171</v>
      </c>
      <c r="I3504" t="s">
        <v>73172</v>
      </c>
      <c r="J3504" t="s">
        <v>73173</v>
      </c>
      <c r="K3504" t="s">
        <v>73174</v>
      </c>
      <c r="L3504" t="s">
        <v>73175</v>
      </c>
      <c r="M3504" t="s">
        <v>73176</v>
      </c>
      <c r="N3504" t="s">
        <v>73177</v>
      </c>
      <c r="O3504">
        <f>-790.206322730196 -79.9490244779174 -699.59984901565</f>
        <v>-1569.7551962237635</v>
      </c>
      <c r="P3504">
        <f>-743.570446564671 -64.1716329154272 -386.930043883136</f>
        <v>-1194.6721233632343</v>
      </c>
      <c r="Q3504">
        <f>-486.521684843144 -85.0394387841538 -353.277037769783</f>
        <v>-924.83816139708074</v>
      </c>
      <c r="R3504" t="s">
        <v>73178</v>
      </c>
      <c r="S3504" t="s">
        <v>73179</v>
      </c>
      <c r="T3504" t="s">
        <v>73180</v>
      </c>
      <c r="U3504" t="s">
        <v>73181</v>
      </c>
      <c r="V3504" t="s">
        <v>73182</v>
      </c>
      <c r="W3504" t="s">
        <v>73183</v>
      </c>
      <c r="X3504" t="s">
        <v>73184</v>
      </c>
      <c r="Y3504" t="s">
        <v>73185</v>
      </c>
    </row>
    <row r="3505" spans="1:25" x14ac:dyDescent="0.3">
      <c r="A3505">
        <v>175200</v>
      </c>
      <c r="B3505" t="s">
        <v>73186</v>
      </c>
      <c r="C3505" t="s">
        <v>73187</v>
      </c>
      <c r="D3505" t="s">
        <v>73188</v>
      </c>
      <c r="E3505" t="s">
        <v>73189</v>
      </c>
      <c r="F3505" t="s">
        <v>73190</v>
      </c>
      <c r="G3505" t="s">
        <v>73191</v>
      </c>
      <c r="H3505" t="s">
        <v>73192</v>
      </c>
      <c r="I3505" t="s">
        <v>73193</v>
      </c>
      <c r="J3505" t="s">
        <v>73194</v>
      </c>
      <c r="K3505" t="s">
        <v>73195</v>
      </c>
      <c r="L3505" t="s">
        <v>73196</v>
      </c>
      <c r="M3505" t="s">
        <v>73197</v>
      </c>
      <c r="N3505" t="s">
        <v>73198</v>
      </c>
      <c r="O3505">
        <f>-790.217705806772 -79.570623140514 -699.576310867071</f>
        <v>-1569.3646398143569</v>
      </c>
      <c r="P3505">
        <f>-743.484439578731 -63.4209036808697 -386.940135470605</f>
        <v>-1193.8454787302057</v>
      </c>
      <c r="Q3505">
        <f>-486.626784221219 -83.3882818131315 -351.337760018982</f>
        <v>-921.35282605333259</v>
      </c>
      <c r="R3505" t="s">
        <v>73199</v>
      </c>
      <c r="S3505" t="s">
        <v>73200</v>
      </c>
      <c r="T3505" t="s">
        <v>73201</v>
      </c>
      <c r="U3505" t="s">
        <v>73202</v>
      </c>
      <c r="V3505" t="s">
        <v>73203</v>
      </c>
      <c r="W3505" t="s">
        <v>73204</v>
      </c>
      <c r="X3505" t="s">
        <v>73205</v>
      </c>
      <c r="Y3505" t="s">
        <v>73206</v>
      </c>
    </row>
    <row r="3506" spans="1:25" x14ac:dyDescent="0.3">
      <c r="A3506">
        <v>175250</v>
      </c>
      <c r="B3506" t="s">
        <v>73207</v>
      </c>
      <c r="C3506" t="s">
        <v>73208</v>
      </c>
      <c r="D3506" t="s">
        <v>73209</v>
      </c>
      <c r="E3506" t="s">
        <v>73210</v>
      </c>
      <c r="F3506" t="s">
        <v>73211</v>
      </c>
      <c r="G3506" t="s">
        <v>73212</v>
      </c>
      <c r="H3506" t="s">
        <v>73213</v>
      </c>
      <c r="I3506" t="s">
        <v>73214</v>
      </c>
      <c r="J3506" t="s">
        <v>73215</v>
      </c>
      <c r="K3506" t="s">
        <v>73216</v>
      </c>
      <c r="L3506" t="s">
        <v>73217</v>
      </c>
      <c r="M3506" t="s">
        <v>73218</v>
      </c>
      <c r="N3506" t="s">
        <v>73219</v>
      </c>
      <c r="O3506">
        <f>-790.19100557122 -78.987627512061 -699.478825020395</f>
        <v>-1568.6574581036759</v>
      </c>
      <c r="P3506">
        <f>-742.984138799924 -60.6047876239811 -387.037116767538</f>
        <v>-1190.6260431914432</v>
      </c>
      <c r="Q3506">
        <f>-486.612115301978 -80.9035315396238 -348.26327356023</f>
        <v>-915.77892040183178</v>
      </c>
      <c r="R3506" t="s">
        <v>73220</v>
      </c>
      <c r="S3506" t="s">
        <v>73221</v>
      </c>
      <c r="T3506" t="s">
        <v>73222</v>
      </c>
      <c r="U3506" t="s">
        <v>73223</v>
      </c>
      <c r="V3506" t="s">
        <v>73224</v>
      </c>
      <c r="W3506" t="s">
        <v>73225</v>
      </c>
      <c r="X3506" t="s">
        <v>73226</v>
      </c>
      <c r="Y3506" t="s">
        <v>73227</v>
      </c>
    </row>
    <row r="3507" spans="1:25" x14ac:dyDescent="0.3">
      <c r="A3507">
        <v>175300</v>
      </c>
      <c r="B3507" t="s">
        <v>73228</v>
      </c>
      <c r="C3507" t="s">
        <v>73229</v>
      </c>
      <c r="D3507" t="s">
        <v>73230</v>
      </c>
      <c r="E3507" t="s">
        <v>73231</v>
      </c>
      <c r="F3507" t="s">
        <v>73232</v>
      </c>
      <c r="G3507" t="s">
        <v>73233</v>
      </c>
      <c r="H3507" t="s">
        <v>73234</v>
      </c>
      <c r="I3507" t="s">
        <v>73235</v>
      </c>
      <c r="J3507" t="s">
        <v>73236</v>
      </c>
      <c r="K3507" t="s">
        <v>73237</v>
      </c>
      <c r="L3507" t="s">
        <v>73238</v>
      </c>
      <c r="M3507" t="s">
        <v>73239</v>
      </c>
      <c r="N3507" t="s">
        <v>73240</v>
      </c>
      <c r="O3507">
        <f>-789.496572441125 -78.8527458268231 -699.568206661129</f>
        <v>-1567.917524929077</v>
      </c>
      <c r="P3507">
        <f>-743.339234681591 -61.192853711115 -386.928002745618</f>
        <v>-1191.4600911383241</v>
      </c>
      <c r="Q3507">
        <f>-486.960548765396 -80.6708166900348 -347.779539907444</f>
        <v>-915.41090536287481</v>
      </c>
      <c r="R3507" t="s">
        <v>73241</v>
      </c>
      <c r="S3507" t="s">
        <v>73242</v>
      </c>
      <c r="T3507" t="s">
        <v>73243</v>
      </c>
      <c r="U3507" t="s">
        <v>73244</v>
      </c>
      <c r="V3507" t="s">
        <v>73245</v>
      </c>
      <c r="W3507" t="s">
        <v>73246</v>
      </c>
      <c r="X3507" t="s">
        <v>73247</v>
      </c>
      <c r="Y3507" t="s">
        <v>73248</v>
      </c>
    </row>
    <row r="3508" spans="1:25" x14ac:dyDescent="0.3">
      <c r="A3508">
        <v>175350</v>
      </c>
      <c r="B3508" t="s">
        <v>73249</v>
      </c>
      <c r="C3508" t="s">
        <v>73250</v>
      </c>
      <c r="D3508" t="s">
        <v>73251</v>
      </c>
      <c r="E3508" t="s">
        <v>73252</v>
      </c>
      <c r="F3508" t="s">
        <v>73253</v>
      </c>
      <c r="G3508" t="s">
        <v>73254</v>
      </c>
      <c r="H3508" t="s">
        <v>73255</v>
      </c>
      <c r="I3508" t="s">
        <v>73256</v>
      </c>
      <c r="J3508" t="s">
        <v>73257</v>
      </c>
      <c r="K3508" t="s">
        <v>73258</v>
      </c>
      <c r="L3508" t="s">
        <v>73259</v>
      </c>
      <c r="M3508" t="s">
        <v>73260</v>
      </c>
      <c r="N3508" t="s">
        <v>73261</v>
      </c>
      <c r="O3508">
        <f>-788.135325262754 -78.0246611680391 -701.14052617613</f>
        <v>-1567.3005126069231</v>
      </c>
      <c r="P3508">
        <f>-742.867330713935 -59.2441341763738 -388.435635175766</f>
        <v>-1190.5471000660748</v>
      </c>
      <c r="Q3508">
        <f>-486.911973833609 -77.8887566216022 -346.230619647358</f>
        <v>-911.03135010256926</v>
      </c>
      <c r="R3508" t="s">
        <v>73262</v>
      </c>
      <c r="S3508" t="s">
        <v>73263</v>
      </c>
      <c r="T3508" t="s">
        <v>73264</v>
      </c>
      <c r="U3508" t="s">
        <v>73265</v>
      </c>
      <c r="V3508" t="s">
        <v>73266</v>
      </c>
      <c r="W3508" t="s">
        <v>73267</v>
      </c>
      <c r="X3508" t="s">
        <v>73268</v>
      </c>
      <c r="Y3508" t="s">
        <v>73269</v>
      </c>
    </row>
    <row r="3509" spans="1:25" x14ac:dyDescent="0.3">
      <c r="A3509">
        <v>175400</v>
      </c>
      <c r="B3509" t="s">
        <v>73270</v>
      </c>
      <c r="C3509" t="s">
        <v>73271</v>
      </c>
      <c r="D3509" t="s">
        <v>73272</v>
      </c>
      <c r="E3509" t="s">
        <v>73273</v>
      </c>
      <c r="F3509" t="s">
        <v>73274</v>
      </c>
      <c r="G3509" t="s">
        <v>73275</v>
      </c>
      <c r="H3509" t="s">
        <v>73276</v>
      </c>
      <c r="I3509" t="s">
        <v>73277</v>
      </c>
      <c r="J3509" t="s">
        <v>73278</v>
      </c>
      <c r="K3509" t="s">
        <v>73279</v>
      </c>
      <c r="L3509" t="s">
        <v>73280</v>
      </c>
      <c r="M3509" t="s">
        <v>73281</v>
      </c>
      <c r="N3509" t="s">
        <v>73282</v>
      </c>
      <c r="O3509">
        <f>-787.277710946858 -77.9909375651778 -702.120542037377</f>
        <v>-1567.3891905494129</v>
      </c>
      <c r="P3509">
        <f>-742.51362588932 -59.2875164777779 -389.338613539295</f>
        <v>-1191.139755906393</v>
      </c>
      <c r="Q3509">
        <f>-486.632927869205 -76.756123601491 -346.187747254342</f>
        <v>-909.57679872503809</v>
      </c>
      <c r="R3509" t="s">
        <v>73283</v>
      </c>
      <c r="S3509" t="s">
        <v>73284</v>
      </c>
      <c r="T3509" t="s">
        <v>73285</v>
      </c>
      <c r="U3509" t="s">
        <v>73286</v>
      </c>
      <c r="V3509" t="s">
        <v>73287</v>
      </c>
      <c r="W3509" t="s">
        <v>73288</v>
      </c>
      <c r="X3509" t="s">
        <v>73289</v>
      </c>
      <c r="Y3509" t="s">
        <v>73290</v>
      </c>
    </row>
    <row r="3510" spans="1:25" x14ac:dyDescent="0.3">
      <c r="A3510">
        <v>175450</v>
      </c>
      <c r="B3510" t="s">
        <v>73291</v>
      </c>
      <c r="C3510" t="s">
        <v>73292</v>
      </c>
      <c r="D3510" t="s">
        <v>73293</v>
      </c>
      <c r="E3510" t="s">
        <v>73294</v>
      </c>
      <c r="F3510" t="s">
        <v>73295</v>
      </c>
      <c r="G3510" t="s">
        <v>73296</v>
      </c>
      <c r="H3510" t="s">
        <v>73297</v>
      </c>
      <c r="I3510" t="s">
        <v>73298</v>
      </c>
      <c r="J3510" t="s">
        <v>73299</v>
      </c>
      <c r="K3510" t="s">
        <v>73300</v>
      </c>
      <c r="L3510" t="s">
        <v>73301</v>
      </c>
      <c r="M3510" t="s">
        <v>73302</v>
      </c>
      <c r="N3510" t="s">
        <v>73303</v>
      </c>
      <c r="O3510">
        <f>-786.389495307871 -78.1639446928807 -704.279049687708</f>
        <v>-1568.8324896884596</v>
      </c>
      <c r="P3510">
        <f>-742.793267747501 -59.7852488807741 -391.313131550686</f>
        <v>-1193.8916481789611</v>
      </c>
      <c r="Q3510">
        <f>-486.931887229467 -75.0943180313027 -347.237837528242</f>
        <v>-909.26404278901168</v>
      </c>
      <c r="R3510" t="s">
        <v>73304</v>
      </c>
      <c r="S3510" t="s">
        <v>73305</v>
      </c>
      <c r="T3510" t="s">
        <v>73306</v>
      </c>
      <c r="U3510" t="s">
        <v>73307</v>
      </c>
      <c r="V3510" t="s">
        <v>73308</v>
      </c>
      <c r="W3510" t="s">
        <v>73309</v>
      </c>
      <c r="X3510" t="s">
        <v>73310</v>
      </c>
      <c r="Y3510" t="s">
        <v>73311</v>
      </c>
    </row>
    <row r="3511" spans="1:25" x14ac:dyDescent="0.3">
      <c r="A3511">
        <v>175500</v>
      </c>
      <c r="B3511" t="s">
        <v>73312</v>
      </c>
      <c r="C3511" t="s">
        <v>73313</v>
      </c>
      <c r="D3511" t="s">
        <v>73314</v>
      </c>
      <c r="E3511" t="s">
        <v>73315</v>
      </c>
      <c r="F3511" t="s">
        <v>73316</v>
      </c>
      <c r="G3511" t="s">
        <v>73317</v>
      </c>
      <c r="H3511" t="s">
        <v>73318</v>
      </c>
      <c r="I3511" t="s">
        <v>73319</v>
      </c>
      <c r="J3511" t="s">
        <v>73320</v>
      </c>
      <c r="K3511" t="s">
        <v>73321</v>
      </c>
      <c r="L3511" t="s">
        <v>73322</v>
      </c>
      <c r="M3511" t="s">
        <v>73323</v>
      </c>
      <c r="N3511" t="s">
        <v>73324</v>
      </c>
      <c r="O3511">
        <f>-785.840049607386 -78.2131782332574 -705.183226728803</f>
        <v>-1569.2364545694463</v>
      </c>
      <c r="P3511">
        <f>-742.894447354031 -60.050317845431 -392.114652423916</f>
        <v>-1195.0594176233781</v>
      </c>
      <c r="Q3511">
        <f>-487.086246152194 -74.9797725307515 -347.602272354707</f>
        <v>-909.66829103765247</v>
      </c>
      <c r="R3511" t="s">
        <v>73325</v>
      </c>
      <c r="S3511" t="s">
        <v>73326</v>
      </c>
      <c r="T3511" t="s">
        <v>73327</v>
      </c>
      <c r="U3511" t="s">
        <v>73328</v>
      </c>
      <c r="V3511" t="s">
        <v>73329</v>
      </c>
      <c r="W3511" t="s">
        <v>73330</v>
      </c>
      <c r="X3511" t="s">
        <v>73331</v>
      </c>
      <c r="Y3511" t="s">
        <v>73332</v>
      </c>
    </row>
    <row r="3512" spans="1:25" x14ac:dyDescent="0.3">
      <c r="A3512">
        <v>175550</v>
      </c>
      <c r="B3512" t="s">
        <v>73333</v>
      </c>
      <c r="C3512" t="s">
        <v>73334</v>
      </c>
      <c r="D3512" t="s">
        <v>73335</v>
      </c>
      <c r="E3512" t="s">
        <v>73336</v>
      </c>
      <c r="F3512" t="s">
        <v>73337</v>
      </c>
      <c r="G3512" t="s">
        <v>73338</v>
      </c>
      <c r="H3512" t="s">
        <v>73339</v>
      </c>
      <c r="I3512" t="s">
        <v>73340</v>
      </c>
      <c r="J3512" t="s">
        <v>73341</v>
      </c>
      <c r="K3512" t="s">
        <v>73342</v>
      </c>
      <c r="L3512" t="s">
        <v>73343</v>
      </c>
      <c r="M3512">
        <f>-310.23297148757 -0.174244812241568 -298.303213646605</f>
        <v>-608.71042994641653</v>
      </c>
      <c r="N3512" t="s">
        <v>73344</v>
      </c>
      <c r="O3512">
        <f>-785.308836967682 -78.2328824423478 -706.108869240499</f>
        <v>-1569.6505886505288</v>
      </c>
      <c r="P3512">
        <f>-743.73870818095 -59.7656460565443 -392.872350205391</f>
        <v>-1196.3767044428853</v>
      </c>
      <c r="Q3512">
        <f>-488.131927507342 -74.7085898374432 -347.222182622592</f>
        <v>-910.06269996737728</v>
      </c>
      <c r="R3512" t="s">
        <v>73345</v>
      </c>
      <c r="S3512" t="s">
        <v>73346</v>
      </c>
      <c r="T3512" t="s">
        <v>73347</v>
      </c>
      <c r="U3512" t="s">
        <v>73348</v>
      </c>
      <c r="V3512" t="s">
        <v>73349</v>
      </c>
      <c r="W3512" t="s">
        <v>73350</v>
      </c>
      <c r="X3512" t="s">
        <v>73351</v>
      </c>
      <c r="Y3512" t="s">
        <v>73352</v>
      </c>
    </row>
    <row r="3513" spans="1:25" x14ac:dyDescent="0.3">
      <c r="A3513">
        <v>175600</v>
      </c>
      <c r="B3513" t="s">
        <v>73353</v>
      </c>
      <c r="C3513" t="s">
        <v>73354</v>
      </c>
      <c r="D3513" t="s">
        <v>73355</v>
      </c>
      <c r="E3513" t="s">
        <v>73356</v>
      </c>
      <c r="F3513" t="s">
        <v>73357</v>
      </c>
      <c r="G3513" t="s">
        <v>73358</v>
      </c>
      <c r="H3513" t="s">
        <v>73359</v>
      </c>
      <c r="I3513" t="s">
        <v>73360</v>
      </c>
      <c r="J3513" t="s">
        <v>73361</v>
      </c>
      <c r="K3513" t="s">
        <v>73362</v>
      </c>
      <c r="L3513" t="s">
        <v>73363</v>
      </c>
      <c r="M3513">
        <f>-309.789913256324 -0.744195482124042 -297.936038708465</f>
        <v>-608.47014744691296</v>
      </c>
      <c r="N3513" t="s">
        <v>73364</v>
      </c>
      <c r="O3513">
        <f>-784.973229439306 -77.9917883805167 -706.293870025069</f>
        <v>-1569.2588878448919</v>
      </c>
      <c r="P3513">
        <f>-744.505737067331 -59.3704834024052 -392.922272563347</f>
        <v>-1196.7984930330831</v>
      </c>
      <c r="Q3513">
        <f>-489.012836123958 -74.5300819579936 -346.709233888336</f>
        <v>-910.25215197028751</v>
      </c>
      <c r="R3513" t="s">
        <v>73365</v>
      </c>
      <c r="S3513" t="s">
        <v>73366</v>
      </c>
      <c r="T3513" t="s">
        <v>73367</v>
      </c>
      <c r="U3513" t="s">
        <v>73368</v>
      </c>
      <c r="V3513" t="s">
        <v>73369</v>
      </c>
      <c r="W3513" t="s">
        <v>73370</v>
      </c>
      <c r="X3513" t="s">
        <v>73371</v>
      </c>
      <c r="Y3513" t="s">
        <v>73372</v>
      </c>
    </row>
    <row r="3514" spans="1:25" x14ac:dyDescent="0.3">
      <c r="A3514">
        <v>175650</v>
      </c>
      <c r="B3514" t="s">
        <v>73373</v>
      </c>
      <c r="C3514" t="s">
        <v>73374</v>
      </c>
      <c r="D3514" t="s">
        <v>73375</v>
      </c>
      <c r="E3514" t="s">
        <v>73376</v>
      </c>
      <c r="F3514" t="s">
        <v>73377</v>
      </c>
      <c r="G3514" t="s">
        <v>73378</v>
      </c>
      <c r="H3514" t="s">
        <v>73379</v>
      </c>
      <c r="I3514" t="s">
        <v>73380</v>
      </c>
      <c r="J3514" t="s">
        <v>73381</v>
      </c>
      <c r="K3514" t="s">
        <v>73382</v>
      </c>
      <c r="L3514" t="s">
        <v>73383</v>
      </c>
      <c r="M3514">
        <f>-308.854555235188 -2.20605582760663 -298.136344648511</f>
        <v>-609.19695571130569</v>
      </c>
      <c r="N3514" t="s">
        <v>73384</v>
      </c>
      <c r="O3514">
        <f>-784.616159644354 -78.5330909517563 -706.557410385584</f>
        <v>-1569.7066609816943</v>
      </c>
      <c r="P3514">
        <f>-746.082544275755 -59.2338103890238 -392.983040348324</f>
        <v>-1198.2993950131029</v>
      </c>
      <c r="Q3514">
        <f>-490.83386247464 -74.0993514662623 -345.347068858674</f>
        <v>-910.2802827995763</v>
      </c>
      <c r="R3514" t="s">
        <v>73385</v>
      </c>
      <c r="S3514" t="s">
        <v>73386</v>
      </c>
      <c r="T3514" t="s">
        <v>73387</v>
      </c>
      <c r="U3514" t="s">
        <v>73388</v>
      </c>
      <c r="V3514" t="s">
        <v>73389</v>
      </c>
      <c r="W3514" t="s">
        <v>73390</v>
      </c>
      <c r="X3514" t="s">
        <v>73391</v>
      </c>
      <c r="Y3514" t="s">
        <v>73392</v>
      </c>
    </row>
    <row r="3515" spans="1:25" x14ac:dyDescent="0.3">
      <c r="A3515">
        <v>175700</v>
      </c>
      <c r="B3515" t="s">
        <v>73393</v>
      </c>
      <c r="C3515" t="s">
        <v>73394</v>
      </c>
      <c r="D3515" t="s">
        <v>73395</v>
      </c>
      <c r="E3515" t="s">
        <v>73396</v>
      </c>
      <c r="F3515" t="s">
        <v>73397</v>
      </c>
      <c r="G3515" t="s">
        <v>73398</v>
      </c>
      <c r="H3515" t="s">
        <v>73399</v>
      </c>
      <c r="I3515" t="s">
        <v>73400</v>
      </c>
      <c r="J3515" t="s">
        <v>73401</v>
      </c>
      <c r="K3515" t="s">
        <v>73402</v>
      </c>
      <c r="L3515" t="s">
        <v>73403</v>
      </c>
      <c r="M3515">
        <f>-308.432136214117 -2.86270674430148 -298.484512833158</f>
        <v>-609.77935579157656</v>
      </c>
      <c r="N3515" t="s">
        <v>73404</v>
      </c>
      <c r="O3515">
        <f>-784.705958887764 -78.9915993025118 -706.652798057795</f>
        <v>-1570.350356248071</v>
      </c>
      <c r="P3515">
        <f>-746.708155982515 -59.4293304586779 -393.029226819115</f>
        <v>-1199.1667132603079</v>
      </c>
      <c r="Q3515">
        <f>-491.542028345512 -73.795324124229 -344.801434434756</f>
        <v>-910.13878690449701</v>
      </c>
      <c r="R3515" t="s">
        <v>73405</v>
      </c>
      <c r="S3515" t="s">
        <v>73406</v>
      </c>
      <c r="T3515" t="s">
        <v>73407</v>
      </c>
      <c r="U3515" t="s">
        <v>73408</v>
      </c>
      <c r="V3515" t="s">
        <v>73409</v>
      </c>
      <c r="W3515" t="s">
        <v>73410</v>
      </c>
      <c r="X3515" t="s">
        <v>73411</v>
      </c>
      <c r="Y3515" t="s">
        <v>73412</v>
      </c>
    </row>
    <row r="3516" spans="1:25" x14ac:dyDescent="0.3">
      <c r="A3516">
        <v>175750</v>
      </c>
      <c r="B3516" t="s">
        <v>73413</v>
      </c>
      <c r="C3516" t="s">
        <v>73414</v>
      </c>
      <c r="D3516" t="s">
        <v>73415</v>
      </c>
      <c r="E3516" t="s">
        <v>73416</v>
      </c>
      <c r="F3516" t="s">
        <v>73417</v>
      </c>
      <c r="G3516" t="s">
        <v>73418</v>
      </c>
      <c r="H3516" t="s">
        <v>73419</v>
      </c>
      <c r="I3516" t="s">
        <v>73420</v>
      </c>
      <c r="J3516" t="s">
        <v>73421</v>
      </c>
      <c r="K3516" t="s">
        <v>73422</v>
      </c>
      <c r="L3516" t="s">
        <v>73423</v>
      </c>
      <c r="M3516">
        <f>-306.768458776932 -6.81275890255051 -300.411133756988</f>
        <v>-613.99235143647047</v>
      </c>
      <c r="N3516" t="s">
        <v>73424</v>
      </c>
      <c r="O3516">
        <f>-784.60366877761 -80.1290803108093 -706.957026862164</f>
        <v>-1571.6897759505832</v>
      </c>
      <c r="P3516">
        <f>-747.16314795778 -60.7089273436768 -393.257731183386</f>
        <v>-1201.1298064848429</v>
      </c>
      <c r="Q3516">
        <f>-492.001443754681 -73.2382935882597 -344.497436565644</f>
        <v>-909.73717390858474</v>
      </c>
      <c r="R3516" t="s">
        <v>73425</v>
      </c>
      <c r="S3516" t="s">
        <v>73426</v>
      </c>
      <c r="T3516" t="s">
        <v>73427</v>
      </c>
      <c r="U3516" t="s">
        <v>73428</v>
      </c>
      <c r="V3516" t="s">
        <v>73429</v>
      </c>
      <c r="W3516" t="s">
        <v>73430</v>
      </c>
      <c r="X3516" t="s">
        <v>73431</v>
      </c>
      <c r="Y3516" t="s">
        <v>73432</v>
      </c>
    </row>
    <row r="3517" spans="1:25" x14ac:dyDescent="0.3">
      <c r="A3517">
        <v>175800</v>
      </c>
      <c r="B3517" t="s">
        <v>73433</v>
      </c>
      <c r="C3517" t="s">
        <v>73434</v>
      </c>
      <c r="D3517" t="s">
        <v>73435</v>
      </c>
      <c r="E3517" t="s">
        <v>73436</v>
      </c>
      <c r="F3517" t="s">
        <v>73437</v>
      </c>
      <c r="G3517" t="s">
        <v>73438</v>
      </c>
      <c r="H3517" t="s">
        <v>73439</v>
      </c>
      <c r="I3517" t="s">
        <v>73440</v>
      </c>
      <c r="J3517" t="s">
        <v>73441</v>
      </c>
      <c r="K3517" t="s">
        <v>73442</v>
      </c>
      <c r="L3517" t="s">
        <v>73443</v>
      </c>
      <c r="M3517">
        <f>-306.742001498148 -8.73607452920123 -301.293560489128</f>
        <v>-616.7716365164772</v>
      </c>
      <c r="N3517" t="s">
        <v>73444</v>
      </c>
      <c r="O3517">
        <f>-784.829425513836 -80.7705023111948 -706.979419951903</f>
        <v>-1572.5793477769339</v>
      </c>
      <c r="P3517">
        <f>-747.218326803063 -61.1137700775425 -393.315196710612</f>
        <v>-1201.6472935912175</v>
      </c>
      <c r="Q3517">
        <f>-492.080806251013 -72.9520751132764 -344.256433081732</f>
        <v>-909.28931444602131</v>
      </c>
      <c r="R3517" t="s">
        <v>73445</v>
      </c>
      <c r="S3517" t="s">
        <v>73446</v>
      </c>
      <c r="T3517" t="s">
        <v>73447</v>
      </c>
      <c r="U3517" t="s">
        <v>73448</v>
      </c>
      <c r="V3517" t="s">
        <v>73449</v>
      </c>
      <c r="W3517" t="s">
        <v>73450</v>
      </c>
      <c r="X3517" t="s">
        <v>73451</v>
      </c>
      <c r="Y3517" t="s">
        <v>73452</v>
      </c>
    </row>
    <row r="3518" spans="1:25" x14ac:dyDescent="0.3">
      <c r="A3518">
        <v>175850</v>
      </c>
      <c r="B3518" t="s">
        <v>73453</v>
      </c>
      <c r="C3518" t="s">
        <v>73454</v>
      </c>
      <c r="D3518" t="s">
        <v>73455</v>
      </c>
      <c r="E3518" t="s">
        <v>73456</v>
      </c>
      <c r="F3518" t="s">
        <v>73457</v>
      </c>
      <c r="G3518" t="s">
        <v>73458</v>
      </c>
      <c r="H3518" t="s">
        <v>73459</v>
      </c>
      <c r="I3518" t="s">
        <v>73460</v>
      </c>
      <c r="J3518" t="s">
        <v>73461</v>
      </c>
      <c r="K3518" t="s">
        <v>73462</v>
      </c>
      <c r="L3518" t="s">
        <v>73463</v>
      </c>
      <c r="M3518">
        <f>-307.333418826211 -11.7435829557726 -301.92217654125</f>
        <v>-620.99917832323354</v>
      </c>
      <c r="N3518" t="s">
        <v>73464</v>
      </c>
      <c r="O3518">
        <f>-785.211525355411 -83.7254485830131 -706.397143086609</f>
        <v>-1575.3341170250333</v>
      </c>
      <c r="P3518">
        <f>-746.993928968074 -63.1549245677463 -392.864879209827</f>
        <v>-1203.0137327456473</v>
      </c>
      <c r="Q3518">
        <f>-491.757354425465 -74.1193576279491 -344.11937963195</f>
        <v>-909.99609168536404</v>
      </c>
      <c r="R3518" t="s">
        <v>73465</v>
      </c>
      <c r="S3518" t="s">
        <v>73466</v>
      </c>
      <c r="T3518" t="s">
        <v>73467</v>
      </c>
      <c r="U3518" t="s">
        <v>73468</v>
      </c>
      <c r="V3518" t="s">
        <v>73469</v>
      </c>
      <c r="W3518" t="s">
        <v>73470</v>
      </c>
      <c r="X3518" t="s">
        <v>73471</v>
      </c>
      <c r="Y3518" t="s">
        <v>73472</v>
      </c>
    </row>
    <row r="3519" spans="1:25" x14ac:dyDescent="0.3">
      <c r="A3519">
        <v>175900</v>
      </c>
      <c r="B3519" t="s">
        <v>73473</v>
      </c>
      <c r="C3519" t="s">
        <v>73474</v>
      </c>
      <c r="D3519" t="s">
        <v>73475</v>
      </c>
      <c r="E3519" t="s">
        <v>73476</v>
      </c>
      <c r="F3519" t="s">
        <v>73477</v>
      </c>
      <c r="G3519" t="s">
        <v>73478</v>
      </c>
      <c r="H3519" t="s">
        <v>73479</v>
      </c>
      <c r="I3519" t="s">
        <v>73480</v>
      </c>
      <c r="J3519" t="s">
        <v>73481</v>
      </c>
      <c r="K3519" t="s">
        <v>73482</v>
      </c>
      <c r="L3519" t="s">
        <v>73483</v>
      </c>
      <c r="M3519">
        <f>-308.883108689171 -12.8889473622164 -301.697602433023</f>
        <v>-623.4696584844105</v>
      </c>
      <c r="N3519" t="s">
        <v>73484</v>
      </c>
      <c r="O3519">
        <f>-786.439426195942 -85.9984408064274 -705.633594203769</f>
        <v>-1578.0714612061383</v>
      </c>
      <c r="P3519">
        <f>-747.369589537004 -65.0959181624844 -392.228406779449</f>
        <v>-1204.6939144789374</v>
      </c>
      <c r="Q3519">
        <f>-492.054249696736 -76.2281299759879 -343.935466612251</f>
        <v>-912.21784628497494</v>
      </c>
      <c r="R3519" t="s">
        <v>73485</v>
      </c>
      <c r="S3519" t="s">
        <v>73486</v>
      </c>
      <c r="T3519" t="s">
        <v>73487</v>
      </c>
      <c r="U3519" t="s">
        <v>73488</v>
      </c>
      <c r="V3519" t="s">
        <v>73489</v>
      </c>
      <c r="W3519" t="s">
        <v>73490</v>
      </c>
      <c r="X3519" t="s">
        <v>73491</v>
      </c>
      <c r="Y3519" t="s">
        <v>73492</v>
      </c>
    </row>
    <row r="3520" spans="1:25" x14ac:dyDescent="0.3">
      <c r="A3520">
        <v>175950</v>
      </c>
      <c r="B3520" t="s">
        <v>73493</v>
      </c>
      <c r="C3520" t="s">
        <v>73494</v>
      </c>
      <c r="D3520" t="s">
        <v>73495</v>
      </c>
      <c r="E3520" t="s">
        <v>73496</v>
      </c>
      <c r="F3520" t="s">
        <v>73497</v>
      </c>
      <c r="G3520" t="s">
        <v>73498</v>
      </c>
      <c r="H3520" t="s">
        <v>73499</v>
      </c>
      <c r="I3520">
        <f>-650.97047139983 -7.47088149438218 -916.209976467019</f>
        <v>-1574.6513293612311</v>
      </c>
      <c r="J3520" t="s">
        <v>73500</v>
      </c>
      <c r="K3520" t="s">
        <v>73501</v>
      </c>
      <c r="L3520" t="s">
        <v>73502</v>
      </c>
      <c r="M3520">
        <f>-311.454746120196 -12.3649011649441 -300.725925725087</f>
        <v>-624.54557301022714</v>
      </c>
      <c r="N3520" t="s">
        <v>73503</v>
      </c>
      <c r="O3520">
        <f>-789.379419021568 -89.2191637091703 -702.575727590989</f>
        <v>-1581.1743103217273</v>
      </c>
      <c r="P3520">
        <f>-747.430850669738 -66.8414814205862 -389.644972993115</f>
        <v>-1203.9173050834393</v>
      </c>
      <c r="Q3520">
        <f>-491.75208654793 -78.8451842148124 -343.532576578356</f>
        <v>-914.12984734109841</v>
      </c>
      <c r="R3520" t="s">
        <v>73504</v>
      </c>
      <c r="S3520" t="s">
        <v>73505</v>
      </c>
      <c r="T3520" t="s">
        <v>73506</v>
      </c>
      <c r="U3520" t="s">
        <v>73507</v>
      </c>
      <c r="V3520" t="s">
        <v>73508</v>
      </c>
      <c r="W3520" t="s">
        <v>73509</v>
      </c>
      <c r="X3520" t="s">
        <v>73510</v>
      </c>
      <c r="Y3520" t="s">
        <v>73511</v>
      </c>
    </row>
    <row r="3521" spans="1:25" x14ac:dyDescent="0.3">
      <c r="A3521">
        <v>176000</v>
      </c>
      <c r="B3521" t="s">
        <v>73512</v>
      </c>
      <c r="C3521" t="s">
        <v>73513</v>
      </c>
      <c r="D3521" t="s">
        <v>73514</v>
      </c>
      <c r="E3521" t="s">
        <v>73515</v>
      </c>
      <c r="F3521" t="s">
        <v>73516</v>
      </c>
      <c r="G3521" t="s">
        <v>73517</v>
      </c>
      <c r="H3521" t="s">
        <v>73518</v>
      </c>
      <c r="I3521">
        <f>-658.140875579007 -20.7168500146386 -912.475234876527</f>
        <v>-1591.3329604701726</v>
      </c>
      <c r="J3521" t="s">
        <v>73519</v>
      </c>
      <c r="K3521" t="s">
        <v>73520</v>
      </c>
      <c r="L3521" t="s">
        <v>73521</v>
      </c>
      <c r="M3521">
        <f>-315.409238816412 -12.5763929141697 -298.820852837642</f>
        <v>-626.80648456822371</v>
      </c>
      <c r="N3521" t="s">
        <v>73522</v>
      </c>
      <c r="O3521">
        <f>-795.033357131923 -95.339342647186 -696.153421962506</f>
        <v>-1586.526121741615</v>
      </c>
      <c r="P3521">
        <f>-749.345022925022 -69.0959160284251 -384.047624890935</f>
        <v>-1202.488563844382</v>
      </c>
      <c r="Q3521">
        <f>-493.316378568629 -81.9923984927957 -340.171593501076</f>
        <v>-915.48037056250075</v>
      </c>
      <c r="R3521" t="s">
        <v>73523</v>
      </c>
      <c r="S3521" t="s">
        <v>73524</v>
      </c>
      <c r="T3521" t="s">
        <v>73525</v>
      </c>
      <c r="U3521" t="s">
        <v>73526</v>
      </c>
      <c r="V3521" t="s">
        <v>73527</v>
      </c>
      <c r="W3521" t="s">
        <v>73528</v>
      </c>
      <c r="X3521" t="s">
        <v>73529</v>
      </c>
      <c r="Y3521" t="s">
        <v>73530</v>
      </c>
    </row>
    <row r="3522" spans="1:25" x14ac:dyDescent="0.3">
      <c r="A3522">
        <v>176050</v>
      </c>
      <c r="B3522" t="s">
        <v>73531</v>
      </c>
      <c r="C3522" t="s">
        <v>73532</v>
      </c>
      <c r="D3522" t="s">
        <v>73533</v>
      </c>
      <c r="E3522" t="s">
        <v>73534</v>
      </c>
      <c r="F3522" t="s">
        <v>73535</v>
      </c>
      <c r="G3522" t="s">
        <v>73536</v>
      </c>
      <c r="H3522" t="s">
        <v>73537</v>
      </c>
      <c r="I3522">
        <f>-662.42525494524 -26.2936989322229 -910.752045702978</f>
        <v>-1599.470999580441</v>
      </c>
      <c r="J3522" t="s">
        <v>73538</v>
      </c>
      <c r="K3522" t="s">
        <v>73539</v>
      </c>
      <c r="L3522" t="s">
        <v>73540</v>
      </c>
      <c r="M3522">
        <f>-317.586574761345 -11.3249508661261 -298.249698438404</f>
        <v>-627.1612240658751</v>
      </c>
      <c r="N3522" t="s">
        <v>73541</v>
      </c>
      <c r="O3522">
        <f>-798.497506464909 -97.2746417161866 -693.040687329396</f>
        <v>-1588.8128355104914</v>
      </c>
      <c r="P3522">
        <f>-750.718934655858 -68.7906285246938 -381.444686485842</f>
        <v>-1200.9542496663939</v>
      </c>
      <c r="Q3522">
        <f>-494.516154298963 -81.74091947638 -338.61404318626</f>
        <v>-914.87111696160298</v>
      </c>
      <c r="R3522" t="s">
        <v>73542</v>
      </c>
      <c r="S3522" t="s">
        <v>73543</v>
      </c>
      <c r="T3522" t="s">
        <v>73544</v>
      </c>
      <c r="U3522" t="s">
        <v>73545</v>
      </c>
      <c r="V3522" t="s">
        <v>73546</v>
      </c>
      <c r="W3522" t="s">
        <v>73547</v>
      </c>
      <c r="X3522" t="s">
        <v>73548</v>
      </c>
      <c r="Y3522" t="s">
        <v>73549</v>
      </c>
    </row>
    <row r="3523" spans="1:25" x14ac:dyDescent="0.3">
      <c r="A3523">
        <v>176100</v>
      </c>
      <c r="B3523" t="s">
        <v>73550</v>
      </c>
      <c r="C3523" t="s">
        <v>73551</v>
      </c>
      <c r="D3523" t="s">
        <v>73552</v>
      </c>
      <c r="E3523" t="s">
        <v>73553</v>
      </c>
      <c r="F3523" t="s">
        <v>73554</v>
      </c>
      <c r="G3523" t="s">
        <v>73555</v>
      </c>
      <c r="H3523" t="s">
        <v>73556</v>
      </c>
      <c r="I3523">
        <f>-666.468808665756 -33.4026686521167 -908.755628988841</f>
        <v>-1608.6271063067138</v>
      </c>
      <c r="J3523" t="s">
        <v>73557</v>
      </c>
      <c r="K3523" t="s">
        <v>73558</v>
      </c>
      <c r="L3523" t="s">
        <v>73559</v>
      </c>
      <c r="M3523">
        <f>-319.255695888131 -11.3898696010783 -297.391825250531</f>
        <v>-628.03739073974032</v>
      </c>
      <c r="N3523" t="s">
        <v>73560</v>
      </c>
      <c r="O3523">
        <f>-801.522585740454 -101.034225886183 -689.792951184813</f>
        <v>-1592.3497628114501</v>
      </c>
      <c r="P3523">
        <f>-752.106259842534 -70.4240250317612 -378.654420944149</f>
        <v>-1201.1847058184442</v>
      </c>
      <c r="Q3523">
        <f>-495.693134438004 -82.7873101412413 -336.922973370203</f>
        <v>-915.40341794944834</v>
      </c>
      <c r="R3523" t="s">
        <v>73561</v>
      </c>
      <c r="S3523" t="s">
        <v>73562</v>
      </c>
      <c r="T3523" t="s">
        <v>73563</v>
      </c>
      <c r="U3523" t="s">
        <v>73564</v>
      </c>
      <c r="V3523" t="s">
        <v>73565</v>
      </c>
      <c r="W3523" t="s">
        <v>73566</v>
      </c>
      <c r="X3523" t="s">
        <v>73567</v>
      </c>
      <c r="Y3523" t="s">
        <v>73568</v>
      </c>
    </row>
    <row r="3524" spans="1:25" x14ac:dyDescent="0.3">
      <c r="A3524">
        <v>176150</v>
      </c>
      <c r="B3524" t="s">
        <v>73569</v>
      </c>
      <c r="C3524" t="s">
        <v>73570</v>
      </c>
      <c r="D3524" t="s">
        <v>73571</v>
      </c>
      <c r="E3524" t="s">
        <v>73572</v>
      </c>
      <c r="F3524" t="s">
        <v>73573</v>
      </c>
      <c r="G3524" t="s">
        <v>73574</v>
      </c>
      <c r="H3524">
        <f>-699.081756778771 -5.02586166545552 -816.697114873059</f>
        <v>-1520.8047333172856</v>
      </c>
      <c r="I3524">
        <f>-672.705971643993 -49.9325256693921 -904.279585575705</f>
        <v>-1626.9180828890903</v>
      </c>
      <c r="J3524" t="s">
        <v>73575</v>
      </c>
      <c r="K3524" t="s">
        <v>73576</v>
      </c>
      <c r="L3524" t="s">
        <v>73577</v>
      </c>
      <c r="M3524">
        <f>-321.772675970728 -11.1556820502703 -295.260981270618</f>
        <v>-628.18933929161631</v>
      </c>
      <c r="N3524">
        <f>-716.47917308411 -11.4492414705906 -744.523863174083</f>
        <v>-1472.4522777287834</v>
      </c>
      <c r="O3524">
        <f>-805.949903894032 -110.702846760145 -683.187106156137</f>
        <v>-1599.8398568103139</v>
      </c>
      <c r="P3524">
        <f>-755.156231783121 -74.323206325558 -372.89256174746</f>
        <v>-1202.3719998561389</v>
      </c>
      <c r="Q3524">
        <f>-498.254945460891 -84.6702340976385 -333.691786991488</f>
        <v>-916.61696655001754</v>
      </c>
      <c r="R3524" t="s">
        <v>73578</v>
      </c>
      <c r="S3524" t="s">
        <v>73579</v>
      </c>
      <c r="T3524" t="s">
        <v>73580</v>
      </c>
      <c r="U3524" t="s">
        <v>73581</v>
      </c>
      <c r="V3524" t="s">
        <v>73582</v>
      </c>
      <c r="W3524" t="s">
        <v>73583</v>
      </c>
      <c r="X3524" t="s">
        <v>73584</v>
      </c>
      <c r="Y3524" t="s">
        <v>73585</v>
      </c>
    </row>
    <row r="3525" spans="1:25" x14ac:dyDescent="0.3">
      <c r="A3525">
        <v>176200</v>
      </c>
      <c r="B3525" t="s">
        <v>73586</v>
      </c>
      <c r="C3525" t="s">
        <v>73587</v>
      </c>
      <c r="D3525" t="s">
        <v>73588</v>
      </c>
      <c r="E3525" t="s">
        <v>73589</v>
      </c>
      <c r="F3525" t="s">
        <v>73590</v>
      </c>
      <c r="G3525" t="s">
        <v>73591</v>
      </c>
      <c r="H3525">
        <f>-701.237226592561 -12.9761604497007 -815.195516094516</f>
        <v>-1529.4089031367778</v>
      </c>
      <c r="I3525">
        <f>-675.479281529545 -59.3907138367063 -902.173681609073</f>
        <v>-1637.0436769753242</v>
      </c>
      <c r="J3525" t="s">
        <v>73592</v>
      </c>
      <c r="K3525" t="s">
        <v>73593</v>
      </c>
      <c r="L3525" t="s">
        <v>73594</v>
      </c>
      <c r="M3525">
        <f>-322.798834590557 -11.2400266765196 -294.276650449431</f>
        <v>-628.31551171650767</v>
      </c>
      <c r="N3525">
        <f>-718.356696306167 -18.4565571053884 -742.87820070042</f>
        <v>-1479.6914541119754</v>
      </c>
      <c r="O3525">
        <f>-807.812054344484 -116.822210355086 -680.027596183268</f>
        <v>-1604.661860882838</v>
      </c>
      <c r="P3525">
        <f>-756.599257249592 -78.1251074923032 -370.082477909793</f>
        <v>-1204.8068426516882</v>
      </c>
      <c r="Q3525">
        <f>-499.462499777555 -87.0341049085466 -332.090767030352</f>
        <v>-918.58737171645362</v>
      </c>
      <c r="R3525" t="s">
        <v>73595</v>
      </c>
      <c r="S3525" t="s">
        <v>73596</v>
      </c>
      <c r="T3525" t="s">
        <v>73597</v>
      </c>
      <c r="U3525" t="s">
        <v>73598</v>
      </c>
      <c r="V3525" t="s">
        <v>73599</v>
      </c>
      <c r="W3525" t="s">
        <v>73600</v>
      </c>
      <c r="X3525" t="s">
        <v>73601</v>
      </c>
      <c r="Y3525" t="s">
        <v>73602</v>
      </c>
    </row>
    <row r="3526" spans="1:25" x14ac:dyDescent="0.3">
      <c r="A3526">
        <v>176250</v>
      </c>
      <c r="B3526" t="s">
        <v>73603</v>
      </c>
      <c r="C3526" t="s">
        <v>73604</v>
      </c>
      <c r="D3526" t="s">
        <v>73605</v>
      </c>
      <c r="E3526" t="s">
        <v>73606</v>
      </c>
      <c r="F3526" t="s">
        <v>73607</v>
      </c>
      <c r="G3526" t="s">
        <v>73608</v>
      </c>
      <c r="H3526">
        <f>-704.780180703134 -29.6811199658257 -812.020888750903</f>
        <v>-1546.4821894198626</v>
      </c>
      <c r="I3526">
        <f>-679.930258991679 -79.2384298844856 -897.516676926357</f>
        <v>-1656.6853658025216</v>
      </c>
      <c r="J3526" t="s">
        <v>73609</v>
      </c>
      <c r="K3526" t="s">
        <v>73610</v>
      </c>
      <c r="L3526" t="s">
        <v>73611</v>
      </c>
      <c r="M3526">
        <f>-323.941404398024 -11.7942866495127 -292.684812547437</f>
        <v>-628.42050359497375</v>
      </c>
      <c r="N3526">
        <f>-721.300853640642 -33.320662212715 -739.448588394274</f>
        <v>-1494.070104247631</v>
      </c>
      <c r="O3526">
        <f>-810.311074259649 -130.005946405266 -673.425067204606</f>
        <v>-1613.7420878695209</v>
      </c>
      <c r="P3526">
        <f>-758.369635557299 -86.7270255429389 -364.208007663866</f>
        <v>-1209.304668764104</v>
      </c>
      <c r="Q3526">
        <f>-500.63896212903 -90.9135752132675 -329.575107477196</f>
        <v>-921.12764481949353</v>
      </c>
      <c r="R3526" t="s">
        <v>73612</v>
      </c>
      <c r="S3526" t="s">
        <v>73613</v>
      </c>
      <c r="T3526" t="s">
        <v>73614</v>
      </c>
      <c r="U3526" t="s">
        <v>73615</v>
      </c>
      <c r="V3526" t="s">
        <v>73616</v>
      </c>
      <c r="W3526" t="s">
        <v>73617</v>
      </c>
      <c r="X3526" t="s">
        <v>73618</v>
      </c>
      <c r="Y3526" t="s">
        <v>73619</v>
      </c>
    </row>
    <row r="3527" spans="1:25" x14ac:dyDescent="0.3">
      <c r="A3527">
        <v>176300</v>
      </c>
      <c r="B3527" t="s">
        <v>73620</v>
      </c>
      <c r="C3527" t="s">
        <v>73621</v>
      </c>
      <c r="D3527" t="s">
        <v>73622</v>
      </c>
      <c r="E3527" t="s">
        <v>73623</v>
      </c>
      <c r="F3527" t="s">
        <v>73624</v>
      </c>
      <c r="G3527" t="s">
        <v>73625</v>
      </c>
      <c r="H3527">
        <f>-706.709960188953 -38.2699723807746 -810.32061849754</f>
        <v>-1555.3005510672674</v>
      </c>
      <c r="I3527">
        <f>-682.224649961165 -89.2885898305108 -895.058730875704</f>
        <v>-1666.5719706673799</v>
      </c>
      <c r="J3527" t="s">
        <v>73626</v>
      </c>
      <c r="K3527" t="s">
        <v>73627</v>
      </c>
      <c r="L3527" t="s">
        <v>73628</v>
      </c>
      <c r="M3527">
        <f>-324.718990113177 -10.8789904396958 -291.8127443088</f>
        <v>-627.41072486167286</v>
      </c>
      <c r="N3527">
        <f>-722.90684432903 -40.9894572272729 -737.635108820753</f>
        <v>-1501.5314103770559</v>
      </c>
      <c r="O3527">
        <f>-811.707562607095 -136.760289407329 -670.03735987979</f>
        <v>-1618.505211894214</v>
      </c>
      <c r="P3527">
        <f>-759.378022243274 -91.456425178337 -361.175918783596</f>
        <v>-1212.010366205207</v>
      </c>
      <c r="Q3527">
        <f>-501.314071789612 -92.0393692892917 -328.854115060799</f>
        <v>-922.20755613970266</v>
      </c>
      <c r="R3527" t="s">
        <v>73629</v>
      </c>
      <c r="S3527" t="s">
        <v>73630</v>
      </c>
      <c r="T3527" t="s">
        <v>73631</v>
      </c>
      <c r="U3527" t="s">
        <v>73632</v>
      </c>
      <c r="V3527" t="s">
        <v>73633</v>
      </c>
      <c r="W3527" t="s">
        <v>73634</v>
      </c>
      <c r="X3527" t="s">
        <v>73635</v>
      </c>
      <c r="Y3527" t="s">
        <v>73636</v>
      </c>
    </row>
    <row r="3528" spans="1:25" x14ac:dyDescent="0.3">
      <c r="A3528">
        <v>176350</v>
      </c>
      <c r="B3528" t="s">
        <v>73637</v>
      </c>
      <c r="C3528" t="s">
        <v>73638</v>
      </c>
      <c r="D3528" t="s">
        <v>73639</v>
      </c>
      <c r="E3528" t="s">
        <v>73640</v>
      </c>
      <c r="F3528" t="s">
        <v>73641</v>
      </c>
      <c r="G3528">
        <f>-704.140131954164 -3.96105651615585 -663.480000291301</f>
        <v>-1371.581188761621</v>
      </c>
      <c r="H3528">
        <f>-711.175918524322 -56.5445565481862 -806.257784782369</f>
        <v>-1573.9782598548773</v>
      </c>
      <c r="I3528">
        <f>-687.218924994303 -110.56832887295 -889.26660211324</f>
        <v>-1687.0538559804932</v>
      </c>
      <c r="J3528">
        <f>-689.357872582145 -9.46519230733952 -752.774734328731</f>
        <v>-1451.5977992182156</v>
      </c>
      <c r="K3528" t="s">
        <v>73642</v>
      </c>
      <c r="L3528" t="s">
        <v>73643</v>
      </c>
      <c r="M3528">
        <f>-328.422794028785 -8.46362904989587 -289.716036179922</f>
        <v>-626.60245925860295</v>
      </c>
      <c r="N3528">
        <f>-726.767613612583 -57.0906588862338 -733.39124253187</f>
        <v>-1517.2495150306868</v>
      </c>
      <c r="O3528">
        <f>-814.718895621371 -151.126505448216 -662.374081028294</f>
        <v>-1628.2194820978809</v>
      </c>
      <c r="P3528">
        <f>-761.551816472384 -101.306450497364 -354.352498195078</f>
        <v>-1217.2107651648259</v>
      </c>
      <c r="Q3528">
        <f>-503.012631901039 -94.4743382928423 -326.913354753063</f>
        <v>-924.40032494694435</v>
      </c>
      <c r="R3528" t="s">
        <v>73644</v>
      </c>
      <c r="S3528" t="s">
        <v>73645</v>
      </c>
      <c r="T3528" t="s">
        <v>73646</v>
      </c>
      <c r="U3528" t="s">
        <v>73647</v>
      </c>
      <c r="V3528">
        <f>-646.532966547816 -0.231877205834053 -205.272078961494</f>
        <v>-852.0369227151441</v>
      </c>
      <c r="W3528" t="s">
        <v>73648</v>
      </c>
      <c r="X3528" t="s">
        <v>73649</v>
      </c>
      <c r="Y3528" t="s">
        <v>73650</v>
      </c>
    </row>
    <row r="3529" spans="1:25" x14ac:dyDescent="0.3">
      <c r="A3529">
        <v>176400</v>
      </c>
      <c r="B3529" t="s">
        <v>73651</v>
      </c>
      <c r="C3529" t="s">
        <v>73652</v>
      </c>
      <c r="D3529" t="s">
        <v>73653</v>
      </c>
      <c r="E3529" t="s">
        <v>73654</v>
      </c>
      <c r="F3529" t="s">
        <v>73655</v>
      </c>
      <c r="G3529">
        <f>-706.361647974987 -10.9242088605868 -662.404733934199</f>
        <v>-1379.6905907697728</v>
      </c>
      <c r="H3529">
        <f>-713.882353437055 -65.8264722253678 -804.282168126256</f>
        <v>-1583.9909937886787</v>
      </c>
      <c r="I3529">
        <f>-690.100956208446 -121.339806802024 -886.353387015988</f>
        <v>-1697.7941500264578</v>
      </c>
      <c r="J3529">
        <f>-691.995246284357 -17.8052463637407 -751.671850099769</f>
        <v>-1461.4723427478666</v>
      </c>
      <c r="K3529" t="s">
        <v>73656</v>
      </c>
      <c r="L3529" t="s">
        <v>73657</v>
      </c>
      <c r="M3529">
        <f>-330.846048812037 -6.14396284049485 -288.988624867343</f>
        <v>-625.97863651987484</v>
      </c>
      <c r="N3529">
        <f>-729.114035664676 -65.2625233657841 -731.339721039745</f>
        <v>-1525.7162800702049</v>
      </c>
      <c r="O3529">
        <f>-816.4618769908 -158.448394495496 -658.464355822124</f>
        <v>-1633.37462730842</v>
      </c>
      <c r="P3529">
        <f>-762.974193700074 -105.551394265491 -351.011706292503</f>
        <v>-1219.537294258068</v>
      </c>
      <c r="Q3529">
        <f>-504.331983170985 -95.1462065695205 -325.753664755372</f>
        <v>-925.23185449587754</v>
      </c>
      <c r="R3529" t="s">
        <v>73658</v>
      </c>
      <c r="S3529" t="s">
        <v>73659</v>
      </c>
      <c r="T3529" t="s">
        <v>73660</v>
      </c>
      <c r="U3529" t="s">
        <v>73661</v>
      </c>
      <c r="V3529">
        <f>-647.753671187834 -3.07554198570438 -205.279253196044</f>
        <v>-856.1084663695824</v>
      </c>
      <c r="W3529" t="s">
        <v>73662</v>
      </c>
      <c r="X3529" t="s">
        <v>73663</v>
      </c>
      <c r="Y3529" t="s">
        <v>73664</v>
      </c>
    </row>
    <row r="3530" spans="1:25" x14ac:dyDescent="0.3">
      <c r="A3530">
        <v>176450</v>
      </c>
      <c r="B3530" t="s">
        <v>73665</v>
      </c>
      <c r="C3530" t="s">
        <v>73666</v>
      </c>
      <c r="D3530" t="s">
        <v>73667</v>
      </c>
      <c r="E3530" t="s">
        <v>73668</v>
      </c>
      <c r="F3530" t="s">
        <v>73669</v>
      </c>
      <c r="G3530">
        <f>-710.643390416428 -26.3508065861058 -660.335984825234</f>
        <v>-1397.3301818277678</v>
      </c>
      <c r="H3530">
        <f>-718.791752623787 -86.3445370382894 -800.101420524654</f>
        <v>-1605.2377101867305</v>
      </c>
      <c r="I3530">
        <f>-695.101198794884 -144.897236537253 -880.059607228752</f>
        <v>-1720.0580425608891</v>
      </c>
      <c r="J3530">
        <f>-696.946103955427 -36.2717640185735 -749.422059562695</f>
        <v>-1482.6399275366957</v>
      </c>
      <c r="K3530" t="s">
        <v>73670</v>
      </c>
      <c r="L3530" t="s">
        <v>73671</v>
      </c>
      <c r="M3530">
        <f>-336.009987985717 -2.72855417498454 -288.009780269434</f>
        <v>-626.74832243013543</v>
      </c>
      <c r="N3530">
        <f>-733.426662061702 -83.3266571180727 -727.09702443584</f>
        <v>-1543.8503436156147</v>
      </c>
      <c r="O3530">
        <f>-819.200381071336 -174.906810691421 -650.444063315977</f>
        <v>-1644.5512550787339</v>
      </c>
      <c r="P3530">
        <f>-764.789165561016 -115.180766429687 -344.407565027147</f>
        <v>-1224.3774970178499</v>
      </c>
      <c r="Q3530">
        <f>-506.078376273125 -98.2222458098047 -323.835169801112</f>
        <v>-928.13579188404174</v>
      </c>
      <c r="R3530" t="s">
        <v>73672</v>
      </c>
      <c r="S3530" t="s">
        <v>73673</v>
      </c>
      <c r="T3530" t="s">
        <v>73674</v>
      </c>
      <c r="U3530" t="s">
        <v>73675</v>
      </c>
      <c r="V3530">
        <f>-650.71600941376 -9.54850058031161 -205.945444096217</f>
        <v>-866.20995409028865</v>
      </c>
      <c r="W3530" t="s">
        <v>73676</v>
      </c>
      <c r="X3530" t="s">
        <v>73677</v>
      </c>
      <c r="Y3530" t="s">
        <v>73678</v>
      </c>
    </row>
    <row r="3531" spans="1:25" x14ac:dyDescent="0.3">
      <c r="A3531">
        <v>176500</v>
      </c>
      <c r="B3531" t="s">
        <v>73679</v>
      </c>
      <c r="C3531" t="s">
        <v>73680</v>
      </c>
      <c r="D3531" t="s">
        <v>73681</v>
      </c>
      <c r="E3531" t="s">
        <v>73682</v>
      </c>
      <c r="F3531" t="s">
        <v>73683</v>
      </c>
      <c r="G3531">
        <f>-712.800568211803 -34.3827097000465 -659.251659961342</f>
        <v>-1406.4349378731915</v>
      </c>
      <c r="H3531">
        <f>-720.943709717926 -96.906149753175 -797.904153420097</f>
        <v>-1615.754012891198</v>
      </c>
      <c r="I3531">
        <f>-697.160966459154 -156.874720286687 -876.778284050405</f>
        <v>-1730.8139707962459</v>
      </c>
      <c r="J3531">
        <f>-699.281548185265 -45.8010991777601 -748.185475689558</f>
        <v>-1493.2681230525832</v>
      </c>
      <c r="K3531" t="s">
        <v>73684</v>
      </c>
      <c r="L3531" t="s">
        <v>73685</v>
      </c>
      <c r="M3531">
        <f>-337.921760210738 -1.25571834548987 -288.180043568803</f>
        <v>-627.35752212503087</v>
      </c>
      <c r="N3531">
        <f>-735.399675620055 -92.6817935212503 -724.923977781434</f>
        <v>-1553.0054469227393</v>
      </c>
      <c r="O3531">
        <f>-820.437508560754 -183.471972188811 -646.498081911191</f>
        <v>-1650.407562660756</v>
      </c>
      <c r="P3531">
        <f>-765.905848033496 -120.422807906923 -341.150369704729</f>
        <v>-1227.4790256451479</v>
      </c>
      <c r="Q3531">
        <f>-507.234311028304 -100.119079455661 -323.293470045782</f>
        <v>-930.64686052974696</v>
      </c>
      <c r="R3531" t="s">
        <v>73686</v>
      </c>
      <c r="S3531" t="s">
        <v>73687</v>
      </c>
      <c r="T3531" t="s">
        <v>73688</v>
      </c>
      <c r="U3531" t="s">
        <v>73689</v>
      </c>
      <c r="V3531">
        <f>-652.067935118845 -13.2803676387323 -206.399130158909</f>
        <v>-871.74743291648622</v>
      </c>
      <c r="W3531" t="s">
        <v>73690</v>
      </c>
      <c r="X3531" t="s">
        <v>73691</v>
      </c>
      <c r="Y3531" t="s">
        <v>73692</v>
      </c>
    </row>
    <row r="3532" spans="1:25" x14ac:dyDescent="0.3">
      <c r="A3532">
        <v>176550</v>
      </c>
      <c r="B3532" t="s">
        <v>73693</v>
      </c>
      <c r="C3532" t="s">
        <v>73694</v>
      </c>
      <c r="D3532" t="s">
        <v>73695</v>
      </c>
      <c r="E3532" t="s">
        <v>73696</v>
      </c>
      <c r="F3532">
        <f>-707.355888501277 -8.40728442652562 -556.225708338434</f>
        <v>-1271.9888812662366</v>
      </c>
      <c r="G3532">
        <f>-716.823620209825 -50.9962563070183 -656.681824693002</f>
        <v>-1424.5017012098451</v>
      </c>
      <c r="H3532">
        <f>-724.342951961068 -118.735055757004 -792.898069394208</f>
        <v>-1635.9760771122801</v>
      </c>
      <c r="I3532">
        <f>-700.073859278346 -181.479377435427 -869.430168796159</f>
        <v>-1750.983405509932</v>
      </c>
      <c r="J3532">
        <f>-703.265055203944 -65.5484691136644 -745.150638601548</f>
        <v>-1513.9641629191565</v>
      </c>
      <c r="K3532" t="s">
        <v>73697</v>
      </c>
      <c r="L3532" t="s">
        <v>73698</v>
      </c>
      <c r="M3532">
        <f>-341.47925341082 -1.11205928025947 -288.159920248367</f>
        <v>-630.75123293944648</v>
      </c>
      <c r="N3532">
        <f>-738.766782543331 -111.977087586769 -720.102560134475</f>
        <v>-1570.846430264575</v>
      </c>
      <c r="O3532">
        <f>-822.177329251434 -201.463942930729 -638.526442333954</f>
        <v>-1662.167714516117</v>
      </c>
      <c r="P3532">
        <f>-767.252171349547 -131.962243341172 -334.653306945509</f>
        <v>-1233.867721636228</v>
      </c>
      <c r="Q3532">
        <f>-508.891566178951 -105.581717237721 -320.656139601571</f>
        <v>-935.12942301824296</v>
      </c>
      <c r="R3532" t="s">
        <v>73699</v>
      </c>
      <c r="S3532" t="s">
        <v>73700</v>
      </c>
      <c r="T3532" t="s">
        <v>73701</v>
      </c>
      <c r="U3532" t="s">
        <v>73702</v>
      </c>
      <c r="V3532">
        <f>-655.490173793956 -20.7300090208564 -206.750989132953</f>
        <v>-882.97117194776547</v>
      </c>
      <c r="W3532" t="s">
        <v>73703</v>
      </c>
      <c r="X3532" t="s">
        <v>73704</v>
      </c>
      <c r="Y3532" t="s">
        <v>73705</v>
      </c>
    </row>
    <row r="3533" spans="1:25" x14ac:dyDescent="0.3">
      <c r="A3533">
        <v>176600</v>
      </c>
      <c r="B3533" t="s">
        <v>73706</v>
      </c>
      <c r="C3533" t="s">
        <v>73707</v>
      </c>
      <c r="D3533" t="s">
        <v>73708</v>
      </c>
      <c r="E3533" t="s">
        <v>73709</v>
      </c>
      <c r="F3533">
        <f>-709.653147429304 -14.8553854837144 -555.392757438912</f>
        <v>-1279.9012903519304</v>
      </c>
      <c r="G3533">
        <f>-718.797671368359 -58.9390076063878 -655.231956411506</f>
        <v>-1432.9686353862528</v>
      </c>
      <c r="H3533">
        <f>-725.816281079493 -128.988949506857 -790.301338746734</f>
        <v>-1645.1065693330841</v>
      </c>
      <c r="I3533">
        <f>-701.2485928595 -192.978961797138 -865.698314323233</f>
        <v>-1759.9258689798712</v>
      </c>
      <c r="J3533">
        <f>-705.101431656795 -74.8795476607806 -743.440155588372</f>
        <v>-1523.4211349059476</v>
      </c>
      <c r="K3533" t="s">
        <v>73710</v>
      </c>
      <c r="L3533" t="s">
        <v>73711</v>
      </c>
      <c r="M3533">
        <f>-342.888183500471 -1.73612282859722 -288.253189847029</f>
        <v>-632.87749617609711</v>
      </c>
      <c r="N3533">
        <f>-740.320148360703 -121.108564727993 -717.63465400055</f>
        <v>-1579.063367089246</v>
      </c>
      <c r="O3533">
        <f>-823.00932975837 -210.005848606423 -634.653587389981</f>
        <v>-1667.6687657547741</v>
      </c>
      <c r="P3533">
        <f>-768.136996832656 -137.18430433275 -331.549363540906</f>
        <v>-1236.870664706312</v>
      </c>
      <c r="Q3533">
        <f>-510.035997855081 -107.966692093289 -318.423300796564</f>
        <v>-936.4259907449341</v>
      </c>
      <c r="R3533" t="s">
        <v>73712</v>
      </c>
      <c r="S3533" t="s">
        <v>73713</v>
      </c>
      <c r="T3533" t="s">
        <v>73714</v>
      </c>
      <c r="U3533" t="s">
        <v>73715</v>
      </c>
      <c r="V3533">
        <f>-657.152622623852 -24.4356992604717 -206.662303744129</f>
        <v>-888.25062562845267</v>
      </c>
      <c r="W3533" t="s">
        <v>73716</v>
      </c>
      <c r="X3533" t="s">
        <v>73717</v>
      </c>
      <c r="Y3533" t="s">
        <v>73718</v>
      </c>
    </row>
    <row r="3534" spans="1:25" x14ac:dyDescent="0.3">
      <c r="A3534">
        <v>176650</v>
      </c>
      <c r="B3534" t="s">
        <v>73719</v>
      </c>
      <c r="C3534" t="s">
        <v>73720</v>
      </c>
      <c r="D3534" t="s">
        <v>73721</v>
      </c>
      <c r="E3534" t="s">
        <v>73722</v>
      </c>
      <c r="F3534">
        <f>-714.685189069646 -26.6463838347008 -553.488565285286</f>
        <v>-1294.8201381896329</v>
      </c>
      <c r="G3534">
        <f>-723.134851475429 -73.4427837114267 -652.147213332278</f>
        <v>-1448.7248485191337</v>
      </c>
      <c r="H3534">
        <f>-729.020699735232 -147.720179988728 -784.993912413031</f>
        <v>-1661.734792136991</v>
      </c>
      <c r="I3534">
        <f>-703.801059399213 -213.842107019725 -858.3072700639</f>
        <v>-1775.9504364828381</v>
      </c>
      <c r="J3534">
        <f>-709.069150182323 -91.9333670184828 -739.797796609842</f>
        <v>-1540.8003138106478</v>
      </c>
      <c r="K3534" t="s">
        <v>73723</v>
      </c>
      <c r="L3534" t="s">
        <v>73724</v>
      </c>
      <c r="M3534">
        <f>-346.243164367623 -2.54521612054623 -288.206865167488</f>
        <v>-636.9952456556573</v>
      </c>
      <c r="N3534">
        <f>-743.763603017714 -137.776057197975 -712.629012698137</f>
        <v>-1594.168672913826</v>
      </c>
      <c r="O3534">
        <f>-825.217479477714 -225.439545847788 -627.183772058551</f>
        <v>-1677.8407973840531</v>
      </c>
      <c r="P3534">
        <f>-770.250133122261 -146.476383445879 -325.638492895545</f>
        <v>-1242.3650094636851</v>
      </c>
      <c r="Q3534">
        <f>-512.620747986035 -112.996457870189 -313.461136074602</f>
        <v>-939.07834193082601</v>
      </c>
      <c r="R3534" t="s">
        <v>73725</v>
      </c>
      <c r="S3534" t="s">
        <v>73726</v>
      </c>
      <c r="T3534" t="s">
        <v>73727</v>
      </c>
      <c r="U3534" t="s">
        <v>73728</v>
      </c>
      <c r="V3534">
        <f>-661.230566390875 -31.6066289810556 -206.120060915408</f>
        <v>-898.95725628733851</v>
      </c>
      <c r="W3534" t="s">
        <v>73729</v>
      </c>
      <c r="X3534" t="s">
        <v>73730</v>
      </c>
      <c r="Y3534" t="s">
        <v>73731</v>
      </c>
    </row>
    <row r="3535" spans="1:25" x14ac:dyDescent="0.3">
      <c r="A3535">
        <v>176700</v>
      </c>
      <c r="B3535" t="s">
        <v>73732</v>
      </c>
      <c r="C3535" t="s">
        <v>73733</v>
      </c>
      <c r="D3535" t="s">
        <v>73734</v>
      </c>
      <c r="E3535" t="s">
        <v>73735</v>
      </c>
      <c r="F3535">
        <f>-716.553738747917 -32.2023956428629 -552.646310119277</f>
        <v>-1301.402444510057</v>
      </c>
      <c r="G3535">
        <f>-724.628550821834 -80.3364660798138 -650.690989538286</f>
        <v>-1455.6560064399337</v>
      </c>
      <c r="H3535">
        <f>-729.967612225595 -156.680531799097 -782.384108801789</f>
        <v>-1669.032252826481</v>
      </c>
      <c r="I3535">
        <f>-704.41487131241 -223.857542082746 -854.614996848841</f>
        <v>-1782.887410243997</v>
      </c>
      <c r="J3535">
        <f>-710.322619672578 -100.123260095079 -738.019102021222</f>
        <v>-1548.464981788879</v>
      </c>
      <c r="K3535" t="s">
        <v>73736</v>
      </c>
      <c r="L3535" t="s">
        <v>73737</v>
      </c>
      <c r="M3535">
        <f>-347.471405128031 -3.61121694884582 -287.731060699741</f>
        <v>-638.81368277661784</v>
      </c>
      <c r="N3535">
        <f>-744.887903524483 -145.678091554456 -710.209044928163</f>
        <v>-1600.7750400071022</v>
      </c>
      <c r="O3535">
        <f>-825.797287988686 -232.63742970423 -623.506365944812</f>
        <v>-1681.9410836377278</v>
      </c>
      <c r="P3535">
        <f>-771.183248596321 -150.832977723755 -322.655156070383</f>
        <v>-1244.671382390459</v>
      </c>
      <c r="Q3535">
        <f>-513.804992601581 -115.219792822168 -311.242337122397</f>
        <v>-940.26712254614597</v>
      </c>
      <c r="R3535" t="s">
        <v>73738</v>
      </c>
      <c r="S3535" t="s">
        <v>73739</v>
      </c>
      <c r="T3535" t="s">
        <v>73740</v>
      </c>
      <c r="U3535" t="s">
        <v>73741</v>
      </c>
      <c r="V3535">
        <f>-663.330258630955 -34.8010198235245 -205.878418460011</f>
        <v>-904.00969691449041</v>
      </c>
      <c r="W3535" t="s">
        <v>73742</v>
      </c>
      <c r="X3535" t="s">
        <v>73743</v>
      </c>
      <c r="Y3535" t="s">
        <v>73744</v>
      </c>
    </row>
    <row r="3536" spans="1:25" x14ac:dyDescent="0.3">
      <c r="A3536">
        <v>176750</v>
      </c>
      <c r="B3536" t="s">
        <v>73745</v>
      </c>
      <c r="C3536" t="s">
        <v>73746</v>
      </c>
      <c r="D3536" t="s">
        <v>73747</v>
      </c>
      <c r="E3536">
        <f>-705.300759121512 -1.2459650462722 -451.070567238051</f>
        <v>-1157.6172914058352</v>
      </c>
      <c r="F3536">
        <f>-718.939962462264 -42.2431625343143 -551.708861380896</f>
        <v>-1312.8919863774743</v>
      </c>
      <c r="G3536">
        <f>-726.406944514102 -92.8095243119672 -648.570320468299</f>
        <v>-1467.7867892943682</v>
      </c>
      <c r="H3536">
        <f>-730.942190888519 -172.890284114544 -778.055904554528</f>
        <v>-1681.888379557591</v>
      </c>
      <c r="I3536">
        <f>-704.755131257199 -242.10292517876 -848.104598293715</f>
        <v>-1794.9626547296739</v>
      </c>
      <c r="J3536">
        <f>-711.682173596722 -115.018906598009 -735.243754818898</f>
        <v>-1561.944835013629</v>
      </c>
      <c r="K3536">
        <f>-615.811587876443 -12.4624829807747 -779.183283586166</f>
        <v>-1407.4573544433838</v>
      </c>
      <c r="L3536" t="s">
        <v>73748</v>
      </c>
      <c r="M3536">
        <f>-348.611607324382 -4.88698730910414 -287.045747972704</f>
        <v>-640.54434260619018</v>
      </c>
      <c r="N3536">
        <f>-746.18869585046 -159.895059072715 -706.281212644567</f>
        <v>-1612.364967567742</v>
      </c>
      <c r="O3536">
        <f>-826.75136343513 -244.815969951622 -617.331187411143</f>
        <v>-1688.8985207978949</v>
      </c>
      <c r="P3536">
        <f>-771.648842881963 -157.92652575477 -317.998408180968</f>
        <v>-1247.5737768177009</v>
      </c>
      <c r="Q3536">
        <f>-514.761211653825 -118.421579619345 -308.50288941285</f>
        <v>-941.68568068601996</v>
      </c>
      <c r="R3536" t="s">
        <v>73749</v>
      </c>
      <c r="S3536" t="s">
        <v>73750</v>
      </c>
      <c r="T3536" t="s">
        <v>73751</v>
      </c>
      <c r="U3536" t="s">
        <v>73752</v>
      </c>
      <c r="V3536">
        <f>-666.640966393543 -40.1882879638085 -206.082495134979</f>
        <v>-912.9117494923305</v>
      </c>
      <c r="W3536" t="s">
        <v>73753</v>
      </c>
      <c r="X3536" t="s">
        <v>73754</v>
      </c>
      <c r="Y3536" t="s">
        <v>73755</v>
      </c>
    </row>
    <row r="3537" spans="1:25" x14ac:dyDescent="0.3">
      <c r="A3537">
        <v>176800</v>
      </c>
      <c r="B3537" t="s">
        <v>73756</v>
      </c>
      <c r="C3537" t="s">
        <v>73757</v>
      </c>
      <c r="D3537" t="s">
        <v>73758</v>
      </c>
      <c r="E3537">
        <f>-706.041752076978 -5.33624139244012 -450.804436286616</f>
        <v>-1162.1824297560343</v>
      </c>
      <c r="F3537">
        <f>-719.458776474873 -47.4066563173819 -551.028671714484</f>
        <v>-1317.894104506739</v>
      </c>
      <c r="G3537">
        <f>-726.734532632335 -99.238857261744 -647.233378922117</f>
        <v>-1473.206768816196</v>
      </c>
      <c r="H3537">
        <f>-731.062192282781 -181.245966428987 -775.514803720547</f>
        <v>-1687.8229624323149</v>
      </c>
      <c r="I3537">
        <f>-704.718647995126 -251.562757196797 -844.395340514685</f>
        <v>-1800.676745706608</v>
      </c>
      <c r="J3537">
        <f>-711.825809457791 -122.766140348493 -733.526742793597</f>
        <v>-1568.1186925998809</v>
      </c>
      <c r="K3537">
        <f>-615.590176182749 -21.1259193998994 -778.718181164886</f>
        <v>-1415.4342767475346</v>
      </c>
      <c r="L3537" t="s">
        <v>73759</v>
      </c>
      <c r="M3537">
        <f>-349.047668740516 -6.52045934434068 -286.113862253406</f>
        <v>-641.68199033826272</v>
      </c>
      <c r="N3537">
        <f>-746.468816901853 -167.154539819277 -703.981692342254</f>
        <v>-1617.6050490633838</v>
      </c>
      <c r="O3537">
        <f>-827.18633743375 -250.74557808673 -613.927079393258</f>
        <v>-1691.8589949137381</v>
      </c>
      <c r="P3537">
        <f>-771.841114033655 -161.92891878868 -315.205141741817</f>
        <v>-1248.975174564152</v>
      </c>
      <c r="Q3537">
        <f>-515.206374163099 -120.536988067029 -306.997009397795</f>
        <v>-942.74037162792297</v>
      </c>
      <c r="R3537" t="s">
        <v>73760</v>
      </c>
      <c r="S3537" t="s">
        <v>73761</v>
      </c>
      <c r="T3537" t="s">
        <v>73762</v>
      </c>
      <c r="U3537" t="s">
        <v>73763</v>
      </c>
      <c r="V3537">
        <f>-667.676533189531 -42.9075635027682 -206.045232178806</f>
        <v>-916.62932887110526</v>
      </c>
      <c r="W3537" t="s">
        <v>73764</v>
      </c>
      <c r="X3537" t="s">
        <v>73765</v>
      </c>
      <c r="Y3537" t="s">
        <v>73766</v>
      </c>
    </row>
    <row r="3538" spans="1:25" x14ac:dyDescent="0.3">
      <c r="A3538">
        <v>176850</v>
      </c>
      <c r="B3538" t="s">
        <v>73767</v>
      </c>
      <c r="C3538" t="s">
        <v>73768</v>
      </c>
      <c r="D3538" t="s">
        <v>73769</v>
      </c>
      <c r="E3538">
        <f>-704.945788501965 -4.9712172669158 -450.804969811895</f>
        <v>-1160.7219755807757</v>
      </c>
      <c r="F3538">
        <f>-717.761622404272 -49.1375498374784 -550.202791739397</f>
        <v>-1317.1019639811475</v>
      </c>
      <c r="G3538">
        <f>-724.494033069402 -103.45436141752 -645.067044238763</f>
        <v>-1473.0154387256848</v>
      </c>
      <c r="H3538">
        <f>-728.179119423766 -189.244283279118 -770.87050687607</f>
        <v>-1688.2939095789538</v>
      </c>
      <c r="I3538">
        <f>-701.644019966137 -261.747345297418 -837.369849974361</f>
        <v>-1800.7612152379161</v>
      </c>
      <c r="J3538">
        <f>-708.985982427741 -129.630920483487 -730.487431900426</f>
        <v>-1569.1043348116541</v>
      </c>
      <c r="K3538">
        <f>-611.562508441749 -30.3192758722232 -777.995235922023</f>
        <v>-1419.8770202359951</v>
      </c>
      <c r="L3538" t="s">
        <v>73770</v>
      </c>
      <c r="M3538">
        <f>-346.077385972974 -0.859159047212415 -285.261112941271</f>
        <v>-632.19765796145748</v>
      </c>
      <c r="N3538">
        <f>-744.111159672609 -172.938859898175 -699.925221376166</f>
        <v>-1616.97524094695</v>
      </c>
      <c r="O3538">
        <f>-826.075751310401 -253.455981561174 -608.081452308134</f>
        <v>-1687.613185179709</v>
      </c>
      <c r="P3538">
        <f>-769.412565407968 -161.829033592203 -310.457609027893</f>
        <v>-1241.699208028064</v>
      </c>
      <c r="Q3538">
        <f>-513.208957070246 -117.47000857631 -304.625354869055</f>
        <v>-935.30432051561093</v>
      </c>
      <c r="R3538" t="s">
        <v>73771</v>
      </c>
      <c r="S3538" t="s">
        <v>73772</v>
      </c>
      <c r="T3538" t="s">
        <v>73773</v>
      </c>
      <c r="U3538" t="s">
        <v>73774</v>
      </c>
      <c r="V3538">
        <f>-669.070397932664 -43.5897032726641 -205.353573932412</f>
        <v>-918.01367513774017</v>
      </c>
      <c r="W3538" t="s">
        <v>73775</v>
      </c>
      <c r="X3538" t="s">
        <v>73776</v>
      </c>
      <c r="Y3538" t="s">
        <v>73777</v>
      </c>
    </row>
    <row r="3539" spans="1:25" x14ac:dyDescent="0.3">
      <c r="A3539">
        <v>176900</v>
      </c>
      <c r="B3539" t="s">
        <v>73778</v>
      </c>
      <c r="C3539" t="s">
        <v>73779</v>
      </c>
      <c r="D3539" t="s">
        <v>73780</v>
      </c>
      <c r="E3539">
        <f>-703.004014204409 -0.82482120654322 -451.434054957529</f>
        <v>-1155.2628903684813</v>
      </c>
      <c r="F3539">
        <f>-715.512085501889 -46.0592291006635 -550.389655828975</f>
        <v>-1311.9609704315276</v>
      </c>
      <c r="G3539">
        <f>-722.04081755243 -101.597048104914 -644.558732780248</f>
        <v>-1468.196598437592</v>
      </c>
      <c r="H3539">
        <f>-725.570440874294 -189.203729084544 -769.108307138672</f>
        <v>-1683.88247709751</v>
      </c>
      <c r="I3539">
        <f>-699.00473457859 -262.746421368443 -834.443756377977</f>
        <v>-1796.1949123250101</v>
      </c>
      <c r="J3539">
        <f>-706.307043693334 -129.077495841133 -729.527054190698</f>
        <v>-1564.9115937251649</v>
      </c>
      <c r="K3539">
        <f>-608.241980511863 -30.9412149373297 -778.284728202991</f>
        <v>-1417.4679236521838</v>
      </c>
      <c r="L3539" t="s">
        <v>73781</v>
      </c>
      <c r="M3539" t="s">
        <v>73782</v>
      </c>
      <c r="N3539">
        <f>-741.710347953524 -171.803489330145 -698.470832674572</f>
        <v>-1611.9846699582408</v>
      </c>
      <c r="O3539">
        <f>-824.171606885269 -250.84099951923 -605.865580519549</f>
        <v>-1680.8781869240479</v>
      </c>
      <c r="P3539">
        <f>-766.916327982832 -157.622599080076 -308.849870705696</f>
        <v>-1233.388797768604</v>
      </c>
      <c r="Q3539">
        <f>-510.886708732552 -112.101529368422 -304.522084650628</f>
        <v>-927.51032275160208</v>
      </c>
      <c r="R3539" t="s">
        <v>73783</v>
      </c>
      <c r="S3539" t="s">
        <v>73784</v>
      </c>
      <c r="T3539" t="s">
        <v>73785</v>
      </c>
      <c r="U3539" t="s">
        <v>73786</v>
      </c>
      <c r="V3539">
        <f>-669.541170585958 -41.3405479539301 -205.238693457832</f>
        <v>-916.12041199772011</v>
      </c>
      <c r="W3539" t="s">
        <v>73787</v>
      </c>
      <c r="X3539" t="s">
        <v>73788</v>
      </c>
      <c r="Y3539" t="s">
        <v>73789</v>
      </c>
    </row>
    <row r="3540" spans="1:25" x14ac:dyDescent="0.3">
      <c r="A3540">
        <v>176950</v>
      </c>
      <c r="B3540" t="s">
        <v>73790</v>
      </c>
      <c r="C3540" t="s">
        <v>73791</v>
      </c>
      <c r="D3540" t="s">
        <v>73792</v>
      </c>
      <c r="E3540">
        <f>-701.293918613042 -0.797149504063782 -449.713817253109</f>
        <v>-1151.8048853702148</v>
      </c>
      <c r="F3540">
        <f>-713.538625541041 -48.2608994004208 -547.653223901819</f>
        <v>-1309.4527488432809</v>
      </c>
      <c r="G3540">
        <f>-719.903811408787 -106.233292025504 -640.354457515449</f>
        <v>-1466.49156094974</v>
      </c>
      <c r="H3540">
        <f>-723.342343214753 -197.366750747392 -762.349882291288</f>
        <v>-1683.058976253433</v>
      </c>
      <c r="I3540">
        <f>-696.813393012638 -272.84651710125 -825.453015076368</f>
        <v>-1795.1129251902562</v>
      </c>
      <c r="J3540">
        <f>-703.814309962588 -136.296274039432 -724.376575675352</f>
        <v>-1564.4871596773719</v>
      </c>
      <c r="K3540">
        <f>-604.549775451351 -40.599757828458 -775.573298713143</f>
        <v>-1420.722831992952</v>
      </c>
      <c r="L3540" t="s">
        <v>73793</v>
      </c>
      <c r="M3540" t="s">
        <v>73794</v>
      </c>
      <c r="N3540">
        <f>-739.827449895097 -177.789712069962 -692.364880680854</f>
        <v>-1609.9820426459128</v>
      </c>
      <c r="O3540">
        <f>-823.604557839256 -253.342051960771 -598.059481398068</f>
        <v>-1675.006091198095</v>
      </c>
      <c r="P3540">
        <f>-764.689840859104 -157.011343680797 -302.364113817639</f>
        <v>-1224.0652983575401</v>
      </c>
      <c r="Q3540">
        <f>-508.864892515624 -110.156626755928 -301.866821157304</f>
        <v>-920.88834042885594</v>
      </c>
      <c r="R3540" t="s">
        <v>73795</v>
      </c>
      <c r="S3540" t="s">
        <v>73796</v>
      </c>
      <c r="T3540" t="s">
        <v>73797</v>
      </c>
      <c r="U3540" t="s">
        <v>73798</v>
      </c>
      <c r="V3540">
        <f>-670.047154994402 -39.5193870967501 -202.29646950048</f>
        <v>-911.86301159163213</v>
      </c>
      <c r="W3540" t="s">
        <v>73799</v>
      </c>
      <c r="X3540" t="s">
        <v>73800</v>
      </c>
      <c r="Y3540" t="s">
        <v>73801</v>
      </c>
    </row>
    <row r="3541" spans="1:25" x14ac:dyDescent="0.3">
      <c r="A3541">
        <v>177000</v>
      </c>
      <c r="B3541" t="s">
        <v>73802</v>
      </c>
      <c r="C3541" t="s">
        <v>73803</v>
      </c>
      <c r="D3541" t="s">
        <v>73804</v>
      </c>
      <c r="E3541">
        <f>-701.461563901412 -3.32494735447062 -447.226696698544</f>
        <v>-1152.0132079544267</v>
      </c>
      <c r="F3541">
        <f>-713.734419257665 -51.9618975577143 -544.585197974541</f>
        <v>-1310.2815147899203</v>
      </c>
      <c r="G3541">
        <f>-720.160224042639 -111.169243477257 -636.498475010524</f>
        <v>-1467.8279425304199</v>
      </c>
      <c r="H3541">
        <f>-723.734397288207 -204.05185750293 -757.163557229563</f>
        <v>-1684.9498120206999</v>
      </c>
      <c r="I3541">
        <f>-697.264345994823 -280.506854093562 -819.106616720785</f>
        <v>-1796.8778168091701</v>
      </c>
      <c r="J3541">
        <f>-704.003101142173 -142.531128525111 -720.03135706079</f>
        <v>-1566.5655867280741</v>
      </c>
      <c r="K3541">
        <f>-604.197462386428 -48.1172339708962 -772.519715507162</f>
        <v>-1424.8344118644864</v>
      </c>
      <c r="L3541" t="s">
        <v>73805</v>
      </c>
      <c r="M3541" t="s">
        <v>73806</v>
      </c>
      <c r="N3541">
        <f>-740.30268131951 -183.377128086631 -687.514619109998</f>
        <v>-1611.1944285161389</v>
      </c>
      <c r="O3541">
        <f>-824.625680435105 -257.071726570801 -592.255848070407</f>
        <v>-1673.9532550763129</v>
      </c>
      <c r="P3541">
        <f>-764.505506931184 -159.633835562697 -297.16673927648</f>
        <v>-1221.3060817703608</v>
      </c>
      <c r="Q3541">
        <f>-508.80520849755 -112.144387661222 -299.207414770794</f>
        <v>-920.15701092956601</v>
      </c>
      <c r="R3541" t="s">
        <v>73807</v>
      </c>
      <c r="S3541" t="s">
        <v>73808</v>
      </c>
      <c r="T3541" t="s">
        <v>73809</v>
      </c>
      <c r="U3541" t="s">
        <v>73810</v>
      </c>
      <c r="V3541">
        <f>-670.497339974233 -39.6413492963907 -199.361786015843</f>
        <v>-909.50047528646667</v>
      </c>
      <c r="W3541" t="s">
        <v>73811</v>
      </c>
      <c r="X3541" t="s">
        <v>73812</v>
      </c>
      <c r="Y3541" t="s">
        <v>73813</v>
      </c>
    </row>
    <row r="3542" spans="1:25" x14ac:dyDescent="0.3">
      <c r="A3542">
        <v>177050</v>
      </c>
      <c r="B3542" t="s">
        <v>73814</v>
      </c>
      <c r="C3542" t="s">
        <v>73815</v>
      </c>
      <c r="D3542" t="s">
        <v>73816</v>
      </c>
      <c r="E3542">
        <f>-701.986724878594 -9.26443400399262 -439.808599625581</f>
        <v>-1151.0597585081678</v>
      </c>
      <c r="F3542">
        <f>-714.540420492182 -60.284434487515 -535.903447310842</f>
        <v>-1310.728302290539</v>
      </c>
      <c r="G3542">
        <f>-721.25050228679 -121.874624086891 -626.216713161618</f>
        <v>-1469.3418395352992</v>
      </c>
      <c r="H3542">
        <f>-725.251621921008 -218.020281706842 -744.284459863043</f>
        <v>-1687.5563634908931</v>
      </c>
      <c r="I3542">
        <f>-699.001299079099 -296.260819541137 -804.053354860077</f>
        <v>-1799.3154734803129</v>
      </c>
      <c r="J3542">
        <f>-705.177043084163 -155.627881975234 -708.828626473891</f>
        <v>-1569.633551533288</v>
      </c>
      <c r="K3542">
        <f>-604.786934489252 -63.4527358347536 -764.030120497277</f>
        <v>-1432.2697908212826</v>
      </c>
      <c r="L3542" t="s">
        <v>73817</v>
      </c>
      <c r="M3542" t="s">
        <v>73818</v>
      </c>
      <c r="N3542">
        <f>-741.785389644266 -195.329680789413 -675.257747523292</f>
        <v>-1612.3728179569712</v>
      </c>
      <c r="O3542">
        <f>-826.482327705256 -265.908745798499 -577.915732937576</f>
        <v>-1670.306806441331</v>
      </c>
      <c r="P3542">
        <f>-764.042730752788 -163.886692970584 -284.864515551204</f>
        <v>-1212.7939392745761</v>
      </c>
      <c r="Q3542">
        <f>-508.460256136443 -116.168145756542 -291.390959704328</f>
        <v>-916.01936159731304</v>
      </c>
      <c r="R3542" t="s">
        <v>73819</v>
      </c>
      <c r="S3542" t="s">
        <v>73820</v>
      </c>
      <c r="T3542" t="s">
        <v>73821</v>
      </c>
      <c r="U3542" t="s">
        <v>73822</v>
      </c>
      <c r="V3542">
        <f>-669.893612029807 -39.4074582387286 -191.468992112655</f>
        <v>-900.77006238119054</v>
      </c>
      <c r="W3542" t="s">
        <v>73823</v>
      </c>
      <c r="X3542" t="s">
        <v>73824</v>
      </c>
      <c r="Y3542" t="s">
        <v>73825</v>
      </c>
    </row>
    <row r="3543" spans="1:25" x14ac:dyDescent="0.3">
      <c r="A3543">
        <v>177100</v>
      </c>
      <c r="B3543" t="s">
        <v>73826</v>
      </c>
      <c r="C3543" t="s">
        <v>73827</v>
      </c>
      <c r="D3543" t="s">
        <v>73828</v>
      </c>
      <c r="E3543">
        <f>-701.903954986403 -11.3238204987083 -435.651532181077</f>
        <v>-1148.8793076661884</v>
      </c>
      <c r="F3543">
        <f>-714.695152701858 -63.4889241006597 -531.098121035723</f>
        <v>-1309.2821978382408</v>
      </c>
      <c r="G3543">
        <f>-721.643195505333 -126.225772813171 -620.600328731564</f>
        <v>-1468.469297050068</v>
      </c>
      <c r="H3543">
        <f>-725.988354773974 -223.942027192455 -737.359368347661</f>
        <v>-1687.2897503140898</v>
      </c>
      <c r="I3543">
        <f>-699.897450612419 -303.025323998835 -796.079707317115</f>
        <v>-1799.002481928369</v>
      </c>
      <c r="J3543">
        <f>-705.750511166188 -161.115290198047 -702.774011447213</f>
        <v>-1569.6398128114479</v>
      </c>
      <c r="K3543">
        <f>-605.302013804208 -69.8574914168917 -759.416560088084</f>
        <v>-1434.5760653091836</v>
      </c>
      <c r="L3543" t="s">
        <v>73829</v>
      </c>
      <c r="M3543" t="s">
        <v>73830</v>
      </c>
      <c r="N3543">
        <f>-742.380970004801 -200.295922858333 -668.620182591498</f>
        <v>-1611.297075454632</v>
      </c>
      <c r="O3543">
        <f>-826.863030923307 -269.498772287941 -570.139124989958</f>
        <v>-1666.5009282012059</v>
      </c>
      <c r="P3543">
        <f>-763.54312131038 -164.135616213405 -278.462362982919</f>
        <v>-1206.1411005067039</v>
      </c>
      <c r="Q3543">
        <f>-508.042286708801 -116.30268146509 -287.029172237921</f>
        <v>-911.37414041181194</v>
      </c>
      <c r="R3543" t="s">
        <v>73831</v>
      </c>
      <c r="S3543" t="s">
        <v>73832</v>
      </c>
      <c r="T3543" t="s">
        <v>73833</v>
      </c>
      <c r="U3543" t="s">
        <v>73834</v>
      </c>
      <c r="V3543">
        <f>-668.703480617884 -38.6008052805976 -187.320640782284</f>
        <v>-894.62492668076561</v>
      </c>
      <c r="W3543" t="s">
        <v>73835</v>
      </c>
      <c r="X3543" t="s">
        <v>73836</v>
      </c>
      <c r="Y3543" t="s">
        <v>73837</v>
      </c>
    </row>
    <row r="3544" spans="1:25" x14ac:dyDescent="0.3">
      <c r="A3544">
        <v>177150</v>
      </c>
      <c r="B3544" t="s">
        <v>73838</v>
      </c>
      <c r="C3544" t="s">
        <v>73839</v>
      </c>
      <c r="D3544" t="s">
        <v>73840</v>
      </c>
      <c r="E3544">
        <f>-700.517873019445 -13.9094295493746 -426.159741125187</f>
        <v>-1140.5870436940068</v>
      </c>
      <c r="F3544">
        <f>-713.810899841467 -68.4241419764173 -520.214444979827</f>
        <v>-1302.4494867977114</v>
      </c>
      <c r="G3544">
        <f>-721.36588988819 -133.518680624835 -607.966816311069</f>
        <v>-1462.8513868240941</v>
      </c>
      <c r="H3544">
        <f>-726.683853737783 -234.461263369192 -721.906789260283</f>
        <v>-1683.051906367258</v>
      </c>
      <c r="I3544">
        <f>-701.175801112761 -315.177395627934 -778.627397119734</f>
        <v>-1794.9805938604291</v>
      </c>
      <c r="J3544">
        <f>-705.992287692716 -170.787688873605 -689.188844384746</f>
        <v>-1565.9688209510668</v>
      </c>
      <c r="K3544">
        <f>-605.584336186479 -81.4341498937724 -748.944071289557</f>
        <v>-1435.9625573698086</v>
      </c>
      <c r="L3544" t="s">
        <v>73841</v>
      </c>
      <c r="M3544" t="s">
        <v>73842</v>
      </c>
      <c r="N3544">
        <f>-742.669300316766 -208.806859315131 -653.794846242439</f>
        <v>-1605.271005874336</v>
      </c>
      <c r="O3544">
        <f>-826.75607634008 -275.219740404451 -553.143056129768</f>
        <v>-1655.1188728742989</v>
      </c>
      <c r="P3544">
        <f>-762.367962540054 -164.775831591154 -263.587437997261</f>
        <v>-1190.7312321284689</v>
      </c>
      <c r="Q3544">
        <f>-507.205089558704 -116.030999678746 -276.152570303727</f>
        <v>-899.38865954117693</v>
      </c>
      <c r="R3544" t="s">
        <v>73843</v>
      </c>
      <c r="S3544" t="s">
        <v>73844</v>
      </c>
      <c r="T3544" t="s">
        <v>73845</v>
      </c>
      <c r="U3544" t="s">
        <v>73846</v>
      </c>
      <c r="V3544">
        <f>-666.280487621237 -36.0946217606008 -177.968857423008</f>
        <v>-880.34396680484576</v>
      </c>
      <c r="W3544" t="s">
        <v>73847</v>
      </c>
      <c r="X3544" t="s">
        <v>73848</v>
      </c>
      <c r="Y3544" t="s">
        <v>73849</v>
      </c>
    </row>
    <row r="3545" spans="1:25" x14ac:dyDescent="0.3">
      <c r="A3545">
        <v>177200</v>
      </c>
      <c r="B3545" t="s">
        <v>73850</v>
      </c>
      <c r="C3545" t="s">
        <v>73851</v>
      </c>
      <c r="D3545" t="s">
        <v>73852</v>
      </c>
      <c r="E3545">
        <f>-699.85397718144 -14.0600741692101 -421.214185967996</f>
        <v>-1135.1282373186461</v>
      </c>
      <c r="F3545">
        <f>-713.508913522774 -69.6217806071538 -514.602062310636</f>
        <v>-1297.7327564405639</v>
      </c>
      <c r="G3545">
        <f>-721.382513452317 -135.826714995432 -601.491470590327</f>
        <v>-1458.700699038076</v>
      </c>
      <c r="H3545">
        <f>-727.112086690798 -238.341730524724 -713.998515962614</f>
        <v>-1679.4523331781361</v>
      </c>
      <c r="I3545">
        <f>-701.911504623565 -319.829452540948 -769.744961290702</f>
        <v>-1791.4859184552151</v>
      </c>
      <c r="J3545">
        <f>-706.203577535361 -174.275179581391 -682.198708905139</f>
        <v>-1562.677466021891</v>
      </c>
      <c r="K3545">
        <f>-605.774713690854 -86.1201929343126 -743.537221081</f>
        <v>-1435.4321277061667</v>
      </c>
      <c r="L3545" t="s">
        <v>73853</v>
      </c>
      <c r="M3545" t="s">
        <v>73854</v>
      </c>
      <c r="N3545">
        <f>-742.950271438138 -211.688851239381 -646.236574801237</f>
        <v>-1600.8756974787561</v>
      </c>
      <c r="O3545">
        <f>-827.016017857757 -276.576613385775 -544.475958675252</f>
        <v>-1648.0685899187838</v>
      </c>
      <c r="P3545">
        <f>-762.15872782743 -163.317113554632 -256.115118796945</f>
        <v>-1181.590960179007</v>
      </c>
      <c r="Q3545">
        <f>-507.093912255408 -114.70559388806 -270.978762214161</f>
        <v>-892.77826835762903</v>
      </c>
      <c r="R3545" t="s">
        <v>73855</v>
      </c>
      <c r="S3545" t="s">
        <v>73856</v>
      </c>
      <c r="T3545" t="s">
        <v>73857</v>
      </c>
      <c r="U3545" t="s">
        <v>73858</v>
      </c>
      <c r="V3545">
        <f>-664.401605882859 -33.9712261126192 -173.241008760208</f>
        <v>-871.61384075568617</v>
      </c>
      <c r="W3545" t="s">
        <v>73859</v>
      </c>
      <c r="X3545" t="s">
        <v>73860</v>
      </c>
      <c r="Y3545" t="s">
        <v>73861</v>
      </c>
    </row>
    <row r="3546" spans="1:25" x14ac:dyDescent="0.3">
      <c r="A3546">
        <v>177250</v>
      </c>
      <c r="B3546" t="s">
        <v>73862</v>
      </c>
      <c r="C3546" t="s">
        <v>73863</v>
      </c>
      <c r="D3546" t="s">
        <v>73864</v>
      </c>
      <c r="E3546">
        <f>-698.236197079998 -13.7656658400217 -412.925353984038</f>
        <v>-1124.9272169040578</v>
      </c>
      <c r="F3546">
        <f>-712.730676565656 -71.5539957855765 -504.82347703918</f>
        <v>-1289.1081493904126</v>
      </c>
      <c r="G3546">
        <f>-721.016317337991 -140.064226725819 -589.867895425789</f>
        <v>-1450.948439489599</v>
      </c>
      <c r="H3546">
        <f>-726.873158670835 -245.786889859975 -699.359473622861</f>
        <v>-1672.019522153671</v>
      </c>
      <c r="I3546">
        <f>-701.98049544881 -328.78455511589 -752.975964965865</f>
        <v>-1783.7410155305652</v>
      </c>
      <c r="J3546">
        <f>-705.892085199594 -180.848619706786 -669.430739673482</f>
        <v>-1556.1714445798621</v>
      </c>
      <c r="K3546">
        <f>-605.442588255258 -94.9369225737423 -733.793685655591</f>
        <v>-1434.1731964845912</v>
      </c>
      <c r="L3546" t="s">
        <v>73865</v>
      </c>
      <c r="M3546" t="s">
        <v>73866</v>
      </c>
      <c r="N3546">
        <f>-742.671293700818 -217.167182039934 -632.394939576519</f>
        <v>-1592.233415317271</v>
      </c>
      <c r="O3546">
        <f>-826.476275001176 -278.700346842257 -528.343895383115</f>
        <v>-1633.5205172265478</v>
      </c>
      <c r="P3546">
        <f>-760.084100998476 -159.386881939192 -242.787426208507</f>
        <v>-1162.2584091461749</v>
      </c>
      <c r="Q3546">
        <f>-505.095515889786 -112.085038457669 -262.420352666559</f>
        <v>-879.60090701401396</v>
      </c>
      <c r="R3546" t="s">
        <v>73867</v>
      </c>
      <c r="S3546" t="s">
        <v>73868</v>
      </c>
      <c r="T3546" t="s">
        <v>73869</v>
      </c>
      <c r="U3546" t="s">
        <v>73870</v>
      </c>
      <c r="V3546">
        <f>-660.029559773942 -28.9453416285612 -165.429361996354</f>
        <v>-854.40426339885721</v>
      </c>
      <c r="W3546" t="s">
        <v>73871</v>
      </c>
      <c r="X3546" t="s">
        <v>73872</v>
      </c>
      <c r="Y3546" t="s">
        <v>73873</v>
      </c>
    </row>
    <row r="3547" spans="1:25" x14ac:dyDescent="0.3">
      <c r="A3547">
        <v>177300</v>
      </c>
      <c r="B3547" t="s">
        <v>73874</v>
      </c>
      <c r="C3547" t="s">
        <v>73875</v>
      </c>
      <c r="D3547" t="s">
        <v>73876</v>
      </c>
      <c r="E3547">
        <f>-697.998825775315 -12.9753998329854 -411.941280466427</f>
        <v>-1122.9155060747275</v>
      </c>
      <c r="F3547">
        <f>-712.987873062146 -71.906268578912 -503.031086685302</f>
        <v>-1287.92522832636</v>
      </c>
      <c r="G3547">
        <f>-721.504579902472 -141.615161426274 -587.072693551271</f>
        <v>-1450.1924348800169</v>
      </c>
      <c r="H3547">
        <f>-727.394715874698 -249.011197898805 -694.921684434141</f>
        <v>-1671.3275982076439</v>
      </c>
      <c r="I3547">
        <f>-702.445851265117 -332.745122630811 -747.354236176532</f>
        <v>-1782.5452100724601</v>
      </c>
      <c r="J3547">
        <f>-706.476250803865 -183.581876527666 -666.036525221408</f>
        <v>-1556.0946525529391</v>
      </c>
      <c r="K3547">
        <f>-606.266815380602 -98.6011600419117 -732.119822480872</f>
        <v>-1436.9877979033859</v>
      </c>
      <c r="L3547" t="s">
        <v>73877</v>
      </c>
      <c r="M3547" t="s">
        <v>73878</v>
      </c>
      <c r="N3547">
        <f>-743.100772666847 -219.401699667815 -628.367080005836</f>
        <v>-1590.8695523404981</v>
      </c>
      <c r="O3547">
        <f>-826.353523198528 -279.343349865896 -522.993293048517</f>
        <v>-1628.6901661129409</v>
      </c>
      <c r="P3547">
        <f>-759.179003952072 -155.45786319942 -239.574535672687</f>
        <v>-1154.211402824179</v>
      </c>
      <c r="Q3547">
        <f>-504.252781858036 -108.719569972649 -261.259197260174</f>
        <v>-874.23154909085895</v>
      </c>
      <c r="R3547" t="s">
        <v>73879</v>
      </c>
      <c r="S3547" t="s">
        <v>73880</v>
      </c>
      <c r="T3547" t="s">
        <v>73881</v>
      </c>
      <c r="U3547" t="s">
        <v>73882</v>
      </c>
      <c r="V3547">
        <f>-658.250981966875 -25.5131361953518 -164.312921885734</f>
        <v>-848.07704004796074</v>
      </c>
      <c r="W3547" t="s">
        <v>73883</v>
      </c>
      <c r="X3547" t="s">
        <v>73884</v>
      </c>
      <c r="Y3547" t="s">
        <v>73885</v>
      </c>
    </row>
    <row r="3548" spans="1:25" x14ac:dyDescent="0.3">
      <c r="A3548">
        <v>177350</v>
      </c>
      <c r="B3548" t="s">
        <v>73886</v>
      </c>
      <c r="C3548" t="s">
        <v>73887</v>
      </c>
      <c r="D3548" t="s">
        <v>73888</v>
      </c>
      <c r="E3548">
        <f>-695.686509866668 -10.683296949192 -413.742507731952</f>
        <v>-1120.112314547812</v>
      </c>
      <c r="F3548">
        <f>-711.033812824558 -72.0594748120698 -503.142055131645</f>
        <v>-1286.2353427682729</v>
      </c>
      <c r="G3548">
        <f>-720.111663111884 -144.137095643537 -585.10099119838</f>
        <v>-1449.3497499538012</v>
      </c>
      <c r="H3548">
        <f>-726.974763791527 -254.672407404635 -689.670823652534</f>
        <v>-1671.3179948486959</v>
      </c>
      <c r="I3548">
        <f>-702.071557333202 -339.862306778708 -739.725611971066</f>
        <v>-1781.659476082976</v>
      </c>
      <c r="J3548">
        <f>-705.761577432424 -188.441392618328 -662.905686922995</f>
        <v>-1557.108656973747</v>
      </c>
      <c r="K3548">
        <f>-606.289279869008 -105.625898787211 -732.776180765611</f>
        <v>-1444.6913594218299</v>
      </c>
      <c r="L3548" t="s">
        <v>73889</v>
      </c>
      <c r="M3548" t="s">
        <v>73890</v>
      </c>
      <c r="N3548">
        <f>-742.114517106886 -223.086501889853 -623.898160245059</f>
        <v>-1589.0991792417981</v>
      </c>
      <c r="O3548">
        <f>-824.163619483722 -280.047912605576 -516.027685867071</f>
        <v>-1620.239217956369</v>
      </c>
      <c r="P3548">
        <f>-755.474432575738 -148.12354096808 -236.628490034327</f>
        <v>-1140.2264635781448</v>
      </c>
      <c r="Q3548">
        <f>-500.758033093837 -102.01513610525 -261.839683421116</f>
        <v>-864.61285262020294</v>
      </c>
      <c r="R3548" t="s">
        <v>73891</v>
      </c>
      <c r="S3548" t="s">
        <v>73892</v>
      </c>
      <c r="T3548" t="s">
        <v>73893</v>
      </c>
      <c r="U3548" t="s">
        <v>73894</v>
      </c>
      <c r="V3548">
        <f>-656.552378677215 -18.4413970535325 -166.262779143214</f>
        <v>-841.25655487396148</v>
      </c>
      <c r="W3548" t="s">
        <v>73895</v>
      </c>
      <c r="X3548" t="s">
        <v>73896</v>
      </c>
      <c r="Y3548" t="s">
        <v>73897</v>
      </c>
    </row>
    <row r="3549" spans="1:25" x14ac:dyDescent="0.3">
      <c r="A3549">
        <v>177400</v>
      </c>
      <c r="B3549" t="s">
        <v>73898</v>
      </c>
      <c r="C3549" t="s">
        <v>73899</v>
      </c>
      <c r="D3549" t="s">
        <v>73900</v>
      </c>
      <c r="E3549">
        <f>-694.809136254987 -10.0226531716239 -414.573207428459</f>
        <v>-1119.4049968550698</v>
      </c>
      <c r="F3549">
        <f>-710.256081321959 -72.3634502900752 -503.285457618871</f>
        <v>-1285.9049892309051</v>
      </c>
      <c r="G3549">
        <f>-719.622673572523 -145.411876788052 -584.347272748616</f>
        <v>-1449.3818231091909</v>
      </c>
      <c r="H3549">
        <f>-727.091786281983 -257.267891367059 -687.461170847476</f>
        <v>-1671.820848496518</v>
      </c>
      <c r="I3549">
        <f>-702.3573097742 -343.134510445369 -736.431788831223</f>
        <v>-1781.923609050792</v>
      </c>
      <c r="J3549">
        <f>-705.637076051071 -190.747368447119 -661.622645995112</f>
        <v>-1558.0070904933018</v>
      </c>
      <c r="K3549">
        <f>-606.510064428531 -109.034555514209 -733.194748607979</f>
        <v>-1448.7393685507191</v>
      </c>
      <c r="L3549" t="s">
        <v>73901</v>
      </c>
      <c r="M3549" t="s">
        <v>73902</v>
      </c>
      <c r="N3549">
        <f>-741.936800164384 -224.8027692827 -622.050403473925</f>
        <v>-1588.7899729210089</v>
      </c>
      <c r="O3549">
        <f>-823.62525942122 -280.325611293325 -513.142802985994</f>
        <v>-1617.0936737005391</v>
      </c>
      <c r="P3549">
        <f>-754.102848443738 -146.301503393739 -234.951591177796</f>
        <v>-1135.3559430152732</v>
      </c>
      <c r="Q3549">
        <f>-499.493578311795 -100.438300119407 -261.648674854415</f>
        <v>-861.58055328561704</v>
      </c>
      <c r="R3549" t="s">
        <v>73903</v>
      </c>
      <c r="S3549" t="s">
        <v>73904</v>
      </c>
      <c r="T3549" t="s">
        <v>73905</v>
      </c>
      <c r="U3549" t="s">
        <v>73906</v>
      </c>
      <c r="V3549">
        <f>-656.286461492265 -15.8797230460918 -167.064395125025</f>
        <v>-839.23057966338183</v>
      </c>
      <c r="W3549" t="s">
        <v>73907</v>
      </c>
      <c r="X3549" t="s">
        <v>73908</v>
      </c>
      <c r="Y3549" t="s">
        <v>73909</v>
      </c>
    </row>
    <row r="3550" spans="1:25" x14ac:dyDescent="0.3">
      <c r="A3550">
        <v>177450</v>
      </c>
      <c r="B3550" t="s">
        <v>73910</v>
      </c>
      <c r="C3550" t="s">
        <v>73911</v>
      </c>
      <c r="D3550" t="s">
        <v>73912</v>
      </c>
      <c r="E3550">
        <f>-694.923171429762 -8.56476716675957 -415.499179053906</f>
        <v>-1118.9871176504275</v>
      </c>
      <c r="F3550">
        <f>-710.454724834589 -72.2972703752148 -503.202058359337</f>
        <v>-1285.9540535691408</v>
      </c>
      <c r="G3550">
        <f>-720.063751857629 -146.781249034598 -582.918150429975</f>
        <v>-1449.7631513222018</v>
      </c>
      <c r="H3550">
        <f>-728.059649626618 -260.618917262886 -683.799481592424</f>
        <v>-1672.478048481928</v>
      </c>
      <c r="I3550">
        <f>-703.787077285922 -347.491266256593 -731.202387289254</f>
        <v>-1782.4807308317691</v>
      </c>
      <c r="J3550">
        <f>-706.409313445107 -193.642912199559 -659.337321844718</f>
        <v>-1559.3895474893839</v>
      </c>
      <c r="K3550">
        <f>-607.888523245027 -113.649655024809 -733.591063164428</f>
        <v>-1455.129241434264</v>
      </c>
      <c r="L3550" t="s">
        <v>73913</v>
      </c>
      <c r="M3550" t="s">
        <v>73914</v>
      </c>
      <c r="N3550">
        <f>-742.634111337157 -226.85567468111 -618.9878593204</f>
        <v>-1588.4776453386671</v>
      </c>
      <c r="O3550">
        <f>-823.905380505927 -280.403659822031 -508.733931795147</f>
        <v>-1613.0429721231048</v>
      </c>
      <c r="P3550">
        <f>-753.55728729212 -142.954111478184 -232.428042545273</f>
        <v>-1128.9394413155769</v>
      </c>
      <c r="Q3550">
        <f>-499.275454437976 -97.3398853997833 -262.464167467557</f>
        <v>-859.07950730531627</v>
      </c>
      <c r="R3550" t="s">
        <v>73915</v>
      </c>
      <c r="S3550" t="s">
        <v>73916</v>
      </c>
      <c r="T3550" t="s">
        <v>73917</v>
      </c>
      <c r="U3550" t="s">
        <v>73918</v>
      </c>
      <c r="V3550">
        <f>-656.551312657564 -12.0751839106483 -168.164565004831</f>
        <v>-836.79106157304341</v>
      </c>
      <c r="W3550" t="s">
        <v>73919</v>
      </c>
      <c r="X3550" t="s">
        <v>73920</v>
      </c>
      <c r="Y3550" t="s">
        <v>73921</v>
      </c>
    </row>
    <row r="3551" spans="1:25" x14ac:dyDescent="0.3">
      <c r="A3551">
        <v>177500</v>
      </c>
      <c r="B3551" t="s">
        <v>73922</v>
      </c>
      <c r="C3551" t="s">
        <v>73923</v>
      </c>
      <c r="D3551" t="s">
        <v>73924</v>
      </c>
      <c r="E3551">
        <f>-695.780144359495 -8.26002043366134 -415.890501421017</f>
        <v>-1119.9306662141735</v>
      </c>
      <c r="F3551">
        <f>-711.371994613535 -72.504532037103 -503.208199095541</f>
        <v>-1287.0847257461789</v>
      </c>
      <c r="G3551">
        <f>-721.018941535846 -147.528465688366 -582.411652073349</f>
        <v>-1450.959059297561</v>
      </c>
      <c r="H3551">
        <f>-729.05362910762 -262.120128752432 -682.432614773089</f>
        <v>-1673.6063726331411</v>
      </c>
      <c r="I3551">
        <f>-704.97324842573 -349.355715334992 -729.262791301331</f>
        <v>-1783.5917550620529</v>
      </c>
      <c r="J3551">
        <f>-707.419194153325 -194.949889373999 -658.494644097673</f>
        <v>-1560.863727624997</v>
      </c>
      <c r="K3551">
        <f>-608.946453906438 -115.614345233293 -733.58042016718</f>
        <v>-1458.1412193069109</v>
      </c>
      <c r="L3551" t="s">
        <v>73925</v>
      </c>
      <c r="M3551" t="s">
        <v>73926</v>
      </c>
      <c r="N3551">
        <f>-743.577919435251 -227.883899447774 -617.85837250841</f>
        <v>-1589.3201913914349</v>
      </c>
      <c r="O3551">
        <f>-824.551762639107 -280.768302830653 -507.088064207918</f>
        <v>-1612.4081296776781</v>
      </c>
      <c r="P3551">
        <f>-754.072840548588 -141.740168499953 -231.606387358881</f>
        <v>-1127.419396407422</v>
      </c>
      <c r="Q3551">
        <f>-499.816988948471 -96.8039382463851 -262.859327125521</f>
        <v>-859.48025432037707</v>
      </c>
      <c r="R3551" t="s">
        <v>73927</v>
      </c>
      <c r="S3551" t="s">
        <v>73928</v>
      </c>
      <c r="T3551" t="s">
        <v>73929</v>
      </c>
      <c r="U3551" t="s">
        <v>73930</v>
      </c>
      <c r="V3551">
        <f>-657.115752983961 -11.0051394315562 -168.695304650771</f>
        <v>-836.81619706628817</v>
      </c>
      <c r="W3551" t="s">
        <v>73931</v>
      </c>
      <c r="X3551" t="s">
        <v>73932</v>
      </c>
      <c r="Y3551" t="s">
        <v>73933</v>
      </c>
    </row>
    <row r="3552" spans="1:25" x14ac:dyDescent="0.3">
      <c r="A3552">
        <v>177550</v>
      </c>
      <c r="B3552" t="s">
        <v>73934</v>
      </c>
      <c r="C3552" t="s">
        <v>73935</v>
      </c>
      <c r="D3552" t="s">
        <v>73936</v>
      </c>
      <c r="E3552">
        <f>-697.48095952054 -9.06147910605 -416.405916687522</f>
        <v>-1122.948355314112</v>
      </c>
      <c r="F3552">
        <f>-712.878732327874 -74.0270874864389 -503.223090260892</f>
        <v>-1290.1289100752049</v>
      </c>
      <c r="G3552">
        <f>-722.39381648746 -149.812731961035 -581.71404612318</f>
        <v>-1453.9205945716749</v>
      </c>
      <c r="H3552">
        <f>-730.322513953797 -265.466372379097 -680.51382345717</f>
        <v>-1676.302709790064</v>
      </c>
      <c r="I3552">
        <f>-706.400649075707 -353.23385077355 -726.422435452054</f>
        <v>-1786.0569353013107</v>
      </c>
      <c r="J3552">
        <f>-708.798075211084 -198.002550725965 -657.313484997713</f>
        <v>-1564.1141109347618</v>
      </c>
      <c r="K3552">
        <f>-610.537388907096 -119.346132259748 -733.410269018269</f>
        <v>-1463.293790185113</v>
      </c>
      <c r="L3552" t="s">
        <v>73937</v>
      </c>
      <c r="M3552" t="s">
        <v>73938</v>
      </c>
      <c r="N3552">
        <f>-744.830463225685 -230.583775643214 -616.282643863455</f>
        <v>-1591.696882732354</v>
      </c>
      <c r="O3552">
        <f>-825.46171817249 -282.53579773798 -504.852468041443</f>
        <v>-1612.8499839519129</v>
      </c>
      <c r="P3552">
        <f>-754.504397554572 -141.459169434743 -230.537635034934</f>
        <v>-1126.5012020242491</v>
      </c>
      <c r="Q3552">
        <f>-499.959404881337 -99.0487797152341 -262.945189168613</f>
        <v>-861.9533737651841</v>
      </c>
      <c r="R3552" t="s">
        <v>73939</v>
      </c>
      <c r="S3552" t="s">
        <v>73940</v>
      </c>
      <c r="T3552" t="s">
        <v>73941</v>
      </c>
      <c r="U3552" t="s">
        <v>73942</v>
      </c>
      <c r="V3552">
        <f>-659.423112942973 -10.4304543338476 -169.710073452972</f>
        <v>-839.56364072979261</v>
      </c>
      <c r="W3552" t="s">
        <v>73943</v>
      </c>
      <c r="X3552" t="s">
        <v>73944</v>
      </c>
      <c r="Y3552" t="s">
        <v>73945</v>
      </c>
    </row>
    <row r="3553" spans="1:25" x14ac:dyDescent="0.3">
      <c r="A3553">
        <v>177600</v>
      </c>
      <c r="B3553" t="s">
        <v>73946</v>
      </c>
      <c r="C3553" t="s">
        <v>73947</v>
      </c>
      <c r="D3553" t="s">
        <v>73948</v>
      </c>
      <c r="E3553">
        <f>-699.132425154334 -9.41395653666905 -416.992663927744</f>
        <v>-1125.539045618747</v>
      </c>
      <c r="F3553">
        <f>-714.52948923257 -74.5402510913277 -503.689623098546</f>
        <v>-1292.7593634224436</v>
      </c>
      <c r="G3553">
        <f>-723.997193721706 -150.521096895472 -581.997496381745</f>
        <v>-1456.515786998923</v>
      </c>
      <c r="H3553">
        <f>-731.818810032129 -266.467700007241 -680.461775141072</f>
        <v>-1678.7482851804421</v>
      </c>
      <c r="I3553">
        <f>-707.814410495593 -354.398381748553 -726.013617594078</f>
        <v>-1788.2264098382238</v>
      </c>
      <c r="J3553">
        <f>-710.359422904491 -198.915809370703 -657.458269603332</f>
        <v>-1566.7335018785261</v>
      </c>
      <c r="K3553">
        <f>-612.167165258933 -120.517188813324 -733.787676930167</f>
        <v>-1466.472031002424</v>
      </c>
      <c r="L3553" t="s">
        <v>73949</v>
      </c>
      <c r="M3553" t="s">
        <v>73950</v>
      </c>
      <c r="N3553">
        <f>-746.356455813197 -231.413918663088 -616.330626530702</f>
        <v>-1594.1010010069872</v>
      </c>
      <c r="O3553">
        <f>-827.028501726768 -282.938732751628 -504.674377911317</f>
        <v>-1614.6416123897129</v>
      </c>
      <c r="P3553">
        <f>-755.561019547957 -141.018563064927 -230.927619244382</f>
        <v>-1127.507201857266</v>
      </c>
      <c r="Q3553">
        <f>-500.842823375955 -99.6363545694646 -263.30476251785</f>
        <v>-863.78394046326957</v>
      </c>
      <c r="R3553" t="s">
        <v>73951</v>
      </c>
      <c r="S3553" t="s">
        <v>73952</v>
      </c>
      <c r="T3553" t="s">
        <v>73953</v>
      </c>
      <c r="U3553" t="s">
        <v>73954</v>
      </c>
      <c r="V3553">
        <f>-660.815288377258 -10.467945547324 -170.49800290333</f>
        <v>-841.78123682791193</v>
      </c>
      <c r="W3553" t="s">
        <v>73955</v>
      </c>
      <c r="X3553" t="s">
        <v>73956</v>
      </c>
      <c r="Y3553" t="s">
        <v>73957</v>
      </c>
    </row>
    <row r="3554" spans="1:25" x14ac:dyDescent="0.3">
      <c r="A3554">
        <v>177650</v>
      </c>
      <c r="B3554" t="s">
        <v>73958</v>
      </c>
      <c r="C3554" t="s">
        <v>73959</v>
      </c>
      <c r="D3554" t="s">
        <v>73960</v>
      </c>
      <c r="E3554">
        <f>-701.84834933083 -10.5891972770105 -418.747852267049</f>
        <v>-1131.1853988748894</v>
      </c>
      <c r="F3554">
        <f>-717.078988890537 -76.0355339497851 -505.232906557816</f>
        <v>-1298.347429398138</v>
      </c>
      <c r="G3554">
        <f>-726.469250786665 -152.336039805179 -583.238659872721</f>
        <v>-1462.0439504645651</v>
      </c>
      <c r="H3554">
        <f>-734.283813272168 -268.713418779251 -681.193925430237</f>
        <v>-1684.1911574816559</v>
      </c>
      <c r="I3554">
        <f>-710.114289320812 -356.88547853758 -726.188621266069</f>
        <v>-1793.1883891244611</v>
      </c>
      <c r="J3554">
        <f>-712.816559201389 -201.066001464297 -658.480641248098</f>
        <v>-1572.363201913784</v>
      </c>
      <c r="K3554">
        <f>-614.468674942022 -123.12576917274 -735.14933587857</f>
        <v>-1472.7437799933318</v>
      </c>
      <c r="L3554" t="s">
        <v>73961</v>
      </c>
      <c r="M3554" t="s">
        <v>73962</v>
      </c>
      <c r="N3554">
        <f>-748.83573053577 -233.374163401325 -617.222828906639</f>
        <v>-1599.4327228437342</v>
      </c>
      <c r="O3554">
        <f>-829.457610491256 -284.353785714082 -505.31846432783</f>
        <v>-1619.1298605331681</v>
      </c>
      <c r="P3554">
        <f>-757.774064565725 -140.75800964003 -232.503652672561</f>
        <v>-1131.0357268783159</v>
      </c>
      <c r="Q3554">
        <f>-502.865288473499 -100.842572986459 -265.220146519625</f>
        <v>-868.92800797958296</v>
      </c>
      <c r="R3554" t="s">
        <v>73963</v>
      </c>
      <c r="S3554" t="s">
        <v>73964</v>
      </c>
      <c r="T3554" t="s">
        <v>73965</v>
      </c>
      <c r="U3554" t="s">
        <v>73966</v>
      </c>
      <c r="V3554">
        <f>-664.102025630851 -10.9681038445126 -172.484374786388</f>
        <v>-847.55450426175162</v>
      </c>
      <c r="W3554" t="s">
        <v>73967</v>
      </c>
      <c r="X3554" t="s">
        <v>73968</v>
      </c>
      <c r="Y3554" t="s">
        <v>73969</v>
      </c>
    </row>
    <row r="3555" spans="1:25" x14ac:dyDescent="0.3">
      <c r="A3555">
        <v>177700</v>
      </c>
      <c r="B3555" t="s">
        <v>73970</v>
      </c>
      <c r="C3555" t="s">
        <v>73971</v>
      </c>
      <c r="D3555" t="s">
        <v>73972</v>
      </c>
      <c r="E3555">
        <f>-702.752526038647 -11.2759509540756 -419.992047399849</f>
        <v>-1134.0205243925716</v>
      </c>
      <c r="F3555">
        <f>-717.852312730134 -76.7786628292774 -506.457205532066</f>
        <v>-1301.0881810914775</v>
      </c>
      <c r="G3555">
        <f>-727.204545861105 -153.148624876421 -584.399546609402</f>
        <v>-1464.752717346928</v>
      </c>
      <c r="H3555">
        <f>-735.069198470089 -269.630889593153 -682.226120981679</f>
        <v>-1686.9262090449211</v>
      </c>
      <c r="I3555">
        <f>-710.859724949817 -357.86723952147 -727.072681906111</f>
        <v>-1795.7996463773979</v>
      </c>
      <c r="J3555">
        <f>-713.539662071972 -201.983559246352 -659.571214308459</f>
        <v>-1575.094435626783</v>
      </c>
      <c r="K3555">
        <f>-615.05981507631 -124.272717322317 -736.290847111636</f>
        <v>-1475.623379510263</v>
      </c>
      <c r="L3555" t="s">
        <v>73973</v>
      </c>
      <c r="M3555" t="s">
        <v>73974</v>
      </c>
      <c r="N3555">
        <f>-749.638923149431 -234.198531192422 -618.310556964113</f>
        <v>-1602.1480113059661</v>
      </c>
      <c r="O3555">
        <f>-830.388699349185 -284.916287762894 -506.357288731883</f>
        <v>-1621.6622758439621</v>
      </c>
      <c r="P3555">
        <f>-758.900822451046 -140.774831623089 -233.779028292337</f>
        <v>-1133.4546823664718</v>
      </c>
      <c r="Q3555">
        <f>-503.824703352017 -101.606308887232 -266.091422906758</f>
        <v>-871.52243514600707</v>
      </c>
      <c r="R3555" t="s">
        <v>73975</v>
      </c>
      <c r="S3555" t="s">
        <v>73976</v>
      </c>
      <c r="T3555" t="s">
        <v>73977</v>
      </c>
      <c r="U3555" t="s">
        <v>73978</v>
      </c>
      <c r="V3555">
        <f>-665.747250354143 -11.569142218043 -173.737574005579</f>
        <v>-851.0539665777651</v>
      </c>
      <c r="W3555" t="s">
        <v>73979</v>
      </c>
      <c r="X3555" t="s">
        <v>73980</v>
      </c>
      <c r="Y3555" t="s">
        <v>73981</v>
      </c>
    </row>
    <row r="3556" spans="1:25" x14ac:dyDescent="0.3">
      <c r="A3556">
        <v>177750</v>
      </c>
      <c r="B3556" t="s">
        <v>73982</v>
      </c>
      <c r="C3556" t="s">
        <v>73983</v>
      </c>
      <c r="D3556" t="s">
        <v>73984</v>
      </c>
      <c r="E3556">
        <f>-704.384413419999 -12.6954046965623 -422.671686259602</f>
        <v>-1139.7515043761632</v>
      </c>
      <c r="F3556">
        <f>-719.052235976148 -78.1569982011972 -509.242500869027</f>
        <v>-1306.4517350463723</v>
      </c>
      <c r="G3556">
        <f>-728.174522141864 -154.518500925275 -587.220451953623</f>
        <v>-1469.913475020762</v>
      </c>
      <c r="H3556">
        <f>-735.939663113131 -271.015416264177 -685.037316833477</f>
        <v>-1691.992396210785</v>
      </c>
      <c r="I3556">
        <f>-711.785336834772 -359.319543950827 -729.780351983967</f>
        <v>-1800.8852327695661</v>
      </c>
      <c r="J3556">
        <f>-714.305519251971 -203.42692743049 -662.306799554907</f>
        <v>-1580.0392462373679</v>
      </c>
      <c r="K3556">
        <f>-615.275907095808 -126.070956836706 -738.656507194454</f>
        <v>-1480.003371126968</v>
      </c>
      <c r="L3556" t="s">
        <v>73985</v>
      </c>
      <c r="M3556" t="s">
        <v>73986</v>
      </c>
      <c r="N3556">
        <f>-750.702152896715 -235.511351597481 -621.205959879547</f>
        <v>-1607.419464373743</v>
      </c>
      <c r="O3556">
        <f>-832.073354611254 -285.959996697145 -509.577332907255</f>
        <v>-1627.6106842156541</v>
      </c>
      <c r="P3556">
        <f>-761.455474073155 -141.98923529627 -236.68214494503</f>
        <v>-1140.1268543144549</v>
      </c>
      <c r="Q3556">
        <f>-506.055397111016 -103.894448096092 -267.692713049825</f>
        <v>-877.64255825693306</v>
      </c>
      <c r="R3556" t="s">
        <v>73987</v>
      </c>
      <c r="S3556" t="s">
        <v>73988</v>
      </c>
      <c r="T3556" t="s">
        <v>73989</v>
      </c>
      <c r="U3556" t="s">
        <v>73990</v>
      </c>
      <c r="V3556">
        <f>-669.429823457257 -12.985174435988 -176.181245600935</f>
        <v>-858.59624349418004</v>
      </c>
      <c r="W3556" t="s">
        <v>73991</v>
      </c>
      <c r="X3556" t="s">
        <v>73992</v>
      </c>
      <c r="Y3556" t="s">
        <v>73993</v>
      </c>
    </row>
    <row r="3557" spans="1:25" x14ac:dyDescent="0.3">
      <c r="A3557">
        <v>177800</v>
      </c>
      <c r="B3557" t="s">
        <v>73994</v>
      </c>
      <c r="C3557" t="s">
        <v>73995</v>
      </c>
      <c r="D3557" t="s">
        <v>73996</v>
      </c>
      <c r="E3557">
        <f>-704.896437028123 -13.4305435246192 -424.072332410658</f>
        <v>-1142.3993129634002</v>
      </c>
      <c r="F3557">
        <f>-719.265208593474 -78.7122440266667 -510.828919629355</f>
        <v>-1308.8063722494958</v>
      </c>
      <c r="G3557">
        <f>-728.200537029517 -154.898322308671 -588.999735904885</f>
        <v>-1472.0985952430731</v>
      </c>
      <c r="H3557">
        <f>-735.824619874549 -271.161898047855 -687.104943813976</f>
        <v>-1694.0914617363799</v>
      </c>
      <c r="I3557">
        <f>-711.718962757803 -359.406038750963 -731.992527431276</f>
        <v>-1803.1175289400421</v>
      </c>
      <c r="J3557">
        <f>-714.174164217259 -203.65214779167 -664.157424582081</f>
        <v>-1581.98373659101</v>
      </c>
      <c r="K3557">
        <f>-614.762383487683 -126.273440832924 -740.009346490029</f>
        <v>-1481.0451708106359</v>
      </c>
      <c r="L3557" t="s">
        <v>73997</v>
      </c>
      <c r="M3557" t="s">
        <v>73998</v>
      </c>
      <c r="N3557">
        <f>-750.728403686914 -235.785775732457 -623.235469776312</f>
        <v>-1609.7496491956831</v>
      </c>
      <c r="O3557">
        <f>-832.473277936329 -286.268045834834 -511.902083231075</f>
        <v>-1630.6434070022381</v>
      </c>
      <c r="P3557">
        <f>-762.451724666429 -142.38607698479 -238.806483451193</f>
        <v>-1143.6442851024121</v>
      </c>
      <c r="Q3557">
        <f>-506.785403886129 -104.905510221466 -268.336389348284</f>
        <v>-880.02730345587906</v>
      </c>
      <c r="R3557" t="s">
        <v>73999</v>
      </c>
      <c r="S3557" t="s">
        <v>74000</v>
      </c>
      <c r="T3557" t="s">
        <v>74001</v>
      </c>
      <c r="U3557" t="s">
        <v>74002</v>
      </c>
      <c r="V3557">
        <f>-671.07858444055 -13.8496496806317 -177.38146133884</f>
        <v>-862.30969546002177</v>
      </c>
      <c r="W3557" t="s">
        <v>74003</v>
      </c>
      <c r="X3557" t="s">
        <v>74004</v>
      </c>
      <c r="Y3557" t="s">
        <v>74005</v>
      </c>
    </row>
    <row r="3558" spans="1:25" x14ac:dyDescent="0.3">
      <c r="A3558">
        <v>177850</v>
      </c>
      <c r="B3558" t="s">
        <v>74006</v>
      </c>
      <c r="C3558" t="s">
        <v>74007</v>
      </c>
      <c r="D3558" t="s">
        <v>74008</v>
      </c>
      <c r="E3558">
        <f>-705.900752015436 -14.6801166413277 -426.895096916496</f>
        <v>-1147.4759655732596</v>
      </c>
      <c r="F3558">
        <f>-719.664174330348 -79.3554521630197 -514.202144105623</f>
        <v>-1313.2217705989906</v>
      </c>
      <c r="G3558">
        <f>-728.124492885332 -154.941632633344 -593.005701078265</f>
        <v>-1476.071826596941</v>
      </c>
      <c r="H3558">
        <f>-735.228475312749 -270.401172194154 -692.094637414515</f>
        <v>-1697.7242849214181</v>
      </c>
      <c r="I3558">
        <f>-711.007191085205 -358.266015873061 -737.658842318685</f>
        <v>-1806.9320492769509</v>
      </c>
      <c r="J3558">
        <f>-713.656963634588 -203.102964397001 -668.461090034089</f>
        <v>-1585.221018065678</v>
      </c>
      <c r="K3558">
        <f>-613.542494982112 -125.338300072873 -742.913680495012</f>
        <v>-1481.7944755499971</v>
      </c>
      <c r="L3558" t="s">
        <v>74009</v>
      </c>
      <c r="M3558" t="s">
        <v>74010</v>
      </c>
      <c r="N3558">
        <f>-750.513422604439 -235.52487363427 -628.040562910633</f>
        <v>-1614.078859149342</v>
      </c>
      <c r="O3558">
        <f>-833.039367041477 -286.535008160922 -517.484878179861</f>
        <v>-1637.0592533822601</v>
      </c>
      <c r="P3558">
        <f>-764.391523332703 -144.467427242079 -243.093744317582</f>
        <v>-1151.952694892364</v>
      </c>
      <c r="Q3558">
        <f>-508.529987020582 -106.741042276757 -270.54619722671</f>
        <v>-885.81722652404892</v>
      </c>
      <c r="R3558" t="s">
        <v>74011</v>
      </c>
      <c r="S3558" t="s">
        <v>74012</v>
      </c>
      <c r="T3558" t="s">
        <v>74013</v>
      </c>
      <c r="U3558" t="s">
        <v>74014</v>
      </c>
      <c r="V3558">
        <f>-674.180562865505 -16.3399703442121 -179.962207646886</f>
        <v>-870.48274085660307</v>
      </c>
      <c r="W3558" t="s">
        <v>74015</v>
      </c>
      <c r="X3558" t="s">
        <v>74016</v>
      </c>
      <c r="Y3558" t="s">
        <v>74017</v>
      </c>
    </row>
    <row r="3559" spans="1:25" x14ac:dyDescent="0.3">
      <c r="A3559">
        <v>177900</v>
      </c>
      <c r="B3559" t="s">
        <v>74018</v>
      </c>
      <c r="C3559" t="s">
        <v>74019</v>
      </c>
      <c r="D3559" t="s">
        <v>74020</v>
      </c>
      <c r="E3559">
        <f>-706.360642501746 -15.0924523440369 -428.601367831434</f>
        <v>-1150.0544626772171</v>
      </c>
      <c r="F3559">
        <f>-719.68106789733 -79.2390605226315 -516.366024243189</f>
        <v>-1315.2861526631505</v>
      </c>
      <c r="G3559">
        <f>-727.752485151615 -154.296251634298 -595.714132302387</f>
        <v>-1477.7628690883</v>
      </c>
      <c r="H3559">
        <f>-734.376954091031 -269.04170350751 -695.661979307109</f>
        <v>-1699.0806369056502</v>
      </c>
      <c r="I3559">
        <f>-709.925011559734 -356.515955032155 -741.850286473286</f>
        <v>-1808.2912530651752</v>
      </c>
      <c r="J3559">
        <f>-712.992962388422 -201.878988526386 -671.47963074331</f>
        <v>-1586.351581658118</v>
      </c>
      <c r="K3559">
        <f>-612.639923124739 -123.517139875426 -745.062236130075</f>
        <v>-1481.21929913024</v>
      </c>
      <c r="L3559" t="s">
        <v>74021</v>
      </c>
      <c r="M3559" t="s">
        <v>74022</v>
      </c>
      <c r="N3559">
        <f>-749.898804763268 -234.661920022317 -631.39678099446</f>
        <v>-1615.9575057800448</v>
      </c>
      <c r="O3559">
        <f>-832.6742992126 -286.301526190503 -521.38564068995</f>
        <v>-1640.361466093053</v>
      </c>
      <c r="P3559">
        <f>-764.897239859929 -145.702498326635 -246.023477362079</f>
        <v>-1156.623215548643</v>
      </c>
      <c r="Q3559">
        <f>-508.990228969688 -107.269366204333 -272.033730224367</f>
        <v>-888.29332539838799</v>
      </c>
      <c r="R3559" t="s">
        <v>74023</v>
      </c>
      <c r="S3559" t="s">
        <v>74024</v>
      </c>
      <c r="T3559" t="s">
        <v>74025</v>
      </c>
      <c r="U3559" t="s">
        <v>74026</v>
      </c>
      <c r="V3559">
        <f>-675.580377164929 -17.7914709549123 -181.552658569693</f>
        <v>-874.92450668953427</v>
      </c>
      <c r="W3559" t="s">
        <v>74027</v>
      </c>
      <c r="X3559" t="s">
        <v>74028</v>
      </c>
      <c r="Y3559" t="s">
        <v>74029</v>
      </c>
    </row>
    <row r="3560" spans="1:25" x14ac:dyDescent="0.3">
      <c r="A3560">
        <v>177950</v>
      </c>
      <c r="B3560" t="s">
        <v>74030</v>
      </c>
      <c r="C3560" t="s">
        <v>74031</v>
      </c>
      <c r="D3560" t="s">
        <v>74032</v>
      </c>
      <c r="E3560">
        <f>-707.508805717787 -15.1096965113829 -432.579243330977</f>
        <v>-1155.197745560147</v>
      </c>
      <c r="F3560">
        <f>-719.897446932274 -77.8499965921435 -521.48952712701</f>
        <v>-1319.2369706514273</v>
      </c>
      <c r="G3560">
        <f>-727.135781614144 -151.456391032822 -602.264237863433</f>
        <v>-1480.856410510399</v>
      </c>
      <c r="H3560">
        <f>-732.708902037323 -264.204501736439 -704.522744362165</f>
        <v>-1701.4361481359269</v>
      </c>
      <c r="I3560">
        <f>-707.555612900836 -350.493964778503 -752.527189197781</f>
        <v>-1810.57676687712</v>
      </c>
      <c r="J3560">
        <f>-711.826537440275 -197.411014608885 -678.920377919778</f>
        <v>-1588.1579299689381</v>
      </c>
      <c r="K3560">
        <f>-611.587952811652 -116.972944571889 -750.368735435294</f>
        <v>-1478.929632818835</v>
      </c>
      <c r="L3560" t="s">
        <v>74033</v>
      </c>
      <c r="M3560" t="s">
        <v>74034</v>
      </c>
      <c r="N3560">
        <f>-748.659339246649 -231.222817797249 -639.632844039529</f>
        <v>-1619.515001083427</v>
      </c>
      <c r="O3560">
        <f>-831.615964223538 -285.530364561506 -531.024970858046</f>
        <v>-1648.1712996430902</v>
      </c>
      <c r="P3560">
        <f>-765.907193777081 -148.806356227921 -253.220803253123</f>
        <v>-1167.9343532581252</v>
      </c>
      <c r="Q3560">
        <f>-510.087989989366 -107.920819554774 -276.177368578751</f>
        <v>-894.18617812289108</v>
      </c>
      <c r="R3560" t="s">
        <v>74035</v>
      </c>
      <c r="S3560" t="s">
        <v>74036</v>
      </c>
      <c r="T3560" t="s">
        <v>74037</v>
      </c>
      <c r="U3560" t="s">
        <v>74038</v>
      </c>
      <c r="V3560">
        <f>-678.381658257806 -20.7205836453961 -185.296853464165</f>
        <v>-884.39909536736707</v>
      </c>
      <c r="W3560" t="s">
        <v>74039</v>
      </c>
      <c r="X3560" t="s">
        <v>74040</v>
      </c>
      <c r="Y3560" t="s">
        <v>74041</v>
      </c>
    </row>
    <row r="3561" spans="1:25" x14ac:dyDescent="0.3">
      <c r="A3561">
        <v>178000</v>
      </c>
      <c r="B3561" t="s">
        <v>74042</v>
      </c>
      <c r="C3561" t="s">
        <v>74043</v>
      </c>
      <c r="D3561" t="s">
        <v>74044</v>
      </c>
      <c r="E3561">
        <f>-707.930504605796 -14.6430530335106 -434.870095544768</f>
        <v>-1157.4436531840747</v>
      </c>
      <c r="F3561">
        <f>-719.891914571323 -76.4211973443494 -524.509608477217</f>
        <v>-1320.8227203928893</v>
      </c>
      <c r="G3561">
        <f>-726.739584537526 -149.021463384711 -606.223617868199</f>
        <v>-1481.9846657904359</v>
      </c>
      <c r="H3561">
        <f>-731.803166908639 -260.370473395583 -710.029947952829</f>
        <v>-1702.2035882570513</v>
      </c>
      <c r="I3561">
        <f>-706.240773769289 -345.807496475901 -759.325642331437</f>
        <v>-1811.3739125766269</v>
      </c>
      <c r="J3561">
        <f>-711.213406772037 -193.848189257603 -683.501342156067</f>
        <v>-1588.562938185707</v>
      </c>
      <c r="K3561">
        <f>-611.236547913831 -111.999999198989 -753.717123433805</f>
        <v>-1476.9536705466251</v>
      </c>
      <c r="L3561" t="s">
        <v>74045</v>
      </c>
      <c r="M3561" t="s">
        <v>74046</v>
      </c>
      <c r="N3561">
        <f>-747.911944081221 -228.35578229511 -644.696225557464</f>
        <v>-1620.963951933795</v>
      </c>
      <c r="O3561">
        <f>-830.802756342123 -284.438276394656 -536.963558166063</f>
        <v>-1652.2045909028418</v>
      </c>
      <c r="P3561">
        <f>-766.227919542654 -150.361852292384 -257.607532365794</f>
        <v>-1174.1973042008321</v>
      </c>
      <c r="Q3561">
        <f>-510.514276656311 -107.8275412623 -278.664576706801</f>
        <v>-897.00639462541199</v>
      </c>
      <c r="R3561" t="s">
        <v>74047</v>
      </c>
      <c r="S3561" t="s">
        <v>74048</v>
      </c>
      <c r="T3561" t="s">
        <v>74049</v>
      </c>
      <c r="U3561" t="s">
        <v>74050</v>
      </c>
      <c r="V3561">
        <f>-679.390620320953 -22.0442715880367 -187.421396949032</f>
        <v>-888.85628885802168</v>
      </c>
      <c r="W3561" t="s">
        <v>74051</v>
      </c>
      <c r="X3561" t="s">
        <v>74052</v>
      </c>
      <c r="Y3561" t="s">
        <v>74053</v>
      </c>
    </row>
    <row r="3562" spans="1:25" x14ac:dyDescent="0.3">
      <c r="A3562">
        <v>178050</v>
      </c>
      <c r="B3562" t="s">
        <v>74054</v>
      </c>
      <c r="C3562" t="s">
        <v>74055</v>
      </c>
      <c r="D3562" t="s">
        <v>74056</v>
      </c>
      <c r="E3562">
        <f>-707.865791756949 -13.3497673228749 -440.683341909601</f>
        <v>-1161.8989009894249</v>
      </c>
      <c r="F3562">
        <f>-718.895027116567 -72.7833479895407 -532.011770312464</f>
        <v>-1323.6901454185718</v>
      </c>
      <c r="G3562">
        <f>-724.874823280047 -142.927627868146 -615.909635564113</f>
        <v>-1483.7120867123062</v>
      </c>
      <c r="H3562">
        <f>-728.778314685359 -250.847628284583 -723.325062806837</f>
        <v>-1702.9510057767789</v>
      </c>
      <c r="I3562">
        <f>-702.344301503234 -334.15597380329 -775.707736345058</f>
        <v>-1812.208011651582</v>
      </c>
      <c r="J3562">
        <f>-708.907760078021 -185.010572982215 -694.627179899207</f>
        <v>-1588.5455129594429</v>
      </c>
      <c r="K3562">
        <f>-609.839129236214 -99.6784984058636 -761.903447257669</f>
        <v>-1471.4210748997466</v>
      </c>
      <c r="L3562" t="s">
        <v>74057</v>
      </c>
      <c r="M3562" t="s">
        <v>74058</v>
      </c>
      <c r="N3562">
        <f>-745.194555142993 -221.182213264681 -656.967056120404</f>
        <v>-1623.3438245280779</v>
      </c>
      <c r="O3562">
        <f>-827.633775051479 -281.64506205106 -551.262833108852</f>
        <v>-1660.541670211391</v>
      </c>
      <c r="P3562">
        <f>-765.384564514905 -154.328791357117 -268.240174540757</f>
        <v>-1187.9535304127789</v>
      </c>
      <c r="Q3562">
        <f>-510.189138096871 -107.763864918306 -286.922276939214</f>
        <v>-904.87527995439086</v>
      </c>
      <c r="R3562" t="s">
        <v>74059</v>
      </c>
      <c r="S3562" t="s">
        <v>74060</v>
      </c>
      <c r="T3562" t="s">
        <v>74061</v>
      </c>
      <c r="U3562" t="s">
        <v>74062</v>
      </c>
      <c r="V3562">
        <f>-680.974561694092 -24.8799978485258 -192.963036113826</f>
        <v>-898.81759565644381</v>
      </c>
      <c r="W3562" t="s">
        <v>74063</v>
      </c>
      <c r="X3562" t="s">
        <v>74064</v>
      </c>
      <c r="Y3562" t="s">
        <v>74065</v>
      </c>
    </row>
    <row r="3563" spans="1:25" x14ac:dyDescent="0.3">
      <c r="A3563">
        <v>178100</v>
      </c>
      <c r="B3563" t="s">
        <v>74066</v>
      </c>
      <c r="C3563" t="s">
        <v>74067</v>
      </c>
      <c r="D3563" t="s">
        <v>74068</v>
      </c>
      <c r="E3563">
        <f>-707.716820953076 -12.4374807417887 -444.304166131202</f>
        <v>-1164.4584678260667</v>
      </c>
      <c r="F3563">
        <f>-718.315881787499 -70.4577467449092 -536.587246052537</f>
        <v>-1325.3608745849451</v>
      </c>
      <c r="G3563">
        <f>-723.881355788908 -139.137440313367 -621.716467793846</f>
        <v>-1484.7352638961211</v>
      </c>
      <c r="H3563">
        <f>-727.214053155751 -245.021112170862 -731.158404709164</f>
        <v>-1703.393570035777</v>
      </c>
      <c r="I3563">
        <f>-700.340458499154 -327.062777533278 -785.287511597381</f>
        <v>-1812.6907476298129</v>
      </c>
      <c r="J3563">
        <f>-707.736598202331 -179.612927047915 -701.236497277273</f>
        <v>-1588.5860225275192</v>
      </c>
      <c r="K3563">
        <f>-609.142433747688 -92.4191391903325 -766.841238943567</f>
        <v>-1468.4028118815875</v>
      </c>
      <c r="L3563" t="s">
        <v>74069</v>
      </c>
      <c r="M3563" t="s">
        <v>74070</v>
      </c>
      <c r="N3563">
        <f>-743.742222982401 -216.728735623967 -664.230991268895</f>
        <v>-1624.7019498752629</v>
      </c>
      <c r="O3563">
        <f>-825.851556632504 -279.566516115455 -559.67341699558</f>
        <v>-1665.0914897435389</v>
      </c>
      <c r="P3563">
        <f>-764.320217404038 -156.312322990579 -274.702345246738</f>
        <v>-1195.334885641355</v>
      </c>
      <c r="Q3563">
        <f>-509.33196747904 -108.158658645884 -292.145431110456</f>
        <v>-909.63605723538001</v>
      </c>
      <c r="R3563" t="s">
        <v>74071</v>
      </c>
      <c r="S3563" t="s">
        <v>74072</v>
      </c>
      <c r="T3563" t="s">
        <v>74073</v>
      </c>
      <c r="U3563" t="s">
        <v>74074</v>
      </c>
      <c r="V3563">
        <f>-681.441065260519 -26.4661445301122 -196.454749755443</f>
        <v>-904.36195954607422</v>
      </c>
      <c r="W3563" t="s">
        <v>74075</v>
      </c>
      <c r="X3563" t="s">
        <v>74076</v>
      </c>
      <c r="Y3563" t="s">
        <v>74077</v>
      </c>
    </row>
    <row r="3564" spans="1:25" x14ac:dyDescent="0.3">
      <c r="A3564">
        <v>178150</v>
      </c>
      <c r="B3564" t="s">
        <v>74078</v>
      </c>
      <c r="C3564" t="s">
        <v>74079</v>
      </c>
      <c r="D3564" t="s">
        <v>74080</v>
      </c>
      <c r="E3564">
        <f>-707.219957856924 -9.27560273364293 -452.019765965852</f>
        <v>-1168.515326556419</v>
      </c>
      <c r="F3564">
        <f>-717.055475485732 -64.0862737520827 -546.327223099475</f>
        <v>-1327.4689723372896</v>
      </c>
      <c r="G3564">
        <f>-721.947645166524 -129.38620349465 -634.115821113326</f>
        <v>-1485.4496697744999</v>
      </c>
      <c r="H3564">
        <f>-724.405503224744 -230.511344875883 -747.991463633064</f>
        <v>-1702.9083117336909</v>
      </c>
      <c r="I3564">
        <f>-696.762617472575 -309.497310405212 -806.130012201821</f>
        <v>-1812.3899400796081</v>
      </c>
      <c r="J3564">
        <f>-705.665420491031 -166.184816573059 -715.375339577986</f>
        <v>-1587.225576642076</v>
      </c>
      <c r="K3564">
        <f>-608.531993602548 -74.8765120046903 -777.390073701853</f>
        <v>-1460.7985793090913</v>
      </c>
      <c r="L3564" t="s">
        <v>74081</v>
      </c>
      <c r="M3564" t="s">
        <v>74082</v>
      </c>
      <c r="N3564">
        <f>-740.97063162346 -205.348507077566 -679.834680219488</f>
        <v>-1626.1538189205139</v>
      </c>
      <c r="O3564">
        <f>-822.096064677568 -273.436179460931 -577.785416570607</f>
        <v>-1673.3176607091059</v>
      </c>
      <c r="P3564">
        <f>-761.5245538664 -159.182761742726 -288.885012724221</f>
        <v>-1209.592328333347</v>
      </c>
      <c r="Q3564">
        <f>-507.015046210485 -107.6920786928 -303.570571544599</f>
        <v>-918.27769644788395</v>
      </c>
      <c r="R3564" t="s">
        <v>74083</v>
      </c>
      <c r="S3564" t="s">
        <v>74084</v>
      </c>
      <c r="T3564" t="s">
        <v>74085</v>
      </c>
      <c r="U3564" t="s">
        <v>74086</v>
      </c>
      <c r="V3564">
        <f>-682.19222895982 -28.8551677215776 -203.99654557657</f>
        <v>-915.04394225796761</v>
      </c>
      <c r="W3564" t="s">
        <v>74087</v>
      </c>
      <c r="X3564" t="s">
        <v>74088</v>
      </c>
      <c r="Y3564" t="s">
        <v>74089</v>
      </c>
    </row>
    <row r="3565" spans="1:25" x14ac:dyDescent="0.3">
      <c r="A3565">
        <v>178200</v>
      </c>
      <c r="B3565" t="s">
        <v>74090</v>
      </c>
      <c r="C3565" t="s">
        <v>74091</v>
      </c>
      <c r="D3565" t="s">
        <v>74092</v>
      </c>
      <c r="E3565">
        <f>-706.872278060324 -7.27535439918483 -455.702316966487</f>
        <v>-1169.8499494259959</v>
      </c>
      <c r="F3565">
        <f>-716.35370280369 -60.2329372992833 -551.098593933765</f>
        <v>-1327.6852340367382</v>
      </c>
      <c r="G3565">
        <f>-720.944094774371 -123.566478157008 -640.332252491239</f>
        <v>-1484.842825422618</v>
      </c>
      <c r="H3565">
        <f>-723.014876336184 -221.902032121745 -756.632832853511</f>
        <v>-1701.5497413114399</v>
      </c>
      <c r="I3565">
        <f>-695.098197608282 -298.893630750985 -817.262262197819</f>
        <v>-1811.2540905570859</v>
      </c>
      <c r="J3565">
        <f>-704.660075260355 -158.244909527223 -722.518653445227</f>
        <v>-1585.4236382328049</v>
      </c>
      <c r="K3565">
        <f>-608.381939577925 -64.6667421213222 -782.500283586924</f>
        <v>-1455.5489652861711</v>
      </c>
      <c r="L3565" t="s">
        <v>74093</v>
      </c>
      <c r="M3565" t="s">
        <v>74094</v>
      </c>
      <c r="N3565">
        <f>-739.537231789947 -198.538379044875 -687.828214321816</f>
        <v>-1625.903825156638</v>
      </c>
      <c r="O3565">
        <f>-820.036763699955 -269.448379655723 -587.256376271906</f>
        <v>-1676.741519627584</v>
      </c>
      <c r="P3565">
        <f>-759.782610415838 -160.361171171696 -296.299909501023</f>
        <v>-1216.443691088557</v>
      </c>
      <c r="Q3565">
        <f>-505.445497857192 -107.577881149057 -309.284335659138</f>
        <v>-922.30771466538704</v>
      </c>
      <c r="R3565" t="s">
        <v>74095</v>
      </c>
      <c r="S3565" t="s">
        <v>74096</v>
      </c>
      <c r="T3565" t="s">
        <v>74097</v>
      </c>
      <c r="U3565" t="s">
        <v>74098</v>
      </c>
      <c r="V3565">
        <f>-682.508385369968 -30.2162176487536 -207.714291030901</f>
        <v>-920.4388940496226</v>
      </c>
      <c r="W3565" t="s">
        <v>74099</v>
      </c>
      <c r="X3565" t="s">
        <v>74100</v>
      </c>
      <c r="Y3565" t="s">
        <v>74101</v>
      </c>
    </row>
    <row r="3566" spans="1:25" x14ac:dyDescent="0.3">
      <c r="A3566">
        <v>178250</v>
      </c>
      <c r="B3566" t="s">
        <v>74102</v>
      </c>
      <c r="C3566" t="s">
        <v>74103</v>
      </c>
      <c r="D3566" t="s">
        <v>74104</v>
      </c>
      <c r="E3566">
        <f>-707.173616968112 -2.25009537928054 -461.873062225522</f>
        <v>-1171.2967745729145</v>
      </c>
      <c r="F3566">
        <f>-716.303549696187 -50.9974171022063 -559.52135142861</f>
        <v>-1326.8223182270035</v>
      </c>
      <c r="G3566">
        <f>-720.54627696337 -109.815553870738 -651.810470129447</f>
        <v>-1482.172300963555</v>
      </c>
      <c r="H3566">
        <f>-722.084246323578 -201.68825967513 -773.289048574516</f>
        <v>-1697.0615545732239</v>
      </c>
      <c r="I3566">
        <f>-694.113341054291 -273.624364599413 -839.815748612461</f>
        <v>-1807.5534542661651</v>
      </c>
      <c r="J3566">
        <f>-704.413474183943 -139.707535978891 -735.885193395242</f>
        <v>-1580.0062035580759</v>
      </c>
      <c r="K3566">
        <f>-609.748267814948 -41.6317401453978 -791.069668811275</f>
        <v>-1442.4496767716209</v>
      </c>
      <c r="L3566" t="s">
        <v>74105</v>
      </c>
      <c r="M3566" t="s">
        <v>74106</v>
      </c>
      <c r="N3566">
        <f>-738.394082378553 -182.367419835668 -703.191876852572</f>
        <v>-1623.9533790667929</v>
      </c>
      <c r="O3566">
        <f>-817.521471242131 -259.466783510945 -606.149823454673</f>
        <v>-1683.138078207749</v>
      </c>
      <c r="P3566">
        <f>-757.174309927186 -161.242176585555 -311.367890864911</f>
        <v>-1229.7843773776519</v>
      </c>
      <c r="Q3566">
        <f>-503.296800412567 -105.255629385595 -318.701264935998</f>
        <v>-927.25369473415992</v>
      </c>
      <c r="R3566" t="s">
        <v>74107</v>
      </c>
      <c r="S3566" t="s">
        <v>74108</v>
      </c>
      <c r="T3566" t="s">
        <v>74109</v>
      </c>
      <c r="U3566" t="s">
        <v>74110</v>
      </c>
      <c r="V3566">
        <f>-683.176577540451 -32.8093269628982 -214.107822438397</f>
        <v>-930.09372694174624</v>
      </c>
      <c r="W3566" t="s">
        <v>74111</v>
      </c>
      <c r="X3566" t="s">
        <v>74112</v>
      </c>
      <c r="Y3566" t="s">
        <v>74113</v>
      </c>
    </row>
    <row r="3567" spans="1:25" x14ac:dyDescent="0.3">
      <c r="A3567">
        <v>178300</v>
      </c>
      <c r="B3567" t="s">
        <v>74114</v>
      </c>
      <c r="C3567" t="s">
        <v>74115</v>
      </c>
      <c r="D3567" t="s">
        <v>74116</v>
      </c>
      <c r="E3567" t="s">
        <v>74117</v>
      </c>
      <c r="F3567">
        <f>-716.61443664733 -46.3299705126447 -562.925643669599</f>
        <v>-1325.8700508295738</v>
      </c>
      <c r="G3567">
        <f>-720.797093797713 -102.646401388886 -656.764878233425</f>
        <v>-1480.2083734200241</v>
      </c>
      <c r="H3567">
        <f>-722.215304673566 -190.908852358537 -780.89278291627</f>
        <v>-1694.016939948373</v>
      </c>
      <c r="I3567">
        <f>-694.434145420038 -259.905782815279 -850.539133464556</f>
        <v>-1804.8790616998731</v>
      </c>
      <c r="J3567">
        <f>-704.812392853201 -129.935474578949 -741.748105706971</f>
        <v>-1576.4959731391209</v>
      </c>
      <c r="K3567">
        <f>-611.092182408523 -29.4874526451688 -794.186403210928</f>
        <v>-1434.7660382646197</v>
      </c>
      <c r="L3567" t="s">
        <v>74118</v>
      </c>
      <c r="M3567" t="s">
        <v>74119</v>
      </c>
      <c r="N3567">
        <f>-738.363184096067 -173.775428412508 -710.191946439634</f>
        <v>-1622.330558948209</v>
      </c>
      <c r="O3567">
        <f>-816.736297950167 -254.173489790382 -615.230836544308</f>
        <v>-1686.140624284857</v>
      </c>
      <c r="P3567">
        <f>-756.690608505242 -161.924875778045 -318.463308478851</f>
        <v>-1237.0787927621382</v>
      </c>
      <c r="Q3567">
        <f>-503.187240544353 -103.950210903911 -322.588355866496</f>
        <v>-929.72580731476</v>
      </c>
      <c r="R3567" t="s">
        <v>74120</v>
      </c>
      <c r="S3567" t="s">
        <v>74121</v>
      </c>
      <c r="T3567" t="s">
        <v>74122</v>
      </c>
      <c r="U3567" t="s">
        <v>74123</v>
      </c>
      <c r="V3567">
        <f>-683.474291402744 -34.2305611058862 -216.688763766343</f>
        <v>-934.39361627497317</v>
      </c>
      <c r="W3567" t="s">
        <v>74124</v>
      </c>
      <c r="X3567" t="s">
        <v>74125</v>
      </c>
      <c r="Y3567" t="s">
        <v>74126</v>
      </c>
    </row>
    <row r="3568" spans="1:25" x14ac:dyDescent="0.3">
      <c r="A3568">
        <v>178350</v>
      </c>
      <c r="B3568" t="s">
        <v>74127</v>
      </c>
      <c r="C3568" t="s">
        <v>74128</v>
      </c>
      <c r="D3568" t="s">
        <v>74129</v>
      </c>
      <c r="E3568" t="s">
        <v>74130</v>
      </c>
      <c r="F3568">
        <f>-718.093327524891 -38.3324628700668 -568.31602987016</f>
        <v>-1324.7418202651179</v>
      </c>
      <c r="G3568">
        <f>-722.233155423916 -89.0564343040373 -665.294298892744</f>
        <v>-1476.5838886206973</v>
      </c>
      <c r="H3568">
        <f>-723.432523920796 -169.197026904297 -794.816790228105</f>
        <v>-1687.446341053198</v>
      </c>
      <c r="I3568">
        <f>-696.049259931991 -231.7354584019 -870.461213768075</f>
        <v>-1798.245932101966</v>
      </c>
      <c r="J3568">
        <f>-706.62805888153 -110.57831700511 -751.98717571771</f>
        <v>-1569.19355160435</v>
      </c>
      <c r="K3568">
        <f>-614.662697471448 -5.47777176464388 -798.042451163457</f>
        <v>-1418.1829203995489</v>
      </c>
      <c r="L3568" t="s">
        <v>74131</v>
      </c>
      <c r="M3568" t="s">
        <v>74132</v>
      </c>
      <c r="N3568">
        <f>-739.175666746491 -156.896345168983 -723.02697166779</f>
        <v>-1619.0989835832638</v>
      </c>
      <c r="O3568">
        <f>-815.958034267247 -244.010260895493 -632.820552059599</f>
        <v>-1692.788847222339</v>
      </c>
      <c r="P3568">
        <f>-756.364030990677 -165.828459542786 -331.951063587793</f>
        <v>-1254.1435541212559</v>
      </c>
      <c r="Q3568">
        <f>-503.753574022145 -104.001474228389 -329.22398922153</f>
        <v>-936.97903747206408</v>
      </c>
      <c r="R3568" t="s">
        <v>74133</v>
      </c>
      <c r="S3568" t="s">
        <v>74134</v>
      </c>
      <c r="T3568" t="s">
        <v>74135</v>
      </c>
      <c r="U3568" t="s">
        <v>74136</v>
      </c>
      <c r="V3568">
        <f>-684.06665451026 -38.8069174656805 -220.588935327112</f>
        <v>-943.46250730305258</v>
      </c>
      <c r="W3568" t="s">
        <v>74137</v>
      </c>
      <c r="X3568" t="s">
        <v>74138</v>
      </c>
      <c r="Y3568" t="s">
        <v>74139</v>
      </c>
    </row>
    <row r="3569" spans="1:25" x14ac:dyDescent="0.3">
      <c r="A3569">
        <v>178400</v>
      </c>
      <c r="B3569" t="s">
        <v>74140</v>
      </c>
      <c r="C3569" t="s">
        <v>74141</v>
      </c>
      <c r="D3569" t="s">
        <v>74142</v>
      </c>
      <c r="E3569" t="s">
        <v>74143</v>
      </c>
      <c r="F3569">
        <f>-718.849527918351 -34.7126882957509 -570.548643506849</f>
        <v>-1324.1108597209509</v>
      </c>
      <c r="G3569">
        <f>-722.936705569803 -82.5281126710913 -668.995798231965</f>
        <v>-1474.4606164728593</v>
      </c>
      <c r="H3569">
        <f>-723.951149600361 -158.415176846125 -801.056817652003</f>
        <v>-1683.423144098489</v>
      </c>
      <c r="I3569">
        <f>-696.687764983821 -217.602638456673 -879.392922772701</f>
        <v>-1793.683326213195</v>
      </c>
      <c r="J3569">
        <f>-707.527995990151 -101.056261370935 -756.41223109632</f>
        <v>-1564.996488457406</v>
      </c>
      <c r="K3569" t="s">
        <v>74144</v>
      </c>
      <c r="L3569" t="s">
        <v>74145</v>
      </c>
      <c r="M3569" t="s">
        <v>74146</v>
      </c>
      <c r="N3569">
        <f>-739.476723573142 -148.618894198394 -728.835679436477</f>
        <v>-1616.9312972080129</v>
      </c>
      <c r="O3569">
        <f>-815.336405102968 -239.142237944016 -641.246461253119</f>
        <v>-1695.7251043001029</v>
      </c>
      <c r="P3569">
        <f>-755.891144200033 -168.490561502855 -338.491218638366</f>
        <v>-1262.872924341254</v>
      </c>
      <c r="Q3569">
        <f>-503.748237768691 -104.992903522221 -332.654034070374</f>
        <v>-941.39517536128596</v>
      </c>
      <c r="R3569" t="s">
        <v>74147</v>
      </c>
      <c r="S3569" t="s">
        <v>74148</v>
      </c>
      <c r="T3569" t="s">
        <v>74149</v>
      </c>
      <c r="U3569" t="s">
        <v>74150</v>
      </c>
      <c r="V3569">
        <f>-684.13835611136 -41.4660723047339 -222.44800548295</f>
        <v>-948.05243389904399</v>
      </c>
      <c r="W3569" t="s">
        <v>74151</v>
      </c>
      <c r="X3569" t="s">
        <v>74152</v>
      </c>
      <c r="Y3569" t="s">
        <v>74153</v>
      </c>
    </row>
    <row r="3570" spans="1:25" x14ac:dyDescent="0.3">
      <c r="A3570">
        <v>178450</v>
      </c>
      <c r="B3570" t="s">
        <v>74154</v>
      </c>
      <c r="C3570" t="s">
        <v>74155</v>
      </c>
      <c r="D3570" t="s">
        <v>74156</v>
      </c>
      <c r="E3570" t="s">
        <v>74157</v>
      </c>
      <c r="F3570">
        <f>-719.448591373485 -27.5868871984039 -574.799378978622</f>
        <v>-1321.8348575505111</v>
      </c>
      <c r="G3570">
        <f>-723.713132307505 -69.4829709638914 -675.900306054406</f>
        <v>-1469.0964093258024</v>
      </c>
      <c r="H3570">
        <f>-724.896564960262 -136.484537894538 -812.682530484528</f>
        <v>-1674.0636333393281</v>
      </c>
      <c r="I3570">
        <f>-697.800845310514 -188.852776167458 -895.787189489723</f>
        <v>-1782.4408109676949</v>
      </c>
      <c r="J3570">
        <f>-709.21010320043 -81.794411270145 -764.559456253309</f>
        <v>-1555.563970723884</v>
      </c>
      <c r="K3570" t="s">
        <v>74158</v>
      </c>
      <c r="L3570" t="s">
        <v>74159</v>
      </c>
      <c r="M3570" t="s">
        <v>74160</v>
      </c>
      <c r="N3570">
        <f>-739.53582932005 -131.882516439424 -739.761739461292</f>
        <v>-1611.1800852207659</v>
      </c>
      <c r="O3570">
        <f>-812.521204193681 -229.694905841778 -657.735996918816</f>
        <v>-1699.952106954275</v>
      </c>
      <c r="P3570">
        <f>-753.293824937525 -171.438339031606 -352.310864285333</f>
        <v>-1277.0430282544639</v>
      </c>
      <c r="Q3570">
        <f>-502.12546649049 -105.252494463889 -339.045969225921</f>
        <v>-946.42393018029998</v>
      </c>
      <c r="R3570" t="s">
        <v>74161</v>
      </c>
      <c r="S3570" t="s">
        <v>74162</v>
      </c>
      <c r="T3570" t="s">
        <v>74163</v>
      </c>
      <c r="U3570" t="s">
        <v>74164</v>
      </c>
      <c r="V3570">
        <f>-683.314631906974 -46.6854206104713 -226.060625344414</f>
        <v>-956.06067786185929</v>
      </c>
      <c r="W3570" t="s">
        <v>74165</v>
      </c>
      <c r="X3570" t="s">
        <v>74166</v>
      </c>
      <c r="Y3570" t="s">
        <v>74167</v>
      </c>
    </row>
    <row r="3571" spans="1:25" x14ac:dyDescent="0.3">
      <c r="A3571">
        <v>178500</v>
      </c>
      <c r="B3571" t="s">
        <v>74168</v>
      </c>
      <c r="C3571" t="s">
        <v>74169</v>
      </c>
      <c r="D3571" t="s">
        <v>74170</v>
      </c>
      <c r="E3571" t="s">
        <v>74171</v>
      </c>
      <c r="F3571">
        <f>-719.237595447181 -23.984328384279 -576.645309752924</f>
        <v>-1319.8672335843839</v>
      </c>
      <c r="G3571">
        <f>-723.763674883597 -62.9575245053272 -678.897208468164</f>
        <v>-1465.6184078570882</v>
      </c>
      <c r="H3571">
        <f>-725.315001504114 -125.476567857219 -817.781976328243</f>
        <v>-1668.5735456895759</v>
      </c>
      <c r="I3571">
        <f>-698.302775955093 -174.441869613756 -902.962498080415</f>
        <v>-1775.707143649264</v>
      </c>
      <c r="J3571">
        <f>-709.902190956871 -72.1813535960716 -768.032796786648</f>
        <v>-1550.1163413395907</v>
      </c>
      <c r="K3571" t="s">
        <v>74172</v>
      </c>
      <c r="L3571" t="s">
        <v>74173</v>
      </c>
      <c r="M3571" t="s">
        <v>74174</v>
      </c>
      <c r="N3571">
        <f>-739.354964575222 -123.446273347793 -744.626909523834</f>
        <v>-1607.4281474468489</v>
      </c>
      <c r="O3571">
        <f>-810.633486227721 -224.854337947738 -665.462125983724</f>
        <v>-1700.9499501591831</v>
      </c>
      <c r="P3571">
        <f>-751.817667873046 -172.184813690845 -358.944936709285</f>
        <v>-1282.947418273176</v>
      </c>
      <c r="Q3571">
        <f>-501.287924954009 -104.288562456196 -342.603411073041</f>
        <v>-948.17989848324601</v>
      </c>
      <c r="R3571" t="s">
        <v>74175</v>
      </c>
      <c r="S3571" t="s">
        <v>74176</v>
      </c>
      <c r="T3571" t="s">
        <v>74177</v>
      </c>
      <c r="U3571" t="s">
        <v>74178</v>
      </c>
      <c r="V3571">
        <f>-682.699160269486 -48.8340530668661 -227.45602143998</f>
        <v>-958.98923477633207</v>
      </c>
      <c r="W3571" t="s">
        <v>74179</v>
      </c>
      <c r="X3571" t="s">
        <v>74180</v>
      </c>
      <c r="Y3571" t="s">
        <v>74181</v>
      </c>
    </row>
    <row r="3572" spans="1:25" x14ac:dyDescent="0.3">
      <c r="A3572">
        <v>178550</v>
      </c>
      <c r="B3572" t="s">
        <v>74182</v>
      </c>
      <c r="C3572" t="s">
        <v>74183</v>
      </c>
      <c r="D3572" t="s">
        <v>74184</v>
      </c>
      <c r="E3572" t="s">
        <v>74185</v>
      </c>
      <c r="F3572">
        <f>-717.69757944091 -17.5645598238316 -579.605651605819</f>
        <v>-1314.8677908705606</v>
      </c>
      <c r="G3572">
        <f>-722.405828707811 -51.1145494377749 -683.755081914261</f>
        <v>-1457.2754600598469</v>
      </c>
      <c r="H3572">
        <f>-724.307227633509 -105.116572675367 -826.163507038152</f>
        <v>-1655.5873073470279</v>
      </c>
      <c r="I3572">
        <f>-697.296202862548 -147.531373150907 -914.78837293431</f>
        <v>-1759.615948947765</v>
      </c>
      <c r="J3572">
        <f>-709.587424232383 -54.5378385339425 -773.456327217383</f>
        <v>-1537.5815899837085</v>
      </c>
      <c r="K3572" t="s">
        <v>74186</v>
      </c>
      <c r="L3572" t="s">
        <v>74187</v>
      </c>
      <c r="M3572" t="s">
        <v>74188</v>
      </c>
      <c r="N3572">
        <f>-737.344318750726 -107.90675615914 -752.847975164885</f>
        <v>-1598.0990500747512</v>
      </c>
      <c r="O3572">
        <f>-805.148382873311 -215.805340281512 -679.471503178168</f>
        <v>-1700.4252263329909</v>
      </c>
      <c r="P3572">
        <f>-746.974902784744 -171.908291819607 -371.453505073647</f>
        <v>-1290.336699677998</v>
      </c>
      <c r="Q3572">
        <f>-497.652005739738 -101.652575628337 -348.12337405994</f>
        <v>-947.42795542801491</v>
      </c>
      <c r="R3572" t="s">
        <v>74189</v>
      </c>
      <c r="S3572" t="s">
        <v>74190</v>
      </c>
      <c r="T3572" t="s">
        <v>74191</v>
      </c>
      <c r="U3572" t="s">
        <v>74192</v>
      </c>
      <c r="V3572">
        <f>-682.906556947034 -51.8090451735679 -229.457382226823</f>
        <v>-964.17298434742497</v>
      </c>
      <c r="W3572" t="s">
        <v>74193</v>
      </c>
      <c r="X3572" t="s">
        <v>74194</v>
      </c>
      <c r="Y3572" t="s">
        <v>74195</v>
      </c>
    </row>
    <row r="3573" spans="1:25" x14ac:dyDescent="0.3">
      <c r="A3573">
        <v>178600</v>
      </c>
      <c r="B3573" t="s">
        <v>74196</v>
      </c>
      <c r="C3573" t="s">
        <v>74197</v>
      </c>
      <c r="D3573" t="s">
        <v>74198</v>
      </c>
      <c r="E3573" t="s">
        <v>74199</v>
      </c>
      <c r="F3573">
        <f>-717.529572856258 -14.8157841182338 -580.860850745346</f>
        <v>-1313.2062077198379</v>
      </c>
      <c r="G3573">
        <f>-722.181463716877 -46.0936060610063 -685.717478384991</f>
        <v>-1453.9925481628743</v>
      </c>
      <c r="H3573">
        <f>-724.008723787054 -96.4974542538475 -829.439733439609</f>
        <v>-1649.9459114805104</v>
      </c>
      <c r="I3573">
        <f>-696.908477839003 -135.920110920863 -919.408757843744</f>
        <v>-1752.2373466036101</v>
      </c>
      <c r="J3573">
        <f>-709.701131862649 -47.0856565097001 -775.526253440831</f>
        <v>-1532.3130418131802</v>
      </c>
      <c r="K3573" t="s">
        <v>74200</v>
      </c>
      <c r="L3573" t="s">
        <v>74201</v>
      </c>
      <c r="M3573" t="s">
        <v>74202</v>
      </c>
      <c r="N3573">
        <f>-736.699367601093 -101.305065942093 -756.168063529019</f>
        <v>-1594.172497072205</v>
      </c>
      <c r="O3573">
        <f>-802.927909435937 -211.821840332052 -685.337414247922</f>
        <v>-1700.087164015911</v>
      </c>
      <c r="P3573">
        <f>-745.285732398429 -171.253545993567 -376.763608780906</f>
        <v>-1293.302887172902</v>
      </c>
      <c r="Q3573">
        <f>-496.500399494757 -100.081685793272 -350.639721406163</f>
        <v>-947.22180669419208</v>
      </c>
      <c r="R3573" t="s">
        <v>74203</v>
      </c>
      <c r="S3573" t="s">
        <v>74204</v>
      </c>
      <c r="T3573" t="s">
        <v>74205</v>
      </c>
      <c r="U3573" t="s">
        <v>74206</v>
      </c>
      <c r="V3573">
        <f>-683.604650948307 -52.9370952674237 -230.289003951552</f>
        <v>-966.83075016728276</v>
      </c>
      <c r="W3573" t="s">
        <v>74207</v>
      </c>
      <c r="X3573" t="s">
        <v>74208</v>
      </c>
      <c r="Y3573" t="s">
        <v>74209</v>
      </c>
    </row>
    <row r="3574" spans="1:25" x14ac:dyDescent="0.3">
      <c r="A3574">
        <v>178650</v>
      </c>
      <c r="B3574" t="s">
        <v>74210</v>
      </c>
      <c r="C3574" t="s">
        <v>74211</v>
      </c>
      <c r="D3574" t="s">
        <v>74212</v>
      </c>
      <c r="E3574" t="s">
        <v>74213</v>
      </c>
      <c r="F3574">
        <f>-718.667689557335 -9.95967991794714 -582.598483938499</f>
        <v>-1311.2258534137814</v>
      </c>
      <c r="G3574">
        <f>-722.899992508765 -37.5618505423208 -688.49956561423</f>
        <v>-1448.961408665316</v>
      </c>
      <c r="H3574">
        <f>-724.111535760167 -82.1515767061583 -834.13722652411</f>
        <v>-1640.4003389904353</v>
      </c>
      <c r="I3574">
        <f>-696.670814963054 -116.497946584193 -926.062692772218</f>
        <v>-1739.231454319465</v>
      </c>
      <c r="J3574">
        <f>-710.587959755213 -34.7037737179819 -778.291618548599</f>
        <v>-1523.5833520217939</v>
      </c>
      <c r="K3574" t="s">
        <v>74214</v>
      </c>
      <c r="L3574" t="s">
        <v>74215</v>
      </c>
      <c r="M3574" t="s">
        <v>74216</v>
      </c>
      <c r="N3574">
        <f>-736.5631011822 -90.1403994715035 -761.102558390018</f>
        <v>-1587.8060590437215</v>
      </c>
      <c r="O3574">
        <f>-800.578279140186 -204.575577533605 -694.563044307671</f>
        <v>-1699.716900981462</v>
      </c>
      <c r="P3574">
        <f>-744.125552384254 -171.009482595921 -384.930144114165</f>
        <v>-1300.06517909434</v>
      </c>
      <c r="Q3574">
        <f>-496.537031380789 -98.1672638836453 -352.742707376086</f>
        <v>-947.4470026405204</v>
      </c>
      <c r="R3574" t="s">
        <v>74217</v>
      </c>
      <c r="S3574" t="s">
        <v>74218</v>
      </c>
      <c r="T3574" t="s">
        <v>74219</v>
      </c>
      <c r="U3574" t="s">
        <v>74220</v>
      </c>
      <c r="V3574">
        <f>-686.604619051552 -54.6485344105749 -231.428171051168</f>
        <v>-972.68132451329495</v>
      </c>
      <c r="W3574" t="s">
        <v>74221</v>
      </c>
      <c r="X3574" t="s">
        <v>74222</v>
      </c>
      <c r="Y3574" t="s">
        <v>74223</v>
      </c>
    </row>
    <row r="3575" spans="1:25" x14ac:dyDescent="0.3">
      <c r="A3575">
        <v>178700</v>
      </c>
      <c r="B3575" t="s">
        <v>74224</v>
      </c>
      <c r="C3575" t="s">
        <v>74225</v>
      </c>
      <c r="D3575" t="s">
        <v>74226</v>
      </c>
      <c r="E3575" t="s">
        <v>74227</v>
      </c>
      <c r="F3575">
        <f>-720.095889792931 -7.89073625650622 -583.516911427381</f>
        <v>-1311.5035374768181</v>
      </c>
      <c r="G3575">
        <f>-724.057419300086 -33.9482396055189 -689.819122151781</f>
        <v>-1447.824781057386</v>
      </c>
      <c r="H3575">
        <f>-724.871128534239 -76.0946973783473 -836.185098770662</f>
        <v>-1637.1509246832484</v>
      </c>
      <c r="I3575">
        <f>-697.169752330165 -108.349002288949 -928.787881919786</f>
        <v>-1734.3066365389</v>
      </c>
      <c r="J3575">
        <f>-711.711751074709 -29.4978729064205 -779.541625201983</f>
        <v>-1520.7512491831126</v>
      </c>
      <c r="K3575" t="s">
        <v>74228</v>
      </c>
      <c r="L3575" t="s">
        <v>74229</v>
      </c>
      <c r="M3575" t="s">
        <v>74230</v>
      </c>
      <c r="N3575">
        <f>-737.310491107214 -85.3945943597216 -763.303588732661</f>
        <v>-1586.0086741995965</v>
      </c>
      <c r="O3575">
        <f>-800.54866328834 -201.304416660298 -698.625697201142</f>
        <v>-1700.4787771497799</v>
      </c>
      <c r="P3575">
        <f>-744.655220922739 -170.595052502041 -388.594885516646</f>
        <v>-1303.845158941426</v>
      </c>
      <c r="Q3575">
        <f>-497.469974058177 -97.6150280180893 -353.73182826587</f>
        <v>-948.8168303421362</v>
      </c>
      <c r="R3575" t="s">
        <v>74231</v>
      </c>
      <c r="S3575" t="s">
        <v>74232</v>
      </c>
      <c r="T3575" t="s">
        <v>74233</v>
      </c>
      <c r="U3575" t="s">
        <v>74234</v>
      </c>
      <c r="V3575">
        <f>-688.708536990945 -55.7320679594634 -232.268326426644</f>
        <v>-976.70893137705241</v>
      </c>
      <c r="W3575" t="s">
        <v>74235</v>
      </c>
      <c r="X3575" t="s">
        <v>74236</v>
      </c>
      <c r="Y3575" t="s">
        <v>74237</v>
      </c>
    </row>
    <row r="3576" spans="1:25" x14ac:dyDescent="0.3">
      <c r="A3576">
        <v>178750</v>
      </c>
      <c r="B3576" t="s">
        <v>74238</v>
      </c>
      <c r="C3576" t="s">
        <v>74239</v>
      </c>
      <c r="D3576" t="s">
        <v>74240</v>
      </c>
      <c r="E3576" t="s">
        <v>74241</v>
      </c>
      <c r="F3576">
        <f>-724.522426726923 -4.00727498589936 -586.470028491653</f>
        <v>-1314.9997302044753</v>
      </c>
      <c r="G3576">
        <f>-728.075403117523 -27.5153865218733 -693.379384126323</f>
        <v>-1448.9701737657192</v>
      </c>
      <c r="H3576">
        <f>-728.366146576346 -65.6897627901858 -840.833163763253</f>
        <v>-1634.8890731297847</v>
      </c>
      <c r="I3576">
        <f>-700.218933939692 -94.6733498841534 -934.378086411385</f>
        <v>-1729.2703702352303</v>
      </c>
      <c r="J3576">
        <f>-715.641809844105 -20.5440576044853 -782.929103753145</f>
        <v>-1519.1149712017352</v>
      </c>
      <c r="K3576" t="s">
        <v>74242</v>
      </c>
      <c r="L3576" t="s">
        <v>74243</v>
      </c>
      <c r="M3576" t="s">
        <v>74244</v>
      </c>
      <c r="N3576">
        <f>-740.833141217659 -77.0534589417543 -768.249744416101</f>
        <v>-1586.1363445755142</v>
      </c>
      <c r="O3576">
        <f>-803.19766758704 -195.161048642284 -706.741932472762</f>
        <v>-1705.1006487020859</v>
      </c>
      <c r="P3576">
        <f>-747.474372597321 -168.372571624571 -396.317322761098</f>
        <v>-1312.1642669829901</v>
      </c>
      <c r="Q3576">
        <f>-500.047012837591 -97.6711886303285 -358.594366409299</f>
        <v>-956.3125678772185</v>
      </c>
      <c r="R3576" t="s">
        <v>74245</v>
      </c>
      <c r="S3576" t="s">
        <v>74246</v>
      </c>
      <c r="T3576" t="s">
        <v>74247</v>
      </c>
      <c r="U3576" t="s">
        <v>74248</v>
      </c>
      <c r="V3576">
        <f>-694.015499840279 -58.7923279044121 -235.495169479646</f>
        <v>-988.3029972243371</v>
      </c>
      <c r="W3576" t="s">
        <v>74249</v>
      </c>
      <c r="X3576" t="s">
        <v>74250</v>
      </c>
      <c r="Y3576" t="s">
        <v>74251</v>
      </c>
    </row>
    <row r="3577" spans="1:25" x14ac:dyDescent="0.3">
      <c r="A3577">
        <v>178800</v>
      </c>
      <c r="B3577" t="s">
        <v>74252</v>
      </c>
      <c r="C3577" t="s">
        <v>74253</v>
      </c>
      <c r="D3577" t="s">
        <v>74254</v>
      </c>
      <c r="E3577" t="s">
        <v>74255</v>
      </c>
      <c r="F3577">
        <f>-727.18514903244 -1.90308836566783 -587.75682995306</f>
        <v>-1316.8450673511679</v>
      </c>
      <c r="G3577">
        <f>-730.547740474901 -24.3029539088586 -694.909922251549</f>
        <v>-1449.7606166353087</v>
      </c>
      <c r="H3577">
        <f>-730.624271116592 -60.7785035215363 -842.793375613019</f>
        <v>-1634.1961502511472</v>
      </c>
      <c r="I3577">
        <f>-702.271229952548 -88.4929500635358 -936.660421954212</f>
        <v>-1727.4246019702957</v>
      </c>
      <c r="J3577">
        <f>-718.055166097121 -16.2725139624847 -784.362688916671</f>
        <v>-1518.6903689762767</v>
      </c>
      <c r="K3577" t="s">
        <v>74256</v>
      </c>
      <c r="L3577" t="s">
        <v>74257</v>
      </c>
      <c r="M3577" t="s">
        <v>74258</v>
      </c>
      <c r="N3577">
        <f>-743.125663065964 -73.0059051813896 -770.356401562254</f>
        <v>-1586.4879698096074</v>
      </c>
      <c r="O3577">
        <f>-805.290368389515 -191.880654322717 -710.106672591988</f>
        <v>-1707.2776953042198</v>
      </c>
      <c r="P3577">
        <f>-748.890182781304 -166.723155788597 -399.667854231897</f>
        <v>-1315.2811928017982</v>
      </c>
      <c r="Q3577">
        <f>-501.188297466494 -97.6664680457504 -360.718919384876</f>
        <v>-959.57368489712042</v>
      </c>
      <c r="R3577" t="s">
        <v>74259</v>
      </c>
      <c r="S3577" t="s">
        <v>74260</v>
      </c>
      <c r="T3577" t="s">
        <v>74261</v>
      </c>
      <c r="U3577" t="s">
        <v>74262</v>
      </c>
      <c r="V3577">
        <f>-697.281335151385 -60.0038024466114 -236.887417681859</f>
        <v>-994.17255527985537</v>
      </c>
      <c r="W3577" t="s">
        <v>74263</v>
      </c>
      <c r="X3577" t="s">
        <v>74264</v>
      </c>
      <c r="Y3577" t="s">
        <v>74265</v>
      </c>
    </row>
    <row r="3578" spans="1:25" x14ac:dyDescent="0.3">
      <c r="A3578">
        <v>178850</v>
      </c>
      <c r="B3578" t="s">
        <v>74266</v>
      </c>
      <c r="C3578" t="s">
        <v>74267</v>
      </c>
      <c r="D3578" t="s">
        <v>74268</v>
      </c>
      <c r="E3578" t="s">
        <v>74269</v>
      </c>
      <c r="F3578" t="s">
        <v>74270</v>
      </c>
      <c r="G3578">
        <f>-734.828899375525 -19.3131944487095 -697.107302251254</f>
        <v>-1451.2493960754887</v>
      </c>
      <c r="H3578">
        <f>-734.637480325284 -53.3284546864813 -845.575906202357</f>
        <v>-1633.5418412141223</v>
      </c>
      <c r="I3578">
        <f>-706.012636880639 -79.2262730789082 -939.878125286834</f>
        <v>-1725.1170352463812</v>
      </c>
      <c r="J3578">
        <f>-722.249060991174 -9.76778083359636 -786.398869617775</f>
        <v>-1518.4157114425452</v>
      </c>
      <c r="K3578" t="s">
        <v>74271</v>
      </c>
      <c r="L3578" t="s">
        <v>74272</v>
      </c>
      <c r="M3578" t="s">
        <v>74273</v>
      </c>
      <c r="N3578">
        <f>-747.19534275828 -66.7877876714413 -773.367375002332</f>
        <v>-1587.3505054320533</v>
      </c>
      <c r="O3578">
        <f>-809.218723632748 -186.567046952546 -714.861866757893</f>
        <v>-1710.6476373431869</v>
      </c>
      <c r="P3578">
        <f>-752.313510153081 -163.843860357786 -404.327508688619</f>
        <v>-1320.4848791994859</v>
      </c>
      <c r="Q3578">
        <f>-504.157615526569 -97.9604467713177 -362.853921446393</f>
        <v>-964.97198374427967</v>
      </c>
      <c r="R3578" t="s">
        <v>74274</v>
      </c>
      <c r="S3578" t="s">
        <v>74275</v>
      </c>
      <c r="T3578" t="s">
        <v>74276</v>
      </c>
      <c r="U3578" t="s">
        <v>74277</v>
      </c>
      <c r="V3578">
        <f>-703.268905988771 -61.5712432108112 -238.795818978281</f>
        <v>-1003.6359681778632</v>
      </c>
      <c r="W3578" t="s">
        <v>74278</v>
      </c>
      <c r="X3578" t="s">
        <v>74279</v>
      </c>
      <c r="Y3578" t="s">
        <v>74280</v>
      </c>
    </row>
    <row r="3579" spans="1:25" x14ac:dyDescent="0.3">
      <c r="A3579">
        <v>178900</v>
      </c>
      <c r="B3579" t="s">
        <v>74281</v>
      </c>
      <c r="C3579" t="s">
        <v>74282</v>
      </c>
      <c r="D3579" t="s">
        <v>74283</v>
      </c>
      <c r="E3579" t="s">
        <v>74284</v>
      </c>
      <c r="F3579" t="s">
        <v>74285</v>
      </c>
      <c r="G3579">
        <f>-736.990176999611 -17.1469218655861 -698.071033843019</f>
        <v>-1452.208132708216</v>
      </c>
      <c r="H3579">
        <f>-736.720741947066 -50.1276046693915 -846.772884531212</f>
        <v>-1633.6212311476695</v>
      </c>
      <c r="I3579">
        <f>-708.01957618221 -75.3420828082735 -941.236915581183</f>
        <v>-1724.5985745716666</v>
      </c>
      <c r="J3579">
        <f>-724.373345375384 -6.97597961668998 -787.288383777892</f>
        <v>-1518.6377087699661</v>
      </c>
      <c r="K3579" t="s">
        <v>74286</v>
      </c>
      <c r="L3579" t="s">
        <v>74287</v>
      </c>
      <c r="M3579" t="s">
        <v>74288</v>
      </c>
      <c r="N3579">
        <f>-749.30652901338 -64.093320052815 -774.665499409717</f>
        <v>-1588.0653484759118</v>
      </c>
      <c r="O3579">
        <f>-811.423500472057 -184.214605372853 -716.915546765102</f>
        <v>-1712.5536526100118</v>
      </c>
      <c r="P3579">
        <f>-754.17472620602 -163.267833039269 -406.319282080407</f>
        <v>-1323.761841325696</v>
      </c>
      <c r="Q3579">
        <f>-505.993603029487 -98.4984858968496 -363.271222101655</f>
        <v>-967.76331102799156</v>
      </c>
      <c r="R3579" t="s">
        <v>74289</v>
      </c>
      <c r="S3579" t="s">
        <v>74290</v>
      </c>
      <c r="T3579" t="s">
        <v>74291</v>
      </c>
      <c r="U3579" t="s">
        <v>74292</v>
      </c>
      <c r="V3579">
        <f>-706.048009494946 -62.0751400152219 -239.57100057147</f>
        <v>-1007.6941500816379</v>
      </c>
      <c r="W3579" t="s">
        <v>74293</v>
      </c>
      <c r="X3579" t="s">
        <v>74294</v>
      </c>
      <c r="Y3579" t="s">
        <v>74295</v>
      </c>
    </row>
    <row r="3580" spans="1:25" x14ac:dyDescent="0.3">
      <c r="A3580">
        <v>178950</v>
      </c>
      <c r="B3580" t="s">
        <v>74296</v>
      </c>
      <c r="C3580" t="s">
        <v>74297</v>
      </c>
      <c r="D3580" t="s">
        <v>74298</v>
      </c>
      <c r="E3580" t="s">
        <v>74299</v>
      </c>
      <c r="F3580" t="s">
        <v>74300</v>
      </c>
      <c r="G3580">
        <f>-741.363610547459 -11.7370368785057 -699.278203109539</f>
        <v>-1452.3788505355037</v>
      </c>
      <c r="H3580">
        <f>-741.076604702854 -42.9386999646699 -848.363394639193</f>
        <v>-1632.378699306717</v>
      </c>
      <c r="I3580">
        <f>-712.25567157081 -67.0936728525955 -943.067504930635</f>
        <v>-1722.4168493540406</v>
      </c>
      <c r="J3580">
        <f>-728.715684743361 -0.509393811722475 -788.364455711807</f>
        <v>-1517.5895342668905</v>
      </c>
      <c r="K3580" t="s">
        <v>74301</v>
      </c>
      <c r="L3580" t="s">
        <v>74302</v>
      </c>
      <c r="M3580" t="s">
        <v>74303</v>
      </c>
      <c r="N3580">
        <f>-753.691401396007 -57.756342681065 -776.431398814297</f>
        <v>-1587.8791428913692</v>
      </c>
      <c r="O3580">
        <f>-815.973562556822 -178.464041695668 -720.104440048286</f>
        <v>-1714.5420443007761</v>
      </c>
      <c r="P3580">
        <f>-758.521709321048 -159.755575075069 -409.402837777518</f>
        <v>-1327.680122173635</v>
      </c>
      <c r="Q3580">
        <f>-510.666091973887 -95.5286711919141 -363.745541345421</f>
        <v>-969.94030451122205</v>
      </c>
      <c r="R3580" t="s">
        <v>74304</v>
      </c>
      <c r="S3580" t="s">
        <v>74305</v>
      </c>
      <c r="T3580" t="s">
        <v>74306</v>
      </c>
      <c r="U3580" t="s">
        <v>74307</v>
      </c>
      <c r="V3580">
        <f>-711.520843549738 -61.5698884060453 -240.574203203642</f>
        <v>-1013.6649351594252</v>
      </c>
      <c r="W3580" t="s">
        <v>74308</v>
      </c>
      <c r="X3580" t="s">
        <v>74309</v>
      </c>
      <c r="Y3580" t="s">
        <v>74310</v>
      </c>
    </row>
    <row r="3581" spans="1:25" x14ac:dyDescent="0.3">
      <c r="A3581">
        <v>179000</v>
      </c>
      <c r="B3581" t="s">
        <v>74311</v>
      </c>
      <c r="C3581" t="s">
        <v>74312</v>
      </c>
      <c r="D3581" t="s">
        <v>74313</v>
      </c>
      <c r="E3581" t="s">
        <v>74314</v>
      </c>
      <c r="F3581" t="s">
        <v>74315</v>
      </c>
      <c r="G3581">
        <f>-743.536979125594 -9.042561141232 -699.517043523482</f>
        <v>-1452.0965837903082</v>
      </c>
      <c r="H3581">
        <f>-743.238058885983 -39.5961719522272 -848.736376575732</f>
        <v>-1631.5706074139423</v>
      </c>
      <c r="I3581">
        <f>-714.403778501266 -63.3645156664513 -943.534330180541</f>
        <v>-1721.3026243482582</v>
      </c>
      <c r="J3581" t="s">
        <v>74316</v>
      </c>
      <c r="K3581" t="s">
        <v>74317</v>
      </c>
      <c r="L3581" t="s">
        <v>74318</v>
      </c>
      <c r="M3581" t="s">
        <v>74319</v>
      </c>
      <c r="N3581">
        <f>-755.876454370233 -54.7188553836131 -776.87198393347</f>
        <v>-1587.4672936873162</v>
      </c>
      <c r="O3581">
        <f>-818.168006744676 -175.640168079191 -721.02600760886</f>
        <v>-1714.8341824327269</v>
      </c>
      <c r="P3581">
        <f>-760.509589078472 -157.796863521544 -410.311846689418</f>
        <v>-1328.6182992894339</v>
      </c>
      <c r="Q3581">
        <f>-512.959788657648 -93.3683579625713 -363.299905802887</f>
        <v>-969.62805242310628</v>
      </c>
      <c r="R3581" t="s">
        <v>74320</v>
      </c>
      <c r="S3581" t="s">
        <v>74321</v>
      </c>
      <c r="T3581" t="s">
        <v>74322</v>
      </c>
      <c r="U3581" t="s">
        <v>74323</v>
      </c>
      <c r="V3581">
        <f>-714.001536202796 -61.058254508343 -240.845784445602</f>
        <v>-1015.9055751567411</v>
      </c>
      <c r="W3581" t="s">
        <v>74324</v>
      </c>
      <c r="X3581" t="s">
        <v>74325</v>
      </c>
      <c r="Y3581" t="s">
        <v>74326</v>
      </c>
    </row>
    <row r="3582" spans="1:25" x14ac:dyDescent="0.3">
      <c r="A3582">
        <v>179050</v>
      </c>
      <c r="B3582" t="s">
        <v>74327</v>
      </c>
      <c r="C3582" t="s">
        <v>74328</v>
      </c>
      <c r="D3582" t="s">
        <v>74329</v>
      </c>
      <c r="E3582" t="s">
        <v>74330</v>
      </c>
      <c r="F3582" t="s">
        <v>74331</v>
      </c>
      <c r="G3582">
        <f>-745.746255450232 -6.33772621610296 -699.448207413453</f>
        <v>-1451.5321890797879</v>
      </c>
      <c r="H3582">
        <f>-745.512875032751 -36.3607168008691 -848.775215792407</f>
        <v>-1630.6488076260271</v>
      </c>
      <c r="I3582">
        <f>-716.696025255842 -59.8161257667252 -943.656318618178</f>
        <v>-1720.1684696407451</v>
      </c>
      <c r="J3582" t="s">
        <v>74332</v>
      </c>
      <c r="K3582" t="s">
        <v>74333</v>
      </c>
      <c r="L3582" t="s">
        <v>74334</v>
      </c>
      <c r="M3582" t="s">
        <v>74335</v>
      </c>
      <c r="N3582">
        <f>-758.128177301317 -51.735252393594 -776.960218976668</f>
        <v>-1586.8236486715791</v>
      </c>
      <c r="O3582">
        <f>-820.391202396617 -172.878247128695 -721.540760665833</f>
        <v>-1714.810210191145</v>
      </c>
      <c r="P3582">
        <f>-762.387903017552 -155.708091043524 -410.852763018738</f>
        <v>-1328.948757079814</v>
      </c>
      <c r="Q3582">
        <f>-515.212080051803 -91.0397774153164 -362.230103147077</f>
        <v>-968.4819606141964</v>
      </c>
      <c r="R3582" t="s">
        <v>74336</v>
      </c>
      <c r="S3582" t="s">
        <v>74337</v>
      </c>
      <c r="T3582" t="s">
        <v>74338</v>
      </c>
      <c r="U3582" t="s">
        <v>74339</v>
      </c>
      <c r="V3582">
        <f>-716.191393757604 -60.390926461308 -240.955999061356</f>
        <v>-1017.5383192802681</v>
      </c>
      <c r="W3582" t="s">
        <v>74340</v>
      </c>
      <c r="X3582" t="s">
        <v>74341</v>
      </c>
      <c r="Y3582" t="s">
        <v>74342</v>
      </c>
    </row>
    <row r="3583" spans="1:25" x14ac:dyDescent="0.3">
      <c r="A3583">
        <v>179100</v>
      </c>
      <c r="B3583" t="s">
        <v>74343</v>
      </c>
      <c r="C3583" t="s">
        <v>74344</v>
      </c>
      <c r="D3583" t="s">
        <v>74345</v>
      </c>
      <c r="E3583" t="s">
        <v>74346</v>
      </c>
      <c r="F3583" t="s">
        <v>74347</v>
      </c>
      <c r="G3583">
        <f>-748.887823239181 -1.935687464181 -698.827904423631</f>
        <v>-1449.651415126993</v>
      </c>
      <c r="H3583">
        <f>-748.803766657081 -31.382314399679 -848.269818611831</f>
        <v>-1628.455899668591</v>
      </c>
      <c r="I3583">
        <f>-720.070545353508 -54.3149515719563 -943.303835401362</f>
        <v>-1717.6893323268264</v>
      </c>
      <c r="J3583" t="s">
        <v>74348</v>
      </c>
      <c r="K3583" t="s">
        <v>74349</v>
      </c>
      <c r="L3583" t="s">
        <v>74350</v>
      </c>
      <c r="M3583" t="s">
        <v>74351</v>
      </c>
      <c r="N3583">
        <f>-761.34132983201 -47.0362318945256 -776.501545226244</f>
        <v>-1584.8791069527797</v>
      </c>
      <c r="O3583">
        <f>-823.239759466562 -168.594401420696 -721.566329580462</f>
        <v>-1713.4004904677199</v>
      </c>
      <c r="P3583">
        <f>-765.393101371257 -151.508865429978 -410.844523786296</f>
        <v>-1327.7464905875308</v>
      </c>
      <c r="Q3583">
        <f>-519.062627736272 -86.1121919345578 -359.011892168537</f>
        <v>-964.18671183936681</v>
      </c>
      <c r="R3583" t="s">
        <v>74352</v>
      </c>
      <c r="S3583" t="s">
        <v>74353</v>
      </c>
      <c r="T3583" t="s">
        <v>74354</v>
      </c>
      <c r="U3583" t="s">
        <v>74355</v>
      </c>
      <c r="V3583">
        <f>-719.164448749454 -59.2727813826559 -240.962614908226</f>
        <v>-1019.3998450403359</v>
      </c>
      <c r="W3583" t="s">
        <v>74356</v>
      </c>
      <c r="X3583" t="s">
        <v>74357</v>
      </c>
      <c r="Y3583" t="s">
        <v>74358</v>
      </c>
    </row>
    <row r="3584" spans="1:25" x14ac:dyDescent="0.3">
      <c r="A3584">
        <v>179150</v>
      </c>
      <c r="B3584" t="s">
        <v>74359</v>
      </c>
      <c r="C3584" t="s">
        <v>74360</v>
      </c>
      <c r="D3584" t="s">
        <v>74361</v>
      </c>
      <c r="E3584" t="s">
        <v>74362</v>
      </c>
      <c r="F3584" t="s">
        <v>74363</v>
      </c>
      <c r="G3584" t="s">
        <v>74364</v>
      </c>
      <c r="H3584">
        <f>-750.251199307713 -28.0107337744973 -848.405159071366</f>
        <v>-1626.6670921535765</v>
      </c>
      <c r="I3584">
        <f>-721.702213962758 -50.5948196142926 -943.57809000484</f>
        <v>-1715.8751235818906</v>
      </c>
      <c r="J3584" t="s">
        <v>74365</v>
      </c>
      <c r="K3584" t="s">
        <v>74366</v>
      </c>
      <c r="L3584" t="s">
        <v>74367</v>
      </c>
      <c r="M3584" t="s">
        <v>74368</v>
      </c>
      <c r="N3584">
        <f>-762.634161340949 -43.8727112770478 -776.655780165232</f>
        <v>-1583.1626527832289</v>
      </c>
      <c r="O3584">
        <f>-824.271043873311 -165.65982294861 -721.991447016391</f>
        <v>-1711.922313838312</v>
      </c>
      <c r="P3584">
        <f>-766.326215299379 -150.114404530127 -411.20712784556</f>
        <v>-1327.6477476750661</v>
      </c>
      <c r="Q3584">
        <f>-520.553047423233 -84.3906967444307 -357.18867030726</f>
        <v>-962.13241447492373</v>
      </c>
      <c r="R3584" t="s">
        <v>74369</v>
      </c>
      <c r="S3584" t="s">
        <v>74370</v>
      </c>
      <c r="T3584" t="s">
        <v>74371</v>
      </c>
      <c r="U3584" t="s">
        <v>74372</v>
      </c>
      <c r="V3584">
        <f>-719.733149434229 -58.4206115999289 -241.219515969076</f>
        <v>-1019.3732770032339</v>
      </c>
      <c r="W3584" t="s">
        <v>74373</v>
      </c>
      <c r="X3584" t="s">
        <v>74374</v>
      </c>
      <c r="Y3584" t="s">
        <v>74375</v>
      </c>
    </row>
    <row r="3585" spans="1:25" x14ac:dyDescent="0.3">
      <c r="A3585">
        <v>179200</v>
      </c>
      <c r="B3585" t="s">
        <v>74376</v>
      </c>
      <c r="C3585" t="s">
        <v>74377</v>
      </c>
      <c r="D3585" t="s">
        <v>74378</v>
      </c>
      <c r="E3585" t="s">
        <v>74379</v>
      </c>
      <c r="F3585" t="s">
        <v>74380</v>
      </c>
      <c r="G3585" t="s">
        <v>74381</v>
      </c>
      <c r="H3585">
        <f>-750.92896854884 -26.0604619959734 -848.497141476345</f>
        <v>-1625.4865720211583</v>
      </c>
      <c r="I3585">
        <f>-722.511699062924 -48.4932957742085 -943.745281189753</f>
        <v>-1714.7502760268853</v>
      </c>
      <c r="J3585" t="s">
        <v>74382</v>
      </c>
      <c r="K3585" t="s">
        <v>74383</v>
      </c>
      <c r="L3585" t="s">
        <v>74384</v>
      </c>
      <c r="M3585" t="s">
        <v>74385</v>
      </c>
      <c r="N3585">
        <f>-763.208410871865 -42.0509166272109 -776.758506612674</f>
        <v>-1582.0178341117498</v>
      </c>
      <c r="O3585">
        <f>-824.813810307925 -164.038776134172 -722.413786391427</f>
        <v>-1711.266372833524</v>
      </c>
      <c r="P3585">
        <f>-766.57767567675 -148.975334255074 -411.660013710446</f>
        <v>-1327.2130236422699</v>
      </c>
      <c r="Q3585">
        <f>-520.882095527836 -83.6506357817218 -356.810979326806</f>
        <v>-961.34371063636377</v>
      </c>
      <c r="R3585" t="s">
        <v>74386</v>
      </c>
      <c r="S3585" t="s">
        <v>74387</v>
      </c>
      <c r="T3585" t="s">
        <v>74388</v>
      </c>
      <c r="U3585" t="s">
        <v>74389</v>
      </c>
      <c r="V3585">
        <f>-719.24914940162 -57.771649024425 -241.307740984196</f>
        <v>-1018.328539410241</v>
      </c>
      <c r="W3585" t="s">
        <v>74390</v>
      </c>
      <c r="X3585" t="s">
        <v>74391</v>
      </c>
      <c r="Y3585" t="s">
        <v>74392</v>
      </c>
    </row>
    <row r="3586" spans="1:25" x14ac:dyDescent="0.3">
      <c r="A3586">
        <v>179250</v>
      </c>
      <c r="B3586" t="s">
        <v>74393</v>
      </c>
      <c r="C3586" t="s">
        <v>74394</v>
      </c>
      <c r="D3586" t="s">
        <v>74395</v>
      </c>
      <c r="E3586" t="s">
        <v>74396</v>
      </c>
      <c r="F3586" t="s">
        <v>74397</v>
      </c>
      <c r="G3586" t="s">
        <v>74398</v>
      </c>
      <c r="H3586">
        <f>-752.647426198055 -20.7947656182221 -848.388601072768</f>
        <v>-1621.8307928890449</v>
      </c>
      <c r="I3586">
        <f>-724.644675212766 -42.7526403614379 -943.869783098105</f>
        <v>-1711.2670986723087</v>
      </c>
      <c r="J3586" t="s">
        <v>74399</v>
      </c>
      <c r="K3586" t="s">
        <v>74400</v>
      </c>
      <c r="L3586" t="s">
        <v>74401</v>
      </c>
      <c r="M3586" t="s">
        <v>74402</v>
      </c>
      <c r="N3586">
        <f>-764.695078291996 -37.1930202078743 -776.702725215623</f>
        <v>-1578.5908237154931</v>
      </c>
      <c r="O3586">
        <f>-826.300010098752 -159.52058300157 -723.127655866808</f>
        <v>-1708.94824896713</v>
      </c>
      <c r="P3586">
        <f>-767.656139511055 -145.813607421762 -412.387882887618</f>
        <v>-1325.857629820435</v>
      </c>
      <c r="Q3586">
        <f>-521.987331459872 -81.6460374413161 -356.072447988633</f>
        <v>-959.70581688982111</v>
      </c>
      <c r="R3586" t="s">
        <v>74403</v>
      </c>
      <c r="S3586" t="s">
        <v>74404</v>
      </c>
      <c r="T3586" t="s">
        <v>74405</v>
      </c>
      <c r="U3586" t="s">
        <v>74406</v>
      </c>
      <c r="V3586">
        <f>-717.475632995725 -55.5881187404339 -241.341399820525</f>
        <v>-1014.4051515566839</v>
      </c>
      <c r="W3586" t="s">
        <v>74407</v>
      </c>
      <c r="X3586" t="s">
        <v>74408</v>
      </c>
      <c r="Y3586" t="s">
        <v>74409</v>
      </c>
    </row>
    <row r="3587" spans="1:25" x14ac:dyDescent="0.3">
      <c r="A3587">
        <v>179300</v>
      </c>
      <c r="B3587" t="s">
        <v>74410</v>
      </c>
      <c r="C3587" t="s">
        <v>74411</v>
      </c>
      <c r="D3587" t="s">
        <v>74412</v>
      </c>
      <c r="E3587" t="s">
        <v>74413</v>
      </c>
      <c r="F3587" t="s">
        <v>74414</v>
      </c>
      <c r="G3587" t="s">
        <v>74415</v>
      </c>
      <c r="H3587">
        <f>-753.1423956829 -18.4538122232811 -848.53633941229</f>
        <v>-1620.1325473184711</v>
      </c>
      <c r="I3587">
        <f>-725.374858179849 -40.1933213377658 -944.136325716596</f>
        <v>-1709.704505234211</v>
      </c>
      <c r="J3587" t="s">
        <v>74416</v>
      </c>
      <c r="K3587" t="s">
        <v>74417</v>
      </c>
      <c r="L3587" t="s">
        <v>74418</v>
      </c>
      <c r="M3587" t="s">
        <v>74419</v>
      </c>
      <c r="N3587">
        <f>-765.013444582019 -35.0056950283888 -776.856427358452</f>
        <v>-1576.8755669688599</v>
      </c>
      <c r="O3587">
        <f>-826.49008419575 -157.471537581047 -723.504590489821</f>
        <v>-1707.466212266618</v>
      </c>
      <c r="P3587">
        <f>-767.984306728336 -144.059446778287 -412.725913551797</f>
        <v>-1324.7696670584201</v>
      </c>
      <c r="Q3587">
        <f>-522.143136689569 -80.6275296934366 -356.329876686427</f>
        <v>-959.10054306943266</v>
      </c>
      <c r="R3587" t="s">
        <v>74420</v>
      </c>
      <c r="S3587" t="s">
        <v>74421</v>
      </c>
      <c r="T3587" t="s">
        <v>74422</v>
      </c>
      <c r="U3587" t="s">
        <v>74423</v>
      </c>
      <c r="V3587">
        <f>-715.949393868379 -54.3039044096047 -241.462002164306</f>
        <v>-1011.7153004422897</v>
      </c>
      <c r="W3587" t="s">
        <v>74424</v>
      </c>
      <c r="X3587" t="s">
        <v>74425</v>
      </c>
      <c r="Y3587" t="s">
        <v>74426</v>
      </c>
    </row>
    <row r="3588" spans="1:25" x14ac:dyDescent="0.3">
      <c r="A3588">
        <v>179350</v>
      </c>
      <c r="B3588" t="s">
        <v>74427</v>
      </c>
      <c r="C3588" t="s">
        <v>74428</v>
      </c>
      <c r="D3588" t="s">
        <v>74429</v>
      </c>
      <c r="E3588" t="s">
        <v>74430</v>
      </c>
      <c r="F3588" t="s">
        <v>74431</v>
      </c>
      <c r="G3588" t="s">
        <v>74432</v>
      </c>
      <c r="H3588">
        <f>-750.889210460634 -14.5143005585326 -849.423681797362</f>
        <v>-1614.8271928165286</v>
      </c>
      <c r="I3588">
        <f>-723.773481650785 -35.8919586697054 -945.291842167609</f>
        <v>-1704.9572824880995</v>
      </c>
      <c r="J3588" t="s">
        <v>74433</v>
      </c>
      <c r="K3588" t="s">
        <v>74434</v>
      </c>
      <c r="L3588" t="s">
        <v>74435</v>
      </c>
      <c r="M3588" t="s">
        <v>74436</v>
      </c>
      <c r="N3588">
        <f>-762.152855526952 -31.3749198263113 -777.71750376183</f>
        <v>-1571.2452791150931</v>
      </c>
      <c r="O3588">
        <f>-823.482659436418 -154.148472585202 -724.834905085179</f>
        <v>-1702.4660371067989</v>
      </c>
      <c r="P3588">
        <f>-763.645035247247 -140.876896753452 -414.303744971235</f>
        <v>-1318.8256769719342</v>
      </c>
      <c r="Q3588">
        <f>-517.331609441351 -79.7846932964571 -357.387042548067</f>
        <v>-954.50334528587518</v>
      </c>
      <c r="R3588" t="s">
        <v>74437</v>
      </c>
      <c r="S3588" t="s">
        <v>74438</v>
      </c>
      <c r="T3588" t="s">
        <v>74439</v>
      </c>
      <c r="U3588" t="s">
        <v>74440</v>
      </c>
      <c r="V3588">
        <f>-709.925581369737 -51.7466172718002 -241.931629790443</f>
        <v>-1003.6038284319802</v>
      </c>
      <c r="W3588" t="s">
        <v>74441</v>
      </c>
      <c r="X3588" t="s">
        <v>74442</v>
      </c>
      <c r="Y3588" t="s">
        <v>74443</v>
      </c>
    </row>
    <row r="3589" spans="1:25" x14ac:dyDescent="0.3">
      <c r="A3589">
        <v>179400</v>
      </c>
      <c r="B3589" t="s">
        <v>74444</v>
      </c>
      <c r="C3589" t="s">
        <v>74445</v>
      </c>
      <c r="D3589" t="s">
        <v>74446</v>
      </c>
      <c r="E3589" t="s">
        <v>74447</v>
      </c>
      <c r="F3589" t="s">
        <v>74448</v>
      </c>
      <c r="G3589" t="s">
        <v>74449</v>
      </c>
      <c r="H3589">
        <f>-748.574961749335 -12.4191713617111 -849.615318514888</f>
        <v>-1610.6094516259341</v>
      </c>
      <c r="I3589">
        <f>-721.752089767162 -33.6111194400416 -945.607169180612</f>
        <v>-1700.9703783878158</v>
      </c>
      <c r="J3589" t="s">
        <v>74450</v>
      </c>
      <c r="K3589" t="s">
        <v>74451</v>
      </c>
      <c r="L3589" t="s">
        <v>74452</v>
      </c>
      <c r="M3589" t="s">
        <v>74453</v>
      </c>
      <c r="N3589">
        <f>-759.61141277701 -29.4203336660769 -777.907050454033</f>
        <v>-1566.9387968971198</v>
      </c>
      <c r="O3589">
        <f>-821.037852968031 -152.140559860803 -725.099473196547</f>
        <v>-1698.2778860253811</v>
      </c>
      <c r="P3589">
        <f>-760.959687564639 -139.020721707798 -414.608568654599</f>
        <v>-1314.588977927036</v>
      </c>
      <c r="Q3589">
        <f>-514.125654840549 -79.379758227848 -358.412237214592</f>
        <v>-951.91765028298903</v>
      </c>
      <c r="R3589" t="s">
        <v>74454</v>
      </c>
      <c r="S3589" t="s">
        <v>74455</v>
      </c>
      <c r="T3589" t="s">
        <v>74456</v>
      </c>
      <c r="U3589" t="s">
        <v>74457</v>
      </c>
      <c r="V3589">
        <f>-705.971522506342 -50.3421601313103 -242.041401370455</f>
        <v>-998.35508400810727</v>
      </c>
      <c r="W3589" t="s">
        <v>74458</v>
      </c>
      <c r="X3589" t="s">
        <v>74459</v>
      </c>
      <c r="Y3589" t="s">
        <v>74460</v>
      </c>
    </row>
    <row r="3590" spans="1:25" x14ac:dyDescent="0.3">
      <c r="A3590">
        <v>179450</v>
      </c>
      <c r="B3590" t="s">
        <v>74461</v>
      </c>
      <c r="C3590" t="s">
        <v>74462</v>
      </c>
      <c r="D3590" t="s">
        <v>74463</v>
      </c>
      <c r="E3590" t="s">
        <v>74464</v>
      </c>
      <c r="F3590" t="s">
        <v>74465</v>
      </c>
      <c r="G3590" t="s">
        <v>74466</v>
      </c>
      <c r="H3590">
        <f>-744.851274192084 -9.15880423994167 -849.895769033048</f>
        <v>-1603.9058474650737</v>
      </c>
      <c r="I3590">
        <f>-718.658693920449 -30.2126607366579 -946.091825298207</f>
        <v>-1694.963179955314</v>
      </c>
      <c r="J3590" t="s">
        <v>74467</v>
      </c>
      <c r="K3590" t="s">
        <v>74468</v>
      </c>
      <c r="L3590" t="s">
        <v>74469</v>
      </c>
      <c r="M3590" t="s">
        <v>74470</v>
      </c>
      <c r="N3590">
        <f>-755.451281468122 -26.3260051390905 -778.16131059562</f>
        <v>-1559.9385972028326</v>
      </c>
      <c r="O3590">
        <f>-817.276122721479 -148.763873921748 -725.224768388253</f>
        <v>-1691.26476503148</v>
      </c>
      <c r="P3590">
        <f>-755.918620977638 -135.874833823409 -414.974409470445</f>
        <v>-1306.767864271492</v>
      </c>
      <c r="Q3590">
        <f>-508.07836401674 -79.4998402384479 -359.846578826963</f>
        <v>-947.42478308215095</v>
      </c>
      <c r="R3590" t="s">
        <v>74471</v>
      </c>
      <c r="S3590" t="s">
        <v>74472</v>
      </c>
      <c r="T3590" t="s">
        <v>74473</v>
      </c>
      <c r="U3590" t="s">
        <v>74474</v>
      </c>
      <c r="V3590">
        <f>-698.604127204369 -46.9474204840285 -241.814055842948</f>
        <v>-987.36560353134541</v>
      </c>
      <c r="W3590" t="s">
        <v>74475</v>
      </c>
      <c r="X3590" t="s">
        <v>74476</v>
      </c>
      <c r="Y3590" t="s">
        <v>74477</v>
      </c>
    </row>
    <row r="3591" spans="1:25" x14ac:dyDescent="0.3">
      <c r="A3591">
        <v>179500</v>
      </c>
      <c r="B3591" t="s">
        <v>74478</v>
      </c>
      <c r="C3591" t="s">
        <v>74479</v>
      </c>
      <c r="D3591" t="s">
        <v>74480</v>
      </c>
      <c r="E3591" t="s">
        <v>74481</v>
      </c>
      <c r="F3591" t="s">
        <v>74482</v>
      </c>
      <c r="G3591" t="s">
        <v>74483</v>
      </c>
      <c r="H3591">
        <f>-742.030565080306 -7.74067490414859 -849.493309065783</f>
        <v>-1599.2645490502377</v>
      </c>
      <c r="I3591">
        <f>-716.083071421687 -28.8302592437376 -945.747984107269</f>
        <v>-1690.6613147726935</v>
      </c>
      <c r="J3591" t="s">
        <v>74484</v>
      </c>
      <c r="K3591" t="s">
        <v>74485</v>
      </c>
      <c r="L3591" t="s">
        <v>74486</v>
      </c>
      <c r="M3591" t="s">
        <v>74487</v>
      </c>
      <c r="N3591">
        <f>-752.505345104795 -24.8852999987755 -777.7349427506</f>
        <v>-1555.1255878541706</v>
      </c>
      <c r="O3591">
        <f>-814.435833877671 -147.320108402698 -724.817020638563</f>
        <v>-1686.572962918932</v>
      </c>
      <c r="P3591">
        <f>-752.819228697803 -134.150235994933 -414.629733100608</f>
        <v>-1301.599197793344</v>
      </c>
      <c r="Q3591">
        <f>-504.607309479596 -78.9867891063536 -359.949845496204</f>
        <v>-943.54394408215353</v>
      </c>
      <c r="R3591" t="s">
        <v>74488</v>
      </c>
      <c r="S3591" t="s">
        <v>74489</v>
      </c>
      <c r="T3591" t="s">
        <v>74490</v>
      </c>
      <c r="U3591" t="s">
        <v>74491</v>
      </c>
      <c r="V3591">
        <f>-694.83134548493 -44.8075556743895 -241.194661707196</f>
        <v>-980.83356286651554</v>
      </c>
      <c r="W3591" t="s">
        <v>74492</v>
      </c>
      <c r="X3591" t="s">
        <v>74493</v>
      </c>
      <c r="Y3591" t="s">
        <v>74494</v>
      </c>
    </row>
    <row r="3592" spans="1:25" x14ac:dyDescent="0.3">
      <c r="A3592">
        <v>179550</v>
      </c>
      <c r="B3592" t="s">
        <v>74495</v>
      </c>
      <c r="C3592" t="s">
        <v>74496</v>
      </c>
      <c r="D3592" t="s">
        <v>74497</v>
      </c>
      <c r="E3592" t="s">
        <v>74498</v>
      </c>
      <c r="F3592" t="s">
        <v>74499</v>
      </c>
      <c r="G3592" t="s">
        <v>74500</v>
      </c>
      <c r="H3592">
        <f>-737.184751572847 -4.26993274685628 -847.858808099961</f>
        <v>-1589.3134924196643</v>
      </c>
      <c r="I3592">
        <f>-711.495649193231 -25.3367160571281 -944.187605396573</f>
        <v>-1681.0199706469321</v>
      </c>
      <c r="J3592" t="s">
        <v>74501</v>
      </c>
      <c r="K3592" t="s">
        <v>74502</v>
      </c>
      <c r="L3592" t="s">
        <v>74503</v>
      </c>
      <c r="M3592" t="s">
        <v>74504</v>
      </c>
      <c r="N3592">
        <f>-747.594468130979 -21.4855697337873 -776.107946032667</f>
        <v>-1545.1879838974332</v>
      </c>
      <c r="O3592">
        <f>-809.707773298542 -143.911665769849 -723.426989057075</f>
        <v>-1677.046428125466</v>
      </c>
      <c r="P3592">
        <f>-748.34891159214 -129.930590325627 -413.224107448718</f>
        <v>-1291.5036093664849</v>
      </c>
      <c r="Q3592">
        <f>-499.819814056776 -76.334758858346 -358.426008926671</f>
        <v>-934.58058184179299</v>
      </c>
      <c r="R3592" t="s">
        <v>74505</v>
      </c>
      <c r="S3592" t="s">
        <v>74506</v>
      </c>
      <c r="T3592" t="s">
        <v>74507</v>
      </c>
      <c r="U3592" t="s">
        <v>74508</v>
      </c>
      <c r="V3592">
        <f>-688.602568606894 -40.9938882644719 -239.52351006592</f>
        <v>-969.11996693728588</v>
      </c>
      <c r="W3592" t="s">
        <v>74509</v>
      </c>
      <c r="X3592" t="s">
        <v>74510</v>
      </c>
      <c r="Y3592" t="s">
        <v>74511</v>
      </c>
    </row>
    <row r="3593" spans="1:25" x14ac:dyDescent="0.3">
      <c r="A3593">
        <v>179600</v>
      </c>
      <c r="B3593" t="s">
        <v>74512</v>
      </c>
      <c r="C3593" t="s">
        <v>74513</v>
      </c>
      <c r="D3593" t="s">
        <v>74514</v>
      </c>
      <c r="E3593" t="s">
        <v>74515</v>
      </c>
      <c r="F3593" t="s">
        <v>74516</v>
      </c>
      <c r="G3593" t="s">
        <v>74517</v>
      </c>
      <c r="H3593">
        <f>-735.549424199213 -2.52745822206862 -846.999976947168</f>
        <v>-1585.0768593684497</v>
      </c>
      <c r="I3593">
        <f>-709.925541312056 -23.5361050947486 -943.358948566127</f>
        <v>-1676.8205949729315</v>
      </c>
      <c r="J3593" t="s">
        <v>74518</v>
      </c>
      <c r="K3593" t="s">
        <v>74519</v>
      </c>
      <c r="L3593" t="s">
        <v>74520</v>
      </c>
      <c r="M3593" t="s">
        <v>74521</v>
      </c>
      <c r="N3593">
        <f>-745.922783314157 -19.8085985020373 -775.259782523468</f>
        <v>-1540.9911643396622</v>
      </c>
      <c r="O3593">
        <f>-808.084627414468 -142.277529293796 -722.699975481534</f>
        <v>-1673.0621321897979</v>
      </c>
      <c r="P3593">
        <f>-747.086894241632 -128.521463766335 -412.415814499469</f>
        <v>-1288.0241725074359</v>
      </c>
      <c r="Q3593">
        <f>-498.655126336748 -75.1056410548565 -357.004268623175</f>
        <v>-930.76503601477953</v>
      </c>
      <c r="R3593" t="s">
        <v>74522</v>
      </c>
      <c r="S3593" t="s">
        <v>74523</v>
      </c>
      <c r="T3593" t="s">
        <v>74524</v>
      </c>
      <c r="U3593" t="s">
        <v>74525</v>
      </c>
      <c r="V3593">
        <f>-686.426101851456 -39.2193770145391 -238.630854403933</f>
        <v>-964.27633326992805</v>
      </c>
      <c r="W3593" t="s">
        <v>74526</v>
      </c>
      <c r="X3593" t="s">
        <v>74527</v>
      </c>
      <c r="Y3593" t="s">
        <v>74528</v>
      </c>
    </row>
    <row r="3594" spans="1:25" x14ac:dyDescent="0.3">
      <c r="A3594">
        <v>179650</v>
      </c>
      <c r="B3594" t="s">
        <v>74529</v>
      </c>
      <c r="C3594" t="s">
        <v>74530</v>
      </c>
      <c r="D3594" t="s">
        <v>74531</v>
      </c>
      <c r="E3594" t="s">
        <v>74532</v>
      </c>
      <c r="F3594" t="s">
        <v>74533</v>
      </c>
      <c r="G3594" t="s">
        <v>74534</v>
      </c>
      <c r="H3594" t="s">
        <v>74535</v>
      </c>
      <c r="I3594">
        <f>-705.985295541943 -19.4104849468397 -941.762185001951</f>
        <v>-1667.1579654907337</v>
      </c>
      <c r="J3594" t="s">
        <v>74536</v>
      </c>
      <c r="K3594" t="s">
        <v>74537</v>
      </c>
      <c r="L3594" t="s">
        <v>74538</v>
      </c>
      <c r="M3594" t="s">
        <v>74539</v>
      </c>
      <c r="N3594">
        <f>-742.003267596464 -16.1553401555532 -773.670800916279</f>
        <v>-1531.8294086682961</v>
      </c>
      <c r="O3594">
        <f>-803.900266542115 -138.906330810388 -721.486748138701</f>
        <v>-1664.293345491204</v>
      </c>
      <c r="P3594">
        <f>-744.142220513148 -124.24707509824 -411.002811606861</f>
        <v>-1279.3921072182488</v>
      </c>
      <c r="Q3594">
        <f>-496.229946407017 -71.0056714749671 -353.150279333672</f>
        <v>-920.38589721565609</v>
      </c>
      <c r="R3594" t="s">
        <v>74540</v>
      </c>
      <c r="S3594" t="s">
        <v>74541</v>
      </c>
      <c r="T3594" t="s">
        <v>74542</v>
      </c>
      <c r="U3594" t="s">
        <v>74543</v>
      </c>
      <c r="V3594">
        <f>-682.982604176774 -35.7748050711768 -236.82538828361</f>
        <v>-955.5827975315608</v>
      </c>
      <c r="W3594" t="s">
        <v>74544</v>
      </c>
      <c r="X3594" t="s">
        <v>74545</v>
      </c>
      <c r="Y3594" t="s">
        <v>74546</v>
      </c>
    </row>
    <row r="3595" spans="1:25" x14ac:dyDescent="0.3">
      <c r="A3595">
        <v>179700</v>
      </c>
      <c r="B3595" t="s">
        <v>74547</v>
      </c>
      <c r="C3595" t="s">
        <v>74548</v>
      </c>
      <c r="D3595" t="s">
        <v>74549</v>
      </c>
      <c r="E3595" t="s">
        <v>74550</v>
      </c>
      <c r="F3595" t="s">
        <v>74551</v>
      </c>
      <c r="G3595" t="s">
        <v>74552</v>
      </c>
      <c r="H3595" t="s">
        <v>74553</v>
      </c>
      <c r="I3595">
        <f>-704.456997965392 -17.4852916931748 -941.135363463907</f>
        <v>-1663.0776531224737</v>
      </c>
      <c r="J3595" t="s">
        <v>74554</v>
      </c>
      <c r="K3595" t="s">
        <v>74555</v>
      </c>
      <c r="L3595" t="s">
        <v>74556</v>
      </c>
      <c r="M3595" t="s">
        <v>74557</v>
      </c>
      <c r="N3595">
        <f>-740.511450105653 -14.4591389921991 -773.058007449685</f>
        <v>-1528.0285965475371</v>
      </c>
      <c r="O3595">
        <f>-802.145415237193 -137.411996789444 -721.071019572049</f>
        <v>-1660.6284315986859</v>
      </c>
      <c r="P3595">
        <f>-743.534686500645 -122.346463024737 -410.387934530992</f>
        <v>-1276.2690840563739</v>
      </c>
      <c r="Q3595">
        <f>-495.773511348801 -69.5998687526651 -351.44504816014</f>
        <v>-916.81842826160607</v>
      </c>
      <c r="R3595" t="s">
        <v>74558</v>
      </c>
      <c r="S3595" t="s">
        <v>74559</v>
      </c>
      <c r="T3595" t="s">
        <v>74560</v>
      </c>
      <c r="U3595" t="s">
        <v>74561</v>
      </c>
      <c r="V3595">
        <f>-681.832626296845 -34.4704004480441 -236.156019483201</f>
        <v>-952.45904622809007</v>
      </c>
      <c r="W3595" t="s">
        <v>74562</v>
      </c>
      <c r="X3595" t="s">
        <v>74563</v>
      </c>
      <c r="Y3595" t="s">
        <v>74564</v>
      </c>
    </row>
    <row r="3596" spans="1:25" x14ac:dyDescent="0.3">
      <c r="A3596">
        <v>179750</v>
      </c>
      <c r="B3596" t="s">
        <v>74565</v>
      </c>
      <c r="C3596" t="s">
        <v>74566</v>
      </c>
      <c r="D3596" t="s">
        <v>74567</v>
      </c>
      <c r="E3596" t="s">
        <v>74568</v>
      </c>
      <c r="F3596" t="s">
        <v>74569</v>
      </c>
      <c r="G3596" t="s">
        <v>74570</v>
      </c>
      <c r="H3596" t="s">
        <v>74571</v>
      </c>
      <c r="I3596">
        <f>-700.985940938906 -14.6749402180953 -940.371633733869</f>
        <v>-1656.0325148908703</v>
      </c>
      <c r="J3596" t="s">
        <v>74572</v>
      </c>
      <c r="K3596" t="s">
        <v>74573</v>
      </c>
      <c r="L3596" t="s">
        <v>74574</v>
      </c>
      <c r="M3596" t="s">
        <v>74575</v>
      </c>
      <c r="N3596">
        <f>-737.556736575806 -12.2762173896167 -772.397639167522</f>
        <v>-1522.2305931329447</v>
      </c>
      <c r="O3596">
        <f>-798.890177898464 -135.700548679847 -721.120248248948</f>
        <v>-1655.710974827259</v>
      </c>
      <c r="P3596">
        <f>-742.720511019403 -119.923832631771 -410.021744768582</f>
        <v>-1272.6660884197561</v>
      </c>
      <c r="Q3596">
        <f>-495.158649881132 -67.4059070364062 -350.046343250375</f>
        <v>-912.6109001679132</v>
      </c>
      <c r="R3596" t="s">
        <v>74576</v>
      </c>
      <c r="S3596" t="s">
        <v>74577</v>
      </c>
      <c r="T3596" t="s">
        <v>74578</v>
      </c>
      <c r="U3596" t="s">
        <v>74579</v>
      </c>
      <c r="V3596">
        <f>-680.391453196537 -33.3172778804894 -235.370340572098</f>
        <v>-949.07907164912444</v>
      </c>
      <c r="W3596" t="s">
        <v>74580</v>
      </c>
      <c r="X3596" t="s">
        <v>74581</v>
      </c>
      <c r="Y3596" t="s">
        <v>74582</v>
      </c>
    </row>
    <row r="3597" spans="1:25" x14ac:dyDescent="0.3">
      <c r="A3597">
        <v>179800</v>
      </c>
      <c r="B3597" t="s">
        <v>74583</v>
      </c>
      <c r="C3597" t="s">
        <v>74584</v>
      </c>
      <c r="D3597" t="s">
        <v>74585</v>
      </c>
      <c r="E3597" t="s">
        <v>74586</v>
      </c>
      <c r="F3597" t="s">
        <v>74587</v>
      </c>
      <c r="G3597" t="s">
        <v>74588</v>
      </c>
      <c r="H3597" t="s">
        <v>74589</v>
      </c>
      <c r="I3597">
        <f>-699.559026520796 -13.4622972347233 -940.19476087945</f>
        <v>-1653.2160846349693</v>
      </c>
      <c r="J3597" t="s">
        <v>74590</v>
      </c>
      <c r="K3597" t="s">
        <v>74591</v>
      </c>
      <c r="L3597" t="s">
        <v>74592</v>
      </c>
      <c r="M3597" t="s">
        <v>74593</v>
      </c>
      <c r="N3597">
        <f>-736.442824579862 -11.4759574276009 -772.303616038431</f>
        <v>-1520.2223980458939</v>
      </c>
      <c r="O3597">
        <f>-797.658240965682 -135.096504377703 -721.394301884233</f>
        <v>-1654.149047227618</v>
      </c>
      <c r="P3597">
        <f>-742.42406720076 -119.343554788513 -410.127153039922</f>
        <v>-1271.894775029195</v>
      </c>
      <c r="Q3597">
        <f>-495.066870609097 -66.6829685379817 -349.436499626828</f>
        <v>-911.18633877390664</v>
      </c>
      <c r="R3597" t="s">
        <v>74594</v>
      </c>
      <c r="S3597" t="s">
        <v>74595</v>
      </c>
      <c r="T3597" t="s">
        <v>74596</v>
      </c>
      <c r="U3597" t="s">
        <v>74597</v>
      </c>
      <c r="V3597">
        <f>-680.117984493414 -33.2448954543788 -235.135956950492</f>
        <v>-948.49883689828482</v>
      </c>
      <c r="W3597" t="s">
        <v>74598</v>
      </c>
      <c r="X3597" t="s">
        <v>74599</v>
      </c>
      <c r="Y3597" t="s">
        <v>74600</v>
      </c>
    </row>
    <row r="3598" spans="1:25" x14ac:dyDescent="0.3">
      <c r="A3598">
        <v>179850</v>
      </c>
      <c r="B3598" t="s">
        <v>74601</v>
      </c>
      <c r="C3598" t="s">
        <v>74602</v>
      </c>
      <c r="D3598" t="s">
        <v>74603</v>
      </c>
      <c r="E3598" t="s">
        <v>74604</v>
      </c>
      <c r="F3598" t="s">
        <v>74605</v>
      </c>
      <c r="G3598" t="s">
        <v>74606</v>
      </c>
      <c r="H3598" t="s">
        <v>74607</v>
      </c>
      <c r="I3598">
        <f>-697.13819637351 -11.6996906671566 -939.786859780363</f>
        <v>-1648.6247468210295</v>
      </c>
      <c r="J3598" t="s">
        <v>74608</v>
      </c>
      <c r="K3598" t="s">
        <v>74609</v>
      </c>
      <c r="L3598" t="s">
        <v>74610</v>
      </c>
      <c r="M3598" t="s">
        <v>74611</v>
      </c>
      <c r="N3598">
        <f>-734.776980759979 -10.3026510509951 -772.082326864784</f>
        <v>-1517.1619586757581</v>
      </c>
      <c r="O3598">
        <f>-795.6649650112 -134.394763231007 -721.89552142732</f>
        <v>-1651.9552496695269</v>
      </c>
      <c r="P3598">
        <f>-742.728918003967 -119.023214197082 -410.21033655369</f>
        <v>-1271.9624687547389</v>
      </c>
      <c r="Q3598">
        <f>-495.876737686709 -65.5145910904905 -348.219554829514</f>
        <v>-909.61088360671351</v>
      </c>
      <c r="R3598" t="s">
        <v>74612</v>
      </c>
      <c r="S3598" t="s">
        <v>74613</v>
      </c>
      <c r="T3598" t="s">
        <v>74614</v>
      </c>
      <c r="U3598" t="s">
        <v>74615</v>
      </c>
      <c r="V3598">
        <f>-680.659661952175 -33.4668026107909 -234.764006757039</f>
        <v>-948.89047132000496</v>
      </c>
      <c r="W3598" t="s">
        <v>74616</v>
      </c>
      <c r="X3598" t="s">
        <v>74617</v>
      </c>
      <c r="Y3598" t="s">
        <v>74618</v>
      </c>
    </row>
    <row r="3599" spans="1:25" x14ac:dyDescent="0.3">
      <c r="A3599">
        <v>179900</v>
      </c>
      <c r="B3599" t="s">
        <v>74619</v>
      </c>
      <c r="C3599" t="s">
        <v>74620</v>
      </c>
      <c r="D3599" t="s">
        <v>74621</v>
      </c>
      <c r="E3599" t="s">
        <v>74622</v>
      </c>
      <c r="F3599" t="s">
        <v>74623</v>
      </c>
      <c r="G3599" t="s">
        <v>74624</v>
      </c>
      <c r="H3599" t="s">
        <v>74625</v>
      </c>
      <c r="I3599">
        <f>-696.109450681413 -11.0383940453062 -939.718968516093</f>
        <v>-1646.8668132428122</v>
      </c>
      <c r="J3599" t="s">
        <v>74626</v>
      </c>
      <c r="K3599" t="s">
        <v>74627</v>
      </c>
      <c r="L3599" t="s">
        <v>74628</v>
      </c>
      <c r="M3599" t="s">
        <v>74629</v>
      </c>
      <c r="N3599">
        <f>-734.186578388902 -9.93542319755875 -772.12621702467</f>
        <v>-1516.2482186111308</v>
      </c>
      <c r="O3599">
        <f>-794.971734133502 -134.217013815645 -722.320683929733</f>
        <v>-1651.5094318788802</v>
      </c>
      <c r="P3599">
        <f>-743.102773709609 -119.130666260554 -410.442188994773</f>
        <v>-1272.6756289649361</v>
      </c>
      <c r="Q3599">
        <f>-496.53636901562 -64.9949486494909 -347.861097172468</f>
        <v>-909.39241483757894</v>
      </c>
      <c r="R3599" t="s">
        <v>74630</v>
      </c>
      <c r="S3599" t="s">
        <v>74631</v>
      </c>
      <c r="T3599" t="s">
        <v>74632</v>
      </c>
      <c r="U3599" t="s">
        <v>74633</v>
      </c>
      <c r="V3599">
        <f>-681.305852238986 -33.9043408567193 -234.644119551214</f>
        <v>-949.8543126469192</v>
      </c>
      <c r="W3599" t="s">
        <v>74634</v>
      </c>
      <c r="X3599" t="s">
        <v>74635</v>
      </c>
      <c r="Y3599" t="s">
        <v>74636</v>
      </c>
    </row>
    <row r="3600" spans="1:25" x14ac:dyDescent="0.3">
      <c r="A3600">
        <v>179950</v>
      </c>
      <c r="B3600" t="s">
        <v>74637</v>
      </c>
      <c r="C3600" t="s">
        <v>74638</v>
      </c>
      <c r="D3600" t="s">
        <v>74639</v>
      </c>
      <c r="E3600" t="s">
        <v>74640</v>
      </c>
      <c r="F3600" t="s">
        <v>74641</v>
      </c>
      <c r="G3600" t="s">
        <v>74642</v>
      </c>
      <c r="H3600" t="s">
        <v>74643</v>
      </c>
      <c r="I3600">
        <f>-695.041616924648 -10.1955189105747 -939.56609521668</f>
        <v>-1644.8032310519027</v>
      </c>
      <c r="J3600" t="s">
        <v>74644</v>
      </c>
      <c r="K3600" t="s">
        <v>74645</v>
      </c>
      <c r="L3600" t="s">
        <v>74646</v>
      </c>
      <c r="M3600" t="s">
        <v>74647</v>
      </c>
      <c r="N3600">
        <f>-733.831850982125 -9.51691134845987 -772.187438123254</f>
        <v>-1515.5362004538388</v>
      </c>
      <c r="O3600">
        <f>-794.568383258773 -134.088367354121 -723.066118260267</f>
        <v>-1651.7228688731611</v>
      </c>
      <c r="P3600">
        <f>-744.307176324271 -120.135047338066 -410.871762710701</f>
        <v>-1275.313986373038</v>
      </c>
      <c r="Q3600">
        <f>-498.31407471441 -64.5774670082681 -347.288435277564</f>
        <v>-910.17997700024216</v>
      </c>
      <c r="R3600" t="s">
        <v>74648</v>
      </c>
      <c r="S3600" t="s">
        <v>74649</v>
      </c>
      <c r="T3600" t="s">
        <v>74650</v>
      </c>
      <c r="U3600" t="s">
        <v>74651</v>
      </c>
      <c r="V3600">
        <f>-683.300209571779 -35.0175735930172 -234.425562861399</f>
        <v>-952.74334602619524</v>
      </c>
      <c r="W3600" t="s">
        <v>74652</v>
      </c>
      <c r="X3600" t="s">
        <v>74653</v>
      </c>
      <c r="Y3600" t="s">
        <v>74654</v>
      </c>
    </row>
    <row r="3601" spans="1:25" x14ac:dyDescent="0.3">
      <c r="A3601">
        <v>180000</v>
      </c>
      <c r="B3601" t="s">
        <v>74655</v>
      </c>
      <c r="C3601" t="s">
        <v>74656</v>
      </c>
      <c r="D3601" t="s">
        <v>74657</v>
      </c>
      <c r="E3601" t="s">
        <v>74658</v>
      </c>
      <c r="F3601" t="s">
        <v>74659</v>
      </c>
      <c r="G3601" t="s">
        <v>74660</v>
      </c>
      <c r="H3601" t="s">
        <v>74661</v>
      </c>
      <c r="I3601">
        <f>-694.97259139679 -9.99704896402113 -939.415127628133</f>
        <v>-1644.3847679889441</v>
      </c>
      <c r="J3601" t="s">
        <v>74662</v>
      </c>
      <c r="K3601" t="s">
        <v>74663</v>
      </c>
      <c r="L3601" t="s">
        <v>74664</v>
      </c>
      <c r="M3601" t="s">
        <v>74665</v>
      </c>
      <c r="N3601">
        <f>-734.094923285288 -9.4281638907994 -772.134960855028</f>
        <v>-1515.6580480311154</v>
      </c>
      <c r="O3601">
        <f>-794.871384175222 -134.095348216913 -723.283350281539</f>
        <v>-1652.2500826736741</v>
      </c>
      <c r="P3601">
        <f>-745.284696452616 -120.550800471421 -410.963199550897</f>
        <v>-1276.7986964749339</v>
      </c>
      <c r="Q3601">
        <f>-499.542647139615 -64.598232095608 -346.758595796524</f>
        <v>-910.89947503174699</v>
      </c>
      <c r="R3601" t="s">
        <v>74666</v>
      </c>
      <c r="S3601" t="s">
        <v>74667</v>
      </c>
      <c r="T3601" t="s">
        <v>74668</v>
      </c>
      <c r="U3601" t="s">
        <v>74669</v>
      </c>
      <c r="V3601">
        <f>-684.643581812283 -35.7153097333523 -234.330676993899</f>
        <v>-954.68956853953432</v>
      </c>
      <c r="W3601" t="s">
        <v>74670</v>
      </c>
      <c r="X3601" t="s">
        <v>74671</v>
      </c>
      <c r="Y3601" t="s">
        <v>74672</v>
      </c>
    </row>
    <row r="3602" spans="1:25" x14ac:dyDescent="0.3">
      <c r="A3602">
        <v>180050</v>
      </c>
      <c r="B3602" t="s">
        <v>74673</v>
      </c>
      <c r="C3602" t="s">
        <v>74674</v>
      </c>
      <c r="D3602" t="s">
        <v>74675</v>
      </c>
      <c r="E3602" t="s">
        <v>74676</v>
      </c>
      <c r="F3602" t="s">
        <v>74677</v>
      </c>
      <c r="G3602" t="s">
        <v>74678</v>
      </c>
      <c r="H3602" t="s">
        <v>74679</v>
      </c>
      <c r="I3602">
        <f>-694.767546531154 -10.0190553489269 -939.088567159137</f>
        <v>-1643.875169039218</v>
      </c>
      <c r="J3602" t="s">
        <v>74680</v>
      </c>
      <c r="K3602" t="s">
        <v>74681</v>
      </c>
      <c r="L3602" t="s">
        <v>74682</v>
      </c>
      <c r="M3602" t="s">
        <v>74683</v>
      </c>
      <c r="N3602">
        <f>-734.691220364661 -9.47981809842577 -772.016462829508</f>
        <v>-1516.1875012925948</v>
      </c>
      <c r="O3602">
        <f>-795.777581916604 -134.112783130593 -723.475462288274</f>
        <v>-1653.3658273354711</v>
      </c>
      <c r="P3602">
        <f>-747.474753709691 -121.09815442745 -410.931591817208</f>
        <v>-1279.5044999543491</v>
      </c>
      <c r="Q3602">
        <f>-501.945816613227 -65.0975860895035 -345.957936203476</f>
        <v>-913.00133890620646</v>
      </c>
      <c r="R3602" t="s">
        <v>74684</v>
      </c>
      <c r="S3602" t="s">
        <v>74685</v>
      </c>
      <c r="T3602" t="s">
        <v>74686</v>
      </c>
      <c r="U3602" t="s">
        <v>74687</v>
      </c>
      <c r="V3602">
        <f>-687.461714111279 -37.0235765110936 -234.170210222915</f>
        <v>-958.65550084528752</v>
      </c>
      <c r="W3602" t="s">
        <v>74688</v>
      </c>
      <c r="X3602" t="s">
        <v>74689</v>
      </c>
      <c r="Y3602" t="s">
        <v>74690</v>
      </c>
    </row>
    <row r="3603" spans="1:25" x14ac:dyDescent="0.3">
      <c r="A3603">
        <v>180100</v>
      </c>
      <c r="B3603" t="s">
        <v>74691</v>
      </c>
      <c r="C3603" t="s">
        <v>74692</v>
      </c>
      <c r="D3603" t="s">
        <v>74693</v>
      </c>
      <c r="E3603" t="s">
        <v>74694</v>
      </c>
      <c r="F3603" t="s">
        <v>74695</v>
      </c>
      <c r="G3603" t="s">
        <v>74696</v>
      </c>
      <c r="H3603" t="s">
        <v>74697</v>
      </c>
      <c r="I3603">
        <f>-694.714501448365 -10.2658139322646 -938.95622872868</f>
        <v>-1643.9365441093096</v>
      </c>
      <c r="J3603" t="s">
        <v>74698</v>
      </c>
      <c r="K3603" t="s">
        <v>74699</v>
      </c>
      <c r="L3603" t="s">
        <v>74700</v>
      </c>
      <c r="M3603" t="s">
        <v>74701</v>
      </c>
      <c r="N3603">
        <f>-735.054418553721 -9.69060449074777 -771.999114748326</f>
        <v>-1516.7441377927948</v>
      </c>
      <c r="O3603">
        <f>-796.398354807916 -134.245434351873 -723.553531352814</f>
        <v>-1654.197320512603</v>
      </c>
      <c r="P3603">
        <f>-748.453529855409 -121.485694794553 -410.944011389281</f>
        <v>-1280.883236039243</v>
      </c>
      <c r="Q3603">
        <f>-502.945696213366 -65.9000444594421 -345.536131589006</f>
        <v>-914.38187226181412</v>
      </c>
      <c r="R3603" t="s">
        <v>74702</v>
      </c>
      <c r="S3603" t="s">
        <v>74703</v>
      </c>
      <c r="T3603" t="s">
        <v>74704</v>
      </c>
      <c r="U3603" t="s">
        <v>74705</v>
      </c>
      <c r="V3603">
        <f>-688.801501082469 -37.7420010816866 -234.123206141169</f>
        <v>-960.66670830532462</v>
      </c>
      <c r="W3603" t="s">
        <v>74706</v>
      </c>
      <c r="X3603" t="s">
        <v>74707</v>
      </c>
      <c r="Y3603" t="s">
        <v>74708</v>
      </c>
    </row>
    <row r="3604" spans="1:25" x14ac:dyDescent="0.3">
      <c r="A3604">
        <v>180150</v>
      </c>
      <c r="B3604" t="s">
        <v>74709</v>
      </c>
      <c r="C3604" t="s">
        <v>74710</v>
      </c>
      <c r="D3604" t="s">
        <v>74711</v>
      </c>
      <c r="E3604" t="s">
        <v>74712</v>
      </c>
      <c r="F3604" t="s">
        <v>74713</v>
      </c>
      <c r="G3604" t="s">
        <v>74714</v>
      </c>
      <c r="H3604" t="s">
        <v>74715</v>
      </c>
      <c r="I3604">
        <f>-694.481132918773 -11.6490223356768 -938.608302137587</f>
        <v>-1644.7384573920367</v>
      </c>
      <c r="J3604" t="s">
        <v>74716</v>
      </c>
      <c r="K3604" t="s">
        <v>74717</v>
      </c>
      <c r="L3604" t="s">
        <v>74718</v>
      </c>
      <c r="M3604" t="s">
        <v>74719</v>
      </c>
      <c r="N3604">
        <f>-735.630821872696 -10.8533659086856 -771.887298375922</f>
        <v>-1518.3714861573035</v>
      </c>
      <c r="O3604">
        <f>-797.502049928127 -135.210133373977 -723.594658157583</f>
        <v>-1656.3068414596869</v>
      </c>
      <c r="P3604">
        <f>-750.969067711038 -122.700320185891 -410.761826743015</f>
        <v>-1284.4312146399438</v>
      </c>
      <c r="Q3604">
        <f>-505.433249604357 -67.8124252322689 -344.871647738582</f>
        <v>-918.11732257520794</v>
      </c>
      <c r="R3604" t="s">
        <v>74720</v>
      </c>
      <c r="S3604" t="s">
        <v>74721</v>
      </c>
      <c r="T3604" t="s">
        <v>74722</v>
      </c>
      <c r="U3604" t="s">
        <v>74723</v>
      </c>
      <c r="V3604">
        <f>-691.487256396857 -39.1796758377227 -233.980578091197</f>
        <v>-964.64751032577669</v>
      </c>
      <c r="W3604" t="s">
        <v>74724</v>
      </c>
      <c r="X3604" t="s">
        <v>74725</v>
      </c>
      <c r="Y3604" t="s">
        <v>74726</v>
      </c>
    </row>
    <row r="3605" spans="1:25" x14ac:dyDescent="0.3">
      <c r="A3605">
        <v>180200</v>
      </c>
      <c r="B3605" t="s">
        <v>74727</v>
      </c>
      <c r="C3605" t="s">
        <v>74728</v>
      </c>
      <c r="D3605" t="s">
        <v>74729</v>
      </c>
      <c r="E3605" t="s">
        <v>74730</v>
      </c>
      <c r="F3605" t="s">
        <v>74731</v>
      </c>
      <c r="G3605" t="s">
        <v>74732</v>
      </c>
      <c r="H3605" t="s">
        <v>74733</v>
      </c>
      <c r="I3605">
        <f>-694.673349846962 -12.0182496274847 -938.498125913064</f>
        <v>-1645.1897253875106</v>
      </c>
      <c r="J3605" t="s">
        <v>74734</v>
      </c>
      <c r="K3605" t="s">
        <v>74735</v>
      </c>
      <c r="L3605" t="s">
        <v>74736</v>
      </c>
      <c r="M3605" t="s">
        <v>74737</v>
      </c>
      <c r="N3605">
        <f>-736.054752067453 -11.277242810723 -771.858471999076</f>
        <v>-1519.190466877252</v>
      </c>
      <c r="O3605">
        <f>-798.136973076038 -135.533291505813 -723.571181148712</f>
        <v>-1657.2414457305629</v>
      </c>
      <c r="P3605">
        <f>-752.342372898707 -123.046656703823 -410.628411087246</f>
        <v>-1286.0174406897761</v>
      </c>
      <c r="Q3605">
        <f>-506.771538532047 -68.7305944607867 -344.396095535225</f>
        <v>-919.89822852805878</v>
      </c>
      <c r="R3605" t="s">
        <v>74738</v>
      </c>
      <c r="S3605" t="s">
        <v>74739</v>
      </c>
      <c r="T3605" t="s">
        <v>74740</v>
      </c>
      <c r="U3605" t="s">
        <v>74741</v>
      </c>
      <c r="V3605">
        <f>-692.719791790913 -39.9656321684324 -233.907571379588</f>
        <v>-966.59299533893341</v>
      </c>
      <c r="W3605" t="s">
        <v>74742</v>
      </c>
      <c r="X3605" t="s">
        <v>74743</v>
      </c>
      <c r="Y3605" t="s">
        <v>74744</v>
      </c>
    </row>
    <row r="3606" spans="1:25" x14ac:dyDescent="0.3">
      <c r="A3606">
        <v>180250</v>
      </c>
      <c r="B3606" t="s">
        <v>74745</v>
      </c>
      <c r="C3606" t="s">
        <v>74746</v>
      </c>
      <c r="D3606" t="s">
        <v>74747</v>
      </c>
      <c r="E3606" t="s">
        <v>74748</v>
      </c>
      <c r="F3606" t="s">
        <v>74749</v>
      </c>
      <c r="G3606" t="s">
        <v>74750</v>
      </c>
      <c r="H3606" t="s">
        <v>74751</v>
      </c>
      <c r="I3606">
        <f>-695.157702888387 -12.689791970023 -938.296075406678</f>
        <v>-1646.1435702650879</v>
      </c>
      <c r="J3606" t="s">
        <v>74752</v>
      </c>
      <c r="K3606" t="s">
        <v>74753</v>
      </c>
      <c r="L3606" t="s">
        <v>74754</v>
      </c>
      <c r="M3606" t="s">
        <v>74755</v>
      </c>
      <c r="N3606">
        <f>-736.992039889872 -11.9763291775057 -771.835290091531</f>
        <v>-1520.8036591589087</v>
      </c>
      <c r="O3606">
        <f>-799.409846298625 -136.093777419609 -723.660249402194</f>
        <v>-1659.163873120428</v>
      </c>
      <c r="P3606">
        <f>-754.452771279788 -123.564149884469 -410.597872176354</f>
        <v>-1288.614793340611</v>
      </c>
      <c r="Q3606">
        <f>-508.786653518604 -70.0829200967696 -344.039876352843</f>
        <v>-922.90944996821668</v>
      </c>
      <c r="R3606" t="s">
        <v>74756</v>
      </c>
      <c r="S3606" t="s">
        <v>74757</v>
      </c>
      <c r="T3606" t="s">
        <v>74758</v>
      </c>
      <c r="U3606" t="s">
        <v>74759</v>
      </c>
      <c r="V3606">
        <f>-695.079776929811 -41.4830606692403 -233.857340589073</f>
        <v>-970.4201781881244</v>
      </c>
      <c r="W3606" t="s">
        <v>74760</v>
      </c>
      <c r="X3606" t="s">
        <v>74761</v>
      </c>
      <c r="Y3606" t="s">
        <v>74762</v>
      </c>
    </row>
    <row r="3607" spans="1:25" x14ac:dyDescent="0.3">
      <c r="A3607">
        <v>180300</v>
      </c>
      <c r="B3607" t="s">
        <v>74763</v>
      </c>
      <c r="C3607" t="s">
        <v>74764</v>
      </c>
      <c r="D3607" t="s">
        <v>74765</v>
      </c>
      <c r="E3607" t="s">
        <v>74766</v>
      </c>
      <c r="F3607" t="s">
        <v>74767</v>
      </c>
      <c r="G3607" t="s">
        <v>74768</v>
      </c>
      <c r="H3607" t="s">
        <v>74769</v>
      </c>
      <c r="I3607">
        <f>-695.491923583817 -13.3048783857103 -938.148788486928</f>
        <v>-1646.9455904564552</v>
      </c>
      <c r="J3607" t="s">
        <v>74770</v>
      </c>
      <c r="K3607" t="s">
        <v>74771</v>
      </c>
      <c r="L3607" t="s">
        <v>74772</v>
      </c>
      <c r="M3607" t="s">
        <v>74773</v>
      </c>
      <c r="N3607">
        <f>-737.560976243333 -12.4996809447514 -771.770378047977</f>
        <v>-1521.8310352360613</v>
      </c>
      <c r="O3607">
        <f>-800.110030267499 -136.581568343783 -723.668104765771</f>
        <v>-1660.3597033770529</v>
      </c>
      <c r="P3607">
        <f>-755.296223679146 -123.785544816398 -410.596106214273</f>
        <v>-1289.6778747098169</v>
      </c>
      <c r="Q3607">
        <f>-509.635447582313 -70.583438187728 -343.795055728604</f>
        <v>-924.01394149864495</v>
      </c>
      <c r="R3607" t="s">
        <v>74774</v>
      </c>
      <c r="S3607" t="s">
        <v>74775</v>
      </c>
      <c r="T3607" t="s">
        <v>74776</v>
      </c>
      <c r="U3607" t="s">
        <v>74777</v>
      </c>
      <c r="V3607">
        <f>-696.333055240591 -42.2126452498869 -233.822372661957</f>
        <v>-972.36807315243482</v>
      </c>
      <c r="W3607" t="s">
        <v>74778</v>
      </c>
      <c r="X3607" t="s">
        <v>74779</v>
      </c>
      <c r="Y3607" t="s">
        <v>74780</v>
      </c>
    </row>
    <row r="3608" spans="1:25" x14ac:dyDescent="0.3">
      <c r="A3608">
        <v>180350</v>
      </c>
      <c r="B3608" t="s">
        <v>74781</v>
      </c>
      <c r="C3608" t="s">
        <v>74782</v>
      </c>
      <c r="D3608" t="s">
        <v>74783</v>
      </c>
      <c r="E3608" t="s">
        <v>74784</v>
      </c>
      <c r="F3608" t="s">
        <v>74785</v>
      </c>
      <c r="G3608" t="s">
        <v>74786</v>
      </c>
      <c r="H3608" t="s">
        <v>74787</v>
      </c>
      <c r="I3608">
        <f>-695.899109146598 -14.8831441077261 -937.714948431233</f>
        <v>-1648.4972016855572</v>
      </c>
      <c r="J3608" t="s">
        <v>74788</v>
      </c>
      <c r="K3608" t="s">
        <v>74789</v>
      </c>
      <c r="L3608" t="s">
        <v>74790</v>
      </c>
      <c r="M3608" t="s">
        <v>74791</v>
      </c>
      <c r="N3608">
        <f>-738.455874283561 -13.8957152437492 -771.473738881384</f>
        <v>-1523.8253284086941</v>
      </c>
      <c r="O3608">
        <f>-801.076343636993 -137.998688134392 -723.508841578815</f>
        <v>-1662.5838733502001</v>
      </c>
      <c r="P3608">
        <f>-757.248605677984 -125.333668701791 -410.291914188795</f>
        <v>-1292.8741885685699</v>
      </c>
      <c r="Q3608">
        <f>-511.627325394311 -72.120390088679 -343.35462399252</f>
        <v>-927.10233947551001</v>
      </c>
      <c r="R3608" t="s">
        <v>74792</v>
      </c>
      <c r="S3608" t="s">
        <v>74793</v>
      </c>
      <c r="T3608" t="s">
        <v>74794</v>
      </c>
      <c r="U3608" t="s">
        <v>74795</v>
      </c>
      <c r="V3608">
        <f>-699.300327326462 -43.7519490323025 -233.676345954076</f>
        <v>-976.72862231284057</v>
      </c>
      <c r="W3608" t="s">
        <v>74796</v>
      </c>
      <c r="X3608" t="s">
        <v>74797</v>
      </c>
      <c r="Y3608" t="s">
        <v>74798</v>
      </c>
    </row>
    <row r="3609" spans="1:25" x14ac:dyDescent="0.3">
      <c r="A3609">
        <v>180400</v>
      </c>
      <c r="B3609" t="s">
        <v>74799</v>
      </c>
      <c r="C3609" t="s">
        <v>74800</v>
      </c>
      <c r="D3609" t="s">
        <v>74801</v>
      </c>
      <c r="E3609" t="s">
        <v>74802</v>
      </c>
      <c r="F3609" t="s">
        <v>74803</v>
      </c>
      <c r="G3609" t="s">
        <v>74804</v>
      </c>
      <c r="H3609" t="s">
        <v>74805</v>
      </c>
      <c r="I3609">
        <f>-696.289852077569 -15.6852619381255 -937.583601968272</f>
        <v>-1649.5587159839665</v>
      </c>
      <c r="J3609" t="s">
        <v>74806</v>
      </c>
      <c r="K3609" t="s">
        <v>74807</v>
      </c>
      <c r="L3609" t="s">
        <v>74808</v>
      </c>
      <c r="M3609" t="s">
        <v>74809</v>
      </c>
      <c r="N3609">
        <f>-739.066742862475 -14.6641027135236 -771.39429325264</f>
        <v>-1525.1251388286387</v>
      </c>
      <c r="O3609">
        <f>-801.664019468168 -138.808332571062 -723.504829325966</f>
        <v>-1663.977181365196</v>
      </c>
      <c r="P3609">
        <f>-758.353213137269 -126.131180505584 -410.21637553798</f>
        <v>-1294.700769180833</v>
      </c>
      <c r="Q3609">
        <f>-512.752504034192 -73.0301047323392 -343.114837009647</f>
        <v>-928.89744577617819</v>
      </c>
      <c r="R3609" t="s">
        <v>74810</v>
      </c>
      <c r="S3609" t="s">
        <v>74811</v>
      </c>
      <c r="T3609" t="s">
        <v>74812</v>
      </c>
      <c r="U3609" t="s">
        <v>74813</v>
      </c>
      <c r="V3609">
        <f>-700.696992796865 -44.5573171144208 -233.628164261475</f>
        <v>-978.88247417276079</v>
      </c>
      <c r="W3609" t="s">
        <v>74814</v>
      </c>
      <c r="X3609" t="s">
        <v>74815</v>
      </c>
      <c r="Y3609" t="s">
        <v>74816</v>
      </c>
    </row>
    <row r="3610" spans="1:25" x14ac:dyDescent="0.3">
      <c r="A3610">
        <v>180450</v>
      </c>
      <c r="B3610" t="s">
        <v>74817</v>
      </c>
      <c r="C3610" t="s">
        <v>74818</v>
      </c>
      <c r="D3610" t="s">
        <v>74819</v>
      </c>
      <c r="E3610" t="s">
        <v>74820</v>
      </c>
      <c r="F3610" t="s">
        <v>74821</v>
      </c>
      <c r="G3610" t="s">
        <v>74822</v>
      </c>
      <c r="H3610" t="s">
        <v>74823</v>
      </c>
      <c r="I3610">
        <f>-697.342040699195 -17.1333385984551 -937.323814883789</f>
        <v>-1651.7991941814391</v>
      </c>
      <c r="J3610" t="s">
        <v>74824</v>
      </c>
      <c r="K3610" t="s">
        <v>74825</v>
      </c>
      <c r="L3610" t="s">
        <v>74826</v>
      </c>
      <c r="M3610" t="s">
        <v>74827</v>
      </c>
      <c r="N3610">
        <f>-740.486279768657 -16.1096400511622 -771.226807895731</f>
        <v>-1527.8227277155502</v>
      </c>
      <c r="O3610">
        <f>-802.914441860176 -140.37533522928 -723.442187099466</f>
        <v>-1666.7319641889221</v>
      </c>
      <c r="P3610">
        <f>-760.060327725873 -127.675451805605 -410.091901436366</f>
        <v>-1297.8276809678441</v>
      </c>
      <c r="Q3610">
        <f>-514.464671836961 -75.3231754234193 -342.386292196323</f>
        <v>-932.1741394567033</v>
      </c>
      <c r="R3610" t="s">
        <v>74828</v>
      </c>
      <c r="S3610" t="s">
        <v>74829</v>
      </c>
      <c r="T3610" t="s">
        <v>74830</v>
      </c>
      <c r="U3610" t="s">
        <v>74831</v>
      </c>
      <c r="V3610">
        <f>-703.629684646771 -46.2057052159967 -233.546416347374</f>
        <v>-983.38180621014169</v>
      </c>
      <c r="W3610" t="s">
        <v>74832</v>
      </c>
      <c r="X3610" t="s">
        <v>74833</v>
      </c>
      <c r="Y3610" t="s">
        <v>74834</v>
      </c>
    </row>
    <row r="3611" spans="1:25" x14ac:dyDescent="0.3">
      <c r="A3611">
        <v>180500</v>
      </c>
      <c r="B3611" t="s">
        <v>74835</v>
      </c>
      <c r="C3611" t="s">
        <v>74836</v>
      </c>
      <c r="D3611" t="s">
        <v>74837</v>
      </c>
      <c r="E3611" t="s">
        <v>74838</v>
      </c>
      <c r="F3611" t="s">
        <v>74839</v>
      </c>
      <c r="G3611" t="s">
        <v>74840</v>
      </c>
      <c r="H3611" t="s">
        <v>74841</v>
      </c>
      <c r="I3611">
        <f>-697.718160017417 -17.7628655188319 -937.163470731108</f>
        <v>-1652.6444962673568</v>
      </c>
      <c r="J3611" t="s">
        <v>74842</v>
      </c>
      <c r="K3611" t="s">
        <v>74843</v>
      </c>
      <c r="L3611" t="s">
        <v>74844</v>
      </c>
      <c r="M3611" t="s">
        <v>74845</v>
      </c>
      <c r="N3611">
        <f>-741.119278327248 -16.7492528441396 -771.130550222646</f>
        <v>-1528.9990813940335</v>
      </c>
      <c r="O3611">
        <f>-803.488545841795 -141.063652092325 -723.366102998192</f>
        <v>-1667.9183009323119</v>
      </c>
      <c r="P3611">
        <f>-760.769371483054 -128.250108925692 -410.002025317526</f>
        <v>-1299.0215057262719</v>
      </c>
      <c r="Q3611">
        <f>-515.249537541378 -75.8243920748789 -342.078687957453</f>
        <v>-933.1526175737099</v>
      </c>
      <c r="R3611" t="s">
        <v>74846</v>
      </c>
      <c r="S3611" t="s">
        <v>74847</v>
      </c>
      <c r="T3611" t="s">
        <v>74848</v>
      </c>
      <c r="U3611" t="s">
        <v>74849</v>
      </c>
      <c r="V3611">
        <f>-705.057322374866 -46.9474521940112 -233.49516228522</f>
        <v>-985.4999368540972</v>
      </c>
      <c r="W3611" t="s">
        <v>74850</v>
      </c>
      <c r="X3611" t="s">
        <v>74851</v>
      </c>
      <c r="Y3611" t="s">
        <v>74852</v>
      </c>
    </row>
    <row r="3612" spans="1:25" x14ac:dyDescent="0.3">
      <c r="A3612">
        <v>180550</v>
      </c>
      <c r="B3612" t="s">
        <v>74853</v>
      </c>
      <c r="C3612" t="s">
        <v>74854</v>
      </c>
      <c r="D3612" t="s">
        <v>74855</v>
      </c>
      <c r="E3612" t="s">
        <v>74856</v>
      </c>
      <c r="F3612" t="s">
        <v>74857</v>
      </c>
      <c r="G3612" t="s">
        <v>74858</v>
      </c>
      <c r="H3612" t="s">
        <v>74859</v>
      </c>
      <c r="I3612">
        <f>-698.492562077481 -19.466640281564 -936.83249535472</f>
        <v>-1654.791697713765</v>
      </c>
      <c r="J3612" t="s">
        <v>74860</v>
      </c>
      <c r="K3612" t="s">
        <v>74861</v>
      </c>
      <c r="L3612" t="s">
        <v>74862</v>
      </c>
      <c r="M3612" t="s">
        <v>74863</v>
      </c>
      <c r="N3612">
        <f>-742.385403213497 -18.280082840774 -770.91710427294</f>
        <v>-1531.5825903272112</v>
      </c>
      <c r="O3612">
        <f>-804.716306185189 -142.606439938355 -723.148940618022</f>
        <v>-1670.4716867415659</v>
      </c>
      <c r="P3612">
        <f>-762.705968500772 -129.79788031008 -409.688741152184</f>
        <v>-1302.192589963036</v>
      </c>
      <c r="Q3612">
        <f>-517.50662003448 -76.624412857718 -341.190999341667</f>
        <v>-935.322032233865</v>
      </c>
      <c r="R3612" t="s">
        <v>74864</v>
      </c>
      <c r="S3612" t="s">
        <v>74865</v>
      </c>
      <c r="T3612" t="s">
        <v>74866</v>
      </c>
      <c r="U3612" t="s">
        <v>74867</v>
      </c>
      <c r="V3612">
        <f>-707.778472146941 -48.4249269888003 -233.411172075568</f>
        <v>-989.61457121130934</v>
      </c>
      <c r="W3612" t="s">
        <v>74868</v>
      </c>
      <c r="X3612" t="s">
        <v>74869</v>
      </c>
      <c r="Y3612" t="s">
        <v>74870</v>
      </c>
    </row>
    <row r="3613" spans="1:25" x14ac:dyDescent="0.3">
      <c r="A3613">
        <v>180600</v>
      </c>
      <c r="B3613" t="s">
        <v>74871</v>
      </c>
      <c r="C3613" t="s">
        <v>74872</v>
      </c>
      <c r="D3613" t="s">
        <v>74873</v>
      </c>
      <c r="E3613" t="s">
        <v>74874</v>
      </c>
      <c r="F3613" t="s">
        <v>74875</v>
      </c>
      <c r="G3613" t="s">
        <v>74876</v>
      </c>
      <c r="H3613">
        <f>-729.327978944447 -0.184771871586008 -841.629790264125</f>
        <v>-1571.142541080158</v>
      </c>
      <c r="I3613">
        <f>-698.673501558244 -20.3955820177521 -936.68155856701</f>
        <v>-1655.7506421430062</v>
      </c>
      <c r="J3613" t="s">
        <v>74877</v>
      </c>
      <c r="K3613" t="s">
        <v>74878</v>
      </c>
      <c r="L3613" t="s">
        <v>74879</v>
      </c>
      <c r="M3613" t="s">
        <v>74880</v>
      </c>
      <c r="N3613">
        <f>-742.812608771601 -19.0966277126686 -770.824329120789</f>
        <v>-1532.7335656050586</v>
      </c>
      <c r="O3613">
        <f>-805.174744726647 -143.41467129903 -723.082034732975</f>
        <v>-1671.6714507586521</v>
      </c>
      <c r="P3613">
        <f>-763.575150324183 -130.68678376037 -409.563849719907</f>
        <v>-1303.8257838044601</v>
      </c>
      <c r="Q3613">
        <f>-518.378414052687 -77.3842034630279 -341.157505540128</f>
        <v>-936.92012305584296</v>
      </c>
      <c r="R3613" t="s">
        <v>74881</v>
      </c>
      <c r="S3613" t="s">
        <v>74882</v>
      </c>
      <c r="T3613" t="s">
        <v>74883</v>
      </c>
      <c r="U3613" t="s">
        <v>74884</v>
      </c>
      <c r="V3613">
        <f>-708.857818016288 -49.1229121714291 -233.372179066942</f>
        <v>-991.35290925465915</v>
      </c>
      <c r="W3613" t="s">
        <v>74885</v>
      </c>
      <c r="X3613" t="s">
        <v>74886</v>
      </c>
      <c r="Y3613" t="s">
        <v>74887</v>
      </c>
    </row>
    <row r="3614" spans="1:25" x14ac:dyDescent="0.3">
      <c r="A3614">
        <v>180650</v>
      </c>
      <c r="B3614" t="s">
        <v>74888</v>
      </c>
      <c r="C3614" t="s">
        <v>74889</v>
      </c>
      <c r="D3614" t="s">
        <v>74890</v>
      </c>
      <c r="E3614" t="s">
        <v>74891</v>
      </c>
      <c r="F3614" t="s">
        <v>74892</v>
      </c>
      <c r="G3614" t="s">
        <v>74893</v>
      </c>
      <c r="H3614">
        <f>-730.468264822128 -1.48609726020436 -841.40166356098</f>
        <v>-1573.3560256433125</v>
      </c>
      <c r="I3614">
        <f>-699.64521324076 -21.819114338527 -936.372644829384</f>
        <v>-1657.836972408671</v>
      </c>
      <c r="J3614" t="s">
        <v>74894</v>
      </c>
      <c r="K3614" t="s">
        <v>74895</v>
      </c>
      <c r="L3614" t="s">
        <v>74896</v>
      </c>
      <c r="M3614" t="s">
        <v>74897</v>
      </c>
      <c r="N3614">
        <f>-744.07816528385 -20.3377949329138 -770.604045686766</f>
        <v>-1535.0200059035296</v>
      </c>
      <c r="O3614">
        <f>-806.538873808335 -144.620000762053 -722.886306025052</f>
        <v>-1674.0451805954399</v>
      </c>
      <c r="P3614">
        <f>-765.572676304847 -132.147508587419 -409.274509051233</f>
        <v>-1306.994693943499</v>
      </c>
      <c r="Q3614">
        <f>-520.431472473427 -78.3879614399257 -341.02656319436</f>
        <v>-939.84599710771272</v>
      </c>
      <c r="R3614" t="s">
        <v>74898</v>
      </c>
      <c r="S3614" t="s">
        <v>74899</v>
      </c>
      <c r="T3614" t="s">
        <v>74900</v>
      </c>
      <c r="U3614" t="s">
        <v>74901</v>
      </c>
      <c r="V3614">
        <f>-710.84980551647 -50.5692556803463 -233.295489498125</f>
        <v>-994.71455069494129</v>
      </c>
      <c r="W3614" t="s">
        <v>74902</v>
      </c>
      <c r="X3614" t="s">
        <v>74903</v>
      </c>
      <c r="Y3614" t="s">
        <v>74904</v>
      </c>
    </row>
    <row r="3615" spans="1:25" x14ac:dyDescent="0.3">
      <c r="A3615">
        <v>180700</v>
      </c>
      <c r="B3615" t="s">
        <v>74905</v>
      </c>
      <c r="C3615" t="s">
        <v>74906</v>
      </c>
      <c r="D3615" t="s">
        <v>74907</v>
      </c>
      <c r="E3615" t="s">
        <v>74908</v>
      </c>
      <c r="F3615" t="s">
        <v>74909</v>
      </c>
      <c r="G3615" t="s">
        <v>74910</v>
      </c>
      <c r="H3615">
        <f>-730.816216435704 -2.24906169926317 -841.340089971948</f>
        <v>-1574.4053681069151</v>
      </c>
      <c r="I3615">
        <f>-699.944462046741 -22.6507545576392 -936.280551220132</f>
        <v>-1658.8757678245122</v>
      </c>
      <c r="J3615" t="s">
        <v>74911</v>
      </c>
      <c r="K3615" t="s">
        <v>74912</v>
      </c>
      <c r="L3615" t="s">
        <v>74913</v>
      </c>
      <c r="M3615" t="s">
        <v>74914</v>
      </c>
      <c r="N3615">
        <f>-744.480674607358 -21.0730115299898 -770.545641623881</f>
        <v>-1536.0993277612288</v>
      </c>
      <c r="O3615">
        <f>-807.021400570741 -145.307799826953 -722.837259825393</f>
        <v>-1675.1664602230869</v>
      </c>
      <c r="P3615">
        <f>-766.369133212589 -133.081184434962 -409.174891140769</f>
        <v>-1308.6252087883199</v>
      </c>
      <c r="Q3615">
        <f>-521.188462722494 -79.1194203198038 -341.229183676023</f>
        <v>-941.53706671832083</v>
      </c>
      <c r="R3615" t="s">
        <v>74915</v>
      </c>
      <c r="S3615" t="s">
        <v>74916</v>
      </c>
      <c r="T3615" t="s">
        <v>74917</v>
      </c>
      <c r="U3615" t="s">
        <v>74918</v>
      </c>
      <c r="V3615">
        <f>-711.653084543167 -51.311022591643 -233.28633366232</f>
        <v>-996.25044079712995</v>
      </c>
      <c r="W3615" t="s">
        <v>74919</v>
      </c>
      <c r="X3615" t="s">
        <v>74920</v>
      </c>
      <c r="Y3615" t="s">
        <v>74921</v>
      </c>
    </row>
    <row r="3616" spans="1:25" x14ac:dyDescent="0.3">
      <c r="A3616">
        <v>180750</v>
      </c>
      <c r="B3616" t="s">
        <v>74922</v>
      </c>
      <c r="C3616" t="s">
        <v>74923</v>
      </c>
      <c r="D3616" t="s">
        <v>74924</v>
      </c>
      <c r="E3616" t="s">
        <v>74925</v>
      </c>
      <c r="F3616" t="s">
        <v>74926</v>
      </c>
      <c r="G3616" t="s">
        <v>74927</v>
      </c>
      <c r="H3616">
        <f>-731.509514775101 -3.7895136464283 -841.26310811536</f>
        <v>-1576.5621365368893</v>
      </c>
      <c r="I3616">
        <f>-700.539069117248 -24.3840348447613 -936.129734907505</f>
        <v>-1661.0528388695143</v>
      </c>
      <c r="J3616" t="s">
        <v>74928</v>
      </c>
      <c r="K3616" t="s">
        <v>74929</v>
      </c>
      <c r="L3616" t="s">
        <v>74930</v>
      </c>
      <c r="M3616" t="s">
        <v>74931</v>
      </c>
      <c r="N3616">
        <f>-745.245361421576 -22.5475600842926 -770.464963957593</f>
        <v>-1538.2578854634617</v>
      </c>
      <c r="O3616">
        <f>-807.842031515325 -146.750186703217 -722.722790100602</f>
        <v>-1677.315008319144</v>
      </c>
      <c r="P3616">
        <f>-767.393644384149 -134.398066067217 -409.039011470823</f>
        <v>-1310.830721922189</v>
      </c>
      <c r="Q3616">
        <f>-522.075327515519 -80.7742862350706 -341.323106602145</f>
        <v>-944.17272035273459</v>
      </c>
      <c r="R3616" t="s">
        <v>74932</v>
      </c>
      <c r="S3616" t="s">
        <v>74933</v>
      </c>
      <c r="T3616" t="s">
        <v>74934</v>
      </c>
      <c r="U3616" t="s">
        <v>74935</v>
      </c>
      <c r="V3616">
        <f>-713.024007301255 -52.6186312188509 -233.239253162391</f>
        <v>-998.88189168249687</v>
      </c>
      <c r="W3616" t="s">
        <v>74936</v>
      </c>
      <c r="X3616" t="s">
        <v>74937</v>
      </c>
      <c r="Y3616" t="s">
        <v>74938</v>
      </c>
    </row>
    <row r="3617" spans="1:25" x14ac:dyDescent="0.3">
      <c r="A3617">
        <v>180800</v>
      </c>
      <c r="B3617" t="s">
        <v>74939</v>
      </c>
      <c r="C3617" t="s">
        <v>74940</v>
      </c>
      <c r="D3617" t="s">
        <v>74941</v>
      </c>
      <c r="E3617" t="s">
        <v>74942</v>
      </c>
      <c r="F3617" t="s">
        <v>74943</v>
      </c>
      <c r="G3617" t="s">
        <v>74944</v>
      </c>
      <c r="H3617">
        <f>-731.864489600003 -4.55652103719126 -841.202290050976</f>
        <v>-1577.6233006881703</v>
      </c>
      <c r="I3617">
        <f>-700.805073454433 -25.2280219365521 -936.022984520806</f>
        <v>-1662.0560799117911</v>
      </c>
      <c r="J3617" t="s">
        <v>74945</v>
      </c>
      <c r="K3617" t="s">
        <v>74946</v>
      </c>
      <c r="L3617" t="s">
        <v>74947</v>
      </c>
      <c r="M3617" t="s">
        <v>74948</v>
      </c>
      <c r="N3617">
        <f>-745.677046945273 -23.2824923899511 -770.410556773653</f>
        <v>-1539.3700961088771</v>
      </c>
      <c r="O3617">
        <f>-808.349612432408 -147.45548094947 -722.665965749281</f>
        <v>-1678.4710591311591</v>
      </c>
      <c r="P3617">
        <f>-768.00019155503 -135.143276925475 -408.9677356857</f>
        <v>-1312.111204166205</v>
      </c>
      <c r="Q3617">
        <f>-522.642098311319 -81.7321667007095 -341.227991257798</f>
        <v>-945.60225626982651</v>
      </c>
      <c r="R3617" t="s">
        <v>74949</v>
      </c>
      <c r="S3617" t="s">
        <v>74950</v>
      </c>
      <c r="T3617" t="s">
        <v>74951</v>
      </c>
      <c r="U3617" t="s">
        <v>74952</v>
      </c>
      <c r="V3617">
        <f>-713.667086599071 -53.2645452729444 -233.212743581996</f>
        <v>-1000.1443754540114</v>
      </c>
      <c r="W3617" t="s">
        <v>74953</v>
      </c>
      <c r="X3617" t="s">
        <v>74954</v>
      </c>
      <c r="Y3617" t="s">
        <v>74955</v>
      </c>
    </row>
    <row r="3618" spans="1:25" x14ac:dyDescent="0.3">
      <c r="A3618">
        <v>180850</v>
      </c>
      <c r="B3618" t="s">
        <v>74956</v>
      </c>
      <c r="C3618" t="s">
        <v>74957</v>
      </c>
      <c r="D3618" t="s">
        <v>74958</v>
      </c>
      <c r="E3618" t="s">
        <v>74959</v>
      </c>
      <c r="F3618" t="s">
        <v>74960</v>
      </c>
      <c r="G3618" t="s">
        <v>74961</v>
      </c>
      <c r="H3618">
        <f>-731.820201301466 -5.65424033628005 -841.030422453368</f>
        <v>-1578.5048640911141</v>
      </c>
      <c r="I3618">
        <f>-700.474309337324 -26.4404357080423 -935.731747472604</f>
        <v>-1662.6464925179703</v>
      </c>
      <c r="J3618" t="s">
        <v>74962</v>
      </c>
      <c r="K3618" t="s">
        <v>74963</v>
      </c>
      <c r="L3618" t="s">
        <v>74964</v>
      </c>
      <c r="M3618" t="s">
        <v>74965</v>
      </c>
      <c r="N3618">
        <f>-745.901589135153 -24.4063542675203 -770.298544997348</f>
        <v>-1540.6064884000214</v>
      </c>
      <c r="O3618">
        <f>-808.579866662656 -148.588626882007 -722.617184119671</f>
        <v>-1679.7856776643339</v>
      </c>
      <c r="P3618">
        <f>-768.769414506832 -136.188731274016 -408.853633796822</f>
        <v>-1313.8117795776702</v>
      </c>
      <c r="Q3618">
        <f>-523.462746773713 -82.7023697980278 -340.986983259035</f>
        <v>-947.1520998307758</v>
      </c>
      <c r="R3618" t="s">
        <v>74966</v>
      </c>
      <c r="S3618" t="s">
        <v>74967</v>
      </c>
      <c r="T3618" t="s">
        <v>74968</v>
      </c>
      <c r="U3618" t="s">
        <v>74969</v>
      </c>
      <c r="V3618">
        <f>-714.93064573998 -54.3467784393818 -233.085357755669</f>
        <v>-1002.3627819350309</v>
      </c>
      <c r="W3618" t="s">
        <v>74970</v>
      </c>
      <c r="X3618" t="s">
        <v>74971</v>
      </c>
      <c r="Y3618" t="s">
        <v>74972</v>
      </c>
    </row>
    <row r="3619" spans="1:25" x14ac:dyDescent="0.3">
      <c r="A3619">
        <v>180900</v>
      </c>
      <c r="B3619" t="s">
        <v>74973</v>
      </c>
      <c r="C3619" t="s">
        <v>74974</v>
      </c>
      <c r="D3619" t="s">
        <v>74975</v>
      </c>
      <c r="E3619" t="s">
        <v>74976</v>
      </c>
      <c r="F3619" t="s">
        <v>74977</v>
      </c>
      <c r="G3619" t="s">
        <v>74978</v>
      </c>
      <c r="H3619">
        <f>-732.263622727375 -6.22124021029117 -840.936941383426</f>
        <v>-1579.4218043210922</v>
      </c>
      <c r="I3619">
        <f>-700.789336547819 -27.0871495123924 -935.578250068512</f>
        <v>-1663.4547361287234</v>
      </c>
      <c r="J3619" t="s">
        <v>74979</v>
      </c>
      <c r="K3619" t="s">
        <v>74980</v>
      </c>
      <c r="L3619" t="s">
        <v>74981</v>
      </c>
      <c r="M3619" t="s">
        <v>74982</v>
      </c>
      <c r="N3619">
        <f>-746.387049232814 -24.9845336675462 -770.216517640287</f>
        <v>-1541.5881005406472</v>
      </c>
      <c r="O3619">
        <f>-808.900762689682 -149.241467523373 -722.553623951432</f>
        <v>-1680.6958541644869</v>
      </c>
      <c r="P3619">
        <f>-769.423731614709 -136.905737761005 -408.745456081894</f>
        <v>-1315.0749254576081</v>
      </c>
      <c r="Q3619">
        <f>-524.190571636582 -83.0984124428433 -340.866600530697</f>
        <v>-948.15558461012233</v>
      </c>
      <c r="R3619" t="s">
        <v>74983</v>
      </c>
      <c r="S3619" t="s">
        <v>74984</v>
      </c>
      <c r="T3619" t="s">
        <v>74985</v>
      </c>
      <c r="U3619" t="s">
        <v>74986</v>
      </c>
      <c r="V3619">
        <f>-715.55571998314 -54.8581529033254 -233.02464120313</f>
        <v>-1003.4385140895954</v>
      </c>
      <c r="W3619" t="s">
        <v>74987</v>
      </c>
      <c r="X3619" t="s">
        <v>74988</v>
      </c>
      <c r="Y3619" t="s">
        <v>74989</v>
      </c>
    </row>
    <row r="3620" spans="1:25" x14ac:dyDescent="0.3">
      <c r="A3620">
        <v>180950</v>
      </c>
      <c r="B3620" t="s">
        <v>74990</v>
      </c>
      <c r="C3620" t="s">
        <v>74991</v>
      </c>
      <c r="D3620" t="s">
        <v>74992</v>
      </c>
      <c r="E3620" t="s">
        <v>74993</v>
      </c>
      <c r="F3620" t="s">
        <v>74994</v>
      </c>
      <c r="G3620" t="s">
        <v>74995</v>
      </c>
      <c r="H3620">
        <f>-733.689157138249 -7.27145371397887 -840.776942287218</f>
        <v>-1581.7375531394459</v>
      </c>
      <c r="I3620">
        <f>-702.113898543983 -28.2151891368781 -935.367341393101</f>
        <v>-1665.696429073962</v>
      </c>
      <c r="J3620" t="s">
        <v>74996</v>
      </c>
      <c r="K3620" t="s">
        <v>74997</v>
      </c>
      <c r="L3620" t="s">
        <v>74998</v>
      </c>
      <c r="M3620" t="s">
        <v>74999</v>
      </c>
      <c r="N3620">
        <f>-747.677595400799 -26.0990994159795 -770.04671318476</f>
        <v>-1543.8234080015386</v>
      </c>
      <c r="O3620">
        <f>-809.514767194997 -150.706308854421 -722.384368980854</f>
        <v>-1682.605445030272</v>
      </c>
      <c r="P3620">
        <f>-770.223654239848 -137.563896932867 -408.585609946614</f>
        <v>-1316.3731611193289</v>
      </c>
      <c r="Q3620">
        <f>-525.225920233967 -82.5638980226254 -340.812681908614</f>
        <v>-948.60250016520649</v>
      </c>
      <c r="R3620" t="s">
        <v>75000</v>
      </c>
      <c r="S3620" t="s">
        <v>75001</v>
      </c>
      <c r="T3620" t="s">
        <v>75002</v>
      </c>
      <c r="U3620" t="s">
        <v>75003</v>
      </c>
      <c r="V3620">
        <f>-716.579920675916 -55.787092629794 -232.888101863662</f>
        <v>-1005.2551151693719</v>
      </c>
      <c r="W3620" t="s">
        <v>75004</v>
      </c>
      <c r="X3620" t="s">
        <v>75005</v>
      </c>
      <c r="Y3620" t="s">
        <v>75006</v>
      </c>
    </row>
    <row r="3621" spans="1:25" x14ac:dyDescent="0.3">
      <c r="A3621">
        <v>181000</v>
      </c>
      <c r="B3621" t="s">
        <v>75007</v>
      </c>
      <c r="C3621" t="s">
        <v>75008</v>
      </c>
      <c r="D3621" t="s">
        <v>75009</v>
      </c>
      <c r="E3621" t="s">
        <v>75010</v>
      </c>
      <c r="F3621" t="s">
        <v>75011</v>
      </c>
      <c r="G3621" t="s">
        <v>75012</v>
      </c>
      <c r="H3621">
        <f>-734.539923733517 -7.79416337183488 -840.700609716703</f>
        <v>-1583.0346968220547</v>
      </c>
      <c r="I3621">
        <f>-702.945291053444 -28.7394005277672 -935.284318271013</f>
        <v>-1666.9690098522242</v>
      </c>
      <c r="J3621" t="s">
        <v>75013</v>
      </c>
      <c r="K3621" t="s">
        <v>75014</v>
      </c>
      <c r="L3621" t="s">
        <v>75015</v>
      </c>
      <c r="M3621" t="s">
        <v>75016</v>
      </c>
      <c r="N3621">
        <f>-748.466220976649 -26.6420027331287 -769.96350632259</f>
        <v>-1545.0717300323677</v>
      </c>
      <c r="O3621">
        <f>-810.050023452889 -151.376998832297 -722.309461720696</f>
        <v>-1683.7364840058822</v>
      </c>
      <c r="P3621">
        <f>-770.549282476063 -138.184716819121 -408.539038395829</f>
        <v>-1317.2730376910131</v>
      </c>
      <c r="Q3621">
        <f>-525.626994725369 -82.5599927086619 -341.004271418435</f>
        <v>-949.19125885246581</v>
      </c>
      <c r="R3621" t="s">
        <v>75017</v>
      </c>
      <c r="S3621" t="s">
        <v>75018</v>
      </c>
      <c r="T3621" t="s">
        <v>75019</v>
      </c>
      <c r="U3621" t="s">
        <v>75020</v>
      </c>
      <c r="V3621">
        <f>-717.080605785226 -56.3170599231382 -232.81527215197</f>
        <v>-1006.2129378603343</v>
      </c>
      <c r="W3621" t="s">
        <v>75021</v>
      </c>
      <c r="X3621" t="s">
        <v>75022</v>
      </c>
      <c r="Y3621" t="s">
        <v>75023</v>
      </c>
    </row>
    <row r="3622" spans="1:25" x14ac:dyDescent="0.3">
      <c r="A3622">
        <v>181050</v>
      </c>
      <c r="B3622" t="s">
        <v>75024</v>
      </c>
      <c r="C3622" t="s">
        <v>75025</v>
      </c>
      <c r="D3622" t="s">
        <v>75026</v>
      </c>
      <c r="E3622" t="s">
        <v>75027</v>
      </c>
      <c r="F3622" t="s">
        <v>75028</v>
      </c>
      <c r="G3622" t="s">
        <v>75029</v>
      </c>
      <c r="H3622">
        <f>-736.226095180491 -8.68286495934308 -840.589694613192</f>
        <v>-1585.4986547530261</v>
      </c>
      <c r="I3622">
        <f>-704.638977706694 -29.610542386122 -935.1798004784</f>
        <v>-1669.4293205712161</v>
      </c>
      <c r="J3622" t="s">
        <v>75030</v>
      </c>
      <c r="K3622" t="s">
        <v>75031</v>
      </c>
      <c r="L3622" t="s">
        <v>75032</v>
      </c>
      <c r="M3622" t="s">
        <v>75033</v>
      </c>
      <c r="N3622">
        <f>-750.015021131202 -27.5533113104257 -769.831792288451</f>
        <v>-1547.4001247300787</v>
      </c>
      <c r="O3622">
        <f>-811.241313700502 -152.45412985098 -722.124612573113</f>
        <v>-1685.8200561245949</v>
      </c>
      <c r="P3622">
        <f>-771.397179397336 -138.919196819705 -408.412307107611</f>
        <v>-1318.7286833246521</v>
      </c>
      <c r="Q3622">
        <f>-526.660289953325 -81.9335136498482 -341.341205691311</f>
        <v>-949.93500929448419</v>
      </c>
      <c r="R3622" t="s">
        <v>75034</v>
      </c>
      <c r="S3622" t="s">
        <v>75035</v>
      </c>
      <c r="T3622" t="s">
        <v>75036</v>
      </c>
      <c r="U3622" t="s">
        <v>75037</v>
      </c>
      <c r="V3622">
        <f>-718.048821313636 -57.1953988877347 -232.715401986689</f>
        <v>-1007.9596221880597</v>
      </c>
      <c r="W3622" t="s">
        <v>75038</v>
      </c>
      <c r="X3622" t="s">
        <v>75039</v>
      </c>
      <c r="Y3622" t="s">
        <v>75040</v>
      </c>
    </row>
    <row r="3623" spans="1:25" x14ac:dyDescent="0.3">
      <c r="A3623">
        <v>181100</v>
      </c>
      <c r="B3623" t="s">
        <v>75041</v>
      </c>
      <c r="C3623" t="s">
        <v>75042</v>
      </c>
      <c r="D3623" t="s">
        <v>75043</v>
      </c>
      <c r="E3623" t="s">
        <v>75044</v>
      </c>
      <c r="F3623" t="s">
        <v>75045</v>
      </c>
      <c r="G3623" t="s">
        <v>75046</v>
      </c>
      <c r="H3623">
        <f>-736.920017671287 -9.06265945713062 -840.543590960448</f>
        <v>-1586.5262680888657</v>
      </c>
      <c r="I3623">
        <f>-705.384775423065 -29.9639844058793 -935.156719368291</f>
        <v>-1670.5054791972352</v>
      </c>
      <c r="J3623" t="s">
        <v>75047</v>
      </c>
      <c r="K3623" t="s">
        <v>75048</v>
      </c>
      <c r="L3623" t="s">
        <v>75049</v>
      </c>
      <c r="M3623" t="s">
        <v>75050</v>
      </c>
      <c r="N3623">
        <f>-750.628377322925 -27.9583969070707 -769.776767924909</f>
        <v>-1548.3635421549047</v>
      </c>
      <c r="O3623">
        <f>-811.63603607356 -152.942044828442 -722.024256225912</f>
        <v>-1686.6023371279141</v>
      </c>
      <c r="P3623">
        <f>-771.677331462876 -139.386646234803 -408.327205682445</f>
        <v>-1319.3911833801242</v>
      </c>
      <c r="Q3623">
        <f>-526.946757048757 -81.9654286596585 -341.605446493925</f>
        <v>-950.51763220234056</v>
      </c>
      <c r="R3623" t="s">
        <v>75051</v>
      </c>
      <c r="S3623" t="s">
        <v>75052</v>
      </c>
      <c r="T3623" t="s">
        <v>75053</v>
      </c>
      <c r="U3623" t="s">
        <v>75054</v>
      </c>
      <c r="V3623">
        <f>-718.452962307309 -57.637659437903 -232.68241978645</f>
        <v>-1008.7730415316621</v>
      </c>
      <c r="W3623" t="s">
        <v>75055</v>
      </c>
      <c r="X3623" t="s">
        <v>75056</v>
      </c>
      <c r="Y3623" t="s">
        <v>75057</v>
      </c>
    </row>
    <row r="3624" spans="1:25" x14ac:dyDescent="0.3">
      <c r="A3624">
        <v>181150</v>
      </c>
      <c r="B3624" t="s">
        <v>75058</v>
      </c>
      <c r="C3624" t="s">
        <v>75059</v>
      </c>
      <c r="D3624" t="s">
        <v>75060</v>
      </c>
      <c r="E3624" t="s">
        <v>75061</v>
      </c>
      <c r="F3624" t="s">
        <v>75062</v>
      </c>
      <c r="G3624" t="s">
        <v>75063</v>
      </c>
      <c r="H3624">
        <f>-737.496980314698 -10.2802211604369 -840.488575479656</f>
        <v>-1588.2657769547909</v>
      </c>
      <c r="I3624">
        <f>-705.929745192404 -31.2221924314758 -935.082036183671</f>
        <v>-1672.2339738075507</v>
      </c>
      <c r="J3624" t="s">
        <v>75064</v>
      </c>
      <c r="K3624" t="s">
        <v>75065</v>
      </c>
      <c r="L3624" t="s">
        <v>75066</v>
      </c>
      <c r="M3624" t="s">
        <v>75067</v>
      </c>
      <c r="N3624">
        <f>-751.150523281508 -29.1830906377163 -769.713108367923</f>
        <v>-1550.0467222871473</v>
      </c>
      <c r="O3624">
        <f>-811.75004555681 -154.34213890223 -721.858291574595</f>
        <v>-1687.9504760336349</v>
      </c>
      <c r="P3624">
        <f>-771.570194493666 -140.658432292499 -408.195192957093</f>
        <v>-1320.423819743258</v>
      </c>
      <c r="Q3624">
        <f>-526.888160407679 -82.4200514384531 -342.005946905578</f>
        <v>-951.31415875171024</v>
      </c>
      <c r="R3624" t="s">
        <v>75068</v>
      </c>
      <c r="S3624" t="s">
        <v>75069</v>
      </c>
      <c r="T3624" t="s">
        <v>75070</v>
      </c>
      <c r="U3624" t="s">
        <v>75071</v>
      </c>
      <c r="V3624">
        <f>-719.068551758072 -58.6931266634685 -232.635265462904</f>
        <v>-1010.3969438844445</v>
      </c>
      <c r="W3624" t="s">
        <v>75072</v>
      </c>
      <c r="X3624" t="s">
        <v>75073</v>
      </c>
      <c r="Y3624" t="s">
        <v>75074</v>
      </c>
    </row>
    <row r="3625" spans="1:25" x14ac:dyDescent="0.3">
      <c r="A3625">
        <v>181200</v>
      </c>
      <c r="B3625" t="s">
        <v>75075</v>
      </c>
      <c r="C3625" t="s">
        <v>75076</v>
      </c>
      <c r="D3625" t="s">
        <v>75077</v>
      </c>
      <c r="E3625" t="s">
        <v>75078</v>
      </c>
      <c r="F3625" t="s">
        <v>75079</v>
      </c>
      <c r="G3625" t="s">
        <v>75080</v>
      </c>
      <c r="H3625">
        <f>-737.911047652621 -10.7691200477518 -840.467547811127</f>
        <v>-1589.1477155114999</v>
      </c>
      <c r="I3625">
        <f>-706.326245299851 -31.7093981063463 -935.055554634822</f>
        <v>-1673.0911980410192</v>
      </c>
      <c r="J3625" t="s">
        <v>75081</v>
      </c>
      <c r="K3625" t="s">
        <v>75082</v>
      </c>
      <c r="L3625" t="s">
        <v>75083</v>
      </c>
      <c r="M3625" t="s">
        <v>75084</v>
      </c>
      <c r="N3625">
        <f>-751.545490252588 -29.6823216939615 -769.691029708609</f>
        <v>-1550.9188416551585</v>
      </c>
      <c r="O3625">
        <f>-812.04617598138 -154.871898093131 -721.848084837</f>
        <v>-1688.766158911511</v>
      </c>
      <c r="P3625">
        <f>-771.712530474124 -141.361309253708 -408.197252477345</f>
        <v>-1321.271092205177</v>
      </c>
      <c r="Q3625">
        <f>-527.01125803189 -82.9339539043058 -342.245924872637</f>
        <v>-952.19113680883265</v>
      </c>
      <c r="R3625" t="s">
        <v>75085</v>
      </c>
      <c r="S3625" t="s">
        <v>75086</v>
      </c>
      <c r="T3625" t="s">
        <v>75087</v>
      </c>
      <c r="U3625" t="s">
        <v>75088</v>
      </c>
      <c r="V3625">
        <f>-719.415498330021 -59.1964494450265 -232.60327983838</f>
        <v>-1011.2152276134275</v>
      </c>
      <c r="W3625" t="s">
        <v>75089</v>
      </c>
      <c r="X3625" t="s">
        <v>75090</v>
      </c>
      <c r="Y3625" t="s">
        <v>75091</v>
      </c>
    </row>
    <row r="3626" spans="1:25" x14ac:dyDescent="0.3">
      <c r="A3626">
        <v>181250</v>
      </c>
      <c r="B3626" t="s">
        <v>75092</v>
      </c>
      <c r="C3626" t="s">
        <v>75093</v>
      </c>
      <c r="D3626" t="s">
        <v>75094</v>
      </c>
      <c r="E3626" t="s">
        <v>75095</v>
      </c>
      <c r="F3626" t="s">
        <v>75096</v>
      </c>
      <c r="G3626" t="s">
        <v>75097</v>
      </c>
      <c r="H3626">
        <f>-738.573344591193 -12.3763821025775 -840.425939498933</f>
        <v>-1591.3756661927034</v>
      </c>
      <c r="I3626">
        <f>-706.911371066641 -33.3864174634521 -934.972665264013</f>
        <v>-1675.2704537941061</v>
      </c>
      <c r="J3626" t="s">
        <v>75098</v>
      </c>
      <c r="K3626" t="s">
        <v>75099</v>
      </c>
      <c r="L3626" t="s">
        <v>75100</v>
      </c>
      <c r="M3626" t="s">
        <v>75101</v>
      </c>
      <c r="N3626">
        <f>-752.175913048128 -31.2282375660177 -769.626863434895</f>
        <v>-1553.0310140490406</v>
      </c>
      <c r="O3626">
        <f>-812.527241321693 -156.434321928682 -721.625867002299</f>
        <v>-1690.587430252674</v>
      </c>
      <c r="P3626">
        <f>-772.020320823925 -142.786797871038 -408.003248089547</f>
        <v>-1322.8103667845101</v>
      </c>
      <c r="Q3626">
        <f>-527.279513320714 -84.3174742731699 -342.23576549642</f>
        <v>-953.83275309030387</v>
      </c>
      <c r="R3626" t="s">
        <v>75102</v>
      </c>
      <c r="S3626" t="s">
        <v>75103</v>
      </c>
      <c r="T3626" t="s">
        <v>75104</v>
      </c>
      <c r="U3626" t="s">
        <v>75105</v>
      </c>
      <c r="V3626">
        <f>-719.997804491446 -60.283148398453 -232.545651956937</f>
        <v>-1012.8266048468361</v>
      </c>
      <c r="W3626" t="s">
        <v>75106</v>
      </c>
      <c r="X3626" t="s">
        <v>75107</v>
      </c>
      <c r="Y3626" t="s">
        <v>75108</v>
      </c>
    </row>
    <row r="3627" spans="1:25" x14ac:dyDescent="0.3">
      <c r="A3627">
        <v>181300</v>
      </c>
      <c r="B3627" t="s">
        <v>75109</v>
      </c>
      <c r="C3627" t="s">
        <v>75110</v>
      </c>
      <c r="D3627" t="s">
        <v>75111</v>
      </c>
      <c r="E3627" t="s">
        <v>75112</v>
      </c>
      <c r="F3627" t="s">
        <v>75113</v>
      </c>
      <c r="G3627" t="s">
        <v>75114</v>
      </c>
      <c r="H3627">
        <f>-739.072078088198 -13.0190245526253 -840.41383935375</f>
        <v>-1592.5049419945733</v>
      </c>
      <c r="I3627">
        <f>-707.348424930812 -34.0993517443731 -934.924227850577</f>
        <v>-1676.3720045257621</v>
      </c>
      <c r="J3627" t="s">
        <v>75115</v>
      </c>
      <c r="K3627" t="s">
        <v>75116</v>
      </c>
      <c r="L3627" t="s">
        <v>75117</v>
      </c>
      <c r="M3627" t="s">
        <v>75118</v>
      </c>
      <c r="N3627">
        <f>-752.59185329726 -31.8673645579001 -769.598070944506</f>
        <v>-1554.0572887996661</v>
      </c>
      <c r="O3627">
        <f>-812.812075904495 -157.133226255486 -721.571361618723</f>
        <v>-1691.516663778704</v>
      </c>
      <c r="P3627">
        <f>-772.053535903086 -143.596356620748 -407.976581842809</f>
        <v>-1323.6264743666429</v>
      </c>
      <c r="Q3627">
        <f>-527.276798332639 -85.1023876949632 -342.365393367012</f>
        <v>-954.74457939461422</v>
      </c>
      <c r="R3627" t="s">
        <v>75119</v>
      </c>
      <c r="S3627" t="s">
        <v>75120</v>
      </c>
      <c r="T3627" t="s">
        <v>75121</v>
      </c>
      <c r="U3627" t="s">
        <v>75122</v>
      </c>
      <c r="V3627">
        <f>-720.163174025442 -60.795160487346 -232.509413560509</f>
        <v>-1013.467748073297</v>
      </c>
      <c r="W3627" t="s">
        <v>75123</v>
      </c>
      <c r="X3627" t="s">
        <v>75124</v>
      </c>
      <c r="Y3627" t="s">
        <v>75125</v>
      </c>
    </row>
    <row r="3628" spans="1:25" x14ac:dyDescent="0.3">
      <c r="A3628">
        <v>181350</v>
      </c>
      <c r="B3628" t="s">
        <v>75126</v>
      </c>
      <c r="C3628" t="s">
        <v>75127</v>
      </c>
      <c r="D3628" t="s">
        <v>75128</v>
      </c>
      <c r="E3628" t="s">
        <v>75129</v>
      </c>
      <c r="F3628" t="s">
        <v>75130</v>
      </c>
      <c r="G3628" t="s">
        <v>75131</v>
      </c>
      <c r="H3628">
        <f>-740.66626851582 -13.7858543858586 -840.456708293427</f>
        <v>-1594.9088311951054</v>
      </c>
      <c r="I3628">
        <f>-708.679310077342 -35.1643103967244 -934.811283471034</f>
        <v>-1678.6549039451006</v>
      </c>
      <c r="J3628" t="s">
        <v>75132</v>
      </c>
      <c r="K3628" t="s">
        <v>75133</v>
      </c>
      <c r="L3628" t="s">
        <v>75134</v>
      </c>
      <c r="M3628" t="s">
        <v>75135</v>
      </c>
      <c r="N3628">
        <f>-753.936499031131 -32.7023345348089 -769.611952701191</f>
        <v>-1556.2507862671309</v>
      </c>
      <c r="O3628">
        <f>-814.003125642842 -158.003246048731 -721.499096336924</f>
        <v>-1693.505468028497</v>
      </c>
      <c r="P3628">
        <f>-772.146727766213 -144.791680203995 -408.035169965823</f>
        <v>-1324.973577936031</v>
      </c>
      <c r="Q3628">
        <f>-527.300422848131 -86.0684393161803 -342.889822182527</f>
        <v>-956.25868434683821</v>
      </c>
      <c r="R3628" t="s">
        <v>75136</v>
      </c>
      <c r="S3628" t="s">
        <v>75137</v>
      </c>
      <c r="T3628" t="s">
        <v>75138</v>
      </c>
      <c r="U3628" t="s">
        <v>75139</v>
      </c>
      <c r="V3628">
        <f>-720.49380721394 -61.8395979262311 -232.438885757785</f>
        <v>-1014.7722908979562</v>
      </c>
      <c r="W3628" t="s">
        <v>75140</v>
      </c>
      <c r="X3628" t="s">
        <v>75141</v>
      </c>
      <c r="Y3628" t="s">
        <v>75142</v>
      </c>
    </row>
    <row r="3629" spans="1:25" x14ac:dyDescent="0.3">
      <c r="A3629">
        <v>181400</v>
      </c>
      <c r="B3629" t="s">
        <v>75143</v>
      </c>
      <c r="C3629" t="s">
        <v>75144</v>
      </c>
      <c r="D3629" t="s">
        <v>75145</v>
      </c>
      <c r="E3629" t="s">
        <v>75146</v>
      </c>
      <c r="F3629" t="s">
        <v>75147</v>
      </c>
      <c r="G3629" t="s">
        <v>75148</v>
      </c>
      <c r="H3629">
        <f>-741.433556320658 -14.2493846438285 -840.455113726021</f>
        <v>-1596.1380546905075</v>
      </c>
      <c r="I3629">
        <f>-709.16645319309 -35.9025045015276 -934.651615754352</f>
        <v>-1679.7205734489694</v>
      </c>
      <c r="J3629" t="s">
        <v>75149</v>
      </c>
      <c r="K3629" t="s">
        <v>75150</v>
      </c>
      <c r="L3629" t="s">
        <v>75151</v>
      </c>
      <c r="M3629" t="s">
        <v>75152</v>
      </c>
      <c r="N3629">
        <f>-754.560285924777 -33.2108001481729 -769.59570390399</f>
        <v>-1557.3667899769398</v>
      </c>
      <c r="O3629">
        <f>-814.471913809988 -158.574905663728 -721.445423642696</f>
        <v>-1694.4922431164121</v>
      </c>
      <c r="P3629">
        <f>-772.019952312728 -145.515489379675 -408.055163310831</f>
        <v>-1325.590605003234</v>
      </c>
      <c r="Q3629">
        <f>-527.138416032717 -86.5087027400843 -343.299418154194</f>
        <v>-956.94653692699535</v>
      </c>
      <c r="R3629" t="s">
        <v>75153</v>
      </c>
      <c r="S3629" t="s">
        <v>75154</v>
      </c>
      <c r="T3629" t="s">
        <v>75155</v>
      </c>
      <c r="U3629" t="s">
        <v>75156</v>
      </c>
      <c r="V3629">
        <f>-720.595955595145 -62.4190259003167 -232.392580933824</f>
        <v>-1015.4075624292857</v>
      </c>
      <c r="W3629" t="s">
        <v>75157</v>
      </c>
      <c r="X3629" t="s">
        <v>75158</v>
      </c>
      <c r="Y3629" t="s">
        <v>75159</v>
      </c>
    </row>
    <row r="3630" spans="1:25" x14ac:dyDescent="0.3">
      <c r="A3630">
        <v>181450</v>
      </c>
      <c r="B3630" t="s">
        <v>75160</v>
      </c>
      <c r="C3630" t="s">
        <v>75161</v>
      </c>
      <c r="D3630" t="s">
        <v>75162</v>
      </c>
      <c r="E3630" t="s">
        <v>75163</v>
      </c>
      <c r="F3630" t="s">
        <v>75164</v>
      </c>
      <c r="G3630" t="s">
        <v>75165</v>
      </c>
      <c r="H3630">
        <f>-743.19777924546 -15.4555257936572 -840.303909707602</f>
        <v>-1598.9572147467193</v>
      </c>
      <c r="I3630">
        <f>-710.284337910341 -37.836010093346 -934.105829615674</f>
        <v>-1682.2261776193609</v>
      </c>
      <c r="J3630" t="s">
        <v>75166</v>
      </c>
      <c r="K3630" t="s">
        <v>75167</v>
      </c>
      <c r="L3630" t="s">
        <v>75168</v>
      </c>
      <c r="M3630" t="s">
        <v>75169</v>
      </c>
      <c r="N3630">
        <f>-756.096821743941 -34.4552134726887 -769.412912282951</f>
        <v>-1559.9649474995806</v>
      </c>
      <c r="O3630">
        <f>-815.737923390353 -159.919589745076 -721.205980664783</f>
        <v>-1696.8634938002119</v>
      </c>
      <c r="P3630">
        <f>-772.527950958128 -147.161900848098 -407.906805985259</f>
        <v>-1327.5966577914851</v>
      </c>
      <c r="Q3630">
        <f>-527.528582946265 -87.7728198572156 -343.951235292311</f>
        <v>-959.25263809579167</v>
      </c>
      <c r="R3630" t="s">
        <v>75170</v>
      </c>
      <c r="S3630" t="s">
        <v>75171</v>
      </c>
      <c r="T3630" t="s">
        <v>75172</v>
      </c>
      <c r="U3630" t="s">
        <v>75173</v>
      </c>
      <c r="V3630">
        <f>-720.88920775374 -63.8006202556787 -232.255015442597</f>
        <v>-1016.9448434520158</v>
      </c>
      <c r="W3630" t="s">
        <v>75174</v>
      </c>
      <c r="X3630" t="s">
        <v>75175</v>
      </c>
      <c r="Y3630" t="s">
        <v>75176</v>
      </c>
    </row>
    <row r="3631" spans="1:25" x14ac:dyDescent="0.3">
      <c r="A3631">
        <v>181500</v>
      </c>
      <c r="B3631" t="s">
        <v>75177</v>
      </c>
      <c r="C3631" t="s">
        <v>75178</v>
      </c>
      <c r="D3631" t="s">
        <v>75179</v>
      </c>
      <c r="E3631" t="s">
        <v>75180</v>
      </c>
      <c r="F3631" t="s">
        <v>75181</v>
      </c>
      <c r="G3631" t="s">
        <v>75182</v>
      </c>
      <c r="H3631">
        <f>-743.622693355715 -16.3300954745955 -840.182673893435</f>
        <v>-1600.1354627237456</v>
      </c>
      <c r="I3631">
        <f>-710.494902462885 -39.0646571331688 -933.8238713033</f>
        <v>-1683.3834308993537</v>
      </c>
      <c r="J3631" t="s">
        <v>75183</v>
      </c>
      <c r="K3631" t="s">
        <v>75184</v>
      </c>
      <c r="L3631" t="s">
        <v>75185</v>
      </c>
      <c r="M3631" t="s">
        <v>75186</v>
      </c>
      <c r="N3631">
        <f>-756.488901452999 -35.3089903776815 -769.280013635355</f>
        <v>-1561.0779054660356</v>
      </c>
      <c r="O3631">
        <f>-816.083464919632 -160.778726851439 -721.008966039847</f>
        <v>-1697.8711578109178</v>
      </c>
      <c r="P3631">
        <f>-772.637628223266 -148.205796057798 -407.735026573402</f>
        <v>-1328.5784508544662</v>
      </c>
      <c r="Q3631">
        <f>-527.551573681569 -88.7241009364498 -344.199184329036</f>
        <v>-960.47485894705483</v>
      </c>
      <c r="R3631" t="s">
        <v>75187</v>
      </c>
      <c r="S3631" t="s">
        <v>75188</v>
      </c>
      <c r="T3631" t="s">
        <v>75189</v>
      </c>
      <c r="U3631" t="s">
        <v>75190</v>
      </c>
      <c r="V3631">
        <f>-721.062100831442 -64.5481173463522 -232.181731432128</f>
        <v>-1017.7919496099222</v>
      </c>
      <c r="W3631" t="s">
        <v>75191</v>
      </c>
      <c r="X3631" t="s">
        <v>75192</v>
      </c>
      <c r="Y3631" t="s">
        <v>75193</v>
      </c>
    </row>
    <row r="3632" spans="1:25" x14ac:dyDescent="0.3">
      <c r="A3632">
        <v>181550</v>
      </c>
      <c r="B3632" t="s">
        <v>75194</v>
      </c>
      <c r="C3632" t="s">
        <v>75195</v>
      </c>
      <c r="D3632" t="s">
        <v>75196</v>
      </c>
      <c r="E3632" t="s">
        <v>75197</v>
      </c>
      <c r="F3632" t="s">
        <v>75198</v>
      </c>
      <c r="G3632" t="s">
        <v>75199</v>
      </c>
      <c r="H3632">
        <f>-744.636877661279 -17.8072556005054 -839.944275579416</f>
        <v>-1602.3884088412003</v>
      </c>
      <c r="I3632">
        <f>-711.178613628317 -41.2787499207664 -933.285673425261</f>
        <v>-1685.7430369743442</v>
      </c>
      <c r="J3632" t="s">
        <v>75200</v>
      </c>
      <c r="K3632" t="s">
        <v>75201</v>
      </c>
      <c r="L3632" t="s">
        <v>75202</v>
      </c>
      <c r="M3632" t="s">
        <v>75203</v>
      </c>
      <c r="N3632">
        <f>-757.414143980638 -36.7510008964773 -769.016135587661</f>
        <v>-1563.1812804647761</v>
      </c>
      <c r="O3632">
        <f>-816.855380435042 -162.228312418873 -720.572364926937</f>
        <v>-1699.6560577808518</v>
      </c>
      <c r="P3632">
        <f>-772.909700968049 -149.531606762691 -407.373161257849</f>
        <v>-1329.8144689885889</v>
      </c>
      <c r="Q3632">
        <f>-527.649739144636 -89.955058433155 -344.602012714862</f>
        <v>-962.20681029265302</v>
      </c>
      <c r="R3632" t="s">
        <v>75204</v>
      </c>
      <c r="S3632" t="s">
        <v>75205</v>
      </c>
      <c r="T3632" t="s">
        <v>75206</v>
      </c>
      <c r="U3632" t="s">
        <v>75207</v>
      </c>
      <c r="V3632">
        <f>-721.435323582494 -65.7843296489275 -232.001424174241</f>
        <v>-1019.2210774056625</v>
      </c>
      <c r="W3632" t="s">
        <v>75208</v>
      </c>
      <c r="X3632" t="s">
        <v>75209</v>
      </c>
      <c r="Y3632" t="s">
        <v>75210</v>
      </c>
    </row>
    <row r="3633" spans="1:25" x14ac:dyDescent="0.3">
      <c r="A3633">
        <v>181600</v>
      </c>
      <c r="B3633" t="s">
        <v>75211</v>
      </c>
      <c r="C3633" t="s">
        <v>75212</v>
      </c>
      <c r="D3633" t="s">
        <v>75213</v>
      </c>
      <c r="E3633" t="s">
        <v>75214</v>
      </c>
      <c r="F3633" t="s">
        <v>75215</v>
      </c>
      <c r="G3633" t="s">
        <v>75216</v>
      </c>
      <c r="H3633">
        <f>-745.044675037267 -18.7497359948106 -839.857779095606</f>
        <v>-1603.6521901276838</v>
      </c>
      <c r="I3633">
        <f>-711.519994309386 -42.6523361336451 -933.065859954533</f>
        <v>-1687.2381903975643</v>
      </c>
      <c r="J3633" t="s">
        <v>75217</v>
      </c>
      <c r="K3633" t="s">
        <v>75218</v>
      </c>
      <c r="L3633" t="s">
        <v>75219</v>
      </c>
      <c r="M3633" t="s">
        <v>75220</v>
      </c>
      <c r="N3633">
        <f>-757.758231838551 -37.6205614033615 -768.89882377735</f>
        <v>-1564.2776170192624</v>
      </c>
      <c r="O3633">
        <f>-817.132705018998 -163.067029258628 -720.332903264947</f>
        <v>-1700.532637542573</v>
      </c>
      <c r="P3633">
        <f>-772.973934521626 -150.400115618175 -407.162533025573</f>
        <v>-1330.5365831653739</v>
      </c>
      <c r="Q3633">
        <f>-527.710092573416 -90.4419618702254 -344.771044805485</f>
        <v>-962.92309924912638</v>
      </c>
      <c r="R3633" t="s">
        <v>75221</v>
      </c>
      <c r="S3633" t="s">
        <v>75222</v>
      </c>
      <c r="T3633" t="s">
        <v>75223</v>
      </c>
      <c r="U3633" t="s">
        <v>75224</v>
      </c>
      <c r="V3633">
        <f>-721.585821923934 -66.2596305052668 -231.942531928007</f>
        <v>-1019.7879843572078</v>
      </c>
      <c r="W3633" t="s">
        <v>75225</v>
      </c>
      <c r="X3633" t="s">
        <v>75226</v>
      </c>
      <c r="Y3633" t="s">
        <v>75227</v>
      </c>
    </row>
    <row r="3634" spans="1:25" x14ac:dyDescent="0.3">
      <c r="A3634">
        <v>181650</v>
      </c>
      <c r="B3634" t="s">
        <v>75228</v>
      </c>
      <c r="C3634" t="s">
        <v>75229</v>
      </c>
      <c r="D3634" t="s">
        <v>75230</v>
      </c>
      <c r="E3634" t="s">
        <v>75231</v>
      </c>
      <c r="F3634" t="s">
        <v>75232</v>
      </c>
      <c r="G3634" t="s">
        <v>75233</v>
      </c>
      <c r="H3634">
        <f>-746.098384255539 -21.0137107255546 -839.635079607054</f>
        <v>-1606.7471745881476</v>
      </c>
      <c r="I3634">
        <f>-712.587344570862 -45.7546331530168 -932.629172286479</f>
        <v>-1690.9711500103579</v>
      </c>
      <c r="J3634" t="s">
        <v>75234</v>
      </c>
      <c r="K3634" t="s">
        <v>75235</v>
      </c>
      <c r="L3634" t="s">
        <v>75236</v>
      </c>
      <c r="M3634" t="s">
        <v>75237</v>
      </c>
      <c r="N3634">
        <f>-758.667302934664 -39.6510756463665 -768.588643937053</f>
        <v>-1566.9070225180835</v>
      </c>
      <c r="O3634">
        <f>-818.033175384705 -164.929944270961 -719.568936076434</f>
        <v>-1702.5320557321002</v>
      </c>
      <c r="P3634">
        <f>-773.225958294288 -151.915172469052 -406.504857566169</f>
        <v>-1331.645988329509</v>
      </c>
      <c r="Q3634">
        <f>-527.873843345935 -91.2738554277303 -345.128663429678</f>
        <v>-964.2763622033433</v>
      </c>
      <c r="R3634" t="s">
        <v>75238</v>
      </c>
      <c r="S3634" t="s">
        <v>75239</v>
      </c>
      <c r="T3634" t="s">
        <v>75240</v>
      </c>
      <c r="U3634" t="s">
        <v>75241</v>
      </c>
      <c r="V3634">
        <f>-721.874026097241 -67.2184695679196 -231.841365620943</f>
        <v>-1020.9338612861036</v>
      </c>
      <c r="W3634" t="s">
        <v>75242</v>
      </c>
      <c r="X3634" t="s">
        <v>75243</v>
      </c>
      <c r="Y3634" t="s">
        <v>75244</v>
      </c>
    </row>
    <row r="3635" spans="1:25" x14ac:dyDescent="0.3">
      <c r="A3635">
        <v>181700</v>
      </c>
      <c r="B3635" t="s">
        <v>75245</v>
      </c>
      <c r="C3635" t="s">
        <v>75246</v>
      </c>
      <c r="D3635" t="s">
        <v>75247</v>
      </c>
      <c r="E3635" t="s">
        <v>75248</v>
      </c>
      <c r="F3635" t="s">
        <v>75249</v>
      </c>
      <c r="G3635" t="s">
        <v>75250</v>
      </c>
      <c r="H3635">
        <f>-746.657654623155 -22.1360588578659 -839.532912436386</f>
        <v>-1608.326625917407</v>
      </c>
      <c r="I3635">
        <f>-713.180998221678 -47.2848544439737 -932.429708877997</f>
        <v>-1692.8955615436487</v>
      </c>
      <c r="J3635" t="s">
        <v>75251</v>
      </c>
      <c r="K3635" t="s">
        <v>75252</v>
      </c>
      <c r="L3635" t="s">
        <v>75253</v>
      </c>
      <c r="M3635" t="s">
        <v>75254</v>
      </c>
      <c r="N3635">
        <f>-759.166893048125 -40.649997236729 -768.443558061112</f>
        <v>-1568.2604483459659</v>
      </c>
      <c r="O3635">
        <f>-818.600019093458 -165.773962118127 -719.097347504694</f>
        <v>-1703.471328716279</v>
      </c>
      <c r="P3635">
        <f>-773.382636014728 -152.652378925793 -406.096759733946</f>
        <v>-1332.1317746744669</v>
      </c>
      <c r="Q3635">
        <f>-527.925701586036 -91.9262224252564 -345.225409402539</f>
        <v>-965.07733341383141</v>
      </c>
      <c r="R3635" t="s">
        <v>75255</v>
      </c>
      <c r="S3635" t="s">
        <v>75256</v>
      </c>
      <c r="T3635" t="s">
        <v>75257</v>
      </c>
      <c r="U3635" t="s">
        <v>75258</v>
      </c>
      <c r="V3635">
        <f>-722.083090276085 -67.6824574370835 -231.798297201048</f>
        <v>-1021.5638449142166</v>
      </c>
      <c r="W3635" t="s">
        <v>75259</v>
      </c>
      <c r="X3635" t="s">
        <v>75260</v>
      </c>
      <c r="Y3635" t="s">
        <v>75261</v>
      </c>
    </row>
    <row r="3636" spans="1:25" x14ac:dyDescent="0.3">
      <c r="A3636">
        <v>181750</v>
      </c>
      <c r="B3636" t="s">
        <v>75262</v>
      </c>
      <c r="C3636" t="s">
        <v>75263</v>
      </c>
      <c r="D3636" t="s">
        <v>75264</v>
      </c>
      <c r="E3636" t="s">
        <v>75265</v>
      </c>
      <c r="F3636" t="s">
        <v>75266</v>
      </c>
      <c r="G3636" t="s">
        <v>75267</v>
      </c>
      <c r="H3636">
        <f>-747.629729460799 -24.4403065672861 -839.412637396984</f>
        <v>-1611.4826734250692</v>
      </c>
      <c r="I3636">
        <f>-714.377531075824 -50.5969803428573 -932.111552899828</f>
        <v>-1697.0860643185092</v>
      </c>
      <c r="J3636" t="s">
        <v>75268</v>
      </c>
      <c r="K3636" t="s">
        <v>75269</v>
      </c>
      <c r="L3636" t="s">
        <v>75270</v>
      </c>
      <c r="M3636" t="s">
        <v>75271</v>
      </c>
      <c r="N3636">
        <f>-760.030058430677 -42.6932114625713 -768.236815694504</f>
        <v>-1570.9600855877522</v>
      </c>
      <c r="O3636">
        <f>-819.692626283796 -167.477635496045 -718.319313352274</f>
        <v>-1705.4895751321151</v>
      </c>
      <c r="P3636">
        <f>-773.781969300869 -153.926453592172 -405.437864923235</f>
        <v>-1333.1462878162761</v>
      </c>
      <c r="Q3636">
        <f>-528.114684881804 -93.4440629529074 -345.175398601663</f>
        <v>-966.73414643637443</v>
      </c>
      <c r="R3636" t="s">
        <v>75272</v>
      </c>
      <c r="S3636" t="s">
        <v>75273</v>
      </c>
      <c r="T3636" t="s">
        <v>75274</v>
      </c>
      <c r="U3636" t="s">
        <v>75275</v>
      </c>
      <c r="V3636">
        <f>-722.435248358534 -68.4721445574833 -231.760238318591</f>
        <v>-1022.6676312346083</v>
      </c>
      <c r="W3636" t="s">
        <v>75276</v>
      </c>
      <c r="X3636" t="s">
        <v>75277</v>
      </c>
      <c r="Y3636" t="s">
        <v>75278</v>
      </c>
    </row>
    <row r="3637" spans="1:25" x14ac:dyDescent="0.3">
      <c r="A3637">
        <v>181800</v>
      </c>
      <c r="B3637" t="s">
        <v>75279</v>
      </c>
      <c r="C3637" t="s">
        <v>75280</v>
      </c>
      <c r="D3637" t="s">
        <v>75281</v>
      </c>
      <c r="E3637" t="s">
        <v>75282</v>
      </c>
      <c r="F3637" t="s">
        <v>75283</v>
      </c>
      <c r="G3637">
        <f>-749.254988130561 -0.773911950026786 -689.03106740119</f>
        <v>-1439.0599674817777</v>
      </c>
      <c r="H3637">
        <f>-747.845106328271 -25.8682603475211 -839.258578514093</f>
        <v>-1612.971945189885</v>
      </c>
      <c r="I3637">
        <f>-714.716920413982 -52.6512600706205 -931.823020426291</f>
        <v>-1699.1912009108937</v>
      </c>
      <c r="J3637" t="s">
        <v>75284</v>
      </c>
      <c r="K3637" t="s">
        <v>75285</v>
      </c>
      <c r="L3637" t="s">
        <v>75286</v>
      </c>
      <c r="M3637" t="s">
        <v>75287</v>
      </c>
      <c r="N3637">
        <f>-760.247972996576 -43.9104919731903 -768.02965290577</f>
        <v>-1572.1881178755364</v>
      </c>
      <c r="O3637">
        <f>-820.028605651751 -168.512971710266 -717.791130300375</f>
        <v>-1706.3327076623921</v>
      </c>
      <c r="P3637">
        <f>-773.952124407772 -154.524275391773 -404.953403272554</f>
        <v>-1333.429803072099</v>
      </c>
      <c r="Q3637">
        <f>-528.170737695295 -94.1878594574021 -345.011597220924</f>
        <v>-967.37019437362096</v>
      </c>
      <c r="R3637" t="s">
        <v>75288</v>
      </c>
      <c r="S3637" t="s">
        <v>75289</v>
      </c>
      <c r="T3637" t="s">
        <v>75290</v>
      </c>
      <c r="U3637" t="s">
        <v>75291</v>
      </c>
      <c r="V3637">
        <f>-722.562773081216 -68.7826146512386 -231.719612637575</f>
        <v>-1023.0650003700297</v>
      </c>
      <c r="W3637" t="s">
        <v>75292</v>
      </c>
      <c r="X3637" t="s">
        <v>75293</v>
      </c>
      <c r="Y3637" t="s">
        <v>75294</v>
      </c>
    </row>
    <row r="3638" spans="1:25" x14ac:dyDescent="0.3">
      <c r="A3638">
        <v>181850</v>
      </c>
      <c r="B3638" t="s">
        <v>75295</v>
      </c>
      <c r="C3638" t="s">
        <v>75296</v>
      </c>
      <c r="D3638" t="s">
        <v>75297</v>
      </c>
      <c r="E3638" t="s">
        <v>75298</v>
      </c>
      <c r="F3638" t="s">
        <v>75299</v>
      </c>
      <c r="G3638">
        <f>-749.487998562038 -2.54810943619873 -688.85694348084</f>
        <v>-1440.8930514790768</v>
      </c>
      <c r="H3638">
        <f>-748.155108818007 -28.4917825164187 -838.940559788451</f>
        <v>-1615.5874511228767</v>
      </c>
      <c r="I3638">
        <f>-715.195317049021 -56.5270747045065 -931.193883124735</f>
        <v>-1702.9162748782624</v>
      </c>
      <c r="J3638" t="s">
        <v>75300</v>
      </c>
      <c r="K3638" t="s">
        <v>75301</v>
      </c>
      <c r="L3638" t="s">
        <v>75302</v>
      </c>
      <c r="M3638" t="s">
        <v>75303</v>
      </c>
      <c r="N3638">
        <f>-760.576720032415 -46.1090565058335 -767.608580142939</f>
        <v>-1574.2943566811873</v>
      </c>
      <c r="O3638">
        <f>-820.688586579393 -170.216209209168 -716.605110469256</f>
        <v>-1707.509906257817</v>
      </c>
      <c r="P3638">
        <f>-774.321499173609 -155.294080005908 -403.853596082324</f>
        <v>-1333.469175261841</v>
      </c>
      <c r="Q3638">
        <f>-528.276534088446 -95.2157374480546 -344.738934070088</f>
        <v>-968.23120560658867</v>
      </c>
      <c r="R3638" t="s">
        <v>75304</v>
      </c>
      <c r="S3638" t="s">
        <v>75305</v>
      </c>
      <c r="T3638" t="s">
        <v>75306</v>
      </c>
      <c r="U3638" t="s">
        <v>75307</v>
      </c>
      <c r="V3638">
        <f>-722.772937141046 -69.3369841272922 -231.657071827285</f>
        <v>-1023.7669930956232</v>
      </c>
      <c r="W3638" t="s">
        <v>75308</v>
      </c>
      <c r="X3638" t="s">
        <v>75309</v>
      </c>
      <c r="Y3638" t="s">
        <v>75310</v>
      </c>
    </row>
    <row r="3639" spans="1:25" x14ac:dyDescent="0.3">
      <c r="A3639">
        <v>181900</v>
      </c>
      <c r="B3639" t="s">
        <v>75311</v>
      </c>
      <c r="C3639" t="s">
        <v>75312</v>
      </c>
      <c r="D3639" t="s">
        <v>75313</v>
      </c>
      <c r="E3639" t="s">
        <v>75314</v>
      </c>
      <c r="F3639" t="s">
        <v>75315</v>
      </c>
      <c r="G3639">
        <f>-749.628611346977 -3.77464219423496 -688.793497359897</f>
        <v>-1442.1967509011088</v>
      </c>
      <c r="H3639">
        <f>-748.40725614902 -30.3516226836366 -838.767464066541</f>
        <v>-1617.5263428991975</v>
      </c>
      <c r="I3639">
        <f>-715.561002794869 -59.180483835147 -930.816374842528</f>
        <v>-1705.5578614725441</v>
      </c>
      <c r="J3639" t="s">
        <v>75316</v>
      </c>
      <c r="K3639" t="s">
        <v>75317</v>
      </c>
      <c r="L3639" t="s">
        <v>75318</v>
      </c>
      <c r="M3639" t="s">
        <v>75319</v>
      </c>
      <c r="N3639">
        <f>-760.843509749907 -47.6407545411687 -767.357823185337</f>
        <v>-1575.8420874764126</v>
      </c>
      <c r="O3639">
        <f>-821.220386497184 -171.422687062288 -715.850257271486</f>
        <v>-1708.493330830958</v>
      </c>
      <c r="P3639">
        <f>-774.608665961861 -156.104685493896 -403.154098162552</f>
        <v>-1333.8674496183089</v>
      </c>
      <c r="Q3639">
        <f>-528.369159097403 -96.2787915700053 -344.596361910841</f>
        <v>-969.24431257824926</v>
      </c>
      <c r="R3639" t="s">
        <v>75320</v>
      </c>
      <c r="S3639" t="s">
        <v>75321</v>
      </c>
      <c r="T3639" t="s">
        <v>75322</v>
      </c>
      <c r="U3639" t="s">
        <v>75323</v>
      </c>
      <c r="V3639">
        <f>-722.82925716093 -69.5581496743573 -231.64726110409</f>
        <v>-1024.0346679393772</v>
      </c>
      <c r="W3639" t="s">
        <v>75324</v>
      </c>
      <c r="X3639" t="s">
        <v>75325</v>
      </c>
      <c r="Y3639" t="s">
        <v>75326</v>
      </c>
    </row>
    <row r="3640" spans="1:25" x14ac:dyDescent="0.3">
      <c r="A3640">
        <v>181950</v>
      </c>
      <c r="B3640" t="s">
        <v>75327</v>
      </c>
      <c r="C3640" t="s">
        <v>75328</v>
      </c>
      <c r="D3640" t="s">
        <v>75329</v>
      </c>
      <c r="E3640" t="s">
        <v>75330</v>
      </c>
      <c r="F3640" t="s">
        <v>75331</v>
      </c>
      <c r="G3640">
        <f>-750.026760683233 -6.09234274132427 -688.543276366915</f>
        <v>-1444.6623797914722</v>
      </c>
      <c r="H3640">
        <f>-749.329359001129 -34.1207382136624 -838.256038989402</f>
        <v>-1621.7061362041934</v>
      </c>
      <c r="I3640">
        <f>-716.923650142899 -64.8867400124759 -929.83283710836</f>
        <v>-1711.6432272637348</v>
      </c>
      <c r="J3640" t="s">
        <v>75332</v>
      </c>
      <c r="K3640" t="s">
        <v>75333</v>
      </c>
      <c r="L3640" t="s">
        <v>75334</v>
      </c>
      <c r="M3640" t="s">
        <v>75335</v>
      </c>
      <c r="N3640">
        <f>-761.685099078246 -50.6498356117704 -766.65272672844</f>
        <v>-1578.9876614184564</v>
      </c>
      <c r="O3640">
        <f>-822.686479234394 -173.600559542553 -713.90984541005</f>
        <v>-1710.1968841869971</v>
      </c>
      <c r="P3640">
        <f>-775.410228360925 -156.958237080923 -401.381154174476</f>
        <v>-1333.749619616324</v>
      </c>
      <c r="Q3640">
        <f>-528.664459206034 -97.7060356972597 -344.391876984013</f>
        <v>-970.7623718873067</v>
      </c>
      <c r="R3640" t="s">
        <v>75336</v>
      </c>
      <c r="S3640" t="s">
        <v>75337</v>
      </c>
      <c r="T3640" t="s">
        <v>75338</v>
      </c>
      <c r="U3640" t="s">
        <v>75339</v>
      </c>
      <c r="V3640">
        <f>-722.799505711617 -69.6940165743936 -231.641929353728</f>
        <v>-1024.1354516397387</v>
      </c>
      <c r="W3640" t="s">
        <v>75340</v>
      </c>
      <c r="X3640" t="s">
        <v>75341</v>
      </c>
      <c r="Y3640" t="s">
        <v>75342</v>
      </c>
    </row>
    <row r="3641" spans="1:25" x14ac:dyDescent="0.3">
      <c r="A3641">
        <v>182000</v>
      </c>
      <c r="B3641" t="s">
        <v>75343</v>
      </c>
      <c r="C3641" t="s">
        <v>75344</v>
      </c>
      <c r="D3641" t="s">
        <v>75345</v>
      </c>
      <c r="E3641" t="s">
        <v>75346</v>
      </c>
      <c r="F3641" t="s">
        <v>75347</v>
      </c>
      <c r="G3641">
        <f>-750.499942304212 -7.5835677183527 -688.369867513993</f>
        <v>-1446.4533775365576</v>
      </c>
      <c r="H3641">
        <f>-750.02961477574 -36.7789066840683 -837.860370394867</f>
        <v>-1624.6688918546752</v>
      </c>
      <c r="I3641">
        <f>-717.857635270924 -68.782484099698 -929.094802756385</f>
        <v>-1715.7349221270069</v>
      </c>
      <c r="J3641" t="s">
        <v>75348</v>
      </c>
      <c r="K3641" t="s">
        <v>75349</v>
      </c>
      <c r="L3641" t="s">
        <v>75350</v>
      </c>
      <c r="M3641" t="s">
        <v>75351</v>
      </c>
      <c r="N3641">
        <f>-762.381832212971 -52.7063975749463 -766.120240947496</f>
        <v>-1581.2084707354134</v>
      </c>
      <c r="O3641">
        <f>-823.846867350363 -175.049264464338 -712.506189835739</f>
        <v>-1711.4023216504399</v>
      </c>
      <c r="P3641">
        <f>-776.020368603178 -157.294627723256 -400.122357684312</f>
        <v>-1333.437354010746</v>
      </c>
      <c r="Q3641">
        <f>-528.877758139168 -98.4403590280572 -344.456178308742</f>
        <v>-971.77429547596716</v>
      </c>
      <c r="R3641" t="s">
        <v>75352</v>
      </c>
      <c r="S3641" t="s">
        <v>75353</v>
      </c>
      <c r="T3641" t="s">
        <v>75354</v>
      </c>
      <c r="U3641" t="s">
        <v>75355</v>
      </c>
      <c r="V3641">
        <f>-722.860771992899 -69.4611804921256 -231.654269643883</f>
        <v>-1023.9762221289077</v>
      </c>
      <c r="W3641" t="s">
        <v>75356</v>
      </c>
      <c r="X3641" t="s">
        <v>75357</v>
      </c>
      <c r="Y3641" t="s">
        <v>75358</v>
      </c>
    </row>
    <row r="3642" spans="1:25" x14ac:dyDescent="0.3">
      <c r="A3642">
        <v>182050</v>
      </c>
      <c r="B3642" t="s">
        <v>75359</v>
      </c>
      <c r="C3642" t="s">
        <v>75360</v>
      </c>
      <c r="D3642" t="s">
        <v>75361</v>
      </c>
      <c r="E3642" t="s">
        <v>75362</v>
      </c>
      <c r="F3642" t="s">
        <v>75363</v>
      </c>
      <c r="G3642">
        <f>-751.586680983719 -11.5882484521924 -687.922691305202</f>
        <v>-1451.0976207411134</v>
      </c>
      <c r="H3642">
        <f>-751.895356714251 -43.8434418975583 -836.783575657595</f>
        <v>-1632.5223742694043</v>
      </c>
      <c r="I3642">
        <f>-720.360665796112 -78.6349120356929 -927.21634225713</f>
        <v>-1726.2119200889349</v>
      </c>
      <c r="J3642">
        <f>-739.325693167068 -0.978327718705486 -777.138567971005</f>
        <v>-1517.4425888567785</v>
      </c>
      <c r="K3642" t="s">
        <v>75364</v>
      </c>
      <c r="L3642" t="s">
        <v>75365</v>
      </c>
      <c r="M3642" t="s">
        <v>75366</v>
      </c>
      <c r="N3642">
        <f>-764.191767214279 -58.1645964113752 -764.695952191105</f>
        <v>-1587.0523158167593</v>
      </c>
      <c r="O3642">
        <f>-826.767105966745 -178.836733865822 -708.61069949112</f>
        <v>-1714.2145393236869</v>
      </c>
      <c r="P3642">
        <f>-776.874536287838 -157.919875814611 -396.746222326797</f>
        <v>-1331.540634429246</v>
      </c>
      <c r="Q3642">
        <f>-528.750587761437 -100.384806120864 -344.151075127779</f>
        <v>-973.28646901008005</v>
      </c>
      <c r="R3642" t="s">
        <v>75367</v>
      </c>
      <c r="S3642" t="s">
        <v>75368</v>
      </c>
      <c r="T3642" t="s">
        <v>75369</v>
      </c>
      <c r="U3642" t="s">
        <v>75370</v>
      </c>
      <c r="V3642">
        <f>-722.821140473789 -68.5591268920039 -231.673154882941</f>
        <v>-1023.0534222487338</v>
      </c>
      <c r="W3642" t="s">
        <v>75371</v>
      </c>
      <c r="X3642" t="s">
        <v>75372</v>
      </c>
      <c r="Y3642" t="s">
        <v>75373</v>
      </c>
    </row>
    <row r="3643" spans="1:25" x14ac:dyDescent="0.3">
      <c r="A3643">
        <v>182100</v>
      </c>
      <c r="B3643" t="s">
        <v>75374</v>
      </c>
      <c r="C3643" t="s">
        <v>75375</v>
      </c>
      <c r="D3643" t="s">
        <v>75376</v>
      </c>
      <c r="E3643" t="s">
        <v>75377</v>
      </c>
      <c r="F3643" t="s">
        <v>75378</v>
      </c>
      <c r="G3643">
        <f>-751.91485522233 -13.5772282593093 -687.791559264335</f>
        <v>-1453.2836427459742</v>
      </c>
      <c r="H3643">
        <f>-752.646310710721 -47.4144034903654 -836.299340595745</f>
        <v>-1636.3600547968313</v>
      </c>
      <c r="I3643">
        <f>-721.431230154792 -83.544522887576 -926.31719565568</f>
        <v>-1731.2929486980481</v>
      </c>
      <c r="J3643">
        <f>-739.725651776933 -3.99354841514219 -777.133334337775</f>
        <v>-1520.8525345298501</v>
      </c>
      <c r="K3643" t="s">
        <v>75379</v>
      </c>
      <c r="L3643" t="s">
        <v>75380</v>
      </c>
      <c r="M3643" t="s">
        <v>75381</v>
      </c>
      <c r="N3643">
        <f>-764.919639137744 -60.8914134518159 -764.045216482468</f>
        <v>-1589.8562690720278</v>
      </c>
      <c r="O3643">
        <f>-828.187764945125 -180.572328159124 -706.59506829314</f>
        <v>-1715.3551613973891</v>
      </c>
      <c r="P3643">
        <f>-777.130189209868 -158.265612793997 -395.015746948139</f>
        <v>-1330.4115489520041</v>
      </c>
      <c r="Q3643">
        <f>-528.515100358561 -101.379574672044 -344.059022465535</f>
        <v>-973.95369749613997</v>
      </c>
      <c r="R3643" t="s">
        <v>75382</v>
      </c>
      <c r="S3643" t="s">
        <v>75383</v>
      </c>
      <c r="T3643" t="s">
        <v>75384</v>
      </c>
      <c r="U3643" t="s">
        <v>75385</v>
      </c>
      <c r="V3643">
        <f>-722.834891679106 -67.8940256338462 -231.711147941683</f>
        <v>-1022.4400652546353</v>
      </c>
      <c r="W3643" t="s">
        <v>75386</v>
      </c>
      <c r="X3643" t="s">
        <v>75387</v>
      </c>
      <c r="Y3643" t="s">
        <v>75388</v>
      </c>
    </row>
    <row r="3644" spans="1:25" x14ac:dyDescent="0.3">
      <c r="A3644">
        <v>182150</v>
      </c>
      <c r="B3644" t="s">
        <v>75389</v>
      </c>
      <c r="C3644" t="s">
        <v>75390</v>
      </c>
      <c r="D3644" t="s">
        <v>75391</v>
      </c>
      <c r="E3644" t="s">
        <v>75392</v>
      </c>
      <c r="F3644" t="s">
        <v>75393</v>
      </c>
      <c r="G3644">
        <f>-752.067467951391 -17.1112305128449 -687.552236784666</f>
        <v>-1456.7309352489019</v>
      </c>
      <c r="H3644">
        <f>-753.363280712423 -53.8665825799596 -835.360841130485</f>
        <v>-1642.5907044228677</v>
      </c>
      <c r="I3644">
        <f>-722.700980834118 -92.3763778144689 -924.57858597121</f>
        <v>-1739.6559446197971</v>
      </c>
      <c r="J3644">
        <f>-739.9021253837 -9.424518978479 -777.080357113223</f>
        <v>-1526.407001475402</v>
      </c>
      <c r="K3644" t="s">
        <v>75394</v>
      </c>
      <c r="L3644" t="s">
        <v>75395</v>
      </c>
      <c r="M3644" t="s">
        <v>75396</v>
      </c>
      <c r="N3644">
        <f>-765.677778965171 -65.7825017935659 -762.839890111776</f>
        <v>-1594.3001708705128</v>
      </c>
      <c r="O3644">
        <f>-829.957176616967 -183.791842706548 -703.07572526037</f>
        <v>-1716.8247445838849</v>
      </c>
      <c r="P3644">
        <f>-777.188788970621 -158.015590866672 -392.049578940268</f>
        <v>-1327.2539587775609</v>
      </c>
      <c r="Q3644">
        <f>-527.710060832279 -102.397663168257 -343.997176198032</f>
        <v>-974.10490019856809</v>
      </c>
      <c r="R3644" t="s">
        <v>75397</v>
      </c>
      <c r="S3644" t="s">
        <v>75398</v>
      </c>
      <c r="T3644" t="s">
        <v>75399</v>
      </c>
      <c r="U3644" t="s">
        <v>75400</v>
      </c>
      <c r="V3644">
        <f>-722.888901447868 -66.406222472282 -231.841371292566</f>
        <v>-1021.136495212716</v>
      </c>
      <c r="W3644" t="s">
        <v>75401</v>
      </c>
      <c r="X3644" t="s">
        <v>75402</v>
      </c>
      <c r="Y3644" t="s">
        <v>75403</v>
      </c>
    </row>
    <row r="3645" spans="1:25" x14ac:dyDescent="0.3">
      <c r="A3645">
        <v>182200</v>
      </c>
      <c r="B3645" t="s">
        <v>75404</v>
      </c>
      <c r="C3645" t="s">
        <v>75405</v>
      </c>
      <c r="D3645" t="s">
        <v>75406</v>
      </c>
      <c r="E3645" t="s">
        <v>75407</v>
      </c>
      <c r="F3645" t="s">
        <v>75408</v>
      </c>
      <c r="G3645">
        <f>-752.056644058773 -18.7221214916885 -687.489586450835</f>
        <v>-1458.2683520012965</v>
      </c>
      <c r="H3645">
        <f>-753.553838085786 -56.7674844633227 -834.969359590317</f>
        <v>-1645.2906821394258</v>
      </c>
      <c r="I3645">
        <f>-723.085439850411 -96.2540168467945 -923.82598468348</f>
        <v>-1743.1654413806855</v>
      </c>
      <c r="J3645">
        <f>-739.916132665752 -11.8600374435403 -777.087977466153</f>
        <v>-1528.8641475754453</v>
      </c>
      <c r="K3645" t="s">
        <v>75409</v>
      </c>
      <c r="L3645" t="s">
        <v>75410</v>
      </c>
      <c r="M3645" t="s">
        <v>75411</v>
      </c>
      <c r="N3645">
        <f>-765.866544162297 -68.0070557582624 -762.340235376219</f>
        <v>-1596.2138352967784</v>
      </c>
      <c r="O3645">
        <f>-830.443355223674 -185.329453184443 -701.591314407792</f>
        <v>-1717.364122815909</v>
      </c>
      <c r="P3645">
        <f>-777.372141075596 -157.432520814278 -390.799795520607</f>
        <v>-1325.604457410481</v>
      </c>
      <c r="Q3645">
        <f>-527.523321661607 -102.426439500163 -343.981250587475</f>
        <v>-973.93101174924504</v>
      </c>
      <c r="R3645" t="s">
        <v>75412</v>
      </c>
      <c r="S3645" t="s">
        <v>75413</v>
      </c>
      <c r="T3645" t="s">
        <v>75414</v>
      </c>
      <c r="U3645" t="s">
        <v>75415</v>
      </c>
      <c r="V3645">
        <f>-722.929257513608 -65.7176920512998 -231.913461755915</f>
        <v>-1020.5604113208228</v>
      </c>
      <c r="W3645" t="s">
        <v>75416</v>
      </c>
      <c r="X3645" t="s">
        <v>75417</v>
      </c>
      <c r="Y3645" t="s">
        <v>75418</v>
      </c>
    </row>
    <row r="3646" spans="1:25" x14ac:dyDescent="0.3">
      <c r="A3646">
        <v>182250</v>
      </c>
      <c r="B3646" t="s">
        <v>75419</v>
      </c>
      <c r="C3646" t="s">
        <v>75420</v>
      </c>
      <c r="D3646" t="s">
        <v>75421</v>
      </c>
      <c r="E3646" t="s">
        <v>75422</v>
      </c>
      <c r="F3646" t="s">
        <v>75423</v>
      </c>
      <c r="G3646">
        <f>-751.535807281231 -21.3473263227845 -687.399957882425</f>
        <v>-1460.2830914864405</v>
      </c>
      <c r="H3646">
        <f>-753.20288704767 -61.5060667595553 -834.316616951082</f>
        <v>-1649.0255707583074</v>
      </c>
      <c r="I3646">
        <f>-722.928860407989 -102.490345034415 -922.559178744076</f>
        <v>-1747.9783841864801</v>
      </c>
      <c r="J3646">
        <f>-739.393638484629 -15.8182919107162 -777.090244548831</f>
        <v>-1532.3021749441764</v>
      </c>
      <c r="K3646" t="s">
        <v>75424</v>
      </c>
      <c r="L3646" t="s">
        <v>75425</v>
      </c>
      <c r="M3646" t="s">
        <v>75426</v>
      </c>
      <c r="N3646">
        <f>-765.536895321351 -71.6558749968829 -761.530691073199</f>
        <v>-1598.7234613914329</v>
      </c>
      <c r="O3646">
        <f>-830.431628410026 -187.950912447116 -699.148250497498</f>
        <v>-1717.5307913546399</v>
      </c>
      <c r="P3646">
        <f>-777.191796570578 -156.68305129845 -388.706627381038</f>
        <v>-1322.581475250066</v>
      </c>
      <c r="Q3646">
        <f>-526.840841900675 -102.433353995167 -343.724157020616</f>
        <v>-972.99835291645786</v>
      </c>
      <c r="R3646" t="s">
        <v>75427</v>
      </c>
      <c r="S3646" t="s">
        <v>75428</v>
      </c>
      <c r="T3646" t="s">
        <v>75429</v>
      </c>
      <c r="U3646" t="s">
        <v>75430</v>
      </c>
      <c r="V3646">
        <f>-723.025318217695 -64.434702827434 -232.058841847956</f>
        <v>-1019.518862893085</v>
      </c>
      <c r="W3646" t="s">
        <v>75431</v>
      </c>
      <c r="X3646" t="s">
        <v>75432</v>
      </c>
      <c r="Y3646" t="s">
        <v>75433</v>
      </c>
    </row>
    <row r="3647" spans="1:25" x14ac:dyDescent="0.3">
      <c r="A3647">
        <v>182300</v>
      </c>
      <c r="B3647" t="s">
        <v>75434</v>
      </c>
      <c r="C3647" t="s">
        <v>75435</v>
      </c>
      <c r="D3647" t="s">
        <v>75436</v>
      </c>
      <c r="E3647" t="s">
        <v>75437</v>
      </c>
      <c r="F3647" t="s">
        <v>75438</v>
      </c>
      <c r="G3647">
        <f>-751.263968689372 -22.1683354668749 -687.322336495891</f>
        <v>-1460.7546406521378</v>
      </c>
      <c r="H3647">
        <f>-752.899119793833 -63.0556377415298 -834.038198422849</f>
        <v>-1649.992955958212</v>
      </c>
      <c r="I3647">
        <f>-722.608377672499 -104.521222630495 -922.049912816154</f>
        <v>-1749.1795131191479</v>
      </c>
      <c r="J3647">
        <f>-739.112541319006 -17.0798441553272 -777.037502405766</f>
        <v>-1533.2298878800993</v>
      </c>
      <c r="K3647" t="s">
        <v>75439</v>
      </c>
      <c r="L3647" t="s">
        <v>75440</v>
      </c>
      <c r="M3647" t="s">
        <v>75441</v>
      </c>
      <c r="N3647">
        <f>-765.23856208628 -72.8485471252345 -761.204469840994</f>
        <v>-1599.2915790525085</v>
      </c>
      <c r="O3647">
        <f>-830.171908389476 -188.799845060648 -698.230139422642</f>
        <v>-1717.2018928727659</v>
      </c>
      <c r="P3647">
        <f>-777.024889718612 -156.13804168509 -387.9163142292</f>
        <v>-1321.079245632902</v>
      </c>
      <c r="Q3647">
        <f>-526.528654356655 -101.948607601508 -343.676278646218</f>
        <v>-972.15354060438108</v>
      </c>
      <c r="R3647" t="s">
        <v>75442</v>
      </c>
      <c r="S3647" t="s">
        <v>75443</v>
      </c>
      <c r="T3647" t="s">
        <v>75444</v>
      </c>
      <c r="U3647" t="s">
        <v>75445</v>
      </c>
      <c r="V3647">
        <f>-723.018312080745 -64.0689918103758 -232.133870117148</f>
        <v>-1019.2211740082688</v>
      </c>
      <c r="W3647" t="s">
        <v>75446</v>
      </c>
      <c r="X3647" t="s">
        <v>75447</v>
      </c>
      <c r="Y3647" t="s">
        <v>75448</v>
      </c>
    </row>
    <row r="3648" spans="1:25" x14ac:dyDescent="0.3">
      <c r="A3648">
        <v>182350</v>
      </c>
      <c r="B3648" t="s">
        <v>75449</v>
      </c>
      <c r="C3648" t="s">
        <v>75450</v>
      </c>
      <c r="D3648" t="s">
        <v>75451</v>
      </c>
      <c r="E3648" t="s">
        <v>75452</v>
      </c>
      <c r="F3648" t="s">
        <v>75453</v>
      </c>
      <c r="G3648">
        <f>-750.210841144575 -23.9698111491098 -687.329452582516</f>
        <v>-1461.5101048762008</v>
      </c>
      <c r="H3648">
        <f>-751.819743352426 -65.8418963602567 -833.767565451712</f>
        <v>-1651.4292051643947</v>
      </c>
      <c r="I3648">
        <f>-721.459910420449 -107.853163168876 -921.496275308728</f>
        <v>-1750.809348898053</v>
      </c>
      <c r="J3648">
        <f>-738.127226332429 -19.4478622388976 -777.084010830957</f>
        <v>-1534.6590994022836</v>
      </c>
      <c r="K3648" t="s">
        <v>75454</v>
      </c>
      <c r="L3648" t="s">
        <v>75455</v>
      </c>
      <c r="M3648" t="s">
        <v>75456</v>
      </c>
      <c r="N3648">
        <f>-764.088459269348 -75.1817073217387 -760.862453451341</f>
        <v>-1600.1326200424278</v>
      </c>
      <c r="O3648">
        <f>-828.833214173094 -190.734742090852 -696.999439522182</f>
        <v>-1716.5673957861281</v>
      </c>
      <c r="P3648">
        <f>-775.947424227802 -156.228608713094 -386.840514962578</f>
        <v>-1319.016547903474</v>
      </c>
      <c r="Q3648">
        <f>-525.382346496343 -101.47672568464 -343.696452604907</f>
        <v>-970.55552478588993</v>
      </c>
      <c r="R3648" t="s">
        <v>75457</v>
      </c>
      <c r="S3648" t="s">
        <v>75458</v>
      </c>
      <c r="T3648" t="s">
        <v>75459</v>
      </c>
      <c r="U3648" t="s">
        <v>75460</v>
      </c>
      <c r="V3648">
        <f>-722.949501735049 -63.9200629150648 -232.236188957317</f>
        <v>-1019.1057536074309</v>
      </c>
      <c r="W3648" t="s">
        <v>75461</v>
      </c>
      <c r="X3648" t="s">
        <v>75462</v>
      </c>
      <c r="Y3648" t="s">
        <v>75463</v>
      </c>
    </row>
    <row r="3649" spans="1:25" x14ac:dyDescent="0.3">
      <c r="A3649">
        <v>182400</v>
      </c>
      <c r="B3649" t="s">
        <v>75464</v>
      </c>
      <c r="C3649" t="s">
        <v>75465</v>
      </c>
      <c r="D3649" t="s">
        <v>75466</v>
      </c>
      <c r="E3649" t="s">
        <v>75467</v>
      </c>
      <c r="F3649" t="s">
        <v>75468</v>
      </c>
      <c r="G3649">
        <f>-749.264934976356 -25.2010018188962 -687.39268411952</f>
        <v>-1461.8586209147722</v>
      </c>
      <c r="H3649">
        <f>-750.756572267433 -67.2657886028628 -833.776919259749</f>
        <v>-1651.7992801300447</v>
      </c>
      <c r="I3649">
        <f>-720.302104540262 -109.118032724876 -921.548739246407</f>
        <v>-1750.968876511545</v>
      </c>
      <c r="J3649">
        <f>-737.236728946266 -20.7423930117438 -777.158055171722</f>
        <v>-1535.1371771297318</v>
      </c>
      <c r="K3649" t="s">
        <v>75469</v>
      </c>
      <c r="L3649" t="s">
        <v>75470</v>
      </c>
      <c r="M3649" t="s">
        <v>75471</v>
      </c>
      <c r="N3649">
        <f>-762.956427398831 -76.5644799099914 -760.854935174999</f>
        <v>-1600.3758424838215</v>
      </c>
      <c r="O3649">
        <f>-827.078563492754 -192.342548504308 -696.732298461284</f>
        <v>-1716.1534104583461</v>
      </c>
      <c r="P3649">
        <f>-774.294103331043 -157.001803590578 -386.649954483461</f>
        <v>-1317.9458614050818</v>
      </c>
      <c r="Q3649">
        <f>-524.001855208034 -100.831454107916 -343.745903337074</f>
        <v>-968.57921265302411</v>
      </c>
      <c r="R3649" t="s">
        <v>75472</v>
      </c>
      <c r="S3649" t="s">
        <v>75473</v>
      </c>
      <c r="T3649" t="s">
        <v>75474</v>
      </c>
      <c r="U3649" t="s">
        <v>75475</v>
      </c>
      <c r="V3649">
        <f>-722.96138140824 -64.5828381788217 -232.248428799242</f>
        <v>-1019.7926483863037</v>
      </c>
      <c r="W3649" t="s">
        <v>75476</v>
      </c>
      <c r="X3649" t="s">
        <v>75477</v>
      </c>
      <c r="Y3649" t="s">
        <v>75478</v>
      </c>
    </row>
    <row r="3650" spans="1:25" x14ac:dyDescent="0.3">
      <c r="A3650">
        <v>182450</v>
      </c>
      <c r="B3650" t="s">
        <v>75479</v>
      </c>
      <c r="C3650" t="s">
        <v>75480</v>
      </c>
      <c r="D3650" t="s">
        <v>75481</v>
      </c>
      <c r="E3650" t="s">
        <v>75482</v>
      </c>
      <c r="F3650">
        <f>-745.036815634363 -0.604536859068503 -580.990446295562</f>
        <v>-1326.6317987889936</v>
      </c>
      <c r="G3650">
        <f>-747.969725684026 -25.7151200084711 -687.553559219044</f>
        <v>-1461.2384049115412</v>
      </c>
      <c r="H3650">
        <f>-749.087189881415 -67.4052731679467 -834.048107143462</f>
        <v>-1650.5405701928237</v>
      </c>
      <c r="I3650">
        <f>-718.526994803538 -108.345088775345 -922.212805919088</f>
        <v>-1749.0848894979708</v>
      </c>
      <c r="J3650">
        <f>-735.921639491694 -20.9382236040349 -777.299782093904</f>
        <v>-1534.159645189633</v>
      </c>
      <c r="K3650" t="s">
        <v>75483</v>
      </c>
      <c r="L3650" t="s">
        <v>75484</v>
      </c>
      <c r="M3650" t="s">
        <v>75485</v>
      </c>
      <c r="N3650">
        <f>-761.263949470064 -76.9792373218727 -761.157964034855</f>
        <v>-1599.4011508267918</v>
      </c>
      <c r="O3650">
        <f>-824.400243152821 -193.506633311101 -697.448693311408</f>
        <v>-1715.35556977533</v>
      </c>
      <c r="P3650">
        <f>-771.866294257093 -158.350866403343 -387.302863671491</f>
        <v>-1317.5200243319271</v>
      </c>
      <c r="Q3650">
        <f>-522.099445812455 -100.108831576218 -344.10089467629</f>
        <v>-966.30917206496292</v>
      </c>
      <c r="R3650" t="s">
        <v>75486</v>
      </c>
      <c r="S3650" t="s">
        <v>75487</v>
      </c>
      <c r="T3650" t="s">
        <v>75488</v>
      </c>
      <c r="U3650" t="s">
        <v>75489</v>
      </c>
      <c r="V3650">
        <f>-722.727369581768 -65.5674822874432 -232.174654548203</f>
        <v>-1020.4695064174142</v>
      </c>
      <c r="W3650" t="s">
        <v>75490</v>
      </c>
      <c r="X3650" t="s">
        <v>75491</v>
      </c>
      <c r="Y3650" t="s">
        <v>75492</v>
      </c>
    </row>
    <row r="3651" spans="1:25" x14ac:dyDescent="0.3">
      <c r="A3651">
        <v>182500</v>
      </c>
      <c r="B3651" t="s">
        <v>75479</v>
      </c>
      <c r="C3651" t="s">
        <v>75480</v>
      </c>
      <c r="D3651" t="s">
        <v>75481</v>
      </c>
      <c r="E3651" t="s">
        <v>75482</v>
      </c>
      <c r="F3651">
        <f>-745.036815634363 -0.604536859068503 -580.990446295562</f>
        <v>-1326.6317987889936</v>
      </c>
      <c r="G3651">
        <f>-747.969725684026 -25.7151200084711 -687.553559219044</f>
        <v>-1461.2384049115412</v>
      </c>
      <c r="H3651">
        <f>-749.087189881415 -67.4052731679467 -834.048107143462</f>
        <v>-1650.5405701928237</v>
      </c>
      <c r="I3651">
        <f>-718.526994803538 -108.345088775345 -922.212805919088</f>
        <v>-1749.0848894979708</v>
      </c>
      <c r="J3651">
        <f>-735.921639491694 -20.9382236040349 -777.299782093904</f>
        <v>-1534.159645189633</v>
      </c>
      <c r="K3651" t="s">
        <v>75483</v>
      </c>
      <c r="L3651" t="s">
        <v>75484</v>
      </c>
      <c r="M3651" t="s">
        <v>75485</v>
      </c>
      <c r="N3651">
        <f>-761.263949470064 -76.9792373218727 -761.157964034855</f>
        <v>-1599.4011508267918</v>
      </c>
      <c r="O3651">
        <f>-824.400243152821 -193.506633311101 -697.448693311408</f>
        <v>-1715.35556977533</v>
      </c>
      <c r="P3651">
        <f>-771.866294257093 -158.350866403343 -387.302863671491</f>
        <v>-1317.5200243319271</v>
      </c>
      <c r="Q3651">
        <f>-522.099445812455 -100.108831576218 -344.10089467629</f>
        <v>-966.30917206496292</v>
      </c>
      <c r="R3651" t="s">
        <v>75486</v>
      </c>
      <c r="S3651" t="s">
        <v>75487</v>
      </c>
      <c r="T3651" t="s">
        <v>75488</v>
      </c>
      <c r="U3651" t="s">
        <v>75489</v>
      </c>
      <c r="V3651">
        <f>-722.727369581768 -65.5674822874432 -232.174654548203</f>
        <v>-1020.4695064174142</v>
      </c>
      <c r="W3651" t="s">
        <v>75490</v>
      </c>
      <c r="X3651" t="s">
        <v>75491</v>
      </c>
      <c r="Y3651" t="s">
        <v>75492</v>
      </c>
    </row>
    <row r="3652" spans="1:25" x14ac:dyDescent="0.3">
      <c r="A3652">
        <v>182550</v>
      </c>
      <c r="B3652" t="s">
        <v>75493</v>
      </c>
      <c r="C3652" t="s">
        <v>75494</v>
      </c>
      <c r="D3652" t="s">
        <v>75495</v>
      </c>
      <c r="E3652" t="s">
        <v>75496</v>
      </c>
      <c r="F3652">
        <f>-744.094912354138 -0.280956836631958 -580.877798497382</f>
        <v>-1325.2536676881518</v>
      </c>
      <c r="G3652">
        <f>-746.440069194231 -24.8974180979153 -687.570645601572</f>
        <v>-1458.9081328937182</v>
      </c>
      <c r="H3652">
        <f>-746.621906036653 -65.7909633997313 -834.293885394741</f>
        <v>-1646.7067548311252</v>
      </c>
      <c r="I3652">
        <f>-716.462079064373 -104.932498387472 -923.407907534583</f>
        <v>-1744.8024849864282</v>
      </c>
      <c r="J3652">
        <f>-734.122746335133 -19.5072393960586 -777.24557999932</f>
        <v>-1530.8755657305114</v>
      </c>
      <c r="K3652" t="s">
        <v>75497</v>
      </c>
      <c r="L3652" t="s">
        <v>75498</v>
      </c>
      <c r="M3652" t="s">
        <v>75499</v>
      </c>
      <c r="N3652">
        <f>-758.960129158927 -75.886409339369 -761.501075386729</f>
        <v>-1596.3476138850251</v>
      </c>
      <c r="O3652">
        <f>-821.04298451355 -193.461259273815 -698.679449200995</f>
        <v>-1713.18369298836</v>
      </c>
      <c r="P3652">
        <f>-769.076617518017 -159.43313378275 -388.312272657623</f>
        <v>-1316.82202395839</v>
      </c>
      <c r="Q3652">
        <f>-519.884976869886 -98.9883042762867 -344.81519005536</f>
        <v>-963.68847120153282</v>
      </c>
      <c r="R3652" t="s">
        <v>75500</v>
      </c>
      <c r="S3652" t="s">
        <v>75501</v>
      </c>
      <c r="T3652" t="s">
        <v>75502</v>
      </c>
      <c r="U3652" t="s">
        <v>75503</v>
      </c>
      <c r="V3652">
        <f>-722.530708466141 -66.6333111799258 -232.008645387362</f>
        <v>-1021.1726650334289</v>
      </c>
      <c r="W3652" t="s">
        <v>75504</v>
      </c>
      <c r="X3652" t="s">
        <v>75505</v>
      </c>
      <c r="Y3652" t="s">
        <v>75506</v>
      </c>
    </row>
    <row r="3653" spans="1:25" x14ac:dyDescent="0.3">
      <c r="A3653">
        <v>182600</v>
      </c>
      <c r="B3653" t="s">
        <v>75507</v>
      </c>
      <c r="C3653" t="s">
        <v>75508</v>
      </c>
      <c r="D3653" t="s">
        <v>75509</v>
      </c>
      <c r="E3653" t="s">
        <v>75510</v>
      </c>
      <c r="F3653">
        <f>-743.578972840741 -0.154135034778847 -580.585405848934</f>
        <v>-1324.3185137244539</v>
      </c>
      <c r="G3653">
        <f>-745.600870476003 -24.4429554622952 -687.35998143877</f>
        <v>-1457.4038073770682</v>
      </c>
      <c r="H3653">
        <f>-745.237359862929 -64.8407592553001 -834.220065870132</f>
        <v>-1644.2981849883611</v>
      </c>
      <c r="I3653">
        <f>-715.377970272396 -102.829037138405 -923.932348400623</f>
        <v>-1742.1393558114241</v>
      </c>
      <c r="J3653">
        <f>-733.097468378951 -18.6903036243828 -776.986610291421</f>
        <v>-1528.7743822947548</v>
      </c>
      <c r="K3653" t="s">
        <v>75511</v>
      </c>
      <c r="L3653" t="s">
        <v>75512</v>
      </c>
      <c r="M3653" t="s">
        <v>75513</v>
      </c>
      <c r="N3653">
        <f>-757.698986686329 -75.2417293351803 -761.4914819935</f>
        <v>-1594.4321980150094</v>
      </c>
      <c r="O3653">
        <f>-819.2756752283 -193.337085731184 -699.170524781582</f>
        <v>-1711.7832857410658</v>
      </c>
      <c r="P3653">
        <f>-767.844064152459 -160.057595346207 -388.633209243143</f>
        <v>-1316.5348687418091</v>
      </c>
      <c r="Q3653">
        <f>-518.922953522858 -98.6312960481246 -344.962230147272</f>
        <v>-962.51647971825469</v>
      </c>
      <c r="R3653" t="s">
        <v>75514</v>
      </c>
      <c r="S3653" t="s">
        <v>75515</v>
      </c>
      <c r="T3653" t="s">
        <v>75516</v>
      </c>
      <c r="U3653" t="s">
        <v>75517</v>
      </c>
      <c r="V3653">
        <f>-722.271606426979 -67.3888578794749 -231.823191443024</f>
        <v>-1021.483655749478</v>
      </c>
      <c r="W3653" t="s">
        <v>75518</v>
      </c>
      <c r="X3653" t="s">
        <v>75519</v>
      </c>
      <c r="Y3653" t="s">
        <v>75520</v>
      </c>
    </row>
    <row r="3654" spans="1:25" x14ac:dyDescent="0.3">
      <c r="A3654">
        <v>182650</v>
      </c>
      <c r="B3654" t="s">
        <v>75521</v>
      </c>
      <c r="C3654" t="s">
        <v>75522</v>
      </c>
      <c r="D3654" t="s">
        <v>75523</v>
      </c>
      <c r="E3654" t="s">
        <v>75524</v>
      </c>
      <c r="F3654">
        <f>-742.726482607891 -0.742099790426892 -580.322878317276</f>
        <v>-1323.791460715594</v>
      </c>
      <c r="G3654">
        <f>-744.254156248636 -24.1290368483697 -687.306816454447</f>
        <v>-1455.6900095514527</v>
      </c>
      <c r="H3654">
        <f>-743.00304267966 -63.0851388068727 -834.551026431052</f>
        <v>-1640.6392079175848</v>
      </c>
      <c r="I3654">
        <f>-713.477612043516 -98.6872274518926 -925.345987979273</f>
        <v>-1737.5108274746817</v>
      </c>
      <c r="J3654">
        <f>-731.438753215609 -17.4067555646161 -776.82176733979</f>
        <v>-1525.6672761200152</v>
      </c>
      <c r="K3654" t="s">
        <v>75525</v>
      </c>
      <c r="L3654" t="s">
        <v>75526</v>
      </c>
      <c r="M3654" t="s">
        <v>75527</v>
      </c>
      <c r="N3654">
        <f>-755.674606595401 -74.2899235923453 -761.978266955545</f>
        <v>-1591.9427971432913</v>
      </c>
      <c r="O3654">
        <f>-816.363172979786 -193.384378140238 -700.696261354984</f>
        <v>-1710.4438124750081</v>
      </c>
      <c r="P3654">
        <f>-765.760024437493 -161.879610401005 -389.837911547515</f>
        <v>-1317.477546386013</v>
      </c>
      <c r="Q3654">
        <f>-517.488751882838 -98.5556346281983 -345.189033008048</f>
        <v>-961.23341951908424</v>
      </c>
      <c r="R3654" t="s">
        <v>75528</v>
      </c>
      <c r="S3654" t="s">
        <v>75529</v>
      </c>
      <c r="T3654" t="s">
        <v>75530</v>
      </c>
      <c r="U3654" t="s">
        <v>75531</v>
      </c>
      <c r="V3654">
        <f>-721.456414963018 -69.2747358230495 -231.524193512615</f>
        <v>-1022.2553442986825</v>
      </c>
      <c r="W3654" t="s">
        <v>75532</v>
      </c>
      <c r="X3654" t="s">
        <v>75533</v>
      </c>
      <c r="Y3654" t="s">
        <v>75534</v>
      </c>
    </row>
    <row r="3655" spans="1:25" x14ac:dyDescent="0.3">
      <c r="A3655">
        <v>182700</v>
      </c>
      <c r="B3655" t="s">
        <v>75535</v>
      </c>
      <c r="C3655" t="s">
        <v>75536</v>
      </c>
      <c r="D3655" t="s">
        <v>75537</v>
      </c>
      <c r="E3655" t="s">
        <v>75538</v>
      </c>
      <c r="F3655">
        <f>-742.255981204576 -0.950633809556393 -580.389209548568</f>
        <v>-1323.5958245627003</v>
      </c>
      <c r="G3655">
        <f>-743.481369671296 -23.7501567905579 -687.503859236145</f>
        <v>-1454.7353856979989</v>
      </c>
      <c r="H3655">
        <f>-741.66923703381 -61.7303245006892 -834.99700602694</f>
        <v>-1638.396567561439</v>
      </c>
      <c r="I3655">
        <f>-712.092795081806 -96.1529340489876 -926.229040439606</f>
        <v>-1734.4747695703995</v>
      </c>
      <c r="J3655">
        <f>-730.425314004068 -16.395728885429 -776.934276526663</f>
        <v>-1523.7553194161601</v>
      </c>
      <c r="K3655" t="s">
        <v>75539</v>
      </c>
      <c r="L3655" t="s">
        <v>75540</v>
      </c>
      <c r="M3655" t="s">
        <v>75541</v>
      </c>
      <c r="N3655">
        <f>-754.516720710447 -73.4547510659104 -762.53736952836</f>
        <v>-1590.5088413047174</v>
      </c>
      <c r="O3655">
        <f>-814.936371596524 -193.077630004651 -702.026122500894</f>
        <v>-1710.0401241020691</v>
      </c>
      <c r="P3655">
        <f>-764.660874783706 -162.889164297659 -390.984048104022</f>
        <v>-1318.5340871853871</v>
      </c>
      <c r="Q3655">
        <f>-516.844593085684 -98.4358714592968 -345.432314202606</f>
        <v>-960.71277874758675</v>
      </c>
      <c r="R3655" t="s">
        <v>75542</v>
      </c>
      <c r="S3655" t="s">
        <v>75543</v>
      </c>
      <c r="T3655" t="s">
        <v>75544</v>
      </c>
      <c r="U3655" t="s">
        <v>75545</v>
      </c>
      <c r="V3655">
        <f>-720.930663293909 -70.055273762345 -231.405421835894</f>
        <v>-1022.391358892148</v>
      </c>
      <c r="W3655" t="s">
        <v>75546</v>
      </c>
      <c r="X3655" t="s">
        <v>75547</v>
      </c>
      <c r="Y3655" t="s">
        <v>75548</v>
      </c>
    </row>
    <row r="3656" spans="1:25" x14ac:dyDescent="0.3">
      <c r="A3656">
        <v>182750</v>
      </c>
      <c r="B3656" t="s">
        <v>75549</v>
      </c>
      <c r="C3656" t="s">
        <v>75550</v>
      </c>
      <c r="D3656" t="s">
        <v>75551</v>
      </c>
      <c r="E3656" t="s">
        <v>75552</v>
      </c>
      <c r="F3656">
        <f>-741.040210954321 -1.67215118980698 -580.560695134266</f>
        <v>-1323.2730572783939</v>
      </c>
      <c r="G3656">
        <f>-741.578506704128 -23.269266578754 -687.929817154027</f>
        <v>-1452.7775904369091</v>
      </c>
      <c r="H3656">
        <f>-738.504390037557 -59.2223592602234 -835.909358594224</f>
        <v>-1633.6361078920045</v>
      </c>
      <c r="I3656">
        <f>-708.605572726329 -91.4120066156679 -927.848742399918</f>
        <v>-1727.8663217419148</v>
      </c>
      <c r="J3656">
        <f>-728.03875300751 -14.5803213873323 -777.168528955935</f>
        <v>-1519.7876033507773</v>
      </c>
      <c r="K3656" t="s">
        <v>75553</v>
      </c>
      <c r="L3656" t="s">
        <v>75554</v>
      </c>
      <c r="M3656" t="s">
        <v>75555</v>
      </c>
      <c r="N3656">
        <f>-751.690274436828 -72.0479646563872 -763.697407967568</f>
        <v>-1587.4356470607831</v>
      </c>
      <c r="O3656">
        <f>-811.436756716163 -192.949391172853 -705.030981684573</f>
        <v>-1709.4171295735891</v>
      </c>
      <c r="P3656">
        <f>-763.495393835647 -164.25700856231 -393.479111378155</f>
        <v>-1321.231513776112</v>
      </c>
      <c r="Q3656">
        <f>-516.695266946104 -97.3416819652987 -346.002085069173</f>
        <v>-960.0390339805756</v>
      </c>
      <c r="R3656" t="s">
        <v>75556</v>
      </c>
      <c r="S3656" t="s">
        <v>75557</v>
      </c>
      <c r="T3656" t="s">
        <v>75558</v>
      </c>
      <c r="U3656" t="s">
        <v>75559</v>
      </c>
      <c r="V3656">
        <f>-719.667590828372 -71.38274242849 -231.198568186472</f>
        <v>-1022.248901443334</v>
      </c>
      <c r="W3656" t="s">
        <v>75560</v>
      </c>
      <c r="X3656" t="s">
        <v>75561</v>
      </c>
      <c r="Y3656" t="s">
        <v>75562</v>
      </c>
    </row>
    <row r="3657" spans="1:25" x14ac:dyDescent="0.3">
      <c r="A3657">
        <v>182800</v>
      </c>
      <c r="B3657" t="s">
        <v>75563</v>
      </c>
      <c r="C3657" t="s">
        <v>75564</v>
      </c>
      <c r="D3657" t="s">
        <v>75565</v>
      </c>
      <c r="E3657" t="s">
        <v>75566</v>
      </c>
      <c r="F3657">
        <f>-739.685614419884 -2.09509655654392 -580.684940412728</f>
        <v>-1322.4656513891559</v>
      </c>
      <c r="G3657">
        <f>-739.80089320664 -23.1511718789952 -688.162813421367</f>
        <v>-1451.1148785070022</v>
      </c>
      <c r="H3657">
        <f>-736.034048613166 -58.2001355719726 -836.342947079324</f>
        <v>-1630.5771312644624</v>
      </c>
      <c r="I3657">
        <f>-705.859810397817 -89.3475714482058 -928.551130012589</f>
        <v>-1723.7585118586119</v>
      </c>
      <c r="J3657">
        <f>-726.004041040729 -13.8564942836192 -777.300915725551</f>
        <v>-1517.1614510498994</v>
      </c>
      <c r="K3657" t="s">
        <v>75567</v>
      </c>
      <c r="L3657" t="s">
        <v>75568</v>
      </c>
      <c r="M3657" t="s">
        <v>75569</v>
      </c>
      <c r="N3657">
        <f>-749.397451073159 -71.5275816775616 -764.254761361786</f>
        <v>-1585.1797941125064</v>
      </c>
      <c r="O3657">
        <f>-808.704164064448 -193.022842000722 -706.460356577679</f>
        <v>-1708.1873626428492</v>
      </c>
      <c r="P3657">
        <f>-762.056740250751 -165.137523848462 -394.639039349089</f>
        <v>-1321.8333034483021</v>
      </c>
      <c r="Q3657">
        <f>-515.772258141082 -96.9689883926123 -346.27460230965</f>
        <v>-959.01584884334443</v>
      </c>
      <c r="R3657" t="s">
        <v>75570</v>
      </c>
      <c r="S3657" t="s">
        <v>75571</v>
      </c>
      <c r="T3657" t="s">
        <v>75572</v>
      </c>
      <c r="U3657" t="s">
        <v>75573</v>
      </c>
      <c r="V3657">
        <f>-718.839462060687 -71.9808091510752 -231.159695035407</f>
        <v>-1021.9799662471692</v>
      </c>
      <c r="W3657" t="s">
        <v>75574</v>
      </c>
      <c r="X3657" t="s">
        <v>75575</v>
      </c>
      <c r="Y3657" t="s">
        <v>75576</v>
      </c>
    </row>
    <row r="3658" spans="1:25" x14ac:dyDescent="0.3">
      <c r="A3658">
        <v>182850</v>
      </c>
      <c r="B3658" t="s">
        <v>75577</v>
      </c>
      <c r="C3658" t="s">
        <v>75578</v>
      </c>
      <c r="D3658" t="s">
        <v>75579</v>
      </c>
      <c r="E3658" t="s">
        <v>75580</v>
      </c>
      <c r="F3658" t="s">
        <v>75581</v>
      </c>
      <c r="G3658">
        <f>-732.877128580978 -19.5733478482712 -689.178258885176</f>
        <v>-1441.6287353144253</v>
      </c>
      <c r="H3658">
        <f>-728.275513821871 -53.3249845629014 -837.635859290222</f>
        <v>-1619.2363576749945</v>
      </c>
      <c r="I3658">
        <f>-697.629668745154 -82.7445553938828 -930.254950615037</f>
        <v>-1710.629174754074</v>
      </c>
      <c r="J3658">
        <f>-718.81677749545 -9.41034054335569 -778.180355600113</f>
        <v>-1506.4074736389186</v>
      </c>
      <c r="K3658" t="s">
        <v>75582</v>
      </c>
      <c r="L3658" t="s">
        <v>75583</v>
      </c>
      <c r="M3658" t="s">
        <v>75584</v>
      </c>
      <c r="N3658">
        <f>-741.80639436589 -67.3715240973813 -765.715480330036</f>
        <v>-1574.8933987933074</v>
      </c>
      <c r="O3658">
        <f>-800.358954902121 -189.759252790394 -709.017695578758</f>
        <v>-1699.135903271273</v>
      </c>
      <c r="P3658">
        <f>-755.191596213183 -163.996918047503 -396.796056462509</f>
        <v>-1315.9845707231948</v>
      </c>
      <c r="Q3658">
        <f>-509.704839670206 -93.975237303529 -347.043534407996</f>
        <v>-950.72361138173096</v>
      </c>
      <c r="R3658" t="s">
        <v>75585</v>
      </c>
      <c r="S3658" t="s">
        <v>75586</v>
      </c>
      <c r="T3658" t="s">
        <v>75587</v>
      </c>
      <c r="U3658" t="s">
        <v>75588</v>
      </c>
      <c r="V3658">
        <f>-715.122174067069 -71.2010595783736 -231.653661291825</f>
        <v>-1017.9768949372675</v>
      </c>
      <c r="W3658" t="s">
        <v>75589</v>
      </c>
      <c r="X3658" t="s">
        <v>75590</v>
      </c>
      <c r="Y3658" t="s">
        <v>75591</v>
      </c>
    </row>
    <row r="3659" spans="1:25" x14ac:dyDescent="0.3">
      <c r="A3659">
        <v>182900</v>
      </c>
      <c r="B3659" t="s">
        <v>75592</v>
      </c>
      <c r="C3659" t="s">
        <v>75593</v>
      </c>
      <c r="D3659" t="s">
        <v>75594</v>
      </c>
      <c r="E3659" t="s">
        <v>75595</v>
      </c>
      <c r="F3659" t="s">
        <v>75596</v>
      </c>
      <c r="G3659">
        <f>-729.814972783282 -17.3291718924959 -689.712818200649</f>
        <v>-1436.8569628764269</v>
      </c>
      <c r="H3659">
        <f>-725.031285812902 -50.4500694883873 -838.306539958195</f>
        <v>-1613.7878952594842</v>
      </c>
      <c r="I3659">
        <f>-694.235101452541 -79.1107197418226 -931.113622913408</f>
        <v>-1704.4594441077716</v>
      </c>
      <c r="J3659">
        <f>-715.715040923513 -6.76252306039487 -778.661640094189</f>
        <v>-1501.139204078097</v>
      </c>
      <c r="K3659" t="s">
        <v>75597</v>
      </c>
      <c r="L3659" t="s">
        <v>75598</v>
      </c>
      <c r="M3659" t="s">
        <v>75599</v>
      </c>
      <c r="N3659">
        <f>-738.580728364338 -64.8275921950133 -766.455261764282</f>
        <v>-1569.8635823236332</v>
      </c>
      <c r="O3659">
        <f>-796.806366948372 -187.587910601024 -710.197946375411</f>
        <v>-1694.5922239248071</v>
      </c>
      <c r="P3659">
        <f>-751.957500815133 -162.644506124479 -397.863935974675</f>
        <v>-1312.4659429142871</v>
      </c>
      <c r="Q3659">
        <f>-506.750781997578 -92.0547067522173 -347.536847768252</f>
        <v>-946.3423365180472</v>
      </c>
      <c r="R3659" t="s">
        <v>75600</v>
      </c>
      <c r="S3659" t="s">
        <v>75601</v>
      </c>
      <c r="T3659" t="s">
        <v>75602</v>
      </c>
      <c r="U3659" t="s">
        <v>75603</v>
      </c>
      <c r="V3659">
        <f>-713.288938551432 -70.3904570895832 -231.959571936072</f>
        <v>-1015.6389675770872</v>
      </c>
      <c r="W3659" t="s">
        <v>75604</v>
      </c>
      <c r="X3659" t="s">
        <v>75605</v>
      </c>
      <c r="Y3659" t="s">
        <v>75606</v>
      </c>
    </row>
    <row r="3660" spans="1:25" x14ac:dyDescent="0.3">
      <c r="A3660">
        <v>182950</v>
      </c>
      <c r="B3660" t="s">
        <v>75607</v>
      </c>
      <c r="C3660" t="s">
        <v>75608</v>
      </c>
      <c r="D3660" t="s">
        <v>75609</v>
      </c>
      <c r="E3660" t="s">
        <v>75610</v>
      </c>
      <c r="F3660" t="s">
        <v>75611</v>
      </c>
      <c r="G3660">
        <f>-726.99300324892 -13.948370430455 -690.742383600653</f>
        <v>-1431.6837572800282</v>
      </c>
      <c r="H3660">
        <f>-722.386864696492 -45.5833113304459 -839.665276334647</f>
        <v>-1607.6354523615851</v>
      </c>
      <c r="I3660">
        <f>-691.446901451805 -72.8156585112104 -932.853869829877</f>
        <v>-1697.1164297928924</v>
      </c>
      <c r="J3660">
        <f>-713.006959622019 -2.49062330903234 -779.598894407969</f>
        <v>-1495.0964773390206</v>
      </c>
      <c r="K3660" t="s">
        <v>75612</v>
      </c>
      <c r="L3660" t="s">
        <v>75613</v>
      </c>
      <c r="M3660" t="s">
        <v>75614</v>
      </c>
      <c r="N3660">
        <f>-735.842722901063 -60.6808023142285 -767.944110325649</f>
        <v>-1564.4676355409406</v>
      </c>
      <c r="O3660">
        <f>-793.935364120023 -183.942333212636 -712.657877574786</f>
        <v>-1690.5355749074449</v>
      </c>
      <c r="P3660">
        <f>-749.316425996097 -160.800361554789 -400.152362796752</f>
        <v>-1310.2691503476381</v>
      </c>
      <c r="Q3660">
        <f>-504.733250212068 -89.0527986400066 -348.447193120361</f>
        <v>-942.23324197243562</v>
      </c>
      <c r="R3660" t="s">
        <v>75615</v>
      </c>
      <c r="S3660" t="s">
        <v>75616</v>
      </c>
      <c r="T3660" t="s">
        <v>75617</v>
      </c>
      <c r="U3660" t="s">
        <v>75618</v>
      </c>
      <c r="V3660">
        <f>-711.11292013641 -69.1301144505994 -232.521377793224</f>
        <v>-1012.7644123802335</v>
      </c>
      <c r="W3660" t="s">
        <v>75619</v>
      </c>
      <c r="X3660" t="s">
        <v>75620</v>
      </c>
      <c r="Y3660" t="s">
        <v>75621</v>
      </c>
    </row>
    <row r="3661" spans="1:25" x14ac:dyDescent="0.3">
      <c r="A3661">
        <v>183000</v>
      </c>
      <c r="B3661" t="s">
        <v>75622</v>
      </c>
      <c r="C3661" t="s">
        <v>75623</v>
      </c>
      <c r="D3661" t="s">
        <v>75624</v>
      </c>
      <c r="E3661" t="s">
        <v>75625</v>
      </c>
      <c r="F3661" t="s">
        <v>75626</v>
      </c>
      <c r="G3661">
        <f>-725.411203234233 -12.4796659844394 -691.283625319077</f>
        <v>-1429.1744945377495</v>
      </c>
      <c r="H3661">
        <f>-720.928430525224 -43.4241889126652 -840.355293962786</f>
        <v>-1604.7079134006754</v>
      </c>
      <c r="I3661">
        <f>-690.003179188064 -70.0241056579312 -933.731087843762</f>
        <v>-1693.7583726897572</v>
      </c>
      <c r="J3661">
        <f>-711.450805122474 -0.628238878158299 -780.092525091199</f>
        <v>-1492.1715690918313</v>
      </c>
      <c r="K3661" t="s">
        <v>75627</v>
      </c>
      <c r="L3661" t="s">
        <v>75628</v>
      </c>
      <c r="M3661" t="s">
        <v>75629</v>
      </c>
      <c r="N3661">
        <f>-734.373012573206 -58.8361235032653 -768.698810411117</f>
        <v>-1561.9079464875883</v>
      </c>
      <c r="O3661">
        <f>-792.627245213892 -182.240147321636 -713.938483983914</f>
        <v>-1688.8058765194419</v>
      </c>
      <c r="P3661">
        <f>-748.2273588956 -160.157109108536 -401.325055765514</f>
        <v>-1309.7095237696499</v>
      </c>
      <c r="Q3661">
        <f>-503.913362334425 -87.9775379095229 -348.952939998088</f>
        <v>-940.84384024203598</v>
      </c>
      <c r="R3661" t="s">
        <v>75630</v>
      </c>
      <c r="S3661" t="s">
        <v>75631</v>
      </c>
      <c r="T3661" t="s">
        <v>75632</v>
      </c>
      <c r="U3661" t="s">
        <v>75633</v>
      </c>
      <c r="V3661">
        <f>-709.958879305417 -68.5407821127058 -232.805057234663</f>
        <v>-1011.3047186527857</v>
      </c>
      <c r="W3661" t="s">
        <v>75634</v>
      </c>
      <c r="X3661" t="s">
        <v>75635</v>
      </c>
      <c r="Y3661" t="s">
        <v>75636</v>
      </c>
    </row>
    <row r="3662" spans="1:25" x14ac:dyDescent="0.3">
      <c r="A3662">
        <v>183050</v>
      </c>
      <c r="B3662" t="s">
        <v>75637</v>
      </c>
      <c r="C3662" t="s">
        <v>75638</v>
      </c>
      <c r="D3662" t="s">
        <v>75639</v>
      </c>
      <c r="E3662" t="s">
        <v>75640</v>
      </c>
      <c r="F3662" t="s">
        <v>75641</v>
      </c>
      <c r="G3662">
        <f>-721.990049861209 -10.150085103314 -692.297468769741</f>
        <v>-1424.437603734264</v>
      </c>
      <c r="H3662">
        <f>-717.651129588411 -40.0871906137627 -841.578818017746</f>
        <v>-1599.3171382199198</v>
      </c>
      <c r="I3662">
        <f>-686.813547807663 -65.7406842559346 -935.248094216708</f>
        <v>-1687.8023262803056</v>
      </c>
      <c r="J3662" t="s">
        <v>75642</v>
      </c>
      <c r="K3662" t="s">
        <v>75643</v>
      </c>
      <c r="L3662" t="s">
        <v>75644</v>
      </c>
      <c r="M3662" t="s">
        <v>75645</v>
      </c>
      <c r="N3662">
        <f>-731.22139066706 -55.9093448344154 -770.035607874157</f>
        <v>-1557.1663433756323</v>
      </c>
      <c r="O3662">
        <f>-790.316527033157 -179.300948255274 -716.152785595133</f>
        <v>-1685.7702608835639</v>
      </c>
      <c r="P3662">
        <f>-746.899883770215 -159.796907284654 -403.229812741908</f>
        <v>-1309.926603796777</v>
      </c>
      <c r="Q3662">
        <f>-503.059303719532 -87.0963740944178 -349.392585798787</f>
        <v>-939.54826361273672</v>
      </c>
      <c r="R3662" t="s">
        <v>75646</v>
      </c>
      <c r="S3662" t="s">
        <v>75647</v>
      </c>
      <c r="T3662" t="s">
        <v>75648</v>
      </c>
      <c r="U3662" t="s">
        <v>75649</v>
      </c>
      <c r="V3662">
        <f>-707.487807024882 -67.0917370272468 -233.349646003426</f>
        <v>-1007.9291900555548</v>
      </c>
      <c r="W3662" t="s">
        <v>75650</v>
      </c>
      <c r="X3662" t="s">
        <v>75651</v>
      </c>
      <c r="Y3662" t="s">
        <v>75652</v>
      </c>
    </row>
    <row r="3663" spans="1:25" x14ac:dyDescent="0.3">
      <c r="A3663">
        <v>183100</v>
      </c>
      <c r="B3663" t="s">
        <v>75653</v>
      </c>
      <c r="C3663" t="s">
        <v>75654</v>
      </c>
      <c r="D3663" t="s">
        <v>75655</v>
      </c>
      <c r="E3663" t="s">
        <v>75656</v>
      </c>
      <c r="F3663" t="s">
        <v>75657</v>
      </c>
      <c r="G3663">
        <f>-720.134510604957 -9.02404187307093 -692.688650224763</f>
        <v>-1421.847202702791</v>
      </c>
      <c r="H3663">
        <f>-715.796662856689 -38.6092866946551 -842.040253177034</f>
        <v>-1596.446202728378</v>
      </c>
      <c r="I3663">
        <f>-684.939024095468 -63.9655653871637 -935.78370807737</f>
        <v>-1684.6882975600015</v>
      </c>
      <c r="J3663" t="s">
        <v>75658</v>
      </c>
      <c r="K3663" t="s">
        <v>75659</v>
      </c>
      <c r="L3663" t="s">
        <v>75660</v>
      </c>
      <c r="M3663" t="s">
        <v>75661</v>
      </c>
      <c r="N3663">
        <f>-729.478660099571 -54.5569166009361 -770.546156708564</f>
        <v>-1554.5817334090711</v>
      </c>
      <c r="O3663">
        <f>-789.125067798229 -177.836910159496 -717.014805936473</f>
        <v>-1683.976783894198</v>
      </c>
      <c r="P3663">
        <f>-746.301294864212 -159.452473627149 -403.942496529356</f>
        <v>-1309.696265020717</v>
      </c>
      <c r="Q3663">
        <f>-502.567329079118 -86.9281220064165 -349.389936509647</f>
        <v>-938.88538759518144</v>
      </c>
      <c r="R3663" t="s">
        <v>75662</v>
      </c>
      <c r="S3663" t="s">
        <v>75663</v>
      </c>
      <c r="T3663" t="s">
        <v>75664</v>
      </c>
      <c r="U3663" t="s">
        <v>75665</v>
      </c>
      <c r="V3663">
        <f>-706.3844011006 -66.1454086841604 -233.566595956946</f>
        <v>-1006.0964057417065</v>
      </c>
      <c r="W3663" t="s">
        <v>75666</v>
      </c>
      <c r="X3663" t="s">
        <v>75667</v>
      </c>
      <c r="Y3663" t="s">
        <v>75668</v>
      </c>
    </row>
    <row r="3664" spans="1:25" x14ac:dyDescent="0.3">
      <c r="A3664">
        <v>183150</v>
      </c>
      <c r="B3664" t="s">
        <v>75669</v>
      </c>
      <c r="C3664" t="s">
        <v>75670</v>
      </c>
      <c r="D3664" t="s">
        <v>75671</v>
      </c>
      <c r="E3664" t="s">
        <v>75672</v>
      </c>
      <c r="F3664" t="s">
        <v>75673</v>
      </c>
      <c r="G3664">
        <f>-717.181923569883 -7.04713098792763 -692.981811834539</f>
        <v>-1417.2108663923495</v>
      </c>
      <c r="H3664">
        <f>-712.52231680852 -36.1897223596161 -842.410689875353</f>
        <v>-1591.122729043489</v>
      </c>
      <c r="I3664">
        <f>-681.441349918626 -61.1440762339121 -936.188132560862</f>
        <v>-1678.7735587134</v>
      </c>
      <c r="J3664" t="s">
        <v>75674</v>
      </c>
      <c r="K3664" t="s">
        <v>75675</v>
      </c>
      <c r="L3664" t="s">
        <v>75676</v>
      </c>
      <c r="M3664" t="s">
        <v>75677</v>
      </c>
      <c r="N3664">
        <f>-726.522932137564 -52.2850515358709 -771.011450935762</f>
        <v>-1549.8194346091968</v>
      </c>
      <c r="O3664">
        <f>-787.178221275444 -175.323218493272 -717.991646857001</f>
        <v>-1680.4930866257168</v>
      </c>
      <c r="P3664">
        <f>-745.557017682989 -157.966977710479 -404.698390090679</f>
        <v>-1308.222385484147</v>
      </c>
      <c r="Q3664">
        <f>-501.813482531834 -86.0291351710425 -349.416842325636</f>
        <v>-937.25946002851254</v>
      </c>
      <c r="R3664" t="s">
        <v>75678</v>
      </c>
      <c r="S3664" t="s">
        <v>75679</v>
      </c>
      <c r="T3664" t="s">
        <v>75680</v>
      </c>
      <c r="U3664" t="s">
        <v>75681</v>
      </c>
      <c r="V3664">
        <f>-704.842238739137 -64.4147951151383 -233.760475954638</f>
        <v>-1003.0175098089132</v>
      </c>
      <c r="W3664" t="s">
        <v>75682</v>
      </c>
      <c r="X3664" t="s">
        <v>75683</v>
      </c>
      <c r="Y3664" t="s">
        <v>75684</v>
      </c>
    </row>
    <row r="3665" spans="1:25" x14ac:dyDescent="0.3">
      <c r="A3665">
        <v>183200</v>
      </c>
      <c r="B3665" t="s">
        <v>75685</v>
      </c>
      <c r="C3665" t="s">
        <v>75686</v>
      </c>
      <c r="D3665" t="s">
        <v>75687</v>
      </c>
      <c r="E3665" t="s">
        <v>75688</v>
      </c>
      <c r="F3665" t="s">
        <v>75689</v>
      </c>
      <c r="G3665">
        <f>-715.754360820826 -5.99589116731363 -692.918804064348</f>
        <v>-1414.6690560524876</v>
      </c>
      <c r="H3665">
        <f>-710.723586188066 -34.8906232366433 -842.383807785209</f>
        <v>-1587.9980172099181</v>
      </c>
      <c r="I3665">
        <f>-679.436439737307 -59.6303968697416 -936.149745765545</f>
        <v>-1675.2165823725936</v>
      </c>
      <c r="J3665" t="s">
        <v>75690</v>
      </c>
      <c r="K3665" t="s">
        <v>75691</v>
      </c>
      <c r="L3665" t="s">
        <v>75692</v>
      </c>
      <c r="M3665" t="s">
        <v>75693</v>
      </c>
      <c r="N3665">
        <f>-724.925342464059 -51.0948588800529 -771.049045798727</f>
        <v>-1547.0692471428388</v>
      </c>
      <c r="O3665">
        <f>-785.970079137059 -174.017635591378 -718.24387462651</f>
        <v>-1678.2315893549469</v>
      </c>
      <c r="P3665">
        <f>-745.104315574346 -156.961055080624 -404.834921987115</f>
        <v>-1306.9002926420849</v>
      </c>
      <c r="Q3665">
        <f>-501.305917950346 -85.4654266749833 -349.222304114145</f>
        <v>-935.99364873947434</v>
      </c>
      <c r="R3665" t="s">
        <v>75694</v>
      </c>
      <c r="S3665" t="s">
        <v>75695</v>
      </c>
      <c r="T3665" t="s">
        <v>75696</v>
      </c>
      <c r="U3665" t="s">
        <v>75697</v>
      </c>
      <c r="V3665">
        <f>-704.479782648705 -63.780731214646 -233.764061554525</f>
        <v>-1002.0245754178761</v>
      </c>
      <c r="W3665" t="s">
        <v>75698</v>
      </c>
      <c r="X3665" t="s">
        <v>75699</v>
      </c>
      <c r="Y3665" t="s">
        <v>75700</v>
      </c>
    </row>
    <row r="3666" spans="1:25" x14ac:dyDescent="0.3">
      <c r="A3666">
        <v>183250</v>
      </c>
      <c r="B3666" t="s">
        <v>75701</v>
      </c>
      <c r="C3666" t="s">
        <v>75702</v>
      </c>
      <c r="D3666" t="s">
        <v>75703</v>
      </c>
      <c r="E3666" t="s">
        <v>75704</v>
      </c>
      <c r="F3666" t="s">
        <v>75705</v>
      </c>
      <c r="G3666">
        <f>-713.557324519249 -4.36152178143425 -692.810903550577</f>
        <v>-1410.7297498512603</v>
      </c>
      <c r="H3666">
        <f>-707.557394214944 -32.8032624284551 -842.327061731862</f>
        <v>-1582.6877183752613</v>
      </c>
      <c r="I3666">
        <f>-675.603358254816 -57.1819729584913 -935.962493708978</f>
        <v>-1668.7478249222854</v>
      </c>
      <c r="J3666" t="s">
        <v>75706</v>
      </c>
      <c r="K3666" t="s">
        <v>75707</v>
      </c>
      <c r="L3666" t="s">
        <v>75708</v>
      </c>
      <c r="M3666" t="s">
        <v>75709</v>
      </c>
      <c r="N3666">
        <f>-722.134306932459 -49.2575834455799 -771.125201256626</f>
        <v>-1542.5170916346651</v>
      </c>
      <c r="O3666">
        <f>-783.341760404799 -172.345713646736 -718.897876905985</f>
        <v>-1674.5853509575199</v>
      </c>
      <c r="P3666">
        <f>-744.703655771873 -155.583619592634 -405.190444793294</f>
        <v>-1305.4777201578008</v>
      </c>
      <c r="Q3666">
        <f>-501.026273090453 -84.8070983534019 -348.145584067108</f>
        <v>-933.97895551096303</v>
      </c>
      <c r="R3666" t="s">
        <v>75710</v>
      </c>
      <c r="S3666" t="s">
        <v>75711</v>
      </c>
      <c r="T3666" t="s">
        <v>75712</v>
      </c>
      <c r="U3666" t="s">
        <v>75713</v>
      </c>
      <c r="V3666">
        <f>-704.063486367751 -62.8870606063565 -233.701946435425</f>
        <v>-1000.6524934095326</v>
      </c>
      <c r="W3666" t="s">
        <v>75714</v>
      </c>
      <c r="X3666" t="s">
        <v>75715</v>
      </c>
      <c r="Y3666" t="s">
        <v>75716</v>
      </c>
    </row>
    <row r="3667" spans="1:25" x14ac:dyDescent="0.3">
      <c r="A3667">
        <v>183300</v>
      </c>
      <c r="B3667" t="s">
        <v>75717</v>
      </c>
      <c r="C3667" t="s">
        <v>75718</v>
      </c>
      <c r="D3667" t="s">
        <v>75719</v>
      </c>
      <c r="E3667" t="s">
        <v>75720</v>
      </c>
      <c r="F3667" t="s">
        <v>75721</v>
      </c>
      <c r="G3667">
        <f>-712.386553569509 -3.25089536254472 -692.542316937665</f>
        <v>-1408.1797658697187</v>
      </c>
      <c r="H3667">
        <f>-705.492048973702 -31.3802721791908 -842.079032078387</f>
        <v>-1578.9513532312799</v>
      </c>
      <c r="I3667">
        <f>-672.760444664767 -55.4263058998645 -935.531662227052</f>
        <v>-1663.7184127916835</v>
      </c>
      <c r="J3667" t="s">
        <v>75722</v>
      </c>
      <c r="K3667" t="s">
        <v>75723</v>
      </c>
      <c r="L3667" t="s">
        <v>75724</v>
      </c>
      <c r="M3667" t="s">
        <v>75725</v>
      </c>
      <c r="N3667">
        <f>-720.355176397557 -48.0373724493998 -770.983546153792</f>
        <v>-1539.3760950007486</v>
      </c>
      <c r="O3667">
        <f>-781.311433602524 -171.514520111509 -719.400496786949</f>
        <v>-1672.2264505009821</v>
      </c>
      <c r="P3667">
        <f>-744.91989253925 -155.100682945678 -405.406296260928</f>
        <v>-1305.426871745856</v>
      </c>
      <c r="Q3667">
        <f>-501.68394110001 -84.2626990814028 -346.581993524598</f>
        <v>-932.52863370601085</v>
      </c>
      <c r="R3667" t="s">
        <v>75726</v>
      </c>
      <c r="S3667" t="s">
        <v>75727</v>
      </c>
      <c r="T3667" t="s">
        <v>75728</v>
      </c>
      <c r="U3667" t="s">
        <v>75729</v>
      </c>
      <c r="V3667">
        <f>-704.130086775905 -62.3947939823968 -233.52885355261</f>
        <v>-1000.0537343109119</v>
      </c>
      <c r="W3667" t="s">
        <v>75730</v>
      </c>
      <c r="X3667" t="s">
        <v>75731</v>
      </c>
      <c r="Y3667" t="s">
        <v>75732</v>
      </c>
    </row>
    <row r="3668" spans="1:25" x14ac:dyDescent="0.3">
      <c r="A3668">
        <v>183350</v>
      </c>
      <c r="B3668" t="s">
        <v>75733</v>
      </c>
      <c r="C3668" t="s">
        <v>75734</v>
      </c>
      <c r="D3668" t="s">
        <v>75735</v>
      </c>
      <c r="E3668" t="s">
        <v>75736</v>
      </c>
      <c r="F3668" t="s">
        <v>75737</v>
      </c>
      <c r="G3668">
        <f>-712.180828521213 -2.8254215252532 -692.36391365685</f>
        <v>-1407.3701637033162</v>
      </c>
      <c r="H3668">
        <f>-704.976034953477 -30.7272774646974 -841.928632559995</f>
        <v>-1577.6319449781695</v>
      </c>
      <c r="I3668">
        <f>-671.901311434672 -54.5683805396029 -935.312972504547</f>
        <v>-1661.782664478822</v>
      </c>
      <c r="J3668" t="s">
        <v>75738</v>
      </c>
      <c r="K3668" t="s">
        <v>75739</v>
      </c>
      <c r="L3668" t="s">
        <v>75740</v>
      </c>
      <c r="M3668" t="s">
        <v>75741</v>
      </c>
      <c r="N3668">
        <f>-719.906554140704 -47.5232277389568 -770.880062244731</f>
        <v>-1538.3098441243919</v>
      </c>
      <c r="O3668">
        <f>-780.633135677764 -171.222033816594 -719.554619222781</f>
        <v>-1671.409788717139</v>
      </c>
      <c r="P3668">
        <f>-745.052650330636 -154.99409717206 -405.457774716132</f>
        <v>-1305.504522218828</v>
      </c>
      <c r="Q3668">
        <f>-502.039991602007 -84.0493464388405 -345.844606040411</f>
        <v>-931.93394408125846</v>
      </c>
      <c r="R3668" t="s">
        <v>75742</v>
      </c>
      <c r="S3668" t="s">
        <v>75743</v>
      </c>
      <c r="T3668" t="s">
        <v>75744</v>
      </c>
      <c r="U3668" t="s">
        <v>75745</v>
      </c>
      <c r="V3668">
        <f>-704.201724848075 -62.4831652263206 -233.422049554908</f>
        <v>-1000.1069396293035</v>
      </c>
      <c r="W3668" t="s">
        <v>75746</v>
      </c>
      <c r="X3668" t="s">
        <v>75747</v>
      </c>
      <c r="Y3668" t="s">
        <v>75748</v>
      </c>
    </row>
    <row r="3669" spans="1:25" x14ac:dyDescent="0.3">
      <c r="A3669">
        <v>183400</v>
      </c>
      <c r="B3669" t="s">
        <v>75749</v>
      </c>
      <c r="C3669" t="s">
        <v>75750</v>
      </c>
      <c r="D3669" t="s">
        <v>75751</v>
      </c>
      <c r="E3669" t="s">
        <v>75752</v>
      </c>
      <c r="F3669" t="s">
        <v>75753</v>
      </c>
      <c r="G3669">
        <f>-712.185877313569 -2.49749659959934 -692.241741857301</f>
        <v>-1406.9251157704693</v>
      </c>
      <c r="H3669">
        <f>-704.800216074889 -30.1485875254141 -841.844193952277</f>
        <v>-1576.7929975525801</v>
      </c>
      <c r="I3669">
        <f>-671.427900241414 -53.7921332410406 -935.172890248717</f>
        <v>-1660.3929237311715</v>
      </c>
      <c r="J3669" t="s">
        <v>75754</v>
      </c>
      <c r="K3669" t="s">
        <v>75755</v>
      </c>
      <c r="L3669" t="s">
        <v>75756</v>
      </c>
      <c r="M3669" t="s">
        <v>75757</v>
      </c>
      <c r="N3669">
        <f>-719.740871154336 -47.09250767865 -770.83295442435</f>
        <v>-1537.666333257336</v>
      </c>
      <c r="O3669">
        <f>-780.241451947042 -171.006725329439 -719.774183241319</f>
        <v>-1671.0223605178001</v>
      </c>
      <c r="P3669">
        <f>-745.281792573547 -154.812935141971 -405.605695120113</f>
        <v>-1305.7004228356311</v>
      </c>
      <c r="Q3669">
        <f>-502.476484207289 -83.6315785769054 -345.431834014661</f>
        <v>-931.53989679885535</v>
      </c>
      <c r="R3669" t="s">
        <v>75758</v>
      </c>
      <c r="S3669" t="s">
        <v>75759</v>
      </c>
      <c r="T3669" t="s">
        <v>75760</v>
      </c>
      <c r="U3669" t="s">
        <v>75761</v>
      </c>
      <c r="V3669">
        <f>-704.345687200461 -62.7156939249103 -233.315308224039</f>
        <v>-1000.3766893494103</v>
      </c>
      <c r="W3669" t="s">
        <v>75762</v>
      </c>
      <c r="X3669" t="s">
        <v>75763</v>
      </c>
      <c r="Y3669" t="s">
        <v>75764</v>
      </c>
    </row>
    <row r="3670" spans="1:25" x14ac:dyDescent="0.3">
      <c r="A3670">
        <v>183450</v>
      </c>
      <c r="B3670" t="s">
        <v>75765</v>
      </c>
      <c r="C3670" t="s">
        <v>75766</v>
      </c>
      <c r="D3670" t="s">
        <v>75767</v>
      </c>
      <c r="E3670" t="s">
        <v>75768</v>
      </c>
      <c r="F3670" t="s">
        <v>75769</v>
      </c>
      <c r="G3670">
        <f>-713.09859191168 -2.31040645089183 -691.999133428187</f>
        <v>-1407.4081317907589</v>
      </c>
      <c r="H3670">
        <f>-705.63637729573 -29.6172449830121 -841.661048187249</f>
        <v>-1576.9146704659911</v>
      </c>
      <c r="I3670">
        <f>-671.842096365774 -52.94228247572 -934.917940623747</f>
        <v>-1659.7023194652411</v>
      </c>
      <c r="J3670" t="s">
        <v>75770</v>
      </c>
      <c r="K3670" t="s">
        <v>75771</v>
      </c>
      <c r="L3670" t="s">
        <v>75772</v>
      </c>
      <c r="M3670" t="s">
        <v>75773</v>
      </c>
      <c r="N3670">
        <f>-720.50059381579 -46.7670949991473 -770.683129308198</f>
        <v>-1537.9508181231354</v>
      </c>
      <c r="O3670">
        <f>-780.589161572165 -171.027165412825 -719.962278061782</f>
        <v>-1671.5786050467721</v>
      </c>
      <c r="P3670">
        <f>-745.949090481327 -154.905741766062 -405.754831520076</f>
        <v>-1306.609663767465</v>
      </c>
      <c r="Q3670">
        <f>-503.386707979022 -83.3876018929684 -345.00400853616</f>
        <v>-931.77831840815043</v>
      </c>
      <c r="R3670" t="s">
        <v>75774</v>
      </c>
      <c r="S3670" t="s">
        <v>75775</v>
      </c>
      <c r="T3670" t="s">
        <v>75776</v>
      </c>
      <c r="U3670" t="s">
        <v>75777</v>
      </c>
      <c r="V3670">
        <f>-705.112965267872 -63.4221046333862 -233.110095634095</f>
        <v>-1001.6451655353533</v>
      </c>
      <c r="W3670" t="s">
        <v>75778</v>
      </c>
      <c r="X3670" t="s">
        <v>75779</v>
      </c>
      <c r="Y3670" t="s">
        <v>75780</v>
      </c>
    </row>
    <row r="3671" spans="1:25" x14ac:dyDescent="0.3">
      <c r="A3671">
        <v>183500</v>
      </c>
      <c r="B3671" t="s">
        <v>75781</v>
      </c>
      <c r="C3671" t="s">
        <v>75782</v>
      </c>
      <c r="D3671" t="s">
        <v>75783</v>
      </c>
      <c r="E3671" t="s">
        <v>75784</v>
      </c>
      <c r="F3671" t="s">
        <v>75785</v>
      </c>
      <c r="G3671">
        <f>-713.676725228305 -2.41687509997587 -691.895326774142</f>
        <v>-1407.9889271024228</v>
      </c>
      <c r="H3671">
        <f>-706.19845860689 -29.5731223466862 -841.58371566649</f>
        <v>-1577.3552966200662</v>
      </c>
      <c r="I3671">
        <f>-672.250190803112 -52.7499070364581 -934.821750659782</f>
        <v>-1659.8218484993522</v>
      </c>
      <c r="J3671" t="s">
        <v>75786</v>
      </c>
      <c r="K3671" t="s">
        <v>75787</v>
      </c>
      <c r="L3671" t="s">
        <v>75788</v>
      </c>
      <c r="M3671" t="s">
        <v>75789</v>
      </c>
      <c r="N3671">
        <f>-721.036874914241 -46.8069578434879 -770.620898134093</f>
        <v>-1538.464730891822</v>
      </c>
      <c r="O3671">
        <f>-781.000644777049 -171.182400993761 -720.020717762344</f>
        <v>-1672.203763533154</v>
      </c>
      <c r="P3671">
        <f>-746.292110050658 -155.31246292182 -405.807935837001</f>
        <v>-1307.412508809479</v>
      </c>
      <c r="Q3671">
        <f>-503.81242386524 -83.6269933613323 -344.923664488469</f>
        <v>-932.36308171504129</v>
      </c>
      <c r="R3671" t="s">
        <v>75790</v>
      </c>
      <c r="S3671" t="s">
        <v>75791</v>
      </c>
      <c r="T3671" t="s">
        <v>75792</v>
      </c>
      <c r="U3671" t="s">
        <v>75793</v>
      </c>
      <c r="V3671">
        <f>-705.641621040411 -63.8928996711909 -233.028813858798</f>
        <v>-1002.5633345703999</v>
      </c>
      <c r="W3671" t="s">
        <v>75794</v>
      </c>
      <c r="X3671" t="s">
        <v>75795</v>
      </c>
      <c r="Y3671" t="s">
        <v>75796</v>
      </c>
    </row>
    <row r="3672" spans="1:25" x14ac:dyDescent="0.3">
      <c r="A3672">
        <v>183550</v>
      </c>
      <c r="B3672" t="s">
        <v>75797</v>
      </c>
      <c r="C3672" t="s">
        <v>75798</v>
      </c>
      <c r="D3672" t="s">
        <v>75799</v>
      </c>
      <c r="E3672" t="s">
        <v>75800</v>
      </c>
      <c r="F3672" t="s">
        <v>75801</v>
      </c>
      <c r="G3672">
        <f>-714.760936426181 -2.81247250173146 -691.720593755758</f>
        <v>-1409.2940026836704</v>
      </c>
      <c r="H3672">
        <f>-707.304730929273 -29.6428645960723 -841.468826700386</f>
        <v>-1578.4164222257314</v>
      </c>
      <c r="I3672">
        <f>-673.162670509368 -52.5476972169097 -934.703289056899</f>
        <v>-1660.4136567831767</v>
      </c>
      <c r="J3672" t="s">
        <v>75802</v>
      </c>
      <c r="K3672" t="s">
        <v>75803</v>
      </c>
      <c r="L3672" t="s">
        <v>75804</v>
      </c>
      <c r="M3672" t="s">
        <v>75805</v>
      </c>
      <c r="N3672">
        <f>-722.117859509817 -47.0367186277242 -770.539640726067</f>
        <v>-1539.6942188636081</v>
      </c>
      <c r="O3672">
        <f>-782.095421234955 -171.509361253172 -720.206381577777</f>
        <v>-1673.811164065904</v>
      </c>
      <c r="P3672">
        <f>-746.793704730333 -156.355194374456 -406.024221919733</f>
        <v>-1309.1731210245221</v>
      </c>
      <c r="Q3672">
        <f>-504.227645553533 -84.8578921852545 -345.263244221386</f>
        <v>-934.34878196017348</v>
      </c>
      <c r="R3672" t="s">
        <v>75806</v>
      </c>
      <c r="S3672" t="s">
        <v>75807</v>
      </c>
      <c r="T3672" t="s">
        <v>75808</v>
      </c>
      <c r="U3672" t="s">
        <v>75809</v>
      </c>
      <c r="V3672">
        <f>-706.857464179957 -65.0633039265522 -232.878705926104</f>
        <v>-1004.7994740326131</v>
      </c>
      <c r="W3672" t="s">
        <v>75810</v>
      </c>
      <c r="X3672" t="s">
        <v>75811</v>
      </c>
      <c r="Y3672" t="s">
        <v>75812</v>
      </c>
    </row>
    <row r="3673" spans="1:25" x14ac:dyDescent="0.3">
      <c r="A3673">
        <v>183600</v>
      </c>
      <c r="B3673" t="s">
        <v>75813</v>
      </c>
      <c r="C3673" t="s">
        <v>75814</v>
      </c>
      <c r="D3673" t="s">
        <v>75815</v>
      </c>
      <c r="E3673" t="s">
        <v>75816</v>
      </c>
      <c r="F3673" t="s">
        <v>75817</v>
      </c>
      <c r="G3673">
        <f>-715.281550777821 -3.19720192358614 -691.619212685951</f>
        <v>-1410.0979653873583</v>
      </c>
      <c r="H3673">
        <f>-707.913807723648 -29.8744884961916 -841.399126191492</f>
        <v>-1579.1874224113317</v>
      </c>
      <c r="I3673">
        <f>-673.715796046242 -52.6843662303045 -934.636395507985</f>
        <v>-1661.0365577845314</v>
      </c>
      <c r="J3673" t="s">
        <v>75818</v>
      </c>
      <c r="K3673" t="s">
        <v>75819</v>
      </c>
      <c r="L3673" t="s">
        <v>75820</v>
      </c>
      <c r="M3673" t="s">
        <v>75821</v>
      </c>
      <c r="N3673">
        <f>-722.695158353234 -47.3370052051698 -770.480248533258</f>
        <v>-1540.5124120916616</v>
      </c>
      <c r="O3673">
        <f>-782.718041841704 -171.820654868086 -720.250945907795</f>
        <v>-1674.7896426175848</v>
      </c>
      <c r="P3673">
        <f>-747.091779550375 -157.091746142891 -406.085384382607</f>
        <v>-1310.268910075873</v>
      </c>
      <c r="Q3673">
        <f>-504.430543649288 -85.8052532003533 -345.456618807487</f>
        <v>-935.69241565712832</v>
      </c>
      <c r="R3673" t="s">
        <v>75822</v>
      </c>
      <c r="S3673" t="s">
        <v>75823</v>
      </c>
      <c r="T3673" t="s">
        <v>75824</v>
      </c>
      <c r="U3673" t="s">
        <v>75825</v>
      </c>
      <c r="V3673">
        <f>-707.373718952946 -65.7443173305785 -232.801156078346</f>
        <v>-1005.9191923618705</v>
      </c>
      <c r="W3673" t="s">
        <v>75826</v>
      </c>
      <c r="X3673" t="s">
        <v>75827</v>
      </c>
      <c r="Y3673" t="s">
        <v>75828</v>
      </c>
    </row>
    <row r="3674" spans="1:25" x14ac:dyDescent="0.3">
      <c r="A3674">
        <v>183650</v>
      </c>
      <c r="B3674" t="s">
        <v>75829</v>
      </c>
      <c r="C3674" t="s">
        <v>75830</v>
      </c>
      <c r="D3674" t="s">
        <v>75831</v>
      </c>
      <c r="E3674" t="s">
        <v>75832</v>
      </c>
      <c r="F3674" t="s">
        <v>75833</v>
      </c>
      <c r="G3674">
        <f>-716.756177860846 -4.3968639169218 -691.356227056768</f>
        <v>-1412.5092688345358</v>
      </c>
      <c r="H3674">
        <f>-709.711285976409 -30.9946346409297 -841.166020651517</f>
        <v>-1581.8719412688556</v>
      </c>
      <c r="I3674">
        <f>-675.43596212505 -53.7588083318647 -934.385969843022</f>
        <v>-1663.5807402999367</v>
      </c>
      <c r="J3674" t="s">
        <v>75834</v>
      </c>
      <c r="K3674" t="s">
        <v>75835</v>
      </c>
      <c r="L3674" t="s">
        <v>75836</v>
      </c>
      <c r="M3674" t="s">
        <v>75837</v>
      </c>
      <c r="N3674">
        <f>-724.395968604142 -48.4737010692268 -770.231056536918</f>
        <v>-1543.1007262102867</v>
      </c>
      <c r="O3674">
        <f>-784.613179233726 -172.896234232922 -720.070253048055</f>
        <v>-1677.5796665147029</v>
      </c>
      <c r="P3674">
        <f>-748.522764693584 -158.48083070147 -405.943191183429</f>
        <v>-1312.9467865784832</v>
      </c>
      <c r="Q3674">
        <f>-505.539801761255 -87.8877257592569 -345.793921799575</f>
        <v>-939.22144932008678</v>
      </c>
      <c r="R3674" t="s">
        <v>75838</v>
      </c>
      <c r="S3674" t="s">
        <v>75839</v>
      </c>
      <c r="T3674" t="s">
        <v>75840</v>
      </c>
      <c r="U3674" t="s">
        <v>75841</v>
      </c>
      <c r="V3674">
        <f>-708.427380156017 -67.2449042835906 -232.61126726179</f>
        <v>-1008.2835517013975</v>
      </c>
      <c r="W3674" t="s">
        <v>75842</v>
      </c>
      <c r="X3674" t="s">
        <v>75843</v>
      </c>
      <c r="Y3674" t="s">
        <v>75844</v>
      </c>
    </row>
    <row r="3675" spans="1:25" x14ac:dyDescent="0.3">
      <c r="A3675">
        <v>183700</v>
      </c>
      <c r="B3675" t="s">
        <v>75845</v>
      </c>
      <c r="C3675" t="s">
        <v>75846</v>
      </c>
      <c r="D3675" t="s">
        <v>75847</v>
      </c>
      <c r="E3675" t="s">
        <v>75848</v>
      </c>
      <c r="F3675" t="s">
        <v>75849</v>
      </c>
      <c r="G3675">
        <f>-717.706999400955 -4.94031585102107 -691.233617272766</f>
        <v>-1413.8809325247421</v>
      </c>
      <c r="H3675">
        <f>-710.839137228846 -31.4689454165443 -841.063837855211</f>
        <v>-1583.3719205006014</v>
      </c>
      <c r="I3675">
        <f>-676.544266300235 -54.2075386494314 -934.283017465759</f>
        <v>-1665.0348224154254</v>
      </c>
      <c r="J3675" t="s">
        <v>75850</v>
      </c>
      <c r="K3675" t="s">
        <v>75851</v>
      </c>
      <c r="L3675" t="s">
        <v>75852</v>
      </c>
      <c r="M3675" t="s">
        <v>75853</v>
      </c>
      <c r="N3675">
        <f>-725.469812884434 -48.9694243332685 -770.123029463623</f>
        <v>-1544.5622666813256</v>
      </c>
      <c r="O3675">
        <f>-785.782669646859 -173.329290371668 -719.909952885947</f>
        <v>-1679.021912904474</v>
      </c>
      <c r="P3675">
        <f>-749.390278103799 -159.201938788687 -405.804493674272</f>
        <v>-1314.396710566758</v>
      </c>
      <c r="Q3675">
        <f>-506.241745987873 -89.0367718250857 -345.823937842466</f>
        <v>-941.10245565542482</v>
      </c>
      <c r="R3675" t="s">
        <v>75854</v>
      </c>
      <c r="S3675" t="s">
        <v>75855</v>
      </c>
      <c r="T3675" t="s">
        <v>75856</v>
      </c>
      <c r="U3675" t="s">
        <v>75857</v>
      </c>
      <c r="V3675">
        <f>-709.047607888685 -68.0601261569323 -232.514834262716</f>
        <v>-1009.6225683083333</v>
      </c>
      <c r="W3675" t="s">
        <v>75858</v>
      </c>
      <c r="X3675" t="s">
        <v>75859</v>
      </c>
      <c r="Y3675" t="s">
        <v>75860</v>
      </c>
    </row>
    <row r="3676" spans="1:25" x14ac:dyDescent="0.3">
      <c r="A3676">
        <v>183750</v>
      </c>
      <c r="B3676" t="s">
        <v>75861</v>
      </c>
      <c r="C3676" t="s">
        <v>75862</v>
      </c>
      <c r="D3676" t="s">
        <v>75863</v>
      </c>
      <c r="E3676" t="s">
        <v>75864</v>
      </c>
      <c r="F3676" t="s">
        <v>75865</v>
      </c>
      <c r="G3676">
        <f>-719.767355127231 -6.03325888218296 -691.026811860604</f>
        <v>-1416.827425870018</v>
      </c>
      <c r="H3676">
        <f>-713.460842686152 -32.3327225427731 -840.922063147214</f>
        <v>-1586.7156283761392</v>
      </c>
      <c r="I3676">
        <f>-679.235196249375 -55.022001574559 -934.178636997101</f>
        <v>-1668.4358348210349</v>
      </c>
      <c r="J3676" t="s">
        <v>75866</v>
      </c>
      <c r="K3676" t="s">
        <v>75867</v>
      </c>
      <c r="L3676" t="s">
        <v>75868</v>
      </c>
      <c r="M3676" t="s">
        <v>75869</v>
      </c>
      <c r="N3676">
        <f>-727.86452171808 -49.9270652884018 -769.957938222488</f>
        <v>-1547.7495252289698</v>
      </c>
      <c r="O3676">
        <f>-788.221718996738 -174.240646686821 -719.688483216649</f>
        <v>-1682.1508489002081</v>
      </c>
      <c r="P3676">
        <f>-751.466550521839 -159.858100502957 -405.636874004818</f>
        <v>-1316.961525029614</v>
      </c>
      <c r="Q3676">
        <f>-508.008494504569 -90.4533181676366 -346.028432262176</f>
        <v>-944.49024493438162</v>
      </c>
      <c r="R3676" t="s">
        <v>75870</v>
      </c>
      <c r="S3676" t="s">
        <v>75871</v>
      </c>
      <c r="T3676" t="s">
        <v>75872</v>
      </c>
      <c r="U3676" t="s">
        <v>75873</v>
      </c>
      <c r="V3676">
        <f>-710.251858090248 -69.5905289080013 -232.303072073228</f>
        <v>-1012.1454590714773</v>
      </c>
      <c r="W3676" t="s">
        <v>75874</v>
      </c>
      <c r="X3676" t="s">
        <v>75875</v>
      </c>
      <c r="Y3676" t="s">
        <v>75876</v>
      </c>
    </row>
    <row r="3677" spans="1:25" x14ac:dyDescent="0.3">
      <c r="A3677">
        <v>183800</v>
      </c>
      <c r="B3677" t="s">
        <v>75877</v>
      </c>
      <c r="C3677" t="s">
        <v>75878</v>
      </c>
      <c r="D3677" t="s">
        <v>75879</v>
      </c>
      <c r="E3677" t="s">
        <v>75880</v>
      </c>
      <c r="F3677" t="s">
        <v>75881</v>
      </c>
      <c r="G3677">
        <f>-720.814401756371 -6.51849456774289 -690.988520818755</f>
        <v>-1418.321417142869</v>
      </c>
      <c r="H3677">
        <f>-714.810556161212 -32.6596903997715 -840.923855226298</f>
        <v>-1588.3941017872817</v>
      </c>
      <c r="I3677">
        <f>-680.646964475179 -55.3197227111666 -934.210130901881</f>
        <v>-1670.1768180882266</v>
      </c>
      <c r="J3677" t="s">
        <v>75882</v>
      </c>
      <c r="K3677" t="s">
        <v>75883</v>
      </c>
      <c r="L3677" t="s">
        <v>75884</v>
      </c>
      <c r="M3677" t="s">
        <v>75885</v>
      </c>
      <c r="N3677">
        <f>-729.088366680243 -50.3223040926764 -769.951343329494</f>
        <v>-1549.3620141024135</v>
      </c>
      <c r="O3677">
        <f>-789.452850548744 -174.641124649286 -719.694212653264</f>
        <v>-1683.788187851294</v>
      </c>
      <c r="P3677">
        <f>-752.362965192022 -160.33513461752 -405.678454961212</f>
        <v>-1318.376554770754</v>
      </c>
      <c r="Q3677">
        <f>-508.81770486606 -91.2156261846503 -346.09395349219</f>
        <v>-946.12728454290027</v>
      </c>
      <c r="R3677" t="s">
        <v>75886</v>
      </c>
      <c r="S3677" t="s">
        <v>75887</v>
      </c>
      <c r="T3677" t="s">
        <v>75888</v>
      </c>
      <c r="U3677" t="s">
        <v>75889</v>
      </c>
      <c r="V3677">
        <f>-710.757831683 -70.3193680459508 -232.217871798815</f>
        <v>-1013.2950715277657</v>
      </c>
      <c r="W3677" t="s">
        <v>75890</v>
      </c>
      <c r="X3677" t="s">
        <v>75891</v>
      </c>
      <c r="Y3677" t="s">
        <v>75892</v>
      </c>
    </row>
    <row r="3678" spans="1:25" x14ac:dyDescent="0.3">
      <c r="A3678">
        <v>183850</v>
      </c>
      <c r="B3678" t="s">
        <v>75893</v>
      </c>
      <c r="C3678" t="s">
        <v>75894</v>
      </c>
      <c r="D3678" t="s">
        <v>75895</v>
      </c>
      <c r="E3678" t="s">
        <v>75896</v>
      </c>
      <c r="F3678" t="s">
        <v>75897</v>
      </c>
      <c r="G3678">
        <f>-723.020647399923 -7.6219287098354 -690.819124945743</f>
        <v>-1421.4617010555014</v>
      </c>
      <c r="H3678">
        <f>-717.506171370016 -33.547622481954 -840.810675353948</f>
        <v>-1591.8644692059179</v>
      </c>
      <c r="I3678">
        <f>-683.465969300052 -56.1613860644322 -934.153393417819</f>
        <v>-1673.7807487823034</v>
      </c>
      <c r="J3678" t="s">
        <v>75898</v>
      </c>
      <c r="K3678" t="s">
        <v>75899</v>
      </c>
      <c r="L3678" t="s">
        <v>75900</v>
      </c>
      <c r="M3678" t="s">
        <v>75901</v>
      </c>
      <c r="N3678">
        <f>-731.54386958695 -51.3154732622756 -769.816615927055</f>
        <v>-1552.6759587762806</v>
      </c>
      <c r="O3678">
        <f>-791.663675568914 -175.798459498463 -719.680954625342</f>
        <v>-1687.1430896927191</v>
      </c>
      <c r="P3678">
        <f>-754.145646533684 -161.441519931536 -405.71829983518</f>
        <v>-1321.3054663004</v>
      </c>
      <c r="Q3678">
        <f>-510.566627563462 -92.4774401345451 -346.092330012423</f>
        <v>-949.13639771043017</v>
      </c>
      <c r="R3678" t="s">
        <v>75902</v>
      </c>
      <c r="S3678" t="s">
        <v>75903</v>
      </c>
      <c r="T3678" t="s">
        <v>75904</v>
      </c>
      <c r="U3678" t="s">
        <v>75905</v>
      </c>
      <c r="V3678">
        <f>-711.935844328674 -71.7904709700963 -232.017515459923</f>
        <v>-1015.7438307586933</v>
      </c>
      <c r="W3678" t="s">
        <v>75906</v>
      </c>
      <c r="X3678" t="s">
        <v>75907</v>
      </c>
      <c r="Y3678" t="s">
        <v>75908</v>
      </c>
    </row>
    <row r="3679" spans="1:25" x14ac:dyDescent="0.3">
      <c r="A3679">
        <v>183900</v>
      </c>
      <c r="B3679" t="s">
        <v>75893</v>
      </c>
      <c r="C3679" t="s">
        <v>75894</v>
      </c>
      <c r="D3679" t="s">
        <v>75895</v>
      </c>
      <c r="E3679" t="s">
        <v>75896</v>
      </c>
      <c r="F3679" t="s">
        <v>75897</v>
      </c>
      <c r="G3679">
        <f>-723.020647399923 -7.6219287098354 -690.819124945743</f>
        <v>-1421.4617010555014</v>
      </c>
      <c r="H3679">
        <f>-717.506171370016 -33.547622481954 -840.810675353948</f>
        <v>-1591.8644692059179</v>
      </c>
      <c r="I3679">
        <f>-683.465969300052 -56.1613860644322 -934.153393417819</f>
        <v>-1673.7807487823034</v>
      </c>
      <c r="J3679" t="s">
        <v>75898</v>
      </c>
      <c r="K3679" t="s">
        <v>75899</v>
      </c>
      <c r="L3679" t="s">
        <v>75900</v>
      </c>
      <c r="M3679" t="s">
        <v>75901</v>
      </c>
      <c r="N3679">
        <f>-731.54386958695 -51.3154732622756 -769.816615927055</f>
        <v>-1552.6759587762806</v>
      </c>
      <c r="O3679">
        <f>-791.663675568914 -175.798459498463 -719.680954625342</f>
        <v>-1687.1430896927191</v>
      </c>
      <c r="P3679">
        <f>-754.145646533684 -161.441519931536 -405.71829983518</f>
        <v>-1321.3054663004</v>
      </c>
      <c r="Q3679">
        <f>-510.566627563462 -92.4774401345451 -346.092330012423</f>
        <v>-949.13639771043017</v>
      </c>
      <c r="R3679" t="s">
        <v>75902</v>
      </c>
      <c r="S3679" t="s">
        <v>75903</v>
      </c>
      <c r="T3679" t="s">
        <v>75904</v>
      </c>
      <c r="U3679" t="s">
        <v>75905</v>
      </c>
      <c r="V3679">
        <f>-711.935844328674 -71.7904709700963 -232.017515459923</f>
        <v>-1015.7438307586933</v>
      </c>
      <c r="W3679" t="s">
        <v>75906</v>
      </c>
      <c r="X3679" t="s">
        <v>75907</v>
      </c>
      <c r="Y3679" t="s">
        <v>75908</v>
      </c>
    </row>
    <row r="3680" spans="1:25" x14ac:dyDescent="0.3">
      <c r="A3680">
        <v>183950</v>
      </c>
      <c r="B3680" t="s">
        <v>75909</v>
      </c>
      <c r="C3680" t="s">
        <v>75910</v>
      </c>
      <c r="D3680" t="s">
        <v>75911</v>
      </c>
      <c r="E3680" t="s">
        <v>75912</v>
      </c>
      <c r="F3680" t="s">
        <v>75913</v>
      </c>
      <c r="G3680">
        <f>-725.880083977855 -8.75795158587857 -690.539727320205</f>
        <v>-1425.1777628839386</v>
      </c>
      <c r="H3680">
        <f>-720.935911854155 -34.6049954152486 -840.564708182884</f>
        <v>-1596.1056154522876</v>
      </c>
      <c r="I3680">
        <f>-687.092072330688 -57.1715126923959 -933.990177398287</f>
        <v>-1678.253762421371</v>
      </c>
      <c r="J3680" t="s">
        <v>75914</v>
      </c>
      <c r="K3680" t="s">
        <v>75915</v>
      </c>
      <c r="L3680" t="s">
        <v>75916</v>
      </c>
      <c r="M3680" t="s">
        <v>75917</v>
      </c>
      <c r="N3680">
        <f>-734.697518203668 -52.4123599937027 -769.526427029362</f>
        <v>-1556.6363052267327</v>
      </c>
      <c r="O3680">
        <f>-794.547541364831 -177.024404164092 -719.431252743709</f>
        <v>-1691.0031982726318</v>
      </c>
      <c r="P3680">
        <f>-756.550424770699 -162.99162384021 -405.511635742577</f>
        <v>-1325.053684353486</v>
      </c>
      <c r="Q3680">
        <f>-512.882287092616 -93.8325591168691 -346.478421168421</f>
        <v>-953.19326737790607</v>
      </c>
      <c r="R3680" t="s">
        <v>75918</v>
      </c>
      <c r="S3680" t="s">
        <v>75919</v>
      </c>
      <c r="T3680" t="s">
        <v>75920</v>
      </c>
      <c r="U3680" t="s">
        <v>75921</v>
      </c>
      <c r="V3680">
        <f>-713.404231954064 -73.3371608290643 -231.837301100475</f>
        <v>-1018.5786938836033</v>
      </c>
      <c r="W3680" t="s">
        <v>75922</v>
      </c>
      <c r="X3680" t="s">
        <v>75923</v>
      </c>
      <c r="Y3680" t="s">
        <v>75924</v>
      </c>
    </row>
    <row r="3681" spans="1:25" x14ac:dyDescent="0.3">
      <c r="A3681">
        <v>184000</v>
      </c>
      <c r="B3681" t="s">
        <v>75925</v>
      </c>
      <c r="C3681" t="s">
        <v>75926</v>
      </c>
      <c r="D3681" t="s">
        <v>75927</v>
      </c>
      <c r="E3681" t="s">
        <v>75928</v>
      </c>
      <c r="F3681" t="s">
        <v>75929</v>
      </c>
      <c r="G3681">
        <f>-728.470534046419 -10.2100154970442 -690.284739186689</f>
        <v>-1428.9652887301522</v>
      </c>
      <c r="H3681">
        <f>-724.024771570926 -36.1031767900436 -840.317325319872</f>
        <v>-1600.4452736808416</v>
      </c>
      <c r="I3681">
        <f>-690.358538047057 -58.7051287149684 -933.798402438039</f>
        <v>-1682.8620692000645</v>
      </c>
      <c r="J3681" t="s">
        <v>75930</v>
      </c>
      <c r="K3681" t="s">
        <v>75931</v>
      </c>
      <c r="L3681" t="s">
        <v>75932</v>
      </c>
      <c r="M3681" t="s">
        <v>75933</v>
      </c>
      <c r="N3681">
        <f>-737.580073671065 -53.8773683293107 -769.23110380445</f>
        <v>-1560.6885458048255</v>
      </c>
      <c r="O3681">
        <f>-797.219865792906 -178.577992530181 -719.082343940983</f>
        <v>-1694.88020226407</v>
      </c>
      <c r="P3681">
        <f>-757.787124059141 -164.85756914767 -405.325980903603</f>
        <v>-1327.9706741104139</v>
      </c>
      <c r="Q3681">
        <f>-514.088206196144 -95.1362993433913 -347.086715782281</f>
        <v>-956.31122132181633</v>
      </c>
      <c r="R3681" t="s">
        <v>75934</v>
      </c>
      <c r="S3681" t="s">
        <v>75935</v>
      </c>
      <c r="T3681" t="s">
        <v>75936</v>
      </c>
      <c r="U3681" t="s">
        <v>75937</v>
      </c>
      <c r="V3681">
        <f>-715.057874424613 -74.8338943283613 -231.646823594993</f>
        <v>-1021.5385923479673</v>
      </c>
      <c r="W3681" t="s">
        <v>75938</v>
      </c>
      <c r="X3681" t="s">
        <v>75939</v>
      </c>
      <c r="Y3681" t="s">
        <v>75940</v>
      </c>
    </row>
    <row r="3682" spans="1:25" x14ac:dyDescent="0.3">
      <c r="A3682">
        <v>184050</v>
      </c>
      <c r="B3682" t="s">
        <v>75941</v>
      </c>
      <c r="C3682" t="s">
        <v>75942</v>
      </c>
      <c r="D3682" t="s">
        <v>75943</v>
      </c>
      <c r="E3682" t="s">
        <v>75944</v>
      </c>
      <c r="F3682" t="s">
        <v>75945</v>
      </c>
      <c r="G3682">
        <f>-731.629467484691 -11.7892970638072 -690.046734410516</f>
        <v>-1433.4654989590142</v>
      </c>
      <c r="H3682">
        <f>-727.837379879531 -37.8183276425934 -840.073933451521</f>
        <v>-1605.7296409736455</v>
      </c>
      <c r="I3682">
        <f>-694.403973998305 -60.501715557469 -933.618806563746</f>
        <v>-1688.5244961195199</v>
      </c>
      <c r="J3682" t="s">
        <v>75946</v>
      </c>
      <c r="K3682" t="s">
        <v>75947</v>
      </c>
      <c r="L3682" t="s">
        <v>75948</v>
      </c>
      <c r="M3682" t="s">
        <v>75949</v>
      </c>
      <c r="N3682">
        <f>-741.090061484506 -55.5254027599754 -768.913909170317</f>
        <v>-1565.5293734147983</v>
      </c>
      <c r="O3682">
        <f>-800.281260215859 -180.426518962108 -718.705186928721</f>
        <v>-1699.4129661066881</v>
      </c>
      <c r="P3682">
        <f>-759.845660064216 -166.750020457564 -405.074674178522</f>
        <v>-1331.6703547003019</v>
      </c>
      <c r="Q3682">
        <f>-516.455771813388 -95.668268021328 -347.188811938599</f>
        <v>-959.31285177331495</v>
      </c>
      <c r="R3682" t="s">
        <v>75950</v>
      </c>
      <c r="S3682" t="s">
        <v>75951</v>
      </c>
      <c r="T3682" t="s">
        <v>75952</v>
      </c>
      <c r="U3682" t="s">
        <v>75953</v>
      </c>
      <c r="V3682">
        <f>-716.899707903341 -76.3618782016572 -231.480102443607</f>
        <v>-1024.7416885486052</v>
      </c>
      <c r="W3682" t="s">
        <v>75954</v>
      </c>
      <c r="X3682" t="s">
        <v>75955</v>
      </c>
      <c r="Y3682" t="s">
        <v>75956</v>
      </c>
    </row>
    <row r="3683" spans="1:25" x14ac:dyDescent="0.3">
      <c r="A3683">
        <v>184100</v>
      </c>
      <c r="B3683" t="s">
        <v>75957</v>
      </c>
      <c r="C3683" t="s">
        <v>75958</v>
      </c>
      <c r="D3683" t="s">
        <v>75959</v>
      </c>
      <c r="E3683" t="s">
        <v>75960</v>
      </c>
      <c r="F3683" t="s">
        <v>75961</v>
      </c>
      <c r="G3683">
        <f>-732.242440780915 -12.056391149511 -689.998513175952</f>
        <v>-1434.2973451063781</v>
      </c>
      <c r="H3683">
        <f>-728.589631818546 -38.0908066907998 -840.028167067838</f>
        <v>-1606.7086055771838</v>
      </c>
      <c r="I3683">
        <f>-695.207648962024 -60.78209936088 -933.589499714608</f>
        <v>-1689.5792480375121</v>
      </c>
      <c r="J3683" t="s">
        <v>75962</v>
      </c>
      <c r="K3683" t="s">
        <v>75963</v>
      </c>
      <c r="L3683" t="s">
        <v>75964</v>
      </c>
      <c r="M3683" t="s">
        <v>75965</v>
      </c>
      <c r="N3683">
        <f>-741.767213026747 -55.7987619881048 -768.854373218212</f>
        <v>-1566.4203482330638</v>
      </c>
      <c r="O3683">
        <f>-800.834527791033 -180.75744451363 -718.658593323568</f>
        <v>-1700.250565628231</v>
      </c>
      <c r="P3683">
        <f>-760.32717870898 -167.055957474991 -405.038406372459</f>
        <v>-1332.42154255643</v>
      </c>
      <c r="Q3683">
        <f>-517.012213951771 -95.6921621136471 -347.184546533067</f>
        <v>-959.88892259848512</v>
      </c>
      <c r="R3683" t="s">
        <v>75966</v>
      </c>
      <c r="S3683" t="s">
        <v>75967</v>
      </c>
      <c r="T3683" t="s">
        <v>75968</v>
      </c>
      <c r="U3683" t="s">
        <v>75969</v>
      </c>
      <c r="V3683">
        <f>-717.207630813258 -76.6184165376285 -231.445669372021</f>
        <v>-1025.2717167229075</v>
      </c>
      <c r="W3683" t="s">
        <v>75970</v>
      </c>
      <c r="X3683" t="s">
        <v>75971</v>
      </c>
      <c r="Y3683" t="s">
        <v>75972</v>
      </c>
    </row>
    <row r="3684" spans="1:25" x14ac:dyDescent="0.3">
      <c r="A3684">
        <v>184150</v>
      </c>
      <c r="B3684" t="s">
        <v>75973</v>
      </c>
      <c r="C3684" t="s">
        <v>75974</v>
      </c>
      <c r="D3684" t="s">
        <v>75975</v>
      </c>
      <c r="E3684" t="s">
        <v>75976</v>
      </c>
      <c r="F3684" t="s">
        <v>75977</v>
      </c>
      <c r="G3684">
        <f>-734.624763946598 -13.0431574701483 -689.809440561495</f>
        <v>-1437.4773619782413</v>
      </c>
      <c r="H3684">
        <f>-731.420255853115 -39.1538439212695 -839.835985145432</f>
        <v>-1610.4100849198167</v>
      </c>
      <c r="I3684">
        <f>-698.231039121012 -61.8716030469791 -933.459579222044</f>
        <v>-1693.5622213900351</v>
      </c>
      <c r="J3684" t="s">
        <v>75978</v>
      </c>
      <c r="K3684" t="s">
        <v>75979</v>
      </c>
      <c r="L3684" t="s">
        <v>75980</v>
      </c>
      <c r="M3684" t="s">
        <v>75981</v>
      </c>
      <c r="N3684">
        <f>-744.337674308718 -56.8436392556227 -768.610146047883</f>
        <v>-1569.7914596122237</v>
      </c>
      <c r="O3684">
        <f>-802.933878716104 -182.0145807243 -718.380316997776</f>
        <v>-1703.3287764381801</v>
      </c>
      <c r="P3684">
        <f>-762.193519133004 -168.081367825331 -404.800564443238</f>
        <v>-1335.075451401573</v>
      </c>
      <c r="Q3684">
        <f>-519.107996492412 -95.9318527581472 -346.956402305103</f>
        <v>-961.99625155566218</v>
      </c>
      <c r="R3684" t="s">
        <v>75982</v>
      </c>
      <c r="S3684" t="s">
        <v>75983</v>
      </c>
      <c r="T3684" t="s">
        <v>75984</v>
      </c>
      <c r="U3684" t="s">
        <v>75985</v>
      </c>
      <c r="V3684">
        <f>-718.510343610895 -77.6251013136689 -231.309351773521</f>
        <v>-1027.4447966980849</v>
      </c>
      <c r="W3684" t="s">
        <v>75986</v>
      </c>
      <c r="X3684" t="s">
        <v>75987</v>
      </c>
      <c r="Y3684" t="s">
        <v>75988</v>
      </c>
    </row>
    <row r="3685" spans="1:25" x14ac:dyDescent="0.3">
      <c r="A3685">
        <v>184200</v>
      </c>
      <c r="B3685" t="s">
        <v>75989</v>
      </c>
      <c r="C3685" t="s">
        <v>75990</v>
      </c>
      <c r="D3685" t="s">
        <v>75991</v>
      </c>
      <c r="E3685" t="s">
        <v>75992</v>
      </c>
      <c r="F3685" t="s">
        <v>75993</v>
      </c>
      <c r="G3685">
        <f>-735.67947401319 -13.4504975566852 -689.732463561116</f>
        <v>-1438.8624351309911</v>
      </c>
      <c r="H3685">
        <f>-732.65877625251 -39.5899839254694 -839.75786916369</f>
        <v>-1612.0066293416694</v>
      </c>
      <c r="I3685">
        <f>-699.524539081737 -62.3385473758772 -933.393451855703</f>
        <v>-1695.2565383133172</v>
      </c>
      <c r="J3685" t="s">
        <v>75994</v>
      </c>
      <c r="K3685" t="s">
        <v>75995</v>
      </c>
      <c r="L3685" t="s">
        <v>75996</v>
      </c>
      <c r="M3685" t="s">
        <v>75997</v>
      </c>
      <c r="N3685">
        <f>-745.466796176591 -57.2743715627228 -768.510815417065</f>
        <v>-1571.2519831563786</v>
      </c>
      <c r="O3685">
        <f>-803.828514617826 -182.538400472443 -718.245243642822</f>
        <v>-1704.6121587330908</v>
      </c>
      <c r="P3685">
        <f>-763.029827830129 -168.589088218738 -404.67366472062</f>
        <v>-1336.2925807694869</v>
      </c>
      <c r="Q3685">
        <f>-519.962587318311 -96.3062253500293 -346.919845145728</f>
        <v>-963.18865781406828</v>
      </c>
      <c r="R3685" t="s">
        <v>75998</v>
      </c>
      <c r="S3685" t="s">
        <v>75999</v>
      </c>
      <c r="T3685" t="s">
        <v>76000</v>
      </c>
      <c r="U3685" t="s">
        <v>76001</v>
      </c>
      <c r="V3685">
        <f>-719.120232476546 -78.0915575597087 -231.264007768887</f>
        <v>-1028.4757978051416</v>
      </c>
      <c r="W3685" t="s">
        <v>76002</v>
      </c>
      <c r="X3685" t="s">
        <v>76003</v>
      </c>
      <c r="Y3685" t="s">
        <v>76004</v>
      </c>
    </row>
    <row r="3686" spans="1:25" x14ac:dyDescent="0.3">
      <c r="A3686">
        <v>184250</v>
      </c>
      <c r="B3686" t="s">
        <v>76005</v>
      </c>
      <c r="C3686" t="s">
        <v>76006</v>
      </c>
      <c r="D3686" t="s">
        <v>76007</v>
      </c>
      <c r="E3686" t="s">
        <v>76008</v>
      </c>
      <c r="F3686" t="s">
        <v>76009</v>
      </c>
      <c r="G3686">
        <f>-737.626396895531 -14.1231878882547 -689.609157786329</f>
        <v>-1441.3587425701148</v>
      </c>
      <c r="H3686">
        <f>-734.973152236842 -40.2881861905298 -839.636984414822</f>
        <v>-1614.8983228421939</v>
      </c>
      <c r="I3686">
        <f>-701.945376451202 -63.1052544976512 -933.293443676649</f>
        <v>-1698.3440746255023</v>
      </c>
      <c r="J3686" t="s">
        <v>76010</v>
      </c>
      <c r="K3686" t="s">
        <v>76011</v>
      </c>
      <c r="L3686" t="s">
        <v>76012</v>
      </c>
      <c r="M3686" t="s">
        <v>76013</v>
      </c>
      <c r="N3686">
        <f>-747.570634215223 -57.974086167507 -768.352776524462</f>
        <v>-1573.8974969071919</v>
      </c>
      <c r="O3686">
        <f>-805.560274153398 -183.395357015907 -718.047861552641</f>
        <v>-1707.003492721946</v>
      </c>
      <c r="P3686">
        <f>-764.240392726294 -169.173402811258 -404.556742681812</f>
        <v>-1337.970538219364</v>
      </c>
      <c r="Q3686">
        <f>-521.352936106801 -97.4800360913935 -345.330249217772</f>
        <v>-964.16322141596652</v>
      </c>
      <c r="R3686" t="s">
        <v>76014</v>
      </c>
      <c r="S3686" t="s">
        <v>76015</v>
      </c>
      <c r="T3686" t="s">
        <v>76016</v>
      </c>
      <c r="U3686" t="s">
        <v>76017</v>
      </c>
      <c r="V3686">
        <f>-720.161253982261 -78.793484883827 -231.200110904136</f>
        <v>-1030.154849770224</v>
      </c>
      <c r="W3686" t="s">
        <v>76018</v>
      </c>
      <c r="X3686" t="s">
        <v>76019</v>
      </c>
      <c r="Y3686" t="s">
        <v>76020</v>
      </c>
    </row>
    <row r="3687" spans="1:25" x14ac:dyDescent="0.3">
      <c r="A3687">
        <v>184300</v>
      </c>
      <c r="B3687" t="s">
        <v>76021</v>
      </c>
      <c r="C3687" t="s">
        <v>76022</v>
      </c>
      <c r="D3687" t="s">
        <v>76023</v>
      </c>
      <c r="E3687" t="s">
        <v>76024</v>
      </c>
      <c r="F3687" t="s">
        <v>76025</v>
      </c>
      <c r="G3687">
        <f>-738.524220236819 -14.3666404659059 -689.571475855427</f>
        <v>-1442.4623365581519</v>
      </c>
      <c r="H3687">
        <f>-736.093406335714 -40.5467572494497 -839.600446894525</f>
        <v>-1616.2406104796887</v>
      </c>
      <c r="I3687">
        <f>-703.118098806489 -63.4181806890554 -933.262176356693</f>
        <v>-1699.7984558522373</v>
      </c>
      <c r="J3687" t="s">
        <v>76026</v>
      </c>
      <c r="K3687" t="s">
        <v>76027</v>
      </c>
      <c r="L3687" t="s">
        <v>76028</v>
      </c>
      <c r="M3687" t="s">
        <v>76029</v>
      </c>
      <c r="N3687">
        <f>-748.54975007541 -58.2388525852789 -768.292917815121</f>
        <v>-1575.0815204758098</v>
      </c>
      <c r="O3687">
        <f>-806.270004508713 -183.762632750993 -717.92258211587</f>
        <v>-1707.955219375576</v>
      </c>
      <c r="P3687">
        <f>-764.928499486649 -168.897689588332 -404.46416570017</f>
        <v>-1338.2903547751509</v>
      </c>
      <c r="Q3687">
        <f>-522.278793726109 -98.0067836407334 -343.327940584055</f>
        <v>-963.6135179508974</v>
      </c>
      <c r="R3687" t="s">
        <v>76030</v>
      </c>
      <c r="S3687" t="s">
        <v>76031</v>
      </c>
      <c r="T3687" t="s">
        <v>76032</v>
      </c>
      <c r="U3687" t="s">
        <v>76033</v>
      </c>
      <c r="V3687">
        <f>-720.538014605081 -79.0341375995549 -231.185041978087</f>
        <v>-1030.757194182723</v>
      </c>
      <c r="W3687" t="s">
        <v>76034</v>
      </c>
      <c r="X3687" t="s">
        <v>76035</v>
      </c>
      <c r="Y3687" t="s">
        <v>76036</v>
      </c>
    </row>
    <row r="3688" spans="1:25" x14ac:dyDescent="0.3">
      <c r="A3688">
        <v>184350</v>
      </c>
      <c r="B3688" t="s">
        <v>76037</v>
      </c>
      <c r="C3688" t="s">
        <v>76038</v>
      </c>
      <c r="D3688" t="s">
        <v>76039</v>
      </c>
      <c r="E3688" t="s">
        <v>76040</v>
      </c>
      <c r="F3688" t="s">
        <v>76041</v>
      </c>
      <c r="G3688">
        <f>-739.265925409966 -14.6927573180687 -689.530266736911</f>
        <v>-1443.4889494649458</v>
      </c>
      <c r="H3688">
        <f>-737.010077471239 -40.9515259115738 -839.548271619596</f>
        <v>-1617.5098750024088</v>
      </c>
      <c r="I3688">
        <f>-704.069197307703 -63.9044082622099 -933.202044447347</f>
        <v>-1701.1756500172601</v>
      </c>
      <c r="J3688">
        <f>-726.663560091717 -0.0481125692554087 -778.125192075711</f>
        <v>-1504.8368647366833</v>
      </c>
      <c r="K3688" t="s">
        <v>76042</v>
      </c>
      <c r="L3688" t="s">
        <v>76043</v>
      </c>
      <c r="M3688" t="s">
        <v>76044</v>
      </c>
      <c r="N3688">
        <f>-749.35286652782 -58.6175378901357 -768.214557522521</f>
        <v>-1576.1849619404766</v>
      </c>
      <c r="O3688">
        <f>-806.839298404958 -184.225898262559 -717.811595946117</f>
        <v>-1708.8767926136338</v>
      </c>
      <c r="P3688">
        <f>-765.57948822289 -168.860195388679 -404.366825900073</f>
        <v>-1338.8065095116419</v>
      </c>
      <c r="Q3688">
        <f>-522.917504639116 -98.179308121687 -343.036521985855</f>
        <v>-964.13333474665797</v>
      </c>
      <c r="R3688" t="s">
        <v>76045</v>
      </c>
      <c r="S3688" t="s">
        <v>76046</v>
      </c>
      <c r="T3688" t="s">
        <v>76047</v>
      </c>
      <c r="U3688" t="s">
        <v>76048</v>
      </c>
      <c r="V3688">
        <f>-720.886256275358 -79.2638130674461 -231.174047720421</f>
        <v>-1031.3241170632252</v>
      </c>
      <c r="W3688" t="s">
        <v>76049</v>
      </c>
      <c r="X3688" t="s">
        <v>76050</v>
      </c>
      <c r="Y3688" t="s">
        <v>76051</v>
      </c>
    </row>
    <row r="3689" spans="1:25" x14ac:dyDescent="0.3">
      <c r="A3689">
        <v>184400</v>
      </c>
      <c r="B3689" t="s">
        <v>76052</v>
      </c>
      <c r="C3689" t="s">
        <v>76053</v>
      </c>
      <c r="D3689" t="s">
        <v>76054</v>
      </c>
      <c r="E3689" t="s">
        <v>76055</v>
      </c>
      <c r="F3689" t="s">
        <v>76056</v>
      </c>
      <c r="G3689">
        <f>-740.824136660055 -15.1536822039623 -689.548871779948</f>
        <v>-1445.5266906439651</v>
      </c>
      <c r="H3689">
        <f>-738.983747834304 -41.4852215621565 -839.559746583469</f>
        <v>-1620.0287159799295</v>
      </c>
      <c r="I3689">
        <f>-706.153111132142 -64.5579187633507 -933.222870199578</f>
        <v>-1703.9339000950708</v>
      </c>
      <c r="J3689">
        <f>-728.469497462753 -0.551221377052798 -778.185793781695</f>
        <v>-1507.2065126215007</v>
      </c>
      <c r="K3689" t="s">
        <v>76057</v>
      </c>
      <c r="L3689" t="s">
        <v>76058</v>
      </c>
      <c r="M3689" t="s">
        <v>76059</v>
      </c>
      <c r="N3689">
        <f>-751.126719848549 -59.1175465973856 -768.183498324247</f>
        <v>-1578.4277647701815</v>
      </c>
      <c r="O3689">
        <f>-808.430583750453 -184.741218358758 -717.617077073185</f>
        <v>-1710.7888791823962</v>
      </c>
      <c r="P3689">
        <f>-765.868501145427 -169.151703492023 -404.357308129309</f>
        <v>-1339.3775127667591</v>
      </c>
      <c r="Q3689">
        <f>-522.643504961943 -98.8950323023234 -344.795363365747</f>
        <v>-966.33390063001343</v>
      </c>
      <c r="R3689" t="s">
        <v>76060</v>
      </c>
      <c r="S3689" t="s">
        <v>76061</v>
      </c>
      <c r="T3689" t="s">
        <v>76062</v>
      </c>
      <c r="U3689" t="s">
        <v>76063</v>
      </c>
      <c r="V3689">
        <f>-721.420161282232 -79.5874886186639 -231.213101404203</f>
        <v>-1032.2207513050989</v>
      </c>
      <c r="W3689" t="s">
        <v>76064</v>
      </c>
      <c r="X3689" t="s">
        <v>76065</v>
      </c>
      <c r="Y3689" t="s">
        <v>76066</v>
      </c>
    </row>
    <row r="3690" spans="1:25" x14ac:dyDescent="0.3">
      <c r="A3690">
        <v>184450</v>
      </c>
      <c r="B3690" t="s">
        <v>76067</v>
      </c>
      <c r="C3690" t="s">
        <v>76068</v>
      </c>
      <c r="D3690" t="s">
        <v>76069</v>
      </c>
      <c r="E3690" t="s">
        <v>76070</v>
      </c>
      <c r="F3690" t="s">
        <v>76071</v>
      </c>
      <c r="G3690">
        <f>-742.185532471414 -15.5308515280999 -689.567357294523</f>
        <v>-1447.2837412940371</v>
      </c>
      <c r="H3690">
        <f>-740.738821132631 -42.0833984146152 -839.543563742346</f>
        <v>-1622.3657832895922</v>
      </c>
      <c r="I3690">
        <f>-707.987125942863 -65.3658561701977 -933.182313771996</f>
        <v>-1706.5352958850567</v>
      </c>
      <c r="J3690">
        <f>-730.068278930958 -1.05722049188262 -778.257961991337</f>
        <v>-1509.3834614141774</v>
      </c>
      <c r="K3690" t="s">
        <v>76072</v>
      </c>
      <c r="L3690" t="s">
        <v>76073</v>
      </c>
      <c r="M3690" t="s">
        <v>76074</v>
      </c>
      <c r="N3690">
        <f>-752.689552637965 -59.612147899998 -768.109361713255</f>
        <v>-1580.411062251218</v>
      </c>
      <c r="O3690">
        <f>-809.736313650624 -185.300199930175 -717.385408045444</f>
        <v>-1712.4219216262431</v>
      </c>
      <c r="P3690">
        <f>-766.785215108268 -169.666803837095 -404.180989846114</f>
        <v>-1340.6330087914771</v>
      </c>
      <c r="Q3690">
        <f>-523.737557259898 -98.0329559940376 -345.542544981571</f>
        <v>-967.31305823550656</v>
      </c>
      <c r="R3690" t="s">
        <v>76075</v>
      </c>
      <c r="S3690" t="s">
        <v>76076</v>
      </c>
      <c r="T3690" t="s">
        <v>76077</v>
      </c>
      <c r="U3690" t="s">
        <v>76078</v>
      </c>
      <c r="V3690">
        <f>-721.947172689659 -79.6619604007217 -231.256952316731</f>
        <v>-1032.8660854071118</v>
      </c>
      <c r="W3690" t="s">
        <v>76079</v>
      </c>
      <c r="X3690" t="s">
        <v>76080</v>
      </c>
      <c r="Y3690" t="s">
        <v>76081</v>
      </c>
    </row>
    <row r="3691" spans="1:25" x14ac:dyDescent="0.3">
      <c r="A3691">
        <v>184500</v>
      </c>
      <c r="B3691" t="s">
        <v>76082</v>
      </c>
      <c r="C3691" t="s">
        <v>76083</v>
      </c>
      <c r="D3691" t="s">
        <v>76084</v>
      </c>
      <c r="E3691" t="s">
        <v>76085</v>
      </c>
      <c r="F3691">
        <f>-741.186953175279 -0.0501049026952387 -581.215234707281</f>
        <v>-1322.4522927852552</v>
      </c>
      <c r="G3691">
        <f>-742.8269634993 -15.7625659207486 -689.590847894095</f>
        <v>-1448.1803773141435</v>
      </c>
      <c r="H3691">
        <f>-741.468018525132 -42.3491200084586 -839.561813384044</f>
        <v>-1623.3789519176346</v>
      </c>
      <c r="I3691">
        <f>-708.659865674889 -65.7930462611505 -933.140680512715</f>
        <v>-1707.5935924487544</v>
      </c>
      <c r="J3691">
        <f>-730.799699458446 -1.29485408573237 -778.294780271598</f>
        <v>-1510.3893338157764</v>
      </c>
      <c r="K3691" t="s">
        <v>76086</v>
      </c>
      <c r="L3691" t="s">
        <v>76087</v>
      </c>
      <c r="M3691" t="s">
        <v>76088</v>
      </c>
      <c r="N3691">
        <f>-753.338886736373 -59.8758896162701 -768.113955853122</f>
        <v>-1581.3287322057649</v>
      </c>
      <c r="O3691">
        <f>-810.151381569206 -185.661161124061 -717.369423554035</f>
        <v>-1713.1819662473022</v>
      </c>
      <c r="P3691">
        <f>-767.262625510186 -170.26229174644 -404.144883523398</f>
        <v>-1341.6698007800242</v>
      </c>
      <c r="Q3691">
        <f>-524.506769783824 -97.3362977248719 -345.891886361945</f>
        <v>-967.73495387064088</v>
      </c>
      <c r="R3691" t="s">
        <v>76089</v>
      </c>
      <c r="S3691" t="s">
        <v>76090</v>
      </c>
      <c r="T3691" t="s">
        <v>76091</v>
      </c>
      <c r="U3691" t="s">
        <v>76092</v>
      </c>
      <c r="V3691">
        <f>-722.152350250279 -79.7874239225418 -231.280380972134</f>
        <v>-1033.2201551449548</v>
      </c>
      <c r="W3691" t="s">
        <v>76093</v>
      </c>
      <c r="X3691" t="s">
        <v>76094</v>
      </c>
      <c r="Y3691" t="s">
        <v>76095</v>
      </c>
    </row>
    <row r="3692" spans="1:25" x14ac:dyDescent="0.3">
      <c r="A3692">
        <v>184550</v>
      </c>
      <c r="B3692" t="s">
        <v>76096</v>
      </c>
      <c r="C3692" t="s">
        <v>76097</v>
      </c>
      <c r="D3692" t="s">
        <v>76098</v>
      </c>
      <c r="E3692" t="s">
        <v>76099</v>
      </c>
      <c r="F3692">
        <f>-742.252094589893 -0.482573170968635 -581.246876274964</f>
        <v>-1323.9815440358257</v>
      </c>
      <c r="G3692">
        <f>-744.118461146835 -16.085031380723 -689.634737330906</f>
        <v>-1449.8382298584638</v>
      </c>
      <c r="H3692">
        <f>-743.102927021297 -42.4683672442075 -839.644359953239</f>
        <v>-1625.2156542187436</v>
      </c>
      <c r="I3692">
        <f>-709.669047048897 -66.8239181661529 -932.767711952114</f>
        <v>-1709.260677167164</v>
      </c>
      <c r="J3692">
        <f>-732.412661918121 -1.45336220842637 -778.354776092753</f>
        <v>-1512.2208002193004</v>
      </c>
      <c r="K3692" t="s">
        <v>76100</v>
      </c>
      <c r="L3692" t="s">
        <v>76101</v>
      </c>
      <c r="M3692" t="s">
        <v>76102</v>
      </c>
      <c r="N3692">
        <f>-754.691832272529 -60.1357102479515 -768.184718207621</f>
        <v>-1583.0122607281014</v>
      </c>
      <c r="O3692">
        <f>-810.694891712288 -186.37207885026 -717.662721659219</f>
        <v>-1714.729692221767</v>
      </c>
      <c r="P3692">
        <f>-767.731792773661 -170.395790918561 -404.477234565916</f>
        <v>-1342.604818258138</v>
      </c>
      <c r="Q3692">
        <f>-525.529591265435 -95.360589331875 -346.599344276777</f>
        <v>-967.48952487408701</v>
      </c>
      <c r="R3692" t="s">
        <v>76103</v>
      </c>
      <c r="S3692" t="s">
        <v>76104</v>
      </c>
      <c r="T3692" t="s">
        <v>76105</v>
      </c>
      <c r="U3692" t="s">
        <v>76106</v>
      </c>
      <c r="V3692">
        <f>-722.425189643278 -80.1641290067821 -231.29824434241</f>
        <v>-1033.8875629924701</v>
      </c>
      <c r="W3692" t="s">
        <v>76107</v>
      </c>
      <c r="X3692" t="s">
        <v>76108</v>
      </c>
      <c r="Y3692" t="s">
        <v>76109</v>
      </c>
    </row>
    <row r="3693" spans="1:25" x14ac:dyDescent="0.3">
      <c r="A3693">
        <v>184600</v>
      </c>
      <c r="B3693" t="s">
        <v>76110</v>
      </c>
      <c r="C3693" t="s">
        <v>76111</v>
      </c>
      <c r="D3693" t="s">
        <v>76112</v>
      </c>
      <c r="E3693" t="s">
        <v>76113</v>
      </c>
      <c r="F3693">
        <f>-742.878478296845 -0.55049951455544 -581.229684064034</f>
        <v>-1324.6586618754345</v>
      </c>
      <c r="G3693">
        <f>-744.970358834946 -16.0333501150053 -689.630545618486</f>
        <v>-1450.6342545684374</v>
      </c>
      <c r="H3693">
        <f>-744.311635845917 -42.2054723447632 -839.67916322531</f>
        <v>-1626.1962714159902</v>
      </c>
      <c r="I3693">
        <f>-710.406567060445 -67.2447609428973 -932.45028426522</f>
        <v>-1710.1016122685623</v>
      </c>
      <c r="J3693">
        <f>-733.531340100505 -1.25638966244833 -778.361425926913</f>
        <v>-1513.1491556898663</v>
      </c>
      <c r="K3693" t="s">
        <v>76114</v>
      </c>
      <c r="L3693" t="s">
        <v>76115</v>
      </c>
      <c r="M3693" t="s">
        <v>76116</v>
      </c>
      <c r="N3693">
        <f>-755.674798054905 -59.9937759214874 -768.213338101217</f>
        <v>-1583.8819120776093</v>
      </c>
      <c r="O3693">
        <f>-811.23992629778 -186.477365902717 -717.840628343183</f>
        <v>-1715.55792054368</v>
      </c>
      <c r="P3693">
        <f>-767.785399866431 -170.791196193431 -404.708360467799</f>
        <v>-1343.2849565276611</v>
      </c>
      <c r="Q3693">
        <f>-525.916992739121 -94.8667224921148 -346.594564996866</f>
        <v>-967.37828022810186</v>
      </c>
      <c r="R3693" t="s">
        <v>76117</v>
      </c>
      <c r="S3693" t="s">
        <v>76118</v>
      </c>
      <c r="T3693" t="s">
        <v>76119</v>
      </c>
      <c r="U3693" t="s">
        <v>76120</v>
      </c>
      <c r="V3693">
        <f>-722.427839221665 -80.3389921093537 -231.295837864012</f>
        <v>-1034.0626691950306</v>
      </c>
      <c r="W3693" t="s">
        <v>76121</v>
      </c>
      <c r="X3693" t="s">
        <v>76122</v>
      </c>
      <c r="Y3693" t="s">
        <v>76123</v>
      </c>
    </row>
    <row r="3694" spans="1:25" x14ac:dyDescent="0.3">
      <c r="A3694">
        <v>184650</v>
      </c>
      <c r="B3694" t="s">
        <v>76124</v>
      </c>
      <c r="C3694" t="s">
        <v>76125</v>
      </c>
      <c r="D3694" t="s">
        <v>76126</v>
      </c>
      <c r="E3694" t="s">
        <v>76127</v>
      </c>
      <c r="F3694">
        <f>-743.390437908695 -0.511708109943129 -581.221905496924</f>
        <v>-1325.1240515155623</v>
      </c>
      <c r="G3694">
        <f>-745.668683202216 -15.8720394768879 -689.636473513087</f>
        <v>-1451.1771961921909</v>
      </c>
      <c r="H3694">
        <f>-745.300398189698 -41.8329332151793 -839.722740275068</f>
        <v>-1626.8560716799452</v>
      </c>
      <c r="I3694">
        <f>-710.874376219271 -67.6464606969791 -932.088866376356</f>
        <v>-1710.6097032926061</v>
      </c>
      <c r="J3694">
        <f>-734.454419602488 -0.950969439318669 -778.371815396361</f>
        <v>-1513.7772044381677</v>
      </c>
      <c r="K3694" t="s">
        <v>76128</v>
      </c>
      <c r="L3694" t="s">
        <v>76129</v>
      </c>
      <c r="M3694" t="s">
        <v>76130</v>
      </c>
      <c r="N3694">
        <f>-756.472356873522 -59.7411954603826 -768.25663584208</f>
        <v>-1584.4701881759847</v>
      </c>
      <c r="O3694">
        <f>-811.604979197356 -186.47903314618 -717.999374136101</f>
        <v>-1716.0833864796368</v>
      </c>
      <c r="P3694">
        <f>-767.734199099319 -171.011230640866 -404.914074348486</f>
        <v>-1343.6595040886709</v>
      </c>
      <c r="Q3694">
        <f>-526.14327251185 -94.1079888680713 -346.933603537602</f>
        <v>-967.18486491752333</v>
      </c>
      <c r="R3694" t="s">
        <v>76131</v>
      </c>
      <c r="S3694" t="s">
        <v>76132</v>
      </c>
      <c r="T3694" t="s">
        <v>76133</v>
      </c>
      <c r="U3694" t="s">
        <v>76134</v>
      </c>
      <c r="V3694">
        <f>-722.355047593794 -80.4448864156689 -231.298972980411</f>
        <v>-1034.0989069898737</v>
      </c>
      <c r="W3694" t="s">
        <v>76135</v>
      </c>
      <c r="X3694" t="s">
        <v>76136</v>
      </c>
      <c r="Y3694" t="s">
        <v>76137</v>
      </c>
    </row>
    <row r="3695" spans="1:25" x14ac:dyDescent="0.3">
      <c r="A3695">
        <v>184700</v>
      </c>
      <c r="B3695" t="s">
        <v>76138</v>
      </c>
      <c r="C3695" t="s">
        <v>76139</v>
      </c>
      <c r="D3695" t="s">
        <v>76140</v>
      </c>
      <c r="E3695" t="s">
        <v>76141</v>
      </c>
      <c r="F3695">
        <f>-743.929996601866 -0.429957934650474 -581.202359695453</f>
        <v>-1325.5623142319696</v>
      </c>
      <c r="G3695">
        <f>-746.355626535016 -15.6808441082519 -689.629233445848</f>
        <v>-1451.6657040891159</v>
      </c>
      <c r="H3695">
        <f>-746.207906955911 -41.4602367292136 -839.747167759032</f>
        <v>-1627.4153114441565</v>
      </c>
      <c r="I3695">
        <f>-711.303960151121 -68.0296420221075 -931.718728667706</f>
        <v>-1711.0523308409347</v>
      </c>
      <c r="J3695">
        <f>-735.322862076205 -0.633819976561881 -778.366073181776</f>
        <v>-1514.3227552345429</v>
      </c>
      <c r="K3695" t="s">
        <v>76142</v>
      </c>
      <c r="L3695" t="s">
        <v>76143</v>
      </c>
      <c r="M3695" t="s">
        <v>76144</v>
      </c>
      <c r="N3695">
        <f>-757.223680152774 -59.4734961267309 -768.283224535004</f>
        <v>-1584.9804008145088</v>
      </c>
      <c r="O3695">
        <f>-811.978289698801 -186.394732471431 -718.162251496502</f>
        <v>-1716.5352736667339</v>
      </c>
      <c r="P3695">
        <f>-767.796953794534 -171.284179122855 -405.103273927924</f>
        <v>-1344.1844068453131</v>
      </c>
      <c r="Q3695">
        <f>-526.365876575273 -93.7010636107379 -347.362782293628</f>
        <v>-967.42972247963894</v>
      </c>
      <c r="R3695" t="s">
        <v>76145</v>
      </c>
      <c r="S3695" t="s">
        <v>76146</v>
      </c>
      <c r="T3695" t="s">
        <v>76147</v>
      </c>
      <c r="U3695" t="s">
        <v>76148</v>
      </c>
      <c r="V3695">
        <f>-722.326680064023 -80.5423628616379 -231.326724803529</f>
        <v>-1034.1957677291898</v>
      </c>
      <c r="W3695" t="s">
        <v>76149</v>
      </c>
      <c r="X3695" t="s">
        <v>76150</v>
      </c>
      <c r="Y3695" t="s">
        <v>76151</v>
      </c>
    </row>
    <row r="3696" spans="1:25" x14ac:dyDescent="0.3">
      <c r="A3696">
        <v>184750</v>
      </c>
      <c r="B3696" t="s">
        <v>76152</v>
      </c>
      <c r="C3696" t="s">
        <v>76153</v>
      </c>
      <c r="D3696" t="s">
        <v>76154</v>
      </c>
      <c r="E3696" t="s">
        <v>76155</v>
      </c>
      <c r="F3696">
        <f>-745.382162634787 -0.619859393891147 -581.078926595786</f>
        <v>-1327.0809486244643</v>
      </c>
      <c r="G3696">
        <f>-747.985961466309 -15.832896192142 -689.506974271434</f>
        <v>-1453.3258319298852</v>
      </c>
      <c r="H3696">
        <f>-748.087060328061 -41.5515661914083 -839.63541289277</f>
        <v>-1629.2740394122393</v>
      </c>
      <c r="I3696">
        <f>-712.253287147676 -69.6224343331492 -930.799835642586</f>
        <v>-1712.6755571234112</v>
      </c>
      <c r="J3696">
        <f>-737.197120602763 -0.715153381697746 -778.261819886575</f>
        <v>-1516.1740938710359</v>
      </c>
      <c r="K3696" t="s">
        <v>76156</v>
      </c>
      <c r="L3696" t="s">
        <v>76157</v>
      </c>
      <c r="M3696" t="s">
        <v>76158</v>
      </c>
      <c r="N3696">
        <f>-758.887466433745 -59.6284659926407 -768.154715830506</f>
        <v>-1586.6706482568916</v>
      </c>
      <c r="O3696">
        <f>-813.092493394042 -186.838229616996 -718.127886539982</f>
        <v>-1718.05860955102</v>
      </c>
      <c r="P3696">
        <f>-768.536021188853 -172.486617733351 -405.086337604819</f>
        <v>-1346.1089765270231</v>
      </c>
      <c r="Q3696">
        <f>-527.138811421174 -93.3827567473727 -349.300642410943</f>
        <v>-969.82221057948959</v>
      </c>
      <c r="R3696" t="s">
        <v>76159</v>
      </c>
      <c r="S3696" t="s">
        <v>76160</v>
      </c>
      <c r="T3696" t="s">
        <v>76161</v>
      </c>
      <c r="U3696" t="s">
        <v>76162</v>
      </c>
      <c r="V3696">
        <f>-722.503443767694 -80.8792943877761 -231.290941296908</f>
        <v>-1034.6736794523781</v>
      </c>
      <c r="W3696" t="s">
        <v>76163</v>
      </c>
      <c r="X3696" t="s">
        <v>76164</v>
      </c>
      <c r="Y3696" t="s">
        <v>76165</v>
      </c>
    </row>
    <row r="3697" spans="1:25" x14ac:dyDescent="0.3">
      <c r="A3697">
        <v>184800</v>
      </c>
      <c r="B3697" t="s">
        <v>76166</v>
      </c>
      <c r="C3697" t="s">
        <v>76167</v>
      </c>
      <c r="D3697" t="s">
        <v>76168</v>
      </c>
      <c r="E3697" t="s">
        <v>76169</v>
      </c>
      <c r="F3697">
        <f>-745.92818598988 -0.635151191231444 -581.033938017642</f>
        <v>-1327.5972751987533</v>
      </c>
      <c r="G3697">
        <f>-748.549052191446 -15.9022763765199 -689.453959842277</f>
        <v>-1453.905288410243</v>
      </c>
      <c r="H3697">
        <f>-748.668936332298 -41.7033557811571 -839.568123053909</f>
        <v>-1629.9404151673641</v>
      </c>
      <c r="I3697">
        <f>-712.618816703491 -70.034638857664 -930.566604356379</f>
        <v>-1713.2200599175339</v>
      </c>
      <c r="J3697">
        <f>-737.787622556733 -0.827631899574953 -778.21938017511</f>
        <v>-1516.8346346314179</v>
      </c>
      <c r="K3697" t="s">
        <v>76170</v>
      </c>
      <c r="L3697" t="s">
        <v>76171</v>
      </c>
      <c r="M3697" t="s">
        <v>76172</v>
      </c>
      <c r="N3697">
        <f>-759.444290901344 -59.7468781030327 -768.075187520216</f>
        <v>-1587.2663565245925</v>
      </c>
      <c r="O3697">
        <f>-813.52330946735 -186.99369361606 -717.99003309055</f>
        <v>-1718.5070361739599</v>
      </c>
      <c r="P3697">
        <f>-768.92041486786 -172.770873450143 -404.949283620966</f>
        <v>-1346.6405719389691</v>
      </c>
      <c r="Q3697">
        <f>-527.528149772114 -93.3881652115442 -349.539454386921</f>
        <v>-970.45576937057922</v>
      </c>
      <c r="R3697" t="s">
        <v>76173</v>
      </c>
      <c r="S3697" t="s">
        <v>76174</v>
      </c>
      <c r="T3697" t="s">
        <v>76175</v>
      </c>
      <c r="U3697" t="s">
        <v>76176</v>
      </c>
      <c r="V3697">
        <f>-722.719739733757 -80.8552641527383 -231.259167235523</f>
        <v>-1034.8341711220182</v>
      </c>
      <c r="W3697" t="s">
        <v>76177</v>
      </c>
      <c r="X3697" t="s">
        <v>76178</v>
      </c>
      <c r="Y3697" t="s">
        <v>76179</v>
      </c>
    </row>
    <row r="3698" spans="1:25" x14ac:dyDescent="0.3">
      <c r="A3698">
        <v>184850</v>
      </c>
      <c r="B3698" t="s">
        <v>76180</v>
      </c>
      <c r="C3698" t="s">
        <v>76181</v>
      </c>
      <c r="D3698" t="s">
        <v>76182</v>
      </c>
      <c r="E3698" t="s">
        <v>76183</v>
      </c>
      <c r="F3698">
        <f>-747.04179869116 -0.651981112737758 -580.907743970109</f>
        <v>-1328.6015237740066</v>
      </c>
      <c r="G3698">
        <f>-749.671822213436 -16.0439161882173 -689.309859372579</f>
        <v>-1455.0255977742322</v>
      </c>
      <c r="H3698">
        <f>-749.798849980459 -42.0493673483406 -839.388727237685</f>
        <v>-1631.2369445664845</v>
      </c>
      <c r="I3698">
        <f>-713.386587758229 -70.6761397404357 -930.150241734569</f>
        <v>-1714.2129692332337</v>
      </c>
      <c r="J3698">
        <f>-738.953894922302 -1.07602595855224 -778.098522098614</f>
        <v>-1518.1284429794682</v>
      </c>
      <c r="K3698" t="s">
        <v>76184</v>
      </c>
      <c r="L3698" t="s">
        <v>76185</v>
      </c>
      <c r="M3698" t="s">
        <v>76186</v>
      </c>
      <c r="N3698">
        <f>-760.531413755179 -60.0095195954514 -767.868410334647</f>
        <v>-1588.4093436852772</v>
      </c>
      <c r="O3698">
        <f>-814.443991830131 -187.260462816624 -717.638810337485</f>
        <v>-1719.34326498424</v>
      </c>
      <c r="P3698">
        <f>-770.005453862149 -172.903679822497 -404.58092642892</f>
        <v>-1347.490060113566</v>
      </c>
      <c r="Q3698">
        <f>-528.569516243241 -93.0297307680189 -350.075071779489</f>
        <v>-971.67431879074888</v>
      </c>
      <c r="R3698" t="s">
        <v>76187</v>
      </c>
      <c r="S3698" t="s">
        <v>76188</v>
      </c>
      <c r="T3698" t="s">
        <v>76189</v>
      </c>
      <c r="U3698" t="s">
        <v>76190</v>
      </c>
      <c r="V3698">
        <f>-723.39226530082 -80.7900410045113 -231.208974827914</f>
        <v>-1035.3912811332452</v>
      </c>
      <c r="W3698" t="s">
        <v>76191</v>
      </c>
      <c r="X3698" t="s">
        <v>76192</v>
      </c>
      <c r="Y3698" t="s">
        <v>76193</v>
      </c>
    </row>
    <row r="3699" spans="1:25" x14ac:dyDescent="0.3">
      <c r="A3699">
        <v>184900</v>
      </c>
      <c r="B3699" t="s">
        <v>76194</v>
      </c>
      <c r="C3699" t="s">
        <v>76195</v>
      </c>
      <c r="D3699" t="s">
        <v>76196</v>
      </c>
      <c r="E3699" t="s">
        <v>76197</v>
      </c>
      <c r="F3699">
        <f>-747.462923147932 -0.68110376687946 -580.851875925933</f>
        <v>-1328.9959028407443</v>
      </c>
      <c r="G3699">
        <f>-750.037052001901 -16.1284741689115 -689.247504620819</f>
        <v>-1455.4130307916314</v>
      </c>
      <c r="H3699">
        <f>-750.080810308041 -42.223069386718 -839.311100192349</f>
        <v>-1631.6149798871079</v>
      </c>
      <c r="I3699">
        <f>-713.53900390667 -70.9396015233083 -929.991989043639</f>
        <v>-1714.4705944736174</v>
      </c>
      <c r="J3699">
        <f>-739.295879855063 -1.20398006380174 -778.040807430947</f>
        <v>-1518.5406673498119</v>
      </c>
      <c r="K3699" t="s">
        <v>76198</v>
      </c>
      <c r="L3699" t="s">
        <v>76199</v>
      </c>
      <c r="M3699" t="s">
        <v>76200</v>
      </c>
      <c r="N3699">
        <f>-760.826902417605 -60.1499215537356 -767.784403540438</f>
        <v>-1588.7612275117785</v>
      </c>
      <c r="O3699">
        <f>-814.664321553925 -187.422997114851 -717.517791512777</f>
        <v>-1719.6051101815528</v>
      </c>
      <c r="P3699">
        <f>-770.059795972155 -173.179630900895 -404.478211513911</f>
        <v>-1347.717638386961</v>
      </c>
      <c r="Q3699">
        <f>-528.581904825511 -93.1530923139678 -350.383433681842</f>
        <v>-972.11843082132077</v>
      </c>
      <c r="R3699" t="s">
        <v>76201</v>
      </c>
      <c r="S3699" t="s">
        <v>76202</v>
      </c>
      <c r="T3699" t="s">
        <v>76203</v>
      </c>
      <c r="U3699" t="s">
        <v>76204</v>
      </c>
      <c r="V3699">
        <f>-723.836837994432 -80.7955357393023 -231.172901963927</f>
        <v>-1035.8052756976613</v>
      </c>
      <c r="W3699" t="s">
        <v>76205</v>
      </c>
      <c r="X3699" t="s">
        <v>76206</v>
      </c>
      <c r="Y3699" t="s">
        <v>76207</v>
      </c>
    </row>
    <row r="3700" spans="1:25" x14ac:dyDescent="0.3">
      <c r="A3700">
        <v>184950</v>
      </c>
      <c r="B3700" t="s">
        <v>76208</v>
      </c>
      <c r="C3700" t="s">
        <v>76209</v>
      </c>
      <c r="D3700" t="s">
        <v>76210</v>
      </c>
      <c r="E3700" t="s">
        <v>76211</v>
      </c>
      <c r="F3700">
        <f>-748.455578687244 -0.938846328258705 -580.702767690767</f>
        <v>-1330.0971927062697</v>
      </c>
      <c r="G3700">
        <f>-750.981554939467 -16.4810398369393 -689.086034724426</f>
        <v>-1456.5486295008322</v>
      </c>
      <c r="H3700">
        <f>-750.945982236015 -42.7294869745399 -839.122744047588</f>
        <v>-1632.7982132581428</v>
      </c>
      <c r="I3700">
        <f>-714.308311344336 -71.5927315136466 -929.718485162907</f>
        <v>-1715.6195280208894</v>
      </c>
      <c r="J3700">
        <f>-740.246209169922 -1.62893973159771 -777.892028388318</f>
        <v>-1519.7671772898377</v>
      </c>
      <c r="K3700" t="s">
        <v>76212</v>
      </c>
      <c r="L3700" t="s">
        <v>76213</v>
      </c>
      <c r="M3700" t="s">
        <v>76214</v>
      </c>
      <c r="N3700">
        <f>-761.677170418351 -60.6017096759658 -767.580185533565</f>
        <v>-1589.8590656278818</v>
      </c>
      <c r="O3700">
        <f>-815.312423608138 -187.89202513366 -717.141954510368</f>
        <v>-1720.3464032521661</v>
      </c>
      <c r="P3700">
        <f>-770.686973739448 -172.987627005662 -404.13610390523</f>
        <v>-1347.8107046503401</v>
      </c>
      <c r="Q3700">
        <f>-529.29260832642 -92.4956832176356 -350.359864826092</f>
        <v>-972.1481563701476</v>
      </c>
      <c r="R3700" t="s">
        <v>76215</v>
      </c>
      <c r="S3700" t="s">
        <v>76216</v>
      </c>
      <c r="T3700" t="s">
        <v>76217</v>
      </c>
      <c r="U3700" t="s">
        <v>76218</v>
      </c>
      <c r="V3700">
        <f>-724.690265472813 -80.9771904905742 -231.069430872731</f>
        <v>-1036.7368868361182</v>
      </c>
      <c r="W3700" t="s">
        <v>76219</v>
      </c>
      <c r="X3700" t="s">
        <v>76220</v>
      </c>
      <c r="Y3700" t="s">
        <v>76221</v>
      </c>
    </row>
    <row r="3701" spans="1:25" x14ac:dyDescent="0.3">
      <c r="A3701">
        <v>185000</v>
      </c>
      <c r="B3701" t="s">
        <v>76222</v>
      </c>
      <c r="C3701" t="s">
        <v>76223</v>
      </c>
      <c r="D3701" t="s">
        <v>76224</v>
      </c>
      <c r="E3701" t="s">
        <v>76225</v>
      </c>
      <c r="F3701">
        <f>-748.905062117056 -1.10067341004788 -580.621165221966</f>
        <v>-1330.6269007490698</v>
      </c>
      <c r="G3701">
        <f>-751.425234166275 -16.6677519864154 -689.00097304049</f>
        <v>-1457.0939591931804</v>
      </c>
      <c r="H3701">
        <f>-751.382246579211 -42.9612963359627 -839.029754028411</f>
        <v>-1633.3732969435848</v>
      </c>
      <c r="I3701">
        <f>-714.75194887413 -71.8487003171956 -929.620860105107</f>
        <v>-1716.2215092964325</v>
      </c>
      <c r="J3701">
        <f>-740.708659028732 -1.8343324835098 -777.812452559839</f>
        <v>-1520.3554440720809</v>
      </c>
      <c r="K3701" t="s">
        <v>76226</v>
      </c>
      <c r="L3701" t="s">
        <v>76227</v>
      </c>
      <c r="M3701" t="s">
        <v>76228</v>
      </c>
      <c r="N3701">
        <f>-762.093941756343 -60.8201801374255 -767.480993591903</f>
        <v>-1590.3951154856716</v>
      </c>
      <c r="O3701">
        <f>-815.639698987933 -188.127179689702 -716.980604288361</f>
        <v>-1720.7474829659959</v>
      </c>
      <c r="P3701">
        <f>-770.831253642672 -173.258243872046 -403.999342546316</f>
        <v>-1348.088840061034</v>
      </c>
      <c r="Q3701">
        <f>-529.490237474623 -92.5505977185696 -350.306900285516</f>
        <v>-972.34773547870861</v>
      </c>
      <c r="R3701" t="s">
        <v>76229</v>
      </c>
      <c r="S3701" t="s">
        <v>76230</v>
      </c>
      <c r="T3701" t="s">
        <v>76231</v>
      </c>
      <c r="U3701" t="s">
        <v>76232</v>
      </c>
      <c r="V3701">
        <f>-725.104376475551 -81.1424482282623 -231.026123726645</f>
        <v>-1037.2729484304584</v>
      </c>
      <c r="W3701" t="s">
        <v>76233</v>
      </c>
      <c r="X3701" t="s">
        <v>76234</v>
      </c>
      <c r="Y3701" t="s">
        <v>76235</v>
      </c>
    </row>
    <row r="3702" spans="1:25" x14ac:dyDescent="0.3">
      <c r="A3702">
        <v>185050</v>
      </c>
      <c r="B3702" t="s">
        <v>76236</v>
      </c>
      <c r="C3702" t="s">
        <v>76237</v>
      </c>
      <c r="D3702" t="s">
        <v>76238</v>
      </c>
      <c r="E3702" t="s">
        <v>76239</v>
      </c>
      <c r="F3702">
        <f>-750.026040864191 -1.33377715796746 -580.483202826195</f>
        <v>-1331.8430208483535</v>
      </c>
      <c r="G3702">
        <f>-752.579481094582 -16.9245694370914 -688.858703463871</f>
        <v>-1458.3627539955444</v>
      </c>
      <c r="H3702">
        <f>-752.567734933683 -43.2689069258367 -838.87855504376</f>
        <v>-1634.7151969032798</v>
      </c>
      <c r="I3702">
        <f>-715.981673625858 -72.1644174052221 -929.484778493519</f>
        <v>-1717.6308695245991</v>
      </c>
      <c r="J3702">
        <f>-741.92408232299 -2.10615239043659 -777.680019383359</f>
        <v>-1521.7102540967855</v>
      </c>
      <c r="K3702" t="s">
        <v>76240</v>
      </c>
      <c r="L3702" t="s">
        <v>76241</v>
      </c>
      <c r="M3702" t="s">
        <v>76242</v>
      </c>
      <c r="N3702">
        <f>-763.221694501001 -61.1184509334394 -767.318844472372</f>
        <v>-1591.6589899068124</v>
      </c>
      <c r="O3702">
        <f>-816.615518902801 -188.426437145096 -716.669303007056</f>
        <v>-1721.711259054953</v>
      </c>
      <c r="P3702">
        <f>-771.557077741324 -173.295495638038 -403.736406150606</f>
        <v>-1348.5889795299679</v>
      </c>
      <c r="Q3702">
        <f>-530.346738703805 -92.0233556103888 -350.309392138077</f>
        <v>-972.67948645227079</v>
      </c>
      <c r="R3702" t="s">
        <v>76243</v>
      </c>
      <c r="S3702" t="s">
        <v>76244</v>
      </c>
      <c r="T3702" t="s">
        <v>76245</v>
      </c>
      <c r="U3702" t="s">
        <v>76246</v>
      </c>
      <c r="V3702">
        <f>-726.108399323136 -81.5029311194589 -230.933306942949</f>
        <v>-1038.5446373855439</v>
      </c>
      <c r="W3702" t="s">
        <v>76247</v>
      </c>
      <c r="X3702" t="s">
        <v>76248</v>
      </c>
      <c r="Y3702" t="s">
        <v>76249</v>
      </c>
    </row>
    <row r="3703" spans="1:25" x14ac:dyDescent="0.3">
      <c r="A3703">
        <v>185100</v>
      </c>
      <c r="B3703" t="s">
        <v>76250</v>
      </c>
      <c r="C3703" t="s">
        <v>76251</v>
      </c>
      <c r="D3703" t="s">
        <v>76252</v>
      </c>
      <c r="E3703" t="s">
        <v>76253</v>
      </c>
      <c r="F3703">
        <f>-750.689234546169 -1.36786194372735 -580.405559581546</f>
        <v>-1332.4626560714423</v>
      </c>
      <c r="G3703">
        <f>-753.261627413068 -16.9757837126892 -688.778269262264</f>
        <v>-1459.0156803880213</v>
      </c>
      <c r="H3703">
        <f>-753.261354357775 -43.3530491265226 -838.792273216071</f>
        <v>-1635.4066767003685</v>
      </c>
      <c r="I3703">
        <f>-716.718655707771 -72.2349991123504 -929.420526928848</f>
        <v>-1718.3741817489692</v>
      </c>
      <c r="J3703">
        <f>-742.635378143053 -2.16912180206646 -777.604999620854</f>
        <v>-1522.4094995659734</v>
      </c>
      <c r="K3703" t="s">
        <v>76254</v>
      </c>
      <c r="L3703" t="s">
        <v>76255</v>
      </c>
      <c r="M3703" t="s">
        <v>76256</v>
      </c>
      <c r="N3703">
        <f>-763.887563944515 -61.1947229216878 -767.226393557498</f>
        <v>-1592.3086804237009</v>
      </c>
      <c r="O3703">
        <f>-817.232467344073 -188.495354187937 -716.493825158238</f>
        <v>-1722.221646690248</v>
      </c>
      <c r="P3703">
        <f>-771.965701145471 -173.342111222066 -403.592210905271</f>
        <v>-1348.9000232728081</v>
      </c>
      <c r="Q3703">
        <f>-530.793821021091 -91.803530155953 -350.397980955649</f>
        <v>-972.99533213269308</v>
      </c>
      <c r="R3703" t="s">
        <v>76257</v>
      </c>
      <c r="S3703" t="s">
        <v>76258</v>
      </c>
      <c r="T3703" t="s">
        <v>76259</v>
      </c>
      <c r="U3703" t="s">
        <v>76260</v>
      </c>
      <c r="V3703">
        <f>-726.696564314538 -81.5973591058755 -230.877094348447</f>
        <v>-1039.1710177688606</v>
      </c>
      <c r="W3703" t="s">
        <v>76261</v>
      </c>
      <c r="X3703" t="s">
        <v>76262</v>
      </c>
      <c r="Y3703" t="s">
        <v>76263</v>
      </c>
    </row>
    <row r="3704" spans="1:25" x14ac:dyDescent="0.3">
      <c r="A3704">
        <v>185150</v>
      </c>
      <c r="B3704" t="s">
        <v>76264</v>
      </c>
      <c r="C3704" t="s">
        <v>76265</v>
      </c>
      <c r="D3704" t="s">
        <v>76266</v>
      </c>
      <c r="E3704" t="s">
        <v>76267</v>
      </c>
      <c r="F3704">
        <f>-752.047871868208 -1.50079532127461 -580.211766091824</f>
        <v>-1333.7604332813066</v>
      </c>
      <c r="G3704">
        <f>-754.621569858417 -17.1904151521455 -688.572539064497</f>
        <v>-1460.3845240750597</v>
      </c>
      <c r="H3704">
        <f>-754.58372058492 -43.7161420005775 -838.560528608527</f>
        <v>-1636.8603911940245</v>
      </c>
      <c r="I3704">
        <f>-718.128276050901 -72.5950937242558 -929.224782430116</f>
        <v>-1719.9481522052729</v>
      </c>
      <c r="J3704">
        <f>-744.007335944377 -2.45981416379732 -777.413487218311</f>
        <v>-1523.8806373264854</v>
      </c>
      <c r="K3704" t="s">
        <v>76268</v>
      </c>
      <c r="L3704" t="s">
        <v>76269</v>
      </c>
      <c r="M3704" t="s">
        <v>76270</v>
      </c>
      <c r="N3704">
        <f>-765.19370635565 -61.498971125686 -766.977592117719</f>
        <v>-1593.670269599055</v>
      </c>
      <c r="O3704">
        <f>-818.473745215606 -188.732713161407 -716.035472675265</f>
        <v>-1723.241931052278</v>
      </c>
      <c r="P3704">
        <f>-772.73915658288 -173.352110617514 -403.212936428973</f>
        <v>-1349.3042036293671</v>
      </c>
      <c r="Q3704">
        <f>-531.450327719318 -91.8657567554928 -350.470778098318</f>
        <v>-973.78686257312893</v>
      </c>
      <c r="R3704" t="s">
        <v>76271</v>
      </c>
      <c r="S3704" t="s">
        <v>76272</v>
      </c>
      <c r="T3704" t="s">
        <v>76273</v>
      </c>
      <c r="U3704" t="s">
        <v>76274</v>
      </c>
      <c r="V3704">
        <f>-727.762959712248 -81.7793708789545 -230.767700179078</f>
        <v>-1040.3100307702805</v>
      </c>
      <c r="W3704" t="s">
        <v>76275</v>
      </c>
      <c r="X3704" t="s">
        <v>76276</v>
      </c>
      <c r="Y3704" t="s">
        <v>76277</v>
      </c>
    </row>
    <row r="3705" spans="1:25" x14ac:dyDescent="0.3">
      <c r="A3705">
        <v>185200</v>
      </c>
      <c r="B3705" t="s">
        <v>76278</v>
      </c>
      <c r="C3705" t="s">
        <v>76279</v>
      </c>
      <c r="D3705" t="s">
        <v>76280</v>
      </c>
      <c r="E3705" t="s">
        <v>76281</v>
      </c>
      <c r="F3705">
        <f>-752.478171211713 -1.58208925952954 -580.116794222429</f>
        <v>-1334.1770546936714</v>
      </c>
      <c r="G3705">
        <f>-755.046670215322 -17.3207425472533 -688.470687150094</f>
        <v>-1460.8380999126693</v>
      </c>
      <c r="H3705">
        <f>-755.003104529802 -43.9332146644945 -838.443318868863</f>
        <v>-1637.3796380631595</v>
      </c>
      <c r="I3705">
        <f>-718.594843495054 -72.8207288729698 -929.123675583257</f>
        <v>-1720.5392479512807</v>
      </c>
      <c r="J3705">
        <f>-744.442003142813 -2.63691050518764 -777.320422498946</f>
        <v>-1524.3993361469466</v>
      </c>
      <c r="K3705" t="s">
        <v>76282</v>
      </c>
      <c r="L3705" t="s">
        <v>76283</v>
      </c>
      <c r="M3705" t="s">
        <v>76284</v>
      </c>
      <c r="N3705">
        <f>-765.602717187276 -61.679080035266 -766.849673453557</f>
        <v>-1594.1314706760991</v>
      </c>
      <c r="O3705">
        <f>-818.865307328895 -188.884007325394 -715.793039405406</f>
        <v>-1723.5423540596951</v>
      </c>
      <c r="P3705">
        <f>-772.898566442289 -173.481473014722 -403.005541667426</f>
        <v>-1349.3855811244371</v>
      </c>
      <c r="Q3705">
        <f>-531.569158942779 -92.1093045268167 -350.272887861145</f>
        <v>-973.95135133074075</v>
      </c>
      <c r="R3705" t="s">
        <v>76285</v>
      </c>
      <c r="S3705" t="s">
        <v>76286</v>
      </c>
      <c r="T3705" t="s">
        <v>76287</v>
      </c>
      <c r="U3705" t="s">
        <v>76288</v>
      </c>
      <c r="V3705">
        <f>-728.19349773764 -81.891787415389 -230.728346803114</f>
        <v>-1040.8136319561429</v>
      </c>
      <c r="W3705" t="s">
        <v>76289</v>
      </c>
      <c r="X3705" t="s">
        <v>76290</v>
      </c>
      <c r="Y3705" t="s">
        <v>76291</v>
      </c>
    </row>
    <row r="3706" spans="1:25" x14ac:dyDescent="0.3">
      <c r="A3706">
        <v>185250</v>
      </c>
      <c r="B3706" t="s">
        <v>76292</v>
      </c>
      <c r="C3706" t="s">
        <v>76293</v>
      </c>
      <c r="D3706" t="s">
        <v>76294</v>
      </c>
      <c r="E3706" t="s">
        <v>76295</v>
      </c>
      <c r="F3706">
        <f>-753.245215460901 -1.68832661568081 -579.953732119027</f>
        <v>-1334.8872741956088</v>
      </c>
      <c r="G3706">
        <f>-755.743838065835 -17.5581432428355 -688.290003714848</f>
        <v>-1461.5919850235186</v>
      </c>
      <c r="H3706">
        <f>-755.577475584382 -44.4047253346278 -838.220769153468</f>
        <v>-1638.2029700724779</v>
      </c>
      <c r="I3706">
        <f>-719.221360369188 -73.3074835382974 -928.917258797966</f>
        <v>-1721.4461027054515</v>
      </c>
      <c r="J3706">
        <f>-745.105884172388 -2.99934640288916 -777.156421338759</f>
        <v>-1525.2616519140361</v>
      </c>
      <c r="K3706" t="s">
        <v>76296</v>
      </c>
      <c r="L3706" t="s">
        <v>76297</v>
      </c>
      <c r="M3706" t="s">
        <v>76298</v>
      </c>
      <c r="N3706">
        <f>-766.196274959594 -62.0525241715909 -766.605632906928</f>
        <v>-1594.8544320381129</v>
      </c>
      <c r="O3706">
        <f>-819.361055365982 -189.208715605448 -715.313031621177</f>
        <v>-1723.8828025926068</v>
      </c>
      <c r="P3706">
        <f>-773.522961522942 -174.187851953401 -402.488140250159</f>
        <v>-1350.1989537265019</v>
      </c>
      <c r="Q3706">
        <f>-532.329566421439 -92.7653014564717 -349.213267039794</f>
        <v>-974.30813491770471</v>
      </c>
      <c r="R3706" t="s">
        <v>76299</v>
      </c>
      <c r="S3706" t="s">
        <v>76300</v>
      </c>
      <c r="T3706" t="s">
        <v>76301</v>
      </c>
      <c r="U3706" t="s">
        <v>76302</v>
      </c>
      <c r="V3706">
        <f>-728.975832839613 -82.0902013487721 -230.651997864735</f>
        <v>-1041.7180320531202</v>
      </c>
      <c r="W3706" t="s">
        <v>76303</v>
      </c>
      <c r="X3706" t="s">
        <v>76304</v>
      </c>
      <c r="Y3706" t="s">
        <v>76305</v>
      </c>
    </row>
    <row r="3707" spans="1:25" x14ac:dyDescent="0.3">
      <c r="A3707">
        <v>185300</v>
      </c>
      <c r="B3707" t="s">
        <v>76306</v>
      </c>
      <c r="C3707" t="s">
        <v>76307</v>
      </c>
      <c r="D3707" t="s">
        <v>76308</v>
      </c>
      <c r="E3707" t="s">
        <v>76309</v>
      </c>
      <c r="F3707">
        <f>-753.518695556842 -1.61227786736754 -579.884575441393</f>
        <v>-1335.0155488656026</v>
      </c>
      <c r="G3707">
        <f>-755.895950480722 -17.5331094433982 -688.216145124354</f>
        <v>-1461.6452050484741</v>
      </c>
      <c r="H3707">
        <f>-755.525635408637 -44.4702626139883 -838.130322248195</f>
        <v>-1638.1262202708203</v>
      </c>
      <c r="I3707">
        <f>-719.151363141213 -73.3662622463246 -928.821624459951</f>
        <v>-1721.3392498474886</v>
      </c>
      <c r="J3707">
        <f>-745.171954584915 -3.01593309637337 -777.079055068889</f>
        <v>-1525.2669427501773</v>
      </c>
      <c r="K3707" t="s">
        <v>76310</v>
      </c>
      <c r="L3707" t="s">
        <v>76311</v>
      </c>
      <c r="M3707" t="s">
        <v>76312</v>
      </c>
      <c r="N3707">
        <f>-766.207014624342 -62.0868774725939 -766.516937286756</f>
        <v>-1594.810829383692</v>
      </c>
      <c r="O3707">
        <f>-819.286270792518 -189.245051386834 -715.148835729113</f>
        <v>-1723.6801579084649</v>
      </c>
      <c r="P3707">
        <f>-773.494352127206 -174.004927650455 -402.32756132415</f>
        <v>-1349.8268411018109</v>
      </c>
      <c r="Q3707">
        <f>-532.076186043187 -93.0692727110402 -349.33003918336</f>
        <v>-974.47549793758719</v>
      </c>
      <c r="R3707" t="s">
        <v>76313</v>
      </c>
      <c r="S3707" t="s">
        <v>76314</v>
      </c>
      <c r="T3707" t="s">
        <v>76315</v>
      </c>
      <c r="U3707" t="s">
        <v>76316</v>
      </c>
      <c r="V3707">
        <f>-729.302563463431 -82.1054538456799 -230.618277221767</f>
        <v>-1042.026294530878</v>
      </c>
      <c r="W3707" t="s">
        <v>76317</v>
      </c>
      <c r="X3707" t="s">
        <v>76318</v>
      </c>
      <c r="Y3707" t="s">
        <v>76319</v>
      </c>
    </row>
    <row r="3708" spans="1:25" x14ac:dyDescent="0.3">
      <c r="A3708">
        <v>185350</v>
      </c>
      <c r="B3708" t="s">
        <v>76320</v>
      </c>
      <c r="C3708" t="s">
        <v>76321</v>
      </c>
      <c r="D3708" t="s">
        <v>76322</v>
      </c>
      <c r="E3708" t="s">
        <v>76323</v>
      </c>
      <c r="F3708">
        <f>-754.225946199987 -1.05922319571187 -579.645129230659</f>
        <v>-1334.9302986263579</v>
      </c>
      <c r="G3708">
        <f>-756.460087777096 -17.1009218128986 -687.961888017624</f>
        <v>-1461.5228976076187</v>
      </c>
      <c r="H3708">
        <f>-755.856476209542 -44.2621779036945 -837.834761035371</f>
        <v>-1637.9534151486075</v>
      </c>
      <c r="I3708">
        <f>-719.501642045029 -73.1477878306573 -928.537244877359</f>
        <v>-1721.1866747530453</v>
      </c>
      <c r="J3708">
        <f>-745.624397450918 -2.70752201424671 -776.831299517103</f>
        <v>-1525.1632189822676</v>
      </c>
      <c r="K3708" t="s">
        <v>76324</v>
      </c>
      <c r="L3708" t="s">
        <v>76325</v>
      </c>
      <c r="M3708" t="s">
        <v>76326</v>
      </c>
      <c r="N3708">
        <f>-766.622733407692 -61.7808349438997 -766.210171832471</f>
        <v>-1594.6137401840626</v>
      </c>
      <c r="O3708">
        <f>-819.66604074608 -188.859893676946 -714.620566640867</f>
        <v>-1723.1465010638931</v>
      </c>
      <c r="P3708">
        <f>-773.715585823736 -172.781840933381 -401.864752095663</f>
        <v>-1348.3621788527798</v>
      </c>
      <c r="Q3708">
        <f>-531.543460980826 -93.4976901979767 -349.819466886525</f>
        <v>-974.86061806532769</v>
      </c>
      <c r="R3708" t="s">
        <v>76327</v>
      </c>
      <c r="S3708" t="s">
        <v>76328</v>
      </c>
      <c r="T3708" t="s">
        <v>76329</v>
      </c>
      <c r="U3708" t="s">
        <v>76330</v>
      </c>
      <c r="V3708">
        <f>-729.90686288131 -81.9925096830416 -230.515186084728</f>
        <v>-1042.4145586490795</v>
      </c>
      <c r="W3708" t="s">
        <v>76331</v>
      </c>
      <c r="X3708" t="s">
        <v>76332</v>
      </c>
      <c r="Y3708" t="s">
        <v>76333</v>
      </c>
    </row>
    <row r="3709" spans="1:25" x14ac:dyDescent="0.3">
      <c r="A3709">
        <v>185400</v>
      </c>
      <c r="B3709" t="s">
        <v>76334</v>
      </c>
      <c r="C3709" t="s">
        <v>76335</v>
      </c>
      <c r="D3709" t="s">
        <v>76336</v>
      </c>
      <c r="E3709" t="s">
        <v>76337</v>
      </c>
      <c r="F3709">
        <f>-754.364791239978 -0.823883880624408 -579.507347177292</f>
        <v>-1334.6960222978944</v>
      </c>
      <c r="G3709">
        <f>-756.587372058327 -16.953053740004 -687.811378255523</f>
        <v>-1461.3518040538538</v>
      </c>
      <c r="H3709">
        <f>-756.000779581141 -44.2632710269263 -837.65729441708</f>
        <v>-1637.9213450251473</v>
      </c>
      <c r="I3709">
        <f>-719.730286241849 -73.1466377704953 -928.394151196117</f>
        <v>-1721.2710752084613</v>
      </c>
      <c r="J3709">
        <f>-745.742087717796 -2.65473030788462 -776.695054063925</f>
        <v>-1525.0918720896057</v>
      </c>
      <c r="K3709" t="s">
        <v>76338</v>
      </c>
      <c r="L3709" t="s">
        <v>76339</v>
      </c>
      <c r="M3709" t="s">
        <v>76340</v>
      </c>
      <c r="N3709">
        <f>-766.778592764751 -61.7039885637946 -766.015266014991</f>
        <v>-1594.4978473435367</v>
      </c>
      <c r="O3709">
        <f>-819.907326920551 -188.67048545569 -714.269398341549</f>
        <v>-1722.8472107177899</v>
      </c>
      <c r="P3709">
        <f>-773.521150334526 -172.348321376821 -401.590482895979</f>
        <v>-1347.4599546073259</v>
      </c>
      <c r="Q3709">
        <f>-530.981264605238 -94.2332062483138 -349.489678367727</f>
        <v>-974.70414922127884</v>
      </c>
      <c r="R3709" t="s">
        <v>76341</v>
      </c>
      <c r="S3709" t="s">
        <v>76342</v>
      </c>
      <c r="T3709" t="s">
        <v>76343</v>
      </c>
      <c r="U3709" t="s">
        <v>76344</v>
      </c>
      <c r="V3709">
        <f>-730.069894404655 -81.9256894544633 -230.452779085008</f>
        <v>-1042.4483629441263</v>
      </c>
      <c r="W3709" t="s">
        <v>76345</v>
      </c>
      <c r="X3709" t="s">
        <v>76346</v>
      </c>
      <c r="Y3709" t="s">
        <v>76347</v>
      </c>
    </row>
    <row r="3710" spans="1:25" x14ac:dyDescent="0.3">
      <c r="A3710">
        <v>185450</v>
      </c>
      <c r="B3710" t="s">
        <v>76348</v>
      </c>
      <c r="C3710" t="s">
        <v>76349</v>
      </c>
      <c r="D3710" t="s">
        <v>76350</v>
      </c>
      <c r="E3710" t="s">
        <v>76351</v>
      </c>
      <c r="F3710">
        <f>-754.356813656025 -0.832354509480865 -579.377662756317</f>
        <v>-1334.5668309218229</v>
      </c>
      <c r="G3710">
        <f>-756.544866783815 -17.2155731511107 -687.644320419279</f>
        <v>-1461.4047603542047</v>
      </c>
      <c r="H3710">
        <f>-755.94393741809 -44.9617685458193 -837.410206736908</f>
        <v>-1638.3159127008171</v>
      </c>
      <c r="I3710">
        <f>-720.287293027824 -73.4518295924381 -928.513854983462</f>
        <v>-1722.252977603724</v>
      </c>
      <c r="J3710">
        <f>-745.641050224345 -3.19326047780669 -776.564722869831</f>
        <v>-1525.3990335719827</v>
      </c>
      <c r="K3710" t="s">
        <v>76352</v>
      </c>
      <c r="L3710" t="s">
        <v>76353</v>
      </c>
      <c r="M3710" t="s">
        <v>76354</v>
      </c>
      <c r="N3710">
        <f>-766.778660970277 -62.1766791451696 -765.721974459298</f>
        <v>-1594.6773145747447</v>
      </c>
      <c r="O3710">
        <f>-820.361506624041 -188.758858269865 -713.472954638009</f>
        <v>-1722.5933195319149</v>
      </c>
      <c r="P3710">
        <f>-773.170992726329 -172.678046230833 -400.901901788432</f>
        <v>-1346.7509407455941</v>
      </c>
      <c r="Q3710">
        <f>-530.152226741699 -95.0276321536489 -350.361119211755</f>
        <v>-975.540978107103</v>
      </c>
      <c r="R3710" t="s">
        <v>76355</v>
      </c>
      <c r="S3710" t="s">
        <v>76356</v>
      </c>
      <c r="T3710" t="s">
        <v>76357</v>
      </c>
      <c r="U3710" t="s">
        <v>76358</v>
      </c>
      <c r="V3710">
        <f>-730.322069018804 -81.9249678837764 -230.378557083463</f>
        <v>-1042.6255939860434</v>
      </c>
      <c r="W3710" t="s">
        <v>76359</v>
      </c>
      <c r="X3710" t="s">
        <v>76360</v>
      </c>
      <c r="Y3710" t="s">
        <v>76361</v>
      </c>
    </row>
    <row r="3711" spans="1:25" x14ac:dyDescent="0.3">
      <c r="A3711">
        <v>185500</v>
      </c>
      <c r="B3711" t="s">
        <v>76362</v>
      </c>
      <c r="C3711" t="s">
        <v>76363</v>
      </c>
      <c r="D3711" t="s">
        <v>76364</v>
      </c>
      <c r="E3711" t="s">
        <v>76365</v>
      </c>
      <c r="F3711">
        <f>-754.003448680949 -1.0490005982092 -579.425407721358</f>
        <v>-1334.4778570005162</v>
      </c>
      <c r="G3711">
        <f>-756.125661149979 -17.544661849385 -687.676226221942</f>
        <v>-1461.3465492213058</v>
      </c>
      <c r="H3711">
        <f>-755.445589836904 -45.4709240031077 -837.408226302576</f>
        <v>-1638.3247401425879</v>
      </c>
      <c r="I3711">
        <f>-720.369513258079 -73.4276454302958 -928.901819015227</f>
        <v>-1722.6989777036019</v>
      </c>
      <c r="J3711">
        <f>-745.162311002282 -3.6336194848277 -776.606744511902</f>
        <v>-1525.4026749990117</v>
      </c>
      <c r="K3711" t="s">
        <v>76366</v>
      </c>
      <c r="L3711" t="s">
        <v>76367</v>
      </c>
      <c r="M3711" t="s">
        <v>76368</v>
      </c>
      <c r="N3711">
        <f>-766.330696455929 -62.5952258183372 -765.70615028045</f>
        <v>-1594.6320725547162</v>
      </c>
      <c r="O3711">
        <f>-820.169613088801 -188.972310179143 -713.204184318181</f>
        <v>-1722.3461075861251</v>
      </c>
      <c r="P3711">
        <f>-772.560887213026 -172.573688960848 -400.713050580765</f>
        <v>-1345.8476267546391</v>
      </c>
      <c r="Q3711">
        <f>-529.324754501732 -95.3412143246951 -350.579578300744</f>
        <v>-975.24554712717099</v>
      </c>
      <c r="R3711" t="s">
        <v>76369</v>
      </c>
      <c r="S3711" t="s">
        <v>76370</v>
      </c>
      <c r="T3711" t="s">
        <v>76371</v>
      </c>
      <c r="U3711" t="s">
        <v>76372</v>
      </c>
      <c r="V3711">
        <f>-730.303824325403 -81.9571683849922 -230.388916092668</f>
        <v>-1042.6499088030632</v>
      </c>
      <c r="W3711" t="s">
        <v>76373</v>
      </c>
      <c r="X3711" t="s">
        <v>76374</v>
      </c>
      <c r="Y3711" t="s">
        <v>76375</v>
      </c>
    </row>
    <row r="3712" spans="1:25" x14ac:dyDescent="0.3">
      <c r="A3712">
        <v>185550</v>
      </c>
      <c r="B3712" t="s">
        <v>76376</v>
      </c>
      <c r="C3712" t="s">
        <v>76377</v>
      </c>
      <c r="D3712" t="s">
        <v>76378</v>
      </c>
      <c r="E3712" t="s">
        <v>76379</v>
      </c>
      <c r="F3712">
        <f>-753.251842154284 -1.63366799842925 -579.619569803238</f>
        <v>-1334.5050799559513</v>
      </c>
      <c r="G3712">
        <f>-755.306023857422 -18.3129039852747 -687.843481227853</f>
        <v>-1461.4624090705497</v>
      </c>
      <c r="H3712">
        <f>-754.538839037927 -46.5265376394045 -837.521171260536</f>
        <v>-1638.5865479378676</v>
      </c>
      <c r="I3712">
        <f>-720.767896770886 -73.1987295698148 -929.885231316127</f>
        <v>-1723.8518576568276</v>
      </c>
      <c r="J3712">
        <f>-744.317932374205 -4.56319986221433 -776.796216918892</f>
        <v>-1525.6773491553113</v>
      </c>
      <c r="K3712" t="s">
        <v>76380</v>
      </c>
      <c r="L3712" t="s">
        <v>76381</v>
      </c>
      <c r="M3712" t="s">
        <v>76382</v>
      </c>
      <c r="N3712">
        <f>-765.438578278597 -63.5224604761527 -765.790806119214</f>
        <v>-1594.7518448739638</v>
      </c>
      <c r="O3712">
        <f>-819.381074216766 -189.653671016032 -712.805797417217</f>
        <v>-1721.8405426500151</v>
      </c>
      <c r="P3712">
        <f>-771.756422758571 -172.08066337364 -400.380910413748</f>
        <v>-1344.2179965459591</v>
      </c>
      <c r="Q3712">
        <f>-528.161413070687 -95.5196119767643 -350.964700462351</f>
        <v>-974.64572550980233</v>
      </c>
      <c r="R3712" t="s">
        <v>76383</v>
      </c>
      <c r="S3712" t="s">
        <v>76384</v>
      </c>
      <c r="T3712" t="s">
        <v>76385</v>
      </c>
      <c r="U3712" t="s">
        <v>76386</v>
      </c>
      <c r="V3712">
        <f>-730.121761573183 -82.0425401729228 -230.471023101056</f>
        <v>-1042.6353248471619</v>
      </c>
      <c r="W3712" t="s">
        <v>76387</v>
      </c>
      <c r="X3712" t="s">
        <v>76388</v>
      </c>
      <c r="Y3712" t="s">
        <v>76389</v>
      </c>
    </row>
    <row r="3713" spans="1:25" x14ac:dyDescent="0.3">
      <c r="A3713">
        <v>185600</v>
      </c>
      <c r="B3713" t="s">
        <v>76390</v>
      </c>
      <c r="C3713" t="s">
        <v>76391</v>
      </c>
      <c r="D3713" t="s">
        <v>76392</v>
      </c>
      <c r="E3713" t="s">
        <v>76393</v>
      </c>
      <c r="F3713">
        <f>-752.764705838267 -1.98879351560595 -579.73165396016</f>
        <v>-1334.4851533140329</v>
      </c>
      <c r="G3713">
        <f>-754.807989275469 -18.7195515149713 -687.947846286309</f>
        <v>-1461.4753870767493</v>
      </c>
      <c r="H3713">
        <f>-754.032022362827 -47.0022333432194 -837.612428177576</f>
        <v>-1638.6466838836222</v>
      </c>
      <c r="I3713">
        <f>-720.773901397373 -73.0079230900144 -930.351768649818</f>
        <v>-1724.1335931372055</v>
      </c>
      <c r="J3713">
        <f>-743.846688101221 -4.99994495758074 -776.90844123997</f>
        <v>-1525.7550742987719</v>
      </c>
      <c r="K3713" t="s">
        <v>76394</v>
      </c>
      <c r="L3713" t="s">
        <v>76395</v>
      </c>
      <c r="M3713" t="s">
        <v>76396</v>
      </c>
      <c r="N3713">
        <f>-764.904027833052 -63.9760900977744 -765.872696681537</f>
        <v>-1594.7528146123636</v>
      </c>
      <c r="O3713">
        <f>-818.818381648314 -190.063748592872 -712.76816428342</f>
        <v>-1721.6502945246061</v>
      </c>
      <c r="P3713">
        <f>-771.280221219894 -172.075126649614 -400.353822203425</f>
        <v>-1343.7091700729329</v>
      </c>
      <c r="Q3713">
        <f>-527.689639434637 -95.4684533814607 -350.987199361919</f>
        <v>-974.14529217801669</v>
      </c>
      <c r="R3713" t="s">
        <v>76397</v>
      </c>
      <c r="S3713" t="s">
        <v>76398</v>
      </c>
      <c r="T3713" t="s">
        <v>76399</v>
      </c>
      <c r="U3713" t="s">
        <v>76400</v>
      </c>
      <c r="V3713">
        <f>-729.878152969859 -82.1036187358886 -230.53351457316</f>
        <v>-1042.5152862789078</v>
      </c>
      <c r="W3713" t="s">
        <v>76401</v>
      </c>
      <c r="X3713" t="s">
        <v>76402</v>
      </c>
      <c r="Y3713" t="s">
        <v>76403</v>
      </c>
    </row>
    <row r="3714" spans="1:25" x14ac:dyDescent="0.3">
      <c r="A3714">
        <v>185650</v>
      </c>
      <c r="B3714" t="s">
        <v>76404</v>
      </c>
      <c r="C3714" t="s">
        <v>76405</v>
      </c>
      <c r="D3714" t="s">
        <v>76406</v>
      </c>
      <c r="E3714" t="s">
        <v>76407</v>
      </c>
      <c r="F3714">
        <f>-751.694062723165 -2.81458065610218 -579.896011713796</f>
        <v>-1334.4046550930632</v>
      </c>
      <c r="G3714">
        <f>-753.723962398393 -19.6262384277352 -688.099944817858</f>
        <v>-1461.4501456439862</v>
      </c>
      <c r="H3714">
        <f>-752.90500153288 -48.0155596912614 -837.744121097416</f>
        <v>-1638.6646823215574</v>
      </c>
      <c r="I3714">
        <f>-720.244361331842 -72.9325106207521 -930.993404270191</f>
        <v>-1724.1702762227851</v>
      </c>
      <c r="J3714">
        <f>-742.827743070631 -5.93908238314748 -777.073601374861</f>
        <v>-1525.8404268286395</v>
      </c>
      <c r="K3714" t="s">
        <v>76408</v>
      </c>
      <c r="L3714" t="s">
        <v>76409</v>
      </c>
      <c r="M3714" t="s">
        <v>76410</v>
      </c>
      <c r="N3714">
        <f>-763.707145520362 -64.9694323280271 -765.988991417307</f>
        <v>-1594.6655692656961</v>
      </c>
      <c r="O3714">
        <f>-817.40746293118 -191.085260812857 -712.740600921109</f>
        <v>-1721.233324665146</v>
      </c>
      <c r="P3714">
        <f>-770.107511176214 -172.362512762559 -400.333168891989</f>
        <v>-1342.8031928307619</v>
      </c>
      <c r="Q3714">
        <f>-526.580700334732 -95.6714068821243 -350.783595908205</f>
        <v>-973.03570312506122</v>
      </c>
      <c r="R3714" t="s">
        <v>76411</v>
      </c>
      <c r="S3714" t="s">
        <v>76412</v>
      </c>
      <c r="T3714" t="s">
        <v>76413</v>
      </c>
      <c r="U3714" t="s">
        <v>76414</v>
      </c>
      <c r="V3714">
        <f>-729.071891907475 -82.3673930587681 -230.616827324064</f>
        <v>-1042.0561122903071</v>
      </c>
      <c r="W3714" t="s">
        <v>76415</v>
      </c>
      <c r="X3714" t="s">
        <v>76416</v>
      </c>
      <c r="Y3714" t="s">
        <v>76417</v>
      </c>
    </row>
    <row r="3715" spans="1:25" x14ac:dyDescent="0.3">
      <c r="A3715">
        <v>185700</v>
      </c>
      <c r="B3715" t="s">
        <v>76418</v>
      </c>
      <c r="C3715" t="s">
        <v>76419</v>
      </c>
      <c r="D3715" t="s">
        <v>76420</v>
      </c>
      <c r="E3715" t="s">
        <v>76421</v>
      </c>
      <c r="F3715">
        <f>-751.205439430081 -3.23430246672569 -579.975170333504</f>
        <v>-1334.4149122303106</v>
      </c>
      <c r="G3715">
        <f>-753.230679100069 -20.0618312635477 -688.176801743259</f>
        <v>-1461.4693121068758</v>
      </c>
      <c r="H3715">
        <f>-752.381171196201 -48.4644284193962 -837.818178064623</f>
        <v>-1638.6637776802202</v>
      </c>
      <c r="I3715">
        <f>-719.861697966573 -72.9832044560931 -931.222042941936</f>
        <v>-1724.0669453646021</v>
      </c>
      <c r="J3715">
        <f>-742.365755249688 -6.36567636247287 -777.152638969626</f>
        <v>-1525.884070581787</v>
      </c>
      <c r="K3715" t="s">
        <v>76422</v>
      </c>
      <c r="L3715" t="s">
        <v>76423</v>
      </c>
      <c r="M3715" t="s">
        <v>76424</v>
      </c>
      <c r="N3715">
        <f>-763.148395865316 -65.4287016431529 -766.060227034849</f>
        <v>-1594.6373245433178</v>
      </c>
      <c r="O3715">
        <f>-816.694136625352 -191.577756470826 -712.735787136737</f>
        <v>-1721.0076802329149</v>
      </c>
      <c r="P3715">
        <f>-769.256485640834 -172.451719876878 -400.373801475115</f>
        <v>-1342.0820069928268</v>
      </c>
      <c r="Q3715">
        <f>-525.740755702403 -95.8051742175101 -350.6995948756</f>
        <v>-972.24552479551312</v>
      </c>
      <c r="R3715" t="s">
        <v>76425</v>
      </c>
      <c r="S3715" t="s">
        <v>76426</v>
      </c>
      <c r="T3715" t="s">
        <v>76427</v>
      </c>
      <c r="U3715" t="s">
        <v>76428</v>
      </c>
      <c r="V3715">
        <f>-728.564748345502 -82.5516471200442 -230.648071849958</f>
        <v>-1041.7644673155041</v>
      </c>
      <c r="W3715" t="s">
        <v>76429</v>
      </c>
      <c r="X3715" t="s">
        <v>76430</v>
      </c>
      <c r="Y3715" t="s">
        <v>76431</v>
      </c>
    </row>
    <row r="3716" spans="1:25" x14ac:dyDescent="0.3">
      <c r="A3716">
        <v>185750</v>
      </c>
      <c r="B3716" t="s">
        <v>76432</v>
      </c>
      <c r="C3716" t="s">
        <v>76433</v>
      </c>
      <c r="D3716" t="s">
        <v>76434</v>
      </c>
      <c r="E3716" t="s">
        <v>76435</v>
      </c>
      <c r="F3716">
        <f>-750.216617599778 -3.85993209373464 -580.107711154096</f>
        <v>-1334.1842608476086</v>
      </c>
      <c r="G3716">
        <f>-752.210907307458 -20.707612701055 -688.306755371963</f>
        <v>-1461.225275380476</v>
      </c>
      <c r="H3716">
        <f>-751.305315419015 -49.1110422996619 -837.947749642976</f>
        <v>-1638.3641073616527</v>
      </c>
      <c r="I3716">
        <f>-718.865276815179 -73.0631497497313 -931.526150898581</f>
        <v>-1723.4545774634912</v>
      </c>
      <c r="J3716">
        <f>-741.429217971385 -6.97269527252979 -777.28673951485</f>
        <v>-1525.6886527587649</v>
      </c>
      <c r="K3716" t="s">
        <v>76436</v>
      </c>
      <c r="L3716" t="s">
        <v>76437</v>
      </c>
      <c r="M3716" t="s">
        <v>76438</v>
      </c>
      <c r="N3716">
        <f>-761.982790513335 -66.1141015137246 -766.185512232787</f>
        <v>-1594.2824042598465</v>
      </c>
      <c r="O3716">
        <f>-815.176494712848 -192.370021280522 -712.749805208395</f>
        <v>-1720.2963212017648</v>
      </c>
      <c r="P3716">
        <f>-767.67685011618 -172.657093413693 -400.433758727276</f>
        <v>-1340.767702257149</v>
      </c>
      <c r="Q3716">
        <f>-524.212733982443 -95.6904969569396 -351.002226664398</f>
        <v>-970.90545760378052</v>
      </c>
      <c r="R3716" t="s">
        <v>76439</v>
      </c>
      <c r="S3716" t="s">
        <v>76440</v>
      </c>
      <c r="T3716" t="s">
        <v>76441</v>
      </c>
      <c r="U3716" t="s">
        <v>76442</v>
      </c>
      <c r="V3716">
        <f>-727.586784158332 -82.8380227617438 -230.6742758322</f>
        <v>-1041.0990827522758</v>
      </c>
      <c r="W3716" t="s">
        <v>76443</v>
      </c>
      <c r="X3716" t="s">
        <v>76444</v>
      </c>
      <c r="Y3716" t="s">
        <v>76445</v>
      </c>
    </row>
    <row r="3717" spans="1:25" x14ac:dyDescent="0.3">
      <c r="A3717">
        <v>185800</v>
      </c>
      <c r="B3717" t="s">
        <v>76446</v>
      </c>
      <c r="C3717" t="s">
        <v>76447</v>
      </c>
      <c r="D3717" t="s">
        <v>76448</v>
      </c>
      <c r="E3717" t="s">
        <v>76449</v>
      </c>
      <c r="F3717">
        <f>-749.849495431901 -4.01747115577109 -580.091768480121</f>
        <v>-1333.958735067793</v>
      </c>
      <c r="G3717">
        <f>-751.800244761931 -20.8668539389712 -688.291315103564</f>
        <v>-1460.9584138044661</v>
      </c>
      <c r="H3717">
        <f>-750.824111610224 -49.2662011340965 -837.932674660775</f>
        <v>-1638.0229874050956</v>
      </c>
      <c r="I3717">
        <f>-718.324044875521 -73.0086297291564 -931.543705852549</f>
        <v>-1722.8763804572263</v>
      </c>
      <c r="J3717">
        <f>-741.036341351019 -7.10969337773736 -777.27024331681</f>
        <v>-1525.4162780455663</v>
      </c>
      <c r="K3717" t="s">
        <v>76450</v>
      </c>
      <c r="L3717" t="s">
        <v>76451</v>
      </c>
      <c r="M3717" t="s">
        <v>76452</v>
      </c>
      <c r="N3717">
        <f>-761.475741713977 -66.2910954707017 -766.171906925534</f>
        <v>-1593.9387441102126</v>
      </c>
      <c r="O3717">
        <f>-814.481020602411 -192.618320294263 -712.735911626129</f>
        <v>-1719.8352525228029</v>
      </c>
      <c r="P3717">
        <f>-766.998853906456 -172.811984697866 -400.423000886493</f>
        <v>-1340.2338394908152</v>
      </c>
      <c r="Q3717">
        <f>-523.551617231907 -95.6997274141752 -351.136165059975</f>
        <v>-970.38750970605724</v>
      </c>
      <c r="R3717" t="s">
        <v>76453</v>
      </c>
      <c r="S3717" t="s">
        <v>76454</v>
      </c>
      <c r="T3717" t="s">
        <v>76455</v>
      </c>
      <c r="U3717" t="s">
        <v>76456</v>
      </c>
      <c r="V3717">
        <f>-727.260725862435 -82.9713773098242 -230.654250881384</f>
        <v>-1040.8863540536433</v>
      </c>
      <c r="W3717" t="s">
        <v>76457</v>
      </c>
      <c r="X3717" t="s">
        <v>76458</v>
      </c>
      <c r="Y3717" t="s">
        <v>76459</v>
      </c>
    </row>
    <row r="3718" spans="1:25" x14ac:dyDescent="0.3">
      <c r="A3718">
        <v>185850</v>
      </c>
      <c r="B3718" t="s">
        <v>76460</v>
      </c>
      <c r="C3718" t="s">
        <v>76461</v>
      </c>
      <c r="D3718" t="s">
        <v>76462</v>
      </c>
      <c r="E3718" t="s">
        <v>76463</v>
      </c>
      <c r="F3718">
        <f>-749.314932052782 -4.35657202326615 -580.062582553798</f>
        <v>-1333.7340866298462</v>
      </c>
      <c r="G3718">
        <f>-751.177699882055 -21.2063094786063 -688.263484274396</f>
        <v>-1460.6474936350573</v>
      </c>
      <c r="H3718">
        <f>-750.054184987948 -49.597175786274 -837.905435686965</f>
        <v>-1637.5567964611869</v>
      </c>
      <c r="I3718">
        <f>-717.371061418034 -73.0116449846632 -931.535390253568</f>
        <v>-1721.9180966562653</v>
      </c>
      <c r="J3718">
        <f>-740.447428829829 -7.40400644994088 -777.239406969073</f>
        <v>-1525.0908422488428</v>
      </c>
      <c r="K3718" t="s">
        <v>76464</v>
      </c>
      <c r="L3718" t="s">
        <v>76465</v>
      </c>
      <c r="M3718" t="s">
        <v>76466</v>
      </c>
      <c r="N3718">
        <f>-760.655229838884 -66.6662474136565 -766.147556321572</f>
        <v>-1593.4690335741125</v>
      </c>
      <c r="O3718">
        <f>-813.278950001078 -193.122142948725 -712.656752117316</f>
        <v>-1719.0578450671192</v>
      </c>
      <c r="P3718">
        <f>-765.915718406008 -173.052997070494 -400.342558015624</f>
        <v>-1339.311273492126</v>
      </c>
      <c r="Q3718">
        <f>-522.578905319192 -95.5337710666024 -351.149158248181</f>
        <v>-969.26183463397547</v>
      </c>
      <c r="R3718" t="s">
        <v>76467</v>
      </c>
      <c r="S3718" t="s">
        <v>76468</v>
      </c>
      <c r="T3718" t="s">
        <v>76469</v>
      </c>
      <c r="U3718" t="s">
        <v>76470</v>
      </c>
      <c r="V3718">
        <f>-726.766254631476 -83.2784488421823 -230.613938363094</f>
        <v>-1040.6586418367524</v>
      </c>
      <c r="W3718" t="s">
        <v>76471</v>
      </c>
      <c r="X3718" t="s">
        <v>76472</v>
      </c>
      <c r="Y3718" t="s">
        <v>76473</v>
      </c>
    </row>
    <row r="3719" spans="1:25" x14ac:dyDescent="0.3">
      <c r="A3719">
        <v>185900</v>
      </c>
      <c r="B3719" t="s">
        <v>76474</v>
      </c>
      <c r="C3719" t="s">
        <v>76475</v>
      </c>
      <c r="D3719" t="s">
        <v>76476</v>
      </c>
      <c r="E3719" t="s">
        <v>76477</v>
      </c>
      <c r="F3719">
        <f>-749.036079257549 -4.62954133762469 -580.056376810386</f>
        <v>-1333.7219974055597</v>
      </c>
      <c r="G3719">
        <f>-750.808204063303 -21.51438605676 -688.253601900348</f>
        <v>-1460.5761920204111</v>
      </c>
      <c r="H3719">
        <f>-749.545055771248 -49.9543371269922 -837.884938987003</f>
        <v>-1637.3843318852432</v>
      </c>
      <c r="I3719">
        <f>-716.730013247703 -73.2559771783167 -931.496966037319</f>
        <v>-1721.4829564633387</v>
      </c>
      <c r="J3719">
        <f>-740.045541253916 -7.72471503324391 -777.227537901539</f>
        <v>-1524.9977941886989</v>
      </c>
      <c r="K3719" t="s">
        <v>76478</v>
      </c>
      <c r="L3719" t="s">
        <v>76479</v>
      </c>
      <c r="M3719" t="s">
        <v>76480</v>
      </c>
      <c r="N3719">
        <f>-760.162470101679 -67.0164672573617 -766.128001081427</f>
        <v>-1593.3069384404675</v>
      </c>
      <c r="O3719">
        <f>-812.613534335679 -193.552721372793 -712.632837673056</f>
        <v>-1718.7990933815281</v>
      </c>
      <c r="P3719">
        <f>-765.391027802437 -173.40602862905 -400.3024238138</f>
        <v>-1339.0994802452869</v>
      </c>
      <c r="Q3719">
        <f>-522.13320901163 -95.4881082985023 -351.348018818768</f>
        <v>-968.9693361289003</v>
      </c>
      <c r="R3719" t="s">
        <v>76481</v>
      </c>
      <c r="S3719" t="s">
        <v>76482</v>
      </c>
      <c r="T3719" t="s">
        <v>76483</v>
      </c>
      <c r="U3719" t="s">
        <v>76484</v>
      </c>
      <c r="V3719">
        <f>-726.600411775556 -83.4487421044005 -230.596576919107</f>
        <v>-1040.6457307990636</v>
      </c>
      <c r="W3719" t="s">
        <v>76485</v>
      </c>
      <c r="X3719" t="s">
        <v>76486</v>
      </c>
      <c r="Y3719" t="s">
        <v>76487</v>
      </c>
    </row>
    <row r="3720" spans="1:25" x14ac:dyDescent="0.3">
      <c r="A3720">
        <v>185950</v>
      </c>
      <c r="B3720" t="s">
        <v>76488</v>
      </c>
      <c r="C3720" t="s">
        <v>76489</v>
      </c>
      <c r="D3720" t="s">
        <v>76490</v>
      </c>
      <c r="E3720" t="s">
        <v>76491</v>
      </c>
      <c r="F3720">
        <f>-748.592870933903 -5.04155317808704 -580.049220830414</f>
        <v>-1333.683644942404</v>
      </c>
      <c r="G3720">
        <f>-750.153730026773 -21.9109000096259 -688.25188496364</f>
        <v>-1460.3165150000391</v>
      </c>
      <c r="H3720">
        <f>-748.556912528437 -50.307861938807 -837.888355507323</f>
        <v>-1636.7531299745669</v>
      </c>
      <c r="I3720">
        <f>-715.402202824809 -73.3795322515859 -931.437592418059</f>
        <v>-1720.2193274944539</v>
      </c>
      <c r="J3720">
        <f>-739.287893497562 -8.06460289138136 -777.204539529056</f>
        <v>-1524.5570359179992</v>
      </c>
      <c r="K3720" t="s">
        <v>76492</v>
      </c>
      <c r="L3720" t="s">
        <v>76493</v>
      </c>
      <c r="M3720" t="s">
        <v>76494</v>
      </c>
      <c r="N3720">
        <f>-759.238929392759 -67.4214608977045 -766.153195261336</f>
        <v>-1592.8135855517994</v>
      </c>
      <c r="O3720">
        <f>-811.440611589818 -194.078219324292 -712.732225552384</f>
        <v>-1718.251056466494</v>
      </c>
      <c r="P3720">
        <f>-764.286294366705 -174.030313368954 -400.385043632598</f>
        <v>-1338.701651368257</v>
      </c>
      <c r="Q3720">
        <f>-521.308495385137 -95.2155017250809 -351.476593328012</f>
        <v>-968.00059043822989</v>
      </c>
      <c r="R3720" t="s">
        <v>76495</v>
      </c>
      <c r="S3720" t="s">
        <v>76496</v>
      </c>
      <c r="T3720" t="s">
        <v>76497</v>
      </c>
      <c r="U3720" t="s">
        <v>76498</v>
      </c>
      <c r="V3720">
        <f>-726.531967705955 -83.7359125110627 -230.550355376765</f>
        <v>-1040.8182355937827</v>
      </c>
      <c r="W3720" t="s">
        <v>76499</v>
      </c>
      <c r="X3720" t="s">
        <v>76500</v>
      </c>
      <c r="Y3720" t="s">
        <v>76501</v>
      </c>
    </row>
    <row r="3721" spans="1:25" x14ac:dyDescent="0.3">
      <c r="A3721">
        <v>186000</v>
      </c>
      <c r="B3721" t="s">
        <v>76502</v>
      </c>
      <c r="C3721" t="s">
        <v>76503</v>
      </c>
      <c r="D3721" t="s">
        <v>76504</v>
      </c>
      <c r="E3721" t="s">
        <v>76505</v>
      </c>
      <c r="F3721">
        <f>-748.441137777528 -5.32043799197709 -580.064819931675</f>
        <v>-1333.82639570118</v>
      </c>
      <c r="G3721">
        <f>-749.887875320244 -22.2582347347607 -688.258437893604</f>
        <v>-1460.4045479486085</v>
      </c>
      <c r="H3721">
        <f>-748.09616616902 -50.7620767438598 -837.872351582353</f>
        <v>-1636.7305944952327</v>
      </c>
      <c r="I3721">
        <f>-714.761103537102 -73.7856548045327 -931.369195741523</f>
        <v>-1719.9159540831577</v>
      </c>
      <c r="J3721">
        <f>-738.932196714218 -8.46729643152025 -777.208603992503</f>
        <v>-1524.6080971382412</v>
      </c>
      <c r="K3721" t="s">
        <v>76506</v>
      </c>
      <c r="L3721" t="s">
        <v>76507</v>
      </c>
      <c r="M3721" t="s">
        <v>76508</v>
      </c>
      <c r="N3721">
        <f>-758.845719179587 -67.8327616458334 -766.136978713254</f>
        <v>-1592.8154595386745</v>
      </c>
      <c r="O3721">
        <f>-810.949499286514 -194.545067498225 -712.733957461446</f>
        <v>-1718.2285242461849</v>
      </c>
      <c r="P3721">
        <f>-764.140111623617 -174.367242486759 -400.343317190673</f>
        <v>-1338.850671301049</v>
      </c>
      <c r="Q3721">
        <f>-521.323341131624 -95.0821645706185 -351.394780272946</f>
        <v>-967.80028597518844</v>
      </c>
      <c r="R3721" t="s">
        <v>76509</v>
      </c>
      <c r="S3721" t="s">
        <v>76510</v>
      </c>
      <c r="T3721" t="s">
        <v>76511</v>
      </c>
      <c r="U3721" t="s">
        <v>76512</v>
      </c>
      <c r="V3721">
        <f>-726.48494235054 -83.8423432274628 -230.534494249263</f>
        <v>-1040.8617798272658</v>
      </c>
      <c r="W3721" t="s">
        <v>76513</v>
      </c>
      <c r="X3721" t="s">
        <v>76514</v>
      </c>
      <c r="Y3721" t="s">
        <v>76515</v>
      </c>
    </row>
    <row r="3722" spans="1:25" x14ac:dyDescent="0.3">
      <c r="A3722">
        <v>186050</v>
      </c>
      <c r="B3722" t="s">
        <v>76516</v>
      </c>
      <c r="C3722" t="s">
        <v>76517</v>
      </c>
      <c r="D3722" t="s">
        <v>76518</v>
      </c>
      <c r="E3722" t="s">
        <v>76519</v>
      </c>
      <c r="F3722">
        <f>-748.113483049714 -5.78835188747871 -579.985184073902</f>
        <v>-1333.8870190110947</v>
      </c>
      <c r="G3722">
        <f>-749.382060913475 -22.8006463780796 -688.169402251269</f>
        <v>-1460.3521095428237</v>
      </c>
      <c r="H3722">
        <f>-747.319150205289 -51.4187913551884 -837.758112724526</f>
        <v>-1636.4960542850035</v>
      </c>
      <c r="I3722">
        <f>-713.713037821749 -74.3112953769457 -931.190042804379</f>
        <v>-1719.2143760030738</v>
      </c>
      <c r="J3722">
        <f>-738.322358071084 -9.05926173900934 -777.114418268705</f>
        <v>-1524.4960380787984</v>
      </c>
      <c r="K3722" t="s">
        <v>76520</v>
      </c>
      <c r="L3722" t="s">
        <v>76521</v>
      </c>
      <c r="M3722" t="s">
        <v>76522</v>
      </c>
      <c r="N3722">
        <f>-758.141460332774 -68.4529991989193 -766.024997823974</f>
        <v>-1592.6194573556672</v>
      </c>
      <c r="O3722">
        <f>-810.095836915223 -195.241570699403 -712.648305346786</f>
        <v>-1717.985712961412</v>
      </c>
      <c r="P3722">
        <f>-763.885512270522 -174.776852510043 -400.187166148111</f>
        <v>-1338.8495309286759</v>
      </c>
      <c r="Q3722">
        <f>-521.355149606431 -94.9888362837742 -350.639767962697</f>
        <v>-966.98375385290228</v>
      </c>
      <c r="R3722" t="s">
        <v>76523</v>
      </c>
      <c r="S3722" t="s">
        <v>76524</v>
      </c>
      <c r="T3722" t="s">
        <v>76525</v>
      </c>
      <c r="U3722" t="s">
        <v>76526</v>
      </c>
      <c r="V3722">
        <f>-726.592307104724 -84.1669977063273 -230.462032000002</f>
        <v>-1041.2213368110533</v>
      </c>
      <c r="W3722" t="s">
        <v>76527</v>
      </c>
      <c r="X3722" t="s">
        <v>76528</v>
      </c>
      <c r="Y3722" t="s">
        <v>76529</v>
      </c>
    </row>
    <row r="3723" spans="1:25" x14ac:dyDescent="0.3">
      <c r="A3723">
        <v>186100</v>
      </c>
      <c r="B3723" t="s">
        <v>76530</v>
      </c>
      <c r="C3723" t="s">
        <v>76531</v>
      </c>
      <c r="D3723" t="s">
        <v>76532</v>
      </c>
      <c r="E3723" t="s">
        <v>76533</v>
      </c>
      <c r="F3723">
        <f>-748.113642391235 -5.96947678504944 -579.965728565229</f>
        <v>-1334.0488477415133</v>
      </c>
      <c r="G3723">
        <f>-749.291627113367 -23.0161680812039 -688.145674807021</f>
        <v>-1460.453470001592</v>
      </c>
      <c r="H3723">
        <f>-747.074362783171 -51.6933008304727 -837.720622488717</f>
        <v>-1636.4882861023607</v>
      </c>
      <c r="I3723">
        <f>-713.3229017331 -74.5302148255514 -931.113903638786</f>
        <v>-1718.9670201974375</v>
      </c>
      <c r="J3723">
        <f>-738.1645759106 -9.30201410617815 -777.086392505728</f>
        <v>-1524.5529825225062</v>
      </c>
      <c r="K3723" t="s">
        <v>76534</v>
      </c>
      <c r="L3723" t="s">
        <v>76535</v>
      </c>
      <c r="M3723" t="s">
        <v>76536</v>
      </c>
      <c r="N3723">
        <f>-757.946268948087 -68.7070713802716 -765.990305477365</f>
        <v>-1592.6436458057237</v>
      </c>
      <c r="O3723">
        <f>-809.880085358503 -195.501419478771 -712.611746780869</f>
        <v>-1717.9932516181429</v>
      </c>
      <c r="P3723">
        <f>-764.012433047549 -174.906986562842 -400.108444927748</f>
        <v>-1339.0278645381391</v>
      </c>
      <c r="Q3723">
        <f>-521.57197799429 -94.9747965998656 -350.354205500983</f>
        <v>-966.90098009513872</v>
      </c>
      <c r="R3723" t="s">
        <v>76537</v>
      </c>
      <c r="S3723" t="s">
        <v>76538</v>
      </c>
      <c r="T3723" t="s">
        <v>76539</v>
      </c>
      <c r="U3723" t="s">
        <v>76540</v>
      </c>
      <c r="V3723">
        <f>-726.727470866013 -84.3183452956027 -230.435287140774</f>
        <v>-1041.4811033023898</v>
      </c>
      <c r="W3723" t="s">
        <v>76541</v>
      </c>
      <c r="X3723" t="s">
        <v>76542</v>
      </c>
      <c r="Y3723" t="s">
        <v>76543</v>
      </c>
    </row>
    <row r="3724" spans="1:25" x14ac:dyDescent="0.3">
      <c r="A3724">
        <v>186150</v>
      </c>
      <c r="B3724" t="s">
        <v>76544</v>
      </c>
      <c r="C3724" t="s">
        <v>76545</v>
      </c>
      <c r="D3724" t="s">
        <v>76546</v>
      </c>
      <c r="E3724" t="s">
        <v>76547</v>
      </c>
      <c r="F3724">
        <f>-747.909374841729 -6.48706303102654 -579.962063474968</f>
        <v>-1334.3585013477236</v>
      </c>
      <c r="G3724">
        <f>-748.912700249009 -23.580523777192 -688.136219058696</f>
        <v>-1460.629443084897</v>
      </c>
      <c r="H3724">
        <f>-746.421265212038 -52.3310300762726 -837.692931147377</f>
        <v>-1636.4452264356873</v>
      </c>
      <c r="I3724">
        <f>-712.403539035924 -75.0888792091514 -931.008742887246</f>
        <v>-1718.5011611323214</v>
      </c>
      <c r="J3724">
        <f>-737.641156246629 -9.90414319562342 -777.0646912868</f>
        <v>-1524.6099907290522</v>
      </c>
      <c r="K3724" t="s">
        <v>76548</v>
      </c>
      <c r="L3724" t="s">
        <v>76549</v>
      </c>
      <c r="M3724" t="s">
        <v>76550</v>
      </c>
      <c r="N3724">
        <f>-757.406181677824 -69.3155464900283 -765.972697180325</f>
        <v>-1592.6944253481772</v>
      </c>
      <c r="O3724">
        <f>-809.387904426623 -196.117885293153 -712.649450229279</f>
        <v>-1718.1552399490549</v>
      </c>
      <c r="P3724">
        <f>-763.942402003402 -175.413442287463 -400.091808320723</f>
        <v>-1339.447652611588</v>
      </c>
      <c r="Q3724">
        <f>-521.613852369925 -95.3650589643491 -349.979848374534</f>
        <v>-966.9587597088082</v>
      </c>
      <c r="R3724" t="s">
        <v>76551</v>
      </c>
      <c r="S3724" t="s">
        <v>76552</v>
      </c>
      <c r="T3724" t="s">
        <v>76553</v>
      </c>
      <c r="U3724" t="s">
        <v>76554</v>
      </c>
      <c r="V3724">
        <f>-726.979770306947 -84.7098199568882 -230.393638902046</f>
        <v>-1042.0832291658812</v>
      </c>
      <c r="W3724" t="s">
        <v>76555</v>
      </c>
      <c r="X3724" t="s">
        <v>76556</v>
      </c>
      <c r="Y3724" t="s">
        <v>76557</v>
      </c>
    </row>
    <row r="3725" spans="1:25" x14ac:dyDescent="0.3">
      <c r="A3725">
        <v>186200</v>
      </c>
      <c r="B3725" t="s">
        <v>76558</v>
      </c>
      <c r="C3725" t="s">
        <v>76559</v>
      </c>
      <c r="D3725" t="s">
        <v>76560</v>
      </c>
      <c r="E3725" t="s">
        <v>76561</v>
      </c>
      <c r="F3725">
        <f>-747.876175113923 -6.7006037931219 -579.988678025539</f>
        <v>-1334.5654569325839</v>
      </c>
      <c r="G3725">
        <f>-748.802876552809 -23.8274438041642 -688.158342758885</f>
        <v>-1460.7886631158583</v>
      </c>
      <c r="H3725">
        <f>-746.177783975275 -52.6314853700851 -837.702412527531</f>
        <v>-1636.5116818728911</v>
      </c>
      <c r="I3725">
        <f>-712.038783627036 -75.3598836350789 -930.98115052955</f>
        <v>-1718.3798177916647</v>
      </c>
      <c r="J3725">
        <f>-737.451801997882 -10.1828461049329 -777.081487221811</f>
        <v>-1524.7161353246258</v>
      </c>
      <c r="K3725" t="s">
        <v>76562</v>
      </c>
      <c r="L3725" t="s">
        <v>76563</v>
      </c>
      <c r="M3725" t="s">
        <v>76564</v>
      </c>
      <c r="N3725">
        <f>-757.226736196467 -69.5902436237604 -765.98606795813</f>
        <v>-1592.8030477783573</v>
      </c>
      <c r="O3725">
        <f>-809.267080279136 -196.367848299758 -712.666752417981</f>
        <v>-1718.3016809968749</v>
      </c>
      <c r="P3725">
        <f>-764.035430951928 -175.686913897976 -400.076627823516</f>
        <v>-1339.7989726734199</v>
      </c>
      <c r="Q3725">
        <f>-521.688126808588 -95.6869298757331 -349.978192505955</f>
        <v>-967.35324919027607</v>
      </c>
      <c r="R3725" t="s">
        <v>76565</v>
      </c>
      <c r="S3725" t="s">
        <v>76566</v>
      </c>
      <c r="T3725" t="s">
        <v>76567</v>
      </c>
      <c r="U3725" t="s">
        <v>76568</v>
      </c>
      <c r="V3725">
        <f>-727.131677336179 -84.833814184319 -230.384937377808</f>
        <v>-1042.3504288983058</v>
      </c>
      <c r="W3725" t="s">
        <v>76569</v>
      </c>
      <c r="X3725" t="s">
        <v>76570</v>
      </c>
      <c r="Y3725" t="s">
        <v>76571</v>
      </c>
    </row>
    <row r="3726" spans="1:25" x14ac:dyDescent="0.3">
      <c r="A3726">
        <v>186250</v>
      </c>
      <c r="B3726" t="s">
        <v>76572</v>
      </c>
      <c r="C3726" t="s">
        <v>76573</v>
      </c>
      <c r="D3726" t="s">
        <v>76574</v>
      </c>
      <c r="E3726" t="s">
        <v>76575</v>
      </c>
      <c r="F3726">
        <f>-747.537857568304 -6.99585787352726 -580.038498904481</f>
        <v>-1334.5722143463122</v>
      </c>
      <c r="G3726">
        <f>-748.326500230938 -24.1318470994242 -688.207754973631</f>
        <v>-1460.6661023039933</v>
      </c>
      <c r="H3726">
        <f>-745.466167398266 -52.9475806974961 -837.745219633651</f>
        <v>-1636.158967729413</v>
      </c>
      <c r="I3726">
        <f>-711.125427309478 -75.5676810663706 -930.976347749265</f>
        <v>-1717.6694561251136</v>
      </c>
      <c r="J3726">
        <f>-736.844008312691 -10.4915963343947 -777.114736750851</f>
        <v>-1524.4503413979367</v>
      </c>
      <c r="K3726" t="s">
        <v>76576</v>
      </c>
      <c r="L3726" t="s">
        <v>76577</v>
      </c>
      <c r="M3726" t="s">
        <v>76578</v>
      </c>
      <c r="N3726">
        <f>-756.619582640358 -69.9034697382547 -766.044477353146</f>
        <v>-1592.5675297317587</v>
      </c>
      <c r="O3726">
        <f>-808.76193079628 -196.670057938908 -712.791021010274</f>
        <v>-1718.2230097454622</v>
      </c>
      <c r="P3726">
        <f>-763.937558677334 -175.984620025626 -400.142423320619</f>
        <v>-1340.064602023579</v>
      </c>
      <c r="Q3726">
        <f>-521.466196263498 -96.2925808604016 -350.153945046375</f>
        <v>-967.91272217027449</v>
      </c>
      <c r="R3726" t="s">
        <v>76579</v>
      </c>
      <c r="S3726" t="s">
        <v>76580</v>
      </c>
      <c r="T3726" t="s">
        <v>76581</v>
      </c>
      <c r="U3726" t="s">
        <v>76582</v>
      </c>
      <c r="V3726">
        <f>-727.058275373657 -84.9480415525356 -230.4003528706</f>
        <v>-1042.4066697967926</v>
      </c>
      <c r="W3726" t="s">
        <v>76583</v>
      </c>
      <c r="X3726" t="s">
        <v>76584</v>
      </c>
      <c r="Y3726" t="s">
        <v>76585</v>
      </c>
    </row>
    <row r="3727" spans="1:25" x14ac:dyDescent="0.3">
      <c r="A3727">
        <v>186300</v>
      </c>
      <c r="B3727" t="s">
        <v>76586</v>
      </c>
      <c r="C3727" t="s">
        <v>76587</v>
      </c>
      <c r="D3727" t="s">
        <v>76588</v>
      </c>
      <c r="E3727" t="s">
        <v>76589</v>
      </c>
      <c r="F3727">
        <f>-747.577400711255 -7.0459664927323 -580.05116655198</f>
        <v>-1334.6745337559673</v>
      </c>
      <c r="G3727">
        <f>-748.350691218026 -24.1544198990691 -688.224807983743</f>
        <v>-1460.7299191008381</v>
      </c>
      <c r="H3727">
        <f>-745.447827684754 -52.9257098320586 -837.770097529608</f>
        <v>-1636.1436350464205</v>
      </c>
      <c r="I3727">
        <f>-711.029629311719 -75.4910975561793 -930.985841081754</f>
        <v>-1717.5065679496522</v>
      </c>
      <c r="J3727">
        <f>-736.848513910197 -10.4859921727473 -777.124979341407</f>
        <v>-1524.4594854243512</v>
      </c>
      <c r="K3727" t="s">
        <v>76590</v>
      </c>
      <c r="L3727" t="s">
        <v>76591</v>
      </c>
      <c r="M3727" t="s">
        <v>76592</v>
      </c>
      <c r="N3727">
        <f>-756.616039124337 -69.9046690184357 -766.076949902422</f>
        <v>-1592.5976580451947</v>
      </c>
      <c r="O3727">
        <f>-808.76799718863 -196.687707523418 -712.879203872742</f>
        <v>-1718.3349085847899</v>
      </c>
      <c r="P3727">
        <f>-764.004653351313 -176.010008597814 -400.221442632998</f>
        <v>-1340.2361045821249</v>
      </c>
      <c r="Q3727">
        <f>-521.488583395885 -96.4822202993514 -350.188364325219</f>
        <v>-968.15916802045547</v>
      </c>
      <c r="R3727" t="s">
        <v>76593</v>
      </c>
      <c r="S3727" t="s">
        <v>76594</v>
      </c>
      <c r="T3727" t="s">
        <v>76595</v>
      </c>
      <c r="U3727" t="s">
        <v>76596</v>
      </c>
      <c r="V3727">
        <f>-727.062213212275 -85.0081495978998 -230.406872949834</f>
        <v>-1042.4772357600086</v>
      </c>
      <c r="W3727" t="s">
        <v>76597</v>
      </c>
      <c r="X3727" t="s">
        <v>76598</v>
      </c>
      <c r="Y3727" t="s">
        <v>76599</v>
      </c>
    </row>
    <row r="3728" spans="1:25" x14ac:dyDescent="0.3">
      <c r="A3728">
        <v>186350</v>
      </c>
      <c r="B3728" t="s">
        <v>76600</v>
      </c>
      <c r="C3728" t="s">
        <v>76601</v>
      </c>
      <c r="D3728" t="s">
        <v>76602</v>
      </c>
      <c r="E3728" t="s">
        <v>76603</v>
      </c>
      <c r="F3728">
        <f>-747.76581394227 -6.99354460616223 -580.07384214598</f>
        <v>-1334.8332006944124</v>
      </c>
      <c r="G3728">
        <f>-748.495262639859 -24.0680998081177 -688.253386302786</f>
        <v>-1460.8167487507626</v>
      </c>
      <c r="H3728">
        <f>-745.482476177554 -52.7948164619902 -837.804948953075</f>
        <v>-1636.0822415926191</v>
      </c>
      <c r="I3728">
        <f>-710.924160478476 -75.2574053797705 -930.99376519188</f>
        <v>-1717.1753310501265</v>
      </c>
      <c r="J3728">
        <f>-736.946453937445 -10.3671912931643 -777.142417896023</f>
        <v>-1524.4560631266322</v>
      </c>
      <c r="K3728" t="s">
        <v>76604</v>
      </c>
      <c r="L3728" t="s">
        <v>76605</v>
      </c>
      <c r="M3728" t="s">
        <v>76606</v>
      </c>
      <c r="N3728">
        <f>-756.684653376645 -69.8011150806585 -766.123631352008</f>
        <v>-1592.6093998093115</v>
      </c>
      <c r="O3728">
        <f>-808.83812937871 -196.620221123195 -713.016465481704</f>
        <v>-1718.474815983609</v>
      </c>
      <c r="P3728">
        <f>-764.180872361629 -175.990769484348 -400.340379555318</f>
        <v>-1340.512021401295</v>
      </c>
      <c r="Q3728">
        <f>-521.642227722747 -96.5410694316836 -350.29237728562</f>
        <v>-968.47567444005051</v>
      </c>
      <c r="R3728" t="s">
        <v>76607</v>
      </c>
      <c r="S3728" t="s">
        <v>76608</v>
      </c>
      <c r="T3728" t="s">
        <v>76609</v>
      </c>
      <c r="U3728" t="s">
        <v>76610</v>
      </c>
      <c r="V3728">
        <f>-727.109140981453 -85.0190668225007 -230.436183949834</f>
        <v>-1042.5643917537877</v>
      </c>
      <c r="W3728" t="s">
        <v>76611</v>
      </c>
      <c r="X3728" t="s">
        <v>76612</v>
      </c>
      <c r="Y3728" t="s">
        <v>76613</v>
      </c>
    </row>
    <row r="3729" spans="1:25" x14ac:dyDescent="0.3">
      <c r="A3729">
        <v>186400</v>
      </c>
      <c r="B3729" t="s">
        <v>76614</v>
      </c>
      <c r="C3729" t="s">
        <v>76615</v>
      </c>
      <c r="D3729" t="s">
        <v>76616</v>
      </c>
      <c r="E3729" t="s">
        <v>76617</v>
      </c>
      <c r="F3729">
        <f>-747.971543814641 -6.99464777239632 -580.05514147465</f>
        <v>-1335.0213330616873</v>
      </c>
      <c r="G3729">
        <f>-748.6869700902 -24.0497184600074 -688.23772834932</f>
        <v>-1460.9744168995276</v>
      </c>
      <c r="H3729">
        <f>-745.634793978911 -52.7483011135339 -837.793919988931</f>
        <v>-1636.1770150813759</v>
      </c>
      <c r="I3729">
        <f>-711.027615445158 -75.1571829544084 -930.977446405717</f>
        <v>-1717.1622448052835</v>
      </c>
      <c r="J3729">
        <f>-737.130272937326 -10.3271414983142 -777.122310769323</f>
        <v>-1524.5797252049633</v>
      </c>
      <c r="K3729" t="s">
        <v>76618</v>
      </c>
      <c r="L3729" t="s">
        <v>76619</v>
      </c>
      <c r="M3729" t="s">
        <v>76620</v>
      </c>
      <c r="N3729">
        <f>-756.840274947747 -69.7729606693385 -766.117536867131</f>
        <v>-1592.7307724842167</v>
      </c>
      <c r="O3729">
        <f>-808.932234150845 -196.631281119614 -713.04430778665</f>
        <v>-1718.607823057109</v>
      </c>
      <c r="P3729">
        <f>-764.313395456644 -175.843734093448 -400.3731825092</f>
        <v>-1340.5303120592921</v>
      </c>
      <c r="Q3729">
        <f>-521.776153725606 -96.4269543406615 -350.266169329624</f>
        <v>-968.4692773958916</v>
      </c>
      <c r="R3729" t="s">
        <v>76621</v>
      </c>
      <c r="S3729" t="s">
        <v>76622</v>
      </c>
      <c r="T3729" t="s">
        <v>76623</v>
      </c>
      <c r="U3729" t="s">
        <v>76624</v>
      </c>
      <c r="V3729">
        <f>-727.226755970038 -85.0784405336246 -230.433862548046</f>
        <v>-1042.7390590517086</v>
      </c>
      <c r="W3729" t="s">
        <v>76625</v>
      </c>
      <c r="X3729" t="s">
        <v>76626</v>
      </c>
      <c r="Y3729" t="s">
        <v>76627</v>
      </c>
    </row>
    <row r="3730" spans="1:25" x14ac:dyDescent="0.3">
      <c r="A3730">
        <v>186450</v>
      </c>
      <c r="B3730" t="s">
        <v>76628</v>
      </c>
      <c r="C3730" t="s">
        <v>76629</v>
      </c>
      <c r="D3730" t="s">
        <v>76630</v>
      </c>
      <c r="E3730" t="s">
        <v>76631</v>
      </c>
      <c r="F3730">
        <f>-748.269438724414 -7.08260028465884 -579.989558550293</f>
        <v>-1335.3415975593659</v>
      </c>
      <c r="G3730">
        <f>-748.909481187588 -24.0888525741502 -688.180247627577</f>
        <v>-1461.1785813893152</v>
      </c>
      <c r="H3730">
        <f>-745.708097037756 -52.7214254686512 -837.746196757544</f>
        <v>-1636.1757192639511</v>
      </c>
      <c r="I3730">
        <f>-710.956869254085 -75.0043870183983 -930.906185684105</f>
        <v>-1716.8674419565882</v>
      </c>
      <c r="J3730">
        <f>-737.313479705418 -10.3114692616746 -777.051413469219</f>
        <v>-1524.6763624363116</v>
      </c>
      <c r="K3730" t="s">
        <v>76632</v>
      </c>
      <c r="L3730" t="s">
        <v>76633</v>
      </c>
      <c r="M3730" t="s">
        <v>76634</v>
      </c>
      <c r="N3730">
        <f>-756.935721032662 -69.7933155566664 -766.084259177338</f>
        <v>-1592.8132957666662</v>
      </c>
      <c r="O3730">
        <f>-808.896137987825 -196.751533594941 -713.11508687509</f>
        <v>-1718.7627584578559</v>
      </c>
      <c r="P3730">
        <f>-764.551876968531 -175.972504153365 -400.404224856132</f>
        <v>-1340.9286059780279</v>
      </c>
      <c r="Q3730">
        <f>-522.121866949505 -96.3001827862081 -350.183753149483</f>
        <v>-968.60580288519611</v>
      </c>
      <c r="R3730" t="s">
        <v>76635</v>
      </c>
      <c r="S3730" t="s">
        <v>76636</v>
      </c>
      <c r="T3730" t="s">
        <v>76637</v>
      </c>
      <c r="U3730" t="s">
        <v>76638</v>
      </c>
      <c r="V3730">
        <f>-727.512059761006 -85.2884950580283 -230.403370606052</f>
        <v>-1043.2039254250863</v>
      </c>
      <c r="W3730" t="s">
        <v>76639</v>
      </c>
      <c r="X3730" t="s">
        <v>76640</v>
      </c>
      <c r="Y3730" t="s">
        <v>76641</v>
      </c>
    </row>
    <row r="3731" spans="1:25" x14ac:dyDescent="0.3">
      <c r="A3731">
        <v>186500</v>
      </c>
      <c r="B3731" t="s">
        <v>76642</v>
      </c>
      <c r="C3731" t="s">
        <v>76643</v>
      </c>
      <c r="D3731" t="s">
        <v>76644</v>
      </c>
      <c r="E3731" t="s">
        <v>76645</v>
      </c>
      <c r="F3731">
        <f>-748.579325980559 -7.019060546319 -579.96390919136</f>
        <v>-1335.5622957182381</v>
      </c>
      <c r="G3731">
        <f>-749.206317737991 -23.9747152114644 -688.162642912551</f>
        <v>-1461.3436758620064</v>
      </c>
      <c r="H3731">
        <f>-745.970785169708 -52.52611468178 -837.743251924204</f>
        <v>-1636.2401517756921</v>
      </c>
      <c r="I3731">
        <f>-711.166885263245 -74.7244780541555 -930.903847682143</f>
        <v>-1716.7952109995435</v>
      </c>
      <c r="J3731">
        <f>-737.621136134067 -10.1393269441446 -777.026294028617</f>
        <v>-1524.7867571068286</v>
      </c>
      <c r="K3731" t="s">
        <v>76646</v>
      </c>
      <c r="L3731" t="s">
        <v>76647</v>
      </c>
      <c r="M3731" t="s">
        <v>76648</v>
      </c>
      <c r="N3731">
        <f>-757.183738155295 -69.6467543876497 -766.0907779359</f>
        <v>-1592.9212704788447</v>
      </c>
      <c r="O3731">
        <f>-809.052015890717 -196.678676324428 -713.196823351604</f>
        <v>-1718.9275155667492</v>
      </c>
      <c r="P3731">
        <f>-764.910129998558 -175.969168439496 -400.452756437732</f>
        <v>-1341.3320548757861</v>
      </c>
      <c r="Q3731">
        <f>-522.567185960748 -96.1233983834711 -350.08844765938</f>
        <v>-968.77903200359913</v>
      </c>
      <c r="R3731" t="s">
        <v>76649</v>
      </c>
      <c r="S3731" t="s">
        <v>76650</v>
      </c>
      <c r="T3731" t="s">
        <v>76651</v>
      </c>
      <c r="U3731" t="s">
        <v>76652</v>
      </c>
      <c r="V3731">
        <f>-727.793102742477 -85.3206826120718 -230.383234368077</f>
        <v>-1043.4970197226257</v>
      </c>
      <c r="W3731" t="s">
        <v>76653</v>
      </c>
      <c r="X3731" t="s">
        <v>76654</v>
      </c>
      <c r="Y3731" t="s">
        <v>76655</v>
      </c>
    </row>
    <row r="3732" spans="1:25" x14ac:dyDescent="0.3">
      <c r="A3732">
        <v>186550</v>
      </c>
      <c r="B3732" t="s">
        <v>76656</v>
      </c>
      <c r="C3732" t="s">
        <v>76657</v>
      </c>
      <c r="D3732" t="s">
        <v>76658</v>
      </c>
      <c r="E3732" t="s">
        <v>76659</v>
      </c>
      <c r="F3732">
        <f>-749.172520092448 -6.83976098195922 -579.911148631343</f>
        <v>-1335.9234297057503</v>
      </c>
      <c r="G3732">
        <f>-749.647767876813 -23.7113703714474 -688.123834176247</f>
        <v>-1461.4829724245074</v>
      </c>
      <c r="H3732">
        <f>-746.138699251573 -52.1359911550251 -837.722472134152</f>
        <v>-1635.9971625407502</v>
      </c>
      <c r="I3732">
        <f>-711.170033229035 -74.1581168945258 -930.863193194062</f>
        <v>-1716.1913433176228</v>
      </c>
      <c r="J3732">
        <f>-737.9673363225 -9.77960013301868 -776.959933182983</f>
        <v>-1524.7068696385018</v>
      </c>
      <c r="K3732" t="s">
        <v>76660</v>
      </c>
      <c r="L3732" t="s">
        <v>76661</v>
      </c>
      <c r="M3732" t="s">
        <v>76662</v>
      </c>
      <c r="N3732">
        <f>-757.415310639401 -69.3382800018974 -766.099502527694</f>
        <v>-1592.8530931689925</v>
      </c>
      <c r="O3732">
        <f>-809.102584488609 -196.520685718858 -713.378275200006</f>
        <v>-1719.0015454074728</v>
      </c>
      <c r="P3732">
        <f>-765.26683842508 -176.085454122592 -400.573196638677</f>
        <v>-1341.9254891863491</v>
      </c>
      <c r="Q3732">
        <f>-523.125642533207 -95.7165839475317 -350.070434540433</f>
        <v>-968.91266102117174</v>
      </c>
      <c r="R3732" t="s">
        <v>76663</v>
      </c>
      <c r="S3732" t="s">
        <v>76664</v>
      </c>
      <c r="T3732" t="s">
        <v>76665</v>
      </c>
      <c r="U3732" t="s">
        <v>76666</v>
      </c>
      <c r="V3732">
        <f>-728.495297985328 -85.3417807241021 -230.356472338125</f>
        <v>-1044.193551047555</v>
      </c>
      <c r="W3732" t="s">
        <v>76667</v>
      </c>
      <c r="X3732" t="s">
        <v>76668</v>
      </c>
      <c r="Y3732" t="s">
        <v>76669</v>
      </c>
    </row>
    <row r="3733" spans="1:25" x14ac:dyDescent="0.3">
      <c r="A3733">
        <v>186600</v>
      </c>
      <c r="B3733" t="s">
        <v>76670</v>
      </c>
      <c r="C3733" t="s">
        <v>76671</v>
      </c>
      <c r="D3733" t="s">
        <v>76672</v>
      </c>
      <c r="E3733" t="s">
        <v>76673</v>
      </c>
      <c r="F3733">
        <f>-749.596329797609 -6.64952591034148 -579.862252300177</f>
        <v>-1336.1081080081276</v>
      </c>
      <c r="G3733">
        <f>-749.947024664815 -23.4802124516812 -688.081633042479</f>
        <v>-1461.5088701589752</v>
      </c>
      <c r="H3733">
        <f>-746.210440042309 -51.845135958021 -837.686012880725</f>
        <v>-1635.7415888810551</v>
      </c>
      <c r="I3733">
        <f>-711.138974877153 -73.7698651399583 -930.811077597187</f>
        <v>-1715.7199176142983</v>
      </c>
      <c r="J3733">
        <f>-738.182055448469 -9.49736792749422 -776.89847405814</f>
        <v>-1524.5778974341033</v>
      </c>
      <c r="K3733" t="s">
        <v>76674</v>
      </c>
      <c r="L3733" t="s">
        <v>76675</v>
      </c>
      <c r="M3733" t="s">
        <v>76676</v>
      </c>
      <c r="N3733">
        <f>-757.545474587167 -69.0917074461854 -766.083135207583</f>
        <v>-1592.7203172409354</v>
      </c>
      <c r="O3733">
        <f>-809.077831046683 -196.361363755696 -713.456704786068</f>
        <v>-1718.895899588447</v>
      </c>
      <c r="P3733">
        <f>-765.42680001085 -175.928009623033 -400.625699186531</f>
        <v>-1341.9805088204139</v>
      </c>
      <c r="Q3733">
        <f>-523.391043382904 -95.292387183754 -350.042681602243</f>
        <v>-968.72611216890095</v>
      </c>
      <c r="R3733" t="s">
        <v>76677</v>
      </c>
      <c r="S3733" t="s">
        <v>76678</v>
      </c>
      <c r="T3733" t="s">
        <v>76679</v>
      </c>
      <c r="U3733" t="s">
        <v>76680</v>
      </c>
      <c r="V3733">
        <f>-728.954481534211 -85.3121038697302 -230.331621673871</f>
        <v>-1044.5982070778123</v>
      </c>
      <c r="W3733" t="s">
        <v>76681</v>
      </c>
      <c r="X3733" t="s">
        <v>76682</v>
      </c>
      <c r="Y3733" t="s">
        <v>76683</v>
      </c>
    </row>
    <row r="3734" spans="1:25" x14ac:dyDescent="0.3">
      <c r="A3734">
        <v>186650</v>
      </c>
      <c r="B3734" t="s">
        <v>76684</v>
      </c>
      <c r="C3734" t="s">
        <v>76685</v>
      </c>
      <c r="D3734" t="s">
        <v>76686</v>
      </c>
      <c r="E3734" t="s">
        <v>76687</v>
      </c>
      <c r="F3734">
        <f>-750.675025580303 -6.34595322196742 -579.713332969558</f>
        <v>-1336.7343117718283</v>
      </c>
      <c r="G3734">
        <f>-750.779865700733 -23.201686310857 -687.92957455915</f>
        <v>-1461.91112657074</v>
      </c>
      <c r="H3734">
        <f>-746.579296559865 -51.6337670544688 -837.508941014697</f>
        <v>-1635.7220046290308</v>
      </c>
      <c r="I3734">
        <f>-711.280263447688 -73.3956589041525 -930.586063969926</f>
        <v>-1715.2619863217665</v>
      </c>
      <c r="J3734">
        <f>-738.82679338188 -9.23181009674886 -776.723226119087</f>
        <v>-1524.7818295977158</v>
      </c>
      <c r="K3734" t="s">
        <v>76688</v>
      </c>
      <c r="L3734" t="s">
        <v>76689</v>
      </c>
      <c r="M3734" t="s">
        <v>76690</v>
      </c>
      <c r="N3734">
        <f>-758.04909317388 -68.8751524444249 -765.926039437879</f>
        <v>-1592.850285056184</v>
      </c>
      <c r="O3734">
        <f>-809.314497009376 -196.298867943176 -713.408052613866</f>
        <v>-1719.021417566418</v>
      </c>
      <c r="P3734">
        <f>-766.305787651108 -175.825184579048 -400.490709032953</f>
        <v>-1342.6216812631089</v>
      </c>
      <c r="Q3734">
        <f>-524.511314219045 -94.546117559591 -349.783012665822</f>
        <v>-968.84044444445794</v>
      </c>
      <c r="R3734" t="s">
        <v>76691</v>
      </c>
      <c r="S3734" t="s">
        <v>76692</v>
      </c>
      <c r="T3734" t="s">
        <v>76693</v>
      </c>
      <c r="U3734" t="s">
        <v>76694</v>
      </c>
      <c r="V3734">
        <f>-729.874502113689 -85.279034872425 -230.290140125422</f>
        <v>-1045.4436771115361</v>
      </c>
      <c r="W3734" t="s">
        <v>76695</v>
      </c>
      <c r="X3734" t="s">
        <v>76696</v>
      </c>
      <c r="Y3734" t="s">
        <v>76697</v>
      </c>
    </row>
    <row r="3735" spans="1:25" x14ac:dyDescent="0.3">
      <c r="A3735">
        <v>186700</v>
      </c>
      <c r="B3735" t="s">
        <v>76698</v>
      </c>
      <c r="C3735" t="s">
        <v>76699</v>
      </c>
      <c r="D3735" t="s">
        <v>76700</v>
      </c>
      <c r="E3735" t="s">
        <v>76701</v>
      </c>
      <c r="F3735">
        <f>-751.032715722919 -6.21872398028063 -579.630876002823</f>
        <v>-1336.8823157060226</v>
      </c>
      <c r="G3735">
        <f>-751.048897871252 -23.0691370381735 -687.847901772224</f>
        <v>-1461.9659366816495</v>
      </c>
      <c r="H3735">
        <f>-746.704635298503 -51.4978699467315 -837.423696098199</f>
        <v>-1635.6262013434334</v>
      </c>
      <c r="I3735">
        <f>-711.310418325538 -73.1856187384656 -930.482251864229</f>
        <v>-1714.9782889282326</v>
      </c>
      <c r="J3735">
        <f>-739.050906864315 -9.0849229549558 -776.633209704126</f>
        <v>-1524.7690395233967</v>
      </c>
      <c r="K3735" t="s">
        <v>76702</v>
      </c>
      <c r="L3735" t="s">
        <v>76703</v>
      </c>
      <c r="M3735" t="s">
        <v>76704</v>
      </c>
      <c r="N3735">
        <f>-758.202743526322 -68.7531272712124 -765.848874548133</f>
        <v>-1592.8047453456675</v>
      </c>
      <c r="O3735">
        <f>-809.320974252259 -196.261144646764 -713.390420017992</f>
        <v>-1718.9725389170151</v>
      </c>
      <c r="P3735">
        <f>-766.572796820289 -175.79754855639 -400.436724517081</f>
        <v>-1342.8070698937599</v>
      </c>
      <c r="Q3735">
        <f>-524.926937180113 -94.184082856556 -349.558867923002</f>
        <v>-968.66988795967097</v>
      </c>
      <c r="R3735" t="s">
        <v>76705</v>
      </c>
      <c r="S3735" t="s">
        <v>76706</v>
      </c>
      <c r="T3735" t="s">
        <v>76707</v>
      </c>
      <c r="U3735" t="s">
        <v>76708</v>
      </c>
      <c r="V3735">
        <f>-730.229112398802 -85.241642876704 -230.264366788624</f>
        <v>-1045.7351220641299</v>
      </c>
      <c r="W3735" t="s">
        <v>76709</v>
      </c>
      <c r="X3735" t="s">
        <v>76710</v>
      </c>
      <c r="Y3735" t="s">
        <v>76711</v>
      </c>
    </row>
    <row r="3736" spans="1:25" x14ac:dyDescent="0.3">
      <c r="A3736">
        <v>186750</v>
      </c>
      <c r="B3736" t="s">
        <v>76712</v>
      </c>
      <c r="C3736" t="s">
        <v>76713</v>
      </c>
      <c r="D3736" t="s">
        <v>76714</v>
      </c>
      <c r="E3736" t="s">
        <v>76715</v>
      </c>
      <c r="F3736">
        <f>-751.714376946348 -6.06483469824798 -579.545202564615</f>
        <v>-1337.324414209211</v>
      </c>
      <c r="G3736">
        <f>-751.58473394002 -22.911348161585 -687.762653958875</f>
        <v>-1462.25873606048</v>
      </c>
      <c r="H3736">
        <f>-746.98469180734 -51.3496820364803 -837.329068664364</f>
        <v>-1635.6634425081843</v>
      </c>
      <c r="I3736">
        <f>-711.380684845928 -72.9317708572114 -930.332045304382</f>
        <v>-1714.6445010075213</v>
      </c>
      <c r="J3736">
        <f>-739.506652351857 -8.91103369415328 -776.53465904364</f>
        <v>-1524.9523450896504</v>
      </c>
      <c r="K3736" t="s">
        <v>76716</v>
      </c>
      <c r="L3736" t="s">
        <v>76717</v>
      </c>
      <c r="M3736" t="s">
        <v>76718</v>
      </c>
      <c r="N3736">
        <f>-758.533473454115 -68.6221596045382 -765.766473452058</f>
        <v>-1592.9221065107113</v>
      </c>
      <c r="O3736">
        <f>-809.443680885448 -196.254999041627 -713.418416016664</f>
        <v>-1719.1170959437391</v>
      </c>
      <c r="P3736">
        <f>-767.093147238995 -175.808503301104 -400.409599891926</f>
        <v>-1343.311250432025</v>
      </c>
      <c r="Q3736">
        <f>-525.712628169843 -93.6538647502562 -349.144580974042</f>
        <v>-968.51107389414119</v>
      </c>
      <c r="R3736" t="s">
        <v>76719</v>
      </c>
      <c r="S3736" t="s">
        <v>76720</v>
      </c>
      <c r="T3736" t="s">
        <v>76721</v>
      </c>
      <c r="U3736" t="s">
        <v>76722</v>
      </c>
      <c r="V3736">
        <f>-730.961686156543 -85.2632873913285 -230.22535034313</f>
        <v>-1046.4503238910015</v>
      </c>
      <c r="W3736" t="s">
        <v>76723</v>
      </c>
      <c r="X3736" t="s">
        <v>76724</v>
      </c>
      <c r="Y3736" t="s">
        <v>76725</v>
      </c>
    </row>
    <row r="3737" spans="1:25" x14ac:dyDescent="0.3">
      <c r="A3737">
        <v>186800</v>
      </c>
      <c r="B3737" t="s">
        <v>76726</v>
      </c>
      <c r="C3737" t="s">
        <v>76727</v>
      </c>
      <c r="D3737" t="s">
        <v>76728</v>
      </c>
      <c r="E3737" t="s">
        <v>76729</v>
      </c>
      <c r="F3737">
        <f>-751.976529332727 -5.96776817654813 -579.510310251837</f>
        <v>-1337.4546077611121</v>
      </c>
      <c r="G3737">
        <f>-751.780322366431 -22.7961778323861 -687.730529509726</f>
        <v>-1462.3070297085433</v>
      </c>
      <c r="H3737">
        <f>-747.069519799667 -51.2085302075309 -837.29839419607</f>
        <v>-1635.5764442032678</v>
      </c>
      <c r="I3737">
        <f>-711.383978910955 -72.7551415187781 -930.278328244067</f>
        <v>-1714.4174486738002</v>
      </c>
      <c r="J3737">
        <f>-739.665586419019 -8.77172476477358 -776.493652723153</f>
        <v>-1524.9309639069456</v>
      </c>
      <c r="K3737" t="s">
        <v>76730</v>
      </c>
      <c r="L3737" t="s">
        <v>76731</v>
      </c>
      <c r="M3737" t="s">
        <v>76732</v>
      </c>
      <c r="N3737">
        <f>-758.642265108946 -68.5022193681802 -765.744707029579</f>
        <v>-1592.8891915067052</v>
      </c>
      <c r="O3737">
        <f>-809.464098284298 -196.207854272355 -713.460150721689</f>
        <v>-1719.1321032783421</v>
      </c>
      <c r="P3737">
        <f>-767.34386521531 -175.774018065665 -400.419397313118</f>
        <v>-1343.5372805940929</v>
      </c>
      <c r="Q3737">
        <f>-526.090424671354 -93.3870982383285 -348.928840223996</f>
        <v>-968.4063631336785</v>
      </c>
      <c r="R3737" t="s">
        <v>76733</v>
      </c>
      <c r="S3737" t="s">
        <v>76734</v>
      </c>
      <c r="T3737" t="s">
        <v>76735</v>
      </c>
      <c r="U3737" t="s">
        <v>76736</v>
      </c>
      <c r="V3737">
        <f>-731.24036909178 -85.2491913648289 -230.204960281421</f>
        <v>-1046.69452073803</v>
      </c>
      <c r="W3737" t="s">
        <v>76737</v>
      </c>
      <c r="X3737" t="s">
        <v>76738</v>
      </c>
      <c r="Y3737" t="s">
        <v>76739</v>
      </c>
    </row>
    <row r="3738" spans="1:25" x14ac:dyDescent="0.3">
      <c r="A3738">
        <v>186850</v>
      </c>
      <c r="B3738" t="s">
        <v>76740</v>
      </c>
      <c r="C3738" t="s">
        <v>76741</v>
      </c>
      <c r="D3738" t="s">
        <v>76742</v>
      </c>
      <c r="E3738" t="s">
        <v>76743</v>
      </c>
      <c r="F3738">
        <f>-752.654172678556 -5.69710179802314 -579.420052762929</f>
        <v>-1337.7713272395081</v>
      </c>
      <c r="G3738">
        <f>-752.279682759903 -22.5252880472794 -687.639909340335</f>
        <v>-1462.4448801475173</v>
      </c>
      <c r="H3738">
        <f>-747.248618205779 -50.9520466144677 -837.194665580246</f>
        <v>-1635.3953304004926</v>
      </c>
      <c r="I3738">
        <f>-711.398201190497 -72.4291434203344 -930.127198470843</f>
        <v>-1713.9545430816745</v>
      </c>
      <c r="J3738">
        <f>-740.025728497968 -8.49397398184988 -776.382895360094</f>
        <v>-1524.9025978399118</v>
      </c>
      <c r="K3738" t="s">
        <v>76744</v>
      </c>
      <c r="L3738" t="s">
        <v>76745</v>
      </c>
      <c r="M3738" t="s">
        <v>76746</v>
      </c>
      <c r="N3738">
        <f>-758.923691745843 -68.2542101710681 -765.659677266282</f>
        <v>-1592.8375791831932</v>
      </c>
      <c r="O3738">
        <f>-809.638712375924 -196.038555083791 -713.478342130438</f>
        <v>-1719.1556095901531</v>
      </c>
      <c r="P3738">
        <f>-768.113371563573 -175.646432823073 -400.355303708782</f>
        <v>-1344.115108095428</v>
      </c>
      <c r="Q3738">
        <f>-527.006565453342 -93.0437541632773 -348.52461547054</f>
        <v>-968.57493508715925</v>
      </c>
      <c r="R3738" t="s">
        <v>76747</v>
      </c>
      <c r="S3738" t="s">
        <v>76748</v>
      </c>
      <c r="T3738" t="s">
        <v>76749</v>
      </c>
      <c r="U3738" t="s">
        <v>76750</v>
      </c>
      <c r="V3738">
        <f>-731.937599852965 -85.1639703172534 -230.163861845753</f>
        <v>-1047.2654320159713</v>
      </c>
      <c r="W3738" t="s">
        <v>76751</v>
      </c>
      <c r="X3738" t="s">
        <v>76752</v>
      </c>
      <c r="Y3738" t="s">
        <v>76753</v>
      </c>
    </row>
    <row r="3739" spans="1:25" x14ac:dyDescent="0.3">
      <c r="A3739">
        <v>186900</v>
      </c>
      <c r="B3739" t="s">
        <v>76754</v>
      </c>
      <c r="C3739" t="s">
        <v>76755</v>
      </c>
      <c r="D3739" t="s">
        <v>76756</v>
      </c>
      <c r="E3739" t="s">
        <v>76757</v>
      </c>
      <c r="F3739">
        <f>-752.978035836953 -5.4463931812088 -579.381867618958</f>
        <v>-1337.8062966371199</v>
      </c>
      <c r="G3739">
        <f>-752.538755608235 -22.2620950814526 -687.603315451619</f>
        <v>-1462.4041661413066</v>
      </c>
      <c r="H3739">
        <f>-747.393394907277 -50.6731850549609 -837.157194197302</f>
        <v>-1635.22377415954</v>
      </c>
      <c r="I3739">
        <f>-711.472243748428 -72.1056278168453 -930.072762383223</f>
        <v>-1713.6506339484963</v>
      </c>
      <c r="J3739">
        <f>-740.237398257913 -8.215460766246 -776.337335549571</f>
        <v>-1524.7901945737299</v>
      </c>
      <c r="K3739" t="s">
        <v>76758</v>
      </c>
      <c r="L3739" t="s">
        <v>76759</v>
      </c>
      <c r="M3739" t="s">
        <v>76760</v>
      </c>
      <c r="N3739">
        <f>-759.102742516341 -67.9888969674598 -765.631062915667</f>
        <v>-1592.7227023994678</v>
      </c>
      <c r="O3739">
        <f>-809.767814806291 -195.819620372649 -713.494692658007</f>
        <v>-1719.0821278369472</v>
      </c>
      <c r="P3739">
        <f>-768.545829953446 -175.342356877482 -400.33723030689</f>
        <v>-1344.2254171378179</v>
      </c>
      <c r="Q3739">
        <f>-527.463796926324 -92.7373980015047 -348.395769057783</f>
        <v>-968.59696398561175</v>
      </c>
      <c r="R3739" t="s">
        <v>76761</v>
      </c>
      <c r="S3739" t="s">
        <v>76762</v>
      </c>
      <c r="T3739" t="s">
        <v>76763</v>
      </c>
      <c r="U3739" t="s">
        <v>76764</v>
      </c>
      <c r="V3739">
        <f>-732.220607975382 -85.0269725964042 -230.154690362167</f>
        <v>-1047.4022709339533</v>
      </c>
      <c r="W3739" t="s">
        <v>76765</v>
      </c>
      <c r="X3739" t="s">
        <v>76766</v>
      </c>
      <c r="Y3739" t="s">
        <v>76767</v>
      </c>
    </row>
    <row r="3740" spans="1:25" x14ac:dyDescent="0.3">
      <c r="A3740">
        <v>186950</v>
      </c>
      <c r="B3740" t="s">
        <v>76768</v>
      </c>
      <c r="C3740" t="s">
        <v>76769</v>
      </c>
      <c r="D3740" t="s">
        <v>76770</v>
      </c>
      <c r="E3740" t="s">
        <v>76771</v>
      </c>
      <c r="F3740">
        <f>-753.740029748625 -4.73713236833373 -579.261860154151</f>
        <v>-1337.7390222711097</v>
      </c>
      <c r="G3740">
        <f>-753.259165712536 -21.4805523563416 -687.494467364384</f>
        <v>-1462.2341854332617</v>
      </c>
      <c r="H3740">
        <f>-748.030995573607 -49.784088651274 -837.065716872073</f>
        <v>-1634.8808010969542</v>
      </c>
      <c r="I3740">
        <f>-712.021385087232 -71.1194477007432 -929.969274168028</f>
        <v>-1713.1101069560032</v>
      </c>
      <c r="J3740">
        <f>-740.949904568252 -7.35780960779971 -776.215104608066</f>
        <v>-1524.5228187841176</v>
      </c>
      <c r="K3740" t="s">
        <v>76772</v>
      </c>
      <c r="L3740" t="s">
        <v>76773</v>
      </c>
      <c r="M3740" t="s">
        <v>76774</v>
      </c>
      <c r="N3740">
        <f>-759.738752732997 -67.1635692486495 -765.554945430346</f>
        <v>-1592.4572674119927</v>
      </c>
      <c r="O3740">
        <f>-810.279058992466 -195.083206361258 -713.536225422484</f>
        <v>-1718.8984907762081</v>
      </c>
      <c r="P3740">
        <f>-769.302206186614 -174.577787190829 -400.348281377797</f>
        <v>-1344.2282747552399</v>
      </c>
      <c r="Q3740">
        <f>-528.245737226132 -92.084197312568 -348.11180602984</f>
        <v>-968.4417405685399</v>
      </c>
      <c r="R3740" t="s">
        <v>76775</v>
      </c>
      <c r="S3740" t="s">
        <v>76776</v>
      </c>
      <c r="T3740" t="s">
        <v>76777</v>
      </c>
      <c r="U3740" t="s">
        <v>76778</v>
      </c>
      <c r="V3740">
        <f>-732.811154311269 -84.7298415412467 -230.099034153021</f>
        <v>-1047.6400300055368</v>
      </c>
      <c r="W3740" t="s">
        <v>76779</v>
      </c>
      <c r="X3740" t="s">
        <v>76780</v>
      </c>
      <c r="Y3740" t="s">
        <v>76781</v>
      </c>
    </row>
    <row r="3741" spans="1:25" x14ac:dyDescent="0.3">
      <c r="A3741">
        <v>187000</v>
      </c>
      <c r="B3741" t="s">
        <v>76782</v>
      </c>
      <c r="C3741" t="s">
        <v>76783</v>
      </c>
      <c r="D3741" t="s">
        <v>76784</v>
      </c>
      <c r="E3741" t="s">
        <v>76785</v>
      </c>
      <c r="F3741">
        <f>-754.109443958207 -4.34802729553689 -579.1815988703</f>
        <v>-1337.6390701240439</v>
      </c>
      <c r="G3741">
        <f>-753.640964564064 -21.0723346128104 -687.41705007956</f>
        <v>-1462.1303492564343</v>
      </c>
      <c r="H3741">
        <f>-748.434533107832 -49.3492634326315 -836.994176407748</f>
        <v>-1634.7779729482113</v>
      </c>
      <c r="I3741">
        <f>-712.413656295312 -70.6589445938639 -929.899487317917</f>
        <v>-1712.9720882070928</v>
      </c>
      <c r="J3741">
        <f>-741.353873027524 -6.93092902796297 -776.138101350157</f>
        <v>-1524.4229034056439</v>
      </c>
      <c r="K3741" t="s">
        <v>76786</v>
      </c>
      <c r="L3741" t="s">
        <v>76787</v>
      </c>
      <c r="M3741" t="s">
        <v>76788</v>
      </c>
      <c r="N3741">
        <f>-760.122575748045 -66.7442861282786 -765.483836604438</f>
        <v>-1592.3506984807618</v>
      </c>
      <c r="O3741">
        <f>-810.57182589821 -194.721326135895 -713.508560766621</f>
        <v>-1718.8017128007259</v>
      </c>
      <c r="P3741">
        <f>-769.69439753748 -174.140356644986 -400.312633515119</f>
        <v>-1344.1473876975849</v>
      </c>
      <c r="Q3741">
        <f>-528.682129746204 -91.6183513058581 -347.91732711433</f>
        <v>-968.21780816639216</v>
      </c>
      <c r="R3741" t="s">
        <v>76789</v>
      </c>
      <c r="S3741" t="s">
        <v>76790</v>
      </c>
      <c r="T3741" t="s">
        <v>76791</v>
      </c>
      <c r="U3741" t="s">
        <v>76792</v>
      </c>
      <c r="V3741">
        <f>-733.044936154904 -84.5320803112638 -230.060138306606</f>
        <v>-1047.6371547727738</v>
      </c>
      <c r="W3741" t="s">
        <v>76793</v>
      </c>
      <c r="X3741" t="s">
        <v>76794</v>
      </c>
      <c r="Y3741" t="s">
        <v>76795</v>
      </c>
    </row>
    <row r="3742" spans="1:25" x14ac:dyDescent="0.3">
      <c r="A3742">
        <v>187050</v>
      </c>
      <c r="B3742" t="s">
        <v>76796</v>
      </c>
      <c r="C3742" t="s">
        <v>76797</v>
      </c>
      <c r="D3742" t="s">
        <v>76798</v>
      </c>
      <c r="E3742" t="s">
        <v>76799</v>
      </c>
      <c r="F3742">
        <f>-754.658506080948 -3.68781464304811 -579.113530149619</f>
        <v>-1337.4598508736151</v>
      </c>
      <c r="G3742">
        <f>-754.343583099298 -20.3491656290457 -687.359447815749</f>
        <v>-1462.0521965440928</v>
      </c>
      <c r="H3742">
        <f>-749.386905416392 -48.5327781101782 -836.962503192865</f>
        <v>-1634.8821867194351</v>
      </c>
      <c r="I3742">
        <f>-713.430862092763 -69.7772121524677 -929.907827812278</f>
        <v>-1713.1159020575087</v>
      </c>
      <c r="J3742">
        <f>-742.216870338971 -6.1487620613259 -776.092951962922</f>
        <v>-1524.458584363219</v>
      </c>
      <c r="K3742" t="s">
        <v>76800</v>
      </c>
      <c r="L3742" t="s">
        <v>76801</v>
      </c>
      <c r="M3742" t="s">
        <v>76802</v>
      </c>
      <c r="N3742">
        <f>-760.94327836841 -65.9760207755553 -765.442635896133</f>
        <v>-1592.3619350400982</v>
      </c>
      <c r="O3742">
        <f>-811.177245683022 -194.049742542 -713.509909793806</f>
        <v>-1718.736898018828</v>
      </c>
      <c r="P3742">
        <f>-770.189951744303 -173.626081919042 -400.318135420807</f>
        <v>-1344.1341690841521</v>
      </c>
      <c r="Q3742">
        <f>-529.272277518454 -91.0047399535185 -347.645330568743</f>
        <v>-967.92234804071552</v>
      </c>
      <c r="R3742" t="s">
        <v>76803</v>
      </c>
      <c r="S3742" t="s">
        <v>76804</v>
      </c>
      <c r="T3742" t="s">
        <v>76805</v>
      </c>
      <c r="U3742" t="s">
        <v>76806</v>
      </c>
      <c r="V3742">
        <f>-733.252526844965 -84.1753734840365 -230.033796360292</f>
        <v>-1047.4616966892936</v>
      </c>
      <c r="W3742" t="s">
        <v>76807</v>
      </c>
      <c r="X3742" t="s">
        <v>76808</v>
      </c>
      <c r="Y3742" t="s">
        <v>76809</v>
      </c>
    </row>
    <row r="3743" spans="1:25" x14ac:dyDescent="0.3">
      <c r="A3743">
        <v>187100</v>
      </c>
      <c r="B3743" t="s">
        <v>76810</v>
      </c>
      <c r="C3743" t="s">
        <v>76811</v>
      </c>
      <c r="D3743" t="s">
        <v>76812</v>
      </c>
      <c r="E3743" t="s">
        <v>76813</v>
      </c>
      <c r="F3743">
        <f>-754.662612533865 -3.62219328017318 -579.156285853934</f>
        <v>-1337.4410916679722</v>
      </c>
      <c r="G3743">
        <f>-754.460357623481 -20.2711845182262 -687.404310861577</f>
        <v>-1462.135853003284</v>
      </c>
      <c r="H3743">
        <f>-749.69973741547 -48.4302346831 -837.018464849463</f>
        <v>-1635.1484369480331</v>
      </c>
      <c r="I3743">
        <f>-713.828656896572 -69.6540814544639 -930.001276477563</f>
        <v>-1713.4840148285989</v>
      </c>
      <c r="J3743">
        <f>-742.450522745341 -6.05599852455521 -776.151441602048</f>
        <v>-1524.6579628719442</v>
      </c>
      <c r="K3743" t="s">
        <v>76814</v>
      </c>
      <c r="L3743" t="s">
        <v>76815</v>
      </c>
      <c r="M3743" t="s">
        <v>76816</v>
      </c>
      <c r="N3743">
        <f>-761.161767168754 -65.8854166884189 -765.486207846282</f>
        <v>-1592.533391703455</v>
      </c>
      <c r="O3743">
        <f>-811.258713840692 -194.020130170027 -713.571075838107</f>
        <v>-1718.8499198488262</v>
      </c>
      <c r="P3743">
        <f>-770.227586370214 -173.5404539248 -400.388554002537</f>
        <v>-1344.156594297551</v>
      </c>
      <c r="Q3743">
        <f>-529.388657687851 -90.7082882328007 -347.686499338105</f>
        <v>-967.78344525875673</v>
      </c>
      <c r="R3743" t="s">
        <v>76817</v>
      </c>
      <c r="S3743" t="s">
        <v>76818</v>
      </c>
      <c r="T3743" t="s">
        <v>76819</v>
      </c>
      <c r="U3743" t="s">
        <v>76820</v>
      </c>
      <c r="V3743">
        <f>-733.174491791889 -84.1011686496777 -230.061610112956</f>
        <v>-1047.3372705545225</v>
      </c>
      <c r="W3743" t="s">
        <v>76821</v>
      </c>
      <c r="X3743" t="s">
        <v>76822</v>
      </c>
      <c r="Y3743" t="s">
        <v>76823</v>
      </c>
    </row>
    <row r="3744" spans="1:25" x14ac:dyDescent="0.3">
      <c r="A3744">
        <v>187150</v>
      </c>
      <c r="B3744" t="s">
        <v>76824</v>
      </c>
      <c r="C3744" t="s">
        <v>76825</v>
      </c>
      <c r="D3744" t="s">
        <v>76826</v>
      </c>
      <c r="E3744" t="s">
        <v>76827</v>
      </c>
      <c r="F3744">
        <f>-754.876780588677 -3.44871557065289 -579.223047068932</f>
        <v>-1337.5485432282619</v>
      </c>
      <c r="G3744">
        <f>-754.888691364803 -20.0585448883346 -687.477251466054</f>
        <v>-1462.4244877191916</v>
      </c>
      <c r="H3744">
        <f>-750.463393982326 -48.1437506240377 -837.115579692046</f>
        <v>-1635.7227242984097</v>
      </c>
      <c r="I3744">
        <f>-714.748821917151 -69.2755500463077 -930.179474605374</f>
        <v>-1714.2038465688327</v>
      </c>
      <c r="J3744">
        <f>-743.08616230316 -5.79715179684399 -776.24465757499</f>
        <v>-1525.1279716749941</v>
      </c>
      <c r="K3744" t="s">
        <v>76828</v>
      </c>
      <c r="L3744" t="s">
        <v>76829</v>
      </c>
      <c r="M3744" t="s">
        <v>76830</v>
      </c>
      <c r="N3744">
        <f>-761.756760021947 -65.6367135509854 -765.565690387025</f>
        <v>-1592.9591639599576</v>
      </c>
      <c r="O3744">
        <f>-811.566345688714 -193.909603357284 -713.699989701339</f>
        <v>-1719.1759387473371</v>
      </c>
      <c r="P3744">
        <f>-770.04625251184 -173.684274271063 -400.565487436557</f>
        <v>-1344.2960142194599</v>
      </c>
      <c r="Q3744">
        <f>-529.33773085992 -90.4084433312794 -347.966963077249</f>
        <v>-967.71313726844846</v>
      </c>
      <c r="R3744" t="s">
        <v>76831</v>
      </c>
      <c r="S3744" t="s">
        <v>76832</v>
      </c>
      <c r="T3744" t="s">
        <v>76833</v>
      </c>
      <c r="U3744" t="s">
        <v>76834</v>
      </c>
      <c r="V3744">
        <f>-732.934991202957 -83.89081168251 -230.111401939016</f>
        <v>-1046.9372048244832</v>
      </c>
      <c r="W3744" t="s">
        <v>76835</v>
      </c>
      <c r="X3744" t="s">
        <v>76836</v>
      </c>
      <c r="Y3744" t="s">
        <v>76837</v>
      </c>
    </row>
    <row r="3745" spans="1:25" x14ac:dyDescent="0.3">
      <c r="A3745">
        <v>187200</v>
      </c>
      <c r="B3745" t="s">
        <v>76838</v>
      </c>
      <c r="C3745" t="s">
        <v>76839</v>
      </c>
      <c r="D3745" t="s">
        <v>76840</v>
      </c>
      <c r="E3745" t="s">
        <v>76841</v>
      </c>
      <c r="F3745">
        <f>-755.145124645391 -3.24674994254883 -579.243525845434</f>
        <v>-1337.6354004333739</v>
      </c>
      <c r="G3745">
        <f>-755.315653664901 -19.7966380138537 -687.506724410045</f>
        <v>-1462.6190160887995</v>
      </c>
      <c r="H3745">
        <f>-751.135378504048 -47.7840118165359 -837.170401984616</f>
        <v>-1636.0897923051998</v>
      </c>
      <c r="I3745">
        <f>-715.523803215262 -68.8541117464399 -930.287918764489</f>
        <v>-1714.6658337261908</v>
      </c>
      <c r="J3745">
        <f>-743.660256592728 -5.47668189228534 -776.284225486305</f>
        <v>-1525.4211639713185</v>
      </c>
      <c r="K3745" t="s">
        <v>76842</v>
      </c>
      <c r="L3745" t="s">
        <v>76843</v>
      </c>
      <c r="M3745" t="s">
        <v>76844</v>
      </c>
      <c r="N3745">
        <f>-762.309868295365 -65.3243504559705 -765.613491109669</f>
        <v>-1593.2477098610045</v>
      </c>
      <c r="O3745">
        <f>-811.972273444422 -193.672239840909 -713.788123262062</f>
        <v>-1719.432636547393</v>
      </c>
      <c r="P3745">
        <f>-770.117041372364 -173.480711945512 -400.696151339491</f>
        <v>-1344.293904657367</v>
      </c>
      <c r="Q3745">
        <f>-529.572889544137 -89.6944591831714 -348.156515368745</f>
        <v>-967.42386409605331</v>
      </c>
      <c r="R3745" t="s">
        <v>76845</v>
      </c>
      <c r="S3745" t="s">
        <v>76846</v>
      </c>
      <c r="T3745" t="s">
        <v>76847</v>
      </c>
      <c r="U3745" t="s">
        <v>76848</v>
      </c>
      <c r="V3745">
        <f>-732.826325657495 -83.7477681743035 -230.144776667557</f>
        <v>-1046.7188704993555</v>
      </c>
      <c r="W3745" t="s">
        <v>76849</v>
      </c>
      <c r="X3745" t="s">
        <v>76850</v>
      </c>
      <c r="Y3745" t="s">
        <v>76851</v>
      </c>
    </row>
    <row r="3746" spans="1:25" x14ac:dyDescent="0.3">
      <c r="A3746">
        <v>187250</v>
      </c>
      <c r="B3746" t="s">
        <v>76852</v>
      </c>
      <c r="C3746" t="s">
        <v>76853</v>
      </c>
      <c r="D3746" t="s">
        <v>76854</v>
      </c>
      <c r="E3746" t="s">
        <v>76855</v>
      </c>
      <c r="F3746">
        <f>-755.408393489862 -2.90801537880475 -579.250171069311</f>
        <v>-1337.5665799379776</v>
      </c>
      <c r="G3746">
        <f>-755.712681796414 -19.4885209264557 -687.508437037385</f>
        <v>-1462.7096397602547</v>
      </c>
      <c r="H3746">
        <f>-751.734336171271 -47.5288684256236 -837.167797466917</f>
        <v>-1636.4310020638118</v>
      </c>
      <c r="I3746">
        <f>-716.23553337297 -68.5655526295993 -930.335826976815</f>
        <v>-1715.1369129793843</v>
      </c>
      <c r="J3746">
        <f>-744.17437381755 -5.20078547951744 -776.306473833813</f>
        <v>-1525.6816331308805</v>
      </c>
      <c r="K3746" t="s">
        <v>76856</v>
      </c>
      <c r="L3746" t="s">
        <v>76857</v>
      </c>
      <c r="M3746" t="s">
        <v>76858</v>
      </c>
      <c r="N3746">
        <f>-762.814862818323 -65.0429516600082 -765.589885893067</f>
        <v>-1593.4477003713982</v>
      </c>
      <c r="O3746">
        <f>-812.164574901904 -193.531704450415 -713.819656181714</f>
        <v>-1719.5159355340329</v>
      </c>
      <c r="P3746">
        <f>-769.754193222058 -173.346974244961 -400.801898137362</f>
        <v>-1343.903065604381</v>
      </c>
      <c r="Q3746">
        <f>-529.356921069405 -88.8746866561196 -348.690026477638</f>
        <v>-966.92163420316251</v>
      </c>
      <c r="R3746" t="s">
        <v>76859</v>
      </c>
      <c r="S3746" t="s">
        <v>76860</v>
      </c>
      <c r="T3746" t="s">
        <v>76861</v>
      </c>
      <c r="U3746" t="s">
        <v>76862</v>
      </c>
      <c r="V3746">
        <f>-732.657792575682 -83.3461665577643 -230.201400300858</f>
        <v>-1046.2053594343042</v>
      </c>
      <c r="W3746" t="s">
        <v>76863</v>
      </c>
      <c r="X3746" t="s">
        <v>76864</v>
      </c>
      <c r="Y3746" t="s">
        <v>76865</v>
      </c>
    </row>
    <row r="3747" spans="1:25" x14ac:dyDescent="0.3">
      <c r="A3747">
        <v>187300</v>
      </c>
      <c r="B3747" t="s">
        <v>76866</v>
      </c>
      <c r="C3747" t="s">
        <v>76867</v>
      </c>
      <c r="D3747" t="s">
        <v>76868</v>
      </c>
      <c r="E3747" t="s">
        <v>76869</v>
      </c>
      <c r="F3747">
        <f>-755.684075329844 -2.75369373389117 -579.234286539283</f>
        <v>-1337.6720556030182</v>
      </c>
      <c r="G3747">
        <f>-756.084792231997 -19.3507435368815 -687.489634439557</f>
        <v>-1462.9251702084355</v>
      </c>
      <c r="H3747">
        <f>-752.242501951994 -47.4248415507818 -837.146227000232</f>
        <v>-1636.8135705030077</v>
      </c>
      <c r="I3747">
        <f>-716.820206727125 -68.4642418508133 -930.342795216671</f>
        <v>-1715.6272437946093</v>
      </c>
      <c r="J3747">
        <f>-744.615600448115 -5.08649933319134 -776.30044404125</f>
        <v>-1526.0025438225562</v>
      </c>
      <c r="K3747" t="s">
        <v>76870</v>
      </c>
      <c r="L3747" t="s">
        <v>76871</v>
      </c>
      <c r="M3747" t="s">
        <v>76872</v>
      </c>
      <c r="N3747">
        <f>-763.269597926341 -64.9193537707445 -765.555387553291</f>
        <v>-1593.7443392503765</v>
      </c>
      <c r="O3747">
        <f>-812.478979485059 -193.446980626701 -713.795954481503</f>
        <v>-1719.7219145932631</v>
      </c>
      <c r="P3747">
        <f>-769.757959760337 -173.45227356277 -400.808237342288</f>
        <v>-1344.0184706653949</v>
      </c>
      <c r="Q3747">
        <f>-529.437556560505 -88.7220986767302 -348.760821505833</f>
        <v>-966.92047674306809</v>
      </c>
      <c r="R3747" t="s">
        <v>76873</v>
      </c>
      <c r="S3747" t="s">
        <v>76874</v>
      </c>
      <c r="T3747" t="s">
        <v>76875</v>
      </c>
      <c r="U3747" t="s">
        <v>76876</v>
      </c>
      <c r="V3747">
        <f>-732.64085666271 -83.207887584216 -230.215081180577</f>
        <v>-1046.0638254275029</v>
      </c>
      <c r="W3747" t="s">
        <v>76877</v>
      </c>
      <c r="X3747" t="s">
        <v>76878</v>
      </c>
      <c r="Y3747" t="s">
        <v>76879</v>
      </c>
    </row>
    <row r="3748" spans="1:25" x14ac:dyDescent="0.3">
      <c r="A3748">
        <v>187350</v>
      </c>
      <c r="B3748" t="s">
        <v>76880</v>
      </c>
      <c r="C3748" t="s">
        <v>76881</v>
      </c>
      <c r="D3748" t="s">
        <v>76882</v>
      </c>
      <c r="E3748" t="s">
        <v>76883</v>
      </c>
      <c r="F3748">
        <f>-756.152470501021 -2.63101512849062 -579.254636506295</f>
        <v>-1338.0381221358066</v>
      </c>
      <c r="G3748">
        <f>-756.793106200942 -19.3167147622657 -687.4951605706</f>
        <v>-1463.6049815338079</v>
      </c>
      <c r="H3748">
        <f>-753.327246379049 -47.5313154928153 -837.134436649802</f>
        <v>-1637.9929985216663</v>
      </c>
      <c r="I3748">
        <f>-718.034921178233 -68.6357531677568 -930.365562011578</f>
        <v>-1717.0362363575678</v>
      </c>
      <c r="J3748">
        <f>-745.529748682443 -5.14120299389538 -776.346461571218</f>
        <v>-1527.0174132475563</v>
      </c>
      <c r="K3748" t="s">
        <v>76884</v>
      </c>
      <c r="L3748" t="s">
        <v>76885</v>
      </c>
      <c r="M3748" t="s">
        <v>76886</v>
      </c>
      <c r="N3748">
        <f>-764.191928945808 -64.9533954234487 -765.500946286698</f>
        <v>-1594.6462706559546</v>
      </c>
      <c r="O3748">
        <f>-813.124741349518 -193.596621588195 -713.716221547742</f>
        <v>-1720.4375844854549</v>
      </c>
      <c r="P3748">
        <f>-769.996083469048 -173.54404508449 -400.788024052824</f>
        <v>-1344.328152606362</v>
      </c>
      <c r="Q3748">
        <f>-529.820414616529 -88.3751664556708 -348.788779609042</f>
        <v>-966.9843606812417</v>
      </c>
      <c r="R3748" t="s">
        <v>76887</v>
      </c>
      <c r="S3748" t="s">
        <v>76888</v>
      </c>
      <c r="T3748" t="s">
        <v>76889</v>
      </c>
      <c r="U3748" t="s">
        <v>76890</v>
      </c>
      <c r="V3748">
        <f>-732.586651020899 -82.8664137894268 -230.261904645827</f>
        <v>-1045.7149694561529</v>
      </c>
      <c r="W3748" t="s">
        <v>76891</v>
      </c>
      <c r="X3748" t="s">
        <v>76892</v>
      </c>
      <c r="Y3748" t="s">
        <v>76893</v>
      </c>
    </row>
    <row r="3749" spans="1:25" x14ac:dyDescent="0.3">
      <c r="A3749">
        <v>187400</v>
      </c>
      <c r="B3749" t="s">
        <v>76894</v>
      </c>
      <c r="C3749" t="s">
        <v>76895</v>
      </c>
      <c r="D3749" t="s">
        <v>76896</v>
      </c>
      <c r="E3749" t="s">
        <v>76897</v>
      </c>
      <c r="F3749">
        <f>-756.429165801578 -2.4803140336644 -579.21516939531</f>
        <v>-1338.1246492305524</v>
      </c>
      <c r="G3749">
        <f>-757.241339326542 -19.1903865026065 -687.450937225538</f>
        <v>-1463.8826630546864</v>
      </c>
      <c r="H3749">
        <f>-754.042747066409 -47.447584817525 -837.088142731473</f>
        <v>-1638.578474615407</v>
      </c>
      <c r="I3749">
        <f>-718.848598630162 -68.5844600314852 -930.349012044047</f>
        <v>-1717.782070705694</v>
      </c>
      <c r="J3749">
        <f>-746.139141908532 -5.03927548831598 -776.326312143968</f>
        <v>-1527.504729540816</v>
      </c>
      <c r="K3749" t="s">
        <v>76898</v>
      </c>
      <c r="L3749" t="s">
        <v>76899</v>
      </c>
      <c r="M3749" t="s">
        <v>76900</v>
      </c>
      <c r="N3749">
        <f>-764.776841888832 -64.849949784377 -765.43025105429</f>
        <v>-1595.057042727499</v>
      </c>
      <c r="O3749">
        <f>-813.540932040253 -193.556304062225 -713.642427741823</f>
        <v>-1720.739663844301</v>
      </c>
      <c r="P3749">
        <f>-770.373882741997 -173.309895240129 -400.732277366289</f>
        <v>-1344.4160553484151</v>
      </c>
      <c r="Q3749">
        <f>-530.305887090851 -87.8439725557741 -348.722471221405</f>
        <v>-966.87233086803008</v>
      </c>
      <c r="R3749" t="s">
        <v>76901</v>
      </c>
      <c r="S3749" t="s">
        <v>76902</v>
      </c>
      <c r="T3749" t="s">
        <v>76903</v>
      </c>
      <c r="U3749" t="s">
        <v>76904</v>
      </c>
      <c r="V3749">
        <f>-732.563066704455 -82.675140639486 -230.273385016652</f>
        <v>-1045.5115923605931</v>
      </c>
      <c r="W3749" t="s">
        <v>76905</v>
      </c>
      <c r="X3749" t="s">
        <v>76906</v>
      </c>
      <c r="Y3749" t="s">
        <v>76907</v>
      </c>
    </row>
    <row r="3750" spans="1:25" x14ac:dyDescent="0.3">
      <c r="A3750">
        <v>187450</v>
      </c>
      <c r="B3750" t="s">
        <v>76908</v>
      </c>
      <c r="C3750" t="s">
        <v>76909</v>
      </c>
      <c r="D3750" t="s">
        <v>76910</v>
      </c>
      <c r="E3750" t="s">
        <v>76911</v>
      </c>
      <c r="F3750">
        <f>-756.981970572136 -1.96414986762966 -579.136366848675</f>
        <v>-1338.0824872884407</v>
      </c>
      <c r="G3750">
        <f>-757.981535607443 -18.6844723926263 -687.368879782185</f>
        <v>-1464.0348877822544</v>
      </c>
      <c r="H3750">
        <f>-755.059230916702 -46.9695403080145 -837.006502699187</f>
        <v>-1639.0352739239033</v>
      </c>
      <c r="I3750">
        <f>-720.024462717854 -68.0936271865253 -930.330292149391</f>
        <v>-1718.4483820537703</v>
      </c>
      <c r="J3750">
        <f>-747.047824925398 -4.54858669901887 -776.267807875559</f>
        <v>-1527.8642194999759</v>
      </c>
      <c r="K3750" t="s">
        <v>76912</v>
      </c>
      <c r="L3750" t="s">
        <v>76913</v>
      </c>
      <c r="M3750" t="s">
        <v>76914</v>
      </c>
      <c r="N3750">
        <f>-765.656646967784 -64.3598944882337 -765.325456279134</f>
        <v>-1595.3419977351518</v>
      </c>
      <c r="O3750">
        <f>-814.241308374345 -193.156373941927 -713.609879584068</f>
        <v>-1721.0075619003401</v>
      </c>
      <c r="P3750">
        <f>-771.21103031513 -173.057961976004 -400.671177261451</f>
        <v>-1344.9401695525848</v>
      </c>
      <c r="Q3750">
        <f>-531.260974263403 -87.2280609559432 -348.717573796708</f>
        <v>-967.20660901605424</v>
      </c>
      <c r="R3750" t="s">
        <v>76915</v>
      </c>
      <c r="S3750" t="s">
        <v>76916</v>
      </c>
      <c r="T3750" t="s">
        <v>76917</v>
      </c>
      <c r="U3750" t="s">
        <v>76918</v>
      </c>
      <c r="V3750">
        <f>-732.694684324145 -82.2358921658961 -230.27028431757</f>
        <v>-1045.200860807611</v>
      </c>
      <c r="W3750" t="s">
        <v>76919</v>
      </c>
      <c r="X3750" t="s">
        <v>76920</v>
      </c>
      <c r="Y3750" t="s">
        <v>76921</v>
      </c>
    </row>
    <row r="3751" spans="1:25" x14ac:dyDescent="0.3">
      <c r="A3751">
        <v>187500</v>
      </c>
      <c r="B3751" t="s">
        <v>76922</v>
      </c>
      <c r="C3751" t="s">
        <v>76923</v>
      </c>
      <c r="D3751" t="s">
        <v>76924</v>
      </c>
      <c r="E3751" t="s">
        <v>76925</v>
      </c>
      <c r="F3751">
        <f>-757.360063508079 -1.69856595454803 -579.095794652547</f>
        <v>-1338.1544241151742</v>
      </c>
      <c r="G3751">
        <f>-758.48200213557 -18.3911554120414 -687.331550719688</f>
        <v>-1464.2047082672993</v>
      </c>
      <c r="H3751">
        <f>-755.741120955769 -46.6382290783754 -836.979767504797</f>
        <v>-1639.3591175389415</v>
      </c>
      <c r="I3751">
        <f>-720.775849680714 -67.7786716112964 -930.325776420202</f>
        <v>-1718.8802977122125</v>
      </c>
      <c r="J3751">
        <f>-747.64546253477 -4.23598554302794 -776.239039212838</f>
        <v>-1528.120487290636</v>
      </c>
      <c r="K3751" t="s">
        <v>76926</v>
      </c>
      <c r="L3751" t="s">
        <v>76927</v>
      </c>
      <c r="M3751" t="s">
        <v>76928</v>
      </c>
      <c r="N3751">
        <f>-766.262324329357 -64.0436134952074 -765.290998368331</f>
        <v>-1595.5969361928956</v>
      </c>
      <c r="O3751">
        <f>-814.781706657748 -192.87586042666 -713.602243204079</f>
        <v>-1721.259810288487</v>
      </c>
      <c r="P3751">
        <f>-771.706173286061 -172.846252853163 -400.665397445783</f>
        <v>-1345.217823585007</v>
      </c>
      <c r="Q3751">
        <f>-531.811067487535 -86.8651057265017 -348.707212713858</f>
        <v>-967.38338592789466</v>
      </c>
      <c r="R3751" t="s">
        <v>76929</v>
      </c>
      <c r="S3751" t="s">
        <v>76930</v>
      </c>
      <c r="T3751" t="s">
        <v>76931</v>
      </c>
      <c r="U3751" t="s">
        <v>76932</v>
      </c>
      <c r="V3751">
        <f>-732.784801345889 -82.0460998303754 -230.264132332647</f>
        <v>-1045.0950335089115</v>
      </c>
      <c r="W3751" t="s">
        <v>76933</v>
      </c>
      <c r="X3751" t="s">
        <v>76934</v>
      </c>
      <c r="Y3751" t="s">
        <v>76935</v>
      </c>
    </row>
    <row r="3752" spans="1:25" x14ac:dyDescent="0.3">
      <c r="A3752">
        <v>187550</v>
      </c>
      <c r="B3752" t="s">
        <v>76936</v>
      </c>
      <c r="C3752" t="s">
        <v>76937</v>
      </c>
      <c r="D3752" t="s">
        <v>76938</v>
      </c>
      <c r="E3752" t="s">
        <v>76939</v>
      </c>
      <c r="F3752">
        <f>-757.855495543075 -1.28155597079081 -579.036736170386</f>
        <v>-1338.1737876842517</v>
      </c>
      <c r="G3752">
        <f>-759.158232240175 -17.9345654383994 -687.276426707795</f>
        <v>-1464.3692243863695</v>
      </c>
      <c r="H3752">
        <f>-756.695063545488 -46.122218747875 -836.940581981798</f>
        <v>-1639.757864275161</v>
      </c>
      <c r="I3752">
        <f>-721.828543767658 -67.263951943896 -930.323428549638</f>
        <v>-1719.415924261192</v>
      </c>
      <c r="J3752">
        <f>-748.466881863238 -3.74999638955273 -776.196909353001</f>
        <v>-1528.4137876057916</v>
      </c>
      <c r="K3752" t="s">
        <v>76940</v>
      </c>
      <c r="L3752" t="s">
        <v>76941</v>
      </c>
      <c r="M3752" t="s">
        <v>76942</v>
      </c>
      <c r="N3752">
        <f>-767.103024039858 -63.5501556645402 -765.24080189919</f>
        <v>-1595.8939816035881</v>
      </c>
      <c r="O3752">
        <f>-815.510755786442 -192.504017989505 -713.729775319935</f>
        <v>-1721.7445490958821</v>
      </c>
      <c r="P3752">
        <f>-772.403644998942 -172.594551346633 -400.789511694587</f>
        <v>-1345.787708040162</v>
      </c>
      <c r="Q3752">
        <f>-532.642435303346 -86.2888226566042 -348.7514888649</f>
        <v>-967.68274682485026</v>
      </c>
      <c r="R3752" t="s">
        <v>76943</v>
      </c>
      <c r="S3752" t="s">
        <v>76944</v>
      </c>
      <c r="T3752" t="s">
        <v>76945</v>
      </c>
      <c r="U3752" t="s">
        <v>76946</v>
      </c>
      <c r="V3752">
        <f>-732.91844252172 -81.7153289133021 -230.260878553365</f>
        <v>-1044.8946499883871</v>
      </c>
      <c r="W3752" t="s">
        <v>76947</v>
      </c>
      <c r="X3752" t="s">
        <v>76948</v>
      </c>
      <c r="Y3752" t="s">
        <v>76949</v>
      </c>
    </row>
    <row r="3753" spans="1:25" x14ac:dyDescent="0.3">
      <c r="A3753">
        <v>187600</v>
      </c>
      <c r="B3753" t="s">
        <v>76950</v>
      </c>
      <c r="C3753" t="s">
        <v>76951</v>
      </c>
      <c r="D3753" t="s">
        <v>76952</v>
      </c>
      <c r="E3753" t="s">
        <v>76953</v>
      </c>
      <c r="F3753">
        <f>-758.103000841891 -1.12794293119691 -579.004713537674</f>
        <v>-1338.2356573107618</v>
      </c>
      <c r="G3753">
        <f>-759.493701687692 -17.73136190882 -687.250971502928</f>
        <v>-1464.47603509944</v>
      </c>
      <c r="H3753">
        <f>-757.151980564262 -45.8438630653 -836.931167082618</f>
        <v>-1639.9270107121799</v>
      </c>
      <c r="I3753">
        <f>-722.313466411138 -66.9625517761417 -930.329603363059</f>
        <v>-1719.6056215503388</v>
      </c>
      <c r="J3753">
        <f>-748.875925677062 -3.50163610547679 -776.173040182384</f>
        <v>-1528.5506019649229</v>
      </c>
      <c r="K3753" t="s">
        <v>76954</v>
      </c>
      <c r="L3753" t="s">
        <v>76955</v>
      </c>
      <c r="M3753" t="s">
        <v>76956</v>
      </c>
      <c r="N3753">
        <f>-767.500311252273 -63.3082665749585 -765.231602933988</f>
        <v>-1596.0401807612195</v>
      </c>
      <c r="O3753">
        <f>-815.833717253256 -192.315095811015 -713.79653312947</f>
        <v>-1721.945346193741</v>
      </c>
      <c r="P3753">
        <f>-772.858123245682 -172.364795484931 -400.840819249725</f>
        <v>-1346.0637379803379</v>
      </c>
      <c r="Q3753">
        <f>-533.093138715886 -86.0790692584826 -348.787411735288</f>
        <v>-967.95961970965664</v>
      </c>
      <c r="R3753" t="s">
        <v>76957</v>
      </c>
      <c r="S3753" t="s">
        <v>76958</v>
      </c>
      <c r="T3753" t="s">
        <v>76959</v>
      </c>
      <c r="U3753" t="s">
        <v>76960</v>
      </c>
      <c r="V3753">
        <f>-732.975217976912 -81.6173657295731 -230.257009835107</f>
        <v>-1044.849593541592</v>
      </c>
      <c r="W3753" t="s">
        <v>76961</v>
      </c>
      <c r="X3753" t="s">
        <v>76962</v>
      </c>
      <c r="Y3753" t="s">
        <v>76963</v>
      </c>
    </row>
    <row r="3754" spans="1:25" x14ac:dyDescent="0.3">
      <c r="A3754">
        <v>187650</v>
      </c>
      <c r="B3754" t="s">
        <v>76964</v>
      </c>
      <c r="C3754" t="s">
        <v>76965</v>
      </c>
      <c r="D3754" t="s">
        <v>76966</v>
      </c>
      <c r="E3754" t="s">
        <v>76967</v>
      </c>
      <c r="F3754">
        <f>-758.481923294648 -0.936773813370564 -578.975246929699</f>
        <v>-1338.3939440377176</v>
      </c>
      <c r="G3754">
        <f>-760.00687573844 -17.4392405474916 -687.23503964784</f>
        <v>-1464.6811559337716</v>
      </c>
      <c r="H3754">
        <f>-757.863085276671 -45.3846858342924 -836.949662495418</f>
        <v>-1640.1974336063813</v>
      </c>
      <c r="I3754">
        <f>-723.066557629136 -66.4051915159689 -930.385805056472</f>
        <v>-1719.8575542015769</v>
      </c>
      <c r="J3754">
        <f>-749.524652118374 -3.10496003217918 -776.156390375874</f>
        <v>-1528.7860025264272</v>
      </c>
      <c r="K3754" t="s">
        <v>76968</v>
      </c>
      <c r="L3754" t="s">
        <v>76969</v>
      </c>
      <c r="M3754" t="s">
        <v>76970</v>
      </c>
      <c r="N3754">
        <f>-768.098599428758 -62.9343792973675 -765.254768486915</f>
        <v>-1596.2877472130406</v>
      </c>
      <c r="O3754">
        <f>-816.260430488013 -192.068832957525 -713.99216579099</f>
        <v>-1722.3214292365278</v>
      </c>
      <c r="P3754">
        <f>-773.49012257344 -172.040481414693 -401.013345659515</f>
        <v>-1346.5439496476479</v>
      </c>
      <c r="Q3754">
        <f>-533.757103252831 -85.6783966184071 -348.939670123248</f>
        <v>-968.3751699944861</v>
      </c>
      <c r="R3754" t="s">
        <v>76971</v>
      </c>
      <c r="S3754" t="s">
        <v>76972</v>
      </c>
      <c r="T3754" t="s">
        <v>76973</v>
      </c>
      <c r="U3754" t="s">
        <v>76974</v>
      </c>
      <c r="V3754">
        <f>-733.1332372717 -81.5099966621103 -230.245129049901</f>
        <v>-1044.8883629837112</v>
      </c>
      <c r="W3754" t="s">
        <v>76975</v>
      </c>
      <c r="X3754" t="s">
        <v>76976</v>
      </c>
      <c r="Y3754" t="s">
        <v>76977</v>
      </c>
    </row>
    <row r="3755" spans="1:25" x14ac:dyDescent="0.3">
      <c r="A3755">
        <v>187700</v>
      </c>
      <c r="B3755" t="s">
        <v>76978</v>
      </c>
      <c r="C3755" t="s">
        <v>76979</v>
      </c>
      <c r="D3755" t="s">
        <v>76980</v>
      </c>
      <c r="E3755" t="s">
        <v>76981</v>
      </c>
      <c r="F3755">
        <f>-758.79097786685 -0.861452467697291 -578.924744963092</f>
        <v>-1338.5771752976393</v>
      </c>
      <c r="G3755">
        <f>-760.372836669044 -17.3378706043943 -687.187705838632</f>
        <v>-1464.8984131120703</v>
      </c>
      <c r="H3755">
        <f>-758.303036067679 -45.2445382209476 -836.910586619447</f>
        <v>-1640.4581609080738</v>
      </c>
      <c r="I3755">
        <f>-723.511668641844 -66.2355594533278 -930.355332606509</f>
        <v>-1720.1025607016809</v>
      </c>
      <c r="J3755">
        <f>-749.936461178729 -2.98000784901569 -776.110596018215</f>
        <v>-1529.0270650459597</v>
      </c>
      <c r="K3755" t="s">
        <v>76982</v>
      </c>
      <c r="L3755" t="s">
        <v>76983</v>
      </c>
      <c r="M3755" t="s">
        <v>76984</v>
      </c>
      <c r="N3755">
        <f>-768.501267719905 -62.8134114607224 -765.215060959329</f>
        <v>-1596.5297401399562</v>
      </c>
      <c r="O3755">
        <f>-816.568081057945 -192.017266185265 -714.036189923815</f>
        <v>-1722.6215371670251</v>
      </c>
      <c r="P3755">
        <f>-773.99364110185 -172.003513197447 -401.029765043909</f>
        <v>-1347.0269193432059</v>
      </c>
      <c r="Q3755">
        <f>-534.291405226791 -85.5183871533957 -349.017764152779</f>
        <v>-968.82755653296567</v>
      </c>
      <c r="R3755" t="s">
        <v>76985</v>
      </c>
      <c r="S3755" t="s">
        <v>76986</v>
      </c>
      <c r="T3755" t="s">
        <v>76987</v>
      </c>
      <c r="U3755" t="s">
        <v>76988</v>
      </c>
      <c r="V3755">
        <f>-733.231604007209 -81.4931835561842 -230.220415161644</f>
        <v>-1044.9452027250372</v>
      </c>
      <c r="W3755" t="s">
        <v>76989</v>
      </c>
      <c r="X3755" t="s">
        <v>76990</v>
      </c>
      <c r="Y3755" t="s">
        <v>76991</v>
      </c>
    </row>
    <row r="3756" spans="1:25" x14ac:dyDescent="0.3">
      <c r="A3756">
        <v>187750</v>
      </c>
      <c r="B3756" t="s">
        <v>76992</v>
      </c>
      <c r="C3756" t="s">
        <v>76993</v>
      </c>
      <c r="D3756" t="s">
        <v>76994</v>
      </c>
      <c r="E3756" t="s">
        <v>76995</v>
      </c>
      <c r="F3756">
        <f>-759.497696942009 -0.737188646026425 -578.846758486671</f>
        <v>-1339.0816440747064</v>
      </c>
      <c r="G3756">
        <f>-761.212038837227 -17.1505961138405 -687.117380245988</f>
        <v>-1465.4800151970555</v>
      </c>
      <c r="H3756">
        <f>-759.338665312715 -44.958879314574 -836.861090658407</f>
        <v>-1641.1586352856959</v>
      </c>
      <c r="I3756">
        <f>-724.551729820155 -65.9000801392256 -930.318749581216</f>
        <v>-1720.7705595405964</v>
      </c>
      <c r="J3756">
        <f>-750.883173651309 -2.73715770845047 -776.043857350069</f>
        <v>-1529.6641887098285</v>
      </c>
      <c r="K3756" t="s">
        <v>76996</v>
      </c>
      <c r="L3756" t="s">
        <v>76997</v>
      </c>
      <c r="M3756" t="s">
        <v>76998</v>
      </c>
      <c r="N3756">
        <f>-769.452092244518 -62.5721326950504 -765.164512520462</f>
        <v>-1597.1887374600306</v>
      </c>
      <c r="O3756">
        <f>-817.437386322733 -191.853176508396 -714.10133372224</f>
        <v>-1723.391896553369</v>
      </c>
      <c r="P3756">
        <f>-774.786420810804 -172.033180511771 -401.092852799325</f>
        <v>-1347.9124541218998</v>
      </c>
      <c r="Q3756">
        <f>-535.182000499556 -85.2878807640438 -349.063869875124</f>
        <v>-969.5337511387238</v>
      </c>
      <c r="R3756" t="s">
        <v>76999</v>
      </c>
      <c r="S3756" t="s">
        <v>77000</v>
      </c>
      <c r="T3756" t="s">
        <v>77001</v>
      </c>
      <c r="U3756" t="s">
        <v>77002</v>
      </c>
      <c r="V3756">
        <f>-733.516530547026 -81.5018632268698 -230.175731054805</f>
        <v>-1045.1941248287008</v>
      </c>
      <c r="W3756" t="s">
        <v>77003</v>
      </c>
      <c r="X3756" t="s">
        <v>77004</v>
      </c>
      <c r="Y3756" t="s">
        <v>77005</v>
      </c>
    </row>
    <row r="3757" spans="1:25" x14ac:dyDescent="0.3">
      <c r="A3757">
        <v>187800</v>
      </c>
      <c r="B3757" t="s">
        <v>77006</v>
      </c>
      <c r="C3757" t="s">
        <v>77007</v>
      </c>
      <c r="D3757" t="s">
        <v>77008</v>
      </c>
      <c r="E3757" t="s">
        <v>77009</v>
      </c>
      <c r="F3757">
        <f>-759.83067386418 -0.727998107450276 -578.787086251225</f>
        <v>-1339.3457582228552</v>
      </c>
      <c r="G3757">
        <f>-761.623202326043 -17.118374618454 -687.059814555136</f>
        <v>-1465.8013914996332</v>
      </c>
      <c r="H3757">
        <f>-759.871950839467 -44.8882794328435 -836.81216837551</f>
        <v>-1641.5723986478206</v>
      </c>
      <c r="I3757">
        <f>-725.109194543351 -65.8368913254601 -930.277109815552</f>
        <v>-1721.223195684363</v>
      </c>
      <c r="J3757">
        <f>-751.36068349373 -2.68379741333069 -775.990598455858</f>
        <v>-1530.0350793629186</v>
      </c>
      <c r="K3757" t="s">
        <v>77010</v>
      </c>
      <c r="L3757" t="s">
        <v>77011</v>
      </c>
      <c r="M3757" t="s">
        <v>77012</v>
      </c>
      <c r="N3757">
        <f>-769.932873587732 -62.5180030123613 -765.112257724784</f>
        <v>-1597.5631343248774</v>
      </c>
      <c r="O3757">
        <f>-817.865487689675 -191.832592855476 -714.082356588872</f>
        <v>-1723.780437134023</v>
      </c>
      <c r="P3757">
        <f>-775.306025669299 -172.176450690525 -401.051283447618</f>
        <v>-1348.533759807442</v>
      </c>
      <c r="Q3757">
        <f>-535.777565918665 -85.2305904051234 -349.007437036088</f>
        <v>-970.01559335987645</v>
      </c>
      <c r="R3757" t="s">
        <v>77013</v>
      </c>
      <c r="S3757" t="s">
        <v>77014</v>
      </c>
      <c r="T3757" t="s">
        <v>77015</v>
      </c>
      <c r="U3757" t="s">
        <v>77016</v>
      </c>
      <c r="V3757">
        <f>-733.654731438417 -81.5493094042386 -230.138159877664</f>
        <v>-1045.3422007203196</v>
      </c>
      <c r="W3757" t="s">
        <v>77017</v>
      </c>
      <c r="X3757" t="s">
        <v>77018</v>
      </c>
      <c r="Y3757" t="s">
        <v>77019</v>
      </c>
    </row>
    <row r="3758" spans="1:25" x14ac:dyDescent="0.3">
      <c r="A3758">
        <v>187850</v>
      </c>
      <c r="B3758" t="s">
        <v>77020</v>
      </c>
      <c r="C3758" t="s">
        <v>77021</v>
      </c>
      <c r="D3758" t="s">
        <v>77022</v>
      </c>
      <c r="E3758" t="s">
        <v>77023</v>
      </c>
      <c r="F3758">
        <f>-760.055764836071 -0.830567158311624 -578.714649049197</f>
        <v>-1339.6009810435796</v>
      </c>
      <c r="G3758">
        <f>-761.908867800061 -17.1539335420234 -686.996426725299</f>
        <v>-1466.0592280673834</v>
      </c>
      <c r="H3758">
        <f>-760.267521876455 -44.8129407035362 -836.770495305971</f>
        <v>-1641.8509578859623</v>
      </c>
      <c r="I3758">
        <f>-725.535454700692 -65.7462548470594 -930.250254851071</f>
        <v>-1721.5319643988223</v>
      </c>
      <c r="J3758">
        <f>-751.727206304065 -2.64896373672173 -775.92500407851</f>
        <v>-1530.3011741192968</v>
      </c>
      <c r="K3758" t="s">
        <v>77024</v>
      </c>
      <c r="L3758" t="s">
        <v>77025</v>
      </c>
      <c r="M3758" t="s">
        <v>77026</v>
      </c>
      <c r="N3758">
        <f>-770.260361951744 -62.5004487427634 -765.075340602376</f>
        <v>-1597.8361512968834</v>
      </c>
      <c r="O3758">
        <f>-818.042750697861 -191.914286035762 -714.157984544272</f>
        <v>-1724.115021277895</v>
      </c>
      <c r="P3758">
        <f>-775.550954795388 -172.398213394876 -401.108787277992</f>
        <v>-1349.0579554682558</v>
      </c>
      <c r="Q3758">
        <f>-536.277556638627 -84.8971071379528 -348.822288495587</f>
        <v>-969.99695227216671</v>
      </c>
      <c r="R3758" t="s">
        <v>77027</v>
      </c>
      <c r="S3758" t="s">
        <v>77028</v>
      </c>
      <c r="T3758" t="s">
        <v>77029</v>
      </c>
      <c r="U3758" t="s">
        <v>77030</v>
      </c>
      <c r="V3758">
        <f>-733.861465083747 -81.7246909942987 -230.083463600466</f>
        <v>-1045.6696196785117</v>
      </c>
      <c r="W3758" t="s">
        <v>77031</v>
      </c>
      <c r="X3758" t="s">
        <v>77032</v>
      </c>
      <c r="Y3758" t="s">
        <v>77033</v>
      </c>
    </row>
    <row r="3759" spans="1:25" x14ac:dyDescent="0.3">
      <c r="A3759">
        <v>187900</v>
      </c>
      <c r="B3759" t="s">
        <v>77034</v>
      </c>
      <c r="C3759" t="s">
        <v>77035</v>
      </c>
      <c r="D3759" t="s">
        <v>77036</v>
      </c>
      <c r="E3759" t="s">
        <v>77037</v>
      </c>
      <c r="F3759">
        <f>-760.052349536385 -0.984528056735371 -578.708932783343</f>
        <v>-1339.7458103764634</v>
      </c>
      <c r="G3759">
        <f>-761.93610335859 -17.2973087911339 -686.991852760083</f>
        <v>-1466.2252649098068</v>
      </c>
      <c r="H3759">
        <f>-760.35983691415 -44.9321418639081 -836.771079590183</f>
        <v>-1642.0630583682412</v>
      </c>
      <c r="I3759">
        <f>-725.645948927622 -65.8666897000492 -930.257260299411</f>
        <v>-1721.7698989270821</v>
      </c>
      <c r="J3759">
        <f>-751.809054710817 -2.77329694206287 -775.92350736619</f>
        <v>-1530.5058590190699</v>
      </c>
      <c r="K3759" t="s">
        <v>77038</v>
      </c>
      <c r="L3759" t="s">
        <v>77039</v>
      </c>
      <c r="M3759" t="s">
        <v>77040</v>
      </c>
      <c r="N3759">
        <f>-770.305573732932 -62.6359416409473 -765.073263276774</f>
        <v>-1598.0147786506532</v>
      </c>
      <c r="O3759">
        <f>-817.982939621519 -192.095715252161 -714.180570360523</f>
        <v>-1724.2592252342029</v>
      </c>
      <c r="P3759">
        <f>-775.700030849747 -172.594906847793 -401.10231972364</f>
        <v>-1349.39725742118</v>
      </c>
      <c r="Q3759">
        <f>-536.547177488295 -84.834598986527 -348.699054222649</f>
        <v>-970.08083069747101</v>
      </c>
      <c r="R3759" t="s">
        <v>77041</v>
      </c>
      <c r="S3759" t="s">
        <v>77042</v>
      </c>
      <c r="T3759" t="s">
        <v>77043</v>
      </c>
      <c r="U3759" t="s">
        <v>77044</v>
      </c>
      <c r="V3759">
        <f>-733.936983000126 -81.8587989763885 -230.070586619525</f>
        <v>-1045.8663685960396</v>
      </c>
      <c r="W3759" t="s">
        <v>77045</v>
      </c>
      <c r="X3759" t="s">
        <v>77046</v>
      </c>
      <c r="Y3759" t="s">
        <v>77047</v>
      </c>
    </row>
    <row r="3760" spans="1:25" x14ac:dyDescent="0.3">
      <c r="A3760">
        <v>187950</v>
      </c>
      <c r="B3760" t="s">
        <v>77048</v>
      </c>
      <c r="C3760" t="s">
        <v>77049</v>
      </c>
      <c r="D3760" t="s">
        <v>77050</v>
      </c>
      <c r="E3760" t="s">
        <v>77051</v>
      </c>
      <c r="F3760">
        <f>-759.44226569547 -1.27705047351492 -578.757198050723</f>
        <v>-1339.476514219708</v>
      </c>
      <c r="G3760">
        <f>-761.171631450913 -17.5810138140685 -687.044017444997</f>
        <v>-1465.7966627099786</v>
      </c>
      <c r="H3760">
        <f>-759.393681890665 -45.1855444370544 -836.826632810989</f>
        <v>-1641.4058591387084</v>
      </c>
      <c r="I3760">
        <f>-724.595310151737 -66.0745990155665 -930.291584682813</f>
        <v>-1720.9614938501163</v>
      </c>
      <c r="J3760">
        <f>-750.97205369599 -3.02486452096173 -775.962252125015</f>
        <v>-1529.9591703419667</v>
      </c>
      <c r="K3760" t="s">
        <v>77052</v>
      </c>
      <c r="L3760" t="s">
        <v>77053</v>
      </c>
      <c r="M3760" t="s">
        <v>77054</v>
      </c>
      <c r="N3760">
        <f>-769.388653404301 -62.9178899316626 -765.142771526664</f>
        <v>-1597.4493148626275</v>
      </c>
      <c r="O3760">
        <f>-816.897368142389 -192.473864166474 -714.315569077764</f>
        <v>-1723.6868013866269</v>
      </c>
      <c r="P3760">
        <f>-774.885861083551 -172.61145997273 -401.223466778109</f>
        <v>-1348.7207878343902</v>
      </c>
      <c r="Q3760">
        <f>-535.874954013286 -84.7740049059162 -348.304819055924</f>
        <v>-968.95377797512617</v>
      </c>
      <c r="R3760" t="s">
        <v>77055</v>
      </c>
      <c r="S3760" t="s">
        <v>77056</v>
      </c>
      <c r="T3760" t="s">
        <v>77057</v>
      </c>
      <c r="U3760" t="s">
        <v>77058</v>
      </c>
      <c r="V3760">
        <f>-733.917204830324 -82.0647362394759 -230.045784990761</f>
        <v>-1046.0277260605608</v>
      </c>
      <c r="W3760" t="s">
        <v>77059</v>
      </c>
      <c r="X3760" t="s">
        <v>77060</v>
      </c>
      <c r="Y3760" t="s">
        <v>77061</v>
      </c>
    </row>
    <row r="3761" spans="1:25" x14ac:dyDescent="0.3">
      <c r="A3761">
        <v>188000</v>
      </c>
      <c r="B3761" t="s">
        <v>77062</v>
      </c>
      <c r="C3761" t="s">
        <v>77063</v>
      </c>
      <c r="D3761" t="s">
        <v>77064</v>
      </c>
      <c r="E3761" t="s">
        <v>77065</v>
      </c>
      <c r="F3761">
        <f>-759.088180784463 -1.44329024949297 -578.806809607201</f>
        <v>-1339.3382806411569</v>
      </c>
      <c r="G3761">
        <f>-760.71113144011 -17.7992317040848 -687.087525827266</f>
        <v>-1465.5978889714606</v>
      </c>
      <c r="H3761">
        <f>-758.773179996826 -45.4844966880094 -836.853234717074</f>
        <v>-1641.1109114019093</v>
      </c>
      <c r="I3761">
        <f>-723.899003992813 -66.3662108590779 -930.291568914045</f>
        <v>-1720.556783765936</v>
      </c>
      <c r="J3761">
        <f>-750.441370906651 -3.28381885073782 -776.004286053343</f>
        <v>-1529.7294758107319</v>
      </c>
      <c r="K3761" t="s">
        <v>77066</v>
      </c>
      <c r="L3761" t="s">
        <v>77067</v>
      </c>
      <c r="M3761" t="s">
        <v>77068</v>
      </c>
      <c r="N3761">
        <f>-768.819975312651 -63.1854474510087 -765.168817719943</f>
        <v>-1597.1742404836027</v>
      </c>
      <c r="O3761">
        <f>-816.244042324088 -192.757863945525 -714.341605876252</f>
        <v>-1723.3435121458651</v>
      </c>
      <c r="P3761">
        <f>-774.584414812389 -172.877736823253 -401.203552145481</f>
        <v>-1348.6657037811231</v>
      </c>
      <c r="Q3761">
        <f>-535.602378051451 -84.959492940877 -348.288189298368</f>
        <v>-968.85006029069598</v>
      </c>
      <c r="R3761" t="s">
        <v>77069</v>
      </c>
      <c r="S3761" t="s">
        <v>77070</v>
      </c>
      <c r="T3761" t="s">
        <v>77071</v>
      </c>
      <c r="U3761" t="s">
        <v>77072</v>
      </c>
      <c r="V3761">
        <f>-733.811061247749 -82.1160047451183 -230.057405920219</f>
        <v>-1045.9844719130863</v>
      </c>
      <c r="W3761" t="s">
        <v>77073</v>
      </c>
      <c r="X3761" t="s">
        <v>77074</v>
      </c>
      <c r="Y3761" t="s">
        <v>77075</v>
      </c>
    </row>
    <row r="3762" spans="1:25" x14ac:dyDescent="0.3">
      <c r="A3762">
        <v>188050</v>
      </c>
      <c r="B3762" t="s">
        <v>77076</v>
      </c>
      <c r="C3762" t="s">
        <v>77077</v>
      </c>
      <c r="D3762" t="s">
        <v>77078</v>
      </c>
      <c r="E3762" t="s">
        <v>77079</v>
      </c>
      <c r="F3762">
        <f>-758.394657047297 -1.64310906376204 -578.89312030258</f>
        <v>-1338.930886413639</v>
      </c>
      <c r="G3762">
        <f>-759.820051599725 -18.0764021464981 -687.164800465391</f>
        <v>-1465.0612542116141</v>
      </c>
      <c r="H3762">
        <f>-757.598074692936 -45.8703512630977 -836.906502312749</f>
        <v>-1640.3749282687827</v>
      </c>
      <c r="I3762">
        <f>-722.516108805414 -66.7628232201766 -930.264597234512</f>
        <v>-1719.5435292601028</v>
      </c>
      <c r="J3762">
        <f>-749.406800562885 -3.61808803711824 -776.074184394704</f>
        <v>-1529.0990729947073</v>
      </c>
      <c r="K3762" t="s">
        <v>77080</v>
      </c>
      <c r="L3762" t="s">
        <v>77081</v>
      </c>
      <c r="M3762" t="s">
        <v>77082</v>
      </c>
      <c r="N3762">
        <f>-767.755605420967 -63.5266229157132 -765.226759712191</f>
        <v>-1596.5089880488713</v>
      </c>
      <c r="O3762">
        <f>-815.162739437902 -193.096626948385 -714.369775334239</f>
        <v>-1722.6291417205259</v>
      </c>
      <c r="P3762">
        <f>-773.923461279613 -173.191121591477 -401.177699854893</f>
        <v>-1348.2922827259829</v>
      </c>
      <c r="Q3762">
        <f>-534.920521841095 -85.3396043664325 -348.245677084728</f>
        <v>-968.50580329225545</v>
      </c>
      <c r="R3762" t="s">
        <v>77083</v>
      </c>
      <c r="S3762" t="s">
        <v>77084</v>
      </c>
      <c r="T3762" t="s">
        <v>77085</v>
      </c>
      <c r="U3762" t="s">
        <v>77086</v>
      </c>
      <c r="V3762">
        <f>-733.544802072426 -82.1385080879675 -230.077828620197</f>
        <v>-1045.7611387805905</v>
      </c>
      <c r="W3762" t="s">
        <v>77087</v>
      </c>
      <c r="X3762" t="s">
        <v>77088</v>
      </c>
      <c r="Y3762" t="s">
        <v>77089</v>
      </c>
    </row>
    <row r="3763" spans="1:25" x14ac:dyDescent="0.3">
      <c r="A3763">
        <v>188100</v>
      </c>
      <c r="B3763" t="s">
        <v>77090</v>
      </c>
      <c r="C3763" t="s">
        <v>77091</v>
      </c>
      <c r="D3763" t="s">
        <v>77092</v>
      </c>
      <c r="E3763" t="s">
        <v>77093</v>
      </c>
      <c r="F3763">
        <f>-758.276330948289 -1.69080709952777 -578.894746502737</f>
        <v>-1338.8618845505539</v>
      </c>
      <c r="G3763">
        <f>-759.634023544748 -18.1709469314335 -687.160195656504</f>
        <v>-1464.9651661326855</v>
      </c>
      <c r="H3763">
        <f>-757.310120763761 -46.0395335183177 -836.886531618981</f>
        <v>-1640.2361859010598</v>
      </c>
      <c r="I3763">
        <f>-722.147328439446 -66.964881226851 -930.206817189349</f>
        <v>-1719.3190268556459</v>
      </c>
      <c r="J3763">
        <f>-749.171607602222 -3.75360935756567 -776.07054156417</f>
        <v>-1528.9957585239576</v>
      </c>
      <c r="K3763" t="s">
        <v>77094</v>
      </c>
      <c r="L3763" t="s">
        <v>77095</v>
      </c>
      <c r="M3763" t="s">
        <v>77096</v>
      </c>
      <c r="N3763">
        <f>-767.505170761794 -63.6635105567166 -765.204067124052</f>
        <v>-1596.3727484425626</v>
      </c>
      <c r="O3763">
        <f>-814.89359395624 -193.224800227539 -714.2849038074</f>
        <v>-1722.403297991179</v>
      </c>
      <c r="P3763">
        <f>-773.630834984182 -173.130986982902 -401.107775947256</f>
        <v>-1347.8695979143399</v>
      </c>
      <c r="Q3763">
        <f>-534.551856526262 -85.6714104431774 -347.871697453559</f>
        <v>-968.09496442299837</v>
      </c>
      <c r="R3763" t="s">
        <v>77097</v>
      </c>
      <c r="S3763" t="s">
        <v>77098</v>
      </c>
      <c r="T3763" t="s">
        <v>77099</v>
      </c>
      <c r="U3763" t="s">
        <v>77100</v>
      </c>
      <c r="V3763">
        <f>-733.534400791776 -82.1483060861644 -230.065795850658</f>
        <v>-1045.7485027285984</v>
      </c>
      <c r="W3763" t="s">
        <v>77101</v>
      </c>
      <c r="X3763" t="s">
        <v>77102</v>
      </c>
      <c r="Y3763" t="s">
        <v>77103</v>
      </c>
    </row>
    <row r="3764" spans="1:25" x14ac:dyDescent="0.3">
      <c r="A3764">
        <v>188150</v>
      </c>
      <c r="B3764" t="s">
        <v>77104</v>
      </c>
      <c r="C3764" t="s">
        <v>77105</v>
      </c>
      <c r="D3764" t="s">
        <v>77106</v>
      </c>
      <c r="E3764" t="s">
        <v>77107</v>
      </c>
      <c r="F3764">
        <f>-758.222958358512 -1.73879104150319 -578.871736934598</f>
        <v>-1338.8334863346131</v>
      </c>
      <c r="G3764">
        <f>-759.436896088648 -18.3586962466482 -687.117415555793</f>
        <v>-1464.9130078910891</v>
      </c>
      <c r="H3764">
        <f>-756.900189387218 -46.4570724031298 -836.797316186591</f>
        <v>-1640.154577976939</v>
      </c>
      <c r="I3764">
        <f>-721.621998081105 -67.5021396953769 -930.04711330512</f>
        <v>-1719.1712510816019</v>
      </c>
      <c r="J3764">
        <f>-748.859811179686 -4.07437996709336 -776.03560744533</f>
        <v>-1528.9697985921093</v>
      </c>
      <c r="K3764" t="s">
        <v>77108</v>
      </c>
      <c r="L3764" t="s">
        <v>77109</v>
      </c>
      <c r="M3764" t="s">
        <v>77110</v>
      </c>
      <c r="N3764">
        <f>-767.185387697825 -63.9744380318689 -765.101597465356</f>
        <v>-1596.2614231950499</v>
      </c>
      <c r="O3764">
        <f>-814.620576840465 -193.414519825752 -713.948315888959</f>
        <v>-1721.9834125551761</v>
      </c>
      <c r="P3764">
        <f>-773.150832228032 -172.770409235364 -400.834495816839</f>
        <v>-1346.7557372802351</v>
      </c>
      <c r="Q3764">
        <f>-533.832004765388 -86.3673587958938 -346.953972401244</f>
        <v>-967.15333596252572</v>
      </c>
      <c r="R3764" t="s">
        <v>77111</v>
      </c>
      <c r="S3764" t="s">
        <v>77112</v>
      </c>
      <c r="T3764" t="s">
        <v>77113</v>
      </c>
      <c r="U3764" t="s">
        <v>77114</v>
      </c>
      <c r="V3764">
        <f>-733.717845849792 -82.1250441540531 -230.05305046524</f>
        <v>-1045.895940469085</v>
      </c>
      <c r="W3764" t="s">
        <v>77115</v>
      </c>
      <c r="X3764" t="s">
        <v>77116</v>
      </c>
      <c r="Y3764" t="s">
        <v>77117</v>
      </c>
    </row>
    <row r="3765" spans="1:25" x14ac:dyDescent="0.3">
      <c r="A3765">
        <v>188200</v>
      </c>
      <c r="B3765" t="s">
        <v>77118</v>
      </c>
      <c r="C3765" t="s">
        <v>77119</v>
      </c>
      <c r="D3765" t="s">
        <v>77120</v>
      </c>
      <c r="E3765" t="s">
        <v>77121</v>
      </c>
      <c r="F3765">
        <f>-757.938445831245 -1.7815607897378 -578.911424055644</f>
        <v>-1338.6314306766267</v>
      </c>
      <c r="G3765">
        <f>-759.043906670076 -18.456699822787 -687.149892437147</f>
        <v>-1464.6504989300099</v>
      </c>
      <c r="H3765">
        <f>-756.35605599266 -46.6446679115575 -836.810283761973</f>
        <v>-1639.8110076661906</v>
      </c>
      <c r="I3765">
        <f>-721.014067350757 -67.7486747193484 -930.022506390035</f>
        <v>-1718.7852484601403</v>
      </c>
      <c r="J3765">
        <f>-748.376512358426 -4.22559567107328 -776.065786776219</f>
        <v>-1528.6678948057183</v>
      </c>
      <c r="K3765" t="s">
        <v>77122</v>
      </c>
      <c r="L3765" t="s">
        <v>77123</v>
      </c>
      <c r="M3765" t="s">
        <v>77124</v>
      </c>
      <c r="N3765">
        <f>-766.71399956659 -64.1189162817645 -765.114541902239</f>
        <v>-1595.9474577505935</v>
      </c>
      <c r="O3765">
        <f>-814.21515815367 -193.509178623082 -713.855339958316</f>
        <v>-1721.579676735068</v>
      </c>
      <c r="P3765">
        <f>-772.617952273828 -172.489173434954 -400.783373962927</f>
        <v>-1345.890499671709</v>
      </c>
      <c r="Q3765">
        <f>-533.213127499857 -86.8692315823689 -346.04222192771</f>
        <v>-966.12458100993592</v>
      </c>
      <c r="R3765" t="s">
        <v>77125</v>
      </c>
      <c r="S3765" t="s">
        <v>77126</v>
      </c>
      <c r="T3765" t="s">
        <v>77127</v>
      </c>
      <c r="U3765" t="s">
        <v>77128</v>
      </c>
      <c r="V3765">
        <f>-733.711668116152 -82.1054171320493 -230.071767190416</f>
        <v>-1045.8888524386173</v>
      </c>
      <c r="W3765" t="s">
        <v>77129</v>
      </c>
      <c r="X3765" t="s">
        <v>77130</v>
      </c>
      <c r="Y3765" t="s">
        <v>77131</v>
      </c>
    </row>
    <row r="3766" spans="1:25" x14ac:dyDescent="0.3">
      <c r="A3766">
        <v>188250</v>
      </c>
      <c r="B3766" t="s">
        <v>77132</v>
      </c>
      <c r="C3766" t="s">
        <v>77133</v>
      </c>
      <c r="D3766" t="s">
        <v>77134</v>
      </c>
      <c r="E3766" t="s">
        <v>77135</v>
      </c>
      <c r="F3766">
        <f>-757.459339728924 -1.78800742002363 -579.038826145075</f>
        <v>-1338.2861732940225</v>
      </c>
      <c r="G3766">
        <f>-758.311938989451 -18.6052421470617 -687.257491948761</f>
        <v>-1464.1746730852738</v>
      </c>
      <c r="H3766">
        <f>-755.235416686209 -47.0235549502843 -836.866827701147</f>
        <v>-1639.1257993376403</v>
      </c>
      <c r="I3766">
        <f>-719.742408712679 -68.2419771016739 -929.995885195608</f>
        <v>-1717.9802710099609</v>
      </c>
      <c r="J3766">
        <f>-747.414291597353 -4.51097499343882 -776.167339466185</f>
        <v>-1528.0926060569768</v>
      </c>
      <c r="K3766" t="s">
        <v>77136</v>
      </c>
      <c r="L3766" t="s">
        <v>77137</v>
      </c>
      <c r="M3766" t="s">
        <v>77138</v>
      </c>
      <c r="N3766">
        <f>-765.779076366435 -64.3876882000018 -765.171438772761</f>
        <v>-1595.3382033391977</v>
      </c>
      <c r="O3766">
        <f>-813.417229673233 -193.624194372793 -713.672583617644</f>
        <v>-1720.7140076636701</v>
      </c>
      <c r="P3766">
        <f>-772.074694836878 -172.461100192548 -400.576640366574</f>
        <v>-1345.1124353959999</v>
      </c>
      <c r="Q3766">
        <f>-532.776686104106 -86.9380046349545 -345.220440786251</f>
        <v>-964.93513152531159</v>
      </c>
      <c r="R3766" t="s">
        <v>77139</v>
      </c>
      <c r="S3766" t="s">
        <v>77140</v>
      </c>
      <c r="T3766" t="s">
        <v>77141</v>
      </c>
      <c r="U3766" t="s">
        <v>77142</v>
      </c>
      <c r="V3766">
        <f>-733.843470332764 -81.9268578292501 -230.126013517673</f>
        <v>-1045.8963416796871</v>
      </c>
      <c r="W3766" t="s">
        <v>77143</v>
      </c>
      <c r="X3766" t="s">
        <v>77144</v>
      </c>
      <c r="Y3766" t="s">
        <v>77145</v>
      </c>
    </row>
    <row r="3767" spans="1:25" x14ac:dyDescent="0.3">
      <c r="A3767">
        <v>188300</v>
      </c>
      <c r="B3767" t="s">
        <v>77146</v>
      </c>
      <c r="C3767" t="s">
        <v>77147</v>
      </c>
      <c r="D3767" t="s">
        <v>77148</v>
      </c>
      <c r="E3767" t="s">
        <v>77149</v>
      </c>
      <c r="F3767">
        <f>-757.352200541448 -1.70365116765356 -579.068087958582</f>
        <v>-1338.1239396676838</v>
      </c>
      <c r="G3767">
        <f>-758.07879509762 -18.5748403849136 -687.279454132309</f>
        <v>-1463.9330896148426</v>
      </c>
      <c r="H3767">
        <f>-754.796450803356 -47.0859475305913 -836.866714464477</f>
        <v>-1638.7491127984244</v>
      </c>
      <c r="I3767">
        <f>-719.212558903711 -68.3582056354667 -929.948638769455</f>
        <v>-1717.5194033086327</v>
      </c>
      <c r="J3767">
        <f>-747.058106461152 -4.53591098344896 -776.182719968775</f>
        <v>-1527.7767374133759</v>
      </c>
      <c r="K3767" t="s">
        <v>77150</v>
      </c>
      <c r="L3767" t="s">
        <v>77151</v>
      </c>
      <c r="M3767" t="s">
        <v>77152</v>
      </c>
      <c r="N3767">
        <f>-765.4394858392 -64.405450074727 -765.175051706783</f>
        <v>-1595.01998762071</v>
      </c>
      <c r="O3767">
        <f>-813.260306639073 -193.528646851973 -713.560539706266</f>
        <v>-1720.3494931973119</v>
      </c>
      <c r="P3767">
        <f>-772.146533323316 -172.366055881444 -400.434353705265</f>
        <v>-1344.946942910025</v>
      </c>
      <c r="Q3767">
        <f>-532.882941402581 -86.8903421383895 -344.856113097827</f>
        <v>-964.62939663879752</v>
      </c>
      <c r="R3767" t="s">
        <v>77153</v>
      </c>
      <c r="S3767" t="s">
        <v>77154</v>
      </c>
      <c r="T3767" t="s">
        <v>77155</v>
      </c>
      <c r="U3767" t="s">
        <v>77156</v>
      </c>
      <c r="V3767">
        <f>-733.94636250474 -81.7953924546209 -230.156661584348</f>
        <v>-1045.8984165437089</v>
      </c>
      <c r="W3767" t="s">
        <v>77157</v>
      </c>
      <c r="X3767" t="s">
        <v>77158</v>
      </c>
      <c r="Y3767" t="s">
        <v>77159</v>
      </c>
    </row>
    <row r="3768" spans="1:25" x14ac:dyDescent="0.3">
      <c r="A3768">
        <v>188350</v>
      </c>
      <c r="B3768" t="s">
        <v>77146</v>
      </c>
      <c r="C3768" t="s">
        <v>77147</v>
      </c>
      <c r="D3768" t="s">
        <v>77148</v>
      </c>
      <c r="E3768" t="s">
        <v>77149</v>
      </c>
      <c r="F3768">
        <f>-757.352200541448 -1.70365116765356 -579.068087958582</f>
        <v>-1338.1239396676838</v>
      </c>
      <c r="G3768">
        <f>-758.07879509762 -18.5748403849136 -687.279454132309</f>
        <v>-1463.9330896148426</v>
      </c>
      <c r="H3768">
        <f>-754.796450803356 -47.0859475305913 -836.866714464477</f>
        <v>-1638.7491127984244</v>
      </c>
      <c r="I3768">
        <f>-719.212558903711 -68.3582056354667 -929.948638769455</f>
        <v>-1717.5194033086327</v>
      </c>
      <c r="J3768">
        <f>-747.058106461152 -4.53591098344896 -776.182719968775</f>
        <v>-1527.7767374133759</v>
      </c>
      <c r="K3768" t="s">
        <v>77150</v>
      </c>
      <c r="L3768" t="s">
        <v>77151</v>
      </c>
      <c r="M3768" t="s">
        <v>77152</v>
      </c>
      <c r="N3768">
        <f>-765.4394858392 -64.405450074727 -765.175051706783</f>
        <v>-1595.01998762071</v>
      </c>
      <c r="O3768">
        <f>-813.260306639073 -193.528646851973 -713.560539706266</f>
        <v>-1720.3494931973119</v>
      </c>
      <c r="P3768">
        <f>-772.146533323316 -172.366055881444 -400.434353705265</f>
        <v>-1344.946942910025</v>
      </c>
      <c r="Q3768">
        <f>-532.882941402581 -86.8903421383895 -344.856113097827</f>
        <v>-964.62939663879752</v>
      </c>
      <c r="R3768" t="s">
        <v>77153</v>
      </c>
      <c r="S3768" t="s">
        <v>77154</v>
      </c>
      <c r="T3768" t="s">
        <v>77155</v>
      </c>
      <c r="U3768" t="s">
        <v>77156</v>
      </c>
      <c r="V3768">
        <f>-733.94636250474 -81.7953924546209 -230.156661584348</f>
        <v>-1045.8984165437089</v>
      </c>
      <c r="W3768" t="s">
        <v>77157</v>
      </c>
      <c r="X3768" t="s">
        <v>77158</v>
      </c>
      <c r="Y3768" t="s">
        <v>77159</v>
      </c>
    </row>
    <row r="3769" spans="1:25" x14ac:dyDescent="0.3">
      <c r="A3769">
        <v>188400</v>
      </c>
      <c r="B3769" t="s">
        <v>77160</v>
      </c>
      <c r="C3769" t="s">
        <v>77161</v>
      </c>
      <c r="D3769" t="s">
        <v>77162</v>
      </c>
      <c r="E3769" t="s">
        <v>77163</v>
      </c>
      <c r="F3769">
        <f>-757.300873229463 -1.62781539493153 -579.113518736957</f>
        <v>-1338.0422073613515</v>
      </c>
      <c r="G3769">
        <f>-757.90563914717 -18.5608426935348 -687.315902910034</f>
        <v>-1463.7823847507389</v>
      </c>
      <c r="H3769">
        <f>-754.42060841651 -47.1801044032634 -836.877915295539</f>
        <v>-1638.4786281153124</v>
      </c>
      <c r="I3769">
        <f>-718.720944309061 -68.5227846649309 -929.89948687367</f>
        <v>-1717.1432158476618</v>
      </c>
      <c r="J3769">
        <f>-746.748553436321 -4.59082684114492 -776.21308887967</f>
        <v>-1527.5524691571359</v>
      </c>
      <c r="K3769" t="s">
        <v>77164</v>
      </c>
      <c r="L3769" t="s">
        <v>77165</v>
      </c>
      <c r="M3769" t="s">
        <v>77166</v>
      </c>
      <c r="N3769">
        <f>-765.176667854489 -64.4430698166721 -765.189548076807</f>
        <v>-1594.809285747968</v>
      </c>
      <c r="O3769">
        <f>-813.274994083494 -193.406989670494 -713.459508969124</f>
        <v>-1720.1414927231122</v>
      </c>
      <c r="P3769">
        <f>-771.720118217895 -172.345571310463 -400.384753402986</f>
        <v>-1344.450442931344</v>
      </c>
      <c r="Q3769">
        <f>-532.343585166101 -87.1865523207296 -344.807493086206</f>
        <v>-964.33763057303656</v>
      </c>
      <c r="R3769" t="s">
        <v>77167</v>
      </c>
      <c r="S3769" t="s">
        <v>77168</v>
      </c>
      <c r="T3769" t="s">
        <v>77169</v>
      </c>
      <c r="U3769" t="s">
        <v>77170</v>
      </c>
      <c r="V3769">
        <f>-734.094431326842 -81.6626267893942 -230.199019465599</f>
        <v>-1045.9560775818352</v>
      </c>
      <c r="W3769" t="s">
        <v>77171</v>
      </c>
      <c r="X3769" t="s">
        <v>77172</v>
      </c>
      <c r="Y3769" t="s">
        <v>77173</v>
      </c>
    </row>
    <row r="3770" spans="1:25" x14ac:dyDescent="0.3">
      <c r="A3770">
        <v>188450</v>
      </c>
      <c r="B3770" t="s">
        <v>77160</v>
      </c>
      <c r="C3770" t="s">
        <v>77161</v>
      </c>
      <c r="D3770" t="s">
        <v>77162</v>
      </c>
      <c r="E3770" t="s">
        <v>77163</v>
      </c>
      <c r="F3770">
        <f>-757.300873229463 -1.62781539493153 -579.113518736957</f>
        <v>-1338.0422073613515</v>
      </c>
      <c r="G3770">
        <f>-757.90563914717 -18.5608426935348 -687.315902910034</f>
        <v>-1463.7823847507389</v>
      </c>
      <c r="H3770">
        <f>-754.42060841651 -47.1801044032634 -836.877915295539</f>
        <v>-1638.4786281153124</v>
      </c>
      <c r="I3770">
        <f>-718.720944309061 -68.5227846649309 -929.89948687367</f>
        <v>-1717.1432158476618</v>
      </c>
      <c r="J3770">
        <f>-746.748553436321 -4.59082684114492 -776.21308887967</f>
        <v>-1527.5524691571359</v>
      </c>
      <c r="K3770" t="s">
        <v>77164</v>
      </c>
      <c r="L3770" t="s">
        <v>77165</v>
      </c>
      <c r="M3770" t="s">
        <v>77166</v>
      </c>
      <c r="N3770">
        <f>-765.176667854489 -64.4430698166721 -765.189548076807</f>
        <v>-1594.809285747968</v>
      </c>
      <c r="O3770">
        <f>-813.274994083494 -193.406989670494 -713.459508969124</f>
        <v>-1720.1414927231122</v>
      </c>
      <c r="P3770">
        <f>-771.720118217895 -172.345571310463 -400.384753402986</f>
        <v>-1344.450442931344</v>
      </c>
      <c r="Q3770">
        <f>-532.343585166101 -87.1865523207296 -344.807493086206</f>
        <v>-964.33763057303656</v>
      </c>
      <c r="R3770" t="s">
        <v>77167</v>
      </c>
      <c r="S3770" t="s">
        <v>77168</v>
      </c>
      <c r="T3770" t="s">
        <v>77169</v>
      </c>
      <c r="U3770" t="s">
        <v>77170</v>
      </c>
      <c r="V3770">
        <f>-734.094431326842 -81.6626267893942 -230.199019465599</f>
        <v>-1045.9560775818352</v>
      </c>
      <c r="W3770" t="s">
        <v>77171</v>
      </c>
      <c r="X3770" t="s">
        <v>77172</v>
      </c>
      <c r="Y3770" t="s">
        <v>77173</v>
      </c>
    </row>
    <row r="3771" spans="1:25" x14ac:dyDescent="0.3">
      <c r="A3771">
        <v>188500</v>
      </c>
      <c r="B3771" t="s">
        <v>77174</v>
      </c>
      <c r="C3771" t="s">
        <v>77175</v>
      </c>
      <c r="D3771" t="s">
        <v>77176</v>
      </c>
      <c r="E3771" t="s">
        <v>77177</v>
      </c>
      <c r="F3771">
        <f>-756.439086247599 -1.70477945945936 -579.295578926649</f>
        <v>-1337.4394446337074</v>
      </c>
      <c r="G3771">
        <f>-756.475205586392 -19.2699206131997 -687.398914285304</f>
        <v>-1463.1440404848959</v>
      </c>
      <c r="H3771">
        <f>-752.102923212077 -48.9391938536182 -836.732808149744</f>
        <v>-1637.7749252154392</v>
      </c>
      <c r="I3771">
        <f>-715.86242462591 -70.8866569474551 -929.403821837525</f>
        <v>-1716.1529034108901</v>
      </c>
      <c r="J3771">
        <f>-744.79175723074 -5.924204350021 -776.32429927773</f>
        <v>-1527.0402608584909</v>
      </c>
      <c r="K3771" t="s">
        <v>77178</v>
      </c>
      <c r="L3771" t="s">
        <v>77179</v>
      </c>
      <c r="M3771" t="s">
        <v>77180</v>
      </c>
      <c r="N3771">
        <f>-763.283260256868 -65.6986893917942 -764.989857256472</f>
        <v>-1593.9718069051341</v>
      </c>
      <c r="O3771">
        <f>-811.940036137526 -194.100819340453 -712.367472575476</f>
        <v>-1718.4083280534551</v>
      </c>
      <c r="P3771">
        <f>-770.994256533109 -172.506883223879 -399.248756711082</f>
        <v>-1342.7498964680699</v>
      </c>
      <c r="Q3771">
        <f>-531.92155978039 -85.3913038797541 -345.42333394015</f>
        <v>-962.73619760029408</v>
      </c>
      <c r="R3771" t="s">
        <v>77181</v>
      </c>
      <c r="S3771" t="s">
        <v>77182</v>
      </c>
      <c r="T3771" t="s">
        <v>77183</v>
      </c>
      <c r="U3771" t="s">
        <v>77184</v>
      </c>
      <c r="V3771">
        <f>-734.578331572854 -80.8733647694833 -230.405543135304</f>
        <v>-1045.8572394776413</v>
      </c>
      <c r="W3771" t="s">
        <v>77185</v>
      </c>
      <c r="X3771" t="s">
        <v>77186</v>
      </c>
      <c r="Y3771" t="s">
        <v>77187</v>
      </c>
    </row>
    <row r="3772" spans="1:25" x14ac:dyDescent="0.3">
      <c r="A3772">
        <v>188550</v>
      </c>
      <c r="B3772" t="s">
        <v>77188</v>
      </c>
      <c r="C3772" t="s">
        <v>77189</v>
      </c>
      <c r="D3772" t="s">
        <v>77190</v>
      </c>
      <c r="E3772" t="s">
        <v>77191</v>
      </c>
      <c r="F3772">
        <f>-756.305667695203 -1.36561224813113 -579.371321837136</f>
        <v>-1337.0426017804702</v>
      </c>
      <c r="G3772">
        <f>-756.129505779725 -18.9727455460827 -687.467487599459</f>
        <v>-1462.5697389252668</v>
      </c>
      <c r="H3772">
        <f>-751.41927714773 -48.7187805787851 -836.775883682997</f>
        <v>-1636.9139414095121</v>
      </c>
      <c r="I3772">
        <f>-714.921897244221 -70.731218667846 -929.330639924895</f>
        <v>-1714.9837558369618</v>
      </c>
      <c r="J3772">
        <f>-744.205454725272 -5.68418801330131 -776.369705729579</f>
        <v>-1526.2593484681524</v>
      </c>
      <c r="K3772" t="s">
        <v>77192</v>
      </c>
      <c r="L3772" t="s">
        <v>77193</v>
      </c>
      <c r="M3772" t="s">
        <v>77194</v>
      </c>
      <c r="N3772">
        <f>-762.801234652052 -65.4298280593155 -765.053461525427</f>
        <v>-1593.2845242367944</v>
      </c>
      <c r="O3772">
        <f>-812.029687570923 -193.566210086043 -712.271704221018</f>
        <v>-1717.8676018779838</v>
      </c>
      <c r="P3772">
        <f>-769.843448688956 -171.97196332394 -399.317788733947</f>
        <v>-1341.1332007468429</v>
      </c>
      <c r="Q3772">
        <f>-530.219904303066 -86.0170021129752 -346.078913845384</f>
        <v>-962.31582026142519</v>
      </c>
      <c r="R3772" t="s">
        <v>77195</v>
      </c>
      <c r="S3772" t="s">
        <v>77196</v>
      </c>
      <c r="T3772" t="s">
        <v>77197</v>
      </c>
      <c r="U3772" t="s">
        <v>77198</v>
      </c>
      <c r="V3772">
        <f>-734.783742835972 -80.5034393639551 -230.469891914684</f>
        <v>-1045.757074114611</v>
      </c>
      <c r="W3772" t="s">
        <v>77199</v>
      </c>
      <c r="X3772" t="s">
        <v>77200</v>
      </c>
      <c r="Y3772" t="s">
        <v>77201</v>
      </c>
    </row>
    <row r="3773" spans="1:25" x14ac:dyDescent="0.3">
      <c r="A3773">
        <v>188600</v>
      </c>
      <c r="B3773" t="s">
        <v>77202</v>
      </c>
      <c r="C3773" t="s">
        <v>77203</v>
      </c>
      <c r="D3773" t="s">
        <v>77204</v>
      </c>
      <c r="E3773" t="s">
        <v>77205</v>
      </c>
      <c r="F3773">
        <f>-756.44894827571 -1.15174175737684 -579.36457198296</f>
        <v>-1336.9652620160468</v>
      </c>
      <c r="G3773">
        <f>-756.274042235671 -18.7944590712052 -687.455060112354</f>
        <v>-1462.5235614192302</v>
      </c>
      <c r="H3773">
        <f>-751.560109938848 -48.5978997648613 -836.751920994941</f>
        <v>-1636.9099306986502</v>
      </c>
      <c r="I3773">
        <f>-715.004776917947 -70.6726640509091 -929.268938039689</f>
        <v>-1714.9463790085451</v>
      </c>
      <c r="J3773">
        <f>-744.359602424904 -5.53671504309432 -776.363154502228</f>
        <v>-1526.2594719702263</v>
      </c>
      <c r="K3773" t="s">
        <v>77206</v>
      </c>
      <c r="L3773" t="s">
        <v>77207</v>
      </c>
      <c r="M3773" t="s">
        <v>77208</v>
      </c>
      <c r="N3773">
        <f>-762.932133198226 -65.2848577671668 -765.022247904172</f>
        <v>-1593.2392388695648</v>
      </c>
      <c r="O3773">
        <f>-812.188108902748 -193.308280113264 -712.020649858106</f>
        <v>-1717.517038874118</v>
      </c>
      <c r="P3773">
        <f>-769.687436074312 -170.557055899769 -399.191248293464</f>
        <v>-1339.435740267545</v>
      </c>
      <c r="Q3773">
        <f>-529.870355231425 -84.7857728820813 -346.531102766372</f>
        <v>-961.18723087987837</v>
      </c>
      <c r="R3773" t="s">
        <v>77209</v>
      </c>
      <c r="S3773" t="s">
        <v>77210</v>
      </c>
      <c r="T3773" t="s">
        <v>77211</v>
      </c>
      <c r="U3773" t="s">
        <v>77212</v>
      </c>
      <c r="V3773">
        <f>-734.891305220196 -80.2393111430122 -230.480584236857</f>
        <v>-1045.6112006000653</v>
      </c>
      <c r="W3773" t="s">
        <v>77213</v>
      </c>
      <c r="X3773" t="s">
        <v>77214</v>
      </c>
      <c r="Y3773" t="s">
        <v>77215</v>
      </c>
    </row>
    <row r="3774" spans="1:25" x14ac:dyDescent="0.3">
      <c r="A3774">
        <v>188650</v>
      </c>
      <c r="B3774" t="s">
        <v>77216</v>
      </c>
      <c r="C3774" t="s">
        <v>77217</v>
      </c>
      <c r="D3774" t="s">
        <v>77218</v>
      </c>
      <c r="E3774" t="s">
        <v>77219</v>
      </c>
      <c r="F3774">
        <f>-756.213968811158 -0.687687030206916 -579.329129826013</f>
        <v>-1336.2307856673779</v>
      </c>
      <c r="G3774">
        <f>-755.656176415438 -18.4555915122121 -687.397929395109</f>
        <v>-1461.5096973227592</v>
      </c>
      <c r="H3774">
        <f>-750.305780492101 -48.4849539273475 -836.627942734016</f>
        <v>-1635.4186771534646</v>
      </c>
      <c r="I3774">
        <f>-713.499408654103 -70.6024837615241 -929.035149420989</f>
        <v>-1713.1370418366162</v>
      </c>
      <c r="J3774">
        <f>-743.419971497354 -5.31565364580911 -776.279691697928</f>
        <v>-1525.0153168410911</v>
      </c>
      <c r="K3774" t="s">
        <v>77220</v>
      </c>
      <c r="L3774" t="s">
        <v>77221</v>
      </c>
      <c r="M3774" t="s">
        <v>77222</v>
      </c>
      <c r="N3774">
        <f>-761.926369575124 -65.08015074994 -764.916871367683</f>
        <v>-1591.9233916927469</v>
      </c>
      <c r="O3774">
        <f>-811.213770697231 -193.145586937146 -711.983037211998</f>
        <v>-1716.3423948463749</v>
      </c>
      <c r="P3774">
        <f>-770.062512107852 -171.04779532604 -398.926442741307</f>
        <v>-1340.0367501751989</v>
      </c>
      <c r="Q3774">
        <f>-530.143771457826 -85.0090339140147 -347.173433266484</f>
        <v>-962.32623863832464</v>
      </c>
      <c r="R3774" t="s">
        <v>77223</v>
      </c>
      <c r="S3774" t="s">
        <v>77224</v>
      </c>
      <c r="T3774" t="s">
        <v>77225</v>
      </c>
      <c r="U3774" t="s">
        <v>77226</v>
      </c>
      <c r="V3774">
        <f>-735.109319114643 -79.7344833852753 -230.520722786386</f>
        <v>-1045.3645252863043</v>
      </c>
      <c r="W3774" t="s">
        <v>77227</v>
      </c>
      <c r="X3774" t="s">
        <v>77228</v>
      </c>
      <c r="Y3774" t="s">
        <v>77229</v>
      </c>
    </row>
    <row r="3775" spans="1:25" x14ac:dyDescent="0.3">
      <c r="A3775">
        <v>188700</v>
      </c>
      <c r="B3775" t="s">
        <v>77230</v>
      </c>
      <c r="C3775" t="s">
        <v>77231</v>
      </c>
      <c r="D3775" t="s">
        <v>77232</v>
      </c>
      <c r="E3775" t="s">
        <v>77233</v>
      </c>
      <c r="F3775">
        <f>-756.395280344295 -0.33309423455853 -579.372137069988</f>
        <v>-1336.1005116488413</v>
      </c>
      <c r="G3775">
        <f>-755.782887091889 -18.0401424119443 -687.450439222953</f>
        <v>-1461.2734687267864</v>
      </c>
      <c r="H3775">
        <f>-750.329912395993 -47.9699807319521 -836.696851919662</f>
        <v>-1634.996745047607</v>
      </c>
      <c r="I3775">
        <f>-713.432270583397 -70.0695508038111 -929.071887163623</f>
        <v>-1712.5737085508313</v>
      </c>
      <c r="J3775">
        <f>-743.505856271581 -4.83495215932862 -776.317016046008</f>
        <v>-1524.6578244769175</v>
      </c>
      <c r="K3775" t="s">
        <v>77234</v>
      </c>
      <c r="L3775" t="s">
        <v>77235</v>
      </c>
      <c r="M3775" t="s">
        <v>77236</v>
      </c>
      <c r="N3775">
        <f>-761.97949076056 -64.6189298113384 -765.002882189077</f>
        <v>-1591.6013027609754</v>
      </c>
      <c r="O3775">
        <f>-811.26314782663 -192.597848240295 -711.997615710498</f>
        <v>-1715.858611777423</v>
      </c>
      <c r="P3775">
        <f>-769.851688267716 -169.227508632535 -399.067805452321</f>
        <v>-1338.1470023525719</v>
      </c>
      <c r="Q3775">
        <f>-529.507212157388 -84.3633538395986 -347.350480860181</f>
        <v>-961.22104685716772</v>
      </c>
      <c r="R3775" t="s">
        <v>77237</v>
      </c>
      <c r="S3775" t="s">
        <v>77238</v>
      </c>
      <c r="T3775" t="s">
        <v>77239</v>
      </c>
      <c r="U3775" t="s">
        <v>77240</v>
      </c>
      <c r="V3775">
        <f>-735.281426453557 -79.4616067736843 -230.542752152279</f>
        <v>-1045.2857853795201</v>
      </c>
      <c r="W3775" t="s">
        <v>77241</v>
      </c>
      <c r="X3775" t="s">
        <v>77242</v>
      </c>
      <c r="Y3775" t="s">
        <v>77243</v>
      </c>
    </row>
    <row r="3776" spans="1:25" x14ac:dyDescent="0.3">
      <c r="A3776">
        <v>188750</v>
      </c>
      <c r="B3776" t="s">
        <v>77244</v>
      </c>
      <c r="C3776" t="s">
        <v>77245</v>
      </c>
      <c r="D3776" t="s">
        <v>77246</v>
      </c>
      <c r="E3776" t="s">
        <v>77247</v>
      </c>
      <c r="F3776">
        <f>-756.479178859141 -0.033512647660018 -579.308952714486</f>
        <v>-1335.821644221287</v>
      </c>
      <c r="G3776">
        <f>-755.651535362568 -17.9058477080057 -687.358729763407</f>
        <v>-1460.9161128339806</v>
      </c>
      <c r="H3776">
        <f>-749.850766700421 -48.1032963130931 -836.538064496338</f>
        <v>-1634.4921275098523</v>
      </c>
      <c r="I3776">
        <f>-712.819948333827 -70.2607205899053 -928.845964562865</f>
        <v>-1711.9266334865974</v>
      </c>
      <c r="J3776">
        <f>-743.152272473435 -4.86450805697109 -776.218564391448</f>
        <v>-1524.235344921854</v>
      </c>
      <c r="K3776" t="s">
        <v>77248</v>
      </c>
      <c r="L3776" t="s">
        <v>77249</v>
      </c>
      <c r="M3776" t="s">
        <v>77250</v>
      </c>
      <c r="N3776">
        <f>-761.682641374008 -64.6192858888721 -764.843169976541</f>
        <v>-1591.1450972394211</v>
      </c>
      <c r="O3776">
        <f>-811.20209901843 -192.479722387189 -711.661014099456</f>
        <v>-1715.3428355050751</v>
      </c>
      <c r="P3776">
        <f>-770.149275362289 -168.799647024364 -398.707173286215</f>
        <v>-1337.6560956728681</v>
      </c>
      <c r="Q3776">
        <f>-529.023709936377 -86.2643155473354 -346.857291458971</f>
        <v>-962.14531694268339</v>
      </c>
      <c r="R3776" t="s">
        <v>77251</v>
      </c>
      <c r="S3776" t="s">
        <v>77252</v>
      </c>
      <c r="T3776" t="s">
        <v>77253</v>
      </c>
      <c r="U3776" t="s">
        <v>77254</v>
      </c>
      <c r="V3776">
        <f>-735.507407419343 -78.9405545366003 -230.535113373618</f>
        <v>-1044.9830753295614</v>
      </c>
      <c r="W3776" t="s">
        <v>77255</v>
      </c>
      <c r="X3776" t="s">
        <v>77256</v>
      </c>
      <c r="Y3776" t="s">
        <v>77257</v>
      </c>
    </row>
    <row r="3777" spans="1:25" x14ac:dyDescent="0.3">
      <c r="A3777">
        <v>188800</v>
      </c>
      <c r="B3777" t="s">
        <v>77258</v>
      </c>
      <c r="C3777" t="s">
        <v>77259</v>
      </c>
      <c r="D3777" t="s">
        <v>77260</v>
      </c>
      <c r="E3777" t="s">
        <v>77261</v>
      </c>
      <c r="F3777" t="s">
        <v>77262</v>
      </c>
      <c r="G3777">
        <f>-755.980075740294 -17.7741236329966 -687.311245271532</f>
        <v>-1461.0654446448225</v>
      </c>
      <c r="H3777">
        <f>-750.202351793474 -48.0510026634838 -836.475251033701</f>
        <v>-1634.728605490659</v>
      </c>
      <c r="I3777">
        <f>-713.136170372979 -70.2632596022931 -928.755801788292</f>
        <v>-1712.1552317635642</v>
      </c>
      <c r="J3777">
        <f>-743.470856316884 -4.78698027235123 -776.177435624083</f>
        <v>-1524.4352722133183</v>
      </c>
      <c r="K3777" t="s">
        <v>77263</v>
      </c>
      <c r="L3777" t="s">
        <v>77264</v>
      </c>
      <c r="M3777" t="s">
        <v>77265</v>
      </c>
      <c r="N3777">
        <f>-762.046757448048 -64.5218470742877 -764.772101518839</f>
        <v>-1591.3407060411746</v>
      </c>
      <c r="O3777">
        <f>-811.666722614588 -192.237267225616 -711.401937025159</f>
        <v>-1715.3059268653631</v>
      </c>
      <c r="P3777">
        <f>-770.316110052452 -167.813085061509 -398.544477526231</f>
        <v>-1336.6736726401921</v>
      </c>
      <c r="Q3777">
        <f>-528.870427152255 -86.4297917816327 -346.363774205734</f>
        <v>-961.66399313962177</v>
      </c>
      <c r="R3777" t="s">
        <v>77266</v>
      </c>
      <c r="S3777" t="s">
        <v>77267</v>
      </c>
      <c r="T3777" t="s">
        <v>77268</v>
      </c>
      <c r="U3777" t="s">
        <v>77269</v>
      </c>
      <c r="V3777">
        <f>-735.69749402738 -78.7848784248174 -230.50807980424</f>
        <v>-1044.9904522564375</v>
      </c>
      <c r="W3777" t="s">
        <v>77270</v>
      </c>
      <c r="X3777" t="s">
        <v>77271</v>
      </c>
      <c r="Y3777" t="s">
        <v>77272</v>
      </c>
    </row>
    <row r="3778" spans="1:25" x14ac:dyDescent="0.3">
      <c r="A3778">
        <v>188850</v>
      </c>
      <c r="B3778" t="s">
        <v>77273</v>
      </c>
      <c r="C3778" t="s">
        <v>77274</v>
      </c>
      <c r="D3778" t="s">
        <v>77275</v>
      </c>
      <c r="E3778" t="s">
        <v>77276</v>
      </c>
      <c r="F3778" t="s">
        <v>77277</v>
      </c>
      <c r="G3778">
        <f>-756.186217283075 -17.8472846978873 -687.211597732149</f>
        <v>-1461.2450997131114</v>
      </c>
      <c r="H3778">
        <f>-750.281743565992 -48.4942092477702 -836.295246499416</f>
        <v>-1635.0711993131781</v>
      </c>
      <c r="I3778">
        <f>-713.168310488488 -70.8858955865701 -928.513321489803</f>
        <v>-1712.5675275648612</v>
      </c>
      <c r="J3778">
        <f>-743.574334909965 -5.08863220212265 -776.096446032394</f>
        <v>-1524.7594131444816</v>
      </c>
      <c r="K3778" t="s">
        <v>77278</v>
      </c>
      <c r="L3778" t="s">
        <v>77279</v>
      </c>
      <c r="M3778" t="s">
        <v>77280</v>
      </c>
      <c r="N3778">
        <f>-762.214232145865 -64.7791406607814 -764.5642342171</f>
        <v>-1591.5576070237464</v>
      </c>
      <c r="O3778">
        <f>-812.024237028665 -192.383660859427 -711.045229722698</f>
        <v>-1715.45312761079</v>
      </c>
      <c r="P3778">
        <f>-772.010995312963 -169.49370132787 -397.897832340738</f>
        <v>-1339.4025289815709</v>
      </c>
      <c r="Q3778">
        <f>-530.995109812168 -86.4113702811042 -346.413385207294</f>
        <v>-963.81986530056622</v>
      </c>
      <c r="R3778" t="s">
        <v>77281</v>
      </c>
      <c r="S3778" t="s">
        <v>77282</v>
      </c>
      <c r="T3778" t="s">
        <v>77283</v>
      </c>
      <c r="U3778" t="s">
        <v>77284</v>
      </c>
      <c r="V3778">
        <f>-736.118599894416 -78.3971722813187 -230.493422134537</f>
        <v>-1045.0091943102716</v>
      </c>
      <c r="W3778" t="s">
        <v>77285</v>
      </c>
      <c r="X3778" t="s">
        <v>77286</v>
      </c>
      <c r="Y3778" t="s">
        <v>77287</v>
      </c>
    </row>
    <row r="3779" spans="1:25" x14ac:dyDescent="0.3">
      <c r="A3779">
        <v>188900</v>
      </c>
      <c r="B3779" t="s">
        <v>77288</v>
      </c>
      <c r="C3779" t="s">
        <v>77289</v>
      </c>
      <c r="D3779" t="s">
        <v>77290</v>
      </c>
      <c r="E3779" t="s">
        <v>77291</v>
      </c>
      <c r="F3779" t="s">
        <v>77292</v>
      </c>
      <c r="G3779">
        <f>-756.52067714507 -17.6675901442432 -687.196111478405</f>
        <v>-1461.3843787677181</v>
      </c>
      <c r="H3779">
        <f>-750.630972043945 -48.3029680569011 -836.282702782645</f>
        <v>-1635.2166428834912</v>
      </c>
      <c r="I3779">
        <f>-713.494999300136 -70.7495501626856 -928.478476991769</f>
        <v>-1712.7230264545906</v>
      </c>
      <c r="J3779">
        <f>-743.901987145625 -4.90659629221773 -776.079666456593</f>
        <v>-1524.8882498944358</v>
      </c>
      <c r="K3779" t="s">
        <v>77293</v>
      </c>
      <c r="L3779" t="s">
        <v>77294</v>
      </c>
      <c r="M3779" t="s">
        <v>77295</v>
      </c>
      <c r="N3779">
        <f>-762.571933439611 -64.5888676554328 -764.553325702142</f>
        <v>-1591.7141267971858</v>
      </c>
      <c r="O3779">
        <f>-812.506792253495 -192.121035782813 -711.033924036461</f>
        <v>-1715.6617520727691</v>
      </c>
      <c r="P3779">
        <f>-772.572220593963 -168.962543960992 -397.896320070155</f>
        <v>-1339.4310846251101</v>
      </c>
      <c r="Q3779">
        <f>-531.631677799895 -85.706099193286 -346.340182080475</f>
        <v>-963.67795907365598</v>
      </c>
      <c r="R3779" t="s">
        <v>77296</v>
      </c>
      <c r="S3779" t="s">
        <v>77297</v>
      </c>
      <c r="T3779" t="s">
        <v>77298</v>
      </c>
      <c r="U3779" t="s">
        <v>77299</v>
      </c>
      <c r="V3779">
        <f>-736.306366820052 -78.2476883248792 -230.468517717299</f>
        <v>-1045.0225728622302</v>
      </c>
      <c r="W3779" t="s">
        <v>77300</v>
      </c>
      <c r="X3779" t="s">
        <v>77301</v>
      </c>
      <c r="Y3779" t="s">
        <v>77302</v>
      </c>
    </row>
    <row r="3780" spans="1:25" x14ac:dyDescent="0.3">
      <c r="A3780">
        <v>188950</v>
      </c>
      <c r="B3780" t="s">
        <v>77303</v>
      </c>
      <c r="C3780" t="s">
        <v>77304</v>
      </c>
      <c r="D3780" t="s">
        <v>77305</v>
      </c>
      <c r="E3780" t="s">
        <v>77306</v>
      </c>
      <c r="F3780" t="s">
        <v>77307</v>
      </c>
      <c r="G3780">
        <f>-757.200749762717 -17.5946160510737 -687.113038934632</f>
        <v>-1461.9084047484225</v>
      </c>
      <c r="H3780">
        <f>-751.37634499988 -48.345914822537 -836.178268505158</f>
        <v>-1635.9005283275751</v>
      </c>
      <c r="I3780">
        <f>-714.309634798673 -70.9152072529382 -928.371803589761</f>
        <v>-1713.5966456413721</v>
      </c>
      <c r="J3780">
        <f>-744.597859612706 -4.90964550162289 -776.009702937571</f>
        <v>-1525.5172080518998</v>
      </c>
      <c r="K3780" t="s">
        <v>77308</v>
      </c>
      <c r="L3780" t="s">
        <v>77309</v>
      </c>
      <c r="M3780" t="s">
        <v>77310</v>
      </c>
      <c r="N3780">
        <f>-763.309095249316 -64.5692215095798 -764.433356648945</f>
        <v>-1592.3116734078408</v>
      </c>
      <c r="O3780">
        <f>-813.337999512819 -192.012772210552 -710.735791649728</f>
        <v>-1716.0865633730991</v>
      </c>
      <c r="P3780">
        <f>-772.957801469622 -168.759472446057 -397.662502285247</f>
        <v>-1339.379776200926</v>
      </c>
      <c r="Q3780">
        <f>-531.903237566404 -85.7259004209507 -346.279748898844</f>
        <v>-963.90888688619862</v>
      </c>
      <c r="R3780" t="s">
        <v>77311</v>
      </c>
      <c r="S3780" t="s">
        <v>77312</v>
      </c>
      <c r="T3780" t="s">
        <v>77313</v>
      </c>
      <c r="U3780" t="s">
        <v>77314</v>
      </c>
      <c r="V3780">
        <f>-736.666481880549 -78.0486327522383 -230.432386670712</f>
        <v>-1045.1475013034992</v>
      </c>
      <c r="W3780" t="s">
        <v>77315</v>
      </c>
      <c r="X3780" t="s">
        <v>77316</v>
      </c>
      <c r="Y3780" t="s">
        <v>77317</v>
      </c>
    </row>
    <row r="3781" spans="1:25" x14ac:dyDescent="0.3">
      <c r="A3781">
        <v>189000</v>
      </c>
      <c r="B3781" t="s">
        <v>77318</v>
      </c>
      <c r="C3781" t="s">
        <v>77319</v>
      </c>
      <c r="D3781" t="s">
        <v>77320</v>
      </c>
      <c r="E3781" t="s">
        <v>77321</v>
      </c>
      <c r="F3781" t="s">
        <v>77322</v>
      </c>
      <c r="G3781">
        <f>-757.419217047812 -17.5297656361759 -687.054572570703</f>
        <v>-1462.003555254691</v>
      </c>
      <c r="H3781">
        <f>-751.604276740054 -48.3005124194108 -836.116308675341</f>
        <v>-1636.0210978348059</v>
      </c>
      <c r="I3781">
        <f>-714.571858840745 -70.8926931907822 -928.317983420894</f>
        <v>-1713.7825354524211</v>
      </c>
      <c r="J3781">
        <f>-744.809314466518 -4.86011377894579 -775.952451635048</f>
        <v>-1525.6218798805116</v>
      </c>
      <c r="K3781" t="s">
        <v>77323</v>
      </c>
      <c r="L3781" t="s">
        <v>77324</v>
      </c>
      <c r="M3781" t="s">
        <v>77325</v>
      </c>
      <c r="N3781">
        <f>-763.545210385649 -64.510840514987 -764.369717170807</f>
        <v>-1592.4257680714431</v>
      </c>
      <c r="O3781">
        <f>-813.654137352244 -191.912465513303 -710.656328645615</f>
        <v>-1716.222931511162</v>
      </c>
      <c r="P3781">
        <f>-773.371022508572 -168.403735832647 -397.589670177202</f>
        <v>-1339.3644285184209</v>
      </c>
      <c r="Q3781">
        <f>-532.266878578587 -85.3531408247059 -346.467844503024</f>
        <v>-964.0878639063169</v>
      </c>
      <c r="R3781" t="s">
        <v>77326</v>
      </c>
      <c r="S3781" t="s">
        <v>77327</v>
      </c>
      <c r="T3781" t="s">
        <v>77328</v>
      </c>
      <c r="U3781" t="s">
        <v>77329</v>
      </c>
      <c r="V3781">
        <f>-736.787383507154 -77.9740666992366 -230.409272683625</f>
        <v>-1045.1707228900157</v>
      </c>
      <c r="W3781" t="s">
        <v>77330</v>
      </c>
      <c r="X3781" t="s">
        <v>77331</v>
      </c>
      <c r="Y3781" t="s">
        <v>77332</v>
      </c>
    </row>
    <row r="3782" spans="1:25" x14ac:dyDescent="0.3">
      <c r="A3782">
        <v>189050</v>
      </c>
      <c r="B3782" t="s">
        <v>77333</v>
      </c>
      <c r="C3782" t="s">
        <v>77334</v>
      </c>
      <c r="D3782" t="s">
        <v>77335</v>
      </c>
      <c r="E3782" t="s">
        <v>77336</v>
      </c>
      <c r="F3782" t="s">
        <v>77337</v>
      </c>
      <c r="G3782">
        <f>-758.207505012206 -17.2914348163551 -686.987516806489</f>
        <v>-1462.4864566350502</v>
      </c>
      <c r="H3782">
        <f>-752.476338912589 -48.0477510962269 -836.055352775357</f>
        <v>-1636.5794427841729</v>
      </c>
      <c r="I3782">
        <f>-715.503896361576 -70.6434412798949 -928.280259842146</f>
        <v>-1714.4275974836169</v>
      </c>
      <c r="J3782">
        <f>-745.628752695148 -4.61872793361999 -775.889269229662</f>
        <v>-1526.13674985843</v>
      </c>
      <c r="K3782" t="s">
        <v>77338</v>
      </c>
      <c r="L3782" t="s">
        <v>77339</v>
      </c>
      <c r="M3782" t="s">
        <v>77340</v>
      </c>
      <c r="N3782">
        <f>-764.395686678092 -64.2593879852629 -764.305573787355</f>
        <v>-1592.9606484507099</v>
      </c>
      <c r="O3782">
        <f>-814.658574170443 -191.601963610951 -710.634309322159</f>
        <v>-1716.8948471035528</v>
      </c>
      <c r="P3782">
        <f>-774.352979828135 -168.990359077673 -397.504383039287</f>
        <v>-1340.8477219450949</v>
      </c>
      <c r="Q3782">
        <f>-532.891473044539 -86.5569830959525 -347.074576719457</f>
        <v>-966.52303285994856</v>
      </c>
      <c r="R3782" t="s">
        <v>77341</v>
      </c>
      <c r="S3782" t="s">
        <v>77342</v>
      </c>
      <c r="T3782" t="s">
        <v>77343</v>
      </c>
      <c r="U3782" t="s">
        <v>77344</v>
      </c>
      <c r="V3782">
        <f>-737.080079209238 -77.8226696639545 -230.374578348808</f>
        <v>-1045.2773272220004</v>
      </c>
      <c r="W3782" t="s">
        <v>77345</v>
      </c>
      <c r="X3782" t="s">
        <v>77346</v>
      </c>
      <c r="Y3782" t="s">
        <v>77347</v>
      </c>
    </row>
    <row r="3783" spans="1:25" x14ac:dyDescent="0.3">
      <c r="A3783">
        <v>189100</v>
      </c>
      <c r="B3783" t="s">
        <v>77348</v>
      </c>
      <c r="C3783" t="s">
        <v>77349</v>
      </c>
      <c r="D3783" t="s">
        <v>77350</v>
      </c>
      <c r="E3783" t="s">
        <v>77351</v>
      </c>
      <c r="F3783" t="s">
        <v>77352</v>
      </c>
      <c r="G3783">
        <f>-758.602059411719 -17.127668682645 -686.970397120894</f>
        <v>-1462.7001252152579</v>
      </c>
      <c r="H3783">
        <f>-752.934953020958 -47.8106949599758 -836.055744485767</f>
        <v>-1636.8013924667007</v>
      </c>
      <c r="I3783">
        <f>-715.995083462542 -70.3898015301172 -928.297878844415</f>
        <v>-1714.6827638370742</v>
      </c>
      <c r="J3783">
        <f>-746.039179941373 -4.41781680625536 -775.86920280741</f>
        <v>-1526.3261995550383</v>
      </c>
      <c r="K3783" t="s">
        <v>77353</v>
      </c>
      <c r="L3783" t="s">
        <v>77354</v>
      </c>
      <c r="M3783" t="s">
        <v>77355</v>
      </c>
      <c r="N3783">
        <f>-764.845802010209 -64.0510416797476 -764.31105974792</f>
        <v>-1593.2079034378767</v>
      </c>
      <c r="O3783">
        <f>-815.193833217764 -191.389942248928 -710.671853677968</f>
        <v>-1717.2556291446599</v>
      </c>
      <c r="P3783">
        <f>-774.487151086724 -168.839809251422 -397.589385552236</f>
        <v>-1340.916345890382</v>
      </c>
      <c r="Q3783">
        <f>-532.933368679923 -86.659275211266 -347.188520424284</f>
        <v>-966.78116431547301</v>
      </c>
      <c r="R3783" t="s">
        <v>77356</v>
      </c>
      <c r="S3783" t="s">
        <v>77357</v>
      </c>
      <c r="T3783" t="s">
        <v>77358</v>
      </c>
      <c r="U3783" t="s">
        <v>77359</v>
      </c>
      <c r="V3783">
        <f>-737.283519568244 -77.7844064014823 -230.346166758135</f>
        <v>-1045.4140927278613</v>
      </c>
      <c r="W3783" t="s">
        <v>77360</v>
      </c>
      <c r="X3783" t="s">
        <v>77361</v>
      </c>
      <c r="Y3783" t="s">
        <v>77362</v>
      </c>
    </row>
    <row r="3784" spans="1:25" x14ac:dyDescent="0.3">
      <c r="A3784">
        <v>189150</v>
      </c>
      <c r="B3784" t="s">
        <v>77363</v>
      </c>
      <c r="C3784" t="s">
        <v>77364</v>
      </c>
      <c r="D3784" t="s">
        <v>77365</v>
      </c>
      <c r="E3784" t="s">
        <v>77366</v>
      </c>
      <c r="F3784" t="s">
        <v>77367</v>
      </c>
      <c r="G3784">
        <f>-759.42476661511 -16.9046837418468 -686.838107652587</f>
        <v>-1463.1675580095439</v>
      </c>
      <c r="H3784">
        <f>-753.920493859415 -47.5235269343107 -835.942790839862</f>
        <v>-1637.3868116335877</v>
      </c>
      <c r="I3784">
        <f>-717.054556886712 -70.109696755733 -928.212836852061</f>
        <v>-1715.3770904945059</v>
      </c>
      <c r="J3784">
        <f>-746.931924897433 -4.16462212622355 -775.742412221186</f>
        <v>-1526.8389592448425</v>
      </c>
      <c r="K3784" t="s">
        <v>77368</v>
      </c>
      <c r="L3784" t="s">
        <v>77369</v>
      </c>
      <c r="M3784" t="s">
        <v>77370</v>
      </c>
      <c r="N3784">
        <f>-765.780025070576 -63.7866789184177 -764.194821842684</f>
        <v>-1593.7615258316778</v>
      </c>
      <c r="O3784">
        <f>-816.139946330097 -191.095092259296 -710.522711290116</f>
        <v>-1717.757749879509</v>
      </c>
      <c r="P3784">
        <f>-774.661131097269 -168.217244868187 -397.565393335418</f>
        <v>-1340.443769300874</v>
      </c>
      <c r="Q3784">
        <f>-532.862281239071 -86.8062997893981 -347.091502991591</f>
        <v>-966.76008402006005</v>
      </c>
      <c r="R3784" t="s">
        <v>77371</v>
      </c>
      <c r="S3784" t="s">
        <v>77372</v>
      </c>
      <c r="T3784" t="s">
        <v>77373</v>
      </c>
      <c r="U3784" t="s">
        <v>77374</v>
      </c>
      <c r="V3784">
        <f>-737.774448553228 -77.6767952766238 -230.25338247523</f>
        <v>-1045.7046263050818</v>
      </c>
      <c r="W3784" t="s">
        <v>77375</v>
      </c>
      <c r="X3784" t="s">
        <v>77376</v>
      </c>
      <c r="Y3784" t="s">
        <v>77377</v>
      </c>
    </row>
    <row r="3785" spans="1:25" x14ac:dyDescent="0.3">
      <c r="A3785">
        <v>189200</v>
      </c>
      <c r="B3785" t="s">
        <v>77378</v>
      </c>
      <c r="C3785" t="s">
        <v>77379</v>
      </c>
      <c r="D3785" t="s">
        <v>77380</v>
      </c>
      <c r="E3785" t="s">
        <v>77381</v>
      </c>
      <c r="F3785" t="s">
        <v>77382</v>
      </c>
      <c r="G3785">
        <f>-759.73059850122 -16.7756648290342 -686.787074272155</f>
        <v>-1463.2933376024093</v>
      </c>
      <c r="H3785">
        <f>-754.312606839962 -47.328549742806 -835.908313401591</f>
        <v>-1637.5494699843589</v>
      </c>
      <c r="I3785">
        <f>-717.49961726801 -69.8952661699705 -928.204230599085</f>
        <v>-1715.5991140370654</v>
      </c>
      <c r="J3785">
        <f>-747.280785557505 -3.99873104988228 -775.692119432345</f>
        <v>-1526.9716360397324</v>
      </c>
      <c r="K3785" t="s">
        <v>77383</v>
      </c>
      <c r="L3785" t="s">
        <v>77384</v>
      </c>
      <c r="M3785" t="s">
        <v>77385</v>
      </c>
      <c r="N3785">
        <f>-766.138969556837 -63.6209082542816 -764.161401303844</f>
        <v>-1593.9212791149625</v>
      </c>
      <c r="O3785">
        <f>-816.516884230697 -190.923643890536 -710.482691564129</f>
        <v>-1717.923219685362</v>
      </c>
      <c r="P3785">
        <f>-774.640906548865 -168.327839715882 -397.557902014897</f>
        <v>-1340.526648279644</v>
      </c>
      <c r="Q3785">
        <f>-532.956569382281 -86.7997533093983 -346.725490102132</f>
        <v>-966.48181279381129</v>
      </c>
      <c r="R3785" t="s">
        <v>77386</v>
      </c>
      <c r="S3785" t="s">
        <v>77387</v>
      </c>
      <c r="T3785" t="s">
        <v>77388</v>
      </c>
      <c r="U3785" t="s">
        <v>77389</v>
      </c>
      <c r="V3785">
        <f>-737.966289166453 -77.6890599741478 -230.208564611687</f>
        <v>-1045.8639137522878</v>
      </c>
      <c r="W3785" t="s">
        <v>77390</v>
      </c>
      <c r="X3785" t="s">
        <v>77391</v>
      </c>
      <c r="Y3785" t="s">
        <v>77392</v>
      </c>
    </row>
    <row r="3786" spans="1:25" x14ac:dyDescent="0.3">
      <c r="A3786">
        <v>189250</v>
      </c>
      <c r="B3786" t="s">
        <v>77393</v>
      </c>
      <c r="C3786" t="s">
        <v>77394</v>
      </c>
      <c r="D3786" t="s">
        <v>77395</v>
      </c>
      <c r="E3786" t="s">
        <v>77396</v>
      </c>
      <c r="F3786" t="s">
        <v>77397</v>
      </c>
      <c r="G3786">
        <f>-759.987885338882 -16.7208560618767 -686.683509825484</f>
        <v>-1463.3922512262427</v>
      </c>
      <c r="H3786">
        <f>-754.658389645252 -47.1678495316521 -835.829655411279</f>
        <v>-1637.6558945881829</v>
      </c>
      <c r="I3786">
        <f>-717.924890826456 -69.6970746065545 -928.16635147592</f>
        <v>-1715.7883169089305</v>
      </c>
      <c r="J3786">
        <f>-747.598139302116 -3.87854936840336 -775.587563271485</f>
        <v>-1527.0642519420044</v>
      </c>
      <c r="K3786" t="s">
        <v>77398</v>
      </c>
      <c r="L3786" t="s">
        <v>77399</v>
      </c>
      <c r="M3786" t="s">
        <v>77400</v>
      </c>
      <c r="N3786">
        <f>-766.43487461877 -63.5134059282125 -764.086730741386</f>
        <v>-1594.0350112883684</v>
      </c>
      <c r="O3786">
        <f>-816.775127245888 -190.820159852432 -710.430498433316</f>
        <v>-1718.0257855316358</v>
      </c>
      <c r="P3786">
        <f>-774.876727699845 -167.509844361859 -397.560956048283</f>
        <v>-1339.9475281099869</v>
      </c>
      <c r="Q3786">
        <f>-533.37526848129 -86.3088719321277 -345.354658597382</f>
        <v>-965.03879901079972</v>
      </c>
      <c r="R3786" t="s">
        <v>77401</v>
      </c>
      <c r="S3786" t="s">
        <v>77402</v>
      </c>
      <c r="T3786" t="s">
        <v>77403</v>
      </c>
      <c r="U3786" t="s">
        <v>77404</v>
      </c>
      <c r="V3786">
        <f>-738.222218725011 -77.7886315803064 -230.112458402258</f>
        <v>-1046.1233087075755</v>
      </c>
      <c r="W3786" t="s">
        <v>77405</v>
      </c>
      <c r="X3786" t="s">
        <v>77406</v>
      </c>
      <c r="Y3786" t="s">
        <v>77407</v>
      </c>
    </row>
    <row r="3787" spans="1:25" x14ac:dyDescent="0.3">
      <c r="A3787">
        <v>189300</v>
      </c>
      <c r="B3787" t="s">
        <v>77408</v>
      </c>
      <c r="C3787" t="s">
        <v>77409</v>
      </c>
      <c r="D3787" t="s">
        <v>77410</v>
      </c>
      <c r="E3787" t="s">
        <v>77411</v>
      </c>
      <c r="F3787" t="s">
        <v>77412</v>
      </c>
      <c r="G3787">
        <f>-760.266004353173 -16.7696867842469 -686.70253397605</f>
        <v>-1463.73822511347</v>
      </c>
      <c r="H3787">
        <f>-754.973878770157 -47.0579647116926 -835.882160187303</f>
        <v>-1637.9140036691526</v>
      </c>
      <c r="I3787">
        <f>-718.266812499372 -69.4923929347469 -928.252502659446</f>
        <v>-1716.0117080935649</v>
      </c>
      <c r="J3787">
        <f>-747.911381538388 -3.82906029610626 -775.597130571885</f>
        <v>-1527.3375724063794</v>
      </c>
      <c r="K3787" t="s">
        <v>77413</v>
      </c>
      <c r="L3787" t="s">
        <v>77414</v>
      </c>
      <c r="M3787" t="s">
        <v>77415</v>
      </c>
      <c r="N3787">
        <f>-766.719655266878 -63.4837094098659 -764.152523988792</f>
        <v>-1594.355888665536</v>
      </c>
      <c r="O3787">
        <f>-817.16482410873 -190.783240418715 -710.520903641985</f>
        <v>-1718.4689681694299</v>
      </c>
      <c r="P3787">
        <f>-774.598822595443 -167.029595254781 -397.774948188139</f>
        <v>-1339.4033660383629</v>
      </c>
      <c r="Q3787">
        <f>-533.531192067883 -85.5841022241191 -343.968417923083</f>
        <v>-963.08371221508514</v>
      </c>
      <c r="R3787" t="s">
        <v>77416</v>
      </c>
      <c r="S3787" t="s">
        <v>77417</v>
      </c>
      <c r="T3787" t="s">
        <v>77418</v>
      </c>
      <c r="U3787" t="s">
        <v>77419</v>
      </c>
      <c r="V3787">
        <f>-738.307007304323 -78.0339209225267 -230.069785625286</f>
        <v>-1046.4107138521356</v>
      </c>
      <c r="W3787" t="s">
        <v>77420</v>
      </c>
      <c r="X3787" t="s">
        <v>77421</v>
      </c>
      <c r="Y3787" t="s">
        <v>77422</v>
      </c>
    </row>
    <row r="3788" spans="1:25" x14ac:dyDescent="0.3">
      <c r="A3788">
        <v>189350</v>
      </c>
      <c r="B3788" t="s">
        <v>77423</v>
      </c>
      <c r="C3788" t="s">
        <v>77424</v>
      </c>
      <c r="D3788" t="s">
        <v>77425</v>
      </c>
      <c r="E3788" t="s">
        <v>77426</v>
      </c>
      <c r="F3788" t="s">
        <v>77427</v>
      </c>
      <c r="G3788">
        <f>-760.343444113745 -17.0502050292789 -686.682716752299</f>
        <v>-1464.0763658953229</v>
      </c>
      <c r="H3788">
        <f>-755.082612672765 -47.4289092167353 -835.845113312044</f>
        <v>-1638.3566352015441</v>
      </c>
      <c r="I3788">
        <f>-718.391813878113 -69.8878252293753 -928.216000093508</f>
        <v>-1716.4956392009963</v>
      </c>
      <c r="J3788">
        <f>-748.002644303217 -4.16495711354628 -775.587329997395</f>
        <v>-1527.7549314141584</v>
      </c>
      <c r="K3788" t="s">
        <v>77428</v>
      </c>
      <c r="L3788" t="s">
        <v>77429</v>
      </c>
      <c r="M3788" t="s">
        <v>77430</v>
      </c>
      <c r="N3788">
        <f>-766.818176285809 -63.8096863061601 -764.103491808053</f>
        <v>-1594.7313544000222</v>
      </c>
      <c r="O3788">
        <f>-817.225593482047 -191.070505735361 -710.39679495877</f>
        <v>-1718.692894176178</v>
      </c>
      <c r="P3788">
        <f>-775.040215795914 -167.003364331867 -397.623200091191</f>
        <v>-1339.666780218972</v>
      </c>
      <c r="Q3788">
        <f>-533.958276304659 -85.5500444573815 -343.89311320586</f>
        <v>-963.40143396790052</v>
      </c>
      <c r="R3788" t="s">
        <v>77431</v>
      </c>
      <c r="S3788" t="s">
        <v>77432</v>
      </c>
      <c r="T3788" t="s">
        <v>77433</v>
      </c>
      <c r="U3788" t="s">
        <v>77434</v>
      </c>
      <c r="V3788">
        <f>-738.348078397723 -78.1572061882121 -230.066501555173</f>
        <v>-1046.5717861411081</v>
      </c>
      <c r="W3788" t="s">
        <v>77435</v>
      </c>
      <c r="X3788" t="s">
        <v>77436</v>
      </c>
      <c r="Y3788" t="s">
        <v>77437</v>
      </c>
    </row>
    <row r="3789" spans="1:25" x14ac:dyDescent="0.3">
      <c r="A3789">
        <v>189400</v>
      </c>
      <c r="B3789" t="s">
        <v>77438</v>
      </c>
      <c r="C3789" t="s">
        <v>77439</v>
      </c>
      <c r="D3789" t="s">
        <v>77440</v>
      </c>
      <c r="E3789" t="s">
        <v>77441</v>
      </c>
      <c r="F3789" t="s">
        <v>77442</v>
      </c>
      <c r="G3789">
        <f>-760.222838320034 -17.2102335941379 -686.700862816561</f>
        <v>-1464.133934730733</v>
      </c>
      <c r="H3789">
        <f>-754.840889223769 -47.6129147111355 -835.854077175951</f>
        <v>-1638.3078811108555</v>
      </c>
      <c r="I3789">
        <f>-718.110329217896 -70.0395109984179 -928.217001272295</f>
        <v>-1716.3668414886088</v>
      </c>
      <c r="J3789">
        <f>-747.810070441876 -4.33916221708978 -775.597503687545</f>
        <v>-1527.7467363465107</v>
      </c>
      <c r="K3789" t="s">
        <v>77443</v>
      </c>
      <c r="L3789" t="s">
        <v>77444</v>
      </c>
      <c r="M3789" t="s">
        <v>77445</v>
      </c>
      <c r="N3789">
        <f>-766.634442112915 -63.982224504912 -764.119384187191</f>
        <v>-1594.7360508050181</v>
      </c>
      <c r="O3789">
        <f>-817.093587869139 -191.255405939218 -710.416076182141</f>
        <v>-1718.765069990498</v>
      </c>
      <c r="P3789">
        <f>-774.909164794962 -167.495234807868 -397.618826223514</f>
        <v>-1340.0232258263441</v>
      </c>
      <c r="Q3789">
        <f>-533.766034988033 -85.9210837616108 -344.348829870843</f>
        <v>-964.03594862048681</v>
      </c>
      <c r="R3789" t="s">
        <v>77446</v>
      </c>
      <c r="S3789" t="s">
        <v>77447</v>
      </c>
      <c r="T3789" t="s">
        <v>77448</v>
      </c>
      <c r="U3789" t="s">
        <v>77449</v>
      </c>
      <c r="V3789">
        <f>-738.349991009429 -78.2937824225417 -230.083871393614</f>
        <v>-1046.7276448255848</v>
      </c>
      <c r="W3789" t="s">
        <v>77450</v>
      </c>
      <c r="X3789" t="s">
        <v>77451</v>
      </c>
      <c r="Y3789" t="s">
        <v>77452</v>
      </c>
    </row>
    <row r="3790" spans="1:25" x14ac:dyDescent="0.3">
      <c r="A3790">
        <v>189450</v>
      </c>
      <c r="B3790" t="s">
        <v>77453</v>
      </c>
      <c r="C3790" t="s">
        <v>77454</v>
      </c>
      <c r="D3790" t="s">
        <v>77455</v>
      </c>
      <c r="E3790" t="s">
        <v>77456</v>
      </c>
      <c r="F3790" t="s">
        <v>77457</v>
      </c>
      <c r="G3790">
        <f>-760.075568475177 -17.4592148238755 -686.834085521379</f>
        <v>-1464.3688688204315</v>
      </c>
      <c r="H3790">
        <f>-754.564281501102 -47.8249249950049 -835.990156004815</f>
        <v>-1638.3793625009221</v>
      </c>
      <c r="I3790">
        <f>-717.730478773423 -70.2538779592151 -928.31130091611</f>
        <v>-1716.2956576487481</v>
      </c>
      <c r="J3790">
        <f>-747.525038985771 -4.58405883059459 -775.710837063749</f>
        <v>-1527.8199348801145</v>
      </c>
      <c r="K3790" t="s">
        <v>77458</v>
      </c>
      <c r="L3790" t="s">
        <v>77459</v>
      </c>
      <c r="M3790" t="s">
        <v>77460</v>
      </c>
      <c r="N3790">
        <f>-766.480548930658 -64.1938717050643 -764.27562016131</f>
        <v>-1594.9500407970322</v>
      </c>
      <c r="O3790">
        <f>-817.29476042118 -191.327881964391 -710.662758218216</f>
        <v>-1719.2854006037869</v>
      </c>
      <c r="P3790">
        <f>-775.95585212078 -169.610487961974 -397.604167435661</f>
        <v>-1343.170507518415</v>
      </c>
      <c r="Q3790">
        <f>-534.722529683889 -87.0313253288468 -346.327874215549</f>
        <v>-968.08172922828476</v>
      </c>
      <c r="R3790" t="s">
        <v>77461</v>
      </c>
      <c r="S3790" t="s">
        <v>77462</v>
      </c>
      <c r="T3790" t="s">
        <v>77463</v>
      </c>
      <c r="U3790" t="s">
        <v>77464</v>
      </c>
      <c r="V3790">
        <f>-738.439997699798 -78.4813083836038 -230.137972080766</f>
        <v>-1047.0592781641678</v>
      </c>
      <c r="W3790" t="s">
        <v>77465</v>
      </c>
      <c r="X3790" t="s">
        <v>77466</v>
      </c>
      <c r="Y3790" t="s">
        <v>77467</v>
      </c>
    </row>
    <row r="3791" spans="1:25" x14ac:dyDescent="0.3">
      <c r="A3791">
        <v>189500</v>
      </c>
      <c r="B3791" t="s">
        <v>77468</v>
      </c>
      <c r="C3791" t="s">
        <v>77469</v>
      </c>
      <c r="D3791" t="s">
        <v>77470</v>
      </c>
      <c r="E3791" t="s">
        <v>77471</v>
      </c>
      <c r="F3791" t="s">
        <v>77472</v>
      </c>
      <c r="G3791">
        <f>-760.069596225369 -17.5222523684204 -686.913028342482</f>
        <v>-1464.5048769362713</v>
      </c>
      <c r="H3791">
        <f>-754.575572663788 -47.7990762490479 -836.087893053352</f>
        <v>-1638.4625419661879</v>
      </c>
      <c r="I3791">
        <f>-717.71971627493 -70.2397788782291 -928.397303623094</f>
        <v>-1716.3567987762531</v>
      </c>
      <c r="J3791">
        <f>-747.486654086788 -4.6070682766449 -775.779304977973</f>
        <v>-1527.8730273414058</v>
      </c>
      <c r="K3791" t="s">
        <v>77473</v>
      </c>
      <c r="L3791" t="s">
        <v>77474</v>
      </c>
      <c r="M3791" t="s">
        <v>77475</v>
      </c>
      <c r="N3791">
        <f>-766.526359028682 -64.1979666265713 -764.385959599618</f>
        <v>-1595.1102852548713</v>
      </c>
      <c r="O3791">
        <f>-817.58003028401 -191.29671438939 -710.857227043348</f>
        <v>-1719.7339717167479</v>
      </c>
      <c r="P3791">
        <f>-775.636372979774 -170.381085363903 -397.824508888677</f>
        <v>-1343.8419672323539</v>
      </c>
      <c r="Q3791">
        <f>-534.596066104439 -86.995715812777 -346.947367159305</f>
        <v>-968.53914907652097</v>
      </c>
      <c r="R3791" t="s">
        <v>77476</v>
      </c>
      <c r="S3791" t="s">
        <v>77477</v>
      </c>
      <c r="T3791" t="s">
        <v>77478</v>
      </c>
      <c r="U3791" t="s">
        <v>77479</v>
      </c>
      <c r="V3791">
        <f>-738.515267048061 -78.5873161008076 -230.152425267518</f>
        <v>-1047.2550084163865</v>
      </c>
      <c r="W3791" t="s">
        <v>77480</v>
      </c>
      <c r="X3791" t="s">
        <v>77481</v>
      </c>
      <c r="Y3791" t="s">
        <v>77482</v>
      </c>
    </row>
    <row r="3792" spans="1:25" x14ac:dyDescent="0.3">
      <c r="A3792">
        <v>189550</v>
      </c>
      <c r="B3792" t="s">
        <v>77483</v>
      </c>
      <c r="C3792" t="s">
        <v>77484</v>
      </c>
      <c r="D3792" t="s">
        <v>77485</v>
      </c>
      <c r="E3792" t="s">
        <v>77486</v>
      </c>
      <c r="F3792">
        <f>-760.617293849974 -0.0533807935016739 -578.821031362602</f>
        <v>-1339.4917060060775</v>
      </c>
      <c r="G3792">
        <f>-760.189994894646 -17.9793142850019 -686.864430149599</f>
        <v>-1465.0337393292471</v>
      </c>
      <c r="H3792">
        <f>-754.779136463286 -48.316535649109 -836.029905001351</f>
        <v>-1639.1255771137462</v>
      </c>
      <c r="I3792">
        <f>-717.971809918259 -70.8398818208429 -928.338656835839</f>
        <v>-1717.1503485749408</v>
      </c>
      <c r="J3792">
        <f>-747.622965982763 -5.11022172578191 -775.739655302341</f>
        <v>-1528.472843010886</v>
      </c>
      <c r="K3792" t="s">
        <v>77487</v>
      </c>
      <c r="L3792" t="s">
        <v>77488</v>
      </c>
      <c r="M3792" t="s">
        <v>77489</v>
      </c>
      <c r="N3792">
        <f>-766.723564945802 -64.6762626971645 -764.318031285595</f>
        <v>-1595.7178589285613</v>
      </c>
      <c r="O3792">
        <f>-817.739862139391 -191.785148037321 -710.773007466481</f>
        <v>-1720.2980176431929</v>
      </c>
      <c r="P3792">
        <f>-774.772427607267 -170.750390591718 -397.887223320083</f>
        <v>-1343.410041519068</v>
      </c>
      <c r="Q3792">
        <f>-534.407700400561 -86.1543044077996 -345.826597844314</f>
        <v>-966.38860265267454</v>
      </c>
      <c r="R3792" t="s">
        <v>77490</v>
      </c>
      <c r="S3792" t="s">
        <v>77491</v>
      </c>
      <c r="T3792" t="s">
        <v>77492</v>
      </c>
      <c r="U3792" t="s">
        <v>77493</v>
      </c>
      <c r="V3792">
        <f>-738.69621508098 -78.8475482936587 -230.123255196354</f>
        <v>-1047.6670185709927</v>
      </c>
      <c r="W3792" t="s">
        <v>77494</v>
      </c>
      <c r="X3792" t="s">
        <v>77495</v>
      </c>
      <c r="Y3792" t="s">
        <v>77496</v>
      </c>
    </row>
    <row r="3793" spans="1:25" x14ac:dyDescent="0.3">
      <c r="A3793">
        <v>189600</v>
      </c>
      <c r="B3793" t="s">
        <v>77497</v>
      </c>
      <c r="C3793" t="s">
        <v>77498</v>
      </c>
      <c r="D3793" t="s">
        <v>77499</v>
      </c>
      <c r="E3793" t="s">
        <v>77500</v>
      </c>
      <c r="F3793">
        <f>-760.468705169023 -0.422132634791751 -578.812700670568</f>
        <v>-1339.7035384743826</v>
      </c>
      <c r="G3793">
        <f>-759.951953210955 -18.3310674177742 -686.85829615043</f>
        <v>-1465.1413167791593</v>
      </c>
      <c r="H3793">
        <f>-754.389648088086 -48.6446715189995 -836.023163873029</f>
        <v>-1639.0574834801146</v>
      </c>
      <c r="I3793">
        <f>-717.558948154255 -71.0978510709317 -928.339699143477</f>
        <v>-1716.9964983686637</v>
      </c>
      <c r="J3793">
        <f>-747.344395941826 -5.43290177823587 -775.723673448882</f>
        <v>-1528.5009711689438</v>
      </c>
      <c r="K3793" t="s">
        <v>77501</v>
      </c>
      <c r="L3793" t="s">
        <v>77502</v>
      </c>
      <c r="M3793" t="s">
        <v>77503</v>
      </c>
      <c r="N3793">
        <f>-766.357211118152 -65.0308016304168 -764.320955707278</f>
        <v>-1595.7089684558468</v>
      </c>
      <c r="O3793">
        <f>-817.140325140423 -192.268044330778 -710.874903711032</f>
        <v>-1720.283273182233</v>
      </c>
      <c r="P3793">
        <f>-774.478028612943 -170.990155684363 -397.96374403956</f>
        <v>-1343.4319283368661</v>
      </c>
      <c r="Q3793">
        <f>-534.655389789813 -86.0418128179426 -344.010453080162</f>
        <v>-964.70765568791762</v>
      </c>
      <c r="R3793" t="s">
        <v>77504</v>
      </c>
      <c r="S3793" t="s">
        <v>77505</v>
      </c>
      <c r="T3793" t="s">
        <v>77506</v>
      </c>
      <c r="U3793" t="s">
        <v>77507</v>
      </c>
      <c r="V3793">
        <f>-738.76552674025 -79.1772874667881 -230.125673726784</f>
        <v>-1048.0684879338221</v>
      </c>
      <c r="W3793" t="s">
        <v>77508</v>
      </c>
      <c r="X3793" t="s">
        <v>77509</v>
      </c>
      <c r="Y3793" t="s">
        <v>77510</v>
      </c>
    </row>
    <row r="3794" spans="1:25" x14ac:dyDescent="0.3">
      <c r="A3794">
        <v>189650</v>
      </c>
      <c r="B3794" t="s">
        <v>77511</v>
      </c>
      <c r="C3794" t="s">
        <v>77512</v>
      </c>
      <c r="D3794" t="s">
        <v>77513</v>
      </c>
      <c r="E3794" t="s">
        <v>77514</v>
      </c>
      <c r="F3794">
        <f>-760.236213708318 -0.606377318596742 -578.854202838536</f>
        <v>-1339.6967938654507</v>
      </c>
      <c r="G3794">
        <f>-759.628653334466 -18.4983405802288 -686.902163890214</f>
        <v>-1465.0291578049087</v>
      </c>
      <c r="H3794">
        <f>-753.927234790807 -48.7729475813899 -836.069790056818</f>
        <v>-1638.7699724290148</v>
      </c>
      <c r="I3794">
        <f>-717.036949229684 -71.157864340177 -928.378955356688</f>
        <v>-1716.5737689265488</v>
      </c>
      <c r="J3794">
        <f>-746.960924006585 -5.57015669333168 -775.754615191683</f>
        <v>-1528.2856958915995</v>
      </c>
      <c r="K3794" t="s">
        <v>77515</v>
      </c>
      <c r="L3794" t="s">
        <v>77516</v>
      </c>
      <c r="M3794" t="s">
        <v>77517</v>
      </c>
      <c r="N3794">
        <f>-765.938908606111 -65.1845424976282 -764.380813724858</f>
        <v>-1595.5042648285971</v>
      </c>
      <c r="O3794">
        <f>-816.66051717555 -192.475064805541 -710.993646259318</f>
        <v>-1720.129228240409</v>
      </c>
      <c r="P3794">
        <f>-774.789770656685 -171.38096540189 -397.963103820224</f>
        <v>-1344.1338398787989</v>
      </c>
      <c r="Q3794">
        <f>-534.975873828502 -86.6169752829105 -343.682448676983</f>
        <v>-965.27529778839551</v>
      </c>
      <c r="R3794" t="s">
        <v>77518</v>
      </c>
      <c r="S3794" t="s">
        <v>77519</v>
      </c>
      <c r="T3794" t="s">
        <v>77520</v>
      </c>
      <c r="U3794" t="s">
        <v>77521</v>
      </c>
      <c r="V3794">
        <f>-738.724528959205 -79.2765086477987 -230.116803398197</f>
        <v>-1048.1178410052007</v>
      </c>
      <c r="W3794" t="s">
        <v>77522</v>
      </c>
      <c r="X3794" t="s">
        <v>77523</v>
      </c>
      <c r="Y3794" t="s">
        <v>77524</v>
      </c>
    </row>
    <row r="3795" spans="1:25" x14ac:dyDescent="0.3">
      <c r="A3795">
        <v>189700</v>
      </c>
      <c r="B3795" t="s">
        <v>77525</v>
      </c>
      <c r="C3795" t="s">
        <v>77526</v>
      </c>
      <c r="D3795" t="s">
        <v>77527</v>
      </c>
      <c r="E3795" t="s">
        <v>77528</v>
      </c>
      <c r="F3795">
        <f>-759.97123092092 -0.619064948340338 -578.883678695591</f>
        <v>-1339.4739745648512</v>
      </c>
      <c r="G3795">
        <f>-759.26137602763 -18.4503795055844 -686.941093261723</f>
        <v>-1464.6528487949374</v>
      </c>
      <c r="H3795">
        <f>-753.408051868883 -48.6190202757082 -836.124067307206</f>
        <v>-1638.1511394517972</v>
      </c>
      <c r="I3795">
        <f>-716.431870338467 -70.8952192008908 -928.425325958669</f>
        <v>-1715.7524154980267</v>
      </c>
      <c r="J3795">
        <f>-746.506826795276 -5.45792005857129 -775.771634062581</f>
        <v>-1527.7363809164283</v>
      </c>
      <c r="K3795" t="s">
        <v>77529</v>
      </c>
      <c r="L3795" t="s">
        <v>77530</v>
      </c>
      <c r="M3795" t="s">
        <v>77531</v>
      </c>
      <c r="N3795">
        <f>-765.488978840597 -65.0825985457541 -764.458770649562</f>
        <v>-1595.030348035913</v>
      </c>
      <c r="O3795">
        <f>-816.243133835783 -192.422517965807 -711.217343603386</f>
        <v>-1719.8829954049761</v>
      </c>
      <c r="P3795">
        <f>-774.659619477494 -171.652781092124 -398.126815837041</f>
        <v>-1344.4392164066589</v>
      </c>
      <c r="Q3795">
        <f>-534.775394152713 -87.1910148237052 -343.686070122999</f>
        <v>-965.65247909941729</v>
      </c>
      <c r="R3795" t="s">
        <v>77532</v>
      </c>
      <c r="S3795" t="s">
        <v>77533</v>
      </c>
      <c r="T3795" t="s">
        <v>77534</v>
      </c>
      <c r="U3795" t="s">
        <v>77535</v>
      </c>
      <c r="V3795">
        <f>-738.671933479385 -79.3103117220548 -230.111645858484</f>
        <v>-1048.0938910599239</v>
      </c>
      <c r="W3795" t="s">
        <v>77536</v>
      </c>
      <c r="X3795" t="s">
        <v>77537</v>
      </c>
      <c r="Y3795" t="s">
        <v>77538</v>
      </c>
    </row>
    <row r="3796" spans="1:25" x14ac:dyDescent="0.3">
      <c r="A3796">
        <v>189750</v>
      </c>
      <c r="B3796" t="s">
        <v>77539</v>
      </c>
      <c r="C3796" t="s">
        <v>77540</v>
      </c>
      <c r="D3796" t="s">
        <v>77541</v>
      </c>
      <c r="E3796" t="s">
        <v>77542</v>
      </c>
      <c r="F3796">
        <f>-759.621691963444 -0.544151538896358 -578.948792979172</f>
        <v>-1339.1146364815124</v>
      </c>
      <c r="G3796">
        <f>-758.81759817657 -18.2612535350704 -687.02414023883</f>
        <v>-1464.1029919504704</v>
      </c>
      <c r="H3796">
        <f>-752.831804984724 -48.2349797203003 -836.241304150961</f>
        <v>-1637.3080888559853</v>
      </c>
      <c r="I3796">
        <f>-715.709599844502 -70.3449822750713 -928.523987326263</f>
        <v>-1714.5785694458364</v>
      </c>
      <c r="J3796">
        <f>-745.970536130703 -5.15695987102572 -775.825089069406</f>
        <v>-1526.9525850711348</v>
      </c>
      <c r="K3796" t="s">
        <v>77543</v>
      </c>
      <c r="L3796" t="s">
        <v>77544</v>
      </c>
      <c r="M3796" t="s">
        <v>77545</v>
      </c>
      <c r="N3796">
        <f>-764.990106516209 -64.7880771661908 -764.609727720067</f>
        <v>-1594.3879114024667</v>
      </c>
      <c r="O3796">
        <f>-815.875741411511 -192.114367253174 -711.512244908173</f>
        <v>-1719.5023535728578</v>
      </c>
      <c r="P3796">
        <f>-774.846268647153 -171.160042856057 -398.360923628183</f>
        <v>-1344.367235131393</v>
      </c>
      <c r="Q3796">
        <f>-534.612491603898 -87.6200811557956 -344.039156500619</f>
        <v>-966.27172926031255</v>
      </c>
      <c r="R3796" t="s">
        <v>77546</v>
      </c>
      <c r="S3796" t="s">
        <v>77547</v>
      </c>
      <c r="T3796" t="s">
        <v>77548</v>
      </c>
      <c r="U3796" t="s">
        <v>77549</v>
      </c>
      <c r="V3796">
        <f>-738.50094441614 -79.3099100713391 -230.111765749723</f>
        <v>-1047.9226202372022</v>
      </c>
      <c r="W3796" t="s">
        <v>77550</v>
      </c>
      <c r="X3796" t="s">
        <v>77551</v>
      </c>
      <c r="Y3796" t="s">
        <v>77552</v>
      </c>
    </row>
    <row r="3797" spans="1:25" x14ac:dyDescent="0.3">
      <c r="A3797">
        <v>189800</v>
      </c>
      <c r="B3797" t="s">
        <v>77553</v>
      </c>
      <c r="C3797" t="s">
        <v>77554</v>
      </c>
      <c r="D3797" t="s">
        <v>77555</v>
      </c>
      <c r="E3797" t="s">
        <v>77556</v>
      </c>
      <c r="F3797">
        <f>-759.469802774429 -0.506662781556088 -578.973587083344</f>
        <v>-1338.950052639329</v>
      </c>
      <c r="G3797">
        <f>-758.62660130846 -18.1693485179567 -687.057738341141</f>
        <v>-1463.8536881675577</v>
      </c>
      <c r="H3797">
        <f>-752.600016537875 -48.0510060776276 -836.291648594412</f>
        <v>-1636.9426712099146</v>
      </c>
      <c r="I3797">
        <f>-715.431320931556 -70.0908456361369 -928.572293124366</f>
        <v>-1714.094459692059</v>
      </c>
      <c r="J3797">
        <f>-745.752504577244 -5.01105553747311 -775.846654877479</f>
        <v>-1526.6102149921962</v>
      </c>
      <c r="K3797" t="s">
        <v>77557</v>
      </c>
      <c r="L3797" t="s">
        <v>77558</v>
      </c>
      <c r="M3797" t="s">
        <v>77559</v>
      </c>
      <c r="N3797">
        <f>-764.780635116208 -64.6474920940066 -764.673872328203</f>
        <v>-1594.1019995384177</v>
      </c>
      <c r="O3797">
        <f>-815.702038463865 -192.012250052353 -711.672434244108</f>
        <v>-1719.3867227603259</v>
      </c>
      <c r="P3797">
        <f>-774.219323275558 -171.323499453995 -398.563211686108</f>
        <v>-1344.106034415661</v>
      </c>
      <c r="Q3797">
        <f>-533.941326095392 -88.0742411574654 -343.991286328121</f>
        <v>-966.00685358097849</v>
      </c>
      <c r="R3797" t="s">
        <v>77560</v>
      </c>
      <c r="S3797" t="s">
        <v>77561</v>
      </c>
      <c r="T3797" t="s">
        <v>77562</v>
      </c>
      <c r="U3797" t="s">
        <v>77563</v>
      </c>
      <c r="V3797">
        <f>-738.582274155676 -79.341585411712 -230.117130937281</f>
        <v>-1048.040990504669</v>
      </c>
      <c r="W3797" t="s">
        <v>77564</v>
      </c>
      <c r="X3797" t="s">
        <v>77565</v>
      </c>
      <c r="Y3797" t="s">
        <v>77566</v>
      </c>
    </row>
    <row r="3798" spans="1:25" x14ac:dyDescent="0.3">
      <c r="A3798">
        <v>189850</v>
      </c>
      <c r="B3798" t="s">
        <v>77567</v>
      </c>
      <c r="C3798" t="s">
        <v>77568</v>
      </c>
      <c r="D3798" t="s">
        <v>77569</v>
      </c>
      <c r="E3798" t="s">
        <v>77570</v>
      </c>
      <c r="F3798">
        <f>-759.57166671716 -0.443064198684624 -578.994916887774</f>
        <v>-1339.0096478036187</v>
      </c>
      <c r="G3798">
        <f>-758.725650369182 -18.096085254926 -687.080624252279</f>
        <v>-1463.902359876387</v>
      </c>
      <c r="H3798">
        <f>-752.721872617253 -47.9647591806806 -836.317964328021</f>
        <v>-1637.0045961259548</v>
      </c>
      <c r="I3798">
        <f>-715.547847196164 -69.9801154512179 -928.602325133802</f>
        <v>-1714.1302877811838</v>
      </c>
      <c r="J3798">
        <f>-745.876108320587 -4.92692551703863 -775.871391691845</f>
        <v>-1526.6744255294707</v>
      </c>
      <c r="K3798" t="s">
        <v>77571</v>
      </c>
      <c r="L3798" t="s">
        <v>77572</v>
      </c>
      <c r="M3798" t="s">
        <v>77573</v>
      </c>
      <c r="N3798">
        <f>-764.880698561912 -64.5707753905872 -764.698639817698</f>
        <v>-1594.1501137701971</v>
      </c>
      <c r="O3798">
        <f>-815.763869631377 -191.953810904633 -711.736211990299</f>
        <v>-1719.4538925263091</v>
      </c>
      <c r="P3798">
        <f>-774.486492758796 -171.139758004246 -398.608333750302</f>
        <v>-1344.2345845133441</v>
      </c>
      <c r="Q3798">
        <f>-534.133410827007 -88.1066283802252 -344.037543477866</f>
        <v>-966.2775826850982</v>
      </c>
      <c r="R3798" t="s">
        <v>77574</v>
      </c>
      <c r="S3798" t="s">
        <v>77575</v>
      </c>
      <c r="T3798" t="s">
        <v>77576</v>
      </c>
      <c r="U3798" t="s">
        <v>77577</v>
      </c>
      <c r="V3798">
        <f>-738.881962550616 -79.3671938158418 -230.146109344437</f>
        <v>-1048.3952657108948</v>
      </c>
      <c r="W3798" t="s">
        <v>77578</v>
      </c>
      <c r="X3798" t="s">
        <v>77579</v>
      </c>
      <c r="Y3798" t="s">
        <v>77580</v>
      </c>
    </row>
    <row r="3799" spans="1:25" x14ac:dyDescent="0.3">
      <c r="A3799">
        <v>189900</v>
      </c>
      <c r="B3799" t="s">
        <v>77581</v>
      </c>
      <c r="C3799" t="s">
        <v>77582</v>
      </c>
      <c r="D3799" t="s">
        <v>77583</v>
      </c>
      <c r="E3799" t="s">
        <v>77584</v>
      </c>
      <c r="F3799">
        <f>-759.536699907546 -0.319479906662764 -579.007586179951</f>
        <v>-1338.8637659941596</v>
      </c>
      <c r="G3799">
        <f>-758.672798701105 -17.9129604902432 -687.102702869568</f>
        <v>-1463.6884620609162</v>
      </c>
      <c r="H3799">
        <f>-752.666773607147 -47.6877211257186 -836.358908560069</f>
        <v>-1636.7134032929346</v>
      </c>
      <c r="I3799">
        <f>-715.493492805984 -69.6616034404983 -928.653419404661</f>
        <v>-1713.8085156511434</v>
      </c>
      <c r="J3799">
        <f>-745.816271134016 -4.68945996488696 -775.88465558046</f>
        <v>-1526.390386679363</v>
      </c>
      <c r="K3799" t="s">
        <v>77585</v>
      </c>
      <c r="L3799" t="s">
        <v>77586</v>
      </c>
      <c r="M3799" t="s">
        <v>77587</v>
      </c>
      <c r="N3799">
        <f>-764.832248431629 -64.337181419666 -764.750753633682</f>
        <v>-1593.9201834849769</v>
      </c>
      <c r="O3799">
        <f>-815.780999611158 -191.766326122062 -711.91246577761</f>
        <v>-1719.45979151083</v>
      </c>
      <c r="P3799">
        <f>-774.195851070982 -171.310360197014 -398.801628432024</f>
        <v>-1344.3078397000199</v>
      </c>
      <c r="Q3799">
        <f>-533.945636425339 -88.1251219727935 -344.009686949305</f>
        <v>-966.08044534743749</v>
      </c>
      <c r="R3799" t="s">
        <v>77588</v>
      </c>
      <c r="S3799" t="s">
        <v>77589</v>
      </c>
      <c r="T3799" t="s">
        <v>77590</v>
      </c>
      <c r="U3799" t="s">
        <v>77591</v>
      </c>
      <c r="V3799">
        <f>-739.041466885055 -79.3744752889395 -230.160640183201</f>
        <v>-1048.5765823571955</v>
      </c>
      <c r="W3799" t="s">
        <v>77592</v>
      </c>
      <c r="X3799" t="s">
        <v>77593</v>
      </c>
      <c r="Y3799" t="s">
        <v>77594</v>
      </c>
    </row>
    <row r="3800" spans="1:25" x14ac:dyDescent="0.3">
      <c r="A3800">
        <v>189950</v>
      </c>
      <c r="B3800" t="s">
        <v>77595</v>
      </c>
      <c r="C3800" t="s">
        <v>77596</v>
      </c>
      <c r="D3800" t="s">
        <v>77597</v>
      </c>
      <c r="E3800" t="s">
        <v>77598</v>
      </c>
      <c r="F3800">
        <f>-759.58164883185 -0.254855782896357 -579.061108518169</f>
        <v>-1338.8976131329155</v>
      </c>
      <c r="G3800">
        <f>-758.684981128465 -17.9053110844554 -687.146937866085</f>
        <v>-1463.7372300790053</v>
      </c>
      <c r="H3800">
        <f>-752.64796245523 -47.770995362077 -836.383557547373</f>
        <v>-1636.8025153646799</v>
      </c>
      <c r="I3800">
        <f>-715.469653240447 -69.7569377565565 -928.67318461885</f>
        <v>-1713.8997756158533</v>
      </c>
      <c r="J3800">
        <f>-745.805992183362 -4.73713253222036 -775.933578691621</f>
        <v>-1526.4767034072033</v>
      </c>
      <c r="K3800" t="s">
        <v>77599</v>
      </c>
      <c r="L3800" t="s">
        <v>77600</v>
      </c>
      <c r="M3800" t="s">
        <v>77601</v>
      </c>
      <c r="N3800">
        <f>-764.832274436355 -64.375520619262 -764.768388316727</f>
        <v>-1593.9761833723442</v>
      </c>
      <c r="O3800">
        <f>-815.789735545806 -191.765603810676 -711.874790720979</f>
        <v>-1719.4301300774609</v>
      </c>
      <c r="P3800">
        <f>-774.83365975813 -171.026492182075 -398.699523037253</f>
        <v>-1344.5596749774581</v>
      </c>
      <c r="Q3800">
        <f>-534.366989257015 -88.3254951527178 -344.125449009721</f>
        <v>-966.81793341945388</v>
      </c>
      <c r="R3800" t="s">
        <v>77602</v>
      </c>
      <c r="S3800" t="s">
        <v>77603</v>
      </c>
      <c r="T3800" t="s">
        <v>77604</v>
      </c>
      <c r="U3800" t="s">
        <v>77605</v>
      </c>
      <c r="V3800">
        <f>-739.464183042232 -79.2557246869944 -230.186705646937</f>
        <v>-1048.9066133761635</v>
      </c>
      <c r="W3800" t="s">
        <v>77606</v>
      </c>
      <c r="X3800" t="s">
        <v>77607</v>
      </c>
      <c r="Y3800" t="s">
        <v>77608</v>
      </c>
    </row>
    <row r="3801" spans="1:25" x14ac:dyDescent="0.3">
      <c r="A3801">
        <v>190000</v>
      </c>
      <c r="B3801" t="s">
        <v>77609</v>
      </c>
      <c r="C3801" t="s">
        <v>77610</v>
      </c>
      <c r="D3801" t="s">
        <v>77611</v>
      </c>
      <c r="E3801" t="s">
        <v>77612</v>
      </c>
      <c r="F3801">
        <f>-759.613461544878 -0.117324627278549 -579.046737704429</f>
        <v>-1338.7775238765855</v>
      </c>
      <c r="G3801">
        <f>-758.670004819212 -17.7446368139153 -687.135744400519</f>
        <v>-1463.5503860336462</v>
      </c>
      <c r="H3801">
        <f>-752.559225528564 -47.5763199304183 -836.376260228595</f>
        <v>-1636.5118056875772</v>
      </c>
      <c r="I3801">
        <f>-715.347922228671 -69.5207148701759 -928.662556308063</f>
        <v>-1713.53119340691</v>
      </c>
      <c r="J3801">
        <f>-745.737537743727 -4.55913794914659 -775.912092052153</f>
        <v>-1526.2087677450265</v>
      </c>
      <c r="K3801" t="s">
        <v>77613</v>
      </c>
      <c r="L3801" t="s">
        <v>77614</v>
      </c>
      <c r="M3801" t="s">
        <v>77615</v>
      </c>
      <c r="N3801">
        <f>-764.788547763082 -64.1942767222595 -764.77177499411</f>
        <v>-1593.7545994794514</v>
      </c>
      <c r="O3801">
        <f>-815.824572629338 -191.611386664096 -711.964575555186</f>
        <v>-1719.4005348486201</v>
      </c>
      <c r="P3801">
        <f>-774.798596439507 -171.069952530756 -398.785458447099</f>
        <v>-1344.6540074173622</v>
      </c>
      <c r="Q3801">
        <f>-534.361623597189 -88.3381774830336 -344.126915250579</f>
        <v>-966.82671633080167</v>
      </c>
      <c r="R3801" t="s">
        <v>77616</v>
      </c>
      <c r="S3801" t="s">
        <v>77617</v>
      </c>
      <c r="T3801" t="s">
        <v>77618</v>
      </c>
      <c r="U3801" t="s">
        <v>77619</v>
      </c>
      <c r="V3801">
        <f>-739.672106929028 -79.2058634291047 -230.178152780514</f>
        <v>-1049.0561231386469</v>
      </c>
      <c r="W3801" t="s">
        <v>77620</v>
      </c>
      <c r="X3801" t="s">
        <v>77621</v>
      </c>
      <c r="Y3801" t="s">
        <v>77622</v>
      </c>
    </row>
    <row r="3802" spans="1:25" x14ac:dyDescent="0.3">
      <c r="A3802">
        <v>190050</v>
      </c>
      <c r="B3802" t="s">
        <v>77623</v>
      </c>
      <c r="C3802" t="s">
        <v>77624</v>
      </c>
      <c r="D3802" t="s">
        <v>77625</v>
      </c>
      <c r="E3802" t="s">
        <v>77626</v>
      </c>
      <c r="F3802" t="s">
        <v>77627</v>
      </c>
      <c r="G3802">
        <f>-759.137320198656 -17.6607732536679 -687.094093957778</f>
        <v>-1463.892187410102</v>
      </c>
      <c r="H3802">
        <f>-753.027291028984 -47.6718859774189 -836.298680563202</f>
        <v>-1636.997857569605</v>
      </c>
      <c r="I3802">
        <f>-715.750215552244 -69.6850182930657 -928.541978180824</f>
        <v>-1713.9772120261337</v>
      </c>
      <c r="J3802">
        <f>-746.176474553195 -4.59075421725197 -775.883398029844</f>
        <v>-1526.6506268002909</v>
      </c>
      <c r="K3802" t="s">
        <v>77628</v>
      </c>
      <c r="L3802" t="s">
        <v>77629</v>
      </c>
      <c r="M3802" t="s">
        <v>77630</v>
      </c>
      <c r="N3802">
        <f>-765.285111465548 -64.1950555259868 -764.677064141623</f>
        <v>-1594.1572311331579</v>
      </c>
      <c r="O3802">
        <f>-816.524589313582 -191.475189666611 -711.841663200939</f>
        <v>-1719.8414421811322</v>
      </c>
      <c r="P3802">
        <f>-776.497391251092 -171.097712648184 -398.522599936153</f>
        <v>-1346.117703835429</v>
      </c>
      <c r="Q3802">
        <f>-535.87904377661 -88.4437231053025 -344.548922377196</f>
        <v>-968.87168925910851</v>
      </c>
      <c r="R3802" t="s">
        <v>77631</v>
      </c>
      <c r="S3802" t="s">
        <v>77632</v>
      </c>
      <c r="T3802" t="s">
        <v>77633</v>
      </c>
      <c r="U3802" t="s">
        <v>77634</v>
      </c>
      <c r="V3802">
        <f>-740.219399844479 -78.9497287810525 -230.183303542281</f>
        <v>-1049.3524321678124</v>
      </c>
      <c r="W3802" t="s">
        <v>77635</v>
      </c>
      <c r="X3802" t="s">
        <v>77636</v>
      </c>
      <c r="Y3802" t="s">
        <v>77637</v>
      </c>
    </row>
    <row r="3803" spans="1:25" x14ac:dyDescent="0.3">
      <c r="A3803">
        <v>190100</v>
      </c>
      <c r="B3803" t="s">
        <v>77638</v>
      </c>
      <c r="C3803" t="s">
        <v>77639</v>
      </c>
      <c r="D3803" t="s">
        <v>77640</v>
      </c>
      <c r="E3803" t="s">
        <v>77641</v>
      </c>
      <c r="F3803" t="s">
        <v>77642</v>
      </c>
      <c r="G3803">
        <f>-759.362168840841 -17.4196837221916 -687.043250252667</f>
        <v>-1463.8251028156997</v>
      </c>
      <c r="H3803">
        <f>-753.265760362858 -47.4006566524927 -836.25432793532</f>
        <v>-1636.9207449506707</v>
      </c>
      <c r="I3803">
        <f>-715.960885176509 -69.4317320105711 -928.482153182628</f>
        <v>-1713.8747703697081</v>
      </c>
      <c r="J3803">
        <f>-746.373481861093 -4.34256578643317 -775.827469230649</f>
        <v>-1526.5435168781751</v>
      </c>
      <c r="K3803" t="s">
        <v>77643</v>
      </c>
      <c r="L3803" t="s">
        <v>77644</v>
      </c>
      <c r="M3803" t="s">
        <v>77645</v>
      </c>
      <c r="N3803">
        <f>-765.552980846403 -63.9274410603873 -764.638682463754</f>
        <v>-1594.1191043705444</v>
      </c>
      <c r="O3803">
        <f>-816.989944981162 -191.183671542649 -711.816269026864</f>
        <v>-1719.9898855506749</v>
      </c>
      <c r="P3803">
        <f>-776.27770925021 -170.445278368842 -398.609249007903</f>
        <v>-1345.3322366269549</v>
      </c>
      <c r="Q3803">
        <f>-535.578861205594 -87.963525545885 -344.731435862601</f>
        <v>-968.27382261408002</v>
      </c>
      <c r="R3803" t="s">
        <v>77646</v>
      </c>
      <c r="S3803" t="s">
        <v>77647</v>
      </c>
      <c r="T3803" t="s">
        <v>77648</v>
      </c>
      <c r="U3803" t="s">
        <v>77649</v>
      </c>
      <c r="V3803">
        <f>-740.37370924177 -78.8082707620983 -230.178615815706</f>
        <v>-1049.3605958195744</v>
      </c>
      <c r="W3803" t="s">
        <v>77650</v>
      </c>
      <c r="X3803" t="s">
        <v>77651</v>
      </c>
      <c r="Y3803" t="s">
        <v>77652</v>
      </c>
    </row>
    <row r="3804" spans="1:25" x14ac:dyDescent="0.3">
      <c r="A3804">
        <v>190150</v>
      </c>
      <c r="B3804" t="s">
        <v>77653</v>
      </c>
      <c r="C3804" t="s">
        <v>77654</v>
      </c>
      <c r="D3804" t="s">
        <v>77655</v>
      </c>
      <c r="E3804" t="s">
        <v>77656</v>
      </c>
      <c r="F3804" t="s">
        <v>77657</v>
      </c>
      <c r="G3804">
        <f>-759.717085947334 -17.4133578550666 -686.989950128227</f>
        <v>-1464.1203939306274</v>
      </c>
      <c r="H3804">
        <f>-753.803829534968 -47.5778685258665 -836.171453745269</f>
        <v>-1637.5531518061034</v>
      </c>
      <c r="I3804">
        <f>-716.570776822179 -69.7782078436544 -928.387627803138</f>
        <v>-1714.7366124689715</v>
      </c>
      <c r="J3804">
        <f>-746.768950066393 -4.46625128207074 -775.799146126581</f>
        <v>-1527.0343474750448</v>
      </c>
      <c r="K3804" t="s">
        <v>77658</v>
      </c>
      <c r="L3804" t="s">
        <v>77659</v>
      </c>
      <c r="M3804" t="s">
        <v>77660</v>
      </c>
      <c r="N3804">
        <f>-766.07154086118 -63.9957216050941 -764.527382124743</f>
        <v>-1594.5946445910172</v>
      </c>
      <c r="O3804">
        <f>-817.716558524079 -191.081492886705 -711.581267263163</f>
        <v>-1720.379318673947</v>
      </c>
      <c r="P3804">
        <f>-776.919792583686 -170.222740123878 -398.393212566341</f>
        <v>-1345.5357452739049</v>
      </c>
      <c r="Q3804">
        <f>-535.790462277909 -88.8102809792661 -344.814311320787</f>
        <v>-969.41505457796211</v>
      </c>
      <c r="R3804" t="s">
        <v>77661</v>
      </c>
      <c r="S3804" t="s">
        <v>77662</v>
      </c>
      <c r="T3804" t="s">
        <v>77663</v>
      </c>
      <c r="U3804" t="s">
        <v>77664</v>
      </c>
      <c r="V3804">
        <f>-740.610373425227 -78.4777003292409 -230.166381291926</f>
        <v>-1049.2544550463938</v>
      </c>
      <c r="W3804" t="s">
        <v>77665</v>
      </c>
      <c r="X3804" t="s">
        <v>77666</v>
      </c>
      <c r="Y3804" t="s">
        <v>77667</v>
      </c>
    </row>
    <row r="3805" spans="1:25" x14ac:dyDescent="0.3">
      <c r="A3805">
        <v>190200</v>
      </c>
      <c r="B3805" t="s">
        <v>77668</v>
      </c>
      <c r="C3805" t="s">
        <v>77669</v>
      </c>
      <c r="D3805" t="s">
        <v>77670</v>
      </c>
      <c r="E3805" t="s">
        <v>77671</v>
      </c>
      <c r="F3805" t="s">
        <v>77672</v>
      </c>
      <c r="G3805">
        <f>-759.792471200128 -17.1977462841239 -687.017993215816</f>
        <v>-1464.008210700068</v>
      </c>
      <c r="H3805">
        <f>-753.893761665176 -47.3674279562551 -836.198984474514</f>
        <v>-1637.4601740959451</v>
      </c>
      <c r="I3805">
        <f>-716.679145205662 -69.6144138413615 -928.411420679837</f>
        <v>-1714.7049797268605</v>
      </c>
      <c r="J3805">
        <f>-746.82377939186 -4.2626532753759 -775.82590367539</f>
        <v>-1526.9123363426258</v>
      </c>
      <c r="K3805" t="s">
        <v>77673</v>
      </c>
      <c r="L3805" t="s">
        <v>77674</v>
      </c>
      <c r="M3805" t="s">
        <v>77675</v>
      </c>
      <c r="N3805">
        <f>-766.18373395245 -63.7739084373825 -764.556123167265</f>
        <v>-1594.5137655570975</v>
      </c>
      <c r="O3805">
        <f>-817.941502536763 -190.855608608362 -711.616553292325</f>
        <v>-1720.4136644374498</v>
      </c>
      <c r="P3805">
        <f>-776.87468112714 -169.756396630098 -398.479970765946</f>
        <v>-1345.1110485231841</v>
      </c>
      <c r="Q3805">
        <f>-535.652814532341 -88.6326817676636 -344.879904358187</f>
        <v>-969.16540065819163</v>
      </c>
      <c r="R3805" t="s">
        <v>77676</v>
      </c>
      <c r="S3805" t="s">
        <v>77677</v>
      </c>
      <c r="T3805" t="s">
        <v>77678</v>
      </c>
      <c r="U3805" t="s">
        <v>77679</v>
      </c>
      <c r="V3805">
        <f>-740.702514019095 -78.2742356967519 -230.201056514078</f>
        <v>-1049.177806229925</v>
      </c>
      <c r="W3805" t="s">
        <v>77680</v>
      </c>
      <c r="X3805" t="s">
        <v>77681</v>
      </c>
      <c r="Y3805" t="s">
        <v>77682</v>
      </c>
    </row>
    <row r="3806" spans="1:25" x14ac:dyDescent="0.3">
      <c r="A3806">
        <v>190250</v>
      </c>
      <c r="B3806" t="s">
        <v>77683</v>
      </c>
      <c r="C3806" t="s">
        <v>77684</v>
      </c>
      <c r="D3806" t="s">
        <v>77685</v>
      </c>
      <c r="E3806" t="s">
        <v>77686</v>
      </c>
      <c r="F3806" t="s">
        <v>77687</v>
      </c>
      <c r="G3806">
        <f>-760.133713957552 -16.8924509564881 -687.165026917612</f>
        <v>-1464.1911918316521</v>
      </c>
      <c r="H3806">
        <f>-754.37011727165 -47.1847778085967 -836.326573567796</f>
        <v>-1637.8814686480428</v>
      </c>
      <c r="I3806">
        <f>-717.240796913905 -69.5757181862607 -928.538501945949</f>
        <v>-1715.3550170461147</v>
      </c>
      <c r="J3806">
        <f>-747.18598895819 -4.04866113423031 -775.989280455817</f>
        <v>-1527.2239305482374</v>
      </c>
      <c r="K3806" t="s">
        <v>77688</v>
      </c>
      <c r="L3806" t="s">
        <v>77689</v>
      </c>
      <c r="M3806" t="s">
        <v>77690</v>
      </c>
      <c r="N3806">
        <f>-766.654590797807 -63.5139699934241 -764.665020381692</f>
        <v>-1594.833581172923</v>
      </c>
      <c r="O3806">
        <f>-818.597290862758 -190.474342571979 -711.691527308062</f>
        <v>-1720.7631607427988</v>
      </c>
      <c r="P3806">
        <f>-777.585941428747 -169.72770147037 -398.5239951669</f>
        <v>-1345.837638066017</v>
      </c>
      <c r="Q3806">
        <f>-536.217435761102 -89.0443535613726 -344.918668906446</f>
        <v>-970.18045822892066</v>
      </c>
      <c r="R3806" t="s">
        <v>77691</v>
      </c>
      <c r="S3806" t="s">
        <v>77692</v>
      </c>
      <c r="T3806" t="s">
        <v>77693</v>
      </c>
      <c r="U3806" t="s">
        <v>77694</v>
      </c>
      <c r="V3806">
        <f>-740.832756024045 -77.8198983378411 -230.325685002977</f>
        <v>-1048.9783393648631</v>
      </c>
      <c r="W3806" t="s">
        <v>77695</v>
      </c>
      <c r="X3806" t="s">
        <v>77696</v>
      </c>
      <c r="Y3806" t="s">
        <v>77697</v>
      </c>
    </row>
    <row r="3807" spans="1:25" x14ac:dyDescent="0.3">
      <c r="A3807">
        <v>190300</v>
      </c>
      <c r="B3807" t="s">
        <v>77698</v>
      </c>
      <c r="C3807" t="s">
        <v>77699</v>
      </c>
      <c r="D3807" t="s">
        <v>77700</v>
      </c>
      <c r="E3807" t="s">
        <v>77701</v>
      </c>
      <c r="F3807" t="s">
        <v>77702</v>
      </c>
      <c r="G3807">
        <f>-760.290026336577 -16.7294779474057 -687.238684919088</f>
        <v>-1464.2581892030707</v>
      </c>
      <c r="H3807">
        <f>-754.670499792183 -47.0751551343628 -836.394994632491</f>
        <v>-1638.1406495590368</v>
      </c>
      <c r="I3807">
        <f>-717.62580400576 -69.5269620698832 -928.626061095086</f>
        <v>-1715.7788271707291</v>
      </c>
      <c r="J3807">
        <f>-747.395021022349 -3.9277097169072 -776.076687098677</f>
        <v>-1527.3994178379332</v>
      </c>
      <c r="K3807" t="s">
        <v>77703</v>
      </c>
      <c r="L3807" t="s">
        <v>77704</v>
      </c>
      <c r="M3807" t="s">
        <v>77705</v>
      </c>
      <c r="N3807">
        <f>-766.918930109061 -63.3685841568104 -764.71920166785</f>
        <v>-1595.0067159337214</v>
      </c>
      <c r="O3807">
        <f>-818.909093344218 -190.290661371369 -711.688048567664</f>
        <v>-1720.8878032832511</v>
      </c>
      <c r="P3807">
        <f>-777.854587962118 -169.423674163776 -398.534248084322</f>
        <v>-1345.812510210216</v>
      </c>
      <c r="Q3807">
        <f>-536.475065053707 -88.6878323990782 -345.058023233167</f>
        <v>-970.22092068595214</v>
      </c>
      <c r="R3807" t="s">
        <v>77706</v>
      </c>
      <c r="S3807" t="s">
        <v>77707</v>
      </c>
      <c r="T3807" t="s">
        <v>77708</v>
      </c>
      <c r="U3807" t="s">
        <v>77709</v>
      </c>
      <c r="V3807">
        <f>-740.836670085498 -77.5614346357816 -230.400462625886</f>
        <v>-1048.7985673471655</v>
      </c>
      <c r="W3807" t="s">
        <v>77710</v>
      </c>
      <c r="X3807" t="s">
        <v>77711</v>
      </c>
      <c r="Y3807" t="s">
        <v>77712</v>
      </c>
    </row>
    <row r="3808" spans="1:25" x14ac:dyDescent="0.3">
      <c r="A3808">
        <v>190350</v>
      </c>
      <c r="B3808" t="s">
        <v>77713</v>
      </c>
      <c r="C3808" t="s">
        <v>77714</v>
      </c>
      <c r="D3808" t="s">
        <v>77715</v>
      </c>
      <c r="E3808" t="s">
        <v>77716</v>
      </c>
      <c r="F3808" t="s">
        <v>77717</v>
      </c>
      <c r="G3808">
        <f>-760.844373796894 -16.2543453293558 -687.304833281373</f>
        <v>-1464.403552407623</v>
      </c>
      <c r="H3808">
        <f>-755.57728227515 -46.6612127254664 -836.461385086808</f>
        <v>-1638.6998800874244</v>
      </c>
      <c r="I3808">
        <f>-718.701973545678 -69.216256044306 -928.735328604671</f>
        <v>-1716.653558194655</v>
      </c>
      <c r="J3808">
        <f>-748.097032952829 -3.50827707890107 -776.172115018545</f>
        <v>-1527.777425050275</v>
      </c>
      <c r="K3808" t="s">
        <v>77718</v>
      </c>
      <c r="L3808" t="s">
        <v>77719</v>
      </c>
      <c r="M3808" t="s">
        <v>77720</v>
      </c>
      <c r="N3808">
        <f>-767.718595282016 -62.9059771506545 -764.75631235216</f>
        <v>-1595.3808847848304</v>
      </c>
      <c r="O3808">
        <f>-819.769576223365 -189.787683635248 -711.679545727303</f>
        <v>-1721.236805585916</v>
      </c>
      <c r="P3808">
        <f>-778.388154841184 -168.734021866232 -398.581312332676</f>
        <v>-1345.7034890400919</v>
      </c>
      <c r="Q3808">
        <f>-536.92730733395 -88.0851743225069 -345.341370718158</f>
        <v>-970.35385237461492</v>
      </c>
      <c r="R3808" t="s">
        <v>77721</v>
      </c>
      <c r="S3808" t="s">
        <v>77722</v>
      </c>
      <c r="T3808" t="s">
        <v>77723</v>
      </c>
      <c r="U3808" t="s">
        <v>77724</v>
      </c>
      <c r="V3808">
        <f>-740.81769803523 -77.0356077099082 -230.494907169449</f>
        <v>-1048.3482129145873</v>
      </c>
      <c r="W3808" t="s">
        <v>77725</v>
      </c>
      <c r="X3808" t="s">
        <v>77726</v>
      </c>
      <c r="Y3808" t="s">
        <v>77727</v>
      </c>
    </row>
    <row r="3809" spans="1:25" x14ac:dyDescent="0.3">
      <c r="A3809">
        <v>190400</v>
      </c>
      <c r="B3809" t="s">
        <v>77728</v>
      </c>
      <c r="C3809" t="s">
        <v>77729</v>
      </c>
      <c r="D3809" t="s">
        <v>77730</v>
      </c>
      <c r="E3809" t="s">
        <v>77731</v>
      </c>
      <c r="F3809" t="s">
        <v>77732</v>
      </c>
      <c r="G3809">
        <f>-761.20172208672 -15.921062766093 -687.326385214724</f>
        <v>-1464.4491700675371</v>
      </c>
      <c r="H3809">
        <f>-756.154087697938 -46.280485484876 -836.500252199216</f>
        <v>-1638.9348253820299</v>
      </c>
      <c r="I3809">
        <f>-719.392504073951 -68.8876016018155 -928.806704646241</f>
        <v>-1717.0868103220075</v>
      </c>
      <c r="J3809">
        <f>-748.55888313282 -3.15502873237688 -776.205775450515</f>
        <v>-1527.9196873157121</v>
      </c>
      <c r="K3809" t="s">
        <v>77733</v>
      </c>
      <c r="L3809" t="s">
        <v>77734</v>
      </c>
      <c r="M3809" t="s">
        <v>77735</v>
      </c>
      <c r="N3809">
        <f>-768.216266405038 -62.5398898957578 -764.785124740586</f>
        <v>-1595.5412810413818</v>
      </c>
      <c r="O3809">
        <f>-820.294056766553 -189.389236497858 -711.685974333332</f>
        <v>-1721.3692675977431</v>
      </c>
      <c r="P3809">
        <f>-778.474407429562 -168.344879004494 -398.645345615067</f>
        <v>-1345.4646320491231</v>
      </c>
      <c r="Q3809">
        <f>-537.008299453659 -87.722617351496 -345.388688699979</f>
        <v>-970.1196055051339</v>
      </c>
      <c r="R3809" t="s">
        <v>77736</v>
      </c>
      <c r="S3809" t="s">
        <v>77737</v>
      </c>
      <c r="T3809" t="s">
        <v>77738</v>
      </c>
      <c r="U3809" t="s">
        <v>77739</v>
      </c>
      <c r="V3809">
        <f>-740.811509366207 -76.8021667047917 -230.531489697714</f>
        <v>-1048.1451657687128</v>
      </c>
      <c r="W3809" t="s">
        <v>77740</v>
      </c>
      <c r="X3809" t="s">
        <v>77741</v>
      </c>
      <c r="Y3809" t="s">
        <v>77742</v>
      </c>
    </row>
    <row r="3810" spans="1:25" x14ac:dyDescent="0.3">
      <c r="A3810">
        <v>190450</v>
      </c>
      <c r="B3810" t="s">
        <v>77743</v>
      </c>
      <c r="C3810" t="s">
        <v>77744</v>
      </c>
      <c r="D3810" t="s">
        <v>77745</v>
      </c>
      <c r="E3810" t="s">
        <v>77746</v>
      </c>
      <c r="F3810" t="s">
        <v>77747</v>
      </c>
      <c r="G3810">
        <f>-761.685847698445 -15.3441315565415 -687.401626590057</f>
        <v>-1464.4316058450436</v>
      </c>
      <c r="H3810">
        <f>-757.018432224612 -45.6450528389539 -836.599679374249</f>
        <v>-1639.2631644378148</v>
      </c>
      <c r="I3810">
        <f>-720.460230941896 -68.3314962455061 -928.967587112724</f>
        <v>-1717.7593143001261</v>
      </c>
      <c r="J3810">
        <f>-749.231352639103 -2.55506284503713 -776.304321428785</f>
        <v>-1528.090736912925</v>
      </c>
      <c r="K3810" t="s">
        <v>77748</v>
      </c>
      <c r="L3810" t="s">
        <v>77749</v>
      </c>
      <c r="M3810" t="s">
        <v>77750</v>
      </c>
      <c r="N3810">
        <f>-768.935825865828 -61.9205381727872 -764.864049175143</f>
        <v>-1595.7204132137581</v>
      </c>
      <c r="O3810">
        <f>-820.977944738913 -188.82998893781 -711.837009188988</f>
        <v>-1721.6449428657111</v>
      </c>
      <c r="P3810">
        <f>-778.830593609096 -168.256145173963 -398.809051745992</f>
        <v>-1345.8957905290511</v>
      </c>
      <c r="Q3810">
        <f>-537.40094995374 -87.4685490351708 -345.638362225948</f>
        <v>-970.50786121485885</v>
      </c>
      <c r="R3810" t="s">
        <v>77751</v>
      </c>
      <c r="S3810" t="s">
        <v>77752</v>
      </c>
      <c r="T3810" t="s">
        <v>77753</v>
      </c>
      <c r="U3810" t="s">
        <v>77754</v>
      </c>
      <c r="V3810">
        <f>-740.757167316057 -76.3296564503025 -230.629595104517</f>
        <v>-1047.7164188708766</v>
      </c>
      <c r="W3810" t="s">
        <v>77755</v>
      </c>
      <c r="X3810" t="s">
        <v>77756</v>
      </c>
      <c r="Y3810" t="s">
        <v>77757</v>
      </c>
    </row>
    <row r="3811" spans="1:25" x14ac:dyDescent="0.3">
      <c r="A3811">
        <v>190500</v>
      </c>
      <c r="B3811" t="s">
        <v>77758</v>
      </c>
      <c r="C3811" t="s">
        <v>77759</v>
      </c>
      <c r="D3811" t="s">
        <v>77760</v>
      </c>
      <c r="E3811" t="s">
        <v>77761</v>
      </c>
      <c r="F3811" t="s">
        <v>77762</v>
      </c>
      <c r="G3811">
        <f>-762.047145780862 -14.9137423663274 -687.42858780499</f>
        <v>-1464.3894759521795</v>
      </c>
      <c r="H3811">
        <f>-757.575751884838 -45.1083787449181 -836.654152859694</f>
        <v>-1639.3382834894501</v>
      </c>
      <c r="I3811">
        <f>-721.117385395634 -67.7824560031122 -929.064569761436</f>
        <v>-1717.9644111601822</v>
      </c>
      <c r="J3811">
        <f>-749.697652316131 -2.06511936462266 -776.337375798159</f>
        <v>-1528.1001474789127</v>
      </c>
      <c r="K3811" t="s">
        <v>77763</v>
      </c>
      <c r="L3811" t="s">
        <v>77764</v>
      </c>
      <c r="M3811" t="s">
        <v>77765</v>
      </c>
      <c r="N3811">
        <f>-769.410744198812 -61.4312371512553 -764.915724783112</f>
        <v>-1595.7577061331795</v>
      </c>
      <c r="O3811">
        <f>-821.38715058273 -188.389375544263 -711.959680004709</f>
        <v>-1721.7362061317019</v>
      </c>
      <c r="P3811">
        <f>-778.983748981146 -167.64775389579 -398.977265616431</f>
        <v>-1345.6087684933671</v>
      </c>
      <c r="Q3811">
        <f>-537.525124621456 -86.955939229922 -345.793154582233</f>
        <v>-970.27421843361105</v>
      </c>
      <c r="R3811" t="s">
        <v>77766</v>
      </c>
      <c r="S3811" t="s">
        <v>77767</v>
      </c>
      <c r="T3811" t="s">
        <v>77768</v>
      </c>
      <c r="U3811" t="s">
        <v>77769</v>
      </c>
      <c r="V3811">
        <f>-740.766853715771 -76.0433480195697 -230.652129608793</f>
        <v>-1047.4623313441339</v>
      </c>
      <c r="W3811" t="s">
        <v>77770</v>
      </c>
      <c r="X3811" t="s">
        <v>77771</v>
      </c>
      <c r="Y3811" t="s">
        <v>77772</v>
      </c>
    </row>
    <row r="3812" spans="1:25" x14ac:dyDescent="0.3">
      <c r="A3812">
        <v>190550</v>
      </c>
      <c r="B3812" t="s">
        <v>77773</v>
      </c>
      <c r="C3812" t="s">
        <v>77774</v>
      </c>
      <c r="D3812" t="s">
        <v>77775</v>
      </c>
      <c r="E3812" t="s">
        <v>77776</v>
      </c>
      <c r="F3812" t="s">
        <v>77777</v>
      </c>
      <c r="G3812">
        <f>-763.044563578623 -14.1655792376007 -687.362883041534</f>
        <v>-1464.5730258577578</v>
      </c>
      <c r="H3812">
        <f>-758.851689400033 -44.2340417154683 -836.622115892688</f>
        <v>-1639.7078470081892</v>
      </c>
      <c r="I3812">
        <f>-722.550870810503 -66.8494973561683 -929.108853965904</f>
        <v>-1718.5092221325754</v>
      </c>
      <c r="J3812">
        <f>-750.853084655928 -1.24426149018109 -776.282830355453</f>
        <v>-1528.3801765015621</v>
      </c>
      <c r="K3812" t="s">
        <v>77778</v>
      </c>
      <c r="L3812" t="s">
        <v>77779</v>
      </c>
      <c r="M3812" t="s">
        <v>77780</v>
      </c>
      <c r="N3812">
        <f>-770.560727109322 -60.6150993501265 -764.87616063096</f>
        <v>-1596.0519870904086</v>
      </c>
      <c r="O3812">
        <f>-822.394628392807 -187.672339773056 -712.025552570627</f>
        <v>-1722.0925207364901</v>
      </c>
      <c r="P3812">
        <f>-779.736051337647 -167.405587623313 -399.046937634517</f>
        <v>-1346.1885765954771</v>
      </c>
      <c r="Q3812">
        <f>-538.25863925653 -86.9601873610336 -345.574984731192</f>
        <v>-970.79381134875564</v>
      </c>
      <c r="R3812" t="s">
        <v>77781</v>
      </c>
      <c r="S3812" t="s">
        <v>77782</v>
      </c>
      <c r="T3812" t="s">
        <v>77783</v>
      </c>
      <c r="U3812" t="s">
        <v>77784</v>
      </c>
      <c r="V3812">
        <f>-740.756318436139 -75.60810314901 -230.649194372956</f>
        <v>-1047.0136159581052</v>
      </c>
      <c r="W3812" t="s">
        <v>77785</v>
      </c>
      <c r="X3812" t="s">
        <v>77786</v>
      </c>
      <c r="Y3812" t="s">
        <v>77787</v>
      </c>
    </row>
    <row r="3813" spans="1:25" x14ac:dyDescent="0.3">
      <c r="A3813">
        <v>190600</v>
      </c>
      <c r="B3813" t="s">
        <v>77788</v>
      </c>
      <c r="C3813" t="s">
        <v>77789</v>
      </c>
      <c r="D3813" t="s">
        <v>77790</v>
      </c>
      <c r="E3813" t="s">
        <v>77791</v>
      </c>
      <c r="F3813" t="s">
        <v>77792</v>
      </c>
      <c r="G3813">
        <f>-763.548577578983 -13.7178364959741 -687.306840742989</f>
        <v>-1464.5732548179462</v>
      </c>
      <c r="H3813">
        <f>-759.489572635857 -43.6388063816428 -836.599451577629</f>
        <v>-1639.7278305951288</v>
      </c>
      <c r="I3813">
        <f>-723.24201423261 -66.1944516503472 -929.121465609464</f>
        <v>-1718.5579314924212</v>
      </c>
      <c r="J3813">
        <f>-751.435384524217 -0.709183071204734 -776.224840618451</f>
        <v>-1528.3694082138727</v>
      </c>
      <c r="K3813" t="s">
        <v>77793</v>
      </c>
      <c r="L3813" t="s">
        <v>77794</v>
      </c>
      <c r="M3813" t="s">
        <v>77795</v>
      </c>
      <c r="N3813">
        <f>-771.135811920158 -60.090327403597 -764.859346452782</f>
        <v>-1596.0854857765371</v>
      </c>
      <c r="O3813">
        <f>-822.897513176058 -187.226847671446 -712.103771880313</f>
        <v>-1722.228132727817</v>
      </c>
      <c r="P3813">
        <f>-779.722662416979 -166.880519148866 -399.200976251522</f>
        <v>-1345.804157817367</v>
      </c>
      <c r="Q3813">
        <f>-538.409884968234 -86.1599007165912 -345.400833246589</f>
        <v>-969.97061893141426</v>
      </c>
      <c r="R3813" t="s">
        <v>77796</v>
      </c>
      <c r="S3813" t="s">
        <v>77797</v>
      </c>
      <c r="T3813" t="s">
        <v>77798</v>
      </c>
      <c r="U3813" t="s">
        <v>77799</v>
      </c>
      <c r="V3813">
        <f>-740.865143315057 -75.4151824349765 -230.626825871411</f>
        <v>-1046.9071516214444</v>
      </c>
      <c r="W3813" t="s">
        <v>77800</v>
      </c>
      <c r="X3813" t="s">
        <v>77801</v>
      </c>
      <c r="Y3813" t="s">
        <v>77802</v>
      </c>
    </row>
    <row r="3814" spans="1:25" x14ac:dyDescent="0.3">
      <c r="A3814">
        <v>190650</v>
      </c>
      <c r="B3814" t="s">
        <v>77803</v>
      </c>
      <c r="C3814" t="s">
        <v>77804</v>
      </c>
      <c r="D3814" t="s">
        <v>77805</v>
      </c>
      <c r="E3814" t="s">
        <v>77806</v>
      </c>
      <c r="F3814" t="s">
        <v>77807</v>
      </c>
      <c r="G3814">
        <f>-764.586132658202 -13.0613192803437 -687.102363842725</f>
        <v>-1464.7498157812706</v>
      </c>
      <c r="H3814">
        <f>-760.666212424961 -42.8126758176836 -836.432620232791</f>
        <v>-1639.9115084754358</v>
      </c>
      <c r="I3814">
        <f>-724.488443167789 -65.260334620029 -929.008225013214</f>
        <v>-1718.7570028010318</v>
      </c>
      <c r="J3814" t="s">
        <v>77808</v>
      </c>
      <c r="K3814" t="s">
        <v>77809</v>
      </c>
      <c r="L3814" t="s">
        <v>77810</v>
      </c>
      <c r="M3814" t="s">
        <v>77811</v>
      </c>
      <c r="N3814">
        <f>-772.219206530969 -59.3540384168555 -764.698100797373</f>
        <v>-1596.2713457451973</v>
      </c>
      <c r="O3814">
        <f>-823.762499535306 -186.634200205221 -712.096567626177</f>
        <v>-1722.493267366704</v>
      </c>
      <c r="P3814">
        <f>-780.468860603773 -166.040525120164 -399.226442359077</f>
        <v>-1345.735828083014</v>
      </c>
      <c r="Q3814">
        <f>-539.329690468307 -84.830334623377 -345.385511415751</f>
        <v>-969.54553650743503</v>
      </c>
      <c r="R3814" t="s">
        <v>77812</v>
      </c>
      <c r="S3814" t="s">
        <v>77813</v>
      </c>
      <c r="T3814" t="s">
        <v>77814</v>
      </c>
      <c r="U3814" t="s">
        <v>77815</v>
      </c>
      <c r="V3814">
        <f>-740.945275306526 -75.155803730767 -230.518317744658</f>
        <v>-1046.6193967819511</v>
      </c>
      <c r="W3814" t="s">
        <v>77816</v>
      </c>
      <c r="X3814" t="s">
        <v>77817</v>
      </c>
      <c r="Y3814" t="s">
        <v>77818</v>
      </c>
    </row>
    <row r="3815" spans="1:25" x14ac:dyDescent="0.3">
      <c r="A3815">
        <v>190700</v>
      </c>
      <c r="B3815" t="s">
        <v>77819</v>
      </c>
      <c r="C3815" t="s">
        <v>77820</v>
      </c>
      <c r="D3815" t="s">
        <v>77821</v>
      </c>
      <c r="E3815" t="s">
        <v>77822</v>
      </c>
      <c r="F3815" t="s">
        <v>77823</v>
      </c>
      <c r="G3815">
        <f>-765.004280335769 -12.6979723293168 -687.026735204191</f>
        <v>-1464.7289878692768</v>
      </c>
      <c r="H3815">
        <f>-761.133177636613 -42.3033210672399 -836.387196189986</f>
        <v>-1639.8236948938388</v>
      </c>
      <c r="I3815">
        <f>-724.971898595933 -64.6691946849319 -928.989146274582</f>
        <v>-1718.6302395554469</v>
      </c>
      <c r="J3815" t="s">
        <v>77824</v>
      </c>
      <c r="K3815" t="s">
        <v>77825</v>
      </c>
      <c r="L3815" t="s">
        <v>77826</v>
      </c>
      <c r="M3815" t="s">
        <v>77827</v>
      </c>
      <c r="N3815">
        <f>-772.659355985744 -58.9156673533328 -764.66483209803</f>
        <v>-1596.2398554371068</v>
      </c>
      <c r="O3815">
        <f>-824.172249979311 -186.26149103999 -712.178708111655</f>
        <v>-1722.6124491309561</v>
      </c>
      <c r="P3815">
        <f>-780.562576389513 -165.570162329797 -399.358908529273</f>
        <v>-1345.4916472485829</v>
      </c>
      <c r="Q3815">
        <f>-539.430234478 -84.4297678138264 -345.382002385651</f>
        <v>-969.24200467747733</v>
      </c>
      <c r="R3815" t="s">
        <v>77828</v>
      </c>
      <c r="S3815" t="s">
        <v>77829</v>
      </c>
      <c r="T3815" t="s">
        <v>77830</v>
      </c>
      <c r="U3815" t="s">
        <v>77831</v>
      </c>
      <c r="V3815">
        <f>-740.968351486645 -75.0469358467114 -230.465859585805</f>
        <v>-1046.4811469191613</v>
      </c>
      <c r="W3815" t="s">
        <v>77832</v>
      </c>
      <c r="X3815" t="s">
        <v>77833</v>
      </c>
      <c r="Y3815" t="s">
        <v>77834</v>
      </c>
    </row>
    <row r="3816" spans="1:25" x14ac:dyDescent="0.3">
      <c r="A3816">
        <v>190750</v>
      </c>
      <c r="B3816" t="s">
        <v>77835</v>
      </c>
      <c r="C3816" t="s">
        <v>77836</v>
      </c>
      <c r="D3816" t="s">
        <v>77837</v>
      </c>
      <c r="E3816" t="s">
        <v>77838</v>
      </c>
      <c r="F3816" t="s">
        <v>77839</v>
      </c>
      <c r="G3816">
        <f>-765.657693604447 -12.2264042944259 -686.859267819964</f>
        <v>-1464.7433657188369</v>
      </c>
      <c r="H3816">
        <f>-761.863009378414 -41.6640536278801 -836.254752286034</f>
        <v>-1639.781815292328</v>
      </c>
      <c r="I3816">
        <f>-725.7065615176 -63.9059489990539 -928.88839489325</f>
        <v>-1718.5009054099039</v>
      </c>
      <c r="J3816" t="s">
        <v>77840</v>
      </c>
      <c r="K3816" t="s">
        <v>77841</v>
      </c>
      <c r="L3816" t="s">
        <v>77842</v>
      </c>
      <c r="M3816" t="s">
        <v>77843</v>
      </c>
      <c r="N3816">
        <f>-773.328687279698 -58.3644688924289 -764.543104213614</f>
        <v>-1596.2362603857409</v>
      </c>
      <c r="O3816">
        <f>-824.595099372669 -185.895696365666 -712.276227821219</f>
        <v>-1722.767023559554</v>
      </c>
      <c r="P3816">
        <f>-781.259456202603 -165.299698766681 -399.411903324577</f>
        <v>-1345.971058293861</v>
      </c>
      <c r="Q3816">
        <f>-540.336446370869 -84.060518438497 -344.654610363055</f>
        <v>-969.05157517242094</v>
      </c>
      <c r="R3816" t="s">
        <v>77844</v>
      </c>
      <c r="S3816" t="s">
        <v>77845</v>
      </c>
      <c r="T3816" t="s">
        <v>77846</v>
      </c>
      <c r="U3816" t="s">
        <v>77847</v>
      </c>
      <c r="V3816">
        <f>-740.982150136269 -74.9474298533694 -230.357293729346</f>
        <v>-1046.2868737189842</v>
      </c>
      <c r="W3816" t="s">
        <v>77848</v>
      </c>
      <c r="X3816" t="s">
        <v>77849</v>
      </c>
      <c r="Y3816" t="s">
        <v>77850</v>
      </c>
    </row>
    <row r="3817" spans="1:25" x14ac:dyDescent="0.3">
      <c r="A3817">
        <v>190800</v>
      </c>
      <c r="B3817" t="s">
        <v>77851</v>
      </c>
      <c r="C3817" t="s">
        <v>77852</v>
      </c>
      <c r="D3817" t="s">
        <v>77853</v>
      </c>
      <c r="E3817" t="s">
        <v>77854</v>
      </c>
      <c r="F3817" t="s">
        <v>77855</v>
      </c>
      <c r="G3817">
        <f>-765.969434003601 -11.9887381257545 -686.771460148628</f>
        <v>-1464.7296322779835</v>
      </c>
      <c r="H3817">
        <f>-762.203145590242 -41.3126705627606 -836.190110177751</f>
        <v>-1639.7059263307535</v>
      </c>
      <c r="I3817">
        <f>-726.047484159668 -63.4781630820276 -928.84232928609</f>
        <v>-1718.3679765277857</v>
      </c>
      <c r="J3817" t="s">
        <v>77856</v>
      </c>
      <c r="K3817" t="s">
        <v>77857</v>
      </c>
      <c r="L3817" t="s">
        <v>77858</v>
      </c>
      <c r="M3817" t="s">
        <v>77859</v>
      </c>
      <c r="N3817">
        <f>-773.638306582702 -58.0729829165643 -764.487474170914</f>
        <v>-1596.1987636701801</v>
      </c>
      <c r="O3817">
        <f>-824.788770947304 -185.704461305626 -712.342672556232</f>
        <v>-1722.835904809162</v>
      </c>
      <c r="P3817">
        <f>-781.499886417151 -165.072840965257 -399.474407116388</f>
        <v>-1346.0471344987959</v>
      </c>
      <c r="Q3817">
        <f>-540.726948219826 -83.5968845784721 -344.409753985411</f>
        <v>-968.73358678370914</v>
      </c>
      <c r="R3817" t="s">
        <v>77860</v>
      </c>
      <c r="S3817" t="s">
        <v>77861</v>
      </c>
      <c r="T3817" t="s">
        <v>77862</v>
      </c>
      <c r="U3817" t="s">
        <v>77863</v>
      </c>
      <c r="V3817">
        <f>-741.036876020493 -74.9586093312798 -230.308129899975</f>
        <v>-1046.3036152517477</v>
      </c>
      <c r="W3817" t="s">
        <v>77864</v>
      </c>
      <c r="X3817" t="s">
        <v>77865</v>
      </c>
      <c r="Y3817" t="s">
        <v>77866</v>
      </c>
    </row>
    <row r="3818" spans="1:25" x14ac:dyDescent="0.3">
      <c r="A3818">
        <v>190850</v>
      </c>
      <c r="B3818" t="s">
        <v>77867</v>
      </c>
      <c r="C3818" t="s">
        <v>77868</v>
      </c>
      <c r="D3818" t="s">
        <v>77869</v>
      </c>
      <c r="E3818" t="s">
        <v>77870</v>
      </c>
      <c r="F3818" t="s">
        <v>77871</v>
      </c>
      <c r="G3818">
        <f>-766.303448538064 -11.5632969130218 -686.679272029228</f>
        <v>-1464.5460174803138</v>
      </c>
      <c r="H3818">
        <f>-762.601908532695 -40.6506747453209 -836.145663987796</f>
        <v>-1639.3982472658117</v>
      </c>
      <c r="I3818">
        <f>-726.45655874852 -62.6508272073868 -928.841390155024</f>
        <v>-1717.9487761109308</v>
      </c>
      <c r="J3818" t="s">
        <v>77872</v>
      </c>
      <c r="K3818" t="s">
        <v>77873</v>
      </c>
      <c r="L3818" t="s">
        <v>77874</v>
      </c>
      <c r="M3818" t="s">
        <v>77875</v>
      </c>
      <c r="N3818">
        <f>-773.967250215436 -57.5364001799383 -764.46158847267</f>
        <v>-1595.9652388680443</v>
      </c>
      <c r="O3818">
        <f>-824.929822764444 -185.330085932694 -712.538463242118</f>
        <v>-1722.798371939256</v>
      </c>
      <c r="P3818">
        <f>-781.931329284315 -164.745799597735 -399.626883828075</f>
        <v>-1346.3040127101249</v>
      </c>
      <c r="Q3818">
        <f>-541.33168825028 -83.1594226883376 -343.971301679894</f>
        <v>-968.46241261851151</v>
      </c>
      <c r="R3818" t="s">
        <v>77876</v>
      </c>
      <c r="S3818" t="s">
        <v>77877</v>
      </c>
      <c r="T3818" t="s">
        <v>77878</v>
      </c>
      <c r="U3818" t="s">
        <v>77879</v>
      </c>
      <c r="V3818">
        <f>-741.120744529134 -74.9265113897309 -230.244525785023</f>
        <v>-1046.2917817038879</v>
      </c>
      <c r="W3818" t="s">
        <v>77880</v>
      </c>
      <c r="X3818" t="s">
        <v>77881</v>
      </c>
      <c r="Y3818" t="s">
        <v>77882</v>
      </c>
    </row>
    <row r="3819" spans="1:25" x14ac:dyDescent="0.3">
      <c r="A3819">
        <v>190900</v>
      </c>
      <c r="B3819" t="s">
        <v>77883</v>
      </c>
      <c r="C3819" t="s">
        <v>77884</v>
      </c>
      <c r="D3819" t="s">
        <v>77885</v>
      </c>
      <c r="E3819" t="s">
        <v>77886</v>
      </c>
      <c r="F3819" t="s">
        <v>77887</v>
      </c>
      <c r="G3819">
        <f>-766.418469119152 -11.3594539243077 -686.665567443018</f>
        <v>-1464.4434904864775</v>
      </c>
      <c r="H3819">
        <f>-762.698081548138 -40.3648578801201 -836.147448167105</f>
        <v>-1639.210387595363</v>
      </c>
      <c r="I3819">
        <f>-726.542515019988 -62.2831448801919 -928.85860323323</f>
        <v>-1717.6842631334098</v>
      </c>
      <c r="J3819" t="s">
        <v>77888</v>
      </c>
      <c r="K3819" t="s">
        <v>77889</v>
      </c>
      <c r="L3819" t="s">
        <v>77890</v>
      </c>
      <c r="M3819" t="s">
        <v>77891</v>
      </c>
      <c r="N3819">
        <f>-774.051370316412 -57.2964743723624 -764.472203639124</f>
        <v>-1595.8200483278983</v>
      </c>
      <c r="O3819">
        <f>-824.922391998408 -185.163056961174 -712.639201371587</f>
        <v>-1722.724650331169</v>
      </c>
      <c r="P3819">
        <f>-782.21122238173 -164.238104595399 -399.710870276404</f>
        <v>-1346.1601972535329</v>
      </c>
      <c r="Q3819">
        <f>-541.592186621364 -82.6817226230223 -344.095675549057</f>
        <v>-968.36958479344332</v>
      </c>
      <c r="R3819" t="s">
        <v>77892</v>
      </c>
      <c r="S3819" t="s">
        <v>77893</v>
      </c>
      <c r="T3819" t="s">
        <v>77894</v>
      </c>
      <c r="U3819" t="s">
        <v>77895</v>
      </c>
      <c r="V3819">
        <f>-741.195127939533 -74.8828126566 -230.229492408713</f>
        <v>-1046.307433004846</v>
      </c>
      <c r="W3819" t="s">
        <v>77896</v>
      </c>
      <c r="X3819" t="s">
        <v>77897</v>
      </c>
      <c r="Y3819" t="s">
        <v>77898</v>
      </c>
    </row>
    <row r="3820" spans="1:25" x14ac:dyDescent="0.3">
      <c r="A3820">
        <v>190950</v>
      </c>
      <c r="B3820" t="s">
        <v>77899</v>
      </c>
      <c r="C3820" t="s">
        <v>77900</v>
      </c>
      <c r="D3820" t="s">
        <v>77901</v>
      </c>
      <c r="E3820" t="s">
        <v>77902</v>
      </c>
      <c r="F3820" t="s">
        <v>77903</v>
      </c>
      <c r="G3820">
        <f>-766.975631761352 -10.9164545414499 -686.561245544102</f>
        <v>-1464.4533318469039</v>
      </c>
      <c r="H3820">
        <f>-763.314280258677 -39.7990482151424 -836.068375522184</f>
        <v>-1639.1817039960033</v>
      </c>
      <c r="I3820">
        <f>-727.128869593008 -61.5827034217984 -928.799621445043</f>
        <v>-1717.5111944598493</v>
      </c>
      <c r="J3820" t="s">
        <v>77904</v>
      </c>
      <c r="K3820" t="s">
        <v>77905</v>
      </c>
      <c r="L3820" t="s">
        <v>77906</v>
      </c>
      <c r="M3820" t="s">
        <v>77907</v>
      </c>
      <c r="N3820">
        <f>-774.625136156252 -56.793956919219 -764.401499101325</f>
        <v>-1595.820592176796</v>
      </c>
      <c r="O3820">
        <f>-825.426627615863 -184.697387620384 -712.620487667026</f>
        <v>-1722.7445029032731</v>
      </c>
      <c r="P3820">
        <f>-782.28861844135 -163.201023890882 -399.789564446132</f>
        <v>-1345.2792067783639</v>
      </c>
      <c r="Q3820">
        <f>-541.513909301061 -82.2901824211633 -343.905514932403</f>
        <v>-967.70960665462724</v>
      </c>
      <c r="R3820" t="s">
        <v>77908</v>
      </c>
      <c r="S3820" t="s">
        <v>77909</v>
      </c>
      <c r="T3820" t="s">
        <v>77910</v>
      </c>
      <c r="U3820" t="s">
        <v>77911</v>
      </c>
      <c r="V3820">
        <f>-741.550552699063 -74.8042054454822 -230.181176893399</f>
        <v>-1046.5359350379442</v>
      </c>
      <c r="W3820" t="s">
        <v>77912</v>
      </c>
      <c r="X3820" t="s">
        <v>77913</v>
      </c>
      <c r="Y3820" t="s">
        <v>77914</v>
      </c>
    </row>
    <row r="3821" spans="1:25" x14ac:dyDescent="0.3">
      <c r="A3821">
        <v>191000</v>
      </c>
      <c r="B3821" t="s">
        <v>77915</v>
      </c>
      <c r="C3821" t="s">
        <v>77916</v>
      </c>
      <c r="D3821" t="s">
        <v>77917</v>
      </c>
      <c r="E3821" t="s">
        <v>77918</v>
      </c>
      <c r="F3821" t="s">
        <v>77919</v>
      </c>
      <c r="G3821">
        <f>-767.026222571339 -10.9589961023496 -686.509933322352</f>
        <v>-1464.4951519960405</v>
      </c>
      <c r="H3821">
        <f>-763.330238668489 -39.9831714678494 -835.988792534038</f>
        <v>-1639.3022026703763</v>
      </c>
      <c r="I3821">
        <f>-727.117729942317 -61.7966462568097 -928.702418919302</f>
        <v>-1717.6167951184289</v>
      </c>
      <c r="J3821" t="s">
        <v>77920</v>
      </c>
      <c r="K3821" t="s">
        <v>77921</v>
      </c>
      <c r="L3821" t="s">
        <v>77922</v>
      </c>
      <c r="M3821" t="s">
        <v>77923</v>
      </c>
      <c r="N3821">
        <f>-774.674949166706 -56.9048793030968 -764.309813303689</f>
        <v>-1595.8896417734918</v>
      </c>
      <c r="O3821">
        <f>-825.476833061193 -184.767486508893 -712.406015234321</f>
        <v>-1722.6503348044071</v>
      </c>
      <c r="P3821">
        <f>-781.950394108217 -162.815042419413 -399.660522676414</f>
        <v>-1344.4259592040439</v>
      </c>
      <c r="Q3821">
        <f>-541.048656529459 -82.1916189661185 -343.908661161628</f>
        <v>-967.14893665720547</v>
      </c>
      <c r="R3821" t="s">
        <v>77924</v>
      </c>
      <c r="S3821" t="s">
        <v>77925</v>
      </c>
      <c r="T3821" t="s">
        <v>77926</v>
      </c>
      <c r="U3821" t="s">
        <v>77927</v>
      </c>
      <c r="V3821">
        <f>-741.71273088686 -74.7228805254456 -230.182382552607</f>
        <v>-1046.6179939649126</v>
      </c>
      <c r="W3821" t="s">
        <v>77928</v>
      </c>
      <c r="X3821" t="s">
        <v>77929</v>
      </c>
      <c r="Y3821" t="s">
        <v>77930</v>
      </c>
    </row>
    <row r="3822" spans="1:25" x14ac:dyDescent="0.3">
      <c r="A3822">
        <v>191050</v>
      </c>
      <c r="B3822" t="s">
        <v>77931</v>
      </c>
      <c r="C3822" t="s">
        <v>77932</v>
      </c>
      <c r="D3822" t="s">
        <v>77933</v>
      </c>
      <c r="E3822" t="s">
        <v>77934</v>
      </c>
      <c r="F3822" t="s">
        <v>77935</v>
      </c>
      <c r="G3822">
        <f>-767.012788942778 -11.4975055032407 -686.351860944995</f>
        <v>-1464.8621553910139</v>
      </c>
      <c r="H3822">
        <f>-763.237883768922 -41.0921384546709 -835.717041740978</f>
        <v>-1640.047063964571</v>
      </c>
      <c r="I3822">
        <f>-726.989397564241 -63.1307573698205 -928.363139163367</f>
        <v>-1718.4832940974284</v>
      </c>
      <c r="J3822" t="s">
        <v>77936</v>
      </c>
      <c r="K3822" t="s">
        <v>77937</v>
      </c>
      <c r="L3822" t="s">
        <v>77938</v>
      </c>
      <c r="M3822" t="s">
        <v>77939</v>
      </c>
      <c r="N3822">
        <f>-774.68661633642 -57.7195269105225 -763.98577591742</f>
        <v>-1596.3919191643627</v>
      </c>
      <c r="O3822">
        <f>-825.40497268972 -185.46974707232 -711.703991283991</f>
        <v>-1722.578711046031</v>
      </c>
      <c r="P3822">
        <f>-780.407642605944 -163.615026837699 -399.159869558295</f>
        <v>-1343.182539001938</v>
      </c>
      <c r="Q3822">
        <f>-539.382848012236 -83.206040293855 -343.630664603446</f>
        <v>-966.21955290953701</v>
      </c>
      <c r="R3822" t="s">
        <v>77940</v>
      </c>
      <c r="S3822" t="s">
        <v>77941</v>
      </c>
      <c r="T3822" t="s">
        <v>77942</v>
      </c>
      <c r="U3822" t="s">
        <v>77943</v>
      </c>
      <c r="V3822">
        <f>-741.956735871474 -74.563312462865 -230.148061800461</f>
        <v>-1046.6681101348001</v>
      </c>
      <c r="W3822" t="s">
        <v>77944</v>
      </c>
      <c r="X3822" t="s">
        <v>77945</v>
      </c>
      <c r="Y3822" t="s">
        <v>77946</v>
      </c>
    </row>
    <row r="3823" spans="1:25" x14ac:dyDescent="0.3">
      <c r="A3823">
        <v>191100</v>
      </c>
      <c r="B3823" t="s">
        <v>77947</v>
      </c>
      <c r="C3823" t="s">
        <v>77948</v>
      </c>
      <c r="D3823" t="s">
        <v>77949</v>
      </c>
      <c r="E3823" t="s">
        <v>77950</v>
      </c>
      <c r="F3823" t="s">
        <v>77951</v>
      </c>
      <c r="G3823">
        <f>-767.020384275045 -11.9675540450417 -686.295891043828</f>
        <v>-1465.2838293639147</v>
      </c>
      <c r="H3823">
        <f>-763.295659232076 -41.9465633144391 -835.585545476993</f>
        <v>-1640.8277680235083</v>
      </c>
      <c r="I3823">
        <f>-727.056777902456 -64.1775820602929 -928.189589485755</f>
        <v>-1719.4239494485041</v>
      </c>
      <c r="J3823" t="s">
        <v>77952</v>
      </c>
      <c r="K3823" t="s">
        <v>77953</v>
      </c>
      <c r="L3823" t="s">
        <v>77954</v>
      </c>
      <c r="M3823" t="s">
        <v>77955</v>
      </c>
      <c r="N3823">
        <f>-774.754270441043 -58.3785177981852 -763.810810429325</f>
        <v>-1596.943598668553</v>
      </c>
      <c r="O3823">
        <f>-825.479553832984 -185.974722034957 -711.175652451244</f>
        <v>-1722.6299283191852</v>
      </c>
      <c r="P3823">
        <f>-780.473135020979 -163.614366063392 -398.668628223866</f>
        <v>-1342.7561293082372</v>
      </c>
      <c r="Q3823">
        <f>-539.298323982875 -82.9394752781459 -344.186397484264</f>
        <v>-966.42419674528492</v>
      </c>
      <c r="R3823" t="s">
        <v>77956</v>
      </c>
      <c r="S3823" t="s">
        <v>77957</v>
      </c>
      <c r="T3823" t="s">
        <v>77958</v>
      </c>
      <c r="U3823" t="s">
        <v>77959</v>
      </c>
      <c r="V3823">
        <f>-742.020666534133 -74.4569977846882 -230.141520045006</f>
        <v>-1046.6191843638271</v>
      </c>
      <c r="W3823" t="s">
        <v>77960</v>
      </c>
      <c r="X3823" t="s">
        <v>77961</v>
      </c>
      <c r="Y3823" t="s">
        <v>77962</v>
      </c>
    </row>
    <row r="3824" spans="1:25" x14ac:dyDescent="0.3">
      <c r="A3824">
        <v>191150</v>
      </c>
      <c r="B3824" t="s">
        <v>77963</v>
      </c>
      <c r="C3824" t="s">
        <v>77964</v>
      </c>
      <c r="D3824" t="s">
        <v>77965</v>
      </c>
      <c r="E3824" t="s">
        <v>77966</v>
      </c>
      <c r="F3824" t="s">
        <v>77967</v>
      </c>
      <c r="G3824">
        <f>-766.645122836108 -12.5511619418628 -686.182960691931</f>
        <v>-1465.3792454699019</v>
      </c>
      <c r="H3824">
        <f>-762.84415012293 -42.9775745857226 -835.380174485772</f>
        <v>-1641.2018991944246</v>
      </c>
      <c r="I3824">
        <f>-726.566576355349 -65.4723287507322 -927.905212539645</f>
        <v>-1719.9441176457262</v>
      </c>
      <c r="J3824" t="s">
        <v>77968</v>
      </c>
      <c r="K3824" t="s">
        <v>77969</v>
      </c>
      <c r="L3824" t="s">
        <v>77970</v>
      </c>
      <c r="M3824" t="s">
        <v>77971</v>
      </c>
      <c r="N3824">
        <f>-774.359891701748 -59.1879405082095 -763.564134322838</f>
        <v>-1597.1119665327956</v>
      </c>
      <c r="O3824">
        <f>-825.170081809596 -186.679549380305 -710.687499470667</f>
        <v>-1722.537130660568</v>
      </c>
      <c r="P3824">
        <f>-779.476506245394 -165.096438630086 -398.225587352991</f>
        <v>-1342.798532228471</v>
      </c>
      <c r="Q3824">
        <f>-538.369836829748 -82.2460102043431 -346.791799984103</f>
        <v>-967.4076470181941</v>
      </c>
      <c r="R3824" t="s">
        <v>77972</v>
      </c>
      <c r="S3824" t="s">
        <v>77973</v>
      </c>
      <c r="T3824" t="s">
        <v>77974</v>
      </c>
      <c r="U3824" t="s">
        <v>77975</v>
      </c>
      <c r="V3824">
        <f>-742.047798239951 -74.3437946097724 -230.107047730991</f>
        <v>-1046.4986405807144</v>
      </c>
      <c r="W3824" t="s">
        <v>77976</v>
      </c>
      <c r="X3824" t="s">
        <v>77977</v>
      </c>
      <c r="Y3824" t="s">
        <v>77978</v>
      </c>
    </row>
    <row r="3825" spans="1:25" x14ac:dyDescent="0.3">
      <c r="A3825">
        <v>191200</v>
      </c>
      <c r="B3825" t="s">
        <v>77979</v>
      </c>
      <c r="C3825" t="s">
        <v>77980</v>
      </c>
      <c r="D3825" t="s">
        <v>77981</v>
      </c>
      <c r="E3825" t="s">
        <v>77982</v>
      </c>
      <c r="F3825" t="s">
        <v>77983</v>
      </c>
      <c r="G3825">
        <f>-766.375027714624 -12.8726659984336 -686.220715484686</f>
        <v>-1465.4684091977438</v>
      </c>
      <c r="H3825">
        <f>-762.477381090952 -43.5671996081705 -835.360391264562</f>
        <v>-1641.4049719636846</v>
      </c>
      <c r="I3825">
        <f>-726.149252931229 -66.211996089324 -927.829162334524</f>
        <v>-1720.1904113550768</v>
      </c>
      <c r="J3825">
        <f>-754.385794844262 -0.316489260659409 -775.220471951257</f>
        <v>-1529.9227560561785</v>
      </c>
      <c r="K3825" t="s">
        <v>77984</v>
      </c>
      <c r="L3825" t="s">
        <v>77985</v>
      </c>
      <c r="M3825" t="s">
        <v>77986</v>
      </c>
      <c r="N3825">
        <f>-774.018197708494 -59.6552163165534 -763.521048050799</f>
        <v>-1597.1944620758463</v>
      </c>
      <c r="O3825">
        <f>-824.826026737971 -187.039299197374 -710.469957966761</f>
        <v>-1722.3352839021059</v>
      </c>
      <c r="P3825">
        <f>-779.62567143068 -164.717534177615 -397.988195075226</f>
        <v>-1342.331400683521</v>
      </c>
      <c r="Q3825">
        <f>-538.376969689929 -81.5254686978949 -347.786223480108</f>
        <v>-967.68866186793184</v>
      </c>
      <c r="R3825" t="s">
        <v>77987</v>
      </c>
      <c r="S3825" t="s">
        <v>77988</v>
      </c>
      <c r="T3825" t="s">
        <v>77989</v>
      </c>
      <c r="U3825" t="s">
        <v>77990</v>
      </c>
      <c r="V3825">
        <f>-742.002283593235 -74.2291789695657 -230.143386519259</f>
        <v>-1046.3748490820597</v>
      </c>
      <c r="W3825" t="s">
        <v>77991</v>
      </c>
      <c r="X3825" t="s">
        <v>77992</v>
      </c>
      <c r="Y3825" t="s">
        <v>77993</v>
      </c>
    </row>
    <row r="3826" spans="1:25" x14ac:dyDescent="0.3">
      <c r="A3826">
        <v>191250</v>
      </c>
      <c r="B3826" t="s">
        <v>77994</v>
      </c>
      <c r="C3826" t="s">
        <v>77995</v>
      </c>
      <c r="D3826" t="s">
        <v>77996</v>
      </c>
      <c r="E3826" t="s">
        <v>77997</v>
      </c>
      <c r="F3826" t="s">
        <v>77998</v>
      </c>
      <c r="G3826">
        <f>-765.463995887529 -13.219859162014 -686.402175863424</f>
        <v>-1465.0860309129671</v>
      </c>
      <c r="H3826">
        <f>-761.212739347569 -44.2804607089388 -835.456567602912</f>
        <v>-1640.9497676594196</v>
      </c>
      <c r="I3826">
        <f>-724.742970275463 -67.0732152839498 -927.832963025035</f>
        <v>-1719.6491485844479</v>
      </c>
      <c r="J3826">
        <f>-753.329784351162 -0.861528267870881 -775.409987984588</f>
        <v>-1529.601300603621</v>
      </c>
      <c r="K3826" t="s">
        <v>77999</v>
      </c>
      <c r="L3826" t="s">
        <v>78000</v>
      </c>
      <c r="M3826" t="s">
        <v>78001</v>
      </c>
      <c r="N3826">
        <f>-772.857814337924 -60.2127145756047 -763.599056683944</f>
        <v>-1596.6695855974726</v>
      </c>
      <c r="O3826">
        <f>-823.536183588323 -187.573165064262 -710.289888947944</f>
        <v>-1721.399237600529</v>
      </c>
      <c r="P3826">
        <f>-777.070470983262 -165.00837897114 -398.011244268273</f>
        <v>-1340.0900942226749</v>
      </c>
      <c r="Q3826">
        <f>-535.549874298814 -81.5170084306478 -349.647801133037</f>
        <v>-966.71468386249876</v>
      </c>
      <c r="R3826" t="s">
        <v>78002</v>
      </c>
      <c r="S3826" t="s">
        <v>78003</v>
      </c>
      <c r="T3826" t="s">
        <v>78004</v>
      </c>
      <c r="U3826" t="s">
        <v>78005</v>
      </c>
      <c r="V3826">
        <f>-741.771569609391 -73.9717416997578 -230.304289149553</f>
        <v>-1046.0476004587017</v>
      </c>
      <c r="W3826" t="s">
        <v>78006</v>
      </c>
      <c r="X3826" t="s">
        <v>78007</v>
      </c>
      <c r="Y3826" t="s">
        <v>78008</v>
      </c>
    </row>
    <row r="3827" spans="1:25" x14ac:dyDescent="0.3">
      <c r="A3827">
        <v>191300</v>
      </c>
      <c r="B3827" t="s">
        <v>78009</v>
      </c>
      <c r="C3827" t="s">
        <v>78010</v>
      </c>
      <c r="D3827" t="s">
        <v>78011</v>
      </c>
      <c r="E3827" t="s">
        <v>78012</v>
      </c>
      <c r="F3827" t="s">
        <v>78013</v>
      </c>
      <c r="G3827">
        <f>-764.959319775215 -13.6194403228776 -686.48800741943</f>
        <v>-1465.0667675175227</v>
      </c>
      <c r="H3827">
        <f>-760.53510178508 -45.0571275328105 -835.458109078224</f>
        <v>-1641.0503383961145</v>
      </c>
      <c r="I3827">
        <f>-723.989980433838 -67.9621533409695 -927.777093743721</f>
        <v>-1719.7292275185287</v>
      </c>
      <c r="J3827">
        <f>-752.768642776961 -1.47199252746736 -775.517080693901</f>
        <v>-1529.7577159983293</v>
      </c>
      <c r="K3827" t="s">
        <v>78014</v>
      </c>
      <c r="L3827" t="s">
        <v>78015</v>
      </c>
      <c r="M3827" t="s">
        <v>78016</v>
      </c>
      <c r="N3827">
        <f>-772.216799954559 -60.8219533033414 -763.569805925089</f>
        <v>-1596.6085591829892</v>
      </c>
      <c r="O3827">
        <f>-822.773743228977 -188.076645823454 -710.009538472467</f>
        <v>-1720.859927524898</v>
      </c>
      <c r="P3827">
        <f>-776.448550230083 -164.502208729224 -397.784597860007</f>
        <v>-1338.7353568193139</v>
      </c>
      <c r="Q3827">
        <f>-534.630191039769 -81.576967528041 -349.937741831085</f>
        <v>-966.14490039889506</v>
      </c>
      <c r="R3827" t="s">
        <v>78017</v>
      </c>
      <c r="S3827" t="s">
        <v>78018</v>
      </c>
      <c r="T3827" t="s">
        <v>78019</v>
      </c>
      <c r="U3827" t="s">
        <v>78020</v>
      </c>
      <c r="V3827">
        <f>-741.573400615854 -73.7898316586643 -230.418225573725</f>
        <v>-1045.7814578482432</v>
      </c>
      <c r="W3827" t="s">
        <v>78021</v>
      </c>
      <c r="X3827" t="s">
        <v>78022</v>
      </c>
      <c r="Y3827" t="s">
        <v>78023</v>
      </c>
    </row>
    <row r="3828" spans="1:25" x14ac:dyDescent="0.3">
      <c r="A3828">
        <v>191350</v>
      </c>
      <c r="B3828" t="s">
        <v>78024</v>
      </c>
      <c r="C3828" t="s">
        <v>78025</v>
      </c>
      <c r="D3828" t="s">
        <v>78026</v>
      </c>
      <c r="E3828" t="s">
        <v>78027</v>
      </c>
      <c r="F3828" t="s">
        <v>78028</v>
      </c>
      <c r="G3828">
        <f>-763.747524833693 -14.2300745343018 -686.628094638577</f>
        <v>-1464.6056940065719</v>
      </c>
      <c r="H3828">
        <f>-758.901142689989 -46.2974678505607 -835.450713490969</f>
        <v>-1640.6493240315185</v>
      </c>
      <c r="I3828">
        <f>-722.201914616942 -69.3238232607127 -927.67828597398</f>
        <v>-1719.2040238516347</v>
      </c>
      <c r="J3828">
        <f>-751.393712425851 -2.43169615790725 -775.681593112443</f>
        <v>-1529.5070016962013</v>
      </c>
      <c r="K3828" t="s">
        <v>78029</v>
      </c>
      <c r="L3828" t="s">
        <v>78030</v>
      </c>
      <c r="M3828" t="s">
        <v>78031</v>
      </c>
      <c r="N3828">
        <f>-770.69741322275 -61.7856893548794 -763.520929836307</f>
        <v>-1596.0040324139363</v>
      </c>
      <c r="O3828">
        <f>-820.953891716853 -188.922297057338 -709.34395584211</f>
        <v>-1719.220144616301</v>
      </c>
      <c r="P3828">
        <f>-773.448879659806 -164.542521117776 -397.358163440667</f>
        <v>-1335.349564218249</v>
      </c>
      <c r="Q3828">
        <f>-530.645891310828 -83.2465563473288 -351.754560612119</f>
        <v>-965.64700827027582</v>
      </c>
      <c r="R3828" t="s">
        <v>78032</v>
      </c>
      <c r="S3828" t="s">
        <v>78033</v>
      </c>
      <c r="T3828" t="s">
        <v>78034</v>
      </c>
      <c r="U3828" t="s">
        <v>78035</v>
      </c>
      <c r="V3828">
        <f>-741.187068707141 -73.4407088429314 -230.63964747772</f>
        <v>-1045.2674250277923</v>
      </c>
      <c r="W3828" t="s">
        <v>78036</v>
      </c>
      <c r="X3828" t="s">
        <v>78037</v>
      </c>
      <c r="Y3828" t="s">
        <v>78038</v>
      </c>
    </row>
    <row r="3829" spans="1:25" x14ac:dyDescent="0.3">
      <c r="A3829">
        <v>191400</v>
      </c>
      <c r="B3829" t="s">
        <v>78039</v>
      </c>
      <c r="C3829" t="s">
        <v>78040</v>
      </c>
      <c r="D3829" t="s">
        <v>78041</v>
      </c>
      <c r="E3829" t="s">
        <v>78042</v>
      </c>
      <c r="F3829" t="s">
        <v>78043</v>
      </c>
      <c r="G3829">
        <f>-763.218215920887 -14.5984775718837 -686.683903132295</f>
        <v>-1464.5005966250656</v>
      </c>
      <c r="H3829">
        <f>-758.095186810292 -47.0583755435732 -835.412282956157</f>
        <v>-1640.5658453100223</v>
      </c>
      <c r="I3829">
        <f>-721.272128453439 -70.1977404761383 -927.562250173466</f>
        <v>-1719.0321191030434</v>
      </c>
      <c r="J3829">
        <f>-750.719991124298 -3.02862164293424 -775.747376575544</f>
        <v>-1529.4959893427763</v>
      </c>
      <c r="K3829" t="s">
        <v>78044</v>
      </c>
      <c r="L3829" t="s">
        <v>78045</v>
      </c>
      <c r="M3829" t="s">
        <v>78046</v>
      </c>
      <c r="N3829">
        <f>-770.003943734951 -62.3631307878611 -763.461910223813</f>
        <v>-1595.8289847466251</v>
      </c>
      <c r="O3829">
        <f>-820.294484165072 -189.347401001581 -709.017566735225</f>
        <v>-1718.6594519018781</v>
      </c>
      <c r="P3829">
        <f>-773.039523422564 -165.376518661899 -396.962227564102</f>
        <v>-1335.378269648565</v>
      </c>
      <c r="Q3829">
        <f>-529.842354354792 -84.5818339285656 -352.583927523234</f>
        <v>-967.0081158065916</v>
      </c>
      <c r="R3829" t="s">
        <v>78047</v>
      </c>
      <c r="S3829" t="s">
        <v>78048</v>
      </c>
      <c r="T3829" t="s">
        <v>78049</v>
      </c>
      <c r="U3829" t="s">
        <v>78050</v>
      </c>
      <c r="V3829">
        <f>-741.037971306621 -73.2126787287623 -230.744320249248</f>
        <v>-1044.9949702846313</v>
      </c>
      <c r="W3829" t="s">
        <v>78051</v>
      </c>
      <c r="X3829" t="s">
        <v>78052</v>
      </c>
      <c r="Y3829" t="s">
        <v>78053</v>
      </c>
    </row>
    <row r="3830" spans="1:25" x14ac:dyDescent="0.3">
      <c r="A3830">
        <v>191450</v>
      </c>
      <c r="B3830" t="s">
        <v>78054</v>
      </c>
      <c r="C3830" t="s">
        <v>78055</v>
      </c>
      <c r="D3830" t="s">
        <v>78056</v>
      </c>
      <c r="E3830" t="s">
        <v>78057</v>
      </c>
      <c r="F3830" t="s">
        <v>78058</v>
      </c>
      <c r="G3830">
        <f>-762.393539523072 -14.6679596538879 -686.808890267103</f>
        <v>-1463.870389444063</v>
      </c>
      <c r="H3830">
        <f>-756.967627067698 -47.5379457503184 -835.436309886855</f>
        <v>-1639.9418827048714</v>
      </c>
      <c r="I3830">
        <f>-719.960499671321 -70.8810986811266 -927.461154337361</f>
        <v>-1718.3027526898086</v>
      </c>
      <c r="J3830">
        <f>-749.759275863153 -3.32985116767554 -775.882944808024</f>
        <v>-1528.9720718388526</v>
      </c>
      <c r="K3830" t="s">
        <v>78059</v>
      </c>
      <c r="L3830" t="s">
        <v>78060</v>
      </c>
      <c r="M3830" t="s">
        <v>78061</v>
      </c>
      <c r="N3830">
        <f>-768.977466212961 -62.6580087326263 -763.463699416549</f>
        <v>-1595.0991743621362</v>
      </c>
      <c r="O3830">
        <f>-819.32727972257 -189.460248377001 -708.567336817335</f>
        <v>-1717.3548649169061</v>
      </c>
      <c r="P3830">
        <f>-770.515348633543 -164.516598744825 -396.828158342548</f>
        <v>-1331.860105720916</v>
      </c>
      <c r="Q3830">
        <f>-526.752775711785 -84.4671190717399 -354.237589176753</f>
        <v>-965.45748396027795</v>
      </c>
      <c r="R3830" t="s">
        <v>78062</v>
      </c>
      <c r="S3830" t="s">
        <v>78063</v>
      </c>
      <c r="T3830" t="s">
        <v>78064</v>
      </c>
      <c r="U3830" t="s">
        <v>78065</v>
      </c>
      <c r="V3830">
        <f>-740.694490329591 -72.5948773129812 -230.89560136952</f>
        <v>-1044.1849690120921</v>
      </c>
      <c r="W3830" t="s">
        <v>78066</v>
      </c>
      <c r="X3830" t="s">
        <v>78067</v>
      </c>
      <c r="Y3830" t="s">
        <v>78068</v>
      </c>
    </row>
    <row r="3831" spans="1:25" x14ac:dyDescent="0.3">
      <c r="A3831">
        <v>191500</v>
      </c>
      <c r="B3831" t="s">
        <v>78069</v>
      </c>
      <c r="C3831" t="s">
        <v>78070</v>
      </c>
      <c r="D3831" t="s">
        <v>78071</v>
      </c>
      <c r="E3831" t="s">
        <v>78072</v>
      </c>
      <c r="F3831" t="s">
        <v>78073</v>
      </c>
      <c r="G3831">
        <f>-761.818992738948 -14.7859088952243 -686.812769208311</f>
        <v>-1463.4176708424834</v>
      </c>
      <c r="H3831">
        <f>-756.098377002501 -47.9682230191443 -835.359778686897</f>
        <v>-1639.4263787085424</v>
      </c>
      <c r="I3831">
        <f>-718.977410375765 -71.4434715283978 -927.304981015205</f>
        <v>-1717.725862919368</v>
      </c>
      <c r="J3831">
        <f>-749.037281087233 -3.62633677931262 -775.888228386655</f>
        <v>-1528.5518462532007</v>
      </c>
      <c r="K3831" t="s">
        <v>78074</v>
      </c>
      <c r="L3831" t="s">
        <v>78075</v>
      </c>
      <c r="M3831" t="s">
        <v>78076</v>
      </c>
      <c r="N3831">
        <f>-768.221841808595 -62.9457908254124 -763.376413258625</f>
        <v>-1594.5440458926323</v>
      </c>
      <c r="O3831">
        <f>-818.603568538133 -189.682105587423 -708.42788482472</f>
        <v>-1716.7135589502759</v>
      </c>
      <c r="P3831">
        <f>-771.000582626248 -165.46948286299 -396.4440010982</f>
        <v>-1332.9140665874381</v>
      </c>
      <c r="Q3831">
        <f>-527.212169041859 -85.3992404984981 -354.040434912739</f>
        <v>-966.65184445309615</v>
      </c>
      <c r="R3831" t="s">
        <v>78077</v>
      </c>
      <c r="S3831" t="s">
        <v>78078</v>
      </c>
      <c r="T3831" t="s">
        <v>78079</v>
      </c>
      <c r="U3831" t="s">
        <v>78080</v>
      </c>
      <c r="V3831">
        <f>-740.5730284822 -72.2489170670658 -230.959729468277</f>
        <v>-1043.7816750175427</v>
      </c>
      <c r="W3831" t="s">
        <v>78081</v>
      </c>
      <c r="X3831" t="s">
        <v>78082</v>
      </c>
      <c r="Y3831" t="s">
        <v>78083</v>
      </c>
    </row>
    <row r="3832" spans="1:25" x14ac:dyDescent="0.3">
      <c r="A3832">
        <v>191550</v>
      </c>
      <c r="B3832" t="s">
        <v>78084</v>
      </c>
      <c r="C3832" t="s">
        <v>78085</v>
      </c>
      <c r="D3832" t="s">
        <v>78086</v>
      </c>
      <c r="E3832" t="s">
        <v>78087</v>
      </c>
      <c r="F3832" t="s">
        <v>78088</v>
      </c>
      <c r="G3832">
        <f>-760.979511086186 -14.0141512649143 -686.951479323151</f>
        <v>-1461.9451416742513</v>
      </c>
      <c r="H3832">
        <f>-754.814790296843 -47.1734801023945 -835.485855482257</f>
        <v>-1637.4741258814943</v>
      </c>
      <c r="I3832">
        <f>-717.477574593386 -70.6960771640975 -927.331282779566</f>
        <v>-1715.5049345370494</v>
      </c>
      <c r="J3832">
        <f>-747.972597671758 -2.82845241280188 -775.991093659851</f>
        <v>-1526.7921437444109</v>
      </c>
      <c r="K3832" t="s">
        <v>78089</v>
      </c>
      <c r="L3832" t="s">
        <v>78090</v>
      </c>
      <c r="M3832" t="s">
        <v>78091</v>
      </c>
      <c r="N3832">
        <f>-767.11237337085 -62.1745607414823 -763.536762618253</f>
        <v>-1592.8236967305852</v>
      </c>
      <c r="O3832">
        <f>-817.445980481283 -188.94126017673 -708.577200092628</f>
        <v>-1714.964440750641</v>
      </c>
      <c r="P3832">
        <f>-769.777083783963 -163.888090768163 -396.669776580011</f>
        <v>-1330.3349511321371</v>
      </c>
      <c r="Q3832">
        <f>-526.464666562225 -83.0486655819113 -353.010500320141</f>
        <v>-962.52383246427735</v>
      </c>
      <c r="R3832" t="s">
        <v>78092</v>
      </c>
      <c r="S3832" t="s">
        <v>78093</v>
      </c>
      <c r="T3832" t="s">
        <v>78094</v>
      </c>
      <c r="U3832" t="s">
        <v>78095</v>
      </c>
      <c r="V3832">
        <f>-740.30329730507 -71.4679635188163 -231.049676466116</f>
        <v>-1042.8209372900023</v>
      </c>
      <c r="W3832" t="s">
        <v>78096</v>
      </c>
      <c r="X3832" t="s">
        <v>78097</v>
      </c>
      <c r="Y3832" t="s">
        <v>78098</v>
      </c>
    </row>
    <row r="3833" spans="1:25" x14ac:dyDescent="0.3">
      <c r="A3833">
        <v>191600</v>
      </c>
      <c r="B3833" t="s">
        <v>78099</v>
      </c>
      <c r="C3833" t="s">
        <v>78100</v>
      </c>
      <c r="D3833" t="s">
        <v>78101</v>
      </c>
      <c r="E3833" t="s">
        <v>78102</v>
      </c>
      <c r="F3833" t="s">
        <v>78103</v>
      </c>
      <c r="G3833">
        <f>-760.8332889576 -13.8689246659114 -686.931910140711</f>
        <v>-1461.6341237642223</v>
      </c>
      <c r="H3833">
        <f>-754.460085028848 -47.187665850226 -835.421784596084</f>
        <v>-1637.0695354751579</v>
      </c>
      <c r="I3833">
        <f>-717.062370306968 -70.7539671563236 -927.231482433188</f>
        <v>-1715.0478198964797</v>
      </c>
      <c r="J3833">
        <f>-747.762010485259 -2.76074744258426 -775.97175889693</f>
        <v>-1526.4945168247732</v>
      </c>
      <c r="K3833" t="s">
        <v>78104</v>
      </c>
      <c r="L3833" t="s">
        <v>78105</v>
      </c>
      <c r="M3833" t="s">
        <v>78106</v>
      </c>
      <c r="N3833">
        <f>-766.798047367119 -62.1295615923057 -763.467349643414</f>
        <v>-1592.3949586028386</v>
      </c>
      <c r="O3833">
        <f>-816.932334256442 -188.915233360303 -708.377201443528</f>
        <v>-1714.224769060273</v>
      </c>
      <c r="P3833">
        <f>-770.125206167589 -162.695869050454 -396.435146077134</f>
        <v>-1329.2562212951771</v>
      </c>
      <c r="Q3833">
        <f>-527.010678589898 -81.4790585782064 -352.375947494772</f>
        <v>-960.86568466287645</v>
      </c>
      <c r="R3833" t="s">
        <v>78107</v>
      </c>
      <c r="S3833" t="s">
        <v>78108</v>
      </c>
      <c r="T3833" t="s">
        <v>78109</v>
      </c>
      <c r="U3833" t="s">
        <v>78110</v>
      </c>
      <c r="V3833">
        <f>-740.330028241319 -71.0757302800084 -231.075667424195</f>
        <v>-1042.4814259455225</v>
      </c>
      <c r="W3833" t="s">
        <v>78111</v>
      </c>
      <c r="X3833" t="s">
        <v>78112</v>
      </c>
      <c r="Y3833" t="s">
        <v>78113</v>
      </c>
    </row>
    <row r="3834" spans="1:25" x14ac:dyDescent="0.3">
      <c r="A3834">
        <v>191650</v>
      </c>
      <c r="B3834" t="s">
        <v>78114</v>
      </c>
      <c r="C3834" t="s">
        <v>78115</v>
      </c>
      <c r="D3834" t="s">
        <v>78116</v>
      </c>
      <c r="E3834" t="s">
        <v>78117</v>
      </c>
      <c r="F3834" t="s">
        <v>78118</v>
      </c>
      <c r="G3834">
        <f>-760.423959394506 -13.1373382733254 -686.904204000161</f>
        <v>-1460.4655016679926</v>
      </c>
      <c r="H3834">
        <f>-753.383503567721 -46.60898366987 -835.329600524223</f>
        <v>-1635.3220877618141</v>
      </c>
      <c r="I3834">
        <f>-715.778484332888 -70.1224396494633 -927.068170050216</f>
        <v>-1712.9690940325672</v>
      </c>
      <c r="J3834">
        <f>-747.056347231942 -2.09015180052234 -775.907711442436</f>
        <v>-1525.0542104749004</v>
      </c>
      <c r="K3834" t="s">
        <v>78119</v>
      </c>
      <c r="L3834" t="s">
        <v>78120</v>
      </c>
      <c r="M3834" t="s">
        <v>78121</v>
      </c>
      <c r="N3834">
        <f>-765.941101710147 -61.5075769982197 -763.404224958021</f>
        <v>-1590.8529036663876</v>
      </c>
      <c r="O3834">
        <f>-815.948592656996 -188.333887443479 -708.265832612647</f>
        <v>-1712.548312713122</v>
      </c>
      <c r="P3834">
        <f>-770.305126812984 -161.216920637536 -396.22817651132</f>
        <v>-1327.75022396184</v>
      </c>
      <c r="Q3834">
        <f>-527.338512018629 -80.0220762379274 -351.320467615031</f>
        <v>-958.68105587158743</v>
      </c>
      <c r="R3834" t="s">
        <v>78122</v>
      </c>
      <c r="S3834" t="s">
        <v>78123</v>
      </c>
      <c r="T3834" t="s">
        <v>78124</v>
      </c>
      <c r="U3834" t="s">
        <v>78125</v>
      </c>
      <c r="V3834">
        <f>-740.363966696189 -70.2508920646997 -231.142390484144</f>
        <v>-1041.7572492450327</v>
      </c>
      <c r="W3834" t="s">
        <v>78126</v>
      </c>
      <c r="X3834" t="s">
        <v>78127</v>
      </c>
      <c r="Y3834" t="s">
        <v>78128</v>
      </c>
    </row>
    <row r="3835" spans="1:25" x14ac:dyDescent="0.3">
      <c r="A3835">
        <v>191700</v>
      </c>
      <c r="B3835" t="s">
        <v>78129</v>
      </c>
      <c r="C3835" t="s">
        <v>78130</v>
      </c>
      <c r="D3835" t="s">
        <v>78131</v>
      </c>
      <c r="E3835" t="s">
        <v>78132</v>
      </c>
      <c r="F3835" t="s">
        <v>78133</v>
      </c>
      <c r="G3835">
        <f>-760.357286592888 -12.7355846442638 -686.903390202666</f>
        <v>-1459.9962614398178</v>
      </c>
      <c r="H3835">
        <f>-753.039006167758 -46.2779631728495 -835.299380420383</f>
        <v>-1634.6163497609905</v>
      </c>
      <c r="I3835">
        <f>-715.311385153329 -69.7767331539615 -926.991276387307</f>
        <v>-1712.0793946945973</v>
      </c>
      <c r="J3835">
        <f>-746.86067858444 -1.71957189658224 -775.891339437014</f>
        <v>-1524.4715899180364</v>
      </c>
      <c r="K3835" t="s">
        <v>78134</v>
      </c>
      <c r="L3835" t="s">
        <v>78135</v>
      </c>
      <c r="M3835" t="s">
        <v>78136</v>
      </c>
      <c r="N3835">
        <f>-765.693365982802 -61.1531932761411 -763.386222391919</f>
        <v>-1590.2327816508621</v>
      </c>
      <c r="O3835">
        <f>-815.724509502276 -187.936899668341 -708.213832901454</f>
        <v>-1711.8752420720709</v>
      </c>
      <c r="P3835">
        <f>-771.088793039549 -160.761565502488 -396.0353577197</f>
        <v>-1327.8857162617371</v>
      </c>
      <c r="Q3835">
        <f>-528.049648786614 -79.733963212552 -351.218958114406</f>
        <v>-959.00257011357189</v>
      </c>
      <c r="R3835" t="s">
        <v>78137</v>
      </c>
      <c r="S3835" t="s">
        <v>78138</v>
      </c>
      <c r="T3835" t="s">
        <v>78139</v>
      </c>
      <c r="U3835" t="s">
        <v>78140</v>
      </c>
      <c r="V3835">
        <f>-740.46496090059 -69.8126103797729 -231.175952049483</f>
        <v>-1041.4535233298459</v>
      </c>
      <c r="W3835" t="s">
        <v>78141</v>
      </c>
      <c r="X3835" t="s">
        <v>78142</v>
      </c>
      <c r="Y3835" t="s">
        <v>78143</v>
      </c>
    </row>
    <row r="3836" spans="1:25" x14ac:dyDescent="0.3">
      <c r="A3836">
        <v>191750</v>
      </c>
      <c r="B3836" t="s">
        <v>78144</v>
      </c>
      <c r="C3836" t="s">
        <v>78145</v>
      </c>
      <c r="D3836" t="s">
        <v>78146</v>
      </c>
      <c r="E3836" t="s">
        <v>78147</v>
      </c>
      <c r="F3836" t="s">
        <v>78148</v>
      </c>
      <c r="G3836">
        <f>-760.379359307603 -11.7277068238952 -686.795145615598</f>
        <v>-1458.9022117470963</v>
      </c>
      <c r="H3836">
        <f>-752.650186309028 -45.2594727480734 -835.172641421296</f>
        <v>-1633.0823004783974</v>
      </c>
      <c r="I3836">
        <f>-714.673306915762 -68.7567618662083 -926.761976209134</f>
        <v>-1710.1920449911045</v>
      </c>
      <c r="J3836">
        <f>-746.641167121793 -0.704081361863928 -775.745171221497</f>
        <v>-1523.0904197051541</v>
      </c>
      <c r="K3836" t="s">
        <v>78149</v>
      </c>
      <c r="L3836" t="s">
        <v>78150</v>
      </c>
      <c r="M3836" t="s">
        <v>78151</v>
      </c>
      <c r="N3836">
        <f>-765.499013613678 -60.1412933359261 -763.295290734093</f>
        <v>-1588.9355976836971</v>
      </c>
      <c r="O3836">
        <f>-815.853566751499 -186.877781056129 -708.264990945943</f>
        <v>-1710.9963387535711</v>
      </c>
      <c r="P3836">
        <f>-772.092423116138 -160.013403622263 -395.935836034637</f>
        <v>-1328.0416627730381</v>
      </c>
      <c r="Q3836">
        <f>-529.000977426704 -78.7144240396108 -351.900562538711</f>
        <v>-959.61596400502572</v>
      </c>
      <c r="R3836" t="s">
        <v>78152</v>
      </c>
      <c r="S3836" t="s">
        <v>78153</v>
      </c>
      <c r="T3836" t="s">
        <v>78154</v>
      </c>
      <c r="U3836" t="s">
        <v>78155</v>
      </c>
      <c r="V3836">
        <f>-740.803391335703 -69.0272758688602 -231.157273612347</f>
        <v>-1040.9879408169104</v>
      </c>
      <c r="W3836" t="s">
        <v>78156</v>
      </c>
      <c r="X3836" t="s">
        <v>78157</v>
      </c>
      <c r="Y3836" t="s">
        <v>78158</v>
      </c>
    </row>
    <row r="3837" spans="1:25" x14ac:dyDescent="0.3">
      <c r="A3837">
        <v>191800</v>
      </c>
      <c r="B3837" t="s">
        <v>78159</v>
      </c>
      <c r="C3837" t="s">
        <v>78160</v>
      </c>
      <c r="D3837" t="s">
        <v>78161</v>
      </c>
      <c r="E3837" t="s">
        <v>78162</v>
      </c>
      <c r="F3837" t="s">
        <v>78163</v>
      </c>
      <c r="G3837">
        <f>-760.204829651871 -11.2053225033089 -686.744597769801</f>
        <v>-1458.1547499249809</v>
      </c>
      <c r="H3837">
        <f>-752.243807951897 -44.7236782076834 -835.112928229955</f>
        <v>-1632.0804143895352</v>
      </c>
      <c r="I3837">
        <f>-714.115995960354 -68.23590121252 -926.635818610942</f>
        <v>-1708.9877157838159</v>
      </c>
      <c r="J3837">
        <f>-746.335990502454 -0.171258542413398 -775.673052200888</f>
        <v>-1522.1803012457553</v>
      </c>
      <c r="K3837" t="s">
        <v>78164</v>
      </c>
      <c r="L3837" t="s">
        <v>78165</v>
      </c>
      <c r="M3837" t="s">
        <v>78166</v>
      </c>
      <c r="N3837">
        <f>-765.196713358079 -59.6145223164415 -763.25615674365</f>
        <v>-1588.0673924181706</v>
      </c>
      <c r="O3837">
        <f>-815.734207185929 -186.282183128422 -708.249246437575</f>
        <v>-1710.265636751926</v>
      </c>
      <c r="P3837">
        <f>-772.726107008145 -159.551635270324 -395.804006985627</f>
        <v>-1328.0817492640961</v>
      </c>
      <c r="Q3837">
        <f>-529.484436390844 -78.5111920686177 -352.12321845012</f>
        <v>-960.11884690958175</v>
      </c>
      <c r="R3837" t="s">
        <v>78167</v>
      </c>
      <c r="S3837" t="s">
        <v>78168</v>
      </c>
      <c r="T3837" t="s">
        <v>78169</v>
      </c>
      <c r="U3837" t="s">
        <v>78170</v>
      </c>
      <c r="V3837">
        <f>-740.970402315728 -68.6402540933464 -231.144635795969</f>
        <v>-1040.7552922050434</v>
      </c>
      <c r="W3837" t="s">
        <v>78171</v>
      </c>
      <c r="X3837" t="s">
        <v>78172</v>
      </c>
      <c r="Y3837" t="s">
        <v>78173</v>
      </c>
    </row>
    <row r="3838" spans="1:25" x14ac:dyDescent="0.3">
      <c r="A3838">
        <v>191850</v>
      </c>
      <c r="B3838" t="s">
        <v>78174</v>
      </c>
      <c r="C3838" t="s">
        <v>78175</v>
      </c>
      <c r="D3838" t="s">
        <v>78176</v>
      </c>
      <c r="E3838" t="s">
        <v>78177</v>
      </c>
      <c r="F3838" t="s">
        <v>78178</v>
      </c>
      <c r="G3838">
        <f>-760.058222267399 -10.181117273436 -686.678322769991</f>
        <v>-1456.917662310826</v>
      </c>
      <c r="H3838">
        <f>-751.735482034559 -43.6272345381424 -835.043095441565</f>
        <v>-1630.4058120142663</v>
      </c>
      <c r="I3838">
        <f>-713.379243624105 -67.1290522828117 -926.473177804726</f>
        <v>-1706.9814737116426</v>
      </c>
      <c r="J3838" t="s">
        <v>78179</v>
      </c>
      <c r="K3838" t="s">
        <v>78180</v>
      </c>
      <c r="L3838" t="s">
        <v>78181</v>
      </c>
      <c r="M3838" t="s">
        <v>78182</v>
      </c>
      <c r="N3838">
        <f>-764.908522834811 -58.5398244406895 -763.230761095659</f>
        <v>-1586.6791083711596</v>
      </c>
      <c r="O3838">
        <f>-815.838252369063 -185.150676571949 -708.416429730561</f>
        <v>-1709.4053586715731</v>
      </c>
      <c r="P3838">
        <f>-773.246241774305 -158.992765865037 -395.865697610944</f>
        <v>-1328.1047052502859</v>
      </c>
      <c r="Q3838">
        <f>-529.798906715304 -78.3049271149002 -352.681498052078</f>
        <v>-960.78533188228221</v>
      </c>
      <c r="R3838" t="s">
        <v>78183</v>
      </c>
      <c r="S3838" t="s">
        <v>78184</v>
      </c>
      <c r="T3838" t="s">
        <v>78185</v>
      </c>
      <c r="U3838" t="s">
        <v>78186</v>
      </c>
      <c r="V3838">
        <f>-741.323339601883 -67.9884325443325 -231.136975027785</f>
        <v>-1040.4487471740006</v>
      </c>
      <c r="W3838" t="s">
        <v>78187</v>
      </c>
      <c r="X3838" t="s">
        <v>78188</v>
      </c>
      <c r="Y3838" t="s">
        <v>78189</v>
      </c>
    </row>
    <row r="3839" spans="1:25" x14ac:dyDescent="0.3">
      <c r="A3839">
        <v>191900</v>
      </c>
      <c r="B3839" t="s">
        <v>78190</v>
      </c>
      <c r="C3839" t="s">
        <v>78191</v>
      </c>
      <c r="D3839" t="s">
        <v>78192</v>
      </c>
      <c r="E3839" t="s">
        <v>78193</v>
      </c>
      <c r="F3839" t="s">
        <v>78194</v>
      </c>
      <c r="G3839">
        <f>-759.969882297424 -9.79667075923021 -686.659638579526</f>
        <v>-1456.4261916361802</v>
      </c>
      <c r="H3839">
        <f>-751.570692107955 -43.2292259397366 -835.023137341909</f>
        <v>-1629.8230553896005</v>
      </c>
      <c r="I3839">
        <f>-713.149755883183 -66.7425663847712 -926.422943286567</f>
        <v>-1706.3152655545214</v>
      </c>
      <c r="J3839" t="s">
        <v>78195</v>
      </c>
      <c r="K3839" t="s">
        <v>78196</v>
      </c>
      <c r="L3839" t="s">
        <v>78197</v>
      </c>
      <c r="M3839" t="s">
        <v>78198</v>
      </c>
      <c r="N3839">
        <f>-764.801501597874 -58.1421974185025 -763.22148194021</f>
        <v>-1586.1651809565865</v>
      </c>
      <c r="O3839">
        <f>-815.898345003807 -184.671933409452 -708.45057553467</f>
        <v>-1709.020853947929</v>
      </c>
      <c r="P3839">
        <f>-773.778837665337 -158.738715044321 -395.817245889521</f>
        <v>-1328.3347985991791</v>
      </c>
      <c r="Q3839">
        <f>-530.078224198414 -78.7254023086114 -352.806013590816</f>
        <v>-961.60964009784129</v>
      </c>
      <c r="R3839" t="s">
        <v>78199</v>
      </c>
      <c r="S3839" t="s">
        <v>78200</v>
      </c>
      <c r="T3839" t="s">
        <v>78201</v>
      </c>
      <c r="U3839" t="s">
        <v>78202</v>
      </c>
      <c r="V3839">
        <f>-741.434704959129 -67.7261897154201 -231.126290007</f>
        <v>-1040.2871846815492</v>
      </c>
      <c r="W3839" t="s">
        <v>78203</v>
      </c>
      <c r="X3839" t="s">
        <v>78204</v>
      </c>
      <c r="Y3839" t="s">
        <v>78205</v>
      </c>
    </row>
    <row r="3840" spans="1:25" x14ac:dyDescent="0.3">
      <c r="A3840">
        <v>191950</v>
      </c>
      <c r="B3840" t="s">
        <v>78206</v>
      </c>
      <c r="C3840" t="s">
        <v>78207</v>
      </c>
      <c r="D3840" t="s">
        <v>78208</v>
      </c>
      <c r="E3840" t="s">
        <v>78209</v>
      </c>
      <c r="F3840" t="s">
        <v>78210</v>
      </c>
      <c r="G3840">
        <f>-760.448786559168 -8.93833838981459 -686.586884134196</f>
        <v>-1455.9740090831785</v>
      </c>
      <c r="H3840">
        <f>-751.878362689869 -42.2924611563424 -834.958280934034</f>
        <v>-1629.1291047802454</v>
      </c>
      <c r="I3840">
        <f>-713.358653174963 -65.7661325538347 -926.326707591669</f>
        <v>-1705.4514933204669</v>
      </c>
      <c r="J3840" t="s">
        <v>78211</v>
      </c>
      <c r="K3840" t="s">
        <v>78212</v>
      </c>
      <c r="L3840" t="s">
        <v>78213</v>
      </c>
      <c r="M3840" t="s">
        <v>78214</v>
      </c>
      <c r="N3840">
        <f>-765.237336007956 -57.2299611625526 -763.185514737226</f>
        <v>-1585.6528119077345</v>
      </c>
      <c r="O3840">
        <f>-816.712578770152 -183.728472735171 -708.628183521241</f>
        <v>-1709.069235026564</v>
      </c>
      <c r="P3840">
        <f>-774.791271595692 -158.22146229401 -395.933049653547</f>
        <v>-1328.945783543249</v>
      </c>
      <c r="Q3840">
        <f>-530.755414871154 -79.1780837673073 -353.030079611757</f>
        <v>-962.96357825021823</v>
      </c>
      <c r="R3840" t="s">
        <v>78215</v>
      </c>
      <c r="S3840" t="s">
        <v>78216</v>
      </c>
      <c r="T3840" t="s">
        <v>78217</v>
      </c>
      <c r="U3840" t="s">
        <v>78218</v>
      </c>
      <c r="V3840">
        <f>-742.00211489235 -67.3138062076407 -231.120195923501</f>
        <v>-1040.4361170234918</v>
      </c>
      <c r="W3840" t="s">
        <v>78219</v>
      </c>
      <c r="X3840" t="s">
        <v>78220</v>
      </c>
      <c r="Y3840" t="s">
        <v>78221</v>
      </c>
    </row>
    <row r="3841" spans="1:25" x14ac:dyDescent="0.3">
      <c r="A3841">
        <v>192000</v>
      </c>
      <c r="B3841" t="s">
        <v>78222</v>
      </c>
      <c r="C3841" t="s">
        <v>78223</v>
      </c>
      <c r="D3841" t="s">
        <v>78224</v>
      </c>
      <c r="E3841" t="s">
        <v>78225</v>
      </c>
      <c r="F3841" t="s">
        <v>78226</v>
      </c>
      <c r="G3841">
        <f>-760.854753789078 -8.58827354096798 -686.530539307232</f>
        <v>-1455.9735666372781</v>
      </c>
      <c r="H3841">
        <f>-752.249915118725 -41.9061980388913 -834.9079321222</f>
        <v>-1629.0640452798161</v>
      </c>
      <c r="I3841">
        <f>-713.698654114596 -65.3982690522917 -926.258440555698</f>
        <v>-1705.3553637225857</v>
      </c>
      <c r="J3841" t="s">
        <v>78227</v>
      </c>
      <c r="K3841" t="s">
        <v>78228</v>
      </c>
      <c r="L3841" t="s">
        <v>78229</v>
      </c>
      <c r="M3841" t="s">
        <v>78230</v>
      </c>
      <c r="N3841">
        <f>-765.64287995675 -56.8560516689995 -763.14406199673</f>
        <v>-1585.6429936224795</v>
      </c>
      <c r="O3841">
        <f>-817.329296802591 -183.259897932385 -708.654360613452</f>
        <v>-1709.2435553484279</v>
      </c>
      <c r="P3841">
        <f>-775.737572574458 -157.724726692795 -395.917485934704</f>
        <v>-1329.379785201957</v>
      </c>
      <c r="Q3841">
        <f>-531.461155555773 -79.3328863111662 -353.188577384534</f>
        <v>-963.98261925147324</v>
      </c>
      <c r="R3841" t="s">
        <v>78231</v>
      </c>
      <c r="S3841" t="s">
        <v>78232</v>
      </c>
      <c r="T3841" t="s">
        <v>78233</v>
      </c>
      <c r="U3841" t="s">
        <v>78234</v>
      </c>
      <c r="V3841">
        <f>-742.266832354704 -67.1393423055849 -231.118992703897</f>
        <v>-1040.525167364186</v>
      </c>
      <c r="W3841" t="s">
        <v>78235</v>
      </c>
      <c r="X3841" t="s">
        <v>78236</v>
      </c>
      <c r="Y3841" t="s">
        <v>78237</v>
      </c>
    </row>
    <row r="3842" spans="1:25" x14ac:dyDescent="0.3">
      <c r="A3842">
        <v>192050</v>
      </c>
      <c r="B3842" t="s">
        <v>78238</v>
      </c>
      <c r="C3842" t="s">
        <v>78239</v>
      </c>
      <c r="D3842" t="s">
        <v>78240</v>
      </c>
      <c r="E3842" t="s">
        <v>78241</v>
      </c>
      <c r="F3842" t="s">
        <v>78242</v>
      </c>
      <c r="G3842">
        <f>-761.128777248457 -7.88711428028159 -686.386087731042</f>
        <v>-1455.4019792597805</v>
      </c>
      <c r="H3842">
        <f>-752.300137503564 -41.0600197242777 -834.782904901803</f>
        <v>-1628.1430621296447</v>
      </c>
      <c r="I3842">
        <f>-713.650877924591 -64.5524658383049 -926.091865824884</f>
        <v>-1704.2952095877799</v>
      </c>
      <c r="J3842" t="s">
        <v>78243</v>
      </c>
      <c r="K3842" t="s">
        <v>78244</v>
      </c>
      <c r="L3842" t="s">
        <v>78245</v>
      </c>
      <c r="M3842" t="s">
        <v>78246</v>
      </c>
      <c r="N3842">
        <f>-765.891775267013 -56.0530080333149 -763.065532436095</f>
        <v>-1585.0103157364229</v>
      </c>
      <c r="O3842">
        <f>-818.193829531303 -182.347134505652 -708.825429663825</f>
        <v>-1709.36639370078</v>
      </c>
      <c r="P3842">
        <f>-776.820793406076 -157.201548810032 -396.028272889004</f>
        <v>-1330.050615105112</v>
      </c>
      <c r="Q3842">
        <f>-532.27253008448 -79.9455105548388 -352.788501453984</f>
        <v>-965.00654209330287</v>
      </c>
      <c r="R3842" t="s">
        <v>78247</v>
      </c>
      <c r="S3842" t="s">
        <v>78248</v>
      </c>
      <c r="T3842" t="s">
        <v>78249</v>
      </c>
      <c r="U3842" t="s">
        <v>78250</v>
      </c>
      <c r="V3842">
        <f>-742.796607797861 -66.8974036803327 -231.02086048113</f>
        <v>-1040.7148719593238</v>
      </c>
      <c r="W3842" t="s">
        <v>78251</v>
      </c>
      <c r="X3842" t="s">
        <v>78252</v>
      </c>
      <c r="Y3842" t="s">
        <v>78253</v>
      </c>
    </row>
    <row r="3843" spans="1:25" x14ac:dyDescent="0.3">
      <c r="A3843">
        <v>192100</v>
      </c>
      <c r="B3843" t="s">
        <v>78254</v>
      </c>
      <c r="C3843" t="s">
        <v>78255</v>
      </c>
      <c r="D3843" t="s">
        <v>78256</v>
      </c>
      <c r="E3843" t="s">
        <v>78257</v>
      </c>
      <c r="F3843" t="s">
        <v>78258</v>
      </c>
      <c r="G3843">
        <f>-761.294981945422 -7.59128429348698 -686.279982569722</f>
        <v>-1455.1662488086311</v>
      </c>
      <c r="H3843">
        <f>-752.412623324065 -40.6976187195276 -834.688488094237</f>
        <v>-1627.7987301378294</v>
      </c>
      <c r="I3843">
        <f>-713.725712887413 -64.1987391918967 -925.979248248272</f>
        <v>-1703.9037003275816</v>
      </c>
      <c r="J3843" t="s">
        <v>78259</v>
      </c>
      <c r="K3843" t="s">
        <v>78260</v>
      </c>
      <c r="L3843" t="s">
        <v>78261</v>
      </c>
      <c r="M3843" t="s">
        <v>78262</v>
      </c>
      <c r="N3843">
        <f>-766.083540717986 -55.706699878574 -762.989456423738</f>
        <v>-1584.779697020298</v>
      </c>
      <c r="O3843">
        <f>-818.630687485931 -181.92211025516 -708.850230565318</f>
        <v>-1709.4030283064089</v>
      </c>
      <c r="P3843">
        <f>-777.312181368578 -156.51944262514 -396.0664857198</f>
        <v>-1329.8981097135179</v>
      </c>
      <c r="Q3843">
        <f>-532.637701123365 -79.9885823693389 -352.254320438826</f>
        <v>-964.88060393153</v>
      </c>
      <c r="R3843" t="s">
        <v>78263</v>
      </c>
      <c r="S3843" t="s">
        <v>78264</v>
      </c>
      <c r="T3843" t="s">
        <v>78265</v>
      </c>
      <c r="U3843" t="s">
        <v>78266</v>
      </c>
      <c r="V3843">
        <f>-742.992590082093 -66.7503001787784 -230.942706444925</f>
        <v>-1040.6855967057963</v>
      </c>
      <c r="W3843" t="s">
        <v>78267</v>
      </c>
      <c r="X3843" t="s">
        <v>78268</v>
      </c>
      <c r="Y3843" t="s">
        <v>78269</v>
      </c>
    </row>
    <row r="3844" spans="1:25" x14ac:dyDescent="0.3">
      <c r="A3844">
        <v>192150</v>
      </c>
      <c r="B3844" t="s">
        <v>78270</v>
      </c>
      <c r="C3844" t="s">
        <v>78271</v>
      </c>
      <c r="D3844" t="s">
        <v>78272</v>
      </c>
      <c r="E3844" t="s">
        <v>78273</v>
      </c>
      <c r="F3844" t="s">
        <v>78274</v>
      </c>
      <c r="G3844">
        <f>-761.414248760273 -7.47705288794259 -686.014203704268</f>
        <v>-1454.9055053524835</v>
      </c>
      <c r="H3844">
        <f>-752.432705847268 -40.5633341494313 -834.421166363608</f>
        <v>-1627.4172063603073</v>
      </c>
      <c r="I3844">
        <f>-713.699257980072 -64.0636090286505 -925.692435953113</f>
        <v>-1703.4553029618355</v>
      </c>
      <c r="J3844" t="s">
        <v>78275</v>
      </c>
      <c r="K3844" t="s">
        <v>78276</v>
      </c>
      <c r="L3844" t="s">
        <v>78277</v>
      </c>
      <c r="M3844" t="s">
        <v>78278</v>
      </c>
      <c r="N3844">
        <f>-766.199151233837 -55.5675510725973 -762.739441889699</f>
        <v>-1584.5061441961334</v>
      </c>
      <c r="O3844">
        <f>-819.017831468702 -181.743737865195 -708.748077396574</f>
        <v>-1709.5096467304709</v>
      </c>
      <c r="P3844">
        <f>-778.794583763244 -156.479055401873 -395.810286318848</f>
        <v>-1331.083925483965</v>
      </c>
      <c r="Q3844">
        <f>-533.909135102213 -81.1650186772818 -351.078611200274</f>
        <v>-966.15276497976879</v>
      </c>
      <c r="R3844" t="s">
        <v>78279</v>
      </c>
      <c r="S3844" t="s">
        <v>78280</v>
      </c>
      <c r="T3844" t="s">
        <v>78281</v>
      </c>
      <c r="U3844" t="s">
        <v>78282</v>
      </c>
      <c r="V3844">
        <f>-743.181493874456 -66.8060817623623 -230.799611564894</f>
        <v>-1040.7871872017122</v>
      </c>
      <c r="W3844" t="s">
        <v>78283</v>
      </c>
      <c r="X3844" t="s">
        <v>78284</v>
      </c>
      <c r="Y3844" t="s">
        <v>78285</v>
      </c>
    </row>
    <row r="3845" spans="1:25" x14ac:dyDescent="0.3">
      <c r="A3845">
        <v>192200</v>
      </c>
      <c r="B3845" t="s">
        <v>78286</v>
      </c>
      <c r="C3845" t="s">
        <v>78287</v>
      </c>
      <c r="D3845" t="s">
        <v>78288</v>
      </c>
      <c r="E3845" t="s">
        <v>78289</v>
      </c>
      <c r="F3845" t="s">
        <v>78290</v>
      </c>
      <c r="G3845">
        <f>-761.374707897837 -7.37160703887935 -686.023657677964</f>
        <v>-1454.7699726146802</v>
      </c>
      <c r="H3845">
        <f>-752.435398841132 -40.3212013729324 -834.46375978782</f>
        <v>-1627.2203600018843</v>
      </c>
      <c r="I3845">
        <f>-713.684851101968 -63.7806885850364 -925.738210961239</f>
        <v>-1703.2037506482434</v>
      </c>
      <c r="J3845" t="s">
        <v>78291</v>
      </c>
      <c r="K3845" t="s">
        <v>78292</v>
      </c>
      <c r="L3845" t="s">
        <v>78293</v>
      </c>
      <c r="M3845" t="s">
        <v>78294</v>
      </c>
      <c r="N3845">
        <f>-766.202490671278 -55.3850984519227 -762.794606634581</f>
        <v>-1584.3821957577816</v>
      </c>
      <c r="O3845">
        <f>-819.155906834456 -181.564856685309 -708.953494838106</f>
        <v>-1709.6742583578712</v>
      </c>
      <c r="P3845">
        <f>-779.269153378169 -156.587351437782 -395.949773260531</f>
        <v>-1331.8062780764819</v>
      </c>
      <c r="Q3845">
        <f>-534.363877385 -81.6142260321024 -350.755221562488</f>
        <v>-966.73332497959041</v>
      </c>
      <c r="R3845" t="s">
        <v>78295</v>
      </c>
      <c r="S3845" t="s">
        <v>78296</v>
      </c>
      <c r="T3845" t="s">
        <v>78297</v>
      </c>
      <c r="U3845" t="s">
        <v>78298</v>
      </c>
      <c r="V3845">
        <f>-743.235240247748 -66.9497797425522 -230.768811867621</f>
        <v>-1040.9538318579212</v>
      </c>
      <c r="W3845" t="s">
        <v>78299</v>
      </c>
      <c r="X3845" t="s">
        <v>78300</v>
      </c>
      <c r="Y3845" t="s">
        <v>78301</v>
      </c>
    </row>
    <row r="3846" spans="1:25" x14ac:dyDescent="0.3">
      <c r="A3846">
        <v>192250</v>
      </c>
      <c r="B3846" t="s">
        <v>78302</v>
      </c>
      <c r="C3846" t="s">
        <v>78303</v>
      </c>
      <c r="D3846" t="s">
        <v>78304</v>
      </c>
      <c r="E3846" t="s">
        <v>78305</v>
      </c>
      <c r="F3846" t="s">
        <v>78306</v>
      </c>
      <c r="G3846">
        <f>-761.443377033254 -7.28312191818145 -686.076078404676</f>
        <v>-1454.8025773561114</v>
      </c>
      <c r="H3846">
        <f>-752.631552019613 -40.0987174915699 -834.553239814197</f>
        <v>-1627.2835093253798</v>
      </c>
      <c r="I3846">
        <f>-713.894769160833 -63.5382168664257 -925.838694260085</f>
        <v>-1703.2716802873438</v>
      </c>
      <c r="J3846" t="s">
        <v>78307</v>
      </c>
      <c r="K3846" t="s">
        <v>78308</v>
      </c>
      <c r="L3846" t="s">
        <v>78309</v>
      </c>
      <c r="M3846" t="s">
        <v>78310</v>
      </c>
      <c r="N3846">
        <f>-766.376609040333 -55.2151533961635 -762.89102707387</f>
        <v>-1584.4827895103665</v>
      </c>
      <c r="O3846">
        <f>-819.504845820927 -181.373745060267 -709.173468819358</f>
        <v>-1710.052059700552</v>
      </c>
      <c r="P3846">
        <f>-779.498590341655 -156.258048199525 -396.195990218132</f>
        <v>-1331.9526287593121</v>
      </c>
      <c r="Q3846">
        <f>-534.523440948021 -81.7091439450069 -350.679884860708</f>
        <v>-966.91246975373588</v>
      </c>
      <c r="R3846" t="s">
        <v>78311</v>
      </c>
      <c r="S3846" t="s">
        <v>78312</v>
      </c>
      <c r="T3846" t="s">
        <v>78313</v>
      </c>
      <c r="U3846" t="s">
        <v>78314</v>
      </c>
      <c r="V3846">
        <f>-743.317857184931 -67.048540987251 -230.750746116086</f>
        <v>-1041.117144288268</v>
      </c>
      <c r="W3846" t="s">
        <v>78315</v>
      </c>
      <c r="X3846" t="s">
        <v>78316</v>
      </c>
      <c r="Y3846" t="s">
        <v>78317</v>
      </c>
    </row>
    <row r="3847" spans="1:25" x14ac:dyDescent="0.3">
      <c r="A3847">
        <v>192300</v>
      </c>
      <c r="B3847" t="s">
        <v>78318</v>
      </c>
      <c r="C3847" t="s">
        <v>78319</v>
      </c>
      <c r="D3847" t="s">
        <v>78320</v>
      </c>
      <c r="E3847" t="s">
        <v>78321</v>
      </c>
      <c r="F3847" t="s">
        <v>78322</v>
      </c>
      <c r="G3847">
        <f>-761.384076230313 -7.4208700558861 -686.319394465979</f>
        <v>-1455.1243407521781</v>
      </c>
      <c r="H3847">
        <f>-752.734933858779 -40.158013708985 -834.823576177258</f>
        <v>-1627.716523745022</v>
      </c>
      <c r="I3847">
        <f>-714.109479362335 -63.5944643827697 -926.157019771133</f>
        <v>-1703.8609635162379</v>
      </c>
      <c r="J3847" t="s">
        <v>78323</v>
      </c>
      <c r="K3847" t="s">
        <v>78324</v>
      </c>
      <c r="L3847" t="s">
        <v>78325</v>
      </c>
      <c r="M3847" t="s">
        <v>78326</v>
      </c>
      <c r="N3847">
        <f>-766.49309106972 -55.2839675281784 -763.165927120355</f>
        <v>-1584.9429857182536</v>
      </c>
      <c r="O3847">
        <f>-820.039142841752 -181.318606597918 -709.55641068532</f>
        <v>-1710.9141601249898</v>
      </c>
      <c r="P3847">
        <f>-779.799214125006 -156.851590258659 -396.557577193795</f>
        <v>-1333.2083815774599</v>
      </c>
      <c r="Q3847">
        <f>-534.558285735471 -83.0959125625484 -351.181555047337</f>
        <v>-968.83575334535635</v>
      </c>
      <c r="R3847" t="s">
        <v>78327</v>
      </c>
      <c r="S3847" t="s">
        <v>78328</v>
      </c>
      <c r="T3847" t="s">
        <v>78329</v>
      </c>
      <c r="U3847" t="s">
        <v>78330</v>
      </c>
      <c r="V3847">
        <f>-743.613659288334 -67.1825528489519 -230.801894546456</f>
        <v>-1041.5981066837419</v>
      </c>
      <c r="W3847" t="s">
        <v>78331</v>
      </c>
      <c r="X3847" t="s">
        <v>78332</v>
      </c>
      <c r="Y3847" t="s">
        <v>78333</v>
      </c>
    </row>
    <row r="3848" spans="1:25" x14ac:dyDescent="0.3">
      <c r="A3848">
        <v>192350</v>
      </c>
      <c r="B3848" t="s">
        <v>78334</v>
      </c>
      <c r="C3848" t="s">
        <v>78335</v>
      </c>
      <c r="D3848" t="s">
        <v>78336</v>
      </c>
      <c r="E3848" t="s">
        <v>78337</v>
      </c>
      <c r="F3848" t="s">
        <v>78338</v>
      </c>
      <c r="G3848">
        <f>-761.950993441367 -7.44939432354886 -686.65089255205</f>
        <v>-1456.0512803169659</v>
      </c>
      <c r="H3848">
        <f>-753.556077284031 -40.0335159957428 -835.20319755871</f>
        <v>-1628.7927908384838</v>
      </c>
      <c r="I3848">
        <f>-715.086879040788 -63.5032761243858 -926.594024398326</f>
        <v>-1705.1841795634998</v>
      </c>
      <c r="J3848" t="s">
        <v>78339</v>
      </c>
      <c r="K3848" t="s">
        <v>78340</v>
      </c>
      <c r="L3848" t="s">
        <v>78341</v>
      </c>
      <c r="M3848" t="s">
        <v>78342</v>
      </c>
      <c r="N3848">
        <f>-767.305313029291 -55.1979930946873 -763.551884127745</f>
        <v>-1586.0551902517232</v>
      </c>
      <c r="O3848">
        <f>-821.200749749935 -181.136949397553 -710.072392571023</f>
        <v>-1712.410091718511</v>
      </c>
      <c r="P3848">
        <f>-780.515751473482 -156.800470165488 -397.120868025764</f>
        <v>-1334.4370896647342</v>
      </c>
      <c r="Q3848">
        <f>-534.819577318857 -84.4347644908471 -351.969961517505</f>
        <v>-971.2243033272091</v>
      </c>
      <c r="R3848" t="s">
        <v>78343</v>
      </c>
      <c r="S3848" t="s">
        <v>78344</v>
      </c>
      <c r="T3848" t="s">
        <v>78345</v>
      </c>
      <c r="U3848" t="s">
        <v>78346</v>
      </c>
      <c r="V3848">
        <f>-744.000851880244 -67.3476126970731 -230.979764366274</f>
        <v>-1042.3282289435911</v>
      </c>
      <c r="W3848" t="s">
        <v>78347</v>
      </c>
      <c r="X3848" t="s">
        <v>78348</v>
      </c>
      <c r="Y3848" t="s">
        <v>78349</v>
      </c>
    </row>
    <row r="3849" spans="1:25" x14ac:dyDescent="0.3">
      <c r="A3849">
        <v>192400</v>
      </c>
      <c r="B3849" t="s">
        <v>78350</v>
      </c>
      <c r="C3849" t="s">
        <v>78351</v>
      </c>
      <c r="D3849" t="s">
        <v>78352</v>
      </c>
      <c r="E3849" t="s">
        <v>78353</v>
      </c>
      <c r="F3849" t="s">
        <v>78354</v>
      </c>
      <c r="G3849">
        <f>-762.157008916423 -7.27484940088902 -686.808256567875</f>
        <v>-1456.240114885187</v>
      </c>
      <c r="H3849">
        <f>-753.851985441054 -39.5882824001667 -835.424874826249</f>
        <v>-1628.8651426674696</v>
      </c>
      <c r="I3849">
        <f>-715.456853054704 -63.0155940456316 -926.857646374948</f>
        <v>-1705.3300934752835</v>
      </c>
      <c r="J3849" t="s">
        <v>78355</v>
      </c>
      <c r="K3849" t="s">
        <v>78356</v>
      </c>
      <c r="L3849" t="s">
        <v>78357</v>
      </c>
      <c r="M3849" t="s">
        <v>78358</v>
      </c>
      <c r="N3849">
        <f>-767.637342044575 -54.8582038890554 -763.802836206856</f>
        <v>-1586.2983821404864</v>
      </c>
      <c r="O3849">
        <f>-821.728400049567 -180.785120990158 -710.439472944637</f>
        <v>-1712.9529939843619</v>
      </c>
      <c r="P3849">
        <f>-780.687936223277 -156.823525560731 -397.505512701686</f>
        <v>-1335.0169744856939</v>
      </c>
      <c r="Q3849">
        <f>-534.825763459941 -85.0336799024249 -352.338651169828</f>
        <v>-972.19809453219386</v>
      </c>
      <c r="R3849" t="s">
        <v>78359</v>
      </c>
      <c r="S3849" t="s">
        <v>78360</v>
      </c>
      <c r="T3849" t="s">
        <v>78361</v>
      </c>
      <c r="U3849" t="s">
        <v>78362</v>
      </c>
      <c r="V3849">
        <f>-744.122642700504 -67.4347742239077 -231.064894576026</f>
        <v>-1042.6223115004377</v>
      </c>
      <c r="W3849" t="s">
        <v>78363</v>
      </c>
      <c r="X3849" t="s">
        <v>78364</v>
      </c>
      <c r="Y3849" t="s">
        <v>78365</v>
      </c>
    </row>
    <row r="3850" spans="1:25" x14ac:dyDescent="0.3">
      <c r="A3850">
        <v>192450</v>
      </c>
      <c r="B3850" t="s">
        <v>78366</v>
      </c>
      <c r="C3850" t="s">
        <v>78367</v>
      </c>
      <c r="D3850" t="s">
        <v>78368</v>
      </c>
      <c r="E3850" t="s">
        <v>78369</v>
      </c>
      <c r="F3850" t="s">
        <v>78370</v>
      </c>
      <c r="G3850">
        <f>-762.785165553264 -6.75068179012487 -687.047864145379</f>
        <v>-1456.5837114887679</v>
      </c>
      <c r="H3850">
        <f>-754.449220244797 -38.4742886909023 -835.789558345113</f>
        <v>-1628.7130672808123</v>
      </c>
      <c r="I3850">
        <f>-716.137469848343 -61.7090617489098 -927.306466713223</f>
        <v>-1705.1529983104758</v>
      </c>
      <c r="J3850" t="s">
        <v>78371</v>
      </c>
      <c r="K3850" t="s">
        <v>78372</v>
      </c>
      <c r="L3850" t="s">
        <v>78373</v>
      </c>
      <c r="M3850" t="s">
        <v>78374</v>
      </c>
      <c r="N3850">
        <f>-768.314515094211 -54.0075101045911 -764.239671405086</f>
        <v>-1586.5616966038881</v>
      </c>
      <c r="O3850">
        <f>-822.490758736833 -179.941220931095 -711.030046303797</f>
        <v>-1713.4620259717249</v>
      </c>
      <c r="P3850">
        <f>-781.796130190739 -156.873784457417 -397.983733022177</f>
        <v>-1336.6536476703329</v>
      </c>
      <c r="Q3850">
        <f>-536.051972676702 -84.5376657778127 -353.046620466478</f>
        <v>-973.63625892099265</v>
      </c>
      <c r="R3850" t="s">
        <v>78375</v>
      </c>
      <c r="S3850" t="s">
        <v>78376</v>
      </c>
      <c r="T3850" t="s">
        <v>78377</v>
      </c>
      <c r="U3850" t="s">
        <v>78378</v>
      </c>
      <c r="V3850">
        <f>-744.191287537098 -67.6630675885613 -231.279170338724</f>
        <v>-1043.1335254643832</v>
      </c>
      <c r="W3850" t="s">
        <v>78379</v>
      </c>
      <c r="X3850" t="s">
        <v>78380</v>
      </c>
      <c r="Y3850" t="s">
        <v>78381</v>
      </c>
    </row>
    <row r="3851" spans="1:25" x14ac:dyDescent="0.3">
      <c r="A3851">
        <v>192500</v>
      </c>
      <c r="B3851" t="s">
        <v>78382</v>
      </c>
      <c r="C3851" t="s">
        <v>78383</v>
      </c>
      <c r="D3851" t="s">
        <v>78384</v>
      </c>
      <c r="E3851" t="s">
        <v>78385</v>
      </c>
      <c r="F3851" t="s">
        <v>78386</v>
      </c>
      <c r="G3851">
        <f>-763.163912955907 -6.43882952833951 -687.211708041503</f>
        <v>-1456.8144505257496</v>
      </c>
      <c r="H3851">
        <f>-754.770575216939 -37.8394264610108 -836.018763307096</f>
        <v>-1628.628764985046</v>
      </c>
      <c r="I3851">
        <f>-716.449263461923 -60.8756188955099 -927.581906433291</f>
        <v>-1704.906788790724</v>
      </c>
      <c r="J3851" t="s">
        <v>78387</v>
      </c>
      <c r="K3851" t="s">
        <v>78388</v>
      </c>
      <c r="L3851" t="s">
        <v>78389</v>
      </c>
      <c r="M3851" t="s">
        <v>78390</v>
      </c>
      <c r="N3851">
        <f>-768.6106479127 -53.5448223793551 -764.501597974022</f>
        <v>-1586.6570682660772</v>
      </c>
      <c r="O3851">
        <f>-822.544510104934 -179.641248160801 -711.442965259931</f>
        <v>-1713.6287235256661</v>
      </c>
      <c r="P3851">
        <f>-782.495854910162 -156.418803861443 -398.3248375283</f>
        <v>-1337.2394962999051</v>
      </c>
      <c r="Q3851">
        <f>-536.949323575278 -83.4489903644717 -353.331655479489</f>
        <v>-973.72996941923861</v>
      </c>
      <c r="R3851" t="s">
        <v>78391</v>
      </c>
      <c r="S3851" t="s">
        <v>78392</v>
      </c>
      <c r="T3851" t="s">
        <v>78393</v>
      </c>
      <c r="U3851" t="s">
        <v>78394</v>
      </c>
      <c r="V3851">
        <f>-744.189786247342 -67.7745321243724 -231.455008375494</f>
        <v>-1043.4193267472083</v>
      </c>
      <c r="W3851" t="s">
        <v>78395</v>
      </c>
      <c r="X3851" t="s">
        <v>78396</v>
      </c>
      <c r="Y3851" t="s">
        <v>78397</v>
      </c>
    </row>
    <row r="3852" spans="1:25" x14ac:dyDescent="0.3">
      <c r="A3852">
        <v>192550</v>
      </c>
      <c r="B3852" t="s">
        <v>78398</v>
      </c>
      <c r="C3852" t="s">
        <v>78399</v>
      </c>
      <c r="D3852" t="s">
        <v>78400</v>
      </c>
      <c r="E3852" t="s">
        <v>78401</v>
      </c>
      <c r="F3852" t="s">
        <v>78402</v>
      </c>
      <c r="G3852">
        <f>-764.147718835474 -5.44933118358699 -687.59674331231</f>
        <v>-1457.1937933313711</v>
      </c>
      <c r="H3852">
        <f>-755.583107483918 -36.0847991173991 -836.553575296043</f>
        <v>-1628.2214818973603</v>
      </c>
      <c r="I3852">
        <f>-717.120496113169 -58.7471568407191 -928.150575258818</f>
        <v>-1704.0182282127062</v>
      </c>
      <c r="J3852" t="s">
        <v>78403</v>
      </c>
      <c r="K3852" t="s">
        <v>78404</v>
      </c>
      <c r="L3852" t="s">
        <v>78405</v>
      </c>
      <c r="M3852" t="s">
        <v>78406</v>
      </c>
      <c r="N3852">
        <f>-769.384699244422 -52.1955277115446 -765.11912884312</f>
        <v>-1586.6993557990868</v>
      </c>
      <c r="O3852">
        <f>-822.840724168908 -178.706949509375 -712.552243361396</f>
        <v>-1714.099917039679</v>
      </c>
      <c r="P3852">
        <f>-784.27281663901 -155.438468702729 -399.251665018342</f>
        <v>-1338.9629503600809</v>
      </c>
      <c r="Q3852">
        <f>-539.339197594637 -80.9222216552782 -353.459625457081</f>
        <v>-973.72104470699628</v>
      </c>
      <c r="R3852" t="s">
        <v>78407</v>
      </c>
      <c r="S3852" t="s">
        <v>78408</v>
      </c>
      <c r="T3852" t="s">
        <v>78409</v>
      </c>
      <c r="U3852" t="s">
        <v>78410</v>
      </c>
      <c r="V3852">
        <f>-744.129395671062 -68.1699136243512 -231.984696993092</f>
        <v>-1044.2840062885052</v>
      </c>
      <c r="W3852" t="s">
        <v>78411</v>
      </c>
      <c r="X3852" t="s">
        <v>78412</v>
      </c>
      <c r="Y3852" t="s">
        <v>78413</v>
      </c>
    </row>
    <row r="3853" spans="1:25" x14ac:dyDescent="0.3">
      <c r="A3853">
        <v>192600</v>
      </c>
      <c r="B3853" t="s">
        <v>78414</v>
      </c>
      <c r="C3853" t="s">
        <v>78415</v>
      </c>
      <c r="D3853" t="s">
        <v>78416</v>
      </c>
      <c r="E3853" t="s">
        <v>78417</v>
      </c>
      <c r="F3853" t="s">
        <v>78418</v>
      </c>
      <c r="G3853">
        <f>-764.542154303742 -4.45117869608998 -687.810515130983</f>
        <v>-1456.8038481308149</v>
      </c>
      <c r="H3853">
        <f>-755.814911783894 -34.5479130995689 -836.867554176684</f>
        <v>-1627.2303790601468</v>
      </c>
      <c r="I3853">
        <f>-717.219786324787 -57.0449293059021 -928.449762078839</f>
        <v>-1702.7144777095282</v>
      </c>
      <c r="J3853" t="s">
        <v>78419</v>
      </c>
      <c r="K3853" t="s">
        <v>78420</v>
      </c>
      <c r="L3853" t="s">
        <v>78421</v>
      </c>
      <c r="M3853" t="s">
        <v>78422</v>
      </c>
      <c r="N3853">
        <f>-769.625742258987 -50.9384747737381 -765.498651346911</f>
        <v>-1586.062868379636</v>
      </c>
      <c r="O3853">
        <f>-822.785223601596 -177.688841490161 -713.226841456309</f>
        <v>-1713.7009065480661</v>
      </c>
      <c r="P3853">
        <f>-784.81803510521 -154.908406966802 -399.816994990457</f>
        <v>-1339.5434370624689</v>
      </c>
      <c r="Q3853">
        <f>-540.225524569134 -79.6967703024573 -353.343965039663</f>
        <v>-973.26625991125422</v>
      </c>
      <c r="R3853" t="s">
        <v>78423</v>
      </c>
      <c r="S3853" t="s">
        <v>78424</v>
      </c>
      <c r="T3853" t="s">
        <v>78425</v>
      </c>
      <c r="U3853" t="s">
        <v>78426</v>
      </c>
      <c r="V3853">
        <f>-744.14172594965 -68.1520284868789 -232.196687069018</f>
        <v>-1044.4904415055469</v>
      </c>
      <c r="W3853" t="s">
        <v>78427</v>
      </c>
      <c r="X3853" t="s">
        <v>78428</v>
      </c>
      <c r="Y3853" t="s">
        <v>78429</v>
      </c>
    </row>
    <row r="3854" spans="1:25" x14ac:dyDescent="0.3">
      <c r="A3854">
        <v>192650</v>
      </c>
      <c r="B3854" t="s">
        <v>78430</v>
      </c>
      <c r="C3854" t="s">
        <v>78431</v>
      </c>
      <c r="D3854" t="s">
        <v>78432</v>
      </c>
      <c r="E3854" t="s">
        <v>78433</v>
      </c>
      <c r="F3854" t="s">
        <v>78434</v>
      </c>
      <c r="G3854">
        <f>-765.291818176853 -2.31387544512745 -688.471593968815</f>
        <v>-1456.0772875907955</v>
      </c>
      <c r="H3854">
        <f>-756.514178176433 -31.5065945986248 -837.705433845026</f>
        <v>-1625.7262066200838</v>
      </c>
      <c r="I3854">
        <f>-717.624451040004 -53.8959957561067 -929.189255944956</f>
        <v>-1700.7097027410668</v>
      </c>
      <c r="J3854" t="s">
        <v>78435</v>
      </c>
      <c r="K3854" t="s">
        <v>78436</v>
      </c>
      <c r="L3854" t="s">
        <v>78437</v>
      </c>
      <c r="M3854" t="s">
        <v>78438</v>
      </c>
      <c r="N3854">
        <f>-770.296420311743 -48.345879783617 -766.435439044476</f>
        <v>-1585.077739139836</v>
      </c>
      <c r="O3854">
        <f>-823.194388261621 -175.457731850185 -714.780957277772</f>
        <v>-1713.4330773895781</v>
      </c>
      <c r="P3854">
        <f>-786.651488926262 -153.538802690007 -401.140498415947</f>
        <v>-1341.3307900322159</v>
      </c>
      <c r="Q3854">
        <f>-542.800388470008 -76.5359330465749 -353.713827313276</f>
        <v>-973.05014882985893</v>
      </c>
      <c r="R3854" t="s">
        <v>78439</v>
      </c>
      <c r="S3854" t="s">
        <v>78440</v>
      </c>
      <c r="T3854" t="s">
        <v>78441</v>
      </c>
      <c r="U3854" t="s">
        <v>78442</v>
      </c>
      <c r="V3854">
        <f>-744.211124558478 -68.0742669487313 -232.959426140204</f>
        <v>-1045.2448176474134</v>
      </c>
      <c r="W3854" t="s">
        <v>78443</v>
      </c>
      <c r="X3854" t="s">
        <v>78444</v>
      </c>
      <c r="Y3854" t="s">
        <v>78445</v>
      </c>
    </row>
    <row r="3855" spans="1:25" x14ac:dyDescent="0.3">
      <c r="A3855">
        <v>192700</v>
      </c>
      <c r="B3855" t="s">
        <v>78446</v>
      </c>
      <c r="C3855" t="s">
        <v>78447</v>
      </c>
      <c r="D3855" t="s">
        <v>78448</v>
      </c>
      <c r="E3855" t="s">
        <v>78449</v>
      </c>
      <c r="F3855" t="s">
        <v>78450</v>
      </c>
      <c r="G3855">
        <f>-765.271793951127 -1.67701788517047 -689.35337209285</f>
        <v>-1456.3021839291475</v>
      </c>
      <c r="H3855">
        <f>-756.530881715177 -30.4800514842839 -838.665084954612</f>
        <v>-1625.6760181540728</v>
      </c>
      <c r="I3855">
        <f>-717.563980072008 -52.9275961611838 -930.101800572573</f>
        <v>-1700.5933768057648</v>
      </c>
      <c r="J3855" t="s">
        <v>78451</v>
      </c>
      <c r="K3855" t="s">
        <v>78452</v>
      </c>
      <c r="L3855" t="s">
        <v>78453</v>
      </c>
      <c r="M3855" t="s">
        <v>78454</v>
      </c>
      <c r="N3855">
        <f>-770.342712124052 -47.4907079354457 -767.441555346002</f>
        <v>-1585.2749754054998</v>
      </c>
      <c r="O3855">
        <f>-823.421800770901 -174.624967621984 -716.061336600496</f>
        <v>-1714.1081049933809</v>
      </c>
      <c r="P3855">
        <f>-787.317919731984 -153.578304274489 -402.310201636091</f>
        <v>-1343.206425642564</v>
      </c>
      <c r="Q3855">
        <f>-543.773778553074 -75.8102145262169 -354.556464588557</f>
        <v>-974.14045766784784</v>
      </c>
      <c r="R3855" t="s">
        <v>78455</v>
      </c>
      <c r="S3855" t="s">
        <v>78456</v>
      </c>
      <c r="T3855" t="s">
        <v>78457</v>
      </c>
      <c r="U3855" t="s">
        <v>78458</v>
      </c>
      <c r="V3855">
        <f>-744.287880646617 -68.7338836404631 -234.125920816455</f>
        <v>-1047.1476851035352</v>
      </c>
      <c r="W3855" t="s">
        <v>78459</v>
      </c>
      <c r="X3855" t="s">
        <v>78460</v>
      </c>
      <c r="Y3855" t="s">
        <v>78461</v>
      </c>
    </row>
    <row r="3856" spans="1:25" x14ac:dyDescent="0.3">
      <c r="A3856">
        <v>192750</v>
      </c>
      <c r="B3856" t="s">
        <v>78462</v>
      </c>
      <c r="C3856" t="s">
        <v>78463</v>
      </c>
      <c r="D3856" t="s">
        <v>78464</v>
      </c>
      <c r="E3856" t="s">
        <v>78465</v>
      </c>
      <c r="F3856" t="s">
        <v>78466</v>
      </c>
      <c r="G3856">
        <f>-765.069109075991 -1.03214323181032 -691.776323903936</f>
        <v>-1457.8775762117375</v>
      </c>
      <c r="H3856">
        <f>-756.383981310705 -29.4689744990756 -841.161493875298</f>
        <v>-1627.0144496850785</v>
      </c>
      <c r="I3856">
        <f>-717.34736182633 -52.3536291573025 -932.460096216517</f>
        <v>-1702.1610872001495</v>
      </c>
      <c r="J3856" t="s">
        <v>78467</v>
      </c>
      <c r="K3856" t="s">
        <v>78468</v>
      </c>
      <c r="L3856" t="s">
        <v>78469</v>
      </c>
      <c r="M3856" t="s">
        <v>78470</v>
      </c>
      <c r="N3856">
        <f>-770.433869044711 -46.569833957552 -770.0062507468</f>
        <v>-1587.0099537490628</v>
      </c>
      <c r="O3856">
        <f>-824.678983109113 -173.322588121621 -718.940007710837</f>
        <v>-1716.9415789415712</v>
      </c>
      <c r="P3856">
        <f>-788.554638645864 -153.268839357313 -405.126250582862</f>
        <v>-1346.9497285860389</v>
      </c>
      <c r="Q3856">
        <f>-545.13317846658 -75.4718430193354 -356.797368969229</f>
        <v>-977.40239045514454</v>
      </c>
      <c r="R3856" t="s">
        <v>78471</v>
      </c>
      <c r="S3856" t="s">
        <v>78472</v>
      </c>
      <c r="T3856" t="s">
        <v>78473</v>
      </c>
      <c r="U3856" t="s">
        <v>78474</v>
      </c>
      <c r="V3856">
        <f>-744.951289784403 -70.007340107649 -236.778697532514</f>
        <v>-1051.737327424566</v>
      </c>
      <c r="W3856" t="s">
        <v>78475</v>
      </c>
      <c r="X3856" t="s">
        <v>78476</v>
      </c>
      <c r="Y3856" t="s">
        <v>78477</v>
      </c>
    </row>
    <row r="3857" spans="1:25" x14ac:dyDescent="0.3">
      <c r="A3857">
        <v>192800</v>
      </c>
      <c r="B3857" t="s">
        <v>78478</v>
      </c>
      <c r="C3857" t="s">
        <v>78479</v>
      </c>
      <c r="D3857" t="s">
        <v>78480</v>
      </c>
      <c r="E3857" t="s">
        <v>78481</v>
      </c>
      <c r="F3857" t="s">
        <v>78482</v>
      </c>
      <c r="G3857">
        <f>-764.491227494507 -0.842974879319399 -692.847982705352</f>
        <v>-1458.1821850791785</v>
      </c>
      <c r="H3857">
        <f>-755.850165912891 -29.4729576824388 -842.198795973369</f>
        <v>-1627.5219195686989</v>
      </c>
      <c r="I3857">
        <f>-716.875102880144 -52.8916395370245 -933.388131105211</f>
        <v>-1703.1548735223796</v>
      </c>
      <c r="J3857" t="s">
        <v>78483</v>
      </c>
      <c r="K3857" t="s">
        <v>78484</v>
      </c>
      <c r="L3857" t="s">
        <v>78485</v>
      </c>
      <c r="M3857" t="s">
        <v>78486</v>
      </c>
      <c r="N3857">
        <f>-770.126387548165 -46.4006348158757 -771.047080628358</f>
        <v>-1587.5741029923988</v>
      </c>
      <c r="O3857">
        <f>-825.452412432843 -172.672095192892 -719.904356513656</f>
        <v>-1718.0288641393909</v>
      </c>
      <c r="P3857">
        <f>-789.117329464752 -153.15567281084 -406.081058173052</f>
        <v>-1348.3540604486438</v>
      </c>
      <c r="Q3857">
        <f>-545.557366666065 -75.9066886594933 -357.571118201352</f>
        <v>-979.03517352691028</v>
      </c>
      <c r="R3857" t="s">
        <v>78487</v>
      </c>
      <c r="S3857" t="s">
        <v>78488</v>
      </c>
      <c r="T3857" t="s">
        <v>78489</v>
      </c>
      <c r="U3857" t="s">
        <v>78490</v>
      </c>
      <c r="V3857">
        <f>-745.433676867925 -70.0397428910942 -237.851761914578</f>
        <v>-1053.3251816735972</v>
      </c>
      <c r="W3857" t="s">
        <v>78491</v>
      </c>
      <c r="X3857" t="s">
        <v>78492</v>
      </c>
      <c r="Y3857" t="s">
        <v>78493</v>
      </c>
    </row>
    <row r="3858" spans="1:25" x14ac:dyDescent="0.3">
      <c r="A3858">
        <v>192850</v>
      </c>
      <c r="B3858" t="s">
        <v>78494</v>
      </c>
      <c r="C3858" t="s">
        <v>78495</v>
      </c>
      <c r="D3858" t="s">
        <v>78496</v>
      </c>
      <c r="E3858" t="s">
        <v>78497</v>
      </c>
      <c r="F3858" t="s">
        <v>78498</v>
      </c>
      <c r="G3858">
        <f>-762.84053812612 -0.170223458951341 -694.490036042346</f>
        <v>-1457.5007976274173</v>
      </c>
      <c r="H3858">
        <f>-754.358460392819 -29.6347999035397 -843.687484799854</f>
        <v>-1627.6807450962128</v>
      </c>
      <c r="I3858">
        <f>-715.607352170888 -54.6254164376771 -934.554490582878</f>
        <v>-1704.7872591914431</v>
      </c>
      <c r="J3858" t="s">
        <v>78499</v>
      </c>
      <c r="K3858" t="s">
        <v>78500</v>
      </c>
      <c r="L3858" t="s">
        <v>78501</v>
      </c>
      <c r="M3858" t="s">
        <v>78502</v>
      </c>
      <c r="N3858">
        <f>-769.128836071072 -45.9693576548059 -772.498038028919</f>
        <v>-1587.5962317547969</v>
      </c>
      <c r="O3858">
        <f>-826.980772012786 -170.83151845324 -720.680287420858</f>
        <v>-1718.4925778868842</v>
      </c>
      <c r="P3858">
        <f>-790.03305569344 -152.101044250273 -406.880713163053</f>
        <v>-1349.0148131067658</v>
      </c>
      <c r="Q3858">
        <f>-545.868092253849 -77.163061534668 -357.790568801027</f>
        <v>-980.82172258954404</v>
      </c>
      <c r="R3858" t="s">
        <v>78503</v>
      </c>
      <c r="S3858" t="s">
        <v>78504</v>
      </c>
      <c r="T3858" t="s">
        <v>78505</v>
      </c>
      <c r="U3858" t="s">
        <v>78506</v>
      </c>
      <c r="V3858">
        <f>-746.518444166725 -68.7649261900226 -239.180785155193</f>
        <v>-1054.4641555119406</v>
      </c>
      <c r="W3858" t="s">
        <v>78507</v>
      </c>
      <c r="X3858" t="s">
        <v>78508</v>
      </c>
      <c r="Y3858" t="s">
        <v>78509</v>
      </c>
    </row>
    <row r="3859" spans="1:25" x14ac:dyDescent="0.3">
      <c r="A3859">
        <v>192900</v>
      </c>
      <c r="B3859" t="s">
        <v>78510</v>
      </c>
      <c r="C3859" t="s">
        <v>78511</v>
      </c>
      <c r="D3859" t="s">
        <v>78512</v>
      </c>
      <c r="E3859" t="s">
        <v>78513</v>
      </c>
      <c r="F3859" t="s">
        <v>78514</v>
      </c>
      <c r="G3859">
        <f>-762.027045401789 -0.16807635615578 -694.932219314164</f>
        <v>-1457.1273410721087</v>
      </c>
      <c r="H3859">
        <f>-753.714411599682 -30.4263956734756 -843.98023420862</f>
        <v>-1628.1210414817774</v>
      </c>
      <c r="I3859">
        <f>-715.17745752359 -56.6241900018249 -934.597936187593</f>
        <v>-1706.3995837130078</v>
      </c>
      <c r="J3859" t="s">
        <v>78515</v>
      </c>
      <c r="K3859" t="s">
        <v>78516</v>
      </c>
      <c r="L3859" t="s">
        <v>78517</v>
      </c>
      <c r="M3859" t="s">
        <v>78518</v>
      </c>
      <c r="N3859">
        <f>-768.683027729557 -46.282039615895 -772.723953608424</f>
        <v>-1587.689020953876</v>
      </c>
      <c r="O3859">
        <f>-827.767244235655 -170.345470482327 -720.35665293359</f>
        <v>-1718.4693676515719</v>
      </c>
      <c r="P3859">
        <f>-790.992680610497 -151.688370179637 -406.532253891597</f>
        <v>-1349.213304681731</v>
      </c>
      <c r="Q3859">
        <f>-546.534075287337 -77.852191956772 -357.234381293836</f>
        <v>-981.62064853794504</v>
      </c>
      <c r="R3859" t="s">
        <v>78519</v>
      </c>
      <c r="S3859" t="s">
        <v>78520</v>
      </c>
      <c r="T3859" t="s">
        <v>78521</v>
      </c>
      <c r="U3859" t="s">
        <v>78522</v>
      </c>
      <c r="V3859">
        <f>-747.159834064222 -67.6367564476891 -239.556489969772</f>
        <v>-1054.353080481683</v>
      </c>
      <c r="W3859" t="s">
        <v>78523</v>
      </c>
      <c r="X3859" t="s">
        <v>78524</v>
      </c>
      <c r="Y3859" t="s">
        <v>78525</v>
      </c>
    </row>
    <row r="3860" spans="1:25" x14ac:dyDescent="0.3">
      <c r="A3860">
        <v>192950</v>
      </c>
      <c r="B3860" t="s">
        <v>78526</v>
      </c>
      <c r="C3860" t="s">
        <v>78527</v>
      </c>
      <c r="D3860" t="s">
        <v>78528</v>
      </c>
      <c r="E3860" t="s">
        <v>78529</v>
      </c>
      <c r="F3860" t="s">
        <v>78530</v>
      </c>
      <c r="G3860">
        <f>-760.073081092077 -2.04687489897333 -695.07180178441</f>
        <v>-1457.1917577754602</v>
      </c>
      <c r="H3860">
        <f>-752.016812365757 -35.1804443249403 -843.521275342698</f>
        <v>-1630.7185320333951</v>
      </c>
      <c r="I3860">
        <f>-713.993089904293 -64.7240748027509 -933.323138541476</f>
        <v>-1712.0403032485201</v>
      </c>
      <c r="J3860" t="s">
        <v>78531</v>
      </c>
      <c r="K3860" t="s">
        <v>78532</v>
      </c>
      <c r="L3860" t="s">
        <v>78533</v>
      </c>
      <c r="M3860" t="s">
        <v>78534</v>
      </c>
      <c r="N3860">
        <f>-767.497150364283 -49.4194529227295 -772.033298004837</f>
        <v>-1588.9499012918495</v>
      </c>
      <c r="O3860">
        <f>-829.286812305796 -171.31676718519 -717.811540190559</f>
        <v>-1718.4151196815451</v>
      </c>
      <c r="P3860">
        <f>-792.841390685438 -150.373205901392 -404.093036971989</f>
        <v>-1347.3076335588189</v>
      </c>
      <c r="Q3860">
        <f>-547.612958809197 -78.6603432650975 -355.489265324679</f>
        <v>-981.76256739897349</v>
      </c>
      <c r="R3860" t="s">
        <v>78535</v>
      </c>
      <c r="S3860" t="s">
        <v>78536</v>
      </c>
      <c r="T3860" t="s">
        <v>78537</v>
      </c>
      <c r="U3860" t="s">
        <v>78538</v>
      </c>
      <c r="V3860">
        <f>-748.023173525895 -64.6430021044987 -239.972303794303</f>
        <v>-1052.6384794246967</v>
      </c>
      <c r="W3860" t="s">
        <v>78539</v>
      </c>
      <c r="X3860" t="s">
        <v>78540</v>
      </c>
      <c r="Y3860" t="s">
        <v>78541</v>
      </c>
    </row>
    <row r="3861" spans="1:25" x14ac:dyDescent="0.3">
      <c r="A3861">
        <v>193000</v>
      </c>
      <c r="B3861" t="s">
        <v>78542</v>
      </c>
      <c r="C3861" t="s">
        <v>78543</v>
      </c>
      <c r="D3861" t="s">
        <v>78544</v>
      </c>
      <c r="E3861" t="s">
        <v>78545</v>
      </c>
      <c r="F3861" t="s">
        <v>78546</v>
      </c>
      <c r="G3861">
        <f>-759.333063790242 -4.07549489417215 -694.921557053015</f>
        <v>-1458.3301157374292</v>
      </c>
      <c r="H3861">
        <f>-751.531672473027 -39.3296748209061 -842.895550747611</f>
        <v>-1633.756898041544</v>
      </c>
      <c r="I3861">
        <f>-713.809854121064 -70.8576789850761 -932.148108738196</f>
        <v>-1716.8156418443359</v>
      </c>
      <c r="J3861" t="s">
        <v>78547</v>
      </c>
      <c r="K3861" t="s">
        <v>78548</v>
      </c>
      <c r="L3861" t="s">
        <v>78549</v>
      </c>
      <c r="M3861" t="s">
        <v>78550</v>
      </c>
      <c r="N3861">
        <f>-767.240110991676 -52.4075224467972 -771.235758550189</f>
        <v>-1590.8833919886622</v>
      </c>
      <c r="O3861">
        <f>-830.364081786739 -172.923823903383 -715.44071466579</f>
        <v>-1718.728620355912</v>
      </c>
      <c r="P3861">
        <f>-793.385405477633 -149.323969228755 -401.973201038497</f>
        <v>-1344.6825757448851</v>
      </c>
      <c r="Q3861">
        <f>-547.558095898174 -79.0497037303883 -354.302995582551</f>
        <v>-980.91079521111328</v>
      </c>
      <c r="R3861" t="s">
        <v>78551</v>
      </c>
      <c r="S3861" t="s">
        <v>78552</v>
      </c>
      <c r="T3861" t="s">
        <v>78553</v>
      </c>
      <c r="U3861" t="s">
        <v>78554</v>
      </c>
      <c r="V3861">
        <f>-748.169561064544 -62.8309956735325 -240.047833710733</f>
        <v>-1051.0483904488094</v>
      </c>
      <c r="W3861" t="s">
        <v>78555</v>
      </c>
      <c r="X3861" t="s">
        <v>78556</v>
      </c>
      <c r="Y3861" t="s">
        <v>78557</v>
      </c>
    </row>
    <row r="3862" spans="1:25" x14ac:dyDescent="0.3">
      <c r="A3862">
        <v>193050</v>
      </c>
      <c r="B3862" t="s">
        <v>78558</v>
      </c>
      <c r="C3862" t="s">
        <v>78559</v>
      </c>
      <c r="D3862" t="s">
        <v>78560</v>
      </c>
      <c r="E3862" t="s">
        <v>78561</v>
      </c>
      <c r="F3862" t="s">
        <v>78562</v>
      </c>
      <c r="G3862">
        <f>-758.347330530173 -8.67397122675743 -694.005579313937</f>
        <v>-1461.0268810708676</v>
      </c>
      <c r="H3862">
        <f>-750.991833427488 -48.8576953224717 -840.740721989333</f>
        <v>-1640.5902507392927</v>
      </c>
      <c r="I3862">
        <f>-713.938078234 -84.471845526574 -928.727179615989</f>
        <v>-1727.1371033765631</v>
      </c>
      <c r="J3862">
        <f>-741.325865152149 -2.90061719430241 -782.883512958502</f>
        <v>-1527.1099953049534</v>
      </c>
      <c r="K3862" t="s">
        <v>78563</v>
      </c>
      <c r="L3862" t="s">
        <v>78564</v>
      </c>
      <c r="M3862" t="s">
        <v>78565</v>
      </c>
      <c r="N3862">
        <f>-767.166958690751 -59.2546682648904 -768.746297645473</f>
        <v>-1595.1679246011145</v>
      </c>
      <c r="O3862">
        <f>-832.791527574659 -176.730600471785 -709.412439264292</f>
        <v>-1718.9345673107359</v>
      </c>
      <c r="P3862">
        <f>-795.502434238484 -147.509070372587 -396.45588791866</f>
        <v>-1339.4673925297311</v>
      </c>
      <c r="Q3862">
        <f>-548.39973663233 -79.8834438783185 -351.632935998223</f>
        <v>-979.91611650887148</v>
      </c>
      <c r="R3862" t="s">
        <v>78566</v>
      </c>
      <c r="S3862" t="s">
        <v>78567</v>
      </c>
      <c r="T3862" t="s">
        <v>78568</v>
      </c>
      <c r="U3862" t="s">
        <v>78569</v>
      </c>
      <c r="V3862">
        <f>-748.333849461626 -58.5824245958268 -239.762039039621</f>
        <v>-1046.6783130970737</v>
      </c>
      <c r="W3862" t="s">
        <v>78570</v>
      </c>
      <c r="X3862" t="s">
        <v>78571</v>
      </c>
      <c r="Y3862" t="s">
        <v>78572</v>
      </c>
    </row>
    <row r="3863" spans="1:25" x14ac:dyDescent="0.3">
      <c r="A3863">
        <v>193100</v>
      </c>
      <c r="B3863" t="s">
        <v>78573</v>
      </c>
      <c r="C3863" t="s">
        <v>78574</v>
      </c>
      <c r="D3863" t="s">
        <v>78575</v>
      </c>
      <c r="E3863" t="s">
        <v>78576</v>
      </c>
      <c r="F3863" t="s">
        <v>78577</v>
      </c>
      <c r="G3863">
        <f>-757.900562079039 -10.4854387788675 -693.256099753966</f>
        <v>-1461.6421006118726</v>
      </c>
      <c r="H3863">
        <f>-750.791561080264 -52.9818253851342 -839.350210067357</f>
        <v>-1643.1235965327553</v>
      </c>
      <c r="I3863">
        <f>-714.069237572771 -90.489607882904 -926.686524648978</f>
        <v>-1731.2453701046529</v>
      </c>
      <c r="J3863">
        <f>-740.756235546828 -6.23127563621051 -782.196174431125</f>
        <v>-1529.1836856141636</v>
      </c>
      <c r="K3863" t="s">
        <v>78578</v>
      </c>
      <c r="L3863" t="s">
        <v>78579</v>
      </c>
      <c r="M3863" t="s">
        <v>78580</v>
      </c>
      <c r="N3863">
        <f>-767.117919490445 -62.1257116002894 -767.220179287659</f>
        <v>-1596.4638103783934</v>
      </c>
      <c r="O3863">
        <f>-833.636631445125 -178.303125532523 -706.27716243926</f>
        <v>-1718.216919416908</v>
      </c>
      <c r="P3863">
        <f>-796.648253232026 -146.22748067396 -393.564516512016</f>
        <v>-1336.4402504180021</v>
      </c>
      <c r="Q3863">
        <f>-549.044544058531 -79.3653291540525 -350.391833613333</f>
        <v>-978.80170682591643</v>
      </c>
      <c r="R3863" t="s">
        <v>78581</v>
      </c>
      <c r="S3863" t="s">
        <v>78582</v>
      </c>
      <c r="T3863" t="s">
        <v>78583</v>
      </c>
      <c r="U3863" t="s">
        <v>78584</v>
      </c>
      <c r="V3863">
        <f>-748.054080291739 -56.1654148551156 -239.316070185266</f>
        <v>-1043.5355653321205</v>
      </c>
      <c r="W3863" t="s">
        <v>78585</v>
      </c>
      <c r="X3863" t="s">
        <v>78586</v>
      </c>
      <c r="Y3863" t="s">
        <v>78587</v>
      </c>
    </row>
    <row r="3864" spans="1:25" x14ac:dyDescent="0.3">
      <c r="A3864">
        <v>193150</v>
      </c>
      <c r="B3864" t="s">
        <v>78588</v>
      </c>
      <c r="C3864" t="s">
        <v>78589</v>
      </c>
      <c r="D3864" t="s">
        <v>78590</v>
      </c>
      <c r="E3864" t="s">
        <v>78591</v>
      </c>
      <c r="F3864" t="s">
        <v>78592</v>
      </c>
      <c r="G3864">
        <f>-755.950273086354 -13.1633027224798 -691.171532199509</f>
        <v>-1460.2851080083428</v>
      </c>
      <c r="H3864">
        <f>-749.353649963038 -59.6172338592573 -836.080208508976</f>
        <v>-1645.0510923312713</v>
      </c>
      <c r="I3864">
        <f>-713.210446380258 -100.227791237229 -922.262697150949</f>
        <v>-1735.7009347684359</v>
      </c>
      <c r="J3864">
        <f>-738.763179868142 -11.4824649660013 -780.189200678618</f>
        <v>-1530.4348455127613</v>
      </c>
      <c r="K3864" t="s">
        <v>78593</v>
      </c>
      <c r="L3864" t="s">
        <v>78594</v>
      </c>
      <c r="M3864" t="s">
        <v>78595</v>
      </c>
      <c r="N3864">
        <f>-765.781691690414 -66.6431154543448 -763.736006879273</f>
        <v>-1596.1608140240319</v>
      </c>
      <c r="O3864">
        <f>-833.439321836255 -180.64569953978 -700.060508616005</f>
        <v>-1714.1455299920399</v>
      </c>
      <c r="P3864">
        <f>-797.259638122257 -142.916541234334 -387.884642784642</f>
        <v>-1328.0608221412331</v>
      </c>
      <c r="Q3864">
        <f>-548.905490244854 -76.8180463341341 -347.968947453504</f>
        <v>-973.69248403249208</v>
      </c>
      <c r="R3864" t="s">
        <v>78596</v>
      </c>
      <c r="S3864" t="s">
        <v>78597</v>
      </c>
      <c r="T3864" t="s">
        <v>78598</v>
      </c>
      <c r="U3864" t="s">
        <v>78599</v>
      </c>
      <c r="V3864">
        <f>-746.96757638488 -51.5315791586584 -237.763463396772</f>
        <v>-1036.2626189403104</v>
      </c>
      <c r="W3864" t="s">
        <v>78600</v>
      </c>
      <c r="X3864" t="s">
        <v>78601</v>
      </c>
      <c r="Y3864" t="s">
        <v>78602</v>
      </c>
    </row>
    <row r="3865" spans="1:25" x14ac:dyDescent="0.3">
      <c r="A3865">
        <v>193200</v>
      </c>
      <c r="B3865" t="s">
        <v>78603</v>
      </c>
      <c r="C3865" t="s">
        <v>78604</v>
      </c>
      <c r="D3865" t="s">
        <v>78605</v>
      </c>
      <c r="E3865" t="s">
        <v>78606</v>
      </c>
      <c r="F3865" t="s">
        <v>78607</v>
      </c>
      <c r="G3865">
        <f>-755.289680598322 -14.075332173662 -689.92769082133</f>
        <v>-1459.2927035933139</v>
      </c>
      <c r="H3865">
        <f>-748.943676218069 -62.2333023578976 -834.290321576422</f>
        <v>-1645.4673001523886</v>
      </c>
      <c r="I3865">
        <f>-713.073704651452 -104.064461962187 -920.001921367982</f>
        <v>-1737.140087981621</v>
      </c>
      <c r="J3865">
        <f>-738.141254137694 -13.4939162001072 -778.966774427425</f>
        <v>-1530.6019447652261</v>
      </c>
      <c r="K3865" t="s">
        <v>78608</v>
      </c>
      <c r="L3865" t="s">
        <v>78609</v>
      </c>
      <c r="M3865" t="s">
        <v>78610</v>
      </c>
      <c r="N3865">
        <f>-765.362047213292 -68.3560244755267 -761.86196401081</f>
        <v>-1595.5800356996288</v>
      </c>
      <c r="O3865">
        <f>-833.293829432261 -181.447463639968 -696.906941315274</f>
        <v>-1711.648234387503</v>
      </c>
      <c r="P3865">
        <f>-796.887819026787 -141.047694764457 -385.09191602453</f>
        <v>-1323.027429815774</v>
      </c>
      <c r="Q3865">
        <f>-548.218236569588 -75.1691826505839 -346.809936437194</f>
        <v>-970.19735565736596</v>
      </c>
      <c r="R3865" t="s">
        <v>78611</v>
      </c>
      <c r="S3865" t="s">
        <v>78612</v>
      </c>
      <c r="T3865" t="s">
        <v>78613</v>
      </c>
      <c r="U3865" t="s">
        <v>78614</v>
      </c>
      <c r="V3865">
        <f>-746.499809245723 -49.3817154994599 -236.822097432732</f>
        <v>-1032.7036221779149</v>
      </c>
      <c r="W3865" t="s">
        <v>78615</v>
      </c>
      <c r="X3865" t="s">
        <v>78616</v>
      </c>
      <c r="Y3865" t="s">
        <v>78617</v>
      </c>
    </row>
    <row r="3866" spans="1:25" x14ac:dyDescent="0.3">
      <c r="A3866">
        <v>193250</v>
      </c>
      <c r="B3866" t="s">
        <v>78618</v>
      </c>
      <c r="C3866" t="s">
        <v>78619</v>
      </c>
      <c r="D3866" t="s">
        <v>78620</v>
      </c>
      <c r="E3866" t="s">
        <v>78621</v>
      </c>
      <c r="F3866" t="s">
        <v>78622</v>
      </c>
      <c r="G3866">
        <f>-754.780162376516 -16.3533624626648 -687.622200596003</f>
        <v>-1458.7557254351839</v>
      </c>
      <c r="H3866">
        <f>-749.059959163241 -67.5350987787126 -830.966924117413</f>
        <v>-1647.5619820593665</v>
      </c>
      <c r="I3866">
        <f>-713.713211647256 -111.430506059927 -915.859778189239</f>
        <v>-1741.003495896422</v>
      </c>
      <c r="J3866">
        <f>-737.863301344565 -17.7120832579601 -776.696976857897</f>
        <v>-1532.272361460422</v>
      </c>
      <c r="K3866" t="s">
        <v>78623</v>
      </c>
      <c r="L3866" t="s">
        <v>78624</v>
      </c>
      <c r="M3866" t="s">
        <v>78625</v>
      </c>
      <c r="N3866">
        <f>-765.318641127661 -72.0654507572881 -758.385574997575</f>
        <v>-1595.769666882524</v>
      </c>
      <c r="O3866">
        <f>-833.440801105326 -183.61862057579 -690.991193908205</f>
        <v>-1708.0506155893211</v>
      </c>
      <c r="P3866">
        <f>-795.876507617631 -138.544546495157 -379.955097723682</f>
        <v>-1314.3761518364699</v>
      </c>
      <c r="Q3866">
        <f>-546.686097138766 -72.7429739650281 -345.078499880037</f>
        <v>-964.5075709838311</v>
      </c>
      <c r="R3866" t="s">
        <v>78626</v>
      </c>
      <c r="S3866" t="s">
        <v>78627</v>
      </c>
      <c r="T3866" t="s">
        <v>78628</v>
      </c>
      <c r="U3866" t="s">
        <v>78629</v>
      </c>
      <c r="V3866">
        <f>-745.384972694479 -46.2728146600161 -235.290678777692</f>
        <v>-1026.9484661321871</v>
      </c>
      <c r="W3866" t="s">
        <v>78630</v>
      </c>
      <c r="X3866" t="s">
        <v>78631</v>
      </c>
      <c r="Y3866" t="s">
        <v>78632</v>
      </c>
    </row>
    <row r="3867" spans="1:25" x14ac:dyDescent="0.3">
      <c r="A3867">
        <v>193300</v>
      </c>
      <c r="B3867" t="s">
        <v>78633</v>
      </c>
      <c r="C3867" t="s">
        <v>78634</v>
      </c>
      <c r="D3867" t="s">
        <v>78635</v>
      </c>
      <c r="E3867" t="s">
        <v>78636</v>
      </c>
      <c r="F3867" t="s">
        <v>78637</v>
      </c>
      <c r="G3867">
        <f>-754.515287503445 -17.6180157941778 -686.724910636662</f>
        <v>-1458.8582139342848</v>
      </c>
      <c r="H3867">
        <f>-749.107806111945 -69.9553460097648 -829.663952809199</f>
        <v>-1648.7271049309088</v>
      </c>
      <c r="I3867">
        <f>-713.980198916551 -114.621338282285 -914.245167070441</f>
        <v>-1742.8467042692769</v>
      </c>
      <c r="J3867">
        <f>-737.765341873654 -19.7081366862276 -775.81705224016</f>
        <v>-1533.2905308000418</v>
      </c>
      <c r="K3867" t="s">
        <v>78638</v>
      </c>
      <c r="L3867" t="s">
        <v>78639</v>
      </c>
      <c r="M3867" t="s">
        <v>78640</v>
      </c>
      <c r="N3867">
        <f>-765.235649847865 -73.8873849118972 -757.018454093122</f>
        <v>-1596.1414888528843</v>
      </c>
      <c r="O3867">
        <f>-833.21407984 -184.911104213242 -688.615087699978</f>
        <v>-1706.74027175322</v>
      </c>
      <c r="P3867">
        <f>-794.869803035058 -138.122309317854 -377.927656675491</f>
        <v>-1310.9197690284032</v>
      </c>
      <c r="Q3867">
        <f>-545.494520834515 -72.1297135796146 -344.77626148472</f>
        <v>-962.40049589884961</v>
      </c>
      <c r="R3867" t="s">
        <v>78641</v>
      </c>
      <c r="S3867" t="s">
        <v>78642</v>
      </c>
      <c r="T3867" t="s">
        <v>78643</v>
      </c>
      <c r="U3867" t="s">
        <v>78644</v>
      </c>
      <c r="V3867">
        <f>-744.744121492095 -45.4853939425559 -234.838804683048</f>
        <v>-1025.0683201176989</v>
      </c>
      <c r="W3867" t="s">
        <v>78645</v>
      </c>
      <c r="X3867" t="s">
        <v>78646</v>
      </c>
      <c r="Y3867" t="s">
        <v>78647</v>
      </c>
    </row>
    <row r="3868" spans="1:25" x14ac:dyDescent="0.3">
      <c r="A3868">
        <v>193350</v>
      </c>
      <c r="B3868" t="s">
        <v>78648</v>
      </c>
      <c r="C3868" t="s">
        <v>78649</v>
      </c>
      <c r="D3868" t="s">
        <v>78650</v>
      </c>
      <c r="E3868" t="s">
        <v>78651</v>
      </c>
      <c r="F3868" t="s">
        <v>78652</v>
      </c>
      <c r="G3868">
        <f>-754.114160066301 -20.2587958327595 -685.634820275495</f>
        <v>-1460.0077761745556</v>
      </c>
      <c r="H3868">
        <f>-749.259174158607 -74.3719688777219 -827.930966321384</f>
        <v>-1651.5621093577129</v>
      </c>
      <c r="I3868">
        <f>-714.47930668338 -120.209423138457 -912.027669754086</f>
        <v>-1746.7163995759229</v>
      </c>
      <c r="J3868">
        <f>-737.722647023154 -23.4526330963301 -774.761046262102</f>
        <v>-1535.9363263815862</v>
      </c>
      <c r="K3868" t="s">
        <v>78653</v>
      </c>
      <c r="L3868" t="s">
        <v>78654</v>
      </c>
      <c r="M3868" t="s">
        <v>78655</v>
      </c>
      <c r="N3868">
        <f>-765.092093659665 -77.404536753985 -755.177589271872</f>
        <v>-1597.6742196855221</v>
      </c>
      <c r="O3868">
        <f>-832.578676063948 -187.721988308339 -685.199036218515</f>
        <v>-1705.4997005908019</v>
      </c>
      <c r="P3868">
        <f>-792.479623619006 -138.236638956782 -375.151544571627</f>
        <v>-1305.8678071474151</v>
      </c>
      <c r="Q3868">
        <f>-542.88478759993 -71.6323001456421 -345.012772455023</f>
        <v>-959.52986020059507</v>
      </c>
      <c r="R3868" t="s">
        <v>78656</v>
      </c>
      <c r="S3868" t="s">
        <v>78657</v>
      </c>
      <c r="T3868" t="s">
        <v>78658</v>
      </c>
      <c r="U3868" t="s">
        <v>78659</v>
      </c>
      <c r="V3868">
        <f>-742.957963920558 -45.0904491140934 -234.425311004758</f>
        <v>-1022.4737240394094</v>
      </c>
      <c r="W3868" t="s">
        <v>78660</v>
      </c>
      <c r="X3868" t="s">
        <v>78661</v>
      </c>
      <c r="Y3868" t="s">
        <v>78662</v>
      </c>
    </row>
    <row r="3869" spans="1:25" x14ac:dyDescent="0.3">
      <c r="A3869">
        <v>193400</v>
      </c>
      <c r="B3869" t="s">
        <v>78663</v>
      </c>
      <c r="C3869" t="s">
        <v>78664</v>
      </c>
      <c r="D3869" t="s">
        <v>78665</v>
      </c>
      <c r="E3869" t="s">
        <v>78666</v>
      </c>
      <c r="F3869" t="s">
        <v>78667</v>
      </c>
      <c r="G3869">
        <f>-753.788494404684 -21.8272702323873 -685.340944088276</f>
        <v>-1460.9567087253472</v>
      </c>
      <c r="H3869">
        <f>-749.30516399607 -76.6158922196314 -827.390620632744</f>
        <v>-1653.3116768484454</v>
      </c>
      <c r="I3869">
        <f>-714.736924918732 -122.91111797371 -911.323724996958</f>
        <v>-1748.9717678894001</v>
      </c>
      <c r="J3869">
        <f>-737.64202652029 -25.4394479141349 -774.495801266806</f>
        <v>-1537.577275701231</v>
      </c>
      <c r="K3869" t="s">
        <v>78668</v>
      </c>
      <c r="L3869" t="s">
        <v>78669</v>
      </c>
      <c r="M3869" t="s">
        <v>78670</v>
      </c>
      <c r="N3869">
        <f>-764.935867895315 -79.3079170956564 -754.580169476245</f>
        <v>-1598.8239544672165</v>
      </c>
      <c r="O3869">
        <f>-832.130720955814 -189.390141300848 -683.961439764281</f>
        <v>-1705.4823020209428</v>
      </c>
      <c r="P3869">
        <f>-791.290739182647 -139.368925027572 -374.096726942434</f>
        <v>-1304.7563911526531</v>
      </c>
      <c r="Q3869">
        <f>-541.677444235911 -72.2708777078731 -345.232661531078</f>
        <v>-959.18098347486216</v>
      </c>
      <c r="R3869" t="s">
        <v>78671</v>
      </c>
      <c r="S3869" t="s">
        <v>78672</v>
      </c>
      <c r="T3869" t="s">
        <v>78673</v>
      </c>
      <c r="U3869" t="s">
        <v>78674</v>
      </c>
      <c r="V3869">
        <f>-741.895330264724 -45.423140494637 -234.360973922577</f>
        <v>-1021.6794446819379</v>
      </c>
      <c r="W3869" t="s">
        <v>78675</v>
      </c>
      <c r="X3869" t="s">
        <v>78676</v>
      </c>
      <c r="Y3869" t="s">
        <v>78677</v>
      </c>
    </row>
    <row r="3870" spans="1:25" x14ac:dyDescent="0.3">
      <c r="A3870">
        <v>193450</v>
      </c>
      <c r="B3870" t="s">
        <v>78678</v>
      </c>
      <c r="C3870" t="s">
        <v>78679</v>
      </c>
      <c r="D3870" t="s">
        <v>78680</v>
      </c>
      <c r="E3870" t="s">
        <v>78681</v>
      </c>
      <c r="F3870" t="s">
        <v>78682</v>
      </c>
      <c r="G3870">
        <f>-753.258848602456 -24.7019297492807 -684.801527258228</f>
        <v>-1462.7623056099646</v>
      </c>
      <c r="H3870">
        <f>-749.378410622649 -80.6291128479095 -826.42468049606</f>
        <v>-1656.4322039666185</v>
      </c>
      <c r="I3870">
        <f>-715.33070990181 -127.667150793239 -910.15737297909</f>
        <v>-1753.155233674139</v>
      </c>
      <c r="J3870">
        <f>-737.570496783098 -28.9958607774065 -774.00803862239</f>
        <v>-1540.5743961828944</v>
      </c>
      <c r="K3870" t="s">
        <v>78683</v>
      </c>
      <c r="L3870" t="s">
        <v>78684</v>
      </c>
      <c r="M3870" t="s">
        <v>78685</v>
      </c>
      <c r="N3870">
        <f>-764.620260786577 -82.7702624686026 -753.513707803251</f>
        <v>-1600.9042310584305</v>
      </c>
      <c r="O3870">
        <f>-831.141038194208 -192.607178087468 -681.856657160029</f>
        <v>-1705.604873441705</v>
      </c>
      <c r="P3870">
        <f>-788.784035876957 -141.648845688878 -372.348479990227</f>
        <v>-1302.7813615560622</v>
      </c>
      <c r="Q3870">
        <f>-539.18873606274 -73.7031279752712 -345.374339745131</f>
        <v>-958.26620378314215</v>
      </c>
      <c r="R3870" t="s">
        <v>78686</v>
      </c>
      <c r="S3870" t="s">
        <v>78687</v>
      </c>
      <c r="T3870" t="s">
        <v>78688</v>
      </c>
      <c r="U3870" t="s">
        <v>78689</v>
      </c>
      <c r="V3870">
        <f>-739.833968308146 -46.3587093626625 -234.224570538204</f>
        <v>-1020.4172482090125</v>
      </c>
      <c r="W3870" t="s">
        <v>78690</v>
      </c>
      <c r="X3870" t="s">
        <v>78691</v>
      </c>
      <c r="Y3870" t="s">
        <v>78692</v>
      </c>
    </row>
    <row r="3871" spans="1:25" x14ac:dyDescent="0.3">
      <c r="A3871">
        <v>193500</v>
      </c>
      <c r="B3871" t="s">
        <v>78693</v>
      </c>
      <c r="C3871" t="s">
        <v>78694</v>
      </c>
      <c r="D3871" t="s">
        <v>78695</v>
      </c>
      <c r="E3871" t="s">
        <v>78696</v>
      </c>
      <c r="F3871" t="s">
        <v>78697</v>
      </c>
      <c r="G3871">
        <f>-753.186688015737 -25.948273150912 -684.529260418075</f>
        <v>-1463.6642215847239</v>
      </c>
      <c r="H3871">
        <f>-749.468168452578 -82.3878294770891 -825.953297367857</f>
        <v>-1657.8092952975239</v>
      </c>
      <c r="I3871">
        <f>-715.663512161206 -129.77460159479 -909.587855616068</f>
        <v>-1755.0259693720641</v>
      </c>
      <c r="J3871">
        <f>-737.648471676154 -30.5445255047694 -773.747092853074</f>
        <v>-1541.9400900339974</v>
      </c>
      <c r="K3871" t="s">
        <v>78698</v>
      </c>
      <c r="L3871" t="s">
        <v>78699</v>
      </c>
      <c r="M3871" t="s">
        <v>78700</v>
      </c>
      <c r="N3871">
        <f>-764.578375778111 -84.2854473104694 -753.008151446136</f>
        <v>-1601.8719745347164</v>
      </c>
      <c r="O3871">
        <f>-830.856495737737 -193.958228400965 -680.865576337709</f>
        <v>-1705.6803004764108</v>
      </c>
      <c r="P3871">
        <f>-787.78129494079 -142.376352844441 -371.559851264952</f>
        <v>-1301.7174990501828</v>
      </c>
      <c r="Q3871">
        <f>-538.205808381011 -73.9271337862781 -345.698162516289</f>
        <v>-957.83110468357813</v>
      </c>
      <c r="R3871" t="s">
        <v>78701</v>
      </c>
      <c r="S3871" t="s">
        <v>78702</v>
      </c>
      <c r="T3871" t="s">
        <v>78703</v>
      </c>
      <c r="U3871" t="s">
        <v>78704</v>
      </c>
      <c r="V3871">
        <f>-738.845476977535 -46.7321674608797 -234.142963244092</f>
        <v>-1019.7206076825067</v>
      </c>
      <c r="W3871" t="s">
        <v>78705</v>
      </c>
      <c r="X3871" t="s">
        <v>78706</v>
      </c>
      <c r="Y3871" t="s">
        <v>78707</v>
      </c>
    </row>
    <row r="3872" spans="1:25" x14ac:dyDescent="0.3">
      <c r="A3872">
        <v>193550</v>
      </c>
      <c r="B3872" t="s">
        <v>78708</v>
      </c>
      <c r="C3872" t="s">
        <v>78709</v>
      </c>
      <c r="D3872" t="s">
        <v>78710</v>
      </c>
      <c r="E3872" t="s">
        <v>78711</v>
      </c>
      <c r="F3872" t="s">
        <v>78712</v>
      </c>
      <c r="G3872">
        <f>-753.212573609349 -28.5158738131254 -684.06149984087</f>
        <v>-1465.7899472633444</v>
      </c>
      <c r="H3872">
        <f>-749.935341897773 -86.1293125368395 -825.022378665103</f>
        <v>-1661.0870330997154</v>
      </c>
      <c r="I3872">
        <f>-716.67183271254 -134.406291494699 -908.364236248349</f>
        <v>-1759.442360455588</v>
      </c>
      <c r="J3872">
        <f>-737.999813519879 -33.834352775061 -773.295169368304</f>
        <v>-1545.1293356632441</v>
      </c>
      <c r="K3872" t="s">
        <v>78713</v>
      </c>
      <c r="L3872" t="s">
        <v>78714</v>
      </c>
      <c r="M3872" t="s">
        <v>78715</v>
      </c>
      <c r="N3872">
        <f>-764.770963527558 -87.4398844066411 -752.008056492148</f>
        <v>-1604.2189044263471</v>
      </c>
      <c r="O3872">
        <f>-830.789202980231 -196.564679307394 -678.805903461038</f>
        <v>-1706.1597857486631</v>
      </c>
      <c r="P3872">
        <f>-785.722393822537 -143.416917994601 -370.049559555132</f>
        <v>-1299.1888713722701</v>
      </c>
      <c r="Q3872">
        <f>-536.015272106798 -74.7682375686036 -346.0538824672</f>
        <v>-956.83739214260163</v>
      </c>
      <c r="R3872" t="s">
        <v>78716</v>
      </c>
      <c r="S3872" t="s">
        <v>78717</v>
      </c>
      <c r="T3872" t="s">
        <v>78718</v>
      </c>
      <c r="U3872" t="s">
        <v>78719</v>
      </c>
      <c r="V3872">
        <f>-737.296297941356 -47.2620835646762 -234.072974123662</f>
        <v>-1018.6313556296942</v>
      </c>
      <c r="W3872" t="s">
        <v>78720</v>
      </c>
      <c r="X3872" t="s">
        <v>78721</v>
      </c>
      <c r="Y3872" t="s">
        <v>78722</v>
      </c>
    </row>
    <row r="3873" spans="1:25" x14ac:dyDescent="0.3">
      <c r="A3873">
        <v>193600</v>
      </c>
      <c r="B3873" t="s">
        <v>78723</v>
      </c>
      <c r="C3873" t="s">
        <v>78724</v>
      </c>
      <c r="D3873" t="s">
        <v>78725</v>
      </c>
      <c r="E3873" t="s">
        <v>78726</v>
      </c>
      <c r="F3873" t="s">
        <v>78727</v>
      </c>
      <c r="G3873">
        <f>-753.17027227814 -29.8568723683879 -683.789910881444</f>
        <v>-1466.8170555279721</v>
      </c>
      <c r="H3873">
        <f>-750.358670759702 -88.147396332299 -824.48205847024</f>
        <v>-1662.9881255622408</v>
      </c>
      <c r="I3873">
        <f>-717.440040441347 -136.994843803096 -907.628229106353</f>
        <v>-1762.0631133507961</v>
      </c>
      <c r="J3873">
        <f>-738.218109283642 -35.6190451853981 -773.039930758811</f>
        <v>-1546.8770852278512</v>
      </c>
      <c r="K3873" t="s">
        <v>78728</v>
      </c>
      <c r="L3873" t="s">
        <v>78729</v>
      </c>
      <c r="M3873" t="s">
        <v>78730</v>
      </c>
      <c r="N3873">
        <f>-764.987430031954 -89.0923665811756 -751.420233339116</f>
        <v>-1605.5000299522455</v>
      </c>
      <c r="O3873">
        <f>-830.903560853989 -197.778541966074 -677.502934387819</f>
        <v>-1706.185037207882</v>
      </c>
      <c r="P3873">
        <f>-784.810242874299 -143.645137232189 -369.069454828893</f>
        <v>-1297.524834935381</v>
      </c>
      <c r="Q3873">
        <f>-534.965388363053 -75.1406863095485 -346.119107508993</f>
        <v>-956.2251821815945</v>
      </c>
      <c r="R3873" t="s">
        <v>78731</v>
      </c>
      <c r="S3873" t="s">
        <v>78732</v>
      </c>
      <c r="T3873" t="s">
        <v>78733</v>
      </c>
      <c r="U3873" t="s">
        <v>78734</v>
      </c>
      <c r="V3873">
        <f>-736.635499275466 -47.3530210962315 -234.052058124799</f>
        <v>-1018.0405784964966</v>
      </c>
      <c r="W3873" t="s">
        <v>78735</v>
      </c>
      <c r="X3873" t="s">
        <v>78736</v>
      </c>
      <c r="Y3873" t="s">
        <v>78737</v>
      </c>
    </row>
    <row r="3874" spans="1:25" x14ac:dyDescent="0.3">
      <c r="A3874">
        <v>193650</v>
      </c>
      <c r="B3874" t="s">
        <v>78738</v>
      </c>
      <c r="C3874" t="s">
        <v>78739</v>
      </c>
      <c r="D3874" t="s">
        <v>78740</v>
      </c>
      <c r="E3874" t="s">
        <v>78741</v>
      </c>
      <c r="F3874" t="s">
        <v>78742</v>
      </c>
      <c r="G3874">
        <f>-752.759770226432 -32.4274288945919 -683.310813299558</f>
        <v>-1468.498012420582</v>
      </c>
      <c r="H3874">
        <f>-750.835235336514 -92.156109431377 -823.413676284358</f>
        <v>-1666.4050210522489</v>
      </c>
      <c r="I3874">
        <f>-718.578767872593 -142.136214166921 -906.145203155136</f>
        <v>-1766.8601851946501</v>
      </c>
      <c r="J3874">
        <f>-738.283572294303 -39.1410700788022 -772.573023509704</f>
        <v>-1549.9976658828091</v>
      </c>
      <c r="K3874" t="s">
        <v>78743</v>
      </c>
      <c r="L3874" t="s">
        <v>78744</v>
      </c>
      <c r="M3874" t="s">
        <v>78745</v>
      </c>
      <c r="N3874">
        <f>-765.090104435162 -92.3151082962668 -750.271940794171</f>
        <v>-1607.6771535255998</v>
      </c>
      <c r="O3874">
        <f>-830.851890614617 -200.176724589953 -674.973737013203</f>
        <v>-1706.002352217773</v>
      </c>
      <c r="P3874">
        <f>-783.123198310545 -144.023650212122 -367.150703358949</f>
        <v>-1294.2975518816161</v>
      </c>
      <c r="Q3874">
        <f>-533.041563948955 -75.7515254328603 -346.170685684922</f>
        <v>-954.96377506673718</v>
      </c>
      <c r="R3874" t="s">
        <v>78746</v>
      </c>
      <c r="S3874" t="s">
        <v>78747</v>
      </c>
      <c r="T3874" t="s">
        <v>78748</v>
      </c>
      <c r="U3874" t="s">
        <v>78749</v>
      </c>
      <c r="V3874">
        <f>-735.321880342673 -47.1342125186595 -234.016918747014</f>
        <v>-1016.4730116083465</v>
      </c>
      <c r="W3874" t="s">
        <v>78750</v>
      </c>
      <c r="X3874" t="s">
        <v>78751</v>
      </c>
      <c r="Y3874" t="s">
        <v>78752</v>
      </c>
    </row>
    <row r="3875" spans="1:25" x14ac:dyDescent="0.3">
      <c r="A3875">
        <v>193700</v>
      </c>
      <c r="B3875" t="s">
        <v>78753</v>
      </c>
      <c r="C3875" t="s">
        <v>78754</v>
      </c>
      <c r="D3875" t="s">
        <v>78755</v>
      </c>
      <c r="E3875" t="s">
        <v>78756</v>
      </c>
      <c r="F3875" t="s">
        <v>78757</v>
      </c>
      <c r="G3875">
        <f>-752.245632244636 -33.5948869441299 -683.112241524834</f>
        <v>-1468.9527607135999</v>
      </c>
      <c r="H3875">
        <f>-750.622206833367 -93.9947985097956 -822.930761065988</f>
        <v>-1667.5477664091507</v>
      </c>
      <c r="I3875">
        <f>-718.689225436244 -144.451735481785 -905.49810258521</f>
        <v>-1768.639063503239</v>
      </c>
      <c r="J3875">
        <f>-737.91797337457 -40.7549260052401 -772.363617644826</f>
        <v>-1551.0365170246362</v>
      </c>
      <c r="K3875" t="s">
        <v>78758</v>
      </c>
      <c r="L3875" t="s">
        <v>78759</v>
      </c>
      <c r="M3875" t="s">
        <v>78760</v>
      </c>
      <c r="N3875">
        <f>-764.763106712742 -93.7845491382852 -749.767200476573</f>
        <v>-1608.3148563276002</v>
      </c>
      <c r="O3875">
        <f>-830.493126127088 -201.236988454241 -673.872977439072</f>
        <v>-1705.6030920204009</v>
      </c>
      <c r="P3875">
        <f>-782.089827508864 -144.013291850488 -366.352689632166</f>
        <v>-1292.4558089915181</v>
      </c>
      <c r="Q3875">
        <f>-531.91119013762 -75.7928434919027 -346.386704306631</f>
        <v>-954.09073793615357</v>
      </c>
      <c r="R3875" t="s">
        <v>78761</v>
      </c>
      <c r="S3875" t="s">
        <v>78762</v>
      </c>
      <c r="T3875" t="s">
        <v>78763</v>
      </c>
      <c r="U3875" t="s">
        <v>78764</v>
      </c>
      <c r="V3875">
        <f>-734.559630571833 -46.9461351850262 -234.01112413482</f>
        <v>-1015.5168898916792</v>
      </c>
      <c r="W3875" t="s">
        <v>78765</v>
      </c>
      <c r="X3875" t="s">
        <v>78766</v>
      </c>
      <c r="Y3875" t="s">
        <v>78767</v>
      </c>
    </row>
    <row r="3876" spans="1:25" x14ac:dyDescent="0.3">
      <c r="A3876">
        <v>193750</v>
      </c>
      <c r="B3876" t="s">
        <v>78768</v>
      </c>
      <c r="C3876" t="s">
        <v>78769</v>
      </c>
      <c r="D3876" t="s">
        <v>78770</v>
      </c>
      <c r="E3876" t="s">
        <v>78771</v>
      </c>
      <c r="F3876" t="s">
        <v>78772</v>
      </c>
      <c r="G3876">
        <f>-750.595538967238 -36.1127825134977 -682.663570888557</f>
        <v>-1469.3718923692927</v>
      </c>
      <c r="H3876">
        <f>-749.389958869348 -97.8437620841187 -821.903751893196</f>
        <v>-1669.1374728466626</v>
      </c>
      <c r="I3876">
        <f>-717.988313154784 -149.191470319776 -904.125084275314</f>
        <v>-1771.3048677498741</v>
      </c>
      <c r="J3876">
        <f>-736.453197124986 -44.1588355030967 -771.8690035684</f>
        <v>-1552.4810361964828</v>
      </c>
      <c r="K3876" t="s">
        <v>78773</v>
      </c>
      <c r="L3876" t="s">
        <v>78774</v>
      </c>
      <c r="M3876" t="s">
        <v>78775</v>
      </c>
      <c r="N3876">
        <f>-763.393726194874 -96.9007759418121 -748.719618645938</f>
        <v>-1609.0141207826241</v>
      </c>
      <c r="O3876">
        <f>-828.989402305529 -203.630810710779 -671.722436911339</f>
        <v>-1704.342649927647</v>
      </c>
      <c r="P3876">
        <f>-779.36630090306 -144.705259165638 -364.718350648799</f>
        <v>-1288.7899107174972</v>
      </c>
      <c r="Q3876">
        <f>-529.019485821123 -76.6481392822445 -346.368389951667</f>
        <v>-952.03601505503457</v>
      </c>
      <c r="R3876" t="s">
        <v>78776</v>
      </c>
      <c r="S3876" t="s">
        <v>78777</v>
      </c>
      <c r="T3876" t="s">
        <v>78778</v>
      </c>
      <c r="U3876" t="s">
        <v>78779</v>
      </c>
      <c r="V3876">
        <f>-732.880614708003 -46.825535726799 -234.00284958668</f>
        <v>-1013.709000021482</v>
      </c>
      <c r="W3876" t="s">
        <v>78780</v>
      </c>
      <c r="X3876" t="s">
        <v>78781</v>
      </c>
      <c r="Y3876" t="s">
        <v>78782</v>
      </c>
    </row>
    <row r="3877" spans="1:25" x14ac:dyDescent="0.3">
      <c r="A3877">
        <v>193800</v>
      </c>
      <c r="B3877" t="s">
        <v>78783</v>
      </c>
      <c r="C3877" t="s">
        <v>78784</v>
      </c>
      <c r="D3877" t="s">
        <v>78785</v>
      </c>
      <c r="E3877" t="s">
        <v>78786</v>
      </c>
      <c r="F3877" t="s">
        <v>78787</v>
      </c>
      <c r="G3877">
        <f>-750.015647294675 -37.3295218614951 -682.415755008068</f>
        <v>-1469.7609241642381</v>
      </c>
      <c r="H3877">
        <f>-749.005334943036 -99.7421432988147 -821.353410724882</f>
        <v>-1670.1008889667328</v>
      </c>
      <c r="I3877">
        <f>-717.92759575599 -151.521813240235 -903.426544553538</f>
        <v>-1772.8759535497629</v>
      </c>
      <c r="J3877">
        <f>-735.972888375529 -45.8233987752612 -771.595534977179</f>
        <v>-1553.3918221279691</v>
      </c>
      <c r="K3877" t="s">
        <v>78788</v>
      </c>
      <c r="L3877" t="s">
        <v>78789</v>
      </c>
      <c r="M3877" t="s">
        <v>78790</v>
      </c>
      <c r="N3877">
        <f>-762.931817403956 -98.4295464600166 -748.160108036687</f>
        <v>-1609.5214719006594</v>
      </c>
      <c r="O3877">
        <f>-828.521364251884 -204.811661520226 -670.674723187962</f>
        <v>-1704.0077489600719</v>
      </c>
      <c r="P3877">
        <f>-778.152981835439 -145.017125329885 -363.960055780627</f>
        <v>-1287.130162945951</v>
      </c>
      <c r="Q3877">
        <f>-527.721511234968 -77.0824257096417 -346.32458002592</f>
        <v>-951.12851697052974</v>
      </c>
      <c r="R3877" t="s">
        <v>78791</v>
      </c>
      <c r="S3877" t="s">
        <v>78792</v>
      </c>
      <c r="T3877" t="s">
        <v>78793</v>
      </c>
      <c r="U3877" t="s">
        <v>78794</v>
      </c>
      <c r="V3877">
        <f>-732.054080147074 -46.8144778495177 -234.004265577011</f>
        <v>-1012.8728235736028</v>
      </c>
      <c r="W3877" t="s">
        <v>78795</v>
      </c>
      <c r="X3877" t="s">
        <v>78796</v>
      </c>
      <c r="Y3877" t="s">
        <v>78797</v>
      </c>
    </row>
    <row r="3878" spans="1:25" x14ac:dyDescent="0.3">
      <c r="A3878">
        <v>193850</v>
      </c>
      <c r="B3878" t="s">
        <v>78798</v>
      </c>
      <c r="C3878" t="s">
        <v>78799</v>
      </c>
      <c r="D3878" t="s">
        <v>78800</v>
      </c>
      <c r="E3878" t="s">
        <v>78801</v>
      </c>
      <c r="F3878">
        <f>-747.821552862693 -0.931579795973676 -579.516850035926</f>
        <v>-1328.2699826945927</v>
      </c>
      <c r="G3878">
        <f>-749.17597765297 -39.8473824924408 -681.881830594079</f>
        <v>-1470.9051907394899</v>
      </c>
      <c r="H3878">
        <f>-748.669694992396 -103.67984909821 -820.175611539672</f>
        <v>-1672.5251556302778</v>
      </c>
      <c r="I3878">
        <f>-718.279515835369 -156.477595672774 -901.856782125745</f>
        <v>-1776.613893633888</v>
      </c>
      <c r="J3878">
        <f>-735.409309675881 -49.2748704456451 -771.010844582363</f>
        <v>-1555.695024703889</v>
      </c>
      <c r="K3878" t="s">
        <v>78802</v>
      </c>
      <c r="L3878" t="s">
        <v>78803</v>
      </c>
      <c r="M3878" t="s">
        <v>78804</v>
      </c>
      <c r="N3878">
        <f>-762.378048836793 -101.596977456861 -746.959129362728</f>
        <v>-1610.9341556563822</v>
      </c>
      <c r="O3878">
        <f>-827.928010757873 -207.17005296182 -668.335745495</f>
        <v>-1703.4338092146932</v>
      </c>
      <c r="P3878">
        <f>-776.310053933945 -145.802967976461 -362.139928343239</f>
        <v>-1284.2529502536449</v>
      </c>
      <c r="Q3878">
        <f>-525.674755406173 -78.126531773336 -346.52187009004</f>
        <v>-950.32315726954891</v>
      </c>
      <c r="R3878" t="s">
        <v>78805</v>
      </c>
      <c r="S3878" t="s">
        <v>78806</v>
      </c>
      <c r="T3878" t="s">
        <v>78807</v>
      </c>
      <c r="U3878" t="s">
        <v>78808</v>
      </c>
      <c r="V3878">
        <f>-730.296743692854 -46.8478841693077 -234.029301029289</f>
        <v>-1011.1739288914507</v>
      </c>
      <c r="W3878" t="s">
        <v>78809</v>
      </c>
      <c r="X3878" t="s">
        <v>78810</v>
      </c>
      <c r="Y3878" t="s">
        <v>78811</v>
      </c>
    </row>
    <row r="3879" spans="1:25" x14ac:dyDescent="0.3">
      <c r="A3879">
        <v>193900</v>
      </c>
      <c r="B3879" t="s">
        <v>78812</v>
      </c>
      <c r="C3879" t="s">
        <v>78813</v>
      </c>
      <c r="D3879" t="s">
        <v>78814</v>
      </c>
      <c r="E3879" t="s">
        <v>78815</v>
      </c>
      <c r="F3879">
        <f>-746.985717331045 -1.82059716320555 -579.415489913288</f>
        <v>-1328.2218044075385</v>
      </c>
      <c r="G3879">
        <f>-748.499606034859 -41.235836179206 -681.586887376954</f>
        <v>-1471.3223295910188</v>
      </c>
      <c r="H3879">
        <f>-748.284428157853 -105.835138112681 -819.524941657617</f>
        <v>-1673.6445079281509</v>
      </c>
      <c r="I3879">
        <f>-718.22999757848 -159.208993654453 -900.95550293288</f>
        <v>-1778.3944941658131</v>
      </c>
      <c r="J3879">
        <f>-734.880594914471 -51.175183169195 -770.682851434336</f>
        <v>-1556.738629518002</v>
      </c>
      <c r="K3879" t="s">
        <v>78816</v>
      </c>
      <c r="L3879" t="s">
        <v>78817</v>
      </c>
      <c r="M3879" t="s">
        <v>78818</v>
      </c>
      <c r="N3879">
        <f>-761.8787163913 -103.328749758104 -746.300425041063</f>
        <v>-1611.507891190467</v>
      </c>
      <c r="O3879">
        <f>-827.406323261358 -208.426293184575 -667.026476132947</f>
        <v>-1702.8590925788801</v>
      </c>
      <c r="P3879">
        <f>-774.911131779009 -146.201630543567 -361.153000545204</f>
        <v>-1282.26576286778</v>
      </c>
      <c r="Q3879">
        <f>-524.174378220363 -78.6453272864201 -346.687356457332</f>
        <v>-949.50706196411511</v>
      </c>
      <c r="R3879" t="s">
        <v>78819</v>
      </c>
      <c r="S3879" t="s">
        <v>78820</v>
      </c>
      <c r="T3879" t="s">
        <v>78821</v>
      </c>
      <c r="U3879" t="s">
        <v>78822</v>
      </c>
      <c r="V3879">
        <f>-729.273459678642 -46.7712903516619 -234.065582940403</f>
        <v>-1010.110332970707</v>
      </c>
      <c r="W3879" t="s">
        <v>78823</v>
      </c>
      <c r="X3879" t="s">
        <v>78824</v>
      </c>
      <c r="Y3879" t="s">
        <v>78825</v>
      </c>
    </row>
    <row r="3880" spans="1:25" x14ac:dyDescent="0.3">
      <c r="A3880">
        <v>193950</v>
      </c>
      <c r="B3880" t="s">
        <v>78826</v>
      </c>
      <c r="C3880" t="s">
        <v>78827</v>
      </c>
      <c r="D3880" t="s">
        <v>78828</v>
      </c>
      <c r="E3880" t="s">
        <v>78829</v>
      </c>
      <c r="F3880">
        <f>-745.234517994653 -3.51809191535949 -579.30108665436</f>
        <v>-1328.0536965643723</v>
      </c>
      <c r="G3880">
        <f>-747.152064385823 -44.0403487878957 -681.031699998915</f>
        <v>-1472.2241131726337</v>
      </c>
      <c r="H3880">
        <f>-747.624716052167 -110.331717420354 -818.163872725083</f>
        <v>-1676.1203061976039</v>
      </c>
      <c r="I3880">
        <f>-718.015462425853 -164.943026024731 -898.934342587788</f>
        <v>-1781.8928310383722</v>
      </c>
      <c r="J3880">
        <f>-733.890063020448 -55.1128834949636 -770.04781676177</f>
        <v>-1559.0507632771817</v>
      </c>
      <c r="K3880" t="s">
        <v>78830</v>
      </c>
      <c r="L3880" t="s">
        <v>78831</v>
      </c>
      <c r="M3880" t="s">
        <v>78832</v>
      </c>
      <c r="N3880">
        <f>-760.941177031864 -106.886893389044 -744.926521975464</f>
        <v>-1612.7545923963719</v>
      </c>
      <c r="O3880">
        <f>-826.450793071007 -210.908232409915 -664.218554117928</f>
        <v>-1701.5775795988498</v>
      </c>
      <c r="P3880">
        <f>-772.396376576876 -146.483337705343 -359.073099254811</f>
        <v>-1277.9528135370301</v>
      </c>
      <c r="Q3880">
        <f>-521.444584492063 -79.1979769758341 -347.328107439194</f>
        <v>-947.97066890709107</v>
      </c>
      <c r="R3880" t="s">
        <v>78833</v>
      </c>
      <c r="S3880" t="s">
        <v>78834</v>
      </c>
      <c r="T3880" t="s">
        <v>78835</v>
      </c>
      <c r="U3880" t="s">
        <v>78836</v>
      </c>
      <c r="V3880">
        <f>-726.896040467488 -46.3527635738244 -234.158873022353</f>
        <v>-1007.4076770636653</v>
      </c>
      <c r="W3880" t="s">
        <v>78837</v>
      </c>
      <c r="X3880" t="s">
        <v>78838</v>
      </c>
      <c r="Y3880" t="s">
        <v>78839</v>
      </c>
    </row>
    <row r="3881" spans="1:25" x14ac:dyDescent="0.3">
      <c r="A3881">
        <v>194000</v>
      </c>
      <c r="B3881" t="s">
        <v>78840</v>
      </c>
      <c r="C3881" t="s">
        <v>78841</v>
      </c>
      <c r="D3881" t="s">
        <v>78842</v>
      </c>
      <c r="E3881" t="s">
        <v>78843</v>
      </c>
      <c r="F3881">
        <f>-744.268213507047 -4.41218053177113 -579.173249806835</f>
        <v>-1327.8536438456531</v>
      </c>
      <c r="G3881">
        <f>-746.42818472556 -45.5527183847148 -680.650475864336</f>
        <v>-1472.6313789746109</v>
      </c>
      <c r="H3881">
        <f>-747.328202532373 -112.77725688895 -817.325608885528</f>
        <v>-1677.4310683068511</v>
      </c>
      <c r="I3881">
        <f>-718.036066057748 -168.025196501526 -897.778176438623</f>
        <v>-1783.8394389978971</v>
      </c>
      <c r="J3881">
        <f>-733.368103703671 -57.2639918642872 -769.614864891497</f>
        <v>-1560.2469604594551</v>
      </c>
      <c r="K3881" t="s">
        <v>78844</v>
      </c>
      <c r="L3881" t="s">
        <v>78845</v>
      </c>
      <c r="M3881" t="s">
        <v>78846</v>
      </c>
      <c r="N3881">
        <f>-760.491836076621 -108.800951866549 -744.087512668021</f>
        <v>-1613.3803006111909</v>
      </c>
      <c r="O3881">
        <f>-826.010676620614 -212.195064465466 -662.610131423738</f>
        <v>-1700.8158725098181</v>
      </c>
      <c r="P3881">
        <f>-770.953901206387 -146.667821585373 -357.878860497876</f>
        <v>-1275.5005832896359</v>
      </c>
      <c r="Q3881">
        <f>-519.915699195967 -79.4713111503204 -347.560939695832</f>
        <v>-946.94795004211937</v>
      </c>
      <c r="R3881" t="s">
        <v>78847</v>
      </c>
      <c r="S3881" t="s">
        <v>78848</v>
      </c>
      <c r="T3881" t="s">
        <v>78849</v>
      </c>
      <c r="U3881" t="s">
        <v>78850</v>
      </c>
      <c r="V3881">
        <f>-725.731394725272 -46.0055646957865 -234.184585739373</f>
        <v>-1005.9215451604315</v>
      </c>
      <c r="W3881" t="s">
        <v>78851</v>
      </c>
      <c r="X3881" t="s">
        <v>78852</v>
      </c>
      <c r="Y3881" t="s">
        <v>78853</v>
      </c>
    </row>
    <row r="3882" spans="1:25" x14ac:dyDescent="0.3">
      <c r="A3882">
        <v>194050</v>
      </c>
      <c r="B3882" t="s">
        <v>78854</v>
      </c>
      <c r="C3882" t="s">
        <v>78855</v>
      </c>
      <c r="D3882" t="s">
        <v>78856</v>
      </c>
      <c r="E3882" t="s">
        <v>78857</v>
      </c>
      <c r="F3882">
        <f>-743.512384226756 -5.18982592834209 -578.981032301882</f>
        <v>-1327.6832424569802</v>
      </c>
      <c r="G3882">
        <f>-745.824370114281 -46.9924998292011 -680.183867389367</f>
        <v>-1473.000737332849</v>
      </c>
      <c r="H3882">
        <f>-746.972167629247 -115.230046470088 -816.354115517609</f>
        <v>-1678.5563296169439</v>
      </c>
      <c r="I3882">
        <f>-717.909392551084 -171.183115885009 -896.401593617783</f>
        <v>-1785.4941020538758</v>
      </c>
      <c r="J3882">
        <f>-732.875025950927 -59.385704673288 -769.071902757541</f>
        <v>-1561.3326333817561</v>
      </c>
      <c r="K3882" t="s">
        <v>78858</v>
      </c>
      <c r="L3882" t="s">
        <v>78859</v>
      </c>
      <c r="M3882" t="s">
        <v>78860</v>
      </c>
      <c r="N3882">
        <f>-760.053543313071 -110.688343772333 -743.134162372138</f>
        <v>-1613.8760494575422</v>
      </c>
      <c r="O3882">
        <f>-825.694875038682 -213.372945785171 -660.838867639094</f>
        <v>-1699.9066884629469</v>
      </c>
      <c r="P3882">
        <f>-769.81777110838 -146.713611742942 -356.502706221423</f>
        <v>-1273.034089072745</v>
      </c>
      <c r="Q3882">
        <f>-518.631529782656 -79.8703865115422 -347.583362607601</f>
        <v>-946.08527890179914</v>
      </c>
      <c r="R3882" t="s">
        <v>78861</v>
      </c>
      <c r="S3882" t="s">
        <v>78862</v>
      </c>
      <c r="T3882" t="s">
        <v>78863</v>
      </c>
      <c r="U3882" t="s">
        <v>78864</v>
      </c>
      <c r="V3882">
        <f>-724.677304910186 -45.5409451270418 -234.159085400055</f>
        <v>-1004.3773354372828</v>
      </c>
      <c r="W3882" t="s">
        <v>78865</v>
      </c>
      <c r="X3882" t="s">
        <v>78866</v>
      </c>
      <c r="Y3882" t="s">
        <v>78867</v>
      </c>
    </row>
    <row r="3883" spans="1:25" x14ac:dyDescent="0.3">
      <c r="A3883">
        <v>194100</v>
      </c>
      <c r="B3883" t="s">
        <v>78868</v>
      </c>
      <c r="C3883" t="s">
        <v>78869</v>
      </c>
      <c r="D3883" t="s">
        <v>78870</v>
      </c>
      <c r="E3883" t="s">
        <v>78871</v>
      </c>
      <c r="F3883">
        <f>-742.189005065205 -7.14357507589148 -578.63172936353</f>
        <v>-1327.9643095046265</v>
      </c>
      <c r="G3883">
        <f>-744.827640864162 -50.418649328479 -679.205867998336</f>
        <v>-1474.4521581909771</v>
      </c>
      <c r="H3883">
        <f>-746.512997040166 -120.908414622522 -814.218359626429</f>
        <v>-1681.6397712891171</v>
      </c>
      <c r="I3883">
        <f>-717.857814325478 -178.436175530087 -893.290563814689</f>
        <v>-1789.5845536702541</v>
      </c>
      <c r="J3883">
        <f>-732.119582221619 -64.3340166114779 -767.903283873469</f>
        <v>-1564.356882706566</v>
      </c>
      <c r="K3883" t="s">
        <v>78872</v>
      </c>
      <c r="L3883" t="s">
        <v>78873</v>
      </c>
      <c r="M3883" t="s">
        <v>78874</v>
      </c>
      <c r="N3883">
        <f>-759.415003967456 -115.10377108129 -741.055665133329</f>
        <v>-1615.5744401820748</v>
      </c>
      <c r="O3883">
        <f>-825.0357855231 -216.431238808357 -657.08905886194</f>
        <v>-1698.5560831933969</v>
      </c>
      <c r="P3883">
        <f>-767.513325256971 -146.708217736854 -353.747414070789</f>
        <v>-1267.9689570646142</v>
      </c>
      <c r="Q3883">
        <f>-516.008734203524 -80.7935951931356 -347.211398041663</f>
        <v>-944.01372743832258</v>
      </c>
      <c r="R3883" t="s">
        <v>78875</v>
      </c>
      <c r="S3883" t="s">
        <v>78876</v>
      </c>
      <c r="T3883" t="s">
        <v>78877</v>
      </c>
      <c r="U3883" t="s">
        <v>78878</v>
      </c>
      <c r="V3883">
        <f>-722.691516363533 -44.6559125207909 -234.152700988651</f>
        <v>-1001.5001298729749</v>
      </c>
      <c r="W3883" t="s">
        <v>78879</v>
      </c>
      <c r="X3883" t="s">
        <v>78880</v>
      </c>
      <c r="Y3883" t="s">
        <v>78881</v>
      </c>
    </row>
    <row r="3884" spans="1:25" x14ac:dyDescent="0.3">
      <c r="A3884">
        <v>194150</v>
      </c>
      <c r="B3884" t="s">
        <v>78882</v>
      </c>
      <c r="C3884" t="s">
        <v>78883</v>
      </c>
      <c r="D3884" t="s">
        <v>78884</v>
      </c>
      <c r="E3884" t="s">
        <v>78885</v>
      </c>
      <c r="F3884">
        <f>-741.516655185184 -8.1612953141082 -578.371231900493</f>
        <v>-1328.0491823997852</v>
      </c>
      <c r="G3884">
        <f>-744.341709196204 -52.1666821096712 -678.622783871597</f>
        <v>-1475.1311751774722</v>
      </c>
      <c r="H3884">
        <f>-746.345581666873 -123.764123464236 -813.04680099469</f>
        <v>-1683.1565061257991</v>
      </c>
      <c r="I3884">
        <f>-717.93111997276 -182.05564650312 -891.645254358166</f>
        <v>-1791.632020834046</v>
      </c>
      <c r="J3884">
        <f>-731.797357297966 -66.8305220645989 -767.2228988628</f>
        <v>-1565.8507782253648</v>
      </c>
      <c r="K3884" t="s">
        <v>78886</v>
      </c>
      <c r="L3884" t="s">
        <v>78887</v>
      </c>
      <c r="M3884" t="s">
        <v>78888</v>
      </c>
      <c r="N3884">
        <f>-759.120559402857 -117.338498291307 -739.913845784182</f>
        <v>-1616.372903478346</v>
      </c>
      <c r="O3884">
        <f>-824.693338425644 -217.970001247127 -655.073617871996</f>
        <v>-1697.7369575447669</v>
      </c>
      <c r="P3884">
        <f>-766.373766014167 -146.738127001262 -352.235413131416</f>
        <v>-1265.3473061468451</v>
      </c>
      <c r="Q3884">
        <f>-514.739722060982 -81.2027687796804 -346.993203185867</f>
        <v>-942.93569402652929</v>
      </c>
      <c r="R3884" t="s">
        <v>78889</v>
      </c>
      <c r="S3884" t="s">
        <v>78890</v>
      </c>
      <c r="T3884" t="s">
        <v>78891</v>
      </c>
      <c r="U3884" t="s">
        <v>78892</v>
      </c>
      <c r="V3884">
        <f>-721.648697120165 -44.2300551220542 -234.111198818464</f>
        <v>-999.98995106068321</v>
      </c>
      <c r="W3884" t="s">
        <v>78893</v>
      </c>
      <c r="X3884" t="s">
        <v>78894</v>
      </c>
      <c r="Y3884" t="s">
        <v>78895</v>
      </c>
    </row>
    <row r="3885" spans="1:25" x14ac:dyDescent="0.3">
      <c r="A3885">
        <v>194200</v>
      </c>
      <c r="B3885" t="s">
        <v>78896</v>
      </c>
      <c r="C3885" t="s">
        <v>78897</v>
      </c>
      <c r="D3885" t="s">
        <v>78898</v>
      </c>
      <c r="E3885" t="s">
        <v>78899</v>
      </c>
      <c r="F3885">
        <f>-740.930946719662 -9.02601719983386 -578.139788027874</f>
        <v>-1328.0967519473697</v>
      </c>
      <c r="G3885">
        <f>-743.934159891743 -53.6818345917729 -678.098238419979</f>
        <v>-1475.714232903495</v>
      </c>
      <c r="H3885">
        <f>-746.224661186245 -126.264460440703 -811.988102011028</f>
        <v>-1684.4772236379761</v>
      </c>
      <c r="I3885">
        <f>-717.997262176432 -185.273885899391 -890.11677649099</f>
        <v>-1793.3879245668129</v>
      </c>
      <c r="J3885">
        <f>-731.527692019157 -69.0177976280063 -766.603818698991</f>
        <v>-1567.1493083461542</v>
      </c>
      <c r="K3885" t="s">
        <v>78900</v>
      </c>
      <c r="L3885" t="s">
        <v>78901</v>
      </c>
      <c r="M3885" t="s">
        <v>78902</v>
      </c>
      <c r="N3885">
        <f>-758.89466971343 -119.280001614308 -738.888218416701</f>
        <v>-1617.062889744439</v>
      </c>
      <c r="O3885">
        <f>-824.364856109334 -219.289077146578 -653.225919435934</f>
        <v>-1696.8798526918461</v>
      </c>
      <c r="P3885">
        <f>-765.214918176535 -146.761990540711 -350.856433786812</f>
        <v>-1262.833342504058</v>
      </c>
      <c r="Q3885">
        <f>-513.479568598639 -81.5405488490071 -346.66537898561</f>
        <v>-941.68549643325616</v>
      </c>
      <c r="R3885" t="s">
        <v>78903</v>
      </c>
      <c r="S3885" t="s">
        <v>78904</v>
      </c>
      <c r="T3885" t="s">
        <v>78905</v>
      </c>
      <c r="U3885" t="s">
        <v>78906</v>
      </c>
      <c r="V3885">
        <f>-720.568447099028 -43.8147732400037 -234.063659893517</f>
        <v>-998.44688023254866</v>
      </c>
      <c r="W3885" t="s">
        <v>78907</v>
      </c>
      <c r="X3885" t="s">
        <v>78908</v>
      </c>
      <c r="Y3885" t="s">
        <v>78909</v>
      </c>
    </row>
    <row r="3886" spans="1:25" x14ac:dyDescent="0.3">
      <c r="A3886">
        <v>194250</v>
      </c>
      <c r="B3886" t="s">
        <v>78910</v>
      </c>
      <c r="C3886" t="s">
        <v>78911</v>
      </c>
      <c r="D3886" t="s">
        <v>78912</v>
      </c>
      <c r="E3886" t="s">
        <v>78913</v>
      </c>
      <c r="F3886">
        <f>-739.685330624741 -10.9682524782063 -577.677108441859</f>
        <v>-1328.3306915448063</v>
      </c>
      <c r="G3886">
        <f>-743.267940517379 -57.0849389399448 -676.950783814514</f>
        <v>-1477.3036632718376</v>
      </c>
      <c r="H3886">
        <f>-746.451345248938 -131.883799241809 -809.596822224931</f>
        <v>-1687.9319667156778</v>
      </c>
      <c r="I3886">
        <f>-718.917186471628 -192.466641729212 -886.762753994142</f>
        <v>-1798.1465821949821</v>
      </c>
      <c r="J3886">
        <f>-731.363543690095 -73.9295711649384 -765.250852449925</f>
        <v>-1570.5439673049582</v>
      </c>
      <c r="K3886" t="s">
        <v>78914</v>
      </c>
      <c r="L3886" t="s">
        <v>78915</v>
      </c>
      <c r="M3886" t="s">
        <v>78916</v>
      </c>
      <c r="N3886">
        <f>-758.722024327294 -123.645665080225 -736.559335621247</f>
        <v>-1618.9270250287659</v>
      </c>
      <c r="O3886">
        <f>-824.081371794788 -222.096985985346 -649.026924898191</f>
        <v>-1695.2052826783249</v>
      </c>
      <c r="P3886">
        <f>-762.643410746873 -146.832403108331 -347.784720571617</f>
        <v>-1257.2605344268211</v>
      </c>
      <c r="Q3886">
        <f>-510.584307474383 -82.7682137389081 -345.783196994012</f>
        <v>-939.13571820730306</v>
      </c>
      <c r="R3886" t="s">
        <v>78917</v>
      </c>
      <c r="S3886" t="s">
        <v>78918</v>
      </c>
      <c r="T3886" t="s">
        <v>78919</v>
      </c>
      <c r="U3886" t="s">
        <v>78920</v>
      </c>
      <c r="V3886">
        <f>-717.838191816839 -42.9870436201477 -234.035216900078</f>
        <v>-994.86045233706466</v>
      </c>
      <c r="W3886" t="s">
        <v>78921</v>
      </c>
      <c r="X3886" t="s">
        <v>78922</v>
      </c>
      <c r="Y3886" t="s">
        <v>78923</v>
      </c>
    </row>
    <row r="3887" spans="1:25" x14ac:dyDescent="0.3">
      <c r="A3887">
        <v>194300</v>
      </c>
      <c r="B3887" t="s">
        <v>78924</v>
      </c>
      <c r="C3887" t="s">
        <v>78925</v>
      </c>
      <c r="D3887" t="s">
        <v>78926</v>
      </c>
      <c r="E3887" t="s">
        <v>78927</v>
      </c>
      <c r="F3887">
        <f>-739.15381254964 -11.6080544601323 -577.501310987444</f>
        <v>-1328.2631779972162</v>
      </c>
      <c r="G3887">
        <f>-742.871351755483 -58.0776683758381 -676.605263974257</f>
        <v>-1477.5542841055781</v>
      </c>
      <c r="H3887">
        <f>-746.267293317723 -133.404651729637 -808.947034158829</f>
        <v>-1688.6189792061889</v>
      </c>
      <c r="I3887">
        <f>-718.853297374181 -194.357729802602 -885.863674874286</f>
        <v>-1799.0747020510689</v>
      </c>
      <c r="J3887">
        <f>-731.087018780087 -75.2832099394416 -764.851762543153</f>
        <v>-1571.2219912626815</v>
      </c>
      <c r="K3887" t="s">
        <v>78928</v>
      </c>
      <c r="L3887" t="s">
        <v>78929</v>
      </c>
      <c r="M3887" t="s">
        <v>78930</v>
      </c>
      <c r="N3887">
        <f>-758.442375405475 -124.866385510335 -735.927912249619</f>
        <v>-1619.236673165429</v>
      </c>
      <c r="O3887">
        <f>-823.727861199018 -222.890841166554 -647.870661697324</f>
        <v>-1694.4893640628961</v>
      </c>
      <c r="P3887">
        <f>-761.45984901213 -146.883650425375 -346.985685892577</f>
        <v>-1255.3291853300821</v>
      </c>
      <c r="Q3887">
        <f>-509.23718060061 -83.4546196983622 -345.387588742174</f>
        <v>-938.0793890411461</v>
      </c>
      <c r="R3887" t="s">
        <v>78931</v>
      </c>
      <c r="S3887" t="s">
        <v>78932</v>
      </c>
      <c r="T3887" t="s">
        <v>78933</v>
      </c>
      <c r="U3887" t="s">
        <v>78934</v>
      </c>
      <c r="V3887">
        <f>-716.9976894568 -42.895492300629 -233.959790410285</f>
        <v>-993.85297216771403</v>
      </c>
      <c r="W3887" t="s">
        <v>78935</v>
      </c>
      <c r="X3887" t="s">
        <v>78936</v>
      </c>
      <c r="Y3887" t="s">
        <v>78937</v>
      </c>
    </row>
    <row r="3888" spans="1:25" x14ac:dyDescent="0.3">
      <c r="A3888">
        <v>194350</v>
      </c>
      <c r="B3888" t="s">
        <v>78938</v>
      </c>
      <c r="C3888" t="s">
        <v>78939</v>
      </c>
      <c r="D3888" t="s">
        <v>78940</v>
      </c>
      <c r="E3888" t="s">
        <v>78941</v>
      </c>
      <c r="F3888">
        <f>-737.991314952018 -12.770360938584 -577.177192339004</f>
        <v>-1327.938868229606</v>
      </c>
      <c r="G3888">
        <f>-742.072542876722 -59.6172326710778 -676.08902909054</f>
        <v>-1477.7788046383398</v>
      </c>
      <c r="H3888">
        <f>-746.062271974431 -135.467882207306 -808.114661999427</f>
        <v>-1689.6448161811641</v>
      </c>
      <c r="I3888">
        <f>-718.996533834748 -196.708468023437 -884.92622167099</f>
        <v>-1800.631223529175</v>
      </c>
      <c r="J3888">
        <f>-730.638138629428 -77.1922152531042 -764.308783259884</f>
        <v>-1572.1391371424161</v>
      </c>
      <c r="K3888" t="s">
        <v>78942</v>
      </c>
      <c r="L3888" t="s">
        <v>78943</v>
      </c>
      <c r="M3888" t="s">
        <v>78944</v>
      </c>
      <c r="N3888">
        <f>-757.955880095103 -126.620598666634 -735.086039427877</f>
        <v>-1619.662518189614</v>
      </c>
      <c r="O3888">
        <f>-822.877683870792 -224.232783717404 -646.309555083484</f>
        <v>-1693.4200226716803</v>
      </c>
      <c r="P3888">
        <f>-759.712318865074 -147.696836072237 -345.74595000144</f>
        <v>-1253.155104938751</v>
      </c>
      <c r="Q3888">
        <f>-507.191227255626 -85.4596708798242 -344.452597957851</f>
        <v>-937.10349609330126</v>
      </c>
      <c r="R3888" t="s">
        <v>78945</v>
      </c>
      <c r="S3888" t="s">
        <v>78946</v>
      </c>
      <c r="T3888" t="s">
        <v>78947</v>
      </c>
      <c r="U3888" t="s">
        <v>78948</v>
      </c>
      <c r="V3888">
        <f>-715.353465730499 -43.0353485169812 -233.77178858806</f>
        <v>-992.1606028355402</v>
      </c>
      <c r="W3888" t="s">
        <v>78949</v>
      </c>
      <c r="X3888" t="s">
        <v>78950</v>
      </c>
      <c r="Y3888" t="s">
        <v>78951</v>
      </c>
    </row>
    <row r="3889" spans="1:25" x14ac:dyDescent="0.3">
      <c r="A3889">
        <v>194400</v>
      </c>
      <c r="B3889" t="s">
        <v>78952</v>
      </c>
      <c r="C3889" t="s">
        <v>78953</v>
      </c>
      <c r="D3889" t="s">
        <v>78954</v>
      </c>
      <c r="E3889" t="s">
        <v>78955</v>
      </c>
      <c r="F3889">
        <f>-737.73839009932 -13.1056650702735 -577.140090668571</f>
        <v>-1327.9841458381645</v>
      </c>
      <c r="G3889">
        <f>-742.056518257667 -59.8786644493384 -676.076853483723</f>
        <v>-1478.0120361907284</v>
      </c>
      <c r="H3889">
        <f>-746.391157781331 -135.590158155946 -808.171538685305</f>
        <v>-1690.152854622582</v>
      </c>
      <c r="I3889">
        <f>-719.522592850959 -196.644347679674 -885.200318523542</f>
        <v>-1801.3672590541751</v>
      </c>
      <c r="J3889">
        <f>-730.850223680007 -77.3615851012682 -764.344155355923</f>
        <v>-1572.5559641371983</v>
      </c>
      <c r="K3889" t="s">
        <v>78956</v>
      </c>
      <c r="L3889" t="s">
        <v>78957</v>
      </c>
      <c r="M3889" t="s">
        <v>78958</v>
      </c>
      <c r="N3889">
        <f>-758.096182385858 -126.81872483083 -735.103180076287</f>
        <v>-1620.018087292975</v>
      </c>
      <c r="O3889">
        <f>-822.790188418049 -224.49906900917 -646.206411954345</f>
        <v>-1693.4956693815639</v>
      </c>
      <c r="P3889">
        <f>-759.010224024065 -147.478642848235 -345.896280136092</f>
        <v>-1252.3851470083921</v>
      </c>
      <c r="Q3889">
        <f>-506.288781160119 -86.0672279315913 -344.293603346717</f>
        <v>-936.64961243842731</v>
      </c>
      <c r="R3889" t="s">
        <v>78959</v>
      </c>
      <c r="S3889" t="s">
        <v>78960</v>
      </c>
      <c r="T3889" t="s">
        <v>78961</v>
      </c>
      <c r="U3889" t="s">
        <v>78962</v>
      </c>
      <c r="V3889">
        <f>-714.534408791724 -43.2883621562596 -233.677671020894</f>
        <v>-991.50044196887757</v>
      </c>
      <c r="W3889" t="s">
        <v>78963</v>
      </c>
      <c r="X3889" t="s">
        <v>78964</v>
      </c>
      <c r="Y3889" t="s">
        <v>78965</v>
      </c>
    </row>
    <row r="3890" spans="1:25" x14ac:dyDescent="0.3">
      <c r="A3890">
        <v>194450</v>
      </c>
      <c r="B3890" t="s">
        <v>78966</v>
      </c>
      <c r="C3890" t="s">
        <v>78967</v>
      </c>
      <c r="D3890" t="s">
        <v>78968</v>
      </c>
      <c r="E3890" t="s">
        <v>78969</v>
      </c>
      <c r="F3890">
        <f>-736.704812013836 -13.7565622191144 -577.123540084525</f>
        <v>-1327.5849143174753</v>
      </c>
      <c r="G3890">
        <f>-741.229613705314 -60.1756726414847 -676.217745764286</f>
        <v>-1477.6230321110847</v>
      </c>
      <c r="H3890">
        <f>-745.880403458054 -135.302115060217 -808.635292197668</f>
        <v>-1689.8178107159392</v>
      </c>
      <c r="I3890">
        <f>-719.647105730499 -195.278456576356 -886.722610274633</f>
        <v>-1801.6481725814879</v>
      </c>
      <c r="J3890">
        <f>-730.28088669047 -77.2479944423173 -764.597744790489</f>
        <v>-1572.1266259232762</v>
      </c>
      <c r="K3890" t="s">
        <v>78970</v>
      </c>
      <c r="L3890" t="s">
        <v>78971</v>
      </c>
      <c r="M3890" t="s">
        <v>78972</v>
      </c>
      <c r="N3890">
        <f>-757.364101733855 -126.873827664602 -735.491515460726</f>
        <v>-1619.7294448591829</v>
      </c>
      <c r="O3890">
        <f>-821.702557784083 -224.823421130239 -646.68087118875</f>
        <v>-1693.2068501030719</v>
      </c>
      <c r="P3890">
        <f>-757.269241674165 -148.572314087533 -346.313819923661</f>
        <v>-1252.1553756853589</v>
      </c>
      <c r="Q3890">
        <f>-504.19034635049 -88.6664518292241 -344.218192621691</f>
        <v>-937.07499080140519</v>
      </c>
      <c r="R3890" t="s">
        <v>78973</v>
      </c>
      <c r="S3890" t="s">
        <v>78974</v>
      </c>
      <c r="T3890" t="s">
        <v>78975</v>
      </c>
      <c r="U3890" t="s">
        <v>78976</v>
      </c>
      <c r="V3890">
        <f>-713.063087882154 -44.2705823776389 -233.52891922663</f>
        <v>-990.86258948642296</v>
      </c>
      <c r="W3890" t="s">
        <v>78977</v>
      </c>
      <c r="X3890" t="s">
        <v>78978</v>
      </c>
      <c r="Y3890" t="s">
        <v>78979</v>
      </c>
    </row>
    <row r="3891" spans="1:25" x14ac:dyDescent="0.3">
      <c r="A3891">
        <v>194500</v>
      </c>
      <c r="B3891" t="s">
        <v>78980</v>
      </c>
      <c r="C3891" t="s">
        <v>78981</v>
      </c>
      <c r="D3891" t="s">
        <v>78982</v>
      </c>
      <c r="E3891" t="s">
        <v>78983</v>
      </c>
      <c r="F3891">
        <f>-736.341052827457 -13.998850535424 -577.169800454137</f>
        <v>-1327.5097038170179</v>
      </c>
      <c r="G3891">
        <f>-740.860910016806 -60.1369720857042 -676.395296703966</f>
        <v>-1477.393178806476</v>
      </c>
      <c r="H3891">
        <f>-745.474889148054 -134.824328542423 -809.062246440536</f>
        <v>-1689.361464131013</v>
      </c>
      <c r="I3891">
        <f>-719.640650806042 -193.94577168163 -887.930630171889</f>
        <v>-1801.5170526595612</v>
      </c>
      <c r="J3891">
        <f>-729.946547326387 -76.8914233381017 -764.840257470822</f>
        <v>-1571.6782281353107</v>
      </c>
      <c r="K3891" t="s">
        <v>78984</v>
      </c>
      <c r="L3891" t="s">
        <v>78985</v>
      </c>
      <c r="M3891" t="s">
        <v>78986</v>
      </c>
      <c r="N3891">
        <f>-756.920094156891 -126.663489659645 -735.882129549997</f>
        <v>-1619.465713366533</v>
      </c>
      <c r="O3891">
        <f>-821.05493777533 -224.947541397299 -647.27643257076</f>
        <v>-1693.278911743389</v>
      </c>
      <c r="P3891">
        <f>-756.209156733136 -149.249020158725 -346.858499202805</f>
        <v>-1252.316676094666</v>
      </c>
      <c r="Q3891">
        <f>-503.108611762686 -89.4190342159629 -345.252699981516</f>
        <v>-937.78034596016494</v>
      </c>
      <c r="R3891" t="s">
        <v>78987</v>
      </c>
      <c r="S3891" t="s">
        <v>78988</v>
      </c>
      <c r="T3891" t="s">
        <v>78989</v>
      </c>
      <c r="U3891" t="s">
        <v>78990</v>
      </c>
      <c r="V3891">
        <f>-712.523896825775 -44.9234304656011 -233.464989342558</f>
        <v>-990.9123166339341</v>
      </c>
      <c r="W3891" t="s">
        <v>78991</v>
      </c>
      <c r="X3891" t="s">
        <v>78992</v>
      </c>
      <c r="Y3891" t="s">
        <v>78993</v>
      </c>
    </row>
    <row r="3892" spans="1:25" x14ac:dyDescent="0.3">
      <c r="A3892">
        <v>194550</v>
      </c>
      <c r="B3892" t="s">
        <v>78994</v>
      </c>
      <c r="C3892" t="s">
        <v>78995</v>
      </c>
      <c r="D3892" t="s">
        <v>78996</v>
      </c>
      <c r="E3892" t="s">
        <v>78997</v>
      </c>
      <c r="F3892">
        <f>-736.073063321733 -14.208074295555 -577.45653989762</f>
        <v>-1327.737677514908</v>
      </c>
      <c r="G3892">
        <f>-740.625339595854 -59.6472069935462 -677.002564833454</f>
        <v>-1477.2751114228543</v>
      </c>
      <c r="H3892">
        <f>-745.229324847887 -133.248168708472 -810.275645947844</f>
        <v>-1688.7531395042031</v>
      </c>
      <c r="I3892">
        <f>-720.106453251813 -190.406524100812 -890.803590507445</f>
        <v>-1801.3165678600701</v>
      </c>
      <c r="J3892">
        <f>-729.826513892601 -75.6268652758013 -765.605110450944</f>
        <v>-1571.0584896193463</v>
      </c>
      <c r="K3892" t="s">
        <v>78998</v>
      </c>
      <c r="L3892" t="s">
        <v>78999</v>
      </c>
      <c r="M3892" t="s">
        <v>79000</v>
      </c>
      <c r="N3892">
        <f>-756.557816438652 -125.737094568173 -737.00787062289</f>
        <v>-1619.3027816297149</v>
      </c>
      <c r="O3892">
        <f>-819.955174153869 -225.06445055461 -649.0409926073</f>
        <v>-1694.0606173157792</v>
      </c>
      <c r="P3892">
        <f>-755.250438555039 -151.274238272323 -348.118252630684</f>
        <v>-1254.642929458046</v>
      </c>
      <c r="Q3892">
        <f>-502.695700189304 -89.1723426903616 -349.35815528769</f>
        <v>-941.22619816735562</v>
      </c>
      <c r="R3892" t="s">
        <v>79001</v>
      </c>
      <c r="S3892" t="s">
        <v>79002</v>
      </c>
      <c r="T3892" t="s">
        <v>79003</v>
      </c>
      <c r="U3892" t="s">
        <v>79004</v>
      </c>
      <c r="V3892">
        <f>-711.880270385813 -46.234539374884 -233.434579206546</f>
        <v>-991.54938896724298</v>
      </c>
      <c r="W3892" t="s">
        <v>79005</v>
      </c>
      <c r="X3892" t="s">
        <v>79006</v>
      </c>
      <c r="Y3892" t="s">
        <v>79007</v>
      </c>
    </row>
    <row r="3893" spans="1:25" x14ac:dyDescent="0.3">
      <c r="A3893">
        <v>194600</v>
      </c>
      <c r="B3893" t="s">
        <v>79008</v>
      </c>
      <c r="C3893" t="s">
        <v>79009</v>
      </c>
      <c r="D3893" t="s">
        <v>79010</v>
      </c>
      <c r="E3893" t="s">
        <v>79011</v>
      </c>
      <c r="F3893">
        <f>-736.16105541787 -14.0623333785163 -577.689533838451</f>
        <v>-1327.9129226348373</v>
      </c>
      <c r="G3893">
        <f>-740.687110631598 -59.03532195599 -677.448231710146</f>
        <v>-1477.170664297734</v>
      </c>
      <c r="H3893">
        <f>-745.196095528658 -131.911320258961 -811.122313732961</f>
        <v>-1688.2297295205799</v>
      </c>
      <c r="I3893">
        <f>-720.085952460882 -188.040847640388 -892.374660984956</f>
        <v>-1800.5014610862258</v>
      </c>
      <c r="J3893">
        <f>-729.923647773501 -74.4921244172158 -766.147710356353</f>
        <v>-1570.5634825470697</v>
      </c>
      <c r="K3893" t="s">
        <v>79012</v>
      </c>
      <c r="L3893" t="s">
        <v>79013</v>
      </c>
      <c r="M3893" t="s">
        <v>79014</v>
      </c>
      <c r="N3893">
        <f>-756.478283560918 -124.839667837354 -737.803765340336</f>
        <v>-1619.121716738608</v>
      </c>
      <c r="O3893">
        <f>-819.546845033002 -224.822235021094 -650.334545692876</f>
        <v>-1694.703625746972</v>
      </c>
      <c r="P3893">
        <f>-754.437615047466 -152.061351469535 -349.248573843532</f>
        <v>-1255.7475403605331</v>
      </c>
      <c r="Q3893">
        <f>-502.169738272992 -88.8335141496759 -351.542035795119</f>
        <v>-942.54528821778683</v>
      </c>
      <c r="R3893" t="s">
        <v>79015</v>
      </c>
      <c r="S3893" t="s">
        <v>79016</v>
      </c>
      <c r="T3893" t="s">
        <v>79017</v>
      </c>
      <c r="U3893" t="s">
        <v>79018</v>
      </c>
      <c r="V3893">
        <f>-711.744753100828 -46.8761400717465 -233.465804127748</f>
        <v>-992.0866973003225</v>
      </c>
      <c r="W3893" t="s">
        <v>79019</v>
      </c>
      <c r="X3893" t="s">
        <v>79020</v>
      </c>
      <c r="Y3893" t="s">
        <v>79021</v>
      </c>
    </row>
    <row r="3894" spans="1:25" x14ac:dyDescent="0.3">
      <c r="A3894">
        <v>194650</v>
      </c>
      <c r="B3894" t="s">
        <v>79022</v>
      </c>
      <c r="C3894" t="s">
        <v>79023</v>
      </c>
      <c r="D3894" t="s">
        <v>79024</v>
      </c>
      <c r="E3894" t="s">
        <v>79025</v>
      </c>
      <c r="F3894">
        <f>-736.517388983301 -13.4202969367475 -578.178670655519</f>
        <v>-1328.1163565755674</v>
      </c>
      <c r="G3894">
        <f>-741.098742268166 -57.4688048463549 -678.346418792442</f>
        <v>-1476.9139659069629</v>
      </c>
      <c r="H3894">
        <f>-745.623672651588 -128.922689276294 -812.785670451387</f>
        <v>-1687.3320323792691</v>
      </c>
      <c r="I3894">
        <f>-720.424936500992 -183.150291346179 -895.292371966338</f>
        <v>-1798.8675998135091</v>
      </c>
      <c r="J3894">
        <f>-730.521366569689 -71.9106740163995 -767.239135272368</f>
        <v>-1569.6711758584565</v>
      </c>
      <c r="K3894" t="s">
        <v>79026</v>
      </c>
      <c r="L3894" t="s">
        <v>79027</v>
      </c>
      <c r="M3894" t="s">
        <v>79028</v>
      </c>
      <c r="N3894">
        <f>-756.721662266915 -122.702404412752 -739.361749684277</f>
        <v>-1618.7858163639439</v>
      </c>
      <c r="O3894">
        <f>-819.062098393222 -223.864079574861 -652.745433475974</f>
        <v>-1695.6716114440569</v>
      </c>
      <c r="P3894">
        <f>-752.967641593933 -153.145041619347 -351.387705866478</f>
        <v>-1257.500389079758</v>
      </c>
      <c r="Q3894">
        <f>-501.013622336278 -88.7526465224823 -355.243000131988</f>
        <v>-945.0092689907483</v>
      </c>
      <c r="R3894" t="s">
        <v>79029</v>
      </c>
      <c r="S3894" t="s">
        <v>79030</v>
      </c>
      <c r="T3894" t="s">
        <v>79031</v>
      </c>
      <c r="U3894" t="s">
        <v>79032</v>
      </c>
      <c r="V3894">
        <f>-711.784255159429 -47.9463556092041 -233.641484772918</f>
        <v>-993.37209554155118</v>
      </c>
      <c r="W3894" t="s">
        <v>79033</v>
      </c>
      <c r="X3894" t="s">
        <v>79034</v>
      </c>
      <c r="Y3894" t="s">
        <v>79035</v>
      </c>
    </row>
    <row r="3895" spans="1:25" x14ac:dyDescent="0.3">
      <c r="A3895">
        <v>194700</v>
      </c>
      <c r="B3895" t="s">
        <v>79036</v>
      </c>
      <c r="C3895" t="s">
        <v>79037</v>
      </c>
      <c r="D3895" t="s">
        <v>79038</v>
      </c>
      <c r="E3895" t="s">
        <v>79039</v>
      </c>
      <c r="F3895">
        <f>-736.77631678501 -12.9778193922305 -578.359420327213</f>
        <v>-1328.1135565044533</v>
      </c>
      <c r="G3895">
        <f>-741.313139383443 -56.6310956409054 -678.702095706451</f>
        <v>-1476.6463307307995</v>
      </c>
      <c r="H3895">
        <f>-745.71607193085 -127.490850589952 -813.459335941772</f>
        <v>-1686.666258462574</v>
      </c>
      <c r="I3895">
        <f>-720.320892368291 -180.897945593525 -896.439748562325</f>
        <v>-1797.6585865241409</v>
      </c>
      <c r="J3895">
        <f>-730.733285507124 -70.6483037116625 -767.662446476729</f>
        <v>-1569.0440356955155</v>
      </c>
      <c r="K3895" t="s">
        <v>79040</v>
      </c>
      <c r="L3895" t="s">
        <v>79041</v>
      </c>
      <c r="M3895" t="s">
        <v>79042</v>
      </c>
      <c r="N3895">
        <f>-756.802527246403 -121.626903390812 -740.004393527607</f>
        <v>-1618.433824164822</v>
      </c>
      <c r="O3895">
        <f>-818.898816097795 -223.29490357822 -653.797098055408</f>
        <v>-1695.990817731423</v>
      </c>
      <c r="P3895">
        <f>-752.481835045628 -153.912484163554 -352.19967270436</f>
        <v>-1258.5939919135421</v>
      </c>
      <c r="Q3895">
        <f>-500.865026056397 -88.280247009448 -357.045768949983</f>
        <v>-946.19104201582809</v>
      </c>
      <c r="R3895" t="s">
        <v>79043</v>
      </c>
      <c r="S3895" t="s">
        <v>79044</v>
      </c>
      <c r="T3895" t="s">
        <v>79045</v>
      </c>
      <c r="U3895" t="s">
        <v>79046</v>
      </c>
      <c r="V3895">
        <f>-711.883313185924 -48.3329422836187 -233.706781948081</f>
        <v>-993.92303741762362</v>
      </c>
      <c r="W3895" t="s">
        <v>79047</v>
      </c>
      <c r="X3895" t="s">
        <v>79048</v>
      </c>
      <c r="Y3895" t="s">
        <v>79049</v>
      </c>
    </row>
    <row r="3896" spans="1:25" x14ac:dyDescent="0.3">
      <c r="A3896">
        <v>194750</v>
      </c>
      <c r="B3896" t="s">
        <v>79050</v>
      </c>
      <c r="C3896" t="s">
        <v>79051</v>
      </c>
      <c r="D3896" t="s">
        <v>79052</v>
      </c>
      <c r="E3896" t="s">
        <v>79053</v>
      </c>
      <c r="F3896">
        <f>-737.418650926211 -12.2642333642614 -578.500157912035</f>
        <v>-1328.1830422025073</v>
      </c>
      <c r="G3896">
        <f>-741.830268900068 -55.2187820199695 -679.149558739344</f>
        <v>-1476.1986096593814</v>
      </c>
      <c r="H3896">
        <f>-745.940914421028 -125.002844133188 -814.476104277218</f>
        <v>-1685.4198628314339</v>
      </c>
      <c r="I3896">
        <f>-720.145056506308 -176.965215195364 -898.24644867668</f>
        <v>-1795.3567203783518</v>
      </c>
      <c r="J3896">
        <f>-731.235613171167 -68.4541504602391 -768.227868986208</f>
        <v>-1567.9176326176141</v>
      </c>
      <c r="K3896" t="s">
        <v>79054</v>
      </c>
      <c r="L3896" t="s">
        <v>79055</v>
      </c>
      <c r="M3896" t="s">
        <v>79056</v>
      </c>
      <c r="N3896">
        <f>-757.008622044612 -119.797050352037 -740.968729085813</f>
        <v>-1617.7744014824621</v>
      </c>
      <c r="O3896">
        <f>-818.577415010735 -222.420445569411 -655.542778084674</f>
        <v>-1696.5406386648199</v>
      </c>
      <c r="P3896">
        <f>-751.791624091172 -154.66261803598 -353.657478855996</f>
        <v>-1260.111720983148</v>
      </c>
      <c r="Q3896">
        <f>-501.122421288168 -85.6161695501237 -359.94533304268</f>
        <v>-946.68392388097175</v>
      </c>
      <c r="R3896" t="s">
        <v>79057</v>
      </c>
      <c r="S3896" t="s">
        <v>79058</v>
      </c>
      <c r="T3896" t="s">
        <v>79059</v>
      </c>
      <c r="U3896" t="s">
        <v>79060</v>
      </c>
      <c r="V3896">
        <f>-712.505519822862 -48.9754631033716 -233.683650350867</f>
        <v>-995.16463327710051</v>
      </c>
      <c r="W3896" t="s">
        <v>79061</v>
      </c>
      <c r="X3896" t="s">
        <v>79062</v>
      </c>
      <c r="Y3896" t="s">
        <v>79063</v>
      </c>
    </row>
    <row r="3897" spans="1:25" x14ac:dyDescent="0.3">
      <c r="A3897">
        <v>194800</v>
      </c>
      <c r="B3897" t="s">
        <v>79064</v>
      </c>
      <c r="C3897" t="s">
        <v>79065</v>
      </c>
      <c r="D3897" t="s">
        <v>79066</v>
      </c>
      <c r="E3897" t="s">
        <v>79067</v>
      </c>
      <c r="F3897">
        <f>-738.25819590435 -11.9092759469236 -578.523717002755</f>
        <v>-1328.6911888540285</v>
      </c>
      <c r="G3897">
        <f>-742.635110487984 -54.5462086093733 -679.309641289566</f>
        <v>-1476.4909603869232</v>
      </c>
      <c r="H3897">
        <f>-746.628813231663 -123.837825562468 -814.89238074801</f>
        <v>-1685.3590195421411</v>
      </c>
      <c r="I3897">
        <f>-720.647217651121 -175.180066645732 -898.987118934616</f>
        <v>-1794.814403231469</v>
      </c>
      <c r="J3897">
        <f>-732.04701306594 -67.4237350816727 -768.441054207831</f>
        <v>-1567.9118023554438</v>
      </c>
      <c r="K3897" t="s">
        <v>79068</v>
      </c>
      <c r="L3897" t="s">
        <v>79069</v>
      </c>
      <c r="M3897" t="s">
        <v>79070</v>
      </c>
      <c r="N3897">
        <f>-757.676461566377 -118.933165225061 -741.361494146242</f>
        <v>-1617.9711209376801</v>
      </c>
      <c r="O3897">
        <f>-819.025264731289 -221.990510158748 -656.270956093207</f>
        <v>-1697.2867309832441</v>
      </c>
      <c r="P3897">
        <f>-751.704104006232 -154.341850637555 -354.480017103378</f>
        <v>-1260.5259717471649</v>
      </c>
      <c r="Q3897">
        <f>-501.291344191201 -84.4659537101841 -361.75184340908</f>
        <v>-947.50914131046511</v>
      </c>
      <c r="R3897" t="s">
        <v>79071</v>
      </c>
      <c r="S3897" t="s">
        <v>79072</v>
      </c>
      <c r="T3897" t="s">
        <v>79073</v>
      </c>
      <c r="U3897" t="s">
        <v>79074</v>
      </c>
      <c r="V3897">
        <f>-713.134680834245 -49.2273750750624 -233.634256657037</f>
        <v>-995.99631256634439</v>
      </c>
      <c r="W3897" t="s">
        <v>79075</v>
      </c>
      <c r="X3897" t="s">
        <v>79076</v>
      </c>
      <c r="Y3897" t="s">
        <v>79077</v>
      </c>
    </row>
    <row r="3898" spans="1:25" x14ac:dyDescent="0.3">
      <c r="A3898">
        <v>194850</v>
      </c>
      <c r="B3898" t="s">
        <v>79078</v>
      </c>
      <c r="C3898" t="s">
        <v>79079</v>
      </c>
      <c r="D3898" t="s">
        <v>79080</v>
      </c>
      <c r="E3898" t="s">
        <v>79081</v>
      </c>
      <c r="F3898">
        <f>-739.547845314351 -11.2409714216637 -578.554103924565</f>
        <v>-1329.3429206605797</v>
      </c>
      <c r="G3898">
        <f>-743.877959859012 -53.3655138014942 -679.557237184094</f>
        <v>-1476.8007108446002</v>
      </c>
      <c r="H3898">
        <f>-747.753364923894 -121.864788144494 -815.545513571779</f>
        <v>-1685.1636666401669</v>
      </c>
      <c r="I3898">
        <f>-721.430717069391 -172.130835550268 -900.182560693856</f>
        <v>-1793.7441133135148</v>
      </c>
      <c r="J3898">
        <f>-733.366951271248 -65.6603370665059 -768.779965795012</f>
        <v>-1567.807254132766</v>
      </c>
      <c r="K3898" t="s">
        <v>79082</v>
      </c>
      <c r="L3898" t="s">
        <v>79083</v>
      </c>
      <c r="M3898" t="s">
        <v>79084</v>
      </c>
      <c r="N3898">
        <f>-758.710204960239 -117.451544675259 -741.969760025265</f>
        <v>-1618.1315096607632</v>
      </c>
      <c r="O3898">
        <f>-819.572247072067 -221.216383040678 -657.392608726613</f>
        <v>-1698.1812388393582</v>
      </c>
      <c r="P3898">
        <f>-752.410774535275 -153.57322326423 -355.565043741564</f>
        <v>-1261.5490415410691</v>
      </c>
      <c r="Q3898">
        <f>-502.052791512652 -83.7864549820429 -365.195763797392</f>
        <v>-951.03501029208678</v>
      </c>
      <c r="R3898" t="s">
        <v>79085</v>
      </c>
      <c r="S3898" t="s">
        <v>79086</v>
      </c>
      <c r="T3898" t="s">
        <v>79087</v>
      </c>
      <c r="U3898" t="s">
        <v>79088</v>
      </c>
      <c r="V3898">
        <f>-714.006621414279 -49.5077607648309 -233.596944058698</f>
        <v>-997.11132623780793</v>
      </c>
      <c r="W3898" t="s">
        <v>79089</v>
      </c>
      <c r="X3898" t="s">
        <v>79090</v>
      </c>
      <c r="Y3898" t="s">
        <v>79091</v>
      </c>
    </row>
    <row r="3899" spans="1:25" x14ac:dyDescent="0.3">
      <c r="A3899">
        <v>194900</v>
      </c>
      <c r="B3899" t="s">
        <v>79092</v>
      </c>
      <c r="C3899" t="s">
        <v>79093</v>
      </c>
      <c r="D3899" t="s">
        <v>79094</v>
      </c>
      <c r="E3899" t="s">
        <v>79095</v>
      </c>
      <c r="F3899">
        <f>-739.994160990113 -10.8485490006287 -578.550409887656</f>
        <v>-1329.3931198783976</v>
      </c>
      <c r="G3899">
        <f>-744.236921886811 -52.7870964840356 -679.634689103595</f>
        <v>-1476.6587074744416</v>
      </c>
      <c r="H3899">
        <f>-747.95612608072 -121.005803767007 -815.768450261023</f>
        <v>-1684.7303801087501</v>
      </c>
      <c r="I3899">
        <f>-721.43096405059 -170.857577117913 -900.58702073275</f>
        <v>-1792.8755619012531</v>
      </c>
      <c r="J3899">
        <f>-733.678988686387 -64.8757237887958 -768.880096806895</f>
        <v>-1567.4348092820778</v>
      </c>
      <c r="K3899" t="s">
        <v>79096</v>
      </c>
      <c r="L3899" t="s">
        <v>79097</v>
      </c>
      <c r="M3899" t="s">
        <v>79098</v>
      </c>
      <c r="N3899">
        <f>-758.941893302169 -116.76644830062 -742.186707850239</f>
        <v>-1617.8950494530282</v>
      </c>
      <c r="O3899">
        <f>-819.679933353681 -220.788589007917 -657.853803208383</f>
        <v>-1698.3223255699809</v>
      </c>
      <c r="P3899">
        <f>-752.914568865046 -153.649744110429 -355.825733273739</f>
        <v>-1262.390046249214</v>
      </c>
      <c r="Q3899">
        <f>-502.339582350668 -84.7029597368482 -365.853936621992</f>
        <v>-952.8964787095083</v>
      </c>
      <c r="R3899" t="s">
        <v>79099</v>
      </c>
      <c r="S3899" t="s">
        <v>79100</v>
      </c>
      <c r="T3899" t="s">
        <v>79101</v>
      </c>
      <c r="U3899" t="s">
        <v>79102</v>
      </c>
      <c r="V3899">
        <f>-714.406999276766 -49.518622852185 -233.574991283266</f>
        <v>-997.50061341221704</v>
      </c>
      <c r="W3899" t="s">
        <v>79103</v>
      </c>
      <c r="X3899" t="s">
        <v>79104</v>
      </c>
      <c r="Y3899" t="s">
        <v>79105</v>
      </c>
    </row>
    <row r="3900" spans="1:25" x14ac:dyDescent="0.3">
      <c r="A3900">
        <v>194950</v>
      </c>
      <c r="B3900" t="s">
        <v>79106</v>
      </c>
      <c r="C3900" t="s">
        <v>79107</v>
      </c>
      <c r="D3900" t="s">
        <v>79108</v>
      </c>
      <c r="E3900" t="s">
        <v>79109</v>
      </c>
      <c r="F3900">
        <f>-740.631276079829 -9.86638078169517 -578.618957494207</f>
        <v>-1329.1166143557311</v>
      </c>
      <c r="G3900">
        <f>-744.775977240858 -51.376553968375 -679.883775822791</f>
        <v>-1476.0363070320241</v>
      </c>
      <c r="H3900">
        <f>-748.308631435899 -118.931977702603 -816.35290930001</f>
        <v>-1683.5935184385121</v>
      </c>
      <c r="I3900">
        <f>-721.355972220776 -168.100784348331 -901.434867965483</f>
        <v>-1790.8916245345899</v>
      </c>
      <c r="J3900">
        <f>-734.165337835794 -63.0031778412033 -769.184456234369</f>
        <v>-1566.3529719113662</v>
      </c>
      <c r="K3900" t="s">
        <v>79110</v>
      </c>
      <c r="L3900" t="s">
        <v>79111</v>
      </c>
      <c r="M3900" t="s">
        <v>79112</v>
      </c>
      <c r="N3900">
        <f>-759.325727832972 -115.078395519404 -742.754545535319</f>
        <v>-1617.1586688876951</v>
      </c>
      <c r="O3900">
        <f>-820.050512734137 -219.538630811588 -658.932511848834</f>
        <v>-1698.5216553945588</v>
      </c>
      <c r="P3900">
        <f>-752.933408933837 -152.577162698115 -356.942947688691</f>
        <v>-1262.453519320643</v>
      </c>
      <c r="Q3900">
        <f>-501.892874685112 -85.2090521423149 -366.014682376797</f>
        <v>-953.11660920422401</v>
      </c>
      <c r="R3900" t="s">
        <v>79113</v>
      </c>
      <c r="S3900" t="s">
        <v>79114</v>
      </c>
      <c r="T3900" t="s">
        <v>79115</v>
      </c>
      <c r="U3900" t="s">
        <v>79116</v>
      </c>
      <c r="V3900">
        <f>-714.723963082773 -49.3175538817668 -233.580064986024</f>
        <v>-997.62158195056384</v>
      </c>
      <c r="W3900" t="s">
        <v>79117</v>
      </c>
      <c r="X3900" t="s">
        <v>79118</v>
      </c>
      <c r="Y3900" t="s">
        <v>79119</v>
      </c>
    </row>
    <row r="3901" spans="1:25" x14ac:dyDescent="0.3">
      <c r="A3901">
        <v>195000</v>
      </c>
      <c r="B3901" t="s">
        <v>79120</v>
      </c>
      <c r="C3901" t="s">
        <v>79121</v>
      </c>
      <c r="D3901" t="s">
        <v>79122</v>
      </c>
      <c r="E3901" t="s">
        <v>79123</v>
      </c>
      <c r="F3901">
        <f>-740.834796804978 -9.34419729444926 -578.682629677044</f>
        <v>-1328.8616237764713</v>
      </c>
      <c r="G3901">
        <f>-744.978466914147 -50.6533075077662 -680.029855278655</f>
        <v>-1475.661629700568</v>
      </c>
      <c r="H3901">
        <f>-748.490083538828 -117.895797977022 -816.653736280505</f>
        <v>-1683.0396177963548</v>
      </c>
      <c r="I3901">
        <f>-721.357913662692 -166.804212964516 -901.828841611991</f>
        <v>-1789.990968239199</v>
      </c>
      <c r="J3901">
        <f>-734.407521505001 -62.0541663473336 -769.364227946621</f>
        <v>-1565.8259157989555</v>
      </c>
      <c r="K3901" t="s">
        <v>79124</v>
      </c>
      <c r="L3901" t="s">
        <v>79125</v>
      </c>
      <c r="M3901" t="s">
        <v>79126</v>
      </c>
      <c r="N3901">
        <f>-759.465059354809 -114.231963102302 -743.039627503541</f>
        <v>-1616.7366499606519</v>
      </c>
      <c r="O3901">
        <f>-820.123621332792 -218.848795771233 -659.371988081499</f>
        <v>-1698.344405185524</v>
      </c>
      <c r="P3901">
        <f>-752.606202949399 -151.495584665255 -357.559068207956</f>
        <v>-1261.6608558226098</v>
      </c>
      <c r="Q3901">
        <f>-501.475787598912 -84.3702445719071 -365.912279772901</f>
        <v>-951.75831194372006</v>
      </c>
      <c r="R3901" t="s">
        <v>79127</v>
      </c>
      <c r="S3901" t="s">
        <v>79128</v>
      </c>
      <c r="T3901" t="s">
        <v>79129</v>
      </c>
      <c r="U3901" t="s">
        <v>79130</v>
      </c>
      <c r="V3901">
        <f>-714.789702150113 -49.1810337501481 -233.596617664848</f>
        <v>-997.56735356510922</v>
      </c>
      <c r="W3901" t="s">
        <v>79131</v>
      </c>
      <c r="X3901" t="s">
        <v>79132</v>
      </c>
      <c r="Y3901" t="s">
        <v>79133</v>
      </c>
    </row>
    <row r="3902" spans="1:25" x14ac:dyDescent="0.3">
      <c r="A3902">
        <v>195050</v>
      </c>
      <c r="B3902" t="s">
        <v>79134</v>
      </c>
      <c r="C3902" t="s">
        <v>79135</v>
      </c>
      <c r="D3902" t="s">
        <v>79136</v>
      </c>
      <c r="E3902" t="s">
        <v>79137</v>
      </c>
      <c r="F3902">
        <f>-740.694674574058 -8.59601427139364 -578.757962048155</f>
        <v>-1328.0486508936067</v>
      </c>
      <c r="G3902">
        <f>-744.662225870292 -49.6398670337342 -680.219838464908</f>
        <v>-1474.521931368934</v>
      </c>
      <c r="H3902">
        <f>-747.891704514863 -116.467245373599 -817.054436659073</f>
        <v>-1681.4133865475351</v>
      </c>
      <c r="I3902">
        <f>-720.487031193096 -164.911707902361 -902.407026285203</f>
        <v>-1787.80576538066</v>
      </c>
      <c r="J3902">
        <f>-734.021052163703 -60.7243942793634 -769.585646957389</f>
        <v>-1564.3310934004553</v>
      </c>
      <c r="K3902" t="s">
        <v>79138</v>
      </c>
      <c r="L3902" t="s">
        <v>79139</v>
      </c>
      <c r="M3902" t="s">
        <v>79140</v>
      </c>
      <c r="N3902">
        <f>-758.90439798575 -113.071934776185 -743.432943388385</f>
        <v>-1615.40927615032</v>
      </c>
      <c r="O3902">
        <f>-819.263690156311 -218.066378592508 -660.011760460016</f>
        <v>-1697.341829208835</v>
      </c>
      <c r="P3902">
        <f>-752.307226768679 -150.882256276153 -358.036069439262</f>
        <v>-1261.2255524840941</v>
      </c>
      <c r="Q3902">
        <f>-501.354753922411 -82.9720670253698 -365.327395496283</f>
        <v>-949.65421644406376</v>
      </c>
      <c r="R3902" t="s">
        <v>79141</v>
      </c>
      <c r="S3902" t="s">
        <v>79142</v>
      </c>
      <c r="T3902" t="s">
        <v>79143</v>
      </c>
      <c r="U3902" t="s">
        <v>79144</v>
      </c>
      <c r="V3902">
        <f>-714.904747074457 -48.9500729818205 -233.641732464505</f>
        <v>-997.49655252078253</v>
      </c>
      <c r="W3902" t="s">
        <v>79145</v>
      </c>
      <c r="X3902" t="s">
        <v>79146</v>
      </c>
      <c r="Y3902" t="s">
        <v>79147</v>
      </c>
    </row>
    <row r="3903" spans="1:25" x14ac:dyDescent="0.3">
      <c r="A3903">
        <v>195100</v>
      </c>
      <c r="B3903" t="s">
        <v>79148</v>
      </c>
      <c r="C3903" t="s">
        <v>79149</v>
      </c>
      <c r="D3903" t="s">
        <v>79150</v>
      </c>
      <c r="E3903" t="s">
        <v>79151</v>
      </c>
      <c r="F3903">
        <f>-740.674607704062 -8.06910751913188 -578.791441719487</f>
        <v>-1327.5351569426809</v>
      </c>
      <c r="G3903">
        <f>-744.493119116373 -48.9289331728876 -680.333272633297</f>
        <v>-1473.7553249225575</v>
      </c>
      <c r="H3903">
        <f>-747.467157237219 -115.476018507006 -817.309974441481</f>
        <v>-1680.2531501857061</v>
      </c>
      <c r="I3903">
        <f>-719.905299207382 -163.6466612759 -902.767109991493</f>
        <v>-1786.3190704747749</v>
      </c>
      <c r="J3903">
        <f>-733.754326633863 -59.8036274749063 -769.713112804995</f>
        <v>-1563.2710669137643</v>
      </c>
      <c r="K3903" t="s">
        <v>79152</v>
      </c>
      <c r="L3903" t="s">
        <v>79153</v>
      </c>
      <c r="M3903" t="s">
        <v>79154</v>
      </c>
      <c r="N3903">
        <f>-758.54810843754 -112.258316989009 -743.690801652845</f>
        <v>-1614.4972270793942</v>
      </c>
      <c r="O3903">
        <f>-818.906787424267 -217.443486792766 -660.515211122026</f>
        <v>-1696.865485339059</v>
      </c>
      <c r="P3903">
        <f>-752.815919333168 -150.897525999724 -358.207669032392</f>
        <v>-1261.921114365284</v>
      </c>
      <c r="Q3903">
        <f>-502.068870587379 -82.1733543479806 -364.910068141717</f>
        <v>-949.15229307707659</v>
      </c>
      <c r="R3903" t="s">
        <v>79155</v>
      </c>
      <c r="S3903" t="s">
        <v>79156</v>
      </c>
      <c r="T3903" t="s">
        <v>79157</v>
      </c>
      <c r="U3903" t="s">
        <v>79158</v>
      </c>
      <c r="V3903">
        <f>-715.003539996768 -48.8181807756657 -233.633191855845</f>
        <v>-997.45491262827875</v>
      </c>
      <c r="W3903" t="s">
        <v>79159</v>
      </c>
      <c r="X3903" t="s">
        <v>79160</v>
      </c>
      <c r="Y3903" t="s">
        <v>79161</v>
      </c>
    </row>
    <row r="3904" spans="1:25" x14ac:dyDescent="0.3">
      <c r="A3904">
        <v>195150</v>
      </c>
      <c r="B3904" t="s">
        <v>79162</v>
      </c>
      <c r="C3904" t="s">
        <v>79163</v>
      </c>
      <c r="D3904" t="s">
        <v>79164</v>
      </c>
      <c r="E3904" t="s">
        <v>79165</v>
      </c>
      <c r="F3904">
        <f>-740.189449556017 -7.07596372254807 -578.915844548025</f>
        <v>-1326.1812578265901</v>
      </c>
      <c r="G3904">
        <f>-743.648313689483 -47.5356662914619 -680.630781866548</f>
        <v>-1471.8147618474927</v>
      </c>
      <c r="H3904">
        <f>-746.052453947085 -113.454341953955 -817.922166495572</f>
        <v>-1677.428962396612</v>
      </c>
      <c r="I3904">
        <f>-718.168782530796 -161.036342973863 -903.604438879224</f>
        <v>-1782.8095643838828</v>
      </c>
      <c r="J3904">
        <f>-732.645390801207 -57.9590819313562 -770.032334290935</f>
        <v>-1560.636807023498</v>
      </c>
      <c r="K3904" t="s">
        <v>79166</v>
      </c>
      <c r="L3904" t="s">
        <v>79167</v>
      </c>
      <c r="M3904" t="s">
        <v>79168</v>
      </c>
      <c r="N3904">
        <f>-757.332002267089 -110.615663879818 -744.317591084937</f>
        <v>-1612.2652572318441</v>
      </c>
      <c r="O3904">
        <f>-817.785139918197 -216.199298117484 -661.719474079512</f>
        <v>-1695.7039121151929</v>
      </c>
      <c r="P3904">
        <f>-753.350839380516 -150.603900332594 -358.847126865209</f>
        <v>-1262.801866578319</v>
      </c>
      <c r="Q3904">
        <f>-502.951404063493 -80.472418623445 -363.72130139081</f>
        <v>-947.14512407774805</v>
      </c>
      <c r="R3904" t="s">
        <v>79169</v>
      </c>
      <c r="S3904" t="s">
        <v>79170</v>
      </c>
      <c r="T3904" t="s">
        <v>79171</v>
      </c>
      <c r="U3904" t="s">
        <v>79172</v>
      </c>
      <c r="V3904">
        <f>-715.010471906408 -48.5281102516021 -233.622803355757</f>
        <v>-997.16138551376719</v>
      </c>
      <c r="W3904" t="s">
        <v>79173</v>
      </c>
      <c r="X3904" t="s">
        <v>79174</v>
      </c>
      <c r="Y3904" t="s">
        <v>79175</v>
      </c>
    </row>
    <row r="3905" spans="1:25" x14ac:dyDescent="0.3">
      <c r="A3905">
        <v>195200</v>
      </c>
      <c r="B3905" t="s">
        <v>79176</v>
      </c>
      <c r="C3905" t="s">
        <v>79177</v>
      </c>
      <c r="D3905" t="s">
        <v>79178</v>
      </c>
      <c r="E3905" t="s">
        <v>79179</v>
      </c>
      <c r="F3905">
        <f>-740.04749365827 -6.56155078423922 -578.936661684928</f>
        <v>-1325.5457061274374</v>
      </c>
      <c r="G3905">
        <f>-743.379661670143 -46.8099058656555 -680.739503661282</f>
        <v>-1470.9290711970807</v>
      </c>
      <c r="H3905">
        <f>-745.574980556307 -112.400921408504 -818.191335149816</f>
        <v>-1676.1672371146269</v>
      </c>
      <c r="I3905">
        <f>-717.520316594865 -159.671133789556 -903.99019260233</f>
        <v>-1781.1816429867508</v>
      </c>
      <c r="J3905">
        <f>-732.283365828153 -57.0035922820005 -770.156036023215</f>
        <v>-1559.4429941333685</v>
      </c>
      <c r="K3905" t="s">
        <v>79180</v>
      </c>
      <c r="L3905" t="s">
        <v>79181</v>
      </c>
      <c r="M3905" t="s">
        <v>79182</v>
      </c>
      <c r="N3905">
        <f>-756.923883802955 -109.754284394955 -744.59027792101</f>
        <v>-1611.268446118921</v>
      </c>
      <c r="O3905">
        <f>-817.411009511225 -215.49762130959 -662.239989592958</f>
        <v>-1695.148620413773</v>
      </c>
      <c r="P3905">
        <f>-753.471425903719 -150.38828320572 -359.157906200857</f>
        <v>-1263.0176153102959</v>
      </c>
      <c r="Q3905">
        <f>-503.242101488891 -79.5964088851165 -363.138239875462</f>
        <v>-945.97675024946955</v>
      </c>
      <c r="R3905" t="s">
        <v>79183</v>
      </c>
      <c r="S3905" t="s">
        <v>79184</v>
      </c>
      <c r="T3905" t="s">
        <v>79185</v>
      </c>
      <c r="U3905" t="s">
        <v>79186</v>
      </c>
      <c r="V3905">
        <f>-715.041457317182 -48.4205966931684 -233.585247320993</f>
        <v>-997.04730133134331</v>
      </c>
      <c r="W3905" t="s">
        <v>79187</v>
      </c>
      <c r="X3905" t="s">
        <v>79188</v>
      </c>
      <c r="Y3905" t="s">
        <v>79189</v>
      </c>
    </row>
    <row r="3906" spans="1:25" x14ac:dyDescent="0.3">
      <c r="A3906">
        <v>195250</v>
      </c>
      <c r="B3906" t="s">
        <v>79190</v>
      </c>
      <c r="C3906" t="s">
        <v>79191</v>
      </c>
      <c r="D3906" t="s">
        <v>79192</v>
      </c>
      <c r="E3906" t="s">
        <v>79193</v>
      </c>
      <c r="F3906">
        <f>-739.75461592083 -5.84440941284106 -579.021583344377</f>
        <v>-1324.620608678048</v>
      </c>
      <c r="G3906">
        <f>-742.932448043495 -45.6632810440012 -680.99803871395</f>
        <v>-1469.5937678014461</v>
      </c>
      <c r="H3906">
        <f>-744.883882798603 -110.577680283863 -818.774375835744</f>
        <v>-1674.23593891821</v>
      </c>
      <c r="I3906">
        <f>-716.487092820997 -157.190145186117 -904.820193723121</f>
        <v>-1778.4974317302349</v>
      </c>
      <c r="J3906">
        <f>-731.757463011806 -55.3863822019289 -770.457154724419</f>
        <v>-1557.6009999381538</v>
      </c>
      <c r="K3906" t="s">
        <v>79194</v>
      </c>
      <c r="L3906" t="s">
        <v>79195</v>
      </c>
      <c r="M3906" t="s">
        <v>79196</v>
      </c>
      <c r="N3906">
        <f>-756.283320333578 -108.323668164221 -745.168077031751</f>
        <v>-1609.7750655295499</v>
      </c>
      <c r="O3906">
        <f>-816.724724300333 -214.455124257317 -663.262470501997</f>
        <v>-1694.4423190596472</v>
      </c>
      <c r="P3906">
        <f>-753.329503598193 -149.726318275572 -359.984810085516</f>
        <v>-1263.040631959281</v>
      </c>
      <c r="Q3906">
        <f>-503.401406507229 -77.7996016591474 -362.11869291755</f>
        <v>-943.31970108392636</v>
      </c>
      <c r="R3906" t="s">
        <v>79197</v>
      </c>
      <c r="S3906" t="s">
        <v>79198</v>
      </c>
      <c r="T3906" t="s">
        <v>79199</v>
      </c>
      <c r="U3906" t="s">
        <v>79200</v>
      </c>
      <c r="V3906">
        <f>-715.025112140487 -48.4173538744726 -233.537269525081</f>
        <v>-996.97973554004056</v>
      </c>
      <c r="W3906" t="s">
        <v>79201</v>
      </c>
      <c r="X3906" t="s">
        <v>79202</v>
      </c>
      <c r="Y3906" t="s">
        <v>79203</v>
      </c>
    </row>
    <row r="3907" spans="1:25" x14ac:dyDescent="0.3">
      <c r="A3907">
        <v>195300</v>
      </c>
      <c r="B3907" t="s">
        <v>79204</v>
      </c>
      <c r="C3907" t="s">
        <v>79205</v>
      </c>
      <c r="D3907" t="s">
        <v>79206</v>
      </c>
      <c r="E3907" t="s">
        <v>79207</v>
      </c>
      <c r="F3907">
        <f>-739.538535265368 -5.49476066074385 -579.089352065705</f>
        <v>-1324.1226479918168</v>
      </c>
      <c r="G3907">
        <f>-742.646598862609 -45.0838965630467 -681.157547770328</f>
        <v>-1468.8880431959838</v>
      </c>
      <c r="H3907">
        <f>-744.484539550863 -109.634599346808 -819.106175701399</f>
        <v>-1673.2253145990701</v>
      </c>
      <c r="I3907">
        <f>-715.945611594312 -155.892578140665 -905.296103507764</f>
        <v>-1777.134293242741</v>
      </c>
      <c r="J3907">
        <f>-731.444278074132 -54.5534436491178 -770.640425411778</f>
        <v>-1556.6381471350278</v>
      </c>
      <c r="K3907" t="s">
        <v>79208</v>
      </c>
      <c r="L3907" t="s">
        <v>79209</v>
      </c>
      <c r="M3907" t="s">
        <v>79210</v>
      </c>
      <c r="N3907">
        <f>-755.898419156832 -107.592480794183 -745.495910002438</f>
        <v>-1608.9868099534528</v>
      </c>
      <c r="O3907">
        <f>-816.243655265186 -213.964967558857 -663.834219123162</f>
        <v>-1694.042841947205</v>
      </c>
      <c r="P3907">
        <f>-753.200153458246 -149.72279187519 -360.379662608881</f>
        <v>-1263.3026079423171</v>
      </c>
      <c r="Q3907">
        <f>-503.411768864655 -77.2938025498001 -361.758025968452</f>
        <v>-942.4635973829071</v>
      </c>
      <c r="R3907" t="s">
        <v>79211</v>
      </c>
      <c r="S3907" t="s">
        <v>79212</v>
      </c>
      <c r="T3907" t="s">
        <v>79213</v>
      </c>
      <c r="U3907" t="s">
        <v>79214</v>
      </c>
      <c r="V3907">
        <f>-714.935233546144 -48.4155409769708 -233.516140312142</f>
        <v>-996.86691483525669</v>
      </c>
      <c r="W3907" t="s">
        <v>79215</v>
      </c>
      <c r="X3907" t="s">
        <v>79216</v>
      </c>
      <c r="Y3907" t="s">
        <v>79217</v>
      </c>
    </row>
    <row r="3908" spans="1:25" x14ac:dyDescent="0.3">
      <c r="A3908">
        <v>195350</v>
      </c>
      <c r="B3908" t="s">
        <v>79218</v>
      </c>
      <c r="C3908" t="s">
        <v>79219</v>
      </c>
      <c r="D3908" t="s">
        <v>79220</v>
      </c>
      <c r="E3908" t="s">
        <v>79221</v>
      </c>
      <c r="F3908">
        <f>-739.107019120026 -4.72939615278619 -579.241019363903</f>
        <v>-1323.0774346367152</v>
      </c>
      <c r="G3908">
        <f>-742.038956246949 -43.6982955957694 -681.552758232358</f>
        <v>-1467.2900100750765</v>
      </c>
      <c r="H3908">
        <f>-743.577545290658 -107.258829350574 -819.964019062075</f>
        <v>-1670.800393703307</v>
      </c>
      <c r="I3908">
        <f>-714.760606648981 -152.632069005796 -906.531032364888</f>
        <v>-1773.9237080196649</v>
      </c>
      <c r="J3908">
        <f>-730.743043569183 -52.4880935100527 -771.093254361411</f>
        <v>-1554.3243914406467</v>
      </c>
      <c r="K3908" t="s">
        <v>79222</v>
      </c>
      <c r="L3908" t="s">
        <v>79223</v>
      </c>
      <c r="M3908" t="s">
        <v>79224</v>
      </c>
      <c r="N3908">
        <f>-755.05051513491 -105.782462892188 -746.349362375922</f>
        <v>-1607.1823404030201</v>
      </c>
      <c r="O3908">
        <f>-815.204241593574 -212.843842335712 -665.443988338433</f>
        <v>-1693.4920722677189</v>
      </c>
      <c r="P3908">
        <f>-753.145030998573 -149.5793318336 -361.581366627531</f>
        <v>-1264.305729459704</v>
      </c>
      <c r="Q3908">
        <f>-503.555601385943 -76.4557342367671 -361.871326308372</f>
        <v>-941.88266193108211</v>
      </c>
      <c r="R3908" t="s">
        <v>79225</v>
      </c>
      <c r="S3908" t="s">
        <v>79226</v>
      </c>
      <c r="T3908" t="s">
        <v>79227</v>
      </c>
      <c r="U3908" t="s">
        <v>79228</v>
      </c>
      <c r="V3908">
        <f>-714.779394556231 -48.5559738825202 -233.465986080811</f>
        <v>-996.80135451956221</v>
      </c>
      <c r="W3908" t="s">
        <v>79229</v>
      </c>
      <c r="X3908" t="s">
        <v>79230</v>
      </c>
      <c r="Y3908" t="s">
        <v>79231</v>
      </c>
    </row>
    <row r="3909" spans="1:25" x14ac:dyDescent="0.3">
      <c r="A3909">
        <v>195400</v>
      </c>
      <c r="B3909" t="s">
        <v>79232</v>
      </c>
      <c r="C3909" t="s">
        <v>79233</v>
      </c>
      <c r="D3909" t="s">
        <v>79234</v>
      </c>
      <c r="E3909" t="s">
        <v>79235</v>
      </c>
      <c r="F3909">
        <f>-738.972090574051 -4.24861021404217 -579.321494074463</f>
        <v>-1322.5421948625562</v>
      </c>
      <c r="G3909">
        <f>-741.827711065637 -42.8199411613832 -681.785869129847</f>
        <v>-1466.4335213568672</v>
      </c>
      <c r="H3909">
        <f>-743.225494235585 -105.748809970013 -820.487002037292</f>
        <v>-1669.4613062428898</v>
      </c>
      <c r="I3909">
        <f>-714.293616313896 -150.6104907064 -907.281893290181</f>
        <v>-1772.1860003104771</v>
      </c>
      <c r="J3909">
        <f>-730.4844963307 -51.1847892006838 -771.36111776953</f>
        <v>-1553.0304033009138</v>
      </c>
      <c r="K3909" t="s">
        <v>79236</v>
      </c>
      <c r="L3909" t="s">
        <v>79237</v>
      </c>
      <c r="M3909" t="s">
        <v>79238</v>
      </c>
      <c r="N3909">
        <f>-754.729546023642 -104.624691031627 -746.870968450722</f>
        <v>-1606.225205505991</v>
      </c>
      <c r="O3909">
        <f>-814.844747947537 -212.047714344185 -666.444393043866</f>
        <v>-1693.3368553355881</v>
      </c>
      <c r="P3909">
        <f>-753.312547748882 -149.816525147638 -362.261390305742</f>
        <v>-1265.390463202262</v>
      </c>
      <c r="Q3909">
        <f>-503.803428131507 -76.418622555341 -362.321629770491</f>
        <v>-942.54368045733895</v>
      </c>
      <c r="R3909" t="s">
        <v>79239</v>
      </c>
      <c r="S3909" t="s">
        <v>79240</v>
      </c>
      <c r="T3909" t="s">
        <v>79241</v>
      </c>
      <c r="U3909" t="s">
        <v>79242</v>
      </c>
      <c r="V3909">
        <f>-714.69068333933 -48.6864463167008 -233.421060265323</f>
        <v>-996.79818992135381</v>
      </c>
      <c r="W3909" t="s">
        <v>79243</v>
      </c>
      <c r="X3909" t="s">
        <v>79244</v>
      </c>
      <c r="Y3909" t="s">
        <v>79245</v>
      </c>
    </row>
    <row r="3910" spans="1:25" x14ac:dyDescent="0.3">
      <c r="A3910">
        <v>195450</v>
      </c>
      <c r="B3910" t="s">
        <v>79246</v>
      </c>
      <c r="C3910" t="s">
        <v>79247</v>
      </c>
      <c r="D3910" t="s">
        <v>79248</v>
      </c>
      <c r="E3910" t="s">
        <v>79249</v>
      </c>
      <c r="F3910">
        <f>-739.013320106369 -3.35209019834883 -579.340839813406</f>
        <v>-1321.7062501181238</v>
      </c>
      <c r="G3910">
        <f>-741.619787246164 -41.0626516587115 -682.131834402832</f>
        <v>-1464.8142733077075</v>
      </c>
      <c r="H3910">
        <f>-742.562943703917 -102.64650507979 -821.439078334425</f>
        <v>-1666.6485271181318</v>
      </c>
      <c r="I3910">
        <f>-713.338103825974 -146.416742892768 -908.692009388701</f>
        <v>-1768.4468561074432</v>
      </c>
      <c r="J3910">
        <f>-730.070678550598 -48.5275404434551 -771.760194985819</f>
        <v>-1550.3584139798722</v>
      </c>
      <c r="K3910" t="s">
        <v>79250</v>
      </c>
      <c r="L3910" t="s">
        <v>79251</v>
      </c>
      <c r="M3910" t="s">
        <v>79252</v>
      </c>
      <c r="N3910">
        <f>-754.220585477777 -102.267589192567 -747.839683483853</f>
        <v>-1604.3278581541972</v>
      </c>
      <c r="O3910">
        <f>-814.268400751271 -210.568812440808 -668.533118880522</f>
        <v>-1693.3703320726008</v>
      </c>
      <c r="P3910">
        <f>-753.497568516887 -150.320671188904 -363.798350601201</f>
        <v>-1267.6165903069921</v>
      </c>
      <c r="Q3910">
        <f>-504.15537305409 -76.3636193345355 -362.855358299071</f>
        <v>-943.37435068769651</v>
      </c>
      <c r="R3910" t="s">
        <v>79253</v>
      </c>
      <c r="S3910" t="s">
        <v>79254</v>
      </c>
      <c r="T3910" t="s">
        <v>79255</v>
      </c>
      <c r="U3910" t="s">
        <v>79256</v>
      </c>
      <c r="V3910">
        <f>-714.897701380157 -49.2835996178083 -233.246277901384</f>
        <v>-997.42757889934921</v>
      </c>
      <c r="W3910" t="s">
        <v>79257</v>
      </c>
      <c r="X3910" t="s">
        <v>79258</v>
      </c>
      <c r="Y3910" t="s">
        <v>79259</v>
      </c>
    </row>
    <row r="3911" spans="1:25" x14ac:dyDescent="0.3">
      <c r="A3911">
        <v>195500</v>
      </c>
      <c r="B3911" t="s">
        <v>79260</v>
      </c>
      <c r="C3911" t="s">
        <v>79261</v>
      </c>
      <c r="D3911" t="s">
        <v>79262</v>
      </c>
      <c r="E3911" t="s">
        <v>79263</v>
      </c>
      <c r="F3911">
        <f>-739.183744939529 -3.03422653666894 -579.340933964322</f>
        <v>-1321.55890544052</v>
      </c>
      <c r="G3911">
        <f>-741.652970833507 -40.2886993248521 -682.301439950513</f>
        <v>-1464.2431101088721</v>
      </c>
      <c r="H3911">
        <f>-742.34008728798 -101.166242406223 -821.920410516496</f>
        <v>-1665.4267402106989</v>
      </c>
      <c r="I3911">
        <f>-712.947252724882 -144.341868493266 -909.412798323468</f>
        <v>-1766.701919541616</v>
      </c>
      <c r="J3911">
        <f>-729.989035342867 -47.2807991279908 -771.953052101422</f>
        <v>-1549.22288657228</v>
      </c>
      <c r="K3911" t="s">
        <v>79264</v>
      </c>
      <c r="L3911" t="s">
        <v>79265</v>
      </c>
      <c r="M3911" t="s">
        <v>79266</v>
      </c>
      <c r="N3911">
        <f>-754.083104501042 -101.178854746401 -748.333521506253</f>
        <v>-1603.5954807536959</v>
      </c>
      <c r="O3911">
        <f>-814.097481150929 -209.901736109291 -669.596726057554</f>
        <v>-1693.5959433177738</v>
      </c>
      <c r="P3911">
        <f>-753.648906406761 -151.065240449583 -364.522390232337</f>
        <v>-1269.236537088681</v>
      </c>
      <c r="Q3911">
        <f>-504.427961164314 -76.709241176015 -363.046814509638</f>
        <v>-944.18401684996707</v>
      </c>
      <c r="R3911" t="s">
        <v>79267</v>
      </c>
      <c r="S3911" t="s">
        <v>79268</v>
      </c>
      <c r="T3911" t="s">
        <v>79269</v>
      </c>
      <c r="U3911" t="s">
        <v>79270</v>
      </c>
      <c r="V3911">
        <f>-715.106735102495 -49.7433649341667 -233.156640424831</f>
        <v>-998.00674046149277</v>
      </c>
      <c r="W3911" t="s">
        <v>79271</v>
      </c>
      <c r="X3911" t="s">
        <v>79272</v>
      </c>
      <c r="Y3911" t="s">
        <v>79273</v>
      </c>
    </row>
    <row r="3912" spans="1:25" x14ac:dyDescent="0.3">
      <c r="A3912">
        <v>195550</v>
      </c>
      <c r="B3912" t="s">
        <v>79274</v>
      </c>
      <c r="C3912" t="s">
        <v>79275</v>
      </c>
      <c r="D3912" t="s">
        <v>79276</v>
      </c>
      <c r="E3912" t="s">
        <v>79277</v>
      </c>
      <c r="F3912">
        <f>-739.626492585834 -2.44853724921018 -579.492854223919</f>
        <v>-1321.567884058963</v>
      </c>
      <c r="G3912">
        <f>-741.820479903334 -38.6807370527122 -682.823687491777</f>
        <v>-1463.3249044478232</v>
      </c>
      <c r="H3912">
        <f>-741.993096851101 -97.9653623857021 -823.128144644946</f>
        <v>-1663.0866038817489</v>
      </c>
      <c r="I3912">
        <f>-712.241927062633 -139.844902593157 -911.12776048091</f>
        <v>-1763.2145901366998</v>
      </c>
      <c r="J3912">
        <f>-729.941152867731 -44.6092461309963 -772.52369665455</f>
        <v>-1547.0740956532773</v>
      </c>
      <c r="K3912" t="s">
        <v>79278</v>
      </c>
      <c r="L3912" t="s">
        <v>79279</v>
      </c>
      <c r="M3912" t="s">
        <v>79280</v>
      </c>
      <c r="N3912">
        <f>-753.892179555655 -98.8581394442197 -749.571740701768</f>
        <v>-1602.3220597016427</v>
      </c>
      <c r="O3912">
        <f>-813.707357924331 -208.630886381055 -672.140231238215</f>
        <v>-1694.478475543601</v>
      </c>
      <c r="P3912">
        <f>-754.250761245252 -152.575848954274 -366.347905211349</f>
        <v>-1273.1745154108748</v>
      </c>
      <c r="Q3912">
        <f>-505.514033238366 -76.646233973898 -363.74031284771</f>
        <v>-945.900580059974</v>
      </c>
      <c r="R3912" t="s">
        <v>79281</v>
      </c>
      <c r="S3912" t="s">
        <v>79282</v>
      </c>
      <c r="T3912" t="s">
        <v>79283</v>
      </c>
      <c r="U3912" t="s">
        <v>79284</v>
      </c>
      <c r="V3912">
        <f>-715.667931445953 -50.815511474095 -233.056853299004</f>
        <v>-999.54029621905192</v>
      </c>
      <c r="W3912" t="s">
        <v>79285</v>
      </c>
      <c r="X3912" t="s">
        <v>79286</v>
      </c>
      <c r="Y3912" t="s">
        <v>79287</v>
      </c>
    </row>
    <row r="3913" spans="1:25" x14ac:dyDescent="0.3">
      <c r="A3913">
        <v>195600</v>
      </c>
      <c r="B3913" t="s">
        <v>79288</v>
      </c>
      <c r="C3913" t="s">
        <v>79289</v>
      </c>
      <c r="D3913" t="s">
        <v>79290</v>
      </c>
      <c r="E3913" t="s">
        <v>79291</v>
      </c>
      <c r="F3913">
        <f>-739.775304589032 -1.91373499335486 -579.727600478738</f>
        <v>-1321.4166400611248</v>
      </c>
      <c r="G3913">
        <f>-741.713775602171 -37.3449566815327 -683.340930391894</f>
        <v>-1462.3996626755977</v>
      </c>
      <c r="H3913">
        <f>-741.43018905377 -95.3745934497845 -824.168838528855</f>
        <v>-1660.9736210324095</v>
      </c>
      <c r="I3913">
        <f>-711.346500092329 -136.238455114501 -912.532191687662</f>
        <v>-1760.1171468944922</v>
      </c>
      <c r="J3913">
        <f>-729.652848325798 -42.431593177168 -773.06832580886</f>
        <v>-1545.152767311826</v>
      </c>
      <c r="K3913" t="s">
        <v>79292</v>
      </c>
      <c r="L3913" t="s">
        <v>79293</v>
      </c>
      <c r="M3913" t="s">
        <v>79294</v>
      </c>
      <c r="N3913">
        <f>-753.458517294035 -96.9650036162177 -750.645258278799</f>
        <v>-1601.0687791890518</v>
      </c>
      <c r="O3913">
        <f>-813.065302664069 -207.635253251348 -674.319399608585</f>
        <v>-1695.0199555240019</v>
      </c>
      <c r="P3913">
        <f>-754.825730115986 -153.659535020409 -367.919404294073</f>
        <v>-1276.4046694304679</v>
      </c>
      <c r="Q3913">
        <f>-506.556453685152 -76.2548384731847 -364.324959621659</f>
        <v>-947.13625177999575</v>
      </c>
      <c r="R3913" t="s">
        <v>79295</v>
      </c>
      <c r="S3913" t="s">
        <v>79296</v>
      </c>
      <c r="T3913" t="s">
        <v>79297</v>
      </c>
      <c r="U3913" t="s">
        <v>79298</v>
      </c>
      <c r="V3913">
        <f>-716.105850706648 -51.5907290360524 -233.064045956557</f>
        <v>-1000.7606256992574</v>
      </c>
      <c r="W3913" t="s">
        <v>79299</v>
      </c>
      <c r="X3913" t="s">
        <v>79300</v>
      </c>
      <c r="Y3913" t="s">
        <v>79301</v>
      </c>
    </row>
    <row r="3914" spans="1:25" x14ac:dyDescent="0.3">
      <c r="A3914">
        <v>195650</v>
      </c>
      <c r="B3914" t="s">
        <v>79302</v>
      </c>
      <c r="C3914" t="s">
        <v>79303</v>
      </c>
      <c r="D3914" t="s">
        <v>79304</v>
      </c>
      <c r="E3914" t="s">
        <v>79305</v>
      </c>
      <c r="F3914">
        <f>-740.190423407668 -1.25707654756616 -579.978253062704</f>
        <v>-1321.4257530179382</v>
      </c>
      <c r="G3914">
        <f>-741.86684287295 -35.8595996886127 -683.875839963772</f>
        <v>-1461.6022825253347</v>
      </c>
      <c r="H3914">
        <f>-741.099041961098 -92.6007411914245 -825.225819116008</f>
        <v>-1658.9256022685304</v>
      </c>
      <c r="I3914">
        <f>-710.650914167381 -132.452817544343 -913.925950421918</f>
        <v>-1757.0296821336419</v>
      </c>
      <c r="J3914">
        <f>-729.615685663435 -40.082946800512 -773.622282422215</f>
        <v>-1543.320914886162</v>
      </c>
      <c r="K3914" t="s">
        <v>79306</v>
      </c>
      <c r="L3914" t="s">
        <v>79307</v>
      </c>
      <c r="M3914" t="s">
        <v>79308</v>
      </c>
      <c r="N3914">
        <f>-753.261798644245 -94.9060748396673 -751.743378583883</f>
        <v>-1599.9112520677954</v>
      </c>
      <c r="O3914">
        <f>-812.654403729159 -206.412232038158 -676.501662182074</f>
        <v>-1695.5682979493909</v>
      </c>
      <c r="P3914">
        <f>-755.413967138546 -154.447672920051 -369.566198367612</f>
        <v>-1279.4278384262091</v>
      </c>
      <c r="Q3914">
        <f>-507.617407384685 -75.6048870791512 -364.797732442686</f>
        <v>-948.02002690652216</v>
      </c>
      <c r="R3914" t="s">
        <v>79309</v>
      </c>
      <c r="S3914" t="s">
        <v>79310</v>
      </c>
      <c r="T3914" t="s">
        <v>79311</v>
      </c>
      <c r="U3914" t="s">
        <v>79312</v>
      </c>
      <c r="V3914">
        <f>-716.758213433545 -52.3453005822209 -233.088563493296</f>
        <v>-1002.192077509062</v>
      </c>
      <c r="W3914" t="s">
        <v>79313</v>
      </c>
      <c r="X3914" t="s">
        <v>79314</v>
      </c>
      <c r="Y3914" t="s">
        <v>79315</v>
      </c>
    </row>
    <row r="3915" spans="1:25" x14ac:dyDescent="0.3">
      <c r="A3915">
        <v>195700</v>
      </c>
      <c r="B3915" t="s">
        <v>79316</v>
      </c>
      <c r="C3915" t="s">
        <v>79317</v>
      </c>
      <c r="D3915" t="s">
        <v>79318</v>
      </c>
      <c r="E3915" t="s">
        <v>79319</v>
      </c>
      <c r="F3915">
        <f>-740.437938890116 -0.879185005730278 -580.16124589476</f>
        <v>-1321.4783697906064</v>
      </c>
      <c r="G3915">
        <f>-741.924368254285 -34.9665572733456 -684.231873569292</f>
        <v>-1461.1227990969228</v>
      </c>
      <c r="H3915">
        <f>-740.826103624303 -90.9046833547959 -825.899518138642</f>
        <v>-1657.6303051177408</v>
      </c>
      <c r="I3915">
        <f>-710.113721675212 -130.143038755142 -914.781967841799</f>
        <v>-1755.0387282721531</v>
      </c>
      <c r="J3915">
        <f>-729.543751038449 -38.6510374439531 -773.98426522083</f>
        <v>-1542.1790537032321</v>
      </c>
      <c r="K3915" t="s">
        <v>79320</v>
      </c>
      <c r="L3915" t="s">
        <v>79321</v>
      </c>
      <c r="M3915" t="s">
        <v>79322</v>
      </c>
      <c r="N3915">
        <f>-753.080303461667 -93.656508290816 -752.447578641715</f>
        <v>-1599.1843903941981</v>
      </c>
      <c r="O3915">
        <f>-812.334195273111 -205.706581725436 -677.895451991243</f>
        <v>-1695.9362289897899</v>
      </c>
      <c r="P3915">
        <f>-755.749019804019 -154.639556651633 -370.687923987319</f>
        <v>-1281.0765004429709</v>
      </c>
      <c r="Q3915">
        <f>-508.18289472921 -75.1214467246809 -365.218141902062</f>
        <v>-948.52248335595277</v>
      </c>
      <c r="R3915" t="s">
        <v>79323</v>
      </c>
      <c r="S3915" t="s">
        <v>79324</v>
      </c>
      <c r="T3915" t="s">
        <v>79325</v>
      </c>
      <c r="U3915" t="s">
        <v>79326</v>
      </c>
      <c r="V3915">
        <f>-717.206553036631 -52.839114327692 -233.1380608058</f>
        <v>-1003.183728170123</v>
      </c>
      <c r="W3915" t="s">
        <v>79327</v>
      </c>
      <c r="X3915" t="s">
        <v>79328</v>
      </c>
      <c r="Y3915" t="s">
        <v>79329</v>
      </c>
    </row>
    <row r="3916" spans="1:25" x14ac:dyDescent="0.3">
      <c r="A3916">
        <v>195750</v>
      </c>
      <c r="B3916" t="s">
        <v>79330</v>
      </c>
      <c r="C3916" t="s">
        <v>79331</v>
      </c>
      <c r="D3916" t="s">
        <v>79332</v>
      </c>
      <c r="E3916" t="s">
        <v>79333</v>
      </c>
      <c r="F3916">
        <f>-741.181855621054 -0.0454993103999186 -580.447005771402</f>
        <v>-1321.6743607028559</v>
      </c>
      <c r="G3916">
        <f>-742.306698442755 -33.2215824000934 -684.816303877375</f>
        <v>-1460.3445847202233</v>
      </c>
      <c r="H3916">
        <f>-740.57134469781 -87.7639512499027 -827.020699749708</f>
        <v>-1655.3559956974207</v>
      </c>
      <c r="I3916">
        <f>-709.349389657841 -125.887468603175 -916.210249441837</f>
        <v>-1751.4471077028529</v>
      </c>
      <c r="J3916">
        <f>-729.672817145274 -35.9687117841752 -774.566950366743</f>
        <v>-1540.2084792961923</v>
      </c>
      <c r="K3916" t="s">
        <v>79334</v>
      </c>
      <c r="L3916" t="s">
        <v>79335</v>
      </c>
      <c r="M3916" t="s">
        <v>79336</v>
      </c>
      <c r="N3916">
        <f>-753.005526029365 -91.2925496892665 -753.632334200933</f>
        <v>-1597.9304099195645</v>
      </c>
      <c r="O3916">
        <f>-811.925405014948 -204.297975824232 -680.260189362573</f>
        <v>-1696.4835702017531</v>
      </c>
      <c r="P3916">
        <f>-756.406884586327 -154.99745068289 -372.569800889662</f>
        <v>-1283.974136158879</v>
      </c>
      <c r="Q3916">
        <f>-508.973886568846 -75.1907083150325 -365.50782686438</f>
        <v>-949.67242174825856</v>
      </c>
      <c r="R3916" t="s">
        <v>79337</v>
      </c>
      <c r="S3916" t="s">
        <v>79338</v>
      </c>
      <c r="T3916" t="s">
        <v>79339</v>
      </c>
      <c r="U3916" t="s">
        <v>79340</v>
      </c>
      <c r="V3916">
        <f>-718.237213758238 -53.7450641150328 -233.258437405818</f>
        <v>-1005.2407152790888</v>
      </c>
      <c r="W3916" t="s">
        <v>79341</v>
      </c>
      <c r="X3916" t="s">
        <v>79342</v>
      </c>
      <c r="Y3916" t="s">
        <v>79343</v>
      </c>
    </row>
    <row r="3917" spans="1:25" x14ac:dyDescent="0.3">
      <c r="A3917">
        <v>195800</v>
      </c>
      <c r="B3917" t="s">
        <v>79344</v>
      </c>
      <c r="C3917" t="s">
        <v>79345</v>
      </c>
      <c r="D3917" t="s">
        <v>79346</v>
      </c>
      <c r="E3917" t="s">
        <v>79347</v>
      </c>
      <c r="F3917" t="s">
        <v>79348</v>
      </c>
      <c r="G3917">
        <f>-742.539748605971 -32.41519109819 -685.016371845956</f>
        <v>-1459.971311550117</v>
      </c>
      <c r="H3917">
        <f>-740.477172551881 -86.3055147589823 -827.464868914354</f>
        <v>-1654.2475562252175</v>
      </c>
      <c r="I3917">
        <f>-709.004113421 -123.923590311575 -916.780607551927</f>
        <v>-1749.7083112845021</v>
      </c>
      <c r="J3917">
        <f>-729.768316619399 -34.7261622069909 -774.759990949816</f>
        <v>-1539.254469776206</v>
      </c>
      <c r="K3917" t="s">
        <v>79349</v>
      </c>
      <c r="L3917" t="s">
        <v>79350</v>
      </c>
      <c r="M3917" t="s">
        <v>79351</v>
      </c>
      <c r="N3917">
        <f>-753.011285585357 -90.1952711433423 -754.111723312847</f>
        <v>-1597.3182800415461</v>
      </c>
      <c r="O3917">
        <f>-811.792210523734 -203.625487925442 -681.285223004445</f>
        <v>-1696.702921453621</v>
      </c>
      <c r="P3917">
        <f>-757.068526972902 -155.162843011403 -373.319471681628</f>
        <v>-1285.5508416659329</v>
      </c>
      <c r="Q3917">
        <f>-509.658416534653 -75.3591689979899 -365.465744360484</f>
        <v>-950.48332989312689</v>
      </c>
      <c r="R3917" t="s">
        <v>79352</v>
      </c>
      <c r="S3917" t="s">
        <v>79353</v>
      </c>
      <c r="T3917" t="s">
        <v>79354</v>
      </c>
      <c r="U3917" t="s">
        <v>79355</v>
      </c>
      <c r="V3917">
        <f>-718.771711654982 -54.195544284712 -233.281301408067</f>
        <v>-1006.2485573477611</v>
      </c>
      <c r="W3917" t="s">
        <v>79356</v>
      </c>
      <c r="X3917" t="s">
        <v>79357</v>
      </c>
      <c r="Y3917" t="s">
        <v>79358</v>
      </c>
    </row>
    <row r="3918" spans="1:25" x14ac:dyDescent="0.3">
      <c r="A3918">
        <v>195850</v>
      </c>
      <c r="B3918" t="s">
        <v>79359</v>
      </c>
      <c r="C3918" t="s">
        <v>79360</v>
      </c>
      <c r="D3918" t="s">
        <v>79361</v>
      </c>
      <c r="E3918" t="s">
        <v>79362</v>
      </c>
      <c r="F3918" t="s">
        <v>79363</v>
      </c>
      <c r="G3918">
        <f>-743.16911936056 -30.5638324264394 -685.364455522955</f>
        <v>-1459.0974073099544</v>
      </c>
      <c r="H3918">
        <f>-740.461973199827 -83.124457116332 -828.298136214525</f>
        <v>-1651.884566530684</v>
      </c>
      <c r="I3918">
        <f>-708.493651248357 -119.782392346114 -917.837036176395</f>
        <v>-1746.1130797708661</v>
      </c>
      <c r="J3918">
        <f>-730.121271383948 -31.9920374008502 -775.086501294817</f>
        <v>-1537.1998100796154</v>
      </c>
      <c r="K3918" t="s">
        <v>79364</v>
      </c>
      <c r="L3918" t="s">
        <v>79365</v>
      </c>
      <c r="M3918" t="s">
        <v>79366</v>
      </c>
      <c r="N3918">
        <f>-753.198250407617 -87.7438887867054 -755.022256961059</f>
        <v>-1595.9643961553816</v>
      </c>
      <c r="O3918">
        <f>-811.756179435206 -201.984390294238 -683.2941502172</f>
        <v>-1697.0347199466441</v>
      </c>
      <c r="P3918">
        <f>-758.480058089938 -155.026271390436 -374.841922837602</f>
        <v>-1288.3482523179759</v>
      </c>
      <c r="Q3918">
        <f>-511.119139362482 -75.2241906562283 -365.554352376769</f>
        <v>-951.89768239547925</v>
      </c>
      <c r="R3918" t="s">
        <v>79367</v>
      </c>
      <c r="S3918" t="s">
        <v>79368</v>
      </c>
      <c r="T3918" t="s">
        <v>79369</v>
      </c>
      <c r="U3918" t="s">
        <v>79370</v>
      </c>
      <c r="V3918">
        <f>-719.900782200689 -54.8248221826227 -233.270349858954</f>
        <v>-1007.9959542422657</v>
      </c>
      <c r="W3918" t="s">
        <v>79371</v>
      </c>
      <c r="X3918" t="s">
        <v>79372</v>
      </c>
      <c r="Y3918" t="s">
        <v>79373</v>
      </c>
    </row>
    <row r="3919" spans="1:25" x14ac:dyDescent="0.3">
      <c r="A3919">
        <v>195900</v>
      </c>
      <c r="B3919" t="s">
        <v>79374</v>
      </c>
      <c r="C3919" t="s">
        <v>79375</v>
      </c>
      <c r="D3919" t="s">
        <v>79376</v>
      </c>
      <c r="E3919" t="s">
        <v>79377</v>
      </c>
      <c r="F3919" t="s">
        <v>79378</v>
      </c>
      <c r="G3919">
        <f>-743.512525431317 -29.7173124766821 -685.472943490029</f>
        <v>-1458.702781398028</v>
      </c>
      <c r="H3919">
        <f>-740.489350193766 -81.6983768963294 -828.61215475624</f>
        <v>-1650.7998818463352</v>
      </c>
      <c r="I3919">
        <f>-708.288702194691 -117.92552810613 -918.242997849721</f>
        <v>-1744.4572281505421</v>
      </c>
      <c r="J3919">
        <f>-730.323916893073 -30.761433687012 -775.179716276366</f>
        <v>-1536.2650668564511</v>
      </c>
      <c r="K3919" t="s">
        <v>79379</v>
      </c>
      <c r="L3919" t="s">
        <v>79380</v>
      </c>
      <c r="M3919" t="s">
        <v>79381</v>
      </c>
      <c r="N3919">
        <f>-753.330146530123 -86.6353627077101 -755.375087604533</f>
        <v>-1595.340596842366</v>
      </c>
      <c r="O3919">
        <f>-811.77038273767 -201.24428513823 -684.155626783028</f>
        <v>-1697.170294658928</v>
      </c>
      <c r="P3919">
        <f>-759.100715117218 -154.919484900934 -375.503635854094</f>
        <v>-1289.5238358722459</v>
      </c>
      <c r="Q3919">
        <f>-511.729556318808 -75.2252435100393 -365.582236199886</f>
        <v>-952.53703602873327</v>
      </c>
      <c r="R3919" t="s">
        <v>79382</v>
      </c>
      <c r="S3919" t="s">
        <v>79383</v>
      </c>
      <c r="T3919" t="s">
        <v>79384</v>
      </c>
      <c r="U3919" t="s">
        <v>79385</v>
      </c>
      <c r="V3919">
        <f>-720.436201292213 -55.0235469096042 -233.220765092938</f>
        <v>-1008.6805132947552</v>
      </c>
      <c r="W3919" t="s">
        <v>79386</v>
      </c>
      <c r="X3919" t="s">
        <v>79387</v>
      </c>
      <c r="Y3919" t="s">
        <v>79388</v>
      </c>
    </row>
    <row r="3920" spans="1:25" x14ac:dyDescent="0.3">
      <c r="A3920">
        <v>195950</v>
      </c>
      <c r="B3920" t="s">
        <v>79389</v>
      </c>
      <c r="C3920" t="s">
        <v>79390</v>
      </c>
      <c r="D3920" t="s">
        <v>79391</v>
      </c>
      <c r="E3920" t="s">
        <v>79392</v>
      </c>
      <c r="F3920" t="s">
        <v>79393</v>
      </c>
      <c r="G3920">
        <f>-744.224961865792 -28.3292634147124 -685.532761897085</f>
        <v>-1458.0869871775894</v>
      </c>
      <c r="H3920">
        <f>-740.633286074496 -79.3940903041921 -828.988257700699</f>
        <v>-1649.0156340793872</v>
      </c>
      <c r="I3920">
        <f>-707.973004888953 -114.874982640242 -918.751246450741</f>
        <v>-1741.5992339799359</v>
      </c>
      <c r="J3920">
        <f>-730.786468545369 -28.7621148889598 -775.207474111407</f>
        <v>-1534.7560575457358</v>
      </c>
      <c r="K3920" t="s">
        <v>79394</v>
      </c>
      <c r="L3920" t="s">
        <v>79395</v>
      </c>
      <c r="M3920" t="s">
        <v>79396</v>
      </c>
      <c r="N3920">
        <f>-753.658537674153 -84.8368911711684 -755.819634510977</f>
        <v>-1594.3150633562984</v>
      </c>
      <c r="O3920">
        <f>-811.933778136179 -200.040728106959 -685.430433892685</f>
        <v>-1697.4049401358229</v>
      </c>
      <c r="P3920">
        <f>-760.464148733532 -154.476389236727 -376.462831854458</f>
        <v>-1291.4033698247169</v>
      </c>
      <c r="Q3920">
        <f>-513.109114690971 -74.9095753823385 -365.207938240131</f>
        <v>-953.22662831344041</v>
      </c>
      <c r="R3920" t="s">
        <v>79397</v>
      </c>
      <c r="S3920" t="s">
        <v>79398</v>
      </c>
      <c r="T3920" t="s">
        <v>79399</v>
      </c>
      <c r="U3920" t="s">
        <v>79400</v>
      </c>
      <c r="V3920">
        <f>-721.554682578471 -55.358915990435 -233.116070340664</f>
        <v>-1010.02966890957</v>
      </c>
      <c r="W3920" t="s">
        <v>79401</v>
      </c>
      <c r="X3920" t="s">
        <v>79402</v>
      </c>
      <c r="Y3920" t="s">
        <v>79403</v>
      </c>
    </row>
    <row r="3921" spans="1:25" x14ac:dyDescent="0.3">
      <c r="A3921">
        <v>196000</v>
      </c>
      <c r="B3921" t="s">
        <v>79404</v>
      </c>
      <c r="C3921" t="s">
        <v>79405</v>
      </c>
      <c r="D3921" t="s">
        <v>79406</v>
      </c>
      <c r="E3921" t="s">
        <v>79407</v>
      </c>
      <c r="F3921" t="s">
        <v>79408</v>
      </c>
      <c r="G3921">
        <f>-744.442047825993 -27.8521463085758 -685.558572102996</f>
        <v>-1457.8527662375648</v>
      </c>
      <c r="H3921">
        <f>-740.654598739433 -78.5619561926894 -829.134895618117</f>
        <v>-1648.3514505502394</v>
      </c>
      <c r="I3921">
        <f>-707.80185830609 -113.74354371053 -918.94539369978</f>
        <v>-1740.4907957164</v>
      </c>
      <c r="J3921">
        <f>-730.922287160441 -28.0486790155055 -775.221977533342</f>
        <v>-1534.1929437092886</v>
      </c>
      <c r="K3921" t="s">
        <v>79409</v>
      </c>
      <c r="L3921" t="s">
        <v>79410</v>
      </c>
      <c r="M3921" t="s">
        <v>79411</v>
      </c>
      <c r="N3921">
        <f>-753.738633616144 -84.200279060092 -755.991701097575</f>
        <v>-1593.930613773811</v>
      </c>
      <c r="O3921">
        <f>-811.926628007544 -199.665359314442 -685.940790067891</f>
        <v>-1697.5327773898771</v>
      </c>
      <c r="P3921">
        <f>-760.971448268443 -154.429632051229 -376.839670329135</f>
        <v>-1292.2407506488071</v>
      </c>
      <c r="Q3921">
        <f>-513.666353180323 -74.7977747240545 -364.962839660785</f>
        <v>-953.4269675651625</v>
      </c>
      <c r="R3921" t="s">
        <v>79412</v>
      </c>
      <c r="S3921" t="s">
        <v>79413</v>
      </c>
      <c r="T3921" t="s">
        <v>79414</v>
      </c>
      <c r="U3921" t="s">
        <v>79415</v>
      </c>
      <c r="V3921">
        <f>-721.972901267948 -55.5296051171124 -233.068821634866</f>
        <v>-1010.5713280199265</v>
      </c>
      <c r="W3921" t="s">
        <v>79416</v>
      </c>
      <c r="X3921" t="s">
        <v>79417</v>
      </c>
      <c r="Y3921" t="s">
        <v>79418</v>
      </c>
    </row>
    <row r="3922" spans="1:25" x14ac:dyDescent="0.3">
      <c r="A3922">
        <v>196050</v>
      </c>
      <c r="B3922" t="s">
        <v>79419</v>
      </c>
      <c r="C3922" t="s">
        <v>79420</v>
      </c>
      <c r="D3922" t="s">
        <v>79421</v>
      </c>
      <c r="E3922" t="s">
        <v>79422</v>
      </c>
      <c r="F3922" t="s">
        <v>79423</v>
      </c>
      <c r="G3922">
        <f>-744.699824639137 -27.0262783196429 -685.584754284346</f>
        <v>-1457.3108572431258</v>
      </c>
      <c r="H3922">
        <f>-740.58870511428 -77.1493966635094 -829.358008066489</f>
        <v>-1647.0961098442783</v>
      </c>
      <c r="I3922">
        <f>-707.396807931601 -111.865457997539 -919.225077103167</f>
        <v>-1738.4873430323069</v>
      </c>
      <c r="J3922">
        <f>-731.034174235058 -26.8367612705633 -775.226149623461</f>
        <v>-1533.0970851290822</v>
      </c>
      <c r="K3922" t="s">
        <v>79424</v>
      </c>
      <c r="L3922" t="s">
        <v>79425</v>
      </c>
      <c r="M3922" t="s">
        <v>79426</v>
      </c>
      <c r="N3922">
        <f>-753.781317552987 -83.1061813798003 -756.259570734778</f>
        <v>-1593.1470696675653</v>
      </c>
      <c r="O3922">
        <f>-811.808033519864 -198.975408345557 -686.748868304402</f>
        <v>-1697.5323101698232</v>
      </c>
      <c r="P3922">
        <f>-761.89399207308 -154.205322700622 -377.410253934116</f>
        <v>-1293.5095687078178</v>
      </c>
      <c r="Q3922">
        <f>-514.721614070548 -74.3166422323923 -364.537079715083</f>
        <v>-953.57533601802322</v>
      </c>
      <c r="R3922" t="s">
        <v>79427</v>
      </c>
      <c r="S3922" t="s">
        <v>79428</v>
      </c>
      <c r="T3922" t="s">
        <v>79429</v>
      </c>
      <c r="U3922" t="s">
        <v>79430</v>
      </c>
      <c r="V3922">
        <f>-722.88227336418 -55.8570223033892 -232.986533900675</f>
        <v>-1011.7258295682442</v>
      </c>
      <c r="W3922" t="s">
        <v>79431</v>
      </c>
      <c r="X3922" t="s">
        <v>79432</v>
      </c>
      <c r="Y3922" t="s">
        <v>79433</v>
      </c>
    </row>
    <row r="3923" spans="1:25" x14ac:dyDescent="0.3">
      <c r="A3923">
        <v>196100</v>
      </c>
      <c r="B3923" t="s">
        <v>79434</v>
      </c>
      <c r="C3923" t="s">
        <v>79435</v>
      </c>
      <c r="D3923" t="s">
        <v>79436</v>
      </c>
      <c r="E3923" t="s">
        <v>79437</v>
      </c>
      <c r="F3923" t="s">
        <v>79438</v>
      </c>
      <c r="G3923">
        <f>-744.773654634956 -26.7546386199986 -685.624482704046</f>
        <v>-1457.1527759590006</v>
      </c>
      <c r="H3923">
        <f>-740.542753935304 -76.6357265025056 -829.478451144711</f>
        <v>-1646.6569315825204</v>
      </c>
      <c r="I3923">
        <f>-707.214006799978 -111.166960165649 -919.365932594598</f>
        <v>-1737.7468995602251</v>
      </c>
      <c r="J3923">
        <f>-731.051313465167 -26.4080398855308 -775.256543205806</f>
        <v>-1532.7158965565038</v>
      </c>
      <c r="K3923" t="s">
        <v>79439</v>
      </c>
      <c r="L3923" t="s">
        <v>79440</v>
      </c>
      <c r="M3923" t="s">
        <v>79441</v>
      </c>
      <c r="N3923">
        <f>-753.778300193892 -82.7217729834517 -756.398450273111</f>
        <v>-1592.8985234504548</v>
      </c>
      <c r="O3923">
        <f>-811.774644064008 -198.72997999735 -687.10008860575</f>
        <v>-1697.6047126671081</v>
      </c>
      <c r="P3923">
        <f>-762.294824375171 -154.125868985228 -377.667841318224</f>
        <v>-1294.0885346786229</v>
      </c>
      <c r="Q3923">
        <f>-515.185504289864 -74.1234385270786 -364.303217060419</f>
        <v>-953.61215987736159</v>
      </c>
      <c r="R3923" t="s">
        <v>79442</v>
      </c>
      <c r="S3923" t="s">
        <v>79443</v>
      </c>
      <c r="T3923" t="s">
        <v>79444</v>
      </c>
      <c r="U3923" t="s">
        <v>79445</v>
      </c>
      <c r="V3923">
        <f>-723.221201699601 -55.9603318665866 -232.964960201828</f>
        <v>-1012.1464937680156</v>
      </c>
      <c r="W3923" t="s">
        <v>79446</v>
      </c>
      <c r="X3923" t="s">
        <v>79447</v>
      </c>
      <c r="Y3923" t="s">
        <v>79448</v>
      </c>
    </row>
    <row r="3924" spans="1:25" x14ac:dyDescent="0.3">
      <c r="A3924">
        <v>196150</v>
      </c>
      <c r="B3924" t="s">
        <v>79449</v>
      </c>
      <c r="C3924" t="s">
        <v>79450</v>
      </c>
      <c r="D3924" t="s">
        <v>79451</v>
      </c>
      <c r="E3924" t="s">
        <v>79452</v>
      </c>
      <c r="F3924" t="s">
        <v>79453</v>
      </c>
      <c r="G3924">
        <f>-744.259833687576 -26.335269147959 -685.705334695019</f>
        <v>-1456.3004375305541</v>
      </c>
      <c r="H3924">
        <f>-739.871968159272 -75.8062103909194 -829.696248532149</f>
        <v>-1645.3744270823404</v>
      </c>
      <c r="I3924">
        <f>-706.347645858013 -110.064885258045 -919.615300436127</f>
        <v>-1736.027831552185</v>
      </c>
      <c r="J3924">
        <f>-730.452434332078 -25.7287785269057 -775.323253092406</f>
        <v>-1531.5044659513896</v>
      </c>
      <c r="K3924" t="s">
        <v>79454</v>
      </c>
      <c r="L3924" t="s">
        <v>79455</v>
      </c>
      <c r="M3924" t="s">
        <v>79456</v>
      </c>
      <c r="N3924">
        <f>-753.174483862641 -82.1049116602553 -756.64634800658</f>
        <v>-1591.9257435294762</v>
      </c>
      <c r="O3924">
        <f>-811.134179172551 -198.393987256939 -687.771877082682</f>
        <v>-1697.3000435121719</v>
      </c>
      <c r="P3924">
        <f>-762.644016796285 -154.201464668926 -378.123825130537</f>
        <v>-1294.9693065957479</v>
      </c>
      <c r="Q3924">
        <f>-515.697378411704 -73.8032016330326 -364.14054433141</f>
        <v>-953.64112437614654</v>
      </c>
      <c r="R3924" t="s">
        <v>79457</v>
      </c>
      <c r="S3924" t="s">
        <v>79458</v>
      </c>
      <c r="T3924" t="s">
        <v>79459</v>
      </c>
      <c r="U3924" t="s">
        <v>79460</v>
      </c>
      <c r="V3924">
        <f>-723.609102753697 -56.1891533198602 -232.938489071514</f>
        <v>-1012.7367451450713</v>
      </c>
      <c r="W3924" t="s">
        <v>79461</v>
      </c>
      <c r="X3924" t="s">
        <v>79462</v>
      </c>
      <c r="Y3924" t="s">
        <v>79463</v>
      </c>
    </row>
    <row r="3925" spans="1:25" x14ac:dyDescent="0.3">
      <c r="A3925">
        <v>196200</v>
      </c>
      <c r="B3925" t="s">
        <v>79464</v>
      </c>
      <c r="C3925" t="s">
        <v>79465</v>
      </c>
      <c r="D3925" t="s">
        <v>79466</v>
      </c>
      <c r="E3925" t="s">
        <v>79467</v>
      </c>
      <c r="F3925" t="s">
        <v>79468</v>
      </c>
      <c r="G3925">
        <f>-743.796837005828 -26.0808187067298 -685.773053853265</f>
        <v>-1455.6507095658228</v>
      </c>
      <c r="H3925">
        <f>-739.223073430152 -75.354093080249 -829.825749731946</f>
        <v>-1644.4029162423469</v>
      </c>
      <c r="I3925">
        <f>-705.584236607701 -109.479619491039 -919.75278659165</f>
        <v>-1734.8166426903899</v>
      </c>
      <c r="J3925">
        <f>-729.892907544615 -25.3444389445835 -775.374790436731</f>
        <v>-1530.6121369259295</v>
      </c>
      <c r="K3925" t="s">
        <v>79469</v>
      </c>
      <c r="L3925" t="s">
        <v>79470</v>
      </c>
      <c r="M3925" t="s">
        <v>79471</v>
      </c>
      <c r="N3925">
        <f>-752.600691872276 -81.7598894492942 -756.799078712916</f>
        <v>-1591.159660034486</v>
      </c>
      <c r="O3925">
        <f>-810.569292245164 -198.147177726348 -688.104559868461</f>
        <v>-1696.8210298399731</v>
      </c>
      <c r="P3925">
        <f>-762.36967245286 -154.164624922993 -378.381361044741</f>
        <v>-1294.9156584205939</v>
      </c>
      <c r="Q3925">
        <f>-515.470332994228 -73.6814782496224 -364.056881180366</f>
        <v>-953.20869242421645</v>
      </c>
      <c r="R3925" t="s">
        <v>79472</v>
      </c>
      <c r="S3925" t="s">
        <v>79473</v>
      </c>
      <c r="T3925" t="s">
        <v>79474</v>
      </c>
      <c r="U3925" t="s">
        <v>79475</v>
      </c>
      <c r="V3925">
        <f>-723.742269152249 -56.2298986932819 -232.935040483885</f>
        <v>-1012.907208329416</v>
      </c>
      <c r="W3925" t="s">
        <v>79476</v>
      </c>
      <c r="X3925" t="s">
        <v>79477</v>
      </c>
      <c r="Y3925" t="s">
        <v>79478</v>
      </c>
    </row>
    <row r="3926" spans="1:25" x14ac:dyDescent="0.3">
      <c r="A3926">
        <v>196250</v>
      </c>
      <c r="B3926" t="s">
        <v>79479</v>
      </c>
      <c r="C3926" t="s">
        <v>79480</v>
      </c>
      <c r="D3926" t="s">
        <v>79481</v>
      </c>
      <c r="E3926" t="s">
        <v>79482</v>
      </c>
      <c r="F3926" t="s">
        <v>79483</v>
      </c>
      <c r="G3926">
        <f>-743.247173479252 -25.7377036413134 -685.847432038873</f>
        <v>-1454.8323091594384</v>
      </c>
      <c r="H3926">
        <f>-738.474845671416 -74.8233649489107 -829.957952952069</f>
        <v>-1643.2561635723957</v>
      </c>
      <c r="I3926">
        <f>-704.675230503831 -108.817118980382 -919.874642218195</f>
        <v>-1733.3669917024081</v>
      </c>
      <c r="J3926">
        <f>-729.233153990587 -24.8801211945311 -775.431171490428</f>
        <v>-1529.5444466755462</v>
      </c>
      <c r="K3926" t="s">
        <v>79484</v>
      </c>
      <c r="L3926" t="s">
        <v>79485</v>
      </c>
      <c r="M3926" t="s">
        <v>79486</v>
      </c>
      <c r="N3926">
        <f>-751.939761430683 -81.3288513418031 -756.955976641247</f>
        <v>-1590.2245894137332</v>
      </c>
      <c r="O3926">
        <f>-809.893135784578 -197.872159944403 -688.519893073735</f>
        <v>-1696.2851888027162</v>
      </c>
      <c r="P3926">
        <f>-762.259101237667 -154.241675321692 -378.659350944892</f>
        <v>-1295.160127504251</v>
      </c>
      <c r="Q3926">
        <f>-515.481912310816 -73.4440025738691 -364.004115643836</f>
        <v>-952.930030528521</v>
      </c>
      <c r="R3926" t="s">
        <v>79487</v>
      </c>
      <c r="S3926" t="s">
        <v>79488</v>
      </c>
      <c r="T3926" t="s">
        <v>79489</v>
      </c>
      <c r="U3926" t="s">
        <v>79490</v>
      </c>
      <c r="V3926">
        <f>-723.864468954281 -56.1920842211118 -232.934626002418</f>
        <v>-1012.9911791778109</v>
      </c>
      <c r="W3926" t="s">
        <v>79491</v>
      </c>
      <c r="X3926" t="s">
        <v>79492</v>
      </c>
      <c r="Y3926" t="s">
        <v>79493</v>
      </c>
    </row>
    <row r="3927" spans="1:25" x14ac:dyDescent="0.3">
      <c r="A3927">
        <v>196300</v>
      </c>
      <c r="B3927" t="s">
        <v>79494</v>
      </c>
      <c r="C3927" t="s">
        <v>79495</v>
      </c>
      <c r="D3927" t="s">
        <v>79496</v>
      </c>
      <c r="E3927" t="s">
        <v>79497</v>
      </c>
      <c r="F3927" t="s">
        <v>79498</v>
      </c>
      <c r="G3927">
        <f>-742.937525511911 -25.5874889473723 -685.851411398758</f>
        <v>-1454.3764258580413</v>
      </c>
      <c r="H3927">
        <f>-738.155502001788 -74.5853934784025 -829.991415476469</f>
        <v>-1642.7323109566596</v>
      </c>
      <c r="I3927">
        <f>-704.3081334925 -108.531796569576 -919.907996955817</f>
        <v>-1732.7479270178931</v>
      </c>
      <c r="J3927">
        <f>-728.916742133256 -24.6756007540766 -775.433414029181</f>
        <v>-1529.0257569165137</v>
      </c>
      <c r="K3927" t="s">
        <v>79499</v>
      </c>
      <c r="L3927" t="s">
        <v>79500</v>
      </c>
      <c r="M3927" t="s">
        <v>79501</v>
      </c>
      <c r="N3927">
        <f>-751.626094171825 -81.135128272542 -756.994514036958</f>
        <v>-1589.7557364813251</v>
      </c>
      <c r="O3927">
        <f>-809.532514480803 -197.744817998963 -688.64006766465</f>
        <v>-1695.917400144416</v>
      </c>
      <c r="P3927">
        <f>-761.998687866112 -154.290038745443 -378.739478840625</f>
        <v>-1295.0282054521799</v>
      </c>
      <c r="Q3927">
        <f>-515.242667191074 -73.484258896872 -363.77592744123</f>
        <v>-952.50285352917604</v>
      </c>
      <c r="R3927" t="s">
        <v>79502</v>
      </c>
      <c r="S3927" t="s">
        <v>79503</v>
      </c>
      <c r="T3927" t="s">
        <v>79504</v>
      </c>
      <c r="U3927" t="s">
        <v>79505</v>
      </c>
      <c r="V3927">
        <f>-723.803245325551 -56.1554440345851 -232.924342029218</f>
        <v>-1012.8830313893541</v>
      </c>
      <c r="W3927" t="s">
        <v>79506</v>
      </c>
      <c r="X3927" t="s">
        <v>79507</v>
      </c>
      <c r="Y3927" t="s">
        <v>79508</v>
      </c>
    </row>
    <row r="3928" spans="1:25" x14ac:dyDescent="0.3">
      <c r="A3928">
        <v>196350</v>
      </c>
      <c r="B3928" t="s">
        <v>79509</v>
      </c>
      <c r="C3928" t="s">
        <v>79510</v>
      </c>
      <c r="D3928" t="s">
        <v>79511</v>
      </c>
      <c r="E3928" t="s">
        <v>79512</v>
      </c>
      <c r="F3928" t="s">
        <v>79513</v>
      </c>
      <c r="G3928">
        <f>-742.792755767984 -25.2799373390917 -685.811317946196</f>
        <v>-1453.8840110532717</v>
      </c>
      <c r="H3928">
        <f>-738.020653970166 -74.1449322509584 -829.996738995018</f>
        <v>-1642.1623252161423</v>
      </c>
      <c r="I3928">
        <f>-704.099980261038 -108.015713623189 -919.914184779127</f>
        <v>-1732.0298786633539</v>
      </c>
      <c r="J3928">
        <f>-728.793087431413 -24.2801594435646 -775.395705795512</f>
        <v>-1528.4689526704897</v>
      </c>
      <c r="K3928" t="s">
        <v>79514</v>
      </c>
      <c r="L3928" t="s">
        <v>79515</v>
      </c>
      <c r="M3928" t="s">
        <v>79516</v>
      </c>
      <c r="N3928">
        <f>-751.471179839012 -80.7671470548253 -757.002556940796</f>
        <v>-1589.2408838346332</v>
      </c>
      <c r="O3928">
        <f>-809.258922739401 -197.514844990561 -688.775590228268</f>
        <v>-1695.5493579582298</v>
      </c>
      <c r="P3928">
        <f>-761.857502405809 -153.927521596345 -378.873366133163</f>
        <v>-1294.6583901353169</v>
      </c>
      <c r="Q3928">
        <f>-515.180067110812 -72.9405167689406 -363.595654571486</f>
        <v>-951.71623845123872</v>
      </c>
      <c r="R3928" t="s">
        <v>79517</v>
      </c>
      <c r="S3928" t="s">
        <v>79518</v>
      </c>
      <c r="T3928" t="s">
        <v>79519</v>
      </c>
      <c r="U3928" t="s">
        <v>79520</v>
      </c>
      <c r="V3928">
        <f>-723.847165678367 -56.1397613738345 -232.867964307735</f>
        <v>-1012.8548913599366</v>
      </c>
      <c r="W3928" t="s">
        <v>79521</v>
      </c>
      <c r="X3928" t="s">
        <v>79522</v>
      </c>
      <c r="Y3928" t="s">
        <v>79523</v>
      </c>
    </row>
    <row r="3929" spans="1:25" x14ac:dyDescent="0.3">
      <c r="A3929">
        <v>196400</v>
      </c>
      <c r="B3929" t="s">
        <v>79524</v>
      </c>
      <c r="C3929" t="s">
        <v>79525</v>
      </c>
      <c r="D3929" t="s">
        <v>79526</v>
      </c>
      <c r="E3929" t="s">
        <v>79527</v>
      </c>
      <c r="F3929" t="s">
        <v>79528</v>
      </c>
      <c r="G3929">
        <f>-742.892716084672 -25.1879983448127 -685.794063786826</f>
        <v>-1453.8747782163107</v>
      </c>
      <c r="H3929">
        <f>-738.135756951511 -74.0018163414488 -829.997432598226</f>
        <v>-1642.1350058911858</v>
      </c>
      <c r="I3929">
        <f>-704.185741493424 -107.850003734708 -919.912178884079</f>
        <v>-1731.947924112211</v>
      </c>
      <c r="J3929">
        <f>-728.918296376753 -24.1507550194322 -775.38202725388</f>
        <v>-1528.451078650065</v>
      </c>
      <c r="K3929" t="s">
        <v>79529</v>
      </c>
      <c r="L3929" t="s">
        <v>79530</v>
      </c>
      <c r="M3929" t="s">
        <v>79531</v>
      </c>
      <c r="N3929">
        <f>-751.56273162634 -80.6555702790124 -757.001715186198</f>
        <v>-1589.2200170915503</v>
      </c>
      <c r="O3929">
        <f>-809.270742485375 -197.446684789341 -688.793213433227</f>
        <v>-1695.5106407079429</v>
      </c>
      <c r="P3929">
        <f>-761.959093337504 -153.854973705789 -378.877940768527</f>
        <v>-1294.6920078118201</v>
      </c>
      <c r="Q3929">
        <f>-515.296777737537 -72.8438932910046 -363.484827430234</f>
        <v>-951.62549845877561</v>
      </c>
      <c r="R3929" t="s">
        <v>79532</v>
      </c>
      <c r="S3929" t="s">
        <v>79533</v>
      </c>
      <c r="T3929" t="s">
        <v>79534</v>
      </c>
      <c r="U3929" t="s">
        <v>79535</v>
      </c>
      <c r="V3929">
        <f>-723.848498863518 -56.1083901327804 -232.847057499012</f>
        <v>-1012.8039464953104</v>
      </c>
      <c r="W3929" t="s">
        <v>79536</v>
      </c>
      <c r="X3929" t="s">
        <v>79537</v>
      </c>
      <c r="Y3929" t="s">
        <v>79538</v>
      </c>
    </row>
    <row r="3930" spans="1:25" x14ac:dyDescent="0.3">
      <c r="A3930">
        <v>196450</v>
      </c>
      <c r="B3930" t="s">
        <v>79539</v>
      </c>
      <c r="C3930" t="s">
        <v>79540</v>
      </c>
      <c r="D3930" t="s">
        <v>79541</v>
      </c>
      <c r="E3930" t="s">
        <v>79542</v>
      </c>
      <c r="F3930" t="s">
        <v>79543</v>
      </c>
      <c r="G3930">
        <f>-743.007469184833 -24.8990270252593 -685.741516029178</f>
        <v>-1453.6480122392704</v>
      </c>
      <c r="H3930">
        <f>-738.198895824981 -73.637827330132 -829.968435245853</f>
        <v>-1641.8051584009661</v>
      </c>
      <c r="I3930">
        <f>-704.150955359595 -107.432879420324 -919.866274359021</f>
        <v>-1731.4501091389398</v>
      </c>
      <c r="J3930">
        <f>-729.036685440221 -23.8026870673291 -775.329206770771</f>
        <v>-1528.168579278321</v>
      </c>
      <c r="K3930" t="s">
        <v>79544</v>
      </c>
      <c r="L3930" t="s">
        <v>79545</v>
      </c>
      <c r="M3930" t="s">
        <v>79546</v>
      </c>
      <c r="N3930">
        <f>-751.616318225618 -80.3420695798366 -756.975606698806</f>
        <v>-1588.9339945042607</v>
      </c>
      <c r="O3930">
        <f>-809.163009361562 -197.260664964244 -688.83243088313</f>
        <v>-1695.2561052089359</v>
      </c>
      <c r="P3930">
        <f>-762.113547517037 -153.601549169604 -378.886672184007</f>
        <v>-1294.6017688706479</v>
      </c>
      <c r="Q3930">
        <f>-515.580243304801 -72.2285850792607 -363.336728298299</f>
        <v>-951.14555668236073</v>
      </c>
      <c r="R3930" t="s">
        <v>79547</v>
      </c>
      <c r="S3930" t="s">
        <v>79548</v>
      </c>
      <c r="T3930" t="s">
        <v>79549</v>
      </c>
      <c r="U3930" t="s">
        <v>79550</v>
      </c>
      <c r="V3930">
        <f>-723.975831443999 -55.9920629325654 -232.804517298386</f>
        <v>-1012.7724116749505</v>
      </c>
      <c r="W3930" t="s">
        <v>79551</v>
      </c>
      <c r="X3930" t="s">
        <v>79552</v>
      </c>
      <c r="Y3930" t="s">
        <v>79553</v>
      </c>
    </row>
    <row r="3931" spans="1:25" x14ac:dyDescent="0.3">
      <c r="A3931">
        <v>196500</v>
      </c>
      <c r="B3931" t="s">
        <v>79554</v>
      </c>
      <c r="C3931" t="s">
        <v>79555</v>
      </c>
      <c r="D3931" t="s">
        <v>79556</v>
      </c>
      <c r="E3931" t="s">
        <v>79557</v>
      </c>
      <c r="F3931" t="s">
        <v>79558</v>
      </c>
      <c r="G3931">
        <f>-743.061950725088 -24.7969199956208 -685.68993361211</f>
        <v>-1453.5488043328187</v>
      </c>
      <c r="H3931">
        <f>-738.254120204853 -73.5487232324967 -829.912599644785</f>
        <v>-1641.7154430821347</v>
      </c>
      <c r="I3931">
        <f>-704.171933174687 -107.332284133934 -919.801774906887</f>
        <v>-1731.305992215508</v>
      </c>
      <c r="J3931">
        <f>-729.106810548514 -23.7034137637379 -775.280307442449</f>
        <v>-1528.0905317547008</v>
      </c>
      <c r="K3931" t="s">
        <v>79559</v>
      </c>
      <c r="L3931" t="s">
        <v>79560</v>
      </c>
      <c r="M3931" t="s">
        <v>79561</v>
      </c>
      <c r="N3931">
        <f>-751.656072001385 -80.2517230773567 -756.916798755225</f>
        <v>-1588.8245938339669</v>
      </c>
      <c r="O3931">
        <f>-809.084989844329 -197.218605759441 -688.768128930892</f>
        <v>-1695.0717245346618</v>
      </c>
      <c r="P3931">
        <f>-762.191729212927 -153.494888493293 -378.80773729667</f>
        <v>-1294.49435500289</v>
      </c>
      <c r="Q3931">
        <f>-515.737743929171 -71.878902867807 -363.27243953175</f>
        <v>-950.88908632872801</v>
      </c>
      <c r="R3931" t="s">
        <v>79562</v>
      </c>
      <c r="S3931" t="s">
        <v>79563</v>
      </c>
      <c r="T3931" t="s">
        <v>79564</v>
      </c>
      <c r="U3931" t="s">
        <v>79565</v>
      </c>
      <c r="V3931">
        <f>-723.946318876226 -55.8494508903984 -232.772986573338</f>
        <v>-1012.5687563399624</v>
      </c>
      <c r="W3931" t="s">
        <v>79566</v>
      </c>
      <c r="X3931" t="s">
        <v>79567</v>
      </c>
      <c r="Y3931" t="s">
        <v>79568</v>
      </c>
    </row>
    <row r="3932" spans="1:25" x14ac:dyDescent="0.3">
      <c r="A3932">
        <v>196550</v>
      </c>
      <c r="B3932" t="s">
        <v>79569</v>
      </c>
      <c r="C3932" t="s">
        <v>79570</v>
      </c>
      <c r="D3932" t="s">
        <v>79571</v>
      </c>
      <c r="E3932" t="s">
        <v>79572</v>
      </c>
      <c r="F3932" t="s">
        <v>79573</v>
      </c>
      <c r="G3932">
        <f>-743.242750699449 -24.5026128588406 -685.646693300982</f>
        <v>-1453.3920568592716</v>
      </c>
      <c r="H3932">
        <f>-738.561406438173 -73.2168008606302 -829.886017752355</f>
        <v>-1641.6642250511582</v>
      </c>
      <c r="I3932">
        <f>-704.454033483959 -106.986317414961 -919.771039955573</f>
        <v>-1731.2113908544929</v>
      </c>
      <c r="J3932">
        <f>-729.399253998476 -23.3741871357774 -775.253811841126</f>
        <v>-1528.0272529753793</v>
      </c>
      <c r="K3932" t="s">
        <v>79574</v>
      </c>
      <c r="L3932" t="s">
        <v>79575</v>
      </c>
      <c r="M3932" t="s">
        <v>79576</v>
      </c>
      <c r="N3932">
        <f>-751.866219064103 -79.950345141955 -756.87539358338</f>
        <v>-1588.691957789438</v>
      </c>
      <c r="O3932">
        <f>-809.084230174092 -196.996800427399 -688.681690001618</f>
        <v>-1694.7627206031088</v>
      </c>
      <c r="P3932">
        <f>-762.263173758876 -153.261125858579 -378.711980770034</f>
        <v>-1294.2362803874889</v>
      </c>
      <c r="Q3932">
        <f>-516.081247588352 -70.828285402514 -363.177832045789</f>
        <v>-950.087365036655</v>
      </c>
      <c r="R3932" t="s">
        <v>79577</v>
      </c>
      <c r="S3932" t="s">
        <v>79578</v>
      </c>
      <c r="T3932" t="s">
        <v>79579</v>
      </c>
      <c r="U3932" t="s">
        <v>79580</v>
      </c>
      <c r="V3932">
        <f>-723.898254490035 -55.6039385906811 -232.730565283829</f>
        <v>-1012.2327583645451</v>
      </c>
      <c r="W3932" t="s">
        <v>79581</v>
      </c>
      <c r="X3932" t="s">
        <v>79582</v>
      </c>
      <c r="Y3932" t="s">
        <v>79583</v>
      </c>
    </row>
    <row r="3933" spans="1:25" x14ac:dyDescent="0.3">
      <c r="A3933">
        <v>196600</v>
      </c>
      <c r="B3933" t="s">
        <v>79584</v>
      </c>
      <c r="C3933" t="s">
        <v>79585</v>
      </c>
      <c r="D3933" t="s">
        <v>79586</v>
      </c>
      <c r="E3933" t="s">
        <v>79587</v>
      </c>
      <c r="F3933" t="s">
        <v>79588</v>
      </c>
      <c r="G3933">
        <f>-743.312726480606 -24.3385569634502 -685.59876977071</f>
        <v>-1453.250053214766</v>
      </c>
      <c r="H3933">
        <f>-738.679837803679 -73.0374656999941 -829.845082383242</f>
        <v>-1641.5623858869151</v>
      </c>
      <c r="I3933">
        <f>-704.568966954335 -106.792911850918 -919.733869192466</f>
        <v>-1731.0957479977192</v>
      </c>
      <c r="J3933">
        <f>-729.518450097216 -23.193920491168 -775.213361214553</f>
        <v>-1527.925731802937</v>
      </c>
      <c r="K3933" t="s">
        <v>79589</v>
      </c>
      <c r="L3933" t="s">
        <v>79590</v>
      </c>
      <c r="M3933" t="s">
        <v>79591</v>
      </c>
      <c r="N3933">
        <f>-751.941016634767 -79.7854559721484 -756.827688453375</f>
        <v>-1588.5541610602904</v>
      </c>
      <c r="O3933">
        <f>-809.044632580753 -196.895056546086 -688.64645946142</f>
        <v>-1694.5861485882592</v>
      </c>
      <c r="P3933">
        <f>-762.229012000913 -153.052128541969 -378.69127451598</f>
        <v>-1293.972415058862</v>
      </c>
      <c r="Q3933">
        <f>-516.132471738872 -70.3836073072032 -363.055797336789</f>
        <v>-949.57187638286428</v>
      </c>
      <c r="R3933" t="s">
        <v>79592</v>
      </c>
      <c r="S3933" t="s">
        <v>79593</v>
      </c>
      <c r="T3933" t="s">
        <v>79594</v>
      </c>
      <c r="U3933" t="s">
        <v>79595</v>
      </c>
      <c r="V3933">
        <f>-723.872813565481 -55.4435816354414 -232.692849876527</f>
        <v>-1012.0092450774495</v>
      </c>
      <c r="W3933" t="s">
        <v>79596</v>
      </c>
      <c r="X3933" t="s">
        <v>79597</v>
      </c>
      <c r="Y3933" t="s">
        <v>79598</v>
      </c>
    </row>
    <row r="3934" spans="1:25" x14ac:dyDescent="0.3">
      <c r="A3934">
        <v>196650</v>
      </c>
      <c r="B3934" t="s">
        <v>79599</v>
      </c>
      <c r="C3934" t="s">
        <v>79600</v>
      </c>
      <c r="D3934" t="s">
        <v>79601</v>
      </c>
      <c r="E3934" t="s">
        <v>79602</v>
      </c>
      <c r="F3934" t="s">
        <v>79603</v>
      </c>
      <c r="G3934">
        <f>-743.662872742495 -24.2391472751524 -685.519684885121</f>
        <v>-1453.4217049027684</v>
      </c>
      <c r="H3934">
        <f>-739.148448348778 -72.9742477991351 -829.757309105825</f>
        <v>-1641.8800052537381</v>
      </c>
      <c r="I3934">
        <f>-705.063651465744 -106.72977432117 -919.656056987148</f>
        <v>-1731.4494827740618</v>
      </c>
      <c r="J3934">
        <f>-729.966178164736 -23.1088260346528 -775.149333010894</f>
        <v>-1528.2243372102828</v>
      </c>
      <c r="K3934" t="s">
        <v>79604</v>
      </c>
      <c r="L3934" t="s">
        <v>79605</v>
      </c>
      <c r="M3934" t="s">
        <v>79606</v>
      </c>
      <c r="N3934">
        <f>-752.325831094823 -79.7122732584021 -756.723904039981</f>
        <v>-1588.7620083932061</v>
      </c>
      <c r="O3934">
        <f>-809.220717894114 -196.887768448484 -688.484337001538</f>
        <v>-1694.5928233441361</v>
      </c>
      <c r="P3934">
        <f>-762.254501950462 -152.880668257859 -378.57507638432</f>
        <v>-1293.7102465926409</v>
      </c>
      <c r="Q3934">
        <f>-516.342295568068 -69.6447640820049 -363.049030459506</f>
        <v>-949.03609010957894</v>
      </c>
      <c r="R3934" t="s">
        <v>79607</v>
      </c>
      <c r="S3934" t="s">
        <v>79608</v>
      </c>
      <c r="T3934" t="s">
        <v>79609</v>
      </c>
      <c r="U3934" t="s">
        <v>79610</v>
      </c>
      <c r="V3934">
        <f>-723.810498974358 -55.2681486763827 -232.624779501402</f>
        <v>-1011.7034271521427</v>
      </c>
      <c r="W3934" t="s">
        <v>79611</v>
      </c>
      <c r="X3934" t="s">
        <v>79612</v>
      </c>
      <c r="Y3934" t="s">
        <v>79613</v>
      </c>
    </row>
    <row r="3935" spans="1:25" x14ac:dyDescent="0.3">
      <c r="A3935">
        <v>196700</v>
      </c>
      <c r="B3935" t="s">
        <v>79614</v>
      </c>
      <c r="C3935" t="s">
        <v>79615</v>
      </c>
      <c r="D3935" t="s">
        <v>79616</v>
      </c>
      <c r="E3935" t="s">
        <v>79617</v>
      </c>
      <c r="F3935" t="s">
        <v>79618</v>
      </c>
      <c r="G3935">
        <f>-743.793820964499 -24.2259290888599 -685.538279791482</f>
        <v>-1453.5580298448408</v>
      </c>
      <c r="H3935">
        <f>-739.326234830395 -72.9780238679252 -829.771653239182</f>
        <v>-1642.0759119375023</v>
      </c>
      <c r="I3935">
        <f>-705.250547204488 -106.720645287005 -919.678584000165</f>
        <v>-1731.649776491658</v>
      </c>
      <c r="J3935">
        <f>-730.140767768635 -23.1010509895041 -775.174578418925</f>
        <v>-1528.416397177064</v>
      </c>
      <c r="K3935" t="s">
        <v>79619</v>
      </c>
      <c r="L3935" t="s">
        <v>79620</v>
      </c>
      <c r="M3935" t="s">
        <v>79621</v>
      </c>
      <c r="N3935">
        <f>-752.465222611858 -79.7123996239341 -756.731004023591</f>
        <v>-1588.9086262593833</v>
      </c>
      <c r="O3935">
        <f>-809.270508983688 -196.926313481571 -688.47371443283</f>
        <v>-1694.670536898089</v>
      </c>
      <c r="P3935">
        <f>-762.269559051296 -152.901215054377 -378.572338123038</f>
        <v>-1293.743112228711</v>
      </c>
      <c r="Q3935">
        <f>-516.38613615174 -69.5710862835906 -363.097558756231</f>
        <v>-949.05478119156157</v>
      </c>
      <c r="R3935" t="s">
        <v>79622</v>
      </c>
      <c r="S3935" t="s">
        <v>79623</v>
      </c>
      <c r="T3935" t="s">
        <v>79624</v>
      </c>
      <c r="U3935" t="s">
        <v>79625</v>
      </c>
      <c r="V3935">
        <f>-723.834760886595 -55.1887015345349 -232.640655130287</f>
        <v>-1011.6641175514168</v>
      </c>
      <c r="W3935" t="s">
        <v>79626</v>
      </c>
      <c r="X3935" t="s">
        <v>79627</v>
      </c>
      <c r="Y3935" t="s">
        <v>79628</v>
      </c>
    </row>
    <row r="3936" spans="1:25" x14ac:dyDescent="0.3">
      <c r="A3936">
        <v>196750</v>
      </c>
      <c r="B3936" t="s">
        <v>79629</v>
      </c>
      <c r="C3936" t="s">
        <v>79630</v>
      </c>
      <c r="D3936" t="s">
        <v>79631</v>
      </c>
      <c r="E3936" t="s">
        <v>79632</v>
      </c>
      <c r="F3936" t="s">
        <v>79633</v>
      </c>
      <c r="G3936">
        <f>-743.916720508238 -24.0686414121783 -685.672346571979</f>
        <v>-1453.6577084923952</v>
      </c>
      <c r="H3936">
        <f>-739.474441857824 -72.7923463311449 -829.916158533415</f>
        <v>-1642.1829467223838</v>
      </c>
      <c r="I3936">
        <f>-705.388771951041 -106.461791463548 -919.846850559761</f>
        <v>-1731.6974139743502</v>
      </c>
      <c r="J3936">
        <f>-730.331907428888 -22.9079783401066 -775.318741520839</f>
        <v>-1528.5586272898336</v>
      </c>
      <c r="K3936" t="s">
        <v>79634</v>
      </c>
      <c r="L3936" t="s">
        <v>79635</v>
      </c>
      <c r="M3936" t="s">
        <v>79636</v>
      </c>
      <c r="N3936">
        <f>-752.548163204735 -79.5593032829333 -756.866853473759</f>
        <v>-1588.9743199614272</v>
      </c>
      <c r="O3936">
        <f>-809.12450799287 -196.874852693676 -688.59101283301</f>
        <v>-1694.5903735195561</v>
      </c>
      <c r="P3936">
        <f>-762.055383542126 -152.766209209849 -378.711774497059</f>
        <v>-1293.533367249034</v>
      </c>
      <c r="Q3936">
        <f>-516.250457353738 -69.1727083496107 -363.411613195693</f>
        <v>-948.83477889904179</v>
      </c>
      <c r="R3936" t="s">
        <v>79637</v>
      </c>
      <c r="S3936" t="s">
        <v>79638</v>
      </c>
      <c r="T3936" t="s">
        <v>79639</v>
      </c>
      <c r="U3936" t="s">
        <v>79640</v>
      </c>
      <c r="V3936">
        <f>-723.805028481869 -55.1192754418628 -232.726472086368</f>
        <v>-1011.6507760100999</v>
      </c>
      <c r="W3936" t="s">
        <v>79641</v>
      </c>
      <c r="X3936" t="s">
        <v>79642</v>
      </c>
      <c r="Y3936" t="s">
        <v>79643</v>
      </c>
    </row>
    <row r="3937" spans="1:25" x14ac:dyDescent="0.3">
      <c r="A3937">
        <v>196800</v>
      </c>
      <c r="B3937" t="s">
        <v>79644</v>
      </c>
      <c r="C3937" t="s">
        <v>79645</v>
      </c>
      <c r="D3937" t="s">
        <v>79646</v>
      </c>
      <c r="E3937" t="s">
        <v>79647</v>
      </c>
      <c r="F3937" t="s">
        <v>79648</v>
      </c>
      <c r="G3937">
        <f>-743.868564376512 -24.0940369925104 -685.716172710069</f>
        <v>-1453.6787740790915</v>
      </c>
      <c r="H3937">
        <f>-739.366497954302 -72.8301167262791 -829.953829932583</f>
        <v>-1642.1504446131639</v>
      </c>
      <c r="I3937">
        <f>-705.245837645179 -106.468063726139 -919.883092476769</f>
        <v>-1731.5969938480871</v>
      </c>
      <c r="J3937">
        <f>-730.284081817791 -22.9281551717452 -775.36243914857</f>
        <v>-1528.5746761381063</v>
      </c>
      <c r="K3937" t="s">
        <v>79649</v>
      </c>
      <c r="L3937" t="s">
        <v>79650</v>
      </c>
      <c r="M3937" t="s">
        <v>79651</v>
      </c>
      <c r="N3937">
        <f>-752.432998695285 -79.603709906427 -756.903882086867</f>
        <v>-1588.9405906885791</v>
      </c>
      <c r="O3937">
        <f>-808.880109217792 -196.963182921029 -688.609003606366</f>
        <v>-1694.4522957451868</v>
      </c>
      <c r="P3937">
        <f>-761.817267963487 -152.809151448673 -378.735418806089</f>
        <v>-1293.361838218249</v>
      </c>
      <c r="Q3937">
        <f>-516.040409067765 -69.0949922937839 -363.644563725829</f>
        <v>-948.77996508737795</v>
      </c>
      <c r="R3937" t="s">
        <v>79652</v>
      </c>
      <c r="S3937" t="s">
        <v>79653</v>
      </c>
      <c r="T3937" t="s">
        <v>79654</v>
      </c>
      <c r="U3937" t="s">
        <v>79655</v>
      </c>
      <c r="V3937">
        <f>-723.850219569088 -55.1165564945388 -232.76540133688</f>
        <v>-1011.7321774005069</v>
      </c>
      <c r="W3937" t="s">
        <v>79656</v>
      </c>
      <c r="X3937" t="s">
        <v>79657</v>
      </c>
      <c r="Y3937" t="s">
        <v>79658</v>
      </c>
    </row>
    <row r="3938" spans="1:25" x14ac:dyDescent="0.3">
      <c r="A3938">
        <v>196850</v>
      </c>
      <c r="B3938" t="s">
        <v>79659</v>
      </c>
      <c r="C3938" t="s">
        <v>79660</v>
      </c>
      <c r="D3938" t="s">
        <v>79661</v>
      </c>
      <c r="E3938" t="s">
        <v>79662</v>
      </c>
      <c r="F3938" t="s">
        <v>79663</v>
      </c>
      <c r="G3938">
        <f>-743.758397641026 -24.0575200671196 -685.797643435393</f>
        <v>-1453.6135611435386</v>
      </c>
      <c r="H3938">
        <f>-739.180061202371 -72.750210334978 -830.047699816198</f>
        <v>-1641.977971353547</v>
      </c>
      <c r="I3938">
        <f>-704.986016583789 -106.318652590235 -919.974869933936</f>
        <v>-1731.2795391079601</v>
      </c>
      <c r="J3938">
        <f>-730.185662080095 -22.8444723988484 -775.445139551702</f>
        <v>-1528.4752740306453</v>
      </c>
      <c r="K3938" t="s">
        <v>79664</v>
      </c>
      <c r="L3938" t="s">
        <v>79665</v>
      </c>
      <c r="M3938" t="s">
        <v>79666</v>
      </c>
      <c r="N3938">
        <f>-752.225950913011 -79.5658742026387 -756.997933857309</f>
        <v>-1588.7897589729587</v>
      </c>
      <c r="O3938">
        <f>-808.530497563318 -196.972742785521 -688.662772483106</f>
        <v>-1694.166012831945</v>
      </c>
      <c r="P3938">
        <f>-761.266385438187 -152.853571910987 -378.814674184943</f>
        <v>-1292.934631534117</v>
      </c>
      <c r="Q3938">
        <f>-515.568800453511 -68.8920287042088 -363.807850014268</f>
        <v>-948.26867917198774</v>
      </c>
      <c r="R3938" t="s">
        <v>79667</v>
      </c>
      <c r="S3938" t="s">
        <v>79668</v>
      </c>
      <c r="T3938" t="s">
        <v>79669</v>
      </c>
      <c r="U3938" t="s">
        <v>79670</v>
      </c>
      <c r="V3938">
        <f>-723.885717507082 -55.166519852917 -232.813279872619</f>
        <v>-1011.8655172326179</v>
      </c>
      <c r="W3938" t="s">
        <v>79671</v>
      </c>
      <c r="X3938" t="s">
        <v>79672</v>
      </c>
      <c r="Y3938" t="s">
        <v>79673</v>
      </c>
    </row>
    <row r="3939" spans="1:25" x14ac:dyDescent="0.3">
      <c r="A3939">
        <v>196900</v>
      </c>
      <c r="B3939" t="s">
        <v>79674</v>
      </c>
      <c r="C3939" t="s">
        <v>79675</v>
      </c>
      <c r="D3939" t="s">
        <v>79676</v>
      </c>
      <c r="E3939" t="s">
        <v>79677</v>
      </c>
      <c r="F3939" t="s">
        <v>79678</v>
      </c>
      <c r="G3939">
        <f>-743.549734362543 -24.1409366537484 -685.835520634071</f>
        <v>-1453.5261916503623</v>
      </c>
      <c r="H3939">
        <f>-738.815394548959 -72.8747718457073 -830.066687119744</f>
        <v>-1641.7568535144103</v>
      </c>
      <c r="I3939">
        <f>-704.541432340134 -106.419991820972 -919.972169525675</f>
        <v>-1730.933593686781</v>
      </c>
      <c r="J3939">
        <f>-729.915847687168 -22.9412471236758 -775.473953297121</f>
        <v>-1528.3310481079648</v>
      </c>
      <c r="K3939" t="s">
        <v>79679</v>
      </c>
      <c r="L3939" t="s">
        <v>79680</v>
      </c>
      <c r="M3939" t="s">
        <v>79681</v>
      </c>
      <c r="N3939">
        <f>-751.904541945741 -79.6818826292438 -757.023804567383</f>
        <v>-1588.6102291423676</v>
      </c>
      <c r="O3939">
        <f>-808.135183973639 -197.124355952388 -688.681925913644</f>
        <v>-1693.9414658396709</v>
      </c>
      <c r="P3939">
        <f>-760.972395434637 -152.987967688992 -378.820932939969</f>
        <v>-1292.7812960635979</v>
      </c>
      <c r="Q3939">
        <f>-515.335122851376 -68.8317692049325 -363.917919268852</f>
        <v>-948.08481132516044</v>
      </c>
      <c r="R3939" t="s">
        <v>79682</v>
      </c>
      <c r="S3939" t="s">
        <v>79683</v>
      </c>
      <c r="T3939" t="s">
        <v>79684</v>
      </c>
      <c r="U3939" t="s">
        <v>79685</v>
      </c>
      <c r="V3939">
        <f>-723.970731102347 -55.2276895606863 -232.853045578904</f>
        <v>-1012.0514662419373</v>
      </c>
      <c r="W3939" t="s">
        <v>79686</v>
      </c>
      <c r="X3939" t="s">
        <v>79687</v>
      </c>
      <c r="Y3939" t="s">
        <v>79688</v>
      </c>
    </row>
    <row r="3940" spans="1:25" x14ac:dyDescent="0.3">
      <c r="A3940">
        <v>196950</v>
      </c>
      <c r="B3940" t="s">
        <v>79689</v>
      </c>
      <c r="C3940" t="s">
        <v>79690</v>
      </c>
      <c r="D3940" t="s">
        <v>79691</v>
      </c>
      <c r="E3940" t="s">
        <v>79692</v>
      </c>
      <c r="F3940" t="s">
        <v>79693</v>
      </c>
      <c r="G3940">
        <f>-743.2978788962 -24.33832223792 -685.995527810718</f>
        <v>-1453.631728944838</v>
      </c>
      <c r="H3940">
        <f>-738.21421636915 -73.0833251379179 -830.21101492753</f>
        <v>-1641.5085564345977</v>
      </c>
      <c r="I3940">
        <f>-703.780765605993 -106.557602869122 -920.081893978031</f>
        <v>-1730.4202624531458</v>
      </c>
      <c r="J3940">
        <f>-729.528418780513 -23.1181697421321 -775.612928342774</f>
        <v>-1528.2595168654191</v>
      </c>
      <c r="K3940" t="s">
        <v>79694</v>
      </c>
      <c r="L3940" t="s">
        <v>79695</v>
      </c>
      <c r="M3940" t="s">
        <v>79696</v>
      </c>
      <c r="N3940">
        <f>-751.398847883524 -79.9122933578335 -757.187232393069</f>
        <v>-1588.4983736344266</v>
      </c>
      <c r="O3940">
        <f>-807.52152614193 -197.371660699069 -688.811082043833</f>
        <v>-1693.7042688848321</v>
      </c>
      <c r="P3940">
        <f>-760.512606567461 -153.132807110765 -378.941227034998</f>
        <v>-1292.5866407132241</v>
      </c>
      <c r="Q3940">
        <f>-514.947696307939 -68.7755222191452 -363.981213764518</f>
        <v>-947.70443229160219</v>
      </c>
      <c r="R3940" t="s">
        <v>79697</v>
      </c>
      <c r="S3940" t="s">
        <v>79698</v>
      </c>
      <c r="T3940" t="s">
        <v>79699</v>
      </c>
      <c r="U3940" t="s">
        <v>79700</v>
      </c>
      <c r="V3940">
        <f>-724.196894861344 -55.3786051105758 -232.956675507956</f>
        <v>-1012.5321754798758</v>
      </c>
      <c r="W3940" t="s">
        <v>79701</v>
      </c>
      <c r="X3940" t="s">
        <v>79702</v>
      </c>
      <c r="Y3940" t="s">
        <v>79703</v>
      </c>
    </row>
    <row r="3941" spans="1:25" x14ac:dyDescent="0.3">
      <c r="A3941">
        <v>197000</v>
      </c>
      <c r="B3941" t="s">
        <v>79704</v>
      </c>
      <c r="C3941" t="s">
        <v>79705</v>
      </c>
      <c r="D3941" t="s">
        <v>79706</v>
      </c>
      <c r="E3941" t="s">
        <v>79707</v>
      </c>
      <c r="F3941" t="s">
        <v>79708</v>
      </c>
      <c r="G3941">
        <f>-743.137250833194 -24.549517727547 -686.020543218497</f>
        <v>-1453.7073117792379</v>
      </c>
      <c r="H3941">
        <f>-737.889260803641 -73.3537036205225 -830.210026630711</f>
        <v>-1641.4529910548745</v>
      </c>
      <c r="I3941">
        <f>-703.366619788495 -106.815594379192 -920.051457871259</f>
        <v>-1730.233672038946</v>
      </c>
      <c r="J3941">
        <f>-729.29380384914 -23.3566873711134 -775.626910838574</f>
        <v>-1528.2774020588272</v>
      </c>
      <c r="K3941" t="s">
        <v>79709</v>
      </c>
      <c r="L3941" t="s">
        <v>79710</v>
      </c>
      <c r="M3941" t="s">
        <v>79711</v>
      </c>
      <c r="N3941">
        <f>-751.128921682681 -80.1621251069362 -757.194475136502</f>
        <v>-1588.4855219261192</v>
      </c>
      <c r="O3941">
        <f>-807.243903809427 -197.630854118348 -688.804680880358</f>
        <v>-1693.679438808133</v>
      </c>
      <c r="P3941">
        <f>-760.422624135965 -153.290979041733 -378.920960932974</f>
        <v>-1292.6345641106718</v>
      </c>
      <c r="Q3941">
        <f>-514.892595654036 -68.8408365053638 -363.913001021956</f>
        <v>-947.64643318135575</v>
      </c>
      <c r="R3941" t="s">
        <v>79712</v>
      </c>
      <c r="S3941" t="s">
        <v>79713</v>
      </c>
      <c r="T3941" t="s">
        <v>79714</v>
      </c>
      <c r="U3941" t="s">
        <v>79715</v>
      </c>
      <c r="V3941">
        <f>-724.328225328878 -55.4746279718404 -232.984563996316</f>
        <v>-1012.7874172970344</v>
      </c>
      <c r="W3941" t="s">
        <v>79716</v>
      </c>
      <c r="X3941" t="s">
        <v>79717</v>
      </c>
      <c r="Y3941" t="s">
        <v>79718</v>
      </c>
    </row>
    <row r="3942" spans="1:25" x14ac:dyDescent="0.3">
      <c r="A3942">
        <v>197050</v>
      </c>
      <c r="B3942" t="s">
        <v>79719</v>
      </c>
      <c r="C3942" t="s">
        <v>79720</v>
      </c>
      <c r="D3942" t="s">
        <v>79721</v>
      </c>
      <c r="E3942" t="s">
        <v>79722</v>
      </c>
      <c r="F3942" t="s">
        <v>79723</v>
      </c>
      <c r="G3942">
        <f>-742.857829144135 -24.9579480597613 -685.99895451662</f>
        <v>-1453.8147317205162</v>
      </c>
      <c r="H3942">
        <f>-737.467568284973 -73.8750347374998 -830.145079494743</f>
        <v>-1641.4876825172159</v>
      </c>
      <c r="I3942">
        <f>-702.828468170035 -107.343026297506 -919.939237265281</f>
        <v>-1730.1107317328219</v>
      </c>
      <c r="J3942">
        <f>-728.965931871607 -23.8217997301113 -775.598544869326</f>
        <v>-1528.3862764710443</v>
      </c>
      <c r="K3942" t="s">
        <v>79724</v>
      </c>
      <c r="L3942" t="s">
        <v>79725</v>
      </c>
      <c r="M3942" t="s">
        <v>79726</v>
      </c>
      <c r="N3942">
        <f>-750.739282003919 -80.6397179342061 -757.13106409807</f>
        <v>-1588.5100640361952</v>
      </c>
      <c r="O3942">
        <f>-806.839717294567 -198.078802784039 -688.683243961734</f>
        <v>-1693.60176404034</v>
      </c>
      <c r="P3942">
        <f>-760.238090805881 -153.459902187397 -378.806480010318</f>
        <v>-1292.5044730035961</v>
      </c>
      <c r="Q3942">
        <f>-514.691505222552 -69.0909139932694 -363.613845750522</f>
        <v>-947.39626496634332</v>
      </c>
      <c r="R3942" t="s">
        <v>79727</v>
      </c>
      <c r="S3942" t="s">
        <v>79728</v>
      </c>
      <c r="T3942" t="s">
        <v>79729</v>
      </c>
      <c r="U3942" t="s">
        <v>79730</v>
      </c>
      <c r="V3942">
        <f>-724.495439424545 -55.6796120014524 -232.98483549443</f>
        <v>-1013.1598869204274</v>
      </c>
      <c r="W3942" t="s">
        <v>79731</v>
      </c>
      <c r="X3942" t="s">
        <v>79732</v>
      </c>
      <c r="Y3942" t="s">
        <v>79733</v>
      </c>
    </row>
    <row r="3943" spans="1:25" x14ac:dyDescent="0.3">
      <c r="A3943">
        <v>197100</v>
      </c>
      <c r="B3943" t="s">
        <v>79734</v>
      </c>
      <c r="C3943" t="s">
        <v>79735</v>
      </c>
      <c r="D3943" t="s">
        <v>79736</v>
      </c>
      <c r="E3943" t="s">
        <v>79737</v>
      </c>
      <c r="F3943" t="s">
        <v>79738</v>
      </c>
      <c r="G3943">
        <f>-742.69861499056 -25.173392692355 -685.976777041752</f>
        <v>-1453.848784724667</v>
      </c>
      <c r="H3943">
        <f>-737.246182495204 -74.1296460886126 -830.107135123846</f>
        <v>-1641.4829637076627</v>
      </c>
      <c r="I3943">
        <f>-702.556684309693 -107.599822910572 -919.881130153373</f>
        <v>-1730.0376373736381</v>
      </c>
      <c r="J3943">
        <f>-728.792478637927 -24.0533361734019 -775.574395026909</f>
        <v>-1528.420209838238</v>
      </c>
      <c r="K3943" t="s">
        <v>79739</v>
      </c>
      <c r="L3943" t="s">
        <v>79740</v>
      </c>
      <c r="M3943" t="s">
        <v>79741</v>
      </c>
      <c r="N3943">
        <f>-750.524881423685 -80.8826230965858 -757.093527964008</f>
        <v>-1588.5010324842788</v>
      </c>
      <c r="O3943">
        <f>-806.61931735122 -198.302969862703 -688.594692268019</f>
        <v>-1693.5169794819421</v>
      </c>
      <c r="P3943">
        <f>-760.078169312772 -153.478605814558 -378.738547133826</f>
        <v>-1292.2953222611561</v>
      </c>
      <c r="Q3943">
        <f>-514.482568219051 -69.2376534765224 -363.628804959411</f>
        <v>-947.34902665498441</v>
      </c>
      <c r="R3943" t="s">
        <v>79742</v>
      </c>
      <c r="S3943" t="s">
        <v>79743</v>
      </c>
      <c r="T3943" t="s">
        <v>79744</v>
      </c>
      <c r="U3943" t="s">
        <v>79745</v>
      </c>
      <c r="V3943">
        <f>-724.506750250213 -55.7886567586393 -232.973714286566</f>
        <v>-1013.2691212954182</v>
      </c>
      <c r="W3943" t="s">
        <v>79746</v>
      </c>
      <c r="X3943" t="s">
        <v>79747</v>
      </c>
      <c r="Y3943" t="s">
        <v>79748</v>
      </c>
    </row>
    <row r="3944" spans="1:25" x14ac:dyDescent="0.3">
      <c r="A3944">
        <v>197150</v>
      </c>
      <c r="B3944" t="s">
        <v>79749</v>
      </c>
      <c r="C3944" t="s">
        <v>79750</v>
      </c>
      <c r="D3944" t="s">
        <v>79751</v>
      </c>
      <c r="E3944" t="s">
        <v>79752</v>
      </c>
      <c r="F3944" t="s">
        <v>79753</v>
      </c>
      <c r="G3944">
        <f>-742.62387491552 -25.477623770724 -685.981369642668</f>
        <v>-1454.0828683289119</v>
      </c>
      <c r="H3944">
        <f>-737.107599736559 -74.4476766291732 -830.104580265293</f>
        <v>-1641.6598566310251</v>
      </c>
      <c r="I3944">
        <f>-702.373813723854 -107.90531614909 -919.86613368888</f>
        <v>-1730.1452635618241</v>
      </c>
      <c r="J3944">
        <f>-728.714861692846 -24.3540510174489 -775.578440904878</f>
        <v>-1528.647353615173</v>
      </c>
      <c r="K3944" t="s">
        <v>79754</v>
      </c>
      <c r="L3944" t="s">
        <v>79755</v>
      </c>
      <c r="M3944" t="s">
        <v>79756</v>
      </c>
      <c r="N3944">
        <f>-750.381925818063 -81.2058750703989 -757.090509712225</f>
        <v>-1588.6783106006869</v>
      </c>
      <c r="O3944">
        <f>-806.483115604952 -198.583553204106 -688.530655988678</f>
        <v>-1693.5973247977358</v>
      </c>
      <c r="P3944">
        <f>-759.732728113249 -153.774635703871 -378.703682086223</f>
        <v>-1292.2110459033429</v>
      </c>
      <c r="Q3944">
        <f>-514.017389143357 -69.8507504116935 -363.778053804036</f>
        <v>-947.64619335908651</v>
      </c>
      <c r="R3944" t="s">
        <v>79757</v>
      </c>
      <c r="S3944" t="s">
        <v>79758</v>
      </c>
      <c r="T3944" t="s">
        <v>79759</v>
      </c>
      <c r="U3944" t="s">
        <v>79760</v>
      </c>
      <c r="V3944">
        <f>-724.629177805456 -56.0724010897634 -232.966908060955</f>
        <v>-1013.6684869561744</v>
      </c>
      <c r="W3944" t="s">
        <v>79761</v>
      </c>
      <c r="X3944" t="s">
        <v>79762</v>
      </c>
      <c r="Y3944" t="s">
        <v>79763</v>
      </c>
    </row>
    <row r="3945" spans="1:25" x14ac:dyDescent="0.3">
      <c r="A3945">
        <v>197200</v>
      </c>
      <c r="B3945" t="s">
        <v>79764</v>
      </c>
      <c r="C3945" t="s">
        <v>79765</v>
      </c>
      <c r="D3945" t="s">
        <v>79766</v>
      </c>
      <c r="E3945" t="s">
        <v>79767</v>
      </c>
      <c r="F3945" t="s">
        <v>79768</v>
      </c>
      <c r="G3945">
        <f>-742.650699190232 -25.6938123619236 -685.962447855041</f>
        <v>-1454.3069594071967</v>
      </c>
      <c r="H3945">
        <f>-737.119752820443 -74.7021496600892 -830.072163133796</f>
        <v>-1641.8940656143282</v>
      </c>
      <c r="I3945">
        <f>-702.376070673846 -108.172213226814 -919.825084192155</f>
        <v>-1730.3733680928149</v>
      </c>
      <c r="J3945">
        <f>-728.736839116072 -24.5925728497593 -775.559021093411</f>
        <v>-1528.8884330592423</v>
      </c>
      <c r="K3945" t="s">
        <v>79769</v>
      </c>
      <c r="L3945" t="s">
        <v>79770</v>
      </c>
      <c r="M3945" t="s">
        <v>79771</v>
      </c>
      <c r="N3945">
        <f>-750.397209382633 -81.4423930937548 -757.057077522572</f>
        <v>-1588.8966799989598</v>
      </c>
      <c r="O3945">
        <f>-806.513193021637 -198.782452423238 -688.46268141171</f>
        <v>-1693.758326856585</v>
      </c>
      <c r="P3945">
        <f>-759.606337633462 -153.827108394299 -378.680548559555</f>
        <v>-1292.113994587316</v>
      </c>
      <c r="Q3945">
        <f>-513.833734710332 -70.0372627411264 -363.945962162703</f>
        <v>-947.81695961416131</v>
      </c>
      <c r="R3945" t="s">
        <v>79772</v>
      </c>
      <c r="S3945" t="s">
        <v>79773</v>
      </c>
      <c r="T3945" t="s">
        <v>79774</v>
      </c>
      <c r="U3945" t="s">
        <v>79775</v>
      </c>
      <c r="V3945">
        <f>-724.693419638053 -56.226892975387 -232.962480159401</f>
        <v>-1013.8827927728411</v>
      </c>
      <c r="W3945" t="s">
        <v>79776</v>
      </c>
      <c r="X3945" t="s">
        <v>79777</v>
      </c>
      <c r="Y3945" t="s">
        <v>79778</v>
      </c>
    </row>
    <row r="3946" spans="1:25" x14ac:dyDescent="0.3">
      <c r="A3946">
        <v>197250</v>
      </c>
      <c r="B3946" t="s">
        <v>79779</v>
      </c>
      <c r="C3946" t="s">
        <v>79780</v>
      </c>
      <c r="D3946" t="s">
        <v>79781</v>
      </c>
      <c r="E3946" t="s">
        <v>79782</v>
      </c>
      <c r="F3946" t="s">
        <v>79783</v>
      </c>
      <c r="G3946">
        <f>-742.677841693071 -26.0923022554621 -685.927701722982</f>
        <v>-1454.6978456715151</v>
      </c>
      <c r="H3946">
        <f>-737.130950437097 -75.1408975848885 -830.023062716105</f>
        <v>-1642.2949107380905</v>
      </c>
      <c r="I3946">
        <f>-702.404250005392 -108.605986788842 -919.784553232185</f>
        <v>-1730.7947900264189</v>
      </c>
      <c r="J3946">
        <f>-728.757818246555 -25.0148020775362 -775.52354425186</f>
        <v>-1529.296164575951</v>
      </c>
      <c r="K3946" t="s">
        <v>79784</v>
      </c>
      <c r="L3946" t="s">
        <v>79785</v>
      </c>
      <c r="M3946" t="s">
        <v>79786</v>
      </c>
      <c r="N3946">
        <f>-750.412736301323 -81.862030829036 -757.007070538634</f>
        <v>-1589.2818376689929</v>
      </c>
      <c r="O3946">
        <f>-806.578746783652 -199.149197628205 -688.351371372068</f>
        <v>-1694.079315783925</v>
      </c>
      <c r="P3946">
        <f>-759.317077474303 -154.300408315734 -378.607870115578</f>
        <v>-1292.2253559056151</v>
      </c>
      <c r="Q3946">
        <f>-513.439776829426 -70.7387600243958 -364.329917205093</f>
        <v>-948.50845405891482</v>
      </c>
      <c r="R3946" t="s">
        <v>79787</v>
      </c>
      <c r="S3946" t="s">
        <v>79788</v>
      </c>
      <c r="T3946" t="s">
        <v>79789</v>
      </c>
      <c r="U3946" t="s">
        <v>79790</v>
      </c>
      <c r="V3946">
        <f>-724.780394074803 -56.4915422387762 -232.937829920924</f>
        <v>-1014.2097662345031</v>
      </c>
      <c r="W3946" t="s">
        <v>79791</v>
      </c>
      <c r="X3946" t="s">
        <v>79792</v>
      </c>
      <c r="Y3946" t="s">
        <v>79793</v>
      </c>
    </row>
    <row r="3947" spans="1:25" x14ac:dyDescent="0.3">
      <c r="A3947">
        <v>197300</v>
      </c>
      <c r="B3947" t="s">
        <v>79794</v>
      </c>
      <c r="C3947" t="s">
        <v>79795</v>
      </c>
      <c r="D3947" t="s">
        <v>79796</v>
      </c>
      <c r="E3947" t="s">
        <v>79797</v>
      </c>
      <c r="F3947" t="s">
        <v>79798</v>
      </c>
      <c r="G3947">
        <f>-742.780854814557 -26.2102635244096 -685.884812509008</f>
        <v>-1454.8759308479746</v>
      </c>
      <c r="H3947">
        <f>-737.254923958837 -75.2610832742403 -829.980119877738</f>
        <v>-1642.4961271108155</v>
      </c>
      <c r="I3947">
        <f>-702.542165283641 -108.72003784502 -919.749459131867</f>
        <v>-1731.0116622605278</v>
      </c>
      <c r="J3947">
        <f>-728.876177031225 -25.1334415182002 -775.483034614526</f>
        <v>-1529.4926531639512</v>
      </c>
      <c r="K3947" t="s">
        <v>79799</v>
      </c>
      <c r="L3947" t="s">
        <v>79800</v>
      </c>
      <c r="M3947" t="s">
        <v>79801</v>
      </c>
      <c r="N3947">
        <f>-750.523755131873 -81.9817711296423 -756.961781075553</f>
        <v>-1589.4673073370682</v>
      </c>
      <c r="O3947">
        <f>-806.70533065312 -199.255787672116 -688.294496206944</f>
        <v>-1694.2556145321801</v>
      </c>
      <c r="P3947">
        <f>-759.386252939498 -154.518265310353 -378.543686888074</f>
        <v>-1292.448205137925</v>
      </c>
      <c r="Q3947">
        <f>-513.480691998438 -71.0221535600663 -364.370563910999</f>
        <v>-948.87340946950326</v>
      </c>
      <c r="R3947" t="s">
        <v>79802</v>
      </c>
      <c r="S3947" t="s">
        <v>79803</v>
      </c>
      <c r="T3947" t="s">
        <v>79804</v>
      </c>
      <c r="U3947" t="s">
        <v>79805</v>
      </c>
      <c r="V3947">
        <f>-724.852508622093 -56.6173286118278 -232.912690351599</f>
        <v>-1014.3825275855197</v>
      </c>
      <c r="W3947" t="s">
        <v>79806</v>
      </c>
      <c r="X3947" t="s">
        <v>79807</v>
      </c>
      <c r="Y3947" t="s">
        <v>79808</v>
      </c>
    </row>
    <row r="3948" spans="1:25" x14ac:dyDescent="0.3">
      <c r="A3948">
        <v>197350</v>
      </c>
      <c r="B3948" t="s">
        <v>79809</v>
      </c>
      <c r="C3948" t="s">
        <v>79810</v>
      </c>
      <c r="D3948" t="s">
        <v>79811</v>
      </c>
      <c r="E3948" t="s">
        <v>79812</v>
      </c>
      <c r="F3948" t="s">
        <v>79813</v>
      </c>
      <c r="G3948">
        <f>-742.953847437231 -26.4013462511891 -685.843557677338</f>
        <v>-1455.1987513657582</v>
      </c>
      <c r="H3948">
        <f>-737.419048666915 -75.4215877323204 -829.948962801745</f>
        <v>-1642.7895992009803</v>
      </c>
      <c r="I3948">
        <f>-702.703975094332 -108.84273842876 -919.731401754834</f>
        <v>-1731.278115277926</v>
      </c>
      <c r="J3948">
        <f>-729.055235316948 -25.3016682125233 -775.442614524366</f>
        <v>-1529.7995180538373</v>
      </c>
      <c r="K3948" t="s">
        <v>79814</v>
      </c>
      <c r="L3948" t="s">
        <v>79815</v>
      </c>
      <c r="M3948" t="s">
        <v>79816</v>
      </c>
      <c r="N3948">
        <f>-750.680865776077 -82.1616971140263 -756.931128052986</f>
        <v>-1589.7736909430892</v>
      </c>
      <c r="O3948">
        <f>-806.899948004707 -199.412551814539 -688.261998408286</f>
        <v>-1694.5744982275319</v>
      </c>
      <c r="P3948">
        <f>-759.61058416336 -154.650302504939 -378.510143546622</f>
        <v>-1292.771030214921</v>
      </c>
      <c r="Q3948">
        <f>-513.690439520213 -71.1467659137461 -364.636444350599</f>
        <v>-949.47364978455812</v>
      </c>
      <c r="R3948" t="s">
        <v>79817</v>
      </c>
      <c r="S3948" t="s">
        <v>79818</v>
      </c>
      <c r="T3948" t="s">
        <v>79819</v>
      </c>
      <c r="U3948" t="s">
        <v>79820</v>
      </c>
      <c r="V3948">
        <f>-725.110723123424 -56.9005851473125 -232.872072185866</f>
        <v>-1014.8833804566025</v>
      </c>
      <c r="W3948" t="s">
        <v>79821</v>
      </c>
      <c r="X3948" t="s">
        <v>79822</v>
      </c>
      <c r="Y3948" t="s">
        <v>79823</v>
      </c>
    </row>
    <row r="3949" spans="1:25" x14ac:dyDescent="0.3">
      <c r="A3949">
        <v>197400</v>
      </c>
      <c r="B3949" t="s">
        <v>79824</v>
      </c>
      <c r="C3949" t="s">
        <v>79825</v>
      </c>
      <c r="D3949" t="s">
        <v>79826</v>
      </c>
      <c r="E3949" t="s">
        <v>79827</v>
      </c>
      <c r="F3949" t="s">
        <v>79828</v>
      </c>
      <c r="G3949">
        <f>-743.058266817313 -26.5316635506742 -685.824387375551</f>
        <v>-1455.4143177435383</v>
      </c>
      <c r="H3949">
        <f>-737.526591388228 -75.5416909868013 -829.933475963654</f>
        <v>-1643.0017583386834</v>
      </c>
      <c r="I3949">
        <f>-702.798639187097 -108.93972352943 -919.719495097421</f>
        <v>-1731.4578578139481</v>
      </c>
      <c r="J3949">
        <f>-729.167589987305 -25.423658085648 -775.424469865147</f>
        <v>-1530.0157179380999</v>
      </c>
      <c r="K3949" t="s">
        <v>79829</v>
      </c>
      <c r="L3949" t="s">
        <v>79830</v>
      </c>
      <c r="M3949" t="s">
        <v>79831</v>
      </c>
      <c r="N3949">
        <f>-750.780796619841 -82.2889163289256 -756.914878208359</f>
        <v>-1589.9845911571256</v>
      </c>
      <c r="O3949">
        <f>-806.989841057328 -199.540995905121 -688.239838167938</f>
        <v>-1694.7706751303872</v>
      </c>
      <c r="P3949">
        <f>-759.666670056475 -154.762815638918 -378.495418217648</f>
        <v>-1292.9249039130411</v>
      </c>
      <c r="Q3949">
        <f>-513.721807180996 -71.3321735006186 -364.622025035109</f>
        <v>-949.67600571672369</v>
      </c>
      <c r="R3949" t="s">
        <v>79832</v>
      </c>
      <c r="S3949" t="s">
        <v>79833</v>
      </c>
      <c r="T3949" t="s">
        <v>79834</v>
      </c>
      <c r="U3949" t="s">
        <v>79835</v>
      </c>
      <c r="V3949">
        <f>-725.210762380466 -57.0531980344222 -232.850067028774</f>
        <v>-1015.1140274436622</v>
      </c>
      <c r="W3949" t="s">
        <v>79836</v>
      </c>
      <c r="X3949" t="s">
        <v>79837</v>
      </c>
      <c r="Y3949" t="s">
        <v>79838</v>
      </c>
    </row>
    <row r="3950" spans="1:25" x14ac:dyDescent="0.3">
      <c r="A3950">
        <v>197450</v>
      </c>
      <c r="B3950" t="s">
        <v>79839</v>
      </c>
      <c r="C3950" t="s">
        <v>79840</v>
      </c>
      <c r="D3950" t="s">
        <v>79841</v>
      </c>
      <c r="E3950" t="s">
        <v>79842</v>
      </c>
      <c r="F3950" t="s">
        <v>79843</v>
      </c>
      <c r="G3950">
        <f>-743.33375223888 -26.7583908362549 -685.76475237701</f>
        <v>-1455.856895452145</v>
      </c>
      <c r="H3950">
        <f>-737.798198364428 -75.7892571680829 -829.866503438131</f>
        <v>-1643.4539589706419</v>
      </c>
      <c r="I3950">
        <f>-703.020175658686 -109.150334427125 -919.646866000627</f>
        <v>-1731.8173760864379</v>
      </c>
      <c r="J3950">
        <f>-729.450758326722 -25.6599580416578 -775.366165433794</f>
        <v>-1530.4768818021739</v>
      </c>
      <c r="K3950" t="s">
        <v>79844</v>
      </c>
      <c r="L3950" t="s">
        <v>79845</v>
      </c>
      <c r="M3950" t="s">
        <v>79846</v>
      </c>
      <c r="N3950">
        <f>-751.044202847124 -82.5292117947927 -756.845803927195</f>
        <v>-1590.4192185691118</v>
      </c>
      <c r="O3950">
        <f>-807.250553350786 -199.764422975225 -688.143779053492</f>
        <v>-1695.158755379503</v>
      </c>
      <c r="P3950">
        <f>-759.975078503459 -154.860829767571 -378.410162037194</f>
        <v>-1293.246070308224</v>
      </c>
      <c r="Q3950">
        <f>-514.021008914346 -71.445365843527 -364.608073823175</f>
        <v>-950.07444858104805</v>
      </c>
      <c r="R3950" t="s">
        <v>79847</v>
      </c>
      <c r="S3950" t="s">
        <v>79848</v>
      </c>
      <c r="T3950" t="s">
        <v>79849</v>
      </c>
      <c r="U3950" t="s">
        <v>79850</v>
      </c>
      <c r="V3950">
        <f>-725.421952308139 -57.272316633592 -232.807526158049</f>
        <v>-1015.50179509978</v>
      </c>
      <c r="W3950" t="s">
        <v>79851</v>
      </c>
      <c r="X3950" t="s">
        <v>79852</v>
      </c>
      <c r="Y3950" t="s">
        <v>79853</v>
      </c>
    </row>
    <row r="3951" spans="1:25" x14ac:dyDescent="0.3">
      <c r="A3951">
        <v>197500</v>
      </c>
      <c r="B3951" t="s">
        <v>79854</v>
      </c>
      <c r="C3951" t="s">
        <v>79855</v>
      </c>
      <c r="D3951" t="s">
        <v>79856</v>
      </c>
      <c r="E3951" t="s">
        <v>79857</v>
      </c>
      <c r="F3951" t="s">
        <v>79858</v>
      </c>
      <c r="G3951">
        <f>-743.386596313541 -26.884701650393 -685.737096652866</f>
        <v>-1456.0083946167999</v>
      </c>
      <c r="H3951">
        <f>-737.836687373263 -75.920441154228 -829.83666454635</f>
        <v>-1643.593793073841</v>
      </c>
      <c r="I3951">
        <f>-703.030940716242 -109.257464604919 -919.615284167659</f>
        <v>-1731.90368948882</v>
      </c>
      <c r="J3951">
        <f>-729.503630197478 -25.7862456066148 -775.33850930595</f>
        <v>-1530.6283851100427</v>
      </c>
      <c r="K3951" t="s">
        <v>79859</v>
      </c>
      <c r="L3951" t="s">
        <v>79860</v>
      </c>
      <c r="M3951" t="s">
        <v>79861</v>
      </c>
      <c r="N3951">
        <f>-751.08101233266 -82.660985906668 -756.815642772375</f>
        <v>-1590.5576410117028</v>
      </c>
      <c r="O3951">
        <f>-807.267592339368 -199.91209695014 -688.105001353502</f>
        <v>-1695.28469064301</v>
      </c>
      <c r="P3951">
        <f>-760.036477598857 -154.924920315213 -378.376884168491</f>
        <v>-1293.3382820825609</v>
      </c>
      <c r="Q3951">
        <f>-514.092308246224 -71.4804262578921 -364.573692531361</f>
        <v>-950.14642703547702</v>
      </c>
      <c r="R3951" t="s">
        <v>79862</v>
      </c>
      <c r="S3951" t="s">
        <v>79863</v>
      </c>
      <c r="T3951" t="s">
        <v>79864</v>
      </c>
      <c r="U3951" t="s">
        <v>79865</v>
      </c>
      <c r="V3951">
        <f>-725.479332861148 -57.3678633000834 -232.787549446039</f>
        <v>-1015.6347456072704</v>
      </c>
      <c r="W3951" t="s">
        <v>79866</v>
      </c>
      <c r="X3951" t="s">
        <v>79867</v>
      </c>
      <c r="Y3951" t="s">
        <v>79868</v>
      </c>
    </row>
    <row r="3952" spans="1:25" x14ac:dyDescent="0.3">
      <c r="A3952">
        <v>197550</v>
      </c>
      <c r="B3952" t="s">
        <v>79869</v>
      </c>
      <c r="C3952" t="s">
        <v>79870</v>
      </c>
      <c r="D3952" t="s">
        <v>79871</v>
      </c>
      <c r="E3952" t="s">
        <v>79872</v>
      </c>
      <c r="F3952" t="s">
        <v>79873</v>
      </c>
      <c r="G3952">
        <f>-743.355905872885 -27.1918590544033 -685.722606706581</f>
        <v>-1456.2703716338692</v>
      </c>
      <c r="H3952">
        <f>-737.731624732544 -76.2020180223501 -829.828085811888</f>
        <v>-1643.761728566782</v>
      </c>
      <c r="I3952">
        <f>-702.838496208015 -109.478342649922 -919.595234832595</f>
        <v>-1731.912073690532</v>
      </c>
      <c r="J3952">
        <f>-729.45800664016 -26.0672109071133 -775.321392950877</f>
        <v>-1530.8466104981503</v>
      </c>
      <c r="K3952" t="s">
        <v>79874</v>
      </c>
      <c r="L3952" t="s">
        <v>79875</v>
      </c>
      <c r="M3952" t="s">
        <v>79876</v>
      </c>
      <c r="N3952">
        <f>-750.982303069683 -82.9657743232469 -756.810429549445</f>
        <v>-1590.7585069423749</v>
      </c>
      <c r="O3952">
        <f>-807.095563056332 -200.234316135969 -688.086896307725</f>
        <v>-1695.4167755000262</v>
      </c>
      <c r="P3952">
        <f>-759.866067345967 -155.18590769213 -378.367426041706</f>
        <v>-1293.419401079803</v>
      </c>
      <c r="Q3952">
        <f>-513.95632167335 -71.6533721378955 -364.48612963321</f>
        <v>-950.0958234444555</v>
      </c>
      <c r="R3952" t="s">
        <v>79877</v>
      </c>
      <c r="S3952" t="s">
        <v>79878</v>
      </c>
      <c r="T3952" t="s">
        <v>79879</v>
      </c>
      <c r="U3952" t="s">
        <v>79880</v>
      </c>
      <c r="V3952">
        <f>-725.629772843484 -57.6362349407684 -232.749472207187</f>
        <v>-1016.0154799914394</v>
      </c>
      <c r="W3952" t="s">
        <v>79881</v>
      </c>
      <c r="X3952" t="s">
        <v>79882</v>
      </c>
      <c r="Y3952" t="s">
        <v>79883</v>
      </c>
    </row>
    <row r="3953" spans="1:25" x14ac:dyDescent="0.3">
      <c r="A3953">
        <v>197600</v>
      </c>
      <c r="B3953" t="s">
        <v>79884</v>
      </c>
      <c r="C3953" t="s">
        <v>79885</v>
      </c>
      <c r="D3953" t="s">
        <v>79886</v>
      </c>
      <c r="E3953" t="s">
        <v>79887</v>
      </c>
      <c r="F3953" t="s">
        <v>79888</v>
      </c>
      <c r="G3953">
        <f>-743.340743862062 -27.2973761407256 -685.708220302905</f>
        <v>-1456.3463403056926</v>
      </c>
      <c r="H3953">
        <f>-737.716960742701 -76.2766355651227 -829.824210824867</f>
        <v>-1643.8178071326906</v>
      </c>
      <c r="I3953">
        <f>-702.796073052368 -109.508783755284 -919.596829336378</f>
        <v>-1731.90168614403</v>
      </c>
      <c r="J3953">
        <f>-729.462790234226 -26.1471321831914 -775.30974461518</f>
        <v>-1530.9196670325973</v>
      </c>
      <c r="K3953" t="s">
        <v>79889</v>
      </c>
      <c r="L3953" t="s">
        <v>79890</v>
      </c>
      <c r="M3953" t="s">
        <v>79891</v>
      </c>
      <c r="N3953">
        <f>-750.947858280668 -83.062563020472 -756.804871788399</f>
        <v>-1590.815293089539</v>
      </c>
      <c r="O3953">
        <f>-807.036982783342 -200.351340534266 -688.088530047107</f>
        <v>-1695.476853364715</v>
      </c>
      <c r="P3953">
        <f>-759.920100769529 -155.142761104088 -378.375143964485</f>
        <v>-1293.4380058381021</v>
      </c>
      <c r="Q3953">
        <f>-514.035233985327 -71.5436459387111 -364.450496182776</f>
        <v>-950.02937610681499</v>
      </c>
      <c r="R3953" t="s">
        <v>79892</v>
      </c>
      <c r="S3953" t="s">
        <v>79893</v>
      </c>
      <c r="T3953" t="s">
        <v>79894</v>
      </c>
      <c r="U3953" t="s">
        <v>79895</v>
      </c>
      <c r="V3953">
        <f>-725.645210450428 -57.745356306177 -232.732828958187</f>
        <v>-1016.123395714792</v>
      </c>
      <c r="W3953" t="s">
        <v>79896</v>
      </c>
      <c r="X3953" t="s">
        <v>79897</v>
      </c>
      <c r="Y3953" t="s">
        <v>79898</v>
      </c>
    </row>
    <row r="3954" spans="1:25" x14ac:dyDescent="0.3">
      <c r="A3954">
        <v>197650</v>
      </c>
      <c r="B3954" t="s">
        <v>79899</v>
      </c>
      <c r="C3954" t="s">
        <v>79900</v>
      </c>
      <c r="D3954" t="s">
        <v>79901</v>
      </c>
      <c r="E3954" t="s">
        <v>79902</v>
      </c>
      <c r="F3954" t="s">
        <v>79903</v>
      </c>
      <c r="G3954">
        <f>-743.043564292486 -27.5144960244347 -685.669441082248</f>
        <v>-1456.2275013991689</v>
      </c>
      <c r="H3954">
        <f>-737.208775153495 -76.475872601228 -829.783100201111</f>
        <v>-1643.4677479558341</v>
      </c>
      <c r="I3954">
        <f>-702.150586436292 -109.618821927825 -919.535325312261</f>
        <v>-1731.304733676378</v>
      </c>
      <c r="J3954">
        <f>-729.080000589174 -26.3381069559257 -775.257489720343</f>
        <v>-1530.6755972654428</v>
      </c>
      <c r="K3954" t="s">
        <v>79904</v>
      </c>
      <c r="L3954" t="s">
        <v>79905</v>
      </c>
      <c r="M3954" t="s">
        <v>79906</v>
      </c>
      <c r="N3954">
        <f>-750.500875379595 -83.2857352079293 -756.777288375311</f>
        <v>-1590.5638989628351</v>
      </c>
      <c r="O3954">
        <f>-806.491666017588 -200.63681121302 -688.064450174439</f>
        <v>-1695.1929274050472</v>
      </c>
      <c r="P3954">
        <f>-759.516201660497 -155.316309652266 -378.345922526678</f>
        <v>-1293.1784338394409</v>
      </c>
      <c r="Q3954">
        <f>-513.677226197696 -71.5746894551025 -364.468234898311</f>
        <v>-949.72015055110955</v>
      </c>
      <c r="R3954" t="s">
        <v>79907</v>
      </c>
      <c r="S3954" t="s">
        <v>79908</v>
      </c>
      <c r="T3954" t="s">
        <v>79909</v>
      </c>
      <c r="U3954" t="s">
        <v>79910</v>
      </c>
      <c r="V3954">
        <f>-725.725383661229 -57.9684107627311 -232.678642140349</f>
        <v>-1016.3724365643091</v>
      </c>
      <c r="W3954" t="s">
        <v>79911</v>
      </c>
      <c r="X3954" t="s">
        <v>79912</v>
      </c>
      <c r="Y3954" t="s">
        <v>79913</v>
      </c>
    </row>
    <row r="3955" spans="1:25" x14ac:dyDescent="0.3">
      <c r="A3955">
        <v>197700</v>
      </c>
      <c r="B3955" t="s">
        <v>79914</v>
      </c>
      <c r="C3955" t="s">
        <v>79915</v>
      </c>
      <c r="D3955" t="s">
        <v>79916</v>
      </c>
      <c r="E3955" t="s">
        <v>79917</v>
      </c>
      <c r="F3955" t="s">
        <v>79918</v>
      </c>
      <c r="G3955">
        <f>-742.888402278225 -27.596856143487 -685.648416003624</f>
        <v>-1456.133674425336</v>
      </c>
      <c r="H3955">
        <f>-736.955834818345 -76.5363177463598 -829.7655380076</f>
        <v>-1643.2576905723049</v>
      </c>
      <c r="I3955">
        <f>-701.82729145221 -109.623217997052 -919.510960005334</f>
        <v>-1730.961469454596</v>
      </c>
      <c r="J3955">
        <f>-728.88715292249 -26.3994020753396 -775.230231758447</f>
        <v>-1530.5167867562766</v>
      </c>
      <c r="K3955" t="s">
        <v>79919</v>
      </c>
      <c r="L3955" t="s">
        <v>79920</v>
      </c>
      <c r="M3955" t="s">
        <v>79921</v>
      </c>
      <c r="N3955">
        <f>-750.274448371127 -83.364810509383 -756.766164531405</f>
        <v>-1590.4054234119151</v>
      </c>
      <c r="O3955">
        <f>-806.194860859672 -200.730882393808 -688.070569898727</f>
        <v>-1694.9963131522068</v>
      </c>
      <c r="P3955">
        <f>-759.316613569323 -155.497072377145 -378.324536305235</f>
        <v>-1293.1382222517029</v>
      </c>
      <c r="Q3955">
        <f>-513.524048197128 -71.6183113419461 -364.453462150035</f>
        <v>-949.59582168910902</v>
      </c>
      <c r="R3955" t="s">
        <v>79922</v>
      </c>
      <c r="S3955" t="s">
        <v>79923</v>
      </c>
      <c r="T3955" t="s">
        <v>79924</v>
      </c>
      <c r="U3955" t="s">
        <v>79925</v>
      </c>
      <c r="V3955">
        <f>-725.751422609018 -58.0623217856087 -232.656379438929</f>
        <v>-1016.4701238335557</v>
      </c>
      <c r="W3955" t="s">
        <v>79926</v>
      </c>
      <c r="X3955" t="s">
        <v>79927</v>
      </c>
      <c r="Y3955" t="s">
        <v>79928</v>
      </c>
    </row>
    <row r="3956" spans="1:25" x14ac:dyDescent="0.3">
      <c r="A3956">
        <v>197750</v>
      </c>
      <c r="B3956" t="s">
        <v>79929</v>
      </c>
      <c r="C3956" t="s">
        <v>79930</v>
      </c>
      <c r="D3956" t="s">
        <v>79931</v>
      </c>
      <c r="E3956" t="s">
        <v>79932</v>
      </c>
      <c r="F3956" t="s">
        <v>79933</v>
      </c>
      <c r="G3956">
        <f>-742.552518635562 -28.0089815932749 -685.593766204926</f>
        <v>-1456.155266433763</v>
      </c>
      <c r="H3956">
        <f>-736.467032712488 -77.0230973248665 -829.679098732121</f>
        <v>-1643.1692287694755</v>
      </c>
      <c r="I3956">
        <f>-701.198265307469 -110.051674563436 -919.391013240917</f>
        <v>-1730.640953111822</v>
      </c>
      <c r="J3956">
        <f>-728.487539942938 -26.847719565952 -775.166173351193</f>
        <v>-1530.5014328600832</v>
      </c>
      <c r="K3956" t="s">
        <v>79934</v>
      </c>
      <c r="L3956" t="s">
        <v>79935</v>
      </c>
      <c r="M3956" t="s">
        <v>79936</v>
      </c>
      <c r="N3956">
        <f>-749.831871599573 -83.8241116864265 -756.68574516263</f>
        <v>-1590.3417284486295</v>
      </c>
      <c r="O3956">
        <f>-805.656689347182 -201.250726375451 -687.985781624613</f>
        <v>-1694.8931973472459</v>
      </c>
      <c r="P3956">
        <f>-759.020412206887 -155.907874966829 -378.219293196189</f>
        <v>-1293.147580369905</v>
      </c>
      <c r="Q3956">
        <f>-513.340568707396 -71.7045067264169 -364.317993912864</f>
        <v>-949.36306934667687</v>
      </c>
      <c r="R3956" t="s">
        <v>79937</v>
      </c>
      <c r="S3956" t="s">
        <v>79938</v>
      </c>
      <c r="T3956" t="s">
        <v>79939</v>
      </c>
      <c r="U3956" t="s">
        <v>79940</v>
      </c>
      <c r="V3956">
        <f>-725.6525683377 -58.3059875893509 -232.613565449913</f>
        <v>-1016.572121376964</v>
      </c>
      <c r="W3956" t="s">
        <v>79941</v>
      </c>
      <c r="X3956" t="s">
        <v>79942</v>
      </c>
      <c r="Y3956" t="s">
        <v>79943</v>
      </c>
    </row>
    <row r="3957" spans="1:25" x14ac:dyDescent="0.3">
      <c r="A3957">
        <v>197800</v>
      </c>
      <c r="B3957" t="s">
        <v>79944</v>
      </c>
      <c r="C3957" t="s">
        <v>79945</v>
      </c>
      <c r="D3957" t="s">
        <v>79946</v>
      </c>
      <c r="E3957" t="s">
        <v>79947</v>
      </c>
      <c r="F3957" t="s">
        <v>79948</v>
      </c>
      <c r="G3957">
        <f>-742.446683626423 -28.1407376044608 -685.540488177633</f>
        <v>-1456.1279094085169</v>
      </c>
      <c r="H3957">
        <f>-736.329637061532 -77.159887469671 -829.622768639328</f>
        <v>-1643.1122931705311</v>
      </c>
      <c r="I3957">
        <f>-701.014876024783 -110.154002328579 -919.329189807003</f>
        <v>-1730.4980681603652</v>
      </c>
      <c r="J3957">
        <f>-728.378566640084 -26.9772845085201 -775.112203204367</f>
        <v>-1530.4680543529712</v>
      </c>
      <c r="K3957" t="s">
        <v>79949</v>
      </c>
      <c r="L3957" t="s">
        <v>79950</v>
      </c>
      <c r="M3957" t="s">
        <v>79951</v>
      </c>
      <c r="N3957">
        <f>-749.693842452922 -83.9634987877112 -756.62937380831</f>
        <v>-1590.2867150489433</v>
      </c>
      <c r="O3957">
        <f>-805.456129479518 -201.416791624106 -687.936442128395</f>
        <v>-1694.8093632320192</v>
      </c>
      <c r="P3957">
        <f>-758.817013622506 -156.04883055432 -378.174086946444</f>
        <v>-1293.03993112327</v>
      </c>
      <c r="Q3957">
        <f>-513.16583079611 -71.7701995719801 -364.221452162864</f>
        <v>-949.1574825309541</v>
      </c>
      <c r="R3957" t="s">
        <v>79952</v>
      </c>
      <c r="S3957" t="s">
        <v>79953</v>
      </c>
      <c r="T3957" t="s">
        <v>79954</v>
      </c>
      <c r="U3957" t="s">
        <v>79955</v>
      </c>
      <c r="V3957">
        <f>-725.580486498533 -58.418484669683 -232.57570606917</f>
        <v>-1016.574677237386</v>
      </c>
      <c r="W3957" t="s">
        <v>79956</v>
      </c>
      <c r="X3957" t="s">
        <v>79957</v>
      </c>
      <c r="Y3957" t="s">
        <v>79958</v>
      </c>
    </row>
    <row r="3958" spans="1:25" x14ac:dyDescent="0.3">
      <c r="A3958">
        <v>197850</v>
      </c>
      <c r="B3958" t="s">
        <v>79959</v>
      </c>
      <c r="C3958" t="s">
        <v>79960</v>
      </c>
      <c r="D3958" t="s">
        <v>79961</v>
      </c>
      <c r="E3958" t="s">
        <v>79962</v>
      </c>
      <c r="F3958" t="s">
        <v>79963</v>
      </c>
      <c r="G3958">
        <f>-742.206718792852 -28.3407169028851 -685.470926874801</f>
        <v>-1456.0183625705381</v>
      </c>
      <c r="H3958">
        <f>-736.003814839849 -77.3636829429265 -829.548294651026</f>
        <v>-1642.9157924338015</v>
      </c>
      <c r="I3958">
        <f>-700.586068004196 -110.298753717601 -919.235808286981</f>
        <v>-1730.1206300087779</v>
      </c>
      <c r="J3958">
        <f>-728.121225052657 -27.1679097840201 -775.039812005953</f>
        <v>-1530.3289468426301</v>
      </c>
      <c r="K3958" t="s">
        <v>79964</v>
      </c>
      <c r="L3958" t="s">
        <v>79965</v>
      </c>
      <c r="M3958" t="s">
        <v>79966</v>
      </c>
      <c r="N3958">
        <f>-749.37560026917 -84.1771708647673 -756.557326192822</f>
        <v>-1590.1100973267594</v>
      </c>
      <c r="O3958">
        <f>-805.062205127424 -201.669300280381 -687.863525144541</f>
        <v>-1694.5950305523461</v>
      </c>
      <c r="P3958">
        <f>-758.545167412255 -156.209568187288 -378.096212235051</f>
        <v>-1292.8509478345941</v>
      </c>
      <c r="Q3958">
        <f>-512.958334821643 -71.7415334918537 -364.155849331093</f>
        <v>-948.85571764458973</v>
      </c>
      <c r="R3958" t="s">
        <v>79967</v>
      </c>
      <c r="S3958" t="s">
        <v>79968</v>
      </c>
      <c r="T3958" t="s">
        <v>79969</v>
      </c>
      <c r="U3958" t="s">
        <v>79970</v>
      </c>
      <c r="V3958">
        <f>-725.490370467007 -58.6345229563565 -232.522020526417</f>
        <v>-1016.6469139497805</v>
      </c>
      <c r="W3958" t="s">
        <v>79971</v>
      </c>
      <c r="X3958" t="s">
        <v>79972</v>
      </c>
      <c r="Y3958" t="s">
        <v>79973</v>
      </c>
    </row>
    <row r="3959" spans="1:25" x14ac:dyDescent="0.3">
      <c r="A3959">
        <v>197900</v>
      </c>
      <c r="B3959" t="s">
        <v>79974</v>
      </c>
      <c r="C3959" t="s">
        <v>79975</v>
      </c>
      <c r="D3959" t="s">
        <v>79976</v>
      </c>
      <c r="E3959" t="s">
        <v>79977</v>
      </c>
      <c r="F3959" t="s">
        <v>79978</v>
      </c>
      <c r="G3959">
        <f>-742.036358232185 -28.3382382150598 -685.462889372011</f>
        <v>-1455.8374858192558</v>
      </c>
      <c r="H3959">
        <f>-735.787624221313 -77.3424192218065 -829.544638590179</f>
        <v>-1642.6746820332985</v>
      </c>
      <c r="I3959">
        <f>-700.32373085015 -110.253294699029 -919.222748150955</f>
        <v>-1729.799773700134</v>
      </c>
      <c r="J3959">
        <f>-727.938967586266 -27.1485117454031 -775.029670901402</f>
        <v>-1530.1171502330712</v>
      </c>
      <c r="K3959" t="s">
        <v>79979</v>
      </c>
      <c r="L3959" t="s">
        <v>79980</v>
      </c>
      <c r="M3959" t="s">
        <v>79981</v>
      </c>
      <c r="N3959">
        <f>-749.166057585989 -84.1707040948165 -756.556131139387</f>
        <v>-1589.8928928201926</v>
      </c>
      <c r="O3959">
        <f>-804.802624759601 -201.69980762412 -687.876004933836</f>
        <v>-1694.3784373175572</v>
      </c>
      <c r="P3959">
        <f>-758.366979636854 -156.245710443749 -378.095569368582</f>
        <v>-1292.7082594491849</v>
      </c>
      <c r="Q3959">
        <f>-512.78156967401 -71.7794459773038 -364.118337010448</f>
        <v>-948.67935266176187</v>
      </c>
      <c r="R3959" t="s">
        <v>79982</v>
      </c>
      <c r="S3959" t="s">
        <v>79983</v>
      </c>
      <c r="T3959" t="s">
        <v>79984</v>
      </c>
      <c r="U3959" t="s">
        <v>79985</v>
      </c>
      <c r="V3959">
        <f>-725.437300610927 -58.6455367219417 -232.509066490499</f>
        <v>-1016.5919038233676</v>
      </c>
      <c r="W3959" t="s">
        <v>79986</v>
      </c>
      <c r="X3959" t="s">
        <v>79987</v>
      </c>
      <c r="Y3959" t="s">
        <v>79988</v>
      </c>
    </row>
    <row r="3960" spans="1:25" x14ac:dyDescent="0.3">
      <c r="A3960">
        <v>197950</v>
      </c>
      <c r="B3960" t="s">
        <v>79989</v>
      </c>
      <c r="C3960" t="s">
        <v>79990</v>
      </c>
      <c r="D3960" t="s">
        <v>79991</v>
      </c>
      <c r="E3960" t="s">
        <v>79992</v>
      </c>
      <c r="F3960" t="s">
        <v>79993</v>
      </c>
      <c r="G3960">
        <f>-742.012000320459 -28.1665971248774 -685.400853179238</f>
        <v>-1455.5794506245743</v>
      </c>
      <c r="H3960">
        <f>-735.722934229234 -77.1346699308679 -829.493079318751</f>
        <v>-1642.3506834788529</v>
      </c>
      <c r="I3960">
        <f>-700.187194007005 -109.993164254035 -919.162026923267</f>
        <v>-1729.3423851843072</v>
      </c>
      <c r="J3960">
        <f>-727.90939048574 -26.9478924480957 -774.966447422285</f>
        <v>-1529.8237303561207</v>
      </c>
      <c r="K3960" t="s">
        <v>79994</v>
      </c>
      <c r="L3960" t="s">
        <v>79995</v>
      </c>
      <c r="M3960" t="s">
        <v>79996</v>
      </c>
      <c r="N3960">
        <f>-749.101866301841 -83.9876718317917 -756.507127754819</f>
        <v>-1589.5966658884518</v>
      </c>
      <c r="O3960">
        <f>-804.691887493135 -201.543038142542 -687.849735095117</f>
        <v>-1694.084660730794</v>
      </c>
      <c r="P3960">
        <f>-758.227424181053 -156.108651726691 -378.070924956012</f>
        <v>-1292.4070008637561</v>
      </c>
      <c r="Q3960">
        <f>-512.632628549775 -71.6664880671335 -364.114813905346</f>
        <v>-948.41393052225453</v>
      </c>
      <c r="R3960" t="s">
        <v>79997</v>
      </c>
      <c r="S3960" t="s">
        <v>79998</v>
      </c>
      <c r="T3960" t="s">
        <v>79999</v>
      </c>
      <c r="U3960" t="s">
        <v>80000</v>
      </c>
      <c r="V3960">
        <f>-725.395121835527 -58.5598019483764 -232.458995767648</f>
        <v>-1016.4139195515513</v>
      </c>
      <c r="W3960" t="s">
        <v>80001</v>
      </c>
      <c r="X3960" t="s">
        <v>80002</v>
      </c>
      <c r="Y3960" t="s">
        <v>80003</v>
      </c>
    </row>
    <row r="3961" spans="1:25" x14ac:dyDescent="0.3">
      <c r="A3961">
        <v>198000</v>
      </c>
      <c r="B3961" t="s">
        <v>80004</v>
      </c>
      <c r="C3961" t="s">
        <v>80005</v>
      </c>
      <c r="D3961" t="s">
        <v>80006</v>
      </c>
      <c r="E3961" t="s">
        <v>80007</v>
      </c>
      <c r="F3961" t="s">
        <v>80008</v>
      </c>
      <c r="G3961">
        <f>-742.07253846783 -28.1549380602992 -685.360779747057</f>
        <v>-1455.5882562751863</v>
      </c>
      <c r="H3961">
        <f>-735.796524690689 -77.1095193780852 -829.458255134349</f>
        <v>-1642.3642992031232</v>
      </c>
      <c r="I3961">
        <f>-700.244752751154 -109.950211804143 -919.127342242273</f>
        <v>-1729.32230679757</v>
      </c>
      <c r="J3961">
        <f>-727.984038052861 -26.9259873522817 -774.928452542253</f>
        <v>-1529.8384779473959</v>
      </c>
      <c r="K3961" t="s">
        <v>80009</v>
      </c>
      <c r="L3961" t="s">
        <v>80010</v>
      </c>
      <c r="M3961" t="s">
        <v>80011</v>
      </c>
      <c r="N3961">
        <f>-749.162921761803 -83.9713175971949 -756.470694119522</f>
        <v>-1589.6049334785198</v>
      </c>
      <c r="O3961">
        <f>-804.741286774619 -201.530808713948 -687.80358920494</f>
        <v>-1694.0756846935069</v>
      </c>
      <c r="P3961">
        <f>-758.262455364575 -156.100707589113 -378.026276139813</f>
        <v>-1292.3894390935009</v>
      </c>
      <c r="Q3961">
        <f>-512.681860070842 -71.6078176630181 -364.126377480389</f>
        <v>-948.41605521424913</v>
      </c>
      <c r="R3961" t="s">
        <v>80012</v>
      </c>
      <c r="S3961" t="s">
        <v>80013</v>
      </c>
      <c r="T3961" t="s">
        <v>80014</v>
      </c>
      <c r="U3961" t="s">
        <v>80015</v>
      </c>
      <c r="V3961">
        <f>-725.403876909629 -58.5542280061563 -232.42021666966</f>
        <v>-1016.3783215854454</v>
      </c>
      <c r="W3961" t="s">
        <v>80016</v>
      </c>
      <c r="X3961" t="s">
        <v>80017</v>
      </c>
      <c r="Y3961" t="s">
        <v>80018</v>
      </c>
    </row>
    <row r="3962" spans="1:25" x14ac:dyDescent="0.3">
      <c r="A3962">
        <v>198050</v>
      </c>
      <c r="B3962" t="s">
        <v>80019</v>
      </c>
      <c r="C3962" t="s">
        <v>80020</v>
      </c>
      <c r="D3962" t="s">
        <v>80021</v>
      </c>
      <c r="E3962" t="s">
        <v>80022</v>
      </c>
      <c r="F3962" t="s">
        <v>80023</v>
      </c>
      <c r="G3962">
        <f>-742.381017913123 -28.0785787042009 -685.332438006702</f>
        <v>-1455.7920346240257</v>
      </c>
      <c r="H3962">
        <f>-736.164460683567 -77.0102935732757 -829.440123446568</f>
        <v>-1642.6148777034107</v>
      </c>
      <c r="I3962">
        <f>-700.615933601069 -109.803115058173 -919.128104255634</f>
        <v>-1729.5471529148758</v>
      </c>
      <c r="J3962">
        <f>-728.342417217023 -26.8312589146417 -774.907612655287</f>
        <v>-1530.0812887869517</v>
      </c>
      <c r="K3962" t="s">
        <v>80024</v>
      </c>
      <c r="L3962" t="s">
        <v>80025</v>
      </c>
      <c r="M3962" t="s">
        <v>80026</v>
      </c>
      <c r="N3962">
        <f>-749.487725987665 -83.8877406546389 -756.446356669801</f>
        <v>-1589.8218233121052</v>
      </c>
      <c r="O3962">
        <f>-805.033665761268 -201.446956306416 -687.752778556235</f>
        <v>-1694.2334006239189</v>
      </c>
      <c r="P3962">
        <f>-758.528997018425 -155.999148071789 -377.981932189848</f>
        <v>-1292.510077280062</v>
      </c>
      <c r="Q3962">
        <f>-512.912262662918 -71.6221603554845 -364.017543593327</f>
        <v>-948.55196661172954</v>
      </c>
      <c r="R3962" t="s">
        <v>80027</v>
      </c>
      <c r="S3962" t="s">
        <v>80028</v>
      </c>
      <c r="T3962" t="s">
        <v>80029</v>
      </c>
      <c r="U3962" t="s">
        <v>80030</v>
      </c>
      <c r="V3962">
        <f>-725.558413845064 -58.5517626549354 -232.38934108854</f>
        <v>-1016.4995175885394</v>
      </c>
      <c r="W3962" t="s">
        <v>80031</v>
      </c>
      <c r="X3962" t="s">
        <v>80032</v>
      </c>
      <c r="Y3962" t="s">
        <v>80033</v>
      </c>
    </row>
    <row r="3963" spans="1:25" x14ac:dyDescent="0.3">
      <c r="A3963">
        <v>198100</v>
      </c>
      <c r="B3963" t="s">
        <v>80034</v>
      </c>
      <c r="C3963" t="s">
        <v>80035</v>
      </c>
      <c r="D3963" t="s">
        <v>80036</v>
      </c>
      <c r="E3963" t="s">
        <v>80037</v>
      </c>
      <c r="F3963" t="s">
        <v>80038</v>
      </c>
      <c r="G3963">
        <f>-742.535994961554 -28.0294246623862 -685.384914740849</f>
        <v>-1455.9503343647893</v>
      </c>
      <c r="H3963">
        <f>-736.352378791498 -76.95591791478 -829.495852950192</f>
        <v>-1642.8041496564701</v>
      </c>
      <c r="I3963">
        <f>-700.817783775483 -109.721996851323 -919.199150246634</f>
        <v>-1729.73893087344</v>
      </c>
      <c r="J3963">
        <f>-728.524326645091 -26.7768600621296 -774.964285770249</f>
        <v>-1530.2654724774698</v>
      </c>
      <c r="K3963" t="s">
        <v>80039</v>
      </c>
      <c r="L3963" t="s">
        <v>80040</v>
      </c>
      <c r="M3963" t="s">
        <v>80041</v>
      </c>
      <c r="N3963">
        <f>-749.652577516187 -83.8381056612698 -756.498255743908</f>
        <v>-1589.9889389213647</v>
      </c>
      <c r="O3963">
        <f>-805.158795750799 -201.410361317662 -687.791085525016</f>
        <v>-1694.3602425934769</v>
      </c>
      <c r="P3963">
        <f>-758.639259790195 -155.847348139415 -378.039210251243</f>
        <v>-1292.5258181808529</v>
      </c>
      <c r="Q3963">
        <f>-513.023648985556 -71.4353414068671 -364.267706068365</f>
        <v>-948.72669646078805</v>
      </c>
      <c r="R3963" t="s">
        <v>80042</v>
      </c>
      <c r="S3963" t="s">
        <v>80043</v>
      </c>
      <c r="T3963" t="s">
        <v>80044</v>
      </c>
      <c r="U3963" t="s">
        <v>80045</v>
      </c>
      <c r="V3963">
        <f>-725.611721911065 -58.4943209722135 -232.41905939704</f>
        <v>-1016.5251022803185</v>
      </c>
      <c r="W3963" t="s">
        <v>80046</v>
      </c>
      <c r="X3963" t="s">
        <v>80047</v>
      </c>
      <c r="Y3963" t="s">
        <v>80048</v>
      </c>
    </row>
    <row r="3964" spans="1:25" x14ac:dyDescent="0.3">
      <c r="A3964">
        <v>198150</v>
      </c>
      <c r="B3964" t="s">
        <v>80049</v>
      </c>
      <c r="C3964" t="s">
        <v>80050</v>
      </c>
      <c r="D3964" t="s">
        <v>80051</v>
      </c>
      <c r="E3964" t="s">
        <v>80052</v>
      </c>
      <c r="F3964" t="s">
        <v>80053</v>
      </c>
      <c r="G3964">
        <f>-742.863896478414 -27.8436985650662 -685.499194742543</f>
        <v>-1456.2067897860231</v>
      </c>
      <c r="H3964">
        <f>-736.736804787537 -76.7289373618109 -829.626636864485</f>
        <v>-1643.0923790138331</v>
      </c>
      <c r="I3964">
        <f>-701.217715875325 -109.428282347816 -919.360344940327</f>
        <v>-1730.006343163468</v>
      </c>
      <c r="J3964">
        <f>-728.904846223891 -26.5598442943492 -775.086410240927</f>
        <v>-1530.5511007591672</v>
      </c>
      <c r="K3964" t="s">
        <v>80054</v>
      </c>
      <c r="L3964" t="s">
        <v>80055</v>
      </c>
      <c r="M3964" t="s">
        <v>80056</v>
      </c>
      <c r="N3964">
        <f>-749.990913796705 -83.6376950415392 -756.623037190353</f>
        <v>-1590.2516460285972</v>
      </c>
      <c r="O3964">
        <f>-805.410190912057 -201.242601655317 -687.906256255344</f>
        <v>-1694.5590488227181</v>
      </c>
      <c r="P3964">
        <f>-758.662315728319 -155.801711216736 -378.1709856446</f>
        <v>-1292.6350125896549</v>
      </c>
      <c r="Q3964">
        <f>-513.065381002453 -71.2731066537872 -364.790577912413</f>
        <v>-949.12906556865323</v>
      </c>
      <c r="R3964" t="s">
        <v>80057</v>
      </c>
      <c r="S3964" t="s">
        <v>80058</v>
      </c>
      <c r="T3964" t="s">
        <v>80059</v>
      </c>
      <c r="U3964" t="s">
        <v>80060</v>
      </c>
      <c r="V3964">
        <f>-725.86670951153 -58.4229316723436 -232.499007434888</f>
        <v>-1016.7886486187615</v>
      </c>
      <c r="W3964" t="s">
        <v>80061</v>
      </c>
      <c r="X3964" t="s">
        <v>80062</v>
      </c>
      <c r="Y3964" t="s">
        <v>80063</v>
      </c>
    </row>
    <row r="3965" spans="1:25" x14ac:dyDescent="0.3">
      <c r="A3965">
        <v>198200</v>
      </c>
      <c r="B3965" t="s">
        <v>80064</v>
      </c>
      <c r="C3965" t="s">
        <v>80065</v>
      </c>
      <c r="D3965" t="s">
        <v>80066</v>
      </c>
      <c r="E3965" t="s">
        <v>80067</v>
      </c>
      <c r="F3965" t="s">
        <v>80068</v>
      </c>
      <c r="G3965">
        <f>-743.121444878487 -27.7949728486085 -685.548810010014</f>
        <v>-1456.4652277371094</v>
      </c>
      <c r="H3965">
        <f>-737.024762039985 -76.6794015323808 -829.677775152263</f>
        <v>-1643.381938724629</v>
      </c>
      <c r="I3965">
        <f>-701.513781009282 -109.361649642532 -919.420903059167</f>
        <v>-1730.2963337109809</v>
      </c>
      <c r="J3965">
        <f>-729.189605599598 -26.5078668397193 -775.140163499082</f>
        <v>-1530.8376359383992</v>
      </c>
      <c r="K3965" t="s">
        <v>80069</v>
      </c>
      <c r="L3965" t="s">
        <v>80070</v>
      </c>
      <c r="M3965" t="s">
        <v>80071</v>
      </c>
      <c r="N3965">
        <f>-750.25502499897 -83.591160197285 -756.670292573523</f>
        <v>-1590.5164777697782</v>
      </c>
      <c r="O3965">
        <f>-805.638286758157 -201.209022537947 -687.957508355424</f>
        <v>-1694.8048176515281</v>
      </c>
      <c r="P3965">
        <f>-758.849376503706 -155.826499353535 -378.219925296302</f>
        <v>-1292.8958011535431</v>
      </c>
      <c r="Q3965">
        <f>-513.253229413075 -71.2702510597094 -364.995457139655</f>
        <v>-949.51893761243946</v>
      </c>
      <c r="R3965" t="s">
        <v>80072</v>
      </c>
      <c r="S3965" t="s">
        <v>80073</v>
      </c>
      <c r="T3965" t="s">
        <v>80074</v>
      </c>
      <c r="U3965" t="s">
        <v>80075</v>
      </c>
      <c r="V3965">
        <f>-726.036942072925 -58.411461515276 -232.541845019188</f>
        <v>-1016.9902486073889</v>
      </c>
      <c r="W3965" t="s">
        <v>80076</v>
      </c>
      <c r="X3965" t="s">
        <v>80077</v>
      </c>
      <c r="Y3965" t="s">
        <v>80078</v>
      </c>
    </row>
    <row r="3966" spans="1:25" x14ac:dyDescent="0.3">
      <c r="A3966">
        <v>198250</v>
      </c>
      <c r="B3966" t="s">
        <v>80079</v>
      </c>
      <c r="C3966" t="s">
        <v>80080</v>
      </c>
      <c r="D3966" t="s">
        <v>80081</v>
      </c>
      <c r="E3966" t="s">
        <v>80082</v>
      </c>
      <c r="F3966" t="s">
        <v>80083</v>
      </c>
      <c r="G3966">
        <f>-743.752720275792 -27.592929509437 -685.662417846643</f>
        <v>-1457.0080676318721</v>
      </c>
      <c r="H3966">
        <f>-737.730137919062 -76.4040369070076 -829.819296241096</f>
        <v>-1643.9534710671655</v>
      </c>
      <c r="I3966">
        <f>-702.228406102136 -109.023303057132 -919.589052167194</f>
        <v>-1730.8407613264621</v>
      </c>
      <c r="J3966">
        <f>-729.878605332371 -26.2565948012789 -775.261997491269</f>
        <v>-1531.3971976249188</v>
      </c>
      <c r="K3966" t="s">
        <v>80084</v>
      </c>
      <c r="L3966" t="s">
        <v>80085</v>
      </c>
      <c r="M3966" t="s">
        <v>80086</v>
      </c>
      <c r="N3966">
        <f>-750.911310849947 -83.3567069458134 -756.806787738249</f>
        <v>-1591.0748055340093</v>
      </c>
      <c r="O3966">
        <f>-806.211173030757 -201.051454044967 -688.145012875569</f>
        <v>-1695.4076399512928</v>
      </c>
      <c r="P3966">
        <f>-759.2701356289 -155.760266047553 -378.416991424056</f>
        <v>-1293.4473931005091</v>
      </c>
      <c r="Q3966">
        <f>-513.610041865495 -71.3884893933305 -365.204427377401</f>
        <v>-950.20295863622641</v>
      </c>
      <c r="R3966" t="s">
        <v>80087</v>
      </c>
      <c r="S3966" t="s">
        <v>80088</v>
      </c>
      <c r="T3966" t="s">
        <v>80089</v>
      </c>
      <c r="U3966" t="s">
        <v>80090</v>
      </c>
      <c r="V3966">
        <f>-726.389584625405 -58.4121735168869 -232.622974019392</f>
        <v>-1017.4247321616839</v>
      </c>
      <c r="W3966" t="s">
        <v>80091</v>
      </c>
      <c r="X3966" t="s">
        <v>80092</v>
      </c>
      <c r="Y3966" t="s">
        <v>80093</v>
      </c>
    </row>
    <row r="3967" spans="1:25" x14ac:dyDescent="0.3">
      <c r="A3967">
        <v>198300</v>
      </c>
      <c r="B3967" t="s">
        <v>80094</v>
      </c>
      <c r="C3967" t="s">
        <v>80095</v>
      </c>
      <c r="D3967" t="s">
        <v>80096</v>
      </c>
      <c r="E3967" t="s">
        <v>80097</v>
      </c>
      <c r="F3967" t="s">
        <v>80098</v>
      </c>
      <c r="G3967">
        <f>-744.167326226068 -27.4820320159329 -685.708551608894</f>
        <v>-1457.3579098508949</v>
      </c>
      <c r="H3967">
        <f>-738.183536866542 -76.2434007785191 -829.88386024584</f>
        <v>-1644.3107978909011</v>
      </c>
      <c r="I3967">
        <f>-702.684461644521 -108.81978146722 -919.670209460997</f>
        <v>-1731.1744525727379</v>
      </c>
      <c r="J3967">
        <f>-730.324307145433 -26.11262241195 -775.312495002213</f>
        <v>-1531.749424559596</v>
      </c>
      <c r="K3967" t="s">
        <v>80099</v>
      </c>
      <c r="L3967" t="s">
        <v>80100</v>
      </c>
      <c r="M3967" t="s">
        <v>80101</v>
      </c>
      <c r="N3967">
        <f>-751.338169577157 -83.2235384154787 -756.869042775068</f>
        <v>-1591.4307507677038</v>
      </c>
      <c r="O3967">
        <f>-806.625664978739 -200.929490302824 -688.217567540899</f>
        <v>-1695.7727228224621</v>
      </c>
      <c r="P3967">
        <f>-759.505622157778 -155.638246997765 -378.516695310778</f>
        <v>-1293.6605644663209</v>
      </c>
      <c r="Q3967">
        <f>-513.80934795697 -71.4092561981838 -365.069276853947</f>
        <v>-950.28788100910083</v>
      </c>
      <c r="R3967" t="s">
        <v>80102</v>
      </c>
      <c r="S3967" t="s">
        <v>80103</v>
      </c>
      <c r="T3967" t="s">
        <v>80104</v>
      </c>
      <c r="U3967" t="s">
        <v>80105</v>
      </c>
      <c r="V3967">
        <f>-726.658099037174 -58.4526343691846 -232.650968605538</f>
        <v>-1017.7617020118965</v>
      </c>
      <c r="W3967" t="s">
        <v>80106</v>
      </c>
      <c r="X3967" t="s">
        <v>80107</v>
      </c>
      <c r="Y3967" t="s">
        <v>80108</v>
      </c>
    </row>
    <row r="3968" spans="1:25" x14ac:dyDescent="0.3">
      <c r="A3968">
        <v>198350</v>
      </c>
      <c r="B3968" t="s">
        <v>80109</v>
      </c>
      <c r="C3968" t="s">
        <v>80110</v>
      </c>
      <c r="D3968" t="s">
        <v>80111</v>
      </c>
      <c r="E3968" t="s">
        <v>80112</v>
      </c>
      <c r="F3968" t="s">
        <v>80113</v>
      </c>
      <c r="G3968">
        <f>-744.81520390198 -27.3016430330142 -685.739433675978</f>
        <v>-1457.8562806109721</v>
      </c>
      <c r="H3968">
        <f>-738.949025541431 -75.9717428075101 -829.95049256741</f>
        <v>-1644.871260916351</v>
      </c>
      <c r="I3968">
        <f>-703.482300505722 -108.464801042433 -919.779775790465</f>
        <v>-1731.7268773386199</v>
      </c>
      <c r="J3968">
        <f>-731.07258630045 -25.866782082192 -775.357838879828</f>
        <v>-1532.29720726247</v>
      </c>
      <c r="K3968" t="s">
        <v>80114</v>
      </c>
      <c r="L3968" t="s">
        <v>80115</v>
      </c>
      <c r="M3968" t="s">
        <v>80116</v>
      </c>
      <c r="N3968">
        <f>-752.016746890414 -83.0067674669783 -756.92552050931</f>
        <v>-1591.9490348667023</v>
      </c>
      <c r="O3968">
        <f>-807.147423395889 -200.79918215558 -688.300750769698</f>
        <v>-1696.247356321167</v>
      </c>
      <c r="P3968">
        <f>-760.037910504945 -155.456944808392 -378.605764902306</f>
        <v>-1294.1006202156429</v>
      </c>
      <c r="Q3968">
        <f>-514.373901827791 -71.1984313535788 -364.757185519929</f>
        <v>-950.32951870129887</v>
      </c>
      <c r="R3968" t="s">
        <v>80117</v>
      </c>
      <c r="S3968" t="s">
        <v>80118</v>
      </c>
      <c r="T3968" t="s">
        <v>80119</v>
      </c>
      <c r="U3968" t="s">
        <v>80120</v>
      </c>
      <c r="V3968">
        <f>-726.95171297595 -58.4714187332283 -232.698530851804</f>
        <v>-1018.1216625609824</v>
      </c>
      <c r="W3968" t="s">
        <v>80121</v>
      </c>
      <c r="X3968" t="s">
        <v>80122</v>
      </c>
      <c r="Y3968" t="s">
        <v>80123</v>
      </c>
    </row>
    <row r="3969" spans="1:25" x14ac:dyDescent="0.3">
      <c r="A3969">
        <v>198400</v>
      </c>
      <c r="B3969" t="s">
        <v>80124</v>
      </c>
      <c r="C3969" t="s">
        <v>80125</v>
      </c>
      <c r="D3969" t="s">
        <v>80126</v>
      </c>
      <c r="E3969" t="s">
        <v>80127</v>
      </c>
      <c r="F3969" t="s">
        <v>80128</v>
      </c>
      <c r="G3969">
        <f>-745.14868006429 -27.0632806628043 -685.757669831931</f>
        <v>-1457.9696305590255</v>
      </c>
      <c r="H3969">
        <f>-739.216376760727 -75.6178212569193 -830.004772180514</f>
        <v>-1644.8389701981605</v>
      </c>
      <c r="I3969">
        <f>-703.727498555849 -107.988162547592 -919.869592382873</f>
        <v>-1731.5852534863138</v>
      </c>
      <c r="J3969">
        <f>-731.405427283116 -25.5436795443854 -775.374378309044</f>
        <v>-1532.3234851365455</v>
      </c>
      <c r="K3969" t="s">
        <v>80129</v>
      </c>
      <c r="L3969" t="s">
        <v>80130</v>
      </c>
      <c r="M3969" t="s">
        <v>80131</v>
      </c>
      <c r="N3969">
        <f>-752.277102700218 -82.7242757699607 -756.985509487428</f>
        <v>-1591.9868879576068</v>
      </c>
      <c r="O3969">
        <f>-807.267154863436 -200.621643747055 -688.411597289676</f>
        <v>-1696.3003959001671</v>
      </c>
      <c r="P3969">
        <f>-760.055784342374 -155.350779537434 -378.721604914733</f>
        <v>-1294.1281687945409</v>
      </c>
      <c r="Q3969">
        <f>-514.414683162967 -71.0236074270847 -364.884897501163</f>
        <v>-950.32318809121466</v>
      </c>
      <c r="R3969" t="s">
        <v>80132</v>
      </c>
      <c r="S3969" t="s">
        <v>80133</v>
      </c>
      <c r="T3969" t="s">
        <v>80134</v>
      </c>
      <c r="U3969" t="s">
        <v>80135</v>
      </c>
      <c r="V3969">
        <f>-727.136867433 -58.4829018711753 -232.698256368839</f>
        <v>-1018.3180256730143</v>
      </c>
      <c r="W3969" t="s">
        <v>80136</v>
      </c>
      <c r="X3969" t="s">
        <v>80137</v>
      </c>
      <c r="Y3969" t="s">
        <v>80138</v>
      </c>
    </row>
    <row r="3970" spans="1:25" x14ac:dyDescent="0.3">
      <c r="A3970">
        <v>198450</v>
      </c>
      <c r="B3970" t="s">
        <v>80139</v>
      </c>
      <c r="C3970" t="s">
        <v>80140</v>
      </c>
      <c r="D3970" t="s">
        <v>80141</v>
      </c>
      <c r="E3970" t="s">
        <v>80142</v>
      </c>
      <c r="F3970" t="s">
        <v>80143</v>
      </c>
      <c r="G3970">
        <f>-745.3842834599 -27.0139685122238 -685.730481192475</f>
        <v>-1458.1287331645988</v>
      </c>
      <c r="H3970">
        <f>-739.441579104914 -75.5371460936599 -829.987754025667</f>
        <v>-1644.9664792242409</v>
      </c>
      <c r="I3970">
        <f>-703.939915877904 -107.866942100131 -919.862196905873</f>
        <v>-1731.6690548839081</v>
      </c>
      <c r="J3970">
        <f>-731.643706264671 -25.4719159914462 -775.347277722769</f>
        <v>-1532.4628999788861</v>
      </c>
      <c r="K3970" t="s">
        <v>80144</v>
      </c>
      <c r="L3970" t="s">
        <v>80145</v>
      </c>
      <c r="M3970" t="s">
        <v>80146</v>
      </c>
      <c r="N3970">
        <f>-752.498382443139 -82.6623706239873 -756.969391992051</f>
        <v>-1592.1301450591773</v>
      </c>
      <c r="O3970">
        <f>-807.421589955241 -200.592361886125 -688.434284359208</f>
        <v>-1696.448236200574</v>
      </c>
      <c r="P3970">
        <f>-760.115673462422 -155.492615973419 -378.734010330487</f>
        <v>-1294.3422997663281</v>
      </c>
      <c r="Q3970">
        <f>-514.514309109052 -71.0352072687613 -364.985109312202</f>
        <v>-950.53462569001522</v>
      </c>
      <c r="R3970" t="s">
        <v>80147</v>
      </c>
      <c r="S3970" t="s">
        <v>80148</v>
      </c>
      <c r="T3970" t="s">
        <v>80149</v>
      </c>
      <c r="U3970" t="s">
        <v>80150</v>
      </c>
      <c r="V3970">
        <f>-727.203564421479 -58.5034118252197 -232.68601716828</f>
        <v>-1018.3929934149787</v>
      </c>
      <c r="W3970" t="s">
        <v>80151</v>
      </c>
      <c r="X3970" t="s">
        <v>80152</v>
      </c>
      <c r="Y3970" t="s">
        <v>80153</v>
      </c>
    </row>
    <row r="3971" spans="1:25" x14ac:dyDescent="0.3">
      <c r="A3971">
        <v>198500</v>
      </c>
      <c r="B3971" t="s">
        <v>80154</v>
      </c>
      <c r="C3971" t="s">
        <v>80155</v>
      </c>
      <c r="D3971" t="s">
        <v>80156</v>
      </c>
      <c r="E3971" t="s">
        <v>80157</v>
      </c>
      <c r="F3971" t="s">
        <v>80158</v>
      </c>
      <c r="G3971">
        <f>-745.62045074402 -27.0462749660956 -685.687229525882</f>
        <v>-1458.3539552359975</v>
      </c>
      <c r="H3971">
        <f>-739.686610038636 -75.5789348012293 -829.941761897595</f>
        <v>-1645.2073067374604</v>
      </c>
      <c r="I3971">
        <f>-704.154787007905 -107.892998168815 -919.809945291508</f>
        <v>-1731.8577304682281</v>
      </c>
      <c r="J3971">
        <f>-731.894496594455 -25.5072541030552 -775.306373429077</f>
        <v>-1532.7081241265871</v>
      </c>
      <c r="K3971" t="s">
        <v>80159</v>
      </c>
      <c r="L3971" t="s">
        <v>80160</v>
      </c>
      <c r="M3971" t="s">
        <v>80161</v>
      </c>
      <c r="N3971">
        <f>-752.729862765302 -82.7022912165264 -756.920864431769</f>
        <v>-1592.3530184135975</v>
      </c>
      <c r="O3971">
        <f>-807.572095845842 -200.683114521544 -688.380625360221</f>
        <v>-1696.6358357276069</v>
      </c>
      <c r="P3971">
        <f>-760.248400131055 -155.615307555552 -378.678237982889</f>
        <v>-1294.541945669496</v>
      </c>
      <c r="Q3971">
        <f>-514.695288706771 -71.0021538391784 -365.027487357917</f>
        <v>-950.72492990386627</v>
      </c>
      <c r="R3971" t="s">
        <v>80162</v>
      </c>
      <c r="S3971" t="s">
        <v>80163</v>
      </c>
      <c r="T3971" t="s">
        <v>80164</v>
      </c>
      <c r="U3971" t="s">
        <v>80165</v>
      </c>
      <c r="V3971">
        <f>-727.191827296493 -58.5397473487569 -232.670023255043</f>
        <v>-1018.4015979002929</v>
      </c>
      <c r="W3971" t="s">
        <v>80166</v>
      </c>
      <c r="X3971" t="s">
        <v>80167</v>
      </c>
      <c r="Y3971" t="s">
        <v>80168</v>
      </c>
    </row>
    <row r="3972" spans="1:25" x14ac:dyDescent="0.3">
      <c r="A3972">
        <v>198550</v>
      </c>
      <c r="B3972" t="s">
        <v>80169</v>
      </c>
      <c r="C3972" t="s">
        <v>80170</v>
      </c>
      <c r="D3972" t="s">
        <v>80171</v>
      </c>
      <c r="E3972" t="s">
        <v>80172</v>
      </c>
      <c r="F3972" t="s">
        <v>80173</v>
      </c>
      <c r="G3972">
        <f>-745.733388748403 -27.151785502085 -685.608376201032</f>
        <v>-1458.4935504515199</v>
      </c>
      <c r="H3972">
        <f>-739.930794848754 -75.6708309585458 -829.872827855496</f>
        <v>-1645.4744536627959</v>
      </c>
      <c r="I3972">
        <f>-704.411645574472 -107.955394630186 -919.756561194471</f>
        <v>-1732.123601399129</v>
      </c>
      <c r="J3972">
        <f>-732.107995860379 -25.5983189631465 -775.242563887994</f>
        <v>-1532.9488787115197</v>
      </c>
      <c r="K3972" t="s">
        <v>80174</v>
      </c>
      <c r="L3972" t="s">
        <v>80175</v>
      </c>
      <c r="M3972" t="s">
        <v>80176</v>
      </c>
      <c r="N3972">
        <f>-752.888587756795 -82.8070584302441 -756.837985719058</f>
        <v>-1592.5336319060971</v>
      </c>
      <c r="O3972">
        <f>-807.547445398624 -200.879411838962 -688.313893541675</f>
        <v>-1696.7407507792609</v>
      </c>
      <c r="P3972">
        <f>-759.995986412613 -155.785091824722 -378.650290765838</f>
        <v>-1294.4313690031731</v>
      </c>
      <c r="Q3972">
        <f>-514.520895665533 -70.9472239373879 -364.9909368259</f>
        <v>-950.45905642882087</v>
      </c>
      <c r="R3972" t="s">
        <v>80177</v>
      </c>
      <c r="S3972" t="s">
        <v>80178</v>
      </c>
      <c r="T3972" t="s">
        <v>80179</v>
      </c>
      <c r="U3972" t="s">
        <v>80180</v>
      </c>
      <c r="V3972">
        <f>-727.126333679109 -58.6585049574785 -232.634835361165</f>
        <v>-1018.4196739977525</v>
      </c>
      <c r="W3972" t="s">
        <v>80181</v>
      </c>
      <c r="X3972" t="s">
        <v>80182</v>
      </c>
      <c r="Y3972" t="s">
        <v>80183</v>
      </c>
    </row>
    <row r="3973" spans="1:25" x14ac:dyDescent="0.3">
      <c r="A3973">
        <v>198600</v>
      </c>
      <c r="B3973" t="s">
        <v>80184</v>
      </c>
      <c r="C3973" t="s">
        <v>80185</v>
      </c>
      <c r="D3973" t="s">
        <v>80186</v>
      </c>
      <c r="E3973" t="s">
        <v>80187</v>
      </c>
      <c r="F3973" t="s">
        <v>80188</v>
      </c>
      <c r="G3973">
        <f>-745.747662616256 -27.1767270766954 -685.601159499902</f>
        <v>-1458.5255491928533</v>
      </c>
      <c r="H3973">
        <f>-739.996621107467 -75.6765504799832 -829.874053531489</f>
        <v>-1645.5472251189394</v>
      </c>
      <c r="I3973">
        <f>-704.477209132436 -107.947888254472 -919.76239526377</f>
        <v>-1732.187492650678</v>
      </c>
      <c r="J3973">
        <f>-732.170293906208 -25.6062684785418 -775.242270054352</f>
        <v>-1533.018832439102</v>
      </c>
      <c r="K3973" t="s">
        <v>80189</v>
      </c>
      <c r="L3973" t="s">
        <v>80190</v>
      </c>
      <c r="M3973" t="s">
        <v>80191</v>
      </c>
      <c r="N3973">
        <f>-752.912326541938 -82.827566430625 -756.833234509082</f>
        <v>-1592.5731274816449</v>
      </c>
      <c r="O3973">
        <f>-807.47866952479 -200.941196702571 -688.29633908135</f>
        <v>-1696.7162053087109</v>
      </c>
      <c r="P3973">
        <f>-759.852712395182 -155.860129731596 -378.642346788816</f>
        <v>-1294.355188915594</v>
      </c>
      <c r="Q3973">
        <f>-514.436810489207 -70.8434158434331 -365.034529676554</f>
        <v>-950.31475600919407</v>
      </c>
      <c r="R3973" t="s">
        <v>80192</v>
      </c>
      <c r="S3973" t="s">
        <v>80193</v>
      </c>
      <c r="T3973" t="s">
        <v>80194</v>
      </c>
      <c r="U3973" t="s">
        <v>80195</v>
      </c>
      <c r="V3973">
        <f>-727.069015961734 -58.6961473291024 -232.621746236507</f>
        <v>-1018.3869095273433</v>
      </c>
      <c r="W3973" t="s">
        <v>80196</v>
      </c>
      <c r="X3973" t="s">
        <v>80197</v>
      </c>
      <c r="Y3973" t="s">
        <v>80198</v>
      </c>
    </row>
    <row r="3974" spans="1:25" x14ac:dyDescent="0.3">
      <c r="A3974">
        <v>198650</v>
      </c>
      <c r="B3974" t="s">
        <v>80199</v>
      </c>
      <c r="C3974" t="s">
        <v>80200</v>
      </c>
      <c r="D3974" t="s">
        <v>80201</v>
      </c>
      <c r="E3974" t="s">
        <v>80202</v>
      </c>
      <c r="F3974" t="s">
        <v>80203</v>
      </c>
      <c r="G3974">
        <f>-745.732400224144 -27.2747024455346 -685.625692141143</f>
        <v>-1458.6327948108215</v>
      </c>
      <c r="H3974">
        <f>-740.10938714436 -75.7322533986085 -829.917748020258</f>
        <v>-1645.7593885632264</v>
      </c>
      <c r="I3974">
        <f>-704.590208480319 -107.995755153597 -919.809083061253</f>
        <v>-1732.395046695169</v>
      </c>
      <c r="J3974">
        <f>-732.257044641754 -25.6709013371985 -775.281646155179</f>
        <v>-1533.2095921341315</v>
      </c>
      <c r="K3974" t="s">
        <v>80204</v>
      </c>
      <c r="L3974" t="s">
        <v>80205</v>
      </c>
      <c r="M3974" t="s">
        <v>80206</v>
      </c>
      <c r="N3974">
        <f>-752.937730578438 -82.911656604608 -756.864382545763</f>
        <v>-1592.713769728809</v>
      </c>
      <c r="O3974">
        <f>-807.313035737657 -201.125369529411 -688.348091490046</f>
        <v>-1696.786496757114</v>
      </c>
      <c r="P3974">
        <f>-759.636320948945 -156.173694179041 -378.68306174946</f>
        <v>-1294.4930768774461</v>
      </c>
      <c r="Q3974">
        <f>-514.309396200112 -70.8819285421994 -365.189424123613</f>
        <v>-950.38074886592437</v>
      </c>
      <c r="R3974" t="s">
        <v>80207</v>
      </c>
      <c r="S3974" t="s">
        <v>80208</v>
      </c>
      <c r="T3974" t="s">
        <v>80209</v>
      </c>
      <c r="U3974" t="s">
        <v>80210</v>
      </c>
      <c r="V3974">
        <f>-726.96990146158 -58.7936505078214 -232.613421325875</f>
        <v>-1018.3769732952765</v>
      </c>
      <c r="W3974" t="s">
        <v>80211</v>
      </c>
      <c r="X3974" t="s">
        <v>80212</v>
      </c>
      <c r="Y3974" t="s">
        <v>80213</v>
      </c>
    </row>
    <row r="3975" spans="1:25" x14ac:dyDescent="0.3">
      <c r="A3975">
        <v>198700</v>
      </c>
      <c r="B3975" t="s">
        <v>80214</v>
      </c>
      <c r="C3975" t="s">
        <v>80215</v>
      </c>
      <c r="D3975" t="s">
        <v>80216</v>
      </c>
      <c r="E3975" t="s">
        <v>80217</v>
      </c>
      <c r="F3975" t="s">
        <v>80218</v>
      </c>
      <c r="G3975">
        <f>-745.809271196347 -27.325069651004 -685.622143047714</f>
        <v>-1458.756483895065</v>
      </c>
      <c r="H3975">
        <f>-740.263319754525 -75.7548853424757 -829.926845020188</f>
        <v>-1645.9450501171887</v>
      </c>
      <c r="I3975">
        <f>-704.756172422929 -108.013765336304 -919.824470266575</f>
        <v>-1732.594408025808</v>
      </c>
      <c r="J3975">
        <f>-732.37950628506 -25.704708762986 -775.284850046786</f>
        <v>-1533.369065094832</v>
      </c>
      <c r="K3975" t="s">
        <v>80219</v>
      </c>
      <c r="L3975" t="s">
        <v>80220</v>
      </c>
      <c r="M3975" t="s">
        <v>80221</v>
      </c>
      <c r="N3975">
        <f>-753.05493189092 -82.947657400565 -756.868083244839</f>
        <v>-1592.870672536324</v>
      </c>
      <c r="O3975">
        <f>-807.366272449877 -201.192053576038 -688.36366362347</f>
        <v>-1696.9219896493851</v>
      </c>
      <c r="P3975">
        <f>-759.606457407428 -156.249131691454 -378.709998782597</f>
        <v>-1294.5655878814791</v>
      </c>
      <c r="Q3975">
        <f>-514.359218481086 -70.7090865951359 -365.340597133293</f>
        <v>-950.40890220951496</v>
      </c>
      <c r="R3975" t="s">
        <v>80222</v>
      </c>
      <c r="S3975" t="s">
        <v>80223</v>
      </c>
      <c r="T3975" t="s">
        <v>80224</v>
      </c>
      <c r="U3975" t="s">
        <v>80225</v>
      </c>
      <c r="V3975">
        <f>-726.985803594381 -58.8429912803977 -232.602619743067</f>
        <v>-1018.4314146178456</v>
      </c>
      <c r="W3975" t="s">
        <v>80226</v>
      </c>
      <c r="X3975" t="s">
        <v>80227</v>
      </c>
      <c r="Y3975" t="s">
        <v>80228</v>
      </c>
    </row>
    <row r="3976" spans="1:25" x14ac:dyDescent="0.3">
      <c r="A3976">
        <v>198750</v>
      </c>
      <c r="B3976" t="s">
        <v>80229</v>
      </c>
      <c r="C3976" t="s">
        <v>80230</v>
      </c>
      <c r="D3976" t="s">
        <v>80231</v>
      </c>
      <c r="E3976" t="s">
        <v>80232</v>
      </c>
      <c r="F3976" t="s">
        <v>80233</v>
      </c>
      <c r="G3976">
        <f>-745.74312973236 -27.7012523019598 -685.617958731484</f>
        <v>-1459.0623407658038</v>
      </c>
      <c r="H3976">
        <f>-740.3250810205 -76.1337702520896 -829.926433816262</f>
        <v>-1646.3852850888516</v>
      </c>
      <c r="I3976">
        <f>-704.832904800674 -108.383811976238 -919.833159645796</f>
        <v>-1733.0498764227079</v>
      </c>
      <c r="J3976">
        <f>-732.401671248088 -26.0799173054488 -775.293609597075</f>
        <v>-1533.7751981506117</v>
      </c>
      <c r="K3976" t="s">
        <v>80234</v>
      </c>
      <c r="L3976" t="s">
        <v>80235</v>
      </c>
      <c r="M3976" t="s">
        <v>80236</v>
      </c>
      <c r="N3976">
        <f>-753.043184596106 -83.3279120827062 -756.855178890509</f>
        <v>-1593.2262755693214</v>
      </c>
      <c r="O3976">
        <f>-807.217545240557 -201.628310949663 -688.338294986964</f>
        <v>-1697.184151177184</v>
      </c>
      <c r="P3976">
        <f>-759.578027829574 -156.635372738134 -378.673461519909</f>
        <v>-1294.8868620876169</v>
      </c>
      <c r="Q3976">
        <f>-514.387455538639 -70.8870180265446 -365.604187492557</f>
        <v>-950.8786610577406</v>
      </c>
      <c r="R3976" t="s">
        <v>80237</v>
      </c>
      <c r="S3976" t="s">
        <v>80238</v>
      </c>
      <c r="T3976" t="s">
        <v>80239</v>
      </c>
      <c r="U3976" t="s">
        <v>80240</v>
      </c>
      <c r="V3976">
        <f>-726.815941700769 -59.0708354974356 -232.577457096443</f>
        <v>-1018.4642342946477</v>
      </c>
      <c r="W3976" t="s">
        <v>80241</v>
      </c>
      <c r="X3976" t="s">
        <v>80242</v>
      </c>
      <c r="Y3976" t="s">
        <v>80243</v>
      </c>
    </row>
    <row r="3977" spans="1:25" x14ac:dyDescent="0.3">
      <c r="A3977">
        <v>198800</v>
      </c>
      <c r="B3977" t="s">
        <v>80244</v>
      </c>
      <c r="C3977" t="s">
        <v>80245</v>
      </c>
      <c r="D3977" t="s">
        <v>80246</v>
      </c>
      <c r="E3977" t="s">
        <v>80247</v>
      </c>
      <c r="F3977" t="s">
        <v>80248</v>
      </c>
      <c r="G3977">
        <f>-745.687659461936 -27.9734868056867 -685.658702546527</f>
        <v>-1459.3198488141497</v>
      </c>
      <c r="H3977">
        <f>-740.489356648668 -76.3419393702584 -829.996740040748</f>
        <v>-1646.8280360596746</v>
      </c>
      <c r="I3977">
        <f>-705.006382211138 -108.560575968245 -919.918450563527</f>
        <v>-1733.4854087429098</v>
      </c>
      <c r="J3977">
        <f>-732.482439690813 -26.3122737679034 -775.353903006116</f>
        <v>-1534.1486164648322</v>
      </c>
      <c r="K3977" t="s">
        <v>80249</v>
      </c>
      <c r="L3977" t="s">
        <v>80250</v>
      </c>
      <c r="M3977" t="s">
        <v>80251</v>
      </c>
      <c r="N3977">
        <f>-753.096412906832 -83.5684742159558 -756.909514337755</f>
        <v>-1593.574401460543</v>
      </c>
      <c r="O3977">
        <f>-807.153143793145 -201.921291726347 -688.380310591083</f>
        <v>-1697.4547461105749</v>
      </c>
      <c r="P3977">
        <f>-759.540300010704 -156.932878093243 -378.710769191624</f>
        <v>-1295.183947295571</v>
      </c>
      <c r="Q3977">
        <f>-513.923002340017 -72.4046862811683 -365.703715449806</f>
        <v>-952.03140407099136</v>
      </c>
      <c r="R3977" t="s">
        <v>80252</v>
      </c>
      <c r="S3977" t="s">
        <v>80253</v>
      </c>
      <c r="T3977" t="s">
        <v>80254</v>
      </c>
      <c r="U3977" t="s">
        <v>80255</v>
      </c>
      <c r="V3977">
        <f>-726.45070323267 -59.295692317959 -232.593282863882</f>
        <v>-1018.339678414511</v>
      </c>
      <c r="W3977" t="s">
        <v>80256</v>
      </c>
      <c r="X3977" t="s">
        <v>80257</v>
      </c>
      <c r="Y3977" t="s">
        <v>80258</v>
      </c>
    </row>
    <row r="3978" spans="1:25" x14ac:dyDescent="0.3">
      <c r="A3978">
        <v>198850</v>
      </c>
      <c r="B3978" t="s">
        <v>80259</v>
      </c>
      <c r="C3978" t="s">
        <v>80260</v>
      </c>
      <c r="D3978" t="s">
        <v>80261</v>
      </c>
      <c r="E3978" t="s">
        <v>80262</v>
      </c>
      <c r="F3978" t="s">
        <v>80263</v>
      </c>
      <c r="G3978">
        <f>-745.720579018829 -28.0980639724846 -685.671249870913</f>
        <v>-1459.4898928622265</v>
      </c>
      <c r="H3978">
        <f>-740.648372490177 -76.4358207275154 -830.024202136992</f>
        <v>-1647.1083953546845</v>
      </c>
      <c r="I3978">
        <f>-705.168120553775 -108.643835850727 -919.950597525347</f>
        <v>-1733.762553929849</v>
      </c>
      <c r="J3978">
        <f>-732.587559429527 -26.4197358801998 -775.376685590483</f>
        <v>-1534.3839809002097</v>
      </c>
      <c r="K3978" t="s">
        <v>80264</v>
      </c>
      <c r="L3978" t="s">
        <v>80265</v>
      </c>
      <c r="M3978" t="s">
        <v>80266</v>
      </c>
      <c r="N3978">
        <f>-753.197697242653 -83.6758942407259 -756.928155627492</f>
        <v>-1593.801747110871</v>
      </c>
      <c r="O3978">
        <f>-807.232153308499 -202.0169971133 -688.37374724924</f>
        <v>-1697.622897671039</v>
      </c>
      <c r="P3978">
        <f>-759.804105762932 -157.262795994524 -378.641692329561</f>
        <v>-1295.708594087017</v>
      </c>
      <c r="Q3978">
        <f>-514.050891293416 -73.0503515001033 -366.165611433541</f>
        <v>-953.26685422706032</v>
      </c>
      <c r="R3978" t="s">
        <v>80267</v>
      </c>
      <c r="S3978" t="s">
        <v>80268</v>
      </c>
      <c r="T3978" t="s">
        <v>80269</v>
      </c>
      <c r="U3978" t="s">
        <v>80270</v>
      </c>
      <c r="V3978">
        <f>-726.202592547288 -59.4089624700384 -232.593933502068</f>
        <v>-1018.2054885193944</v>
      </c>
      <c r="W3978" t="s">
        <v>80271</v>
      </c>
      <c r="X3978" t="s">
        <v>80272</v>
      </c>
      <c r="Y3978" t="s">
        <v>80273</v>
      </c>
    </row>
    <row r="3979" spans="1:25" x14ac:dyDescent="0.3">
      <c r="A3979">
        <v>198900</v>
      </c>
      <c r="B3979" t="s">
        <v>80274</v>
      </c>
      <c r="C3979" t="s">
        <v>80275</v>
      </c>
      <c r="D3979" t="s">
        <v>80276</v>
      </c>
      <c r="E3979" t="s">
        <v>80277</v>
      </c>
      <c r="F3979" t="s">
        <v>80278</v>
      </c>
      <c r="G3979">
        <f>-745.821327155193 -28.2717913774757 -685.644305970136</f>
        <v>-1459.7374245028045</v>
      </c>
      <c r="H3979">
        <f>-740.875435161346 -76.6201000719489 -829.997962868155</f>
        <v>-1647.4934981014499</v>
      </c>
      <c r="I3979">
        <f>-705.409113665294 -108.834329146083 -919.92775177439</f>
        <v>-1734.1711945857669</v>
      </c>
      <c r="J3979">
        <f>-732.750562061018 -26.6051527044115 -775.359132571246</f>
        <v>-1534.7148473366756</v>
      </c>
      <c r="K3979" t="s">
        <v>80279</v>
      </c>
      <c r="L3979" t="s">
        <v>80280</v>
      </c>
      <c r="M3979" t="s">
        <v>80281</v>
      </c>
      <c r="N3979">
        <f>-753.377135608474 -83.8498085700778 -756.892837198507</f>
        <v>-1594.1197813770586</v>
      </c>
      <c r="O3979">
        <f>-807.418829481468 -202.187332813943 -688.351825384197</f>
        <v>-1697.9579876796079</v>
      </c>
      <c r="P3979">
        <f>-760.477143243865 -158.133934777426 -378.445403675144</f>
        <v>-1297.0564816964352</v>
      </c>
      <c r="Q3979">
        <f>-514.721903308153 -73.8013000901401 -366.852765093012</f>
        <v>-955.375968491305</v>
      </c>
      <c r="R3979" t="s">
        <v>80282</v>
      </c>
      <c r="S3979" t="s">
        <v>80283</v>
      </c>
      <c r="T3979" t="s">
        <v>80284</v>
      </c>
      <c r="U3979" t="s">
        <v>80285</v>
      </c>
      <c r="V3979">
        <f>-726.081975899892 -59.5311458313772 -232.580137098739</f>
        <v>-1018.1932588300082</v>
      </c>
      <c r="W3979" t="s">
        <v>80286</v>
      </c>
      <c r="X3979" t="s">
        <v>80287</v>
      </c>
      <c r="Y3979" t="s">
        <v>80288</v>
      </c>
    </row>
    <row r="3980" spans="1:25" x14ac:dyDescent="0.3">
      <c r="A3980">
        <v>198950</v>
      </c>
      <c r="B3980" t="s">
        <v>80289</v>
      </c>
      <c r="C3980" t="s">
        <v>80290</v>
      </c>
      <c r="D3980" t="s">
        <v>80291</v>
      </c>
      <c r="E3980" t="s">
        <v>80292</v>
      </c>
      <c r="F3980" t="s">
        <v>80293</v>
      </c>
      <c r="G3980">
        <f>-746.244641254923 -28.4319826270414 -685.599456936435</f>
        <v>-1460.2760808183994</v>
      </c>
      <c r="H3980">
        <f>-741.541666636318 -76.6806247014101 -829.994587252163</f>
        <v>-1648.2168785898912</v>
      </c>
      <c r="I3980">
        <f>-706.088508209773 -108.877774031917 -919.935696010126</f>
        <v>-1734.9019782518158</v>
      </c>
      <c r="J3980">
        <f>-733.301998225549 -26.7106449916237 -775.331790573239</f>
        <v>-1535.3444337904116</v>
      </c>
      <c r="K3980" t="s">
        <v>80294</v>
      </c>
      <c r="L3980" t="s">
        <v>80295</v>
      </c>
      <c r="M3980" t="s">
        <v>80296</v>
      </c>
      <c r="N3980">
        <f>-753.943189799895 -83.9535604944181 -756.876756287763</f>
        <v>-1594.7735065820762</v>
      </c>
      <c r="O3980">
        <f>-808.003560552292 -202.351500805842 -688.441136387365</f>
        <v>-1698.7961977454988</v>
      </c>
      <c r="P3980">
        <f>-761.401254187225 -158.251725669254 -378.490021709511</f>
        <v>-1298.1430015659901</v>
      </c>
      <c r="Q3980">
        <f>-515.749834976258 -73.6800025663979 -366.446666493421</f>
        <v>-955.87650403607677</v>
      </c>
      <c r="R3980" t="s">
        <v>80297</v>
      </c>
      <c r="S3980" t="s">
        <v>80298</v>
      </c>
      <c r="T3980" t="s">
        <v>80299</v>
      </c>
      <c r="U3980" t="s">
        <v>80300</v>
      </c>
      <c r="V3980">
        <f>-726.104326986025 -59.7864497811518 -232.529138346523</f>
        <v>-1018.4199151136997</v>
      </c>
      <c r="W3980" t="s">
        <v>80301</v>
      </c>
      <c r="X3980" t="s">
        <v>80302</v>
      </c>
      <c r="Y3980" t="s">
        <v>80303</v>
      </c>
    </row>
    <row r="3981" spans="1:25" x14ac:dyDescent="0.3">
      <c r="A3981">
        <v>199000</v>
      </c>
      <c r="B3981" t="s">
        <v>80304</v>
      </c>
      <c r="C3981" t="s">
        <v>80305</v>
      </c>
      <c r="D3981" t="s">
        <v>80306</v>
      </c>
      <c r="E3981" t="s">
        <v>80307</v>
      </c>
      <c r="F3981" t="s">
        <v>80308</v>
      </c>
      <c r="G3981">
        <f>-746.515222205388 -28.6087321652983 -685.537914488049</f>
        <v>-1460.6618688587353</v>
      </c>
      <c r="H3981">
        <f>-741.877668402849 -76.9159237013166 -829.915523045823</f>
        <v>-1648.7091151499885</v>
      </c>
      <c r="I3981">
        <f>-706.432062282952 -109.125002673303 -919.855343591652</f>
        <v>-1735.412408547907</v>
      </c>
      <c r="J3981">
        <f>-733.617904837318 -26.9223416487187 -775.27734132803</f>
        <v>-1535.8175878140667</v>
      </c>
      <c r="K3981" t="s">
        <v>80309</v>
      </c>
      <c r="L3981" t="s">
        <v>80310</v>
      </c>
      <c r="M3981" t="s">
        <v>80311</v>
      </c>
      <c r="N3981">
        <f>-754.24135448996 -84.1606022976803 -756.788585537705</f>
        <v>-1595.1905423253452</v>
      </c>
      <c r="O3981">
        <f>-808.182206141537 -202.616618420041 -688.366231751933</f>
        <v>-1699.1650563135108</v>
      </c>
      <c r="P3981">
        <f>-762.235548939163 -158.268443338253 -378.352819666764</f>
        <v>-1298.85681194418</v>
      </c>
      <c r="Q3981">
        <f>-516.46356844818 -74.0938386251921 -365.990099227319</f>
        <v>-956.54750630069111</v>
      </c>
      <c r="R3981" t="s">
        <v>80312</v>
      </c>
      <c r="S3981" t="s">
        <v>80313</v>
      </c>
      <c r="T3981" t="s">
        <v>80314</v>
      </c>
      <c r="U3981" t="s">
        <v>80315</v>
      </c>
      <c r="V3981">
        <f>-726.177543214671 -59.8768921891492 -232.491505359557</f>
        <v>-1018.5459407633772</v>
      </c>
      <c r="W3981" t="s">
        <v>80316</v>
      </c>
      <c r="X3981" t="s">
        <v>80317</v>
      </c>
      <c r="Y3981" t="s">
        <v>80318</v>
      </c>
    </row>
    <row r="3982" spans="1:25" x14ac:dyDescent="0.3">
      <c r="A3982">
        <v>199050</v>
      </c>
      <c r="B3982" t="s">
        <v>80319</v>
      </c>
      <c r="C3982" t="s">
        <v>80320</v>
      </c>
      <c r="D3982" t="s">
        <v>80321</v>
      </c>
      <c r="E3982" t="s">
        <v>80322</v>
      </c>
      <c r="F3982" t="s">
        <v>80323</v>
      </c>
      <c r="G3982">
        <f>-747.176216014275 -28.6608826247491 -685.430339249005</f>
        <v>-1461.2674378880292</v>
      </c>
      <c r="H3982">
        <f>-742.617376858786 -76.906876691703 -829.831005337765</f>
        <v>-1649.355258888254</v>
      </c>
      <c r="I3982">
        <f>-707.142168066378 -109.028068167175 -919.790500258484</f>
        <v>-1735.9607364920371</v>
      </c>
      <c r="J3982">
        <f>-734.351580243968 -26.9289172283636 -775.179335301474</f>
        <v>-1536.4598327738056</v>
      </c>
      <c r="K3982" t="s">
        <v>80324</v>
      </c>
      <c r="L3982" t="s">
        <v>80325</v>
      </c>
      <c r="M3982" t="s">
        <v>80326</v>
      </c>
      <c r="N3982">
        <f>-754.917480128827 -84.1901407144483 -756.697039296683</f>
        <v>-1595.8046601399583</v>
      </c>
      <c r="O3982">
        <f>-808.651198955791 -202.739805119588 -688.277804366641</f>
        <v>-1699.66880844202</v>
      </c>
      <c r="P3982">
        <f>-763.101300209603 -156.971026719994 -378.41239920508</f>
        <v>-1298.484726134677</v>
      </c>
      <c r="Q3982">
        <f>-516.777167283435 -74.5456801057503 -365.276932043239</f>
        <v>-956.59977943242438</v>
      </c>
      <c r="R3982" t="s">
        <v>80327</v>
      </c>
      <c r="S3982" t="s">
        <v>80328</v>
      </c>
      <c r="T3982" t="s">
        <v>80329</v>
      </c>
      <c r="U3982" t="s">
        <v>80330</v>
      </c>
      <c r="V3982">
        <f>-726.605796951101 -60.0331328902876 -232.414324338348</f>
        <v>-1019.0532541797365</v>
      </c>
      <c r="W3982" t="s">
        <v>80331</v>
      </c>
      <c r="X3982" t="s">
        <v>80332</v>
      </c>
      <c r="Y3982" t="s">
        <v>80333</v>
      </c>
    </row>
    <row r="3983" spans="1:25" x14ac:dyDescent="0.3">
      <c r="A3983">
        <v>199100</v>
      </c>
      <c r="B3983" t="s">
        <v>80334</v>
      </c>
      <c r="C3983" t="s">
        <v>80335</v>
      </c>
      <c r="D3983" t="s">
        <v>80336</v>
      </c>
      <c r="E3983" t="s">
        <v>80337</v>
      </c>
      <c r="F3983" t="s">
        <v>80338</v>
      </c>
      <c r="G3983">
        <f>-747.560446508212 -28.715107662191 -685.383455885589</f>
        <v>-1461.659010055992</v>
      </c>
      <c r="H3983">
        <f>-743.055027883002 -76.9916274791226 -829.775523250923</f>
        <v>-1649.8221786130475</v>
      </c>
      <c r="I3983">
        <f>-707.537450972156 -109.107469143844 -919.7202569441</f>
        <v>-1736.3651770601</v>
      </c>
      <c r="J3983">
        <f>-734.775100441884 -27.0001428650876 -775.138361449297</f>
        <v>-1536.9136047562686</v>
      </c>
      <c r="K3983" t="s">
        <v>80339</v>
      </c>
      <c r="L3983" t="s">
        <v>80340</v>
      </c>
      <c r="M3983" t="s">
        <v>80341</v>
      </c>
      <c r="N3983">
        <f>-755.321936605066 -84.2613399163877 -756.634617433755</f>
        <v>-1596.2178939552086</v>
      </c>
      <c r="O3983">
        <f>-808.951730125197 -202.828636521594 -688.168733557777</f>
        <v>-1699.9491002045679</v>
      </c>
      <c r="P3983">
        <f>-763.958501033211 -156.984335430856 -378.233060574722</f>
        <v>-1299.1758970387889</v>
      </c>
      <c r="Q3983">
        <f>-517.287274044047 -75.5311103134281 -365.554921397401</f>
        <v>-958.37330575487613</v>
      </c>
      <c r="R3983" t="s">
        <v>80342</v>
      </c>
      <c r="S3983" t="s">
        <v>80343</v>
      </c>
      <c r="T3983" t="s">
        <v>80344</v>
      </c>
      <c r="U3983" t="s">
        <v>80345</v>
      </c>
      <c r="V3983">
        <f>-726.845586047679 -60.0581304189186 -232.380288130561</f>
        <v>-1019.2840045971586</v>
      </c>
      <c r="W3983" t="s">
        <v>80346</v>
      </c>
      <c r="X3983" t="s">
        <v>80347</v>
      </c>
      <c r="Y3983" t="s">
        <v>80348</v>
      </c>
    </row>
    <row r="3984" spans="1:25" x14ac:dyDescent="0.3">
      <c r="A3984">
        <v>199150</v>
      </c>
      <c r="B3984" t="s">
        <v>80349</v>
      </c>
      <c r="C3984" t="s">
        <v>80350</v>
      </c>
      <c r="D3984" t="s">
        <v>80351</v>
      </c>
      <c r="E3984" t="s">
        <v>80352</v>
      </c>
      <c r="F3984" t="s">
        <v>80353</v>
      </c>
      <c r="G3984">
        <f>-747.98472799626 -28.5817022893805 -685.320937614943</f>
        <v>-1461.8873679005833</v>
      </c>
      <c r="H3984">
        <f>-743.509346480424 -76.853482076134 -829.715614377428</f>
        <v>-1650.078442933986</v>
      </c>
      <c r="I3984">
        <f>-707.807262889208 -108.981156140434 -919.582934423648</f>
        <v>-1736.3713534532899</v>
      </c>
      <c r="J3984">
        <f>-735.185861308663 -26.873960015685 -775.074062225238</f>
        <v>-1537.133883549586</v>
      </c>
      <c r="K3984" t="s">
        <v>80354</v>
      </c>
      <c r="L3984" t="s">
        <v>80355</v>
      </c>
      <c r="M3984" t="s">
        <v>80356</v>
      </c>
      <c r="N3984">
        <f>-755.793179031532 -84.1153646615317 -756.576629785703</f>
        <v>-1596.4851734787667</v>
      </c>
      <c r="O3984">
        <f>-809.40174624232 -202.730653452538 -688.158333209916</f>
        <v>-1700.2907329047739</v>
      </c>
      <c r="P3984">
        <f>-764.653334545817 -156.318526727641 -378.27170843158</f>
        <v>-1299.243569705038</v>
      </c>
      <c r="Q3984">
        <f>-516.838696827276 -78.3746370115969 -365.832045615718</f>
        <v>-961.04537945459083</v>
      </c>
      <c r="R3984" t="s">
        <v>80357</v>
      </c>
      <c r="S3984" t="s">
        <v>80358</v>
      </c>
      <c r="T3984" t="s">
        <v>80359</v>
      </c>
      <c r="U3984" t="s">
        <v>80360</v>
      </c>
      <c r="V3984">
        <f>-727.285722953962 -59.9786044589077 -232.33447205313</f>
        <v>-1019.5987994659997</v>
      </c>
      <c r="W3984" t="s">
        <v>80361</v>
      </c>
      <c r="X3984" t="s">
        <v>80362</v>
      </c>
      <c r="Y3984" t="s">
        <v>80363</v>
      </c>
    </row>
    <row r="3985" spans="1:25" x14ac:dyDescent="0.3">
      <c r="A3985">
        <v>199200</v>
      </c>
      <c r="B3985" t="s">
        <v>80364</v>
      </c>
      <c r="C3985" t="s">
        <v>80365</v>
      </c>
      <c r="D3985" t="s">
        <v>80366</v>
      </c>
      <c r="E3985" t="s">
        <v>80367</v>
      </c>
      <c r="F3985" t="s">
        <v>80368</v>
      </c>
      <c r="G3985">
        <f>-748.097509379867 -28.3286834205339 -685.290551133202</f>
        <v>-1461.7167439336031</v>
      </c>
      <c r="H3985">
        <f>-743.519145902838 -76.5215316214817 -829.708225140536</f>
        <v>-1649.7489026648557</v>
      </c>
      <c r="I3985">
        <f>-707.677728982463 -108.663841284289 -919.51505617483</f>
        <v>-1735.856626441582</v>
      </c>
      <c r="J3985">
        <f>-735.234851298107 -26.5718135186701 -775.033664159226</f>
        <v>-1536.8403289760031</v>
      </c>
      <c r="K3985" t="s">
        <v>80369</v>
      </c>
      <c r="L3985" t="s">
        <v>80370</v>
      </c>
      <c r="M3985" t="s">
        <v>80371</v>
      </c>
      <c r="N3985">
        <f>-755.854943629883 -83.8234769829724 -756.582208105517</f>
        <v>-1596.2606287183723</v>
      </c>
      <c r="O3985">
        <f>-809.391816009806 -202.492198849374 -688.176719515674</f>
        <v>-1700.0607343748541</v>
      </c>
      <c r="P3985">
        <f>-764.262761836567 -155.799953786874 -378.387574309153</f>
        <v>-1298.4502899325939</v>
      </c>
      <c r="Q3985">
        <f>-516.584584981428 -77.735964832963 -364.121177309925</f>
        <v>-958.44172712431589</v>
      </c>
      <c r="R3985" t="s">
        <v>80372</v>
      </c>
      <c r="S3985" t="s">
        <v>80373</v>
      </c>
      <c r="T3985" t="s">
        <v>80374</v>
      </c>
      <c r="U3985" t="s">
        <v>80375</v>
      </c>
      <c r="V3985">
        <f>-727.55765857645 -59.9057551986864 -232.294981258286</f>
        <v>-1019.7583950334224</v>
      </c>
      <c r="W3985" t="s">
        <v>80376</v>
      </c>
      <c r="X3985" t="s">
        <v>80377</v>
      </c>
      <c r="Y3985" t="s">
        <v>80378</v>
      </c>
    </row>
    <row r="3986" spans="1:25" x14ac:dyDescent="0.3">
      <c r="A3986">
        <v>199250</v>
      </c>
      <c r="B3986" t="s">
        <v>80379</v>
      </c>
      <c r="C3986" t="s">
        <v>80380</v>
      </c>
      <c r="D3986" t="s">
        <v>80381</v>
      </c>
      <c r="E3986" t="s">
        <v>80382</v>
      </c>
      <c r="F3986" t="s">
        <v>80383</v>
      </c>
      <c r="G3986">
        <f>-748.522674751771 -28.3327524946571 -685.073874372796</f>
        <v>-1461.9293016192241</v>
      </c>
      <c r="H3986">
        <f>-743.650717156784 -76.7612608890922 -829.403074439149</f>
        <v>-1649.8150524850253</v>
      </c>
      <c r="I3986">
        <f>-707.55414891914 -109.021464207645 -919.065293679695</f>
        <v>-1735.64090680648</v>
      </c>
      <c r="J3986">
        <f>-735.534202570771 -26.7046936355134 -774.801255912475</f>
        <v>-1537.0401521187594</v>
      </c>
      <c r="K3986" t="s">
        <v>80384</v>
      </c>
      <c r="L3986" t="s">
        <v>80385</v>
      </c>
      <c r="M3986" t="s">
        <v>80386</v>
      </c>
      <c r="N3986">
        <f>-756.078828206188 -83.9618467594164 -756.282659576892</f>
        <v>-1596.3233345424965</v>
      </c>
      <c r="O3986">
        <f>-808.812677379151 -202.916034318614 -687.806748072915</f>
        <v>-1699.5354597706801</v>
      </c>
      <c r="P3986">
        <f>-764.275197166318 -156.101585728644 -377.9503095131</f>
        <v>-1298.3270924080621</v>
      </c>
      <c r="Q3986">
        <f>-518.251095828276 -72.9620664278739 -363.737190886838</f>
        <v>-954.95035314298786</v>
      </c>
      <c r="R3986" t="s">
        <v>80387</v>
      </c>
      <c r="S3986" t="s">
        <v>80388</v>
      </c>
      <c r="T3986" t="s">
        <v>80389</v>
      </c>
      <c r="U3986" t="s">
        <v>80390</v>
      </c>
      <c r="V3986">
        <f>-728.194697722782 -59.6880563200843 -232.218289454708</f>
        <v>-1020.1010434975744</v>
      </c>
      <c r="W3986" t="s">
        <v>80391</v>
      </c>
      <c r="X3986" t="s">
        <v>80392</v>
      </c>
      <c r="Y3986" t="s">
        <v>80393</v>
      </c>
    </row>
    <row r="3987" spans="1:25" x14ac:dyDescent="0.3">
      <c r="A3987">
        <v>199300</v>
      </c>
      <c r="B3987" t="s">
        <v>80394</v>
      </c>
      <c r="C3987" t="s">
        <v>80395</v>
      </c>
      <c r="D3987" t="s">
        <v>80396</v>
      </c>
      <c r="E3987" t="s">
        <v>80397</v>
      </c>
      <c r="F3987" t="s">
        <v>80398</v>
      </c>
      <c r="G3987">
        <f>-749.080087967783 -28.0705468944125 -685.061164534048</f>
        <v>-1462.2117993962434</v>
      </c>
      <c r="H3987">
        <f>-744.25382504981 -76.4164328207598 -829.419741846516</f>
        <v>-1650.0899997170859</v>
      </c>
      <c r="I3987">
        <f>-708.067383426048 -108.632655910896 -919.061372365073</f>
        <v>-1735.7614117020171</v>
      </c>
      <c r="J3987">
        <f>-736.175463769892 -26.3736396547235 -774.799392892961</f>
        <v>-1537.3484963175765</v>
      </c>
      <c r="K3987" t="s">
        <v>80399</v>
      </c>
      <c r="L3987" t="s">
        <v>80400</v>
      </c>
      <c r="M3987" t="s">
        <v>80401</v>
      </c>
      <c r="N3987">
        <f>-756.603122417749 -83.6761021265183 -756.291719348033</f>
        <v>-1596.5709438923004</v>
      </c>
      <c r="O3987">
        <f>-808.944290352239 -202.851084615927 -687.83892292872</f>
        <v>-1699.634297896886</v>
      </c>
      <c r="P3987">
        <f>-763.018177522096 -155.062819881755 -378.334085764241</f>
        <v>-1296.415083168092</v>
      </c>
      <c r="Q3987">
        <f>-517.631420295263 -69.8925822884175 -365.164940492083</f>
        <v>-952.68894307576352</v>
      </c>
      <c r="R3987" t="s">
        <v>80402</v>
      </c>
      <c r="S3987" t="s">
        <v>80403</v>
      </c>
      <c r="T3987" t="s">
        <v>80404</v>
      </c>
      <c r="U3987" t="s">
        <v>80405</v>
      </c>
      <c r="V3987">
        <f>-728.56496304705 -59.5821120137239 -232.20024038776</f>
        <v>-1020.3473154485339</v>
      </c>
      <c r="W3987" t="s">
        <v>80406</v>
      </c>
      <c r="X3987" t="s">
        <v>80407</v>
      </c>
      <c r="Y3987" t="s">
        <v>80408</v>
      </c>
    </row>
    <row r="3988" spans="1:25" x14ac:dyDescent="0.3">
      <c r="A3988">
        <v>199350</v>
      </c>
      <c r="B3988" t="s">
        <v>80409</v>
      </c>
      <c r="C3988" t="s">
        <v>80410</v>
      </c>
      <c r="D3988" t="s">
        <v>80411</v>
      </c>
      <c r="E3988" t="s">
        <v>80412</v>
      </c>
      <c r="F3988" t="s">
        <v>80413</v>
      </c>
      <c r="G3988">
        <f>-750.605507060402 -27.4805993804237 -685.051710189628</f>
        <v>-1463.1378166304537</v>
      </c>
      <c r="H3988">
        <f>-746.049044086223 -75.7831455855619 -829.433562961699</f>
        <v>-1651.2657526334838</v>
      </c>
      <c r="I3988">
        <f>-709.741503022609 -107.920184216061 -919.054600388389</f>
        <v>-1736.716287627059</v>
      </c>
      <c r="J3988">
        <f>-738.002219896179 -25.7154455678369 -774.831291591412</f>
        <v>-1538.5489570554278</v>
      </c>
      <c r="K3988" t="s">
        <v>80414</v>
      </c>
      <c r="L3988" t="s">
        <v>80415</v>
      </c>
      <c r="M3988" t="s">
        <v>80416</v>
      </c>
      <c r="N3988">
        <f>-758.128062561393 -83.1060969094497 -756.266644440105</f>
        <v>-1597.5008039109475</v>
      </c>
      <c r="O3988">
        <f>-809.497455334684 -202.624045126473 -687.694280486736</f>
        <v>-1699.815780947893</v>
      </c>
      <c r="P3988">
        <f>-759.019609495483 -155.164983866832 -378.848362650278</f>
        <v>-1293.0329560125929</v>
      </c>
      <c r="Q3988">
        <f>-514.93197930433 -65.7919092618838 -370.146429933661</f>
        <v>-950.87031849987477</v>
      </c>
      <c r="R3988" t="s">
        <v>80417</v>
      </c>
      <c r="S3988" t="s">
        <v>80418</v>
      </c>
      <c r="T3988" t="s">
        <v>80419</v>
      </c>
      <c r="U3988" t="s">
        <v>80420</v>
      </c>
      <c r="V3988">
        <f>-729.295654032574 -59.1633622035963 -232.229771325628</f>
        <v>-1020.6887875617983</v>
      </c>
      <c r="W3988" t="s">
        <v>80421</v>
      </c>
      <c r="X3988" t="s">
        <v>80422</v>
      </c>
      <c r="Y3988" t="s">
        <v>80423</v>
      </c>
    </row>
    <row r="3989" spans="1:25" x14ac:dyDescent="0.3">
      <c r="A3989">
        <v>199400</v>
      </c>
      <c r="B3989" t="s">
        <v>80424</v>
      </c>
      <c r="C3989" t="s">
        <v>80425</v>
      </c>
      <c r="D3989" t="s">
        <v>80426</v>
      </c>
      <c r="E3989" t="s">
        <v>80427</v>
      </c>
      <c r="F3989" t="s">
        <v>80428</v>
      </c>
      <c r="G3989">
        <f>-751.439261089587 -27.1025694281511 -685.101082019519</f>
        <v>-1463.6429125372572</v>
      </c>
      <c r="H3989">
        <f>-747.058278730693 -75.3647325566785 -829.501858592243</f>
        <v>-1651.9248698796146</v>
      </c>
      <c r="I3989">
        <f>-710.708607844195 -107.436382214048 -919.12938550091</f>
        <v>-1737.2743755591528</v>
      </c>
      <c r="J3989">
        <f>-739.006053912483 -25.2934841665419 -774.903650172816</f>
        <v>-1539.2031882518409</v>
      </c>
      <c r="K3989" t="s">
        <v>80429</v>
      </c>
      <c r="L3989" t="s">
        <v>80430</v>
      </c>
      <c r="M3989" t="s">
        <v>80431</v>
      </c>
      <c r="N3989">
        <f>-758.987330444593 -82.726874760154 -756.314298588745</f>
        <v>-1598.0285037934921</v>
      </c>
      <c r="O3989">
        <f>-809.92344411919 -202.43658280741 -687.745917599095</f>
        <v>-1700.1059445256951</v>
      </c>
      <c r="P3989">
        <f>-756.917465547046 -155.0868967439 -379.307005344804</f>
        <v>-1291.3113676357502</v>
      </c>
      <c r="Q3989">
        <f>-513.456403143783 -63.7287790780829 -374.569292467324</f>
        <v>-951.75447468918981</v>
      </c>
      <c r="R3989" t="s">
        <v>80432</v>
      </c>
      <c r="S3989" t="s">
        <v>80433</v>
      </c>
      <c r="T3989" t="s">
        <v>80434</v>
      </c>
      <c r="U3989" t="s">
        <v>80435</v>
      </c>
      <c r="V3989">
        <f>-729.544342807608 -58.9432255799841 -232.290967195974</f>
        <v>-1020.7785355835661</v>
      </c>
      <c r="W3989" t="s">
        <v>80436</v>
      </c>
      <c r="X3989" t="s">
        <v>80437</v>
      </c>
      <c r="Y3989" t="s">
        <v>80438</v>
      </c>
    </row>
    <row r="3990" spans="1:25" x14ac:dyDescent="0.3">
      <c r="A3990">
        <v>199450</v>
      </c>
      <c r="B3990" t="s">
        <v>80439</v>
      </c>
      <c r="C3990" t="s">
        <v>80440</v>
      </c>
      <c r="D3990" t="s">
        <v>80441</v>
      </c>
      <c r="E3990" t="s">
        <v>80442</v>
      </c>
      <c r="F3990" t="s">
        <v>80443</v>
      </c>
      <c r="G3990">
        <f>-752.885708495139 -26.4912690617607 -685.161130599967</f>
        <v>-1464.5381081568667</v>
      </c>
      <c r="H3990">
        <f>-748.863073192647 -74.6737699973512 -829.598858839032</f>
        <v>-1653.1357020290302</v>
      </c>
      <c r="I3990">
        <f>-712.422795794806 -106.549849020214 -919.259373212011</f>
        <v>-1738.232018027031</v>
      </c>
      <c r="J3990">
        <f>-740.839835766413 -24.5830165596453 -775.014408885118</f>
        <v>-1540.4372612111763</v>
      </c>
      <c r="K3990" t="s">
        <v>80444</v>
      </c>
      <c r="L3990" t="s">
        <v>80445</v>
      </c>
      <c r="M3990" t="s">
        <v>80446</v>
      </c>
      <c r="N3990">
        <f>-760.446070144374 -82.1259697864525 -756.364866828051</f>
        <v>-1598.9369067588775</v>
      </c>
      <c r="O3990">
        <f>-810.556346479138 -202.12963016978 -687.748523356381</f>
        <v>-1700.434500005299</v>
      </c>
      <c r="P3990">
        <f>-754.015603210991 -156.096426950331 -379.738328471209</f>
        <v>-1289.850358632531</v>
      </c>
      <c r="Q3990">
        <f>-511.263918186462 -62.8557894169812 -384.193313348655</f>
        <v>-958.31302095209821</v>
      </c>
      <c r="R3990" t="s">
        <v>80447</v>
      </c>
      <c r="S3990" t="s">
        <v>80448</v>
      </c>
      <c r="T3990" t="s">
        <v>80449</v>
      </c>
      <c r="U3990" t="s">
        <v>80450</v>
      </c>
      <c r="V3990">
        <f>-729.870396728725 -58.5901252639778 -232.411352629714</f>
        <v>-1020.8718746224168</v>
      </c>
      <c r="W3990" t="s">
        <v>80451</v>
      </c>
      <c r="X3990" t="s">
        <v>80452</v>
      </c>
      <c r="Y3990" t="s">
        <v>80453</v>
      </c>
    </row>
    <row r="3991" spans="1:25" x14ac:dyDescent="0.3">
      <c r="A3991">
        <v>199500</v>
      </c>
      <c r="B3991" t="s">
        <v>80454</v>
      </c>
      <c r="C3991" t="s">
        <v>80455</v>
      </c>
      <c r="D3991" t="s">
        <v>80456</v>
      </c>
      <c r="E3991" t="s">
        <v>80457</v>
      </c>
      <c r="F3991" t="s">
        <v>80458</v>
      </c>
      <c r="G3991">
        <f>-753.363953547902 -26.2822164871554 -685.149400785816</f>
        <v>-1464.7955708208735</v>
      </c>
      <c r="H3991">
        <f>-749.443575591629 -74.4455245171773 -829.596486919126</f>
        <v>-1653.4855870279325</v>
      </c>
      <c r="I3991">
        <f>-712.96698388182 -106.200447606697 -919.285053213787</f>
        <v>-1738.452484702304</v>
      </c>
      <c r="J3991">
        <f>-741.476634999204 -24.3337916916935 -775.02304444565</f>
        <v>-1540.8334711365474</v>
      </c>
      <c r="K3991" t="s">
        <v>80459</v>
      </c>
      <c r="L3991" t="s">
        <v>80460</v>
      </c>
      <c r="M3991" t="s">
        <v>80461</v>
      </c>
      <c r="N3991">
        <f>-760.879824412141 -81.9357326252009 -756.343236002151</f>
        <v>-1599.158793039493</v>
      </c>
      <c r="O3991">
        <f>-810.420169626882 -202.162050884285 -687.659143846536</f>
        <v>-1700.2413643577029</v>
      </c>
      <c r="P3991">
        <f>-753.59277764357 -156.746820317577 -379.610034921158</f>
        <v>-1289.949632882305</v>
      </c>
      <c r="Q3991">
        <f>-510.830927445574 -63.6847629315569 -386.551556203408</f>
        <v>-961.06724658053895</v>
      </c>
      <c r="R3991" t="s">
        <v>80462</v>
      </c>
      <c r="S3991" t="s">
        <v>80463</v>
      </c>
      <c r="T3991" t="s">
        <v>80464</v>
      </c>
      <c r="U3991" t="s">
        <v>80465</v>
      </c>
      <c r="V3991">
        <f>-729.871685887715 -58.4485328612998 -232.451296332747</f>
        <v>-1020.7715150817618</v>
      </c>
      <c r="W3991" t="s">
        <v>80466</v>
      </c>
      <c r="X3991" t="s">
        <v>80467</v>
      </c>
      <c r="Y3991" t="s">
        <v>80468</v>
      </c>
    </row>
    <row r="3992" spans="1:25" x14ac:dyDescent="0.3">
      <c r="A3992">
        <v>199550</v>
      </c>
      <c r="B3992" t="s">
        <v>80469</v>
      </c>
      <c r="C3992" t="s">
        <v>80470</v>
      </c>
      <c r="D3992" t="s">
        <v>80471</v>
      </c>
      <c r="E3992" t="s">
        <v>80472</v>
      </c>
      <c r="F3992" t="s">
        <v>80473</v>
      </c>
      <c r="G3992">
        <f>-753.921848528829 -25.4490375459316 -685.307004715346</f>
        <v>-1464.6778907901066</v>
      </c>
      <c r="H3992">
        <f>-750.001320143753 -73.3194663564268 -829.851171265869</f>
        <v>-1653.1719577660488</v>
      </c>
      <c r="I3992">
        <f>-713.447035531111 -104.7472057846 -919.623626132316</f>
        <v>-1737.8178674480268</v>
      </c>
      <c r="J3992">
        <f>-742.234563937182 -23.259884250363 -775.20116147181</f>
        <v>-1540.6956096593549</v>
      </c>
      <c r="K3992" t="s">
        <v>80474</v>
      </c>
      <c r="L3992" t="s">
        <v>80475</v>
      </c>
      <c r="M3992" t="s">
        <v>80476</v>
      </c>
      <c r="N3992">
        <f>-761.237472718664 -81.0166590983097 -756.58849640835</f>
        <v>-1598.8426282253236</v>
      </c>
      <c r="O3992">
        <f>-809.839650195343 -201.717043038706 -688.045595067818</f>
        <v>-1699.602288301867</v>
      </c>
      <c r="P3992">
        <f>-752.63528079541 -156.881104498581 -379.981221675804</f>
        <v>-1289.497606969795</v>
      </c>
      <c r="Q3992">
        <f>-510.005112205943 -63.593244710936 -388.353906657577</f>
        <v>-961.95226357445597</v>
      </c>
      <c r="R3992" t="s">
        <v>80477</v>
      </c>
      <c r="S3992" t="s">
        <v>80478</v>
      </c>
      <c r="T3992" t="s">
        <v>80479</v>
      </c>
      <c r="U3992" t="s">
        <v>80480</v>
      </c>
      <c r="V3992">
        <f>-729.838928703546 -58.1273959233106 -232.546540509293</f>
        <v>-1020.5128651361496</v>
      </c>
      <c r="W3992" t="s">
        <v>80481</v>
      </c>
      <c r="X3992" t="s">
        <v>80482</v>
      </c>
      <c r="Y3992" t="s">
        <v>80483</v>
      </c>
    </row>
    <row r="3993" spans="1:25" x14ac:dyDescent="0.3">
      <c r="A3993">
        <v>199600</v>
      </c>
      <c r="B3993" t="s">
        <v>80484</v>
      </c>
      <c r="C3993" t="s">
        <v>80485</v>
      </c>
      <c r="D3993" t="s">
        <v>80486</v>
      </c>
      <c r="E3993" t="s">
        <v>80487</v>
      </c>
      <c r="F3993" t="s">
        <v>80488</v>
      </c>
      <c r="G3993">
        <f>-753.873508830406 -25.1876724139049 -685.347696693141</f>
        <v>-1464.408877937452</v>
      </c>
      <c r="H3993">
        <f>-749.744155627439 -73.0199497150572 -829.898869651322</f>
        <v>-1652.6629749938184</v>
      </c>
      <c r="I3993">
        <f>-713.104457056217 -104.316168866198 -919.682162677343</f>
        <v>-1737.102788599758</v>
      </c>
      <c r="J3993">
        <f>-742.187943364355 -22.9368392537449 -775.240733316326</f>
        <v>-1540.3655159344257</v>
      </c>
      <c r="K3993" t="s">
        <v>80489</v>
      </c>
      <c r="L3993" t="s">
        <v>80490</v>
      </c>
      <c r="M3993" t="s">
        <v>80491</v>
      </c>
      <c r="N3993">
        <f>-760.954485129799 -80.7743372622592 -756.638266668924</f>
        <v>-1598.3670890609822</v>
      </c>
      <c r="O3993">
        <f>-808.979352824042 -201.728577588888 -688.16786554383</f>
        <v>-1698.8757959567602</v>
      </c>
      <c r="P3993">
        <f>-752.653617688533 -156.213835304954 -380.041344394263</f>
        <v>-1288.9087973877499</v>
      </c>
      <c r="Q3993">
        <f>-510.51500124813 -61.767630920531 -389.570945981174</f>
        <v>-961.8535781498349</v>
      </c>
      <c r="R3993" t="s">
        <v>80492</v>
      </c>
      <c r="S3993" t="s">
        <v>80493</v>
      </c>
      <c r="T3993" t="s">
        <v>80494</v>
      </c>
      <c r="U3993" t="s">
        <v>80495</v>
      </c>
      <c r="V3993">
        <f>-729.721120261425 -57.9319236180247 -232.602835228143</f>
        <v>-1020.2558791075927</v>
      </c>
      <c r="W3993" t="s">
        <v>80496</v>
      </c>
      <c r="X3993" t="s">
        <v>80497</v>
      </c>
      <c r="Y3993" t="s">
        <v>80498</v>
      </c>
    </row>
    <row r="3994" spans="1:25" x14ac:dyDescent="0.3">
      <c r="A3994">
        <v>199650</v>
      </c>
      <c r="B3994" t="s">
        <v>80499</v>
      </c>
      <c r="C3994" t="s">
        <v>80500</v>
      </c>
      <c r="D3994" t="s">
        <v>80501</v>
      </c>
      <c r="E3994" t="s">
        <v>80502</v>
      </c>
      <c r="F3994" t="s">
        <v>80503</v>
      </c>
      <c r="G3994">
        <f>-753.72102157753 -24.542660167655 -685.476779292131</f>
        <v>-1463.740461037316</v>
      </c>
      <c r="H3994">
        <f>-749.061498503771 -72.0974236738839 -830.103346698823</f>
        <v>-1651.2622688764777</v>
      </c>
      <c r="I3994">
        <f>-712.124092867375 -102.974170891607 -919.90997056841</f>
        <v>-1735.0082343273921</v>
      </c>
      <c r="J3994">
        <f>-741.993361517915 -22.0387965556081 -775.357426126236</f>
        <v>-1539.3895841997592</v>
      </c>
      <c r="K3994" t="s">
        <v>80504</v>
      </c>
      <c r="L3994" t="s">
        <v>80505</v>
      </c>
      <c r="M3994" t="s">
        <v>80506</v>
      </c>
      <c r="N3994">
        <f>-760.252960971537 -80.0729649457137 -756.863539989284</f>
        <v>-1597.1894659065347</v>
      </c>
      <c r="O3994">
        <f>-807.158995692268 -201.512161235106 -688.478430867023</f>
        <v>-1697.1495877943971</v>
      </c>
      <c r="P3994">
        <f>-751.973557657111 -155.452096312491 -380.22653288148</f>
        <v>-1287.652186851082</v>
      </c>
      <c r="Q3994">
        <f>-510.190743988703 -60.2538351270448 -391.199155994727</f>
        <v>-961.64373511047484</v>
      </c>
      <c r="R3994" t="s">
        <v>80507</v>
      </c>
      <c r="S3994" t="s">
        <v>80508</v>
      </c>
      <c r="T3994" t="s">
        <v>80509</v>
      </c>
      <c r="U3994" t="s">
        <v>80510</v>
      </c>
      <c r="V3994">
        <f>-729.589982184126 -57.600083397281 -232.660725498286</f>
        <v>-1019.850791079693</v>
      </c>
      <c r="W3994" t="s">
        <v>80511</v>
      </c>
      <c r="X3994" t="s">
        <v>80512</v>
      </c>
      <c r="Y3994" t="s">
        <v>80513</v>
      </c>
    </row>
    <row r="3995" spans="1:25" x14ac:dyDescent="0.3">
      <c r="A3995">
        <v>199700</v>
      </c>
      <c r="B3995" t="s">
        <v>80514</v>
      </c>
      <c r="C3995" t="s">
        <v>80515</v>
      </c>
      <c r="D3995" t="s">
        <v>80516</v>
      </c>
      <c r="E3995" t="s">
        <v>80517</v>
      </c>
      <c r="F3995" t="s">
        <v>80518</v>
      </c>
      <c r="G3995">
        <f>-753.782310333402 -24.37427342519 -685.46213176534</f>
        <v>-1463.6187155239322</v>
      </c>
      <c r="H3995">
        <f>-748.891454882518 -71.8635690167819 -830.102534874307</f>
        <v>-1650.8575587736068</v>
      </c>
      <c r="I3995">
        <f>-711.767295037044 -102.589489793895 -919.883933868919</f>
        <v>-1734.240718699858</v>
      </c>
      <c r="J3995">
        <f>-742.028447645066 -21.797603387254 -775.337407593226</f>
        <v>-1539.1634586255459</v>
      </c>
      <c r="K3995" t="s">
        <v>80519</v>
      </c>
      <c r="L3995" t="s">
        <v>80520</v>
      </c>
      <c r="M3995" t="s">
        <v>80521</v>
      </c>
      <c r="N3995">
        <f>-760.082555011789 -79.9044411314933 -756.869942999213</f>
        <v>-1596.8569391424953</v>
      </c>
      <c r="O3995">
        <f>-806.56298280389 -201.494527428574 -688.481604703235</f>
        <v>-1696.539114935699</v>
      </c>
      <c r="P3995">
        <f>-751.875025332323 -154.466803553665 -380.287140109135</f>
        <v>-1286.6289689951229</v>
      </c>
      <c r="Q3995">
        <f>-509.49111898724 -60.8008102602967 -391.185691343739</f>
        <v>-961.4776205912757</v>
      </c>
      <c r="R3995" t="s">
        <v>80522</v>
      </c>
      <c r="S3995" t="s">
        <v>80523</v>
      </c>
      <c r="T3995" t="s">
        <v>80524</v>
      </c>
      <c r="U3995" t="s">
        <v>80525</v>
      </c>
      <c r="V3995">
        <f>-729.598920795401 -57.5232643832808 -232.656057243551</f>
        <v>-1019.7782424222328</v>
      </c>
      <c r="W3995" t="s">
        <v>80526</v>
      </c>
      <c r="X3995" t="s">
        <v>80527</v>
      </c>
      <c r="Y3995" t="s">
        <v>80528</v>
      </c>
    </row>
    <row r="3996" spans="1:25" x14ac:dyDescent="0.3">
      <c r="A3996">
        <v>199750</v>
      </c>
      <c r="B3996" t="s">
        <v>80529</v>
      </c>
      <c r="C3996" t="s">
        <v>80530</v>
      </c>
      <c r="D3996" t="s">
        <v>80531</v>
      </c>
      <c r="E3996" t="s">
        <v>80532</v>
      </c>
      <c r="F3996" t="s">
        <v>80533</v>
      </c>
      <c r="G3996">
        <f>-753.909344654412 -23.9431859819974 -685.39429706566</f>
        <v>-1463.2468277020694</v>
      </c>
      <c r="H3996">
        <f>-748.640064980597 -71.2201134762313 -830.091105969148</f>
        <v>-1649.9512844259762</v>
      </c>
      <c r="I3996">
        <f>-711.172961464632 -101.771064887589 -919.789670733961</f>
        <v>-1732.733697086182</v>
      </c>
      <c r="J3996">
        <f>-742.067371358981 -21.1950146769734 -775.252890913683</f>
        <v>-1538.5152769496374</v>
      </c>
      <c r="K3996" t="s">
        <v>80534</v>
      </c>
      <c r="L3996" t="s">
        <v>80535</v>
      </c>
      <c r="M3996" t="s">
        <v>80536</v>
      </c>
      <c r="N3996">
        <f>-759.87574334001 -79.4080685053193 -756.88158964949</f>
        <v>-1596.1654014948194</v>
      </c>
      <c r="O3996">
        <f>-806.017200595088 -201.202550932799 -688.596262635874</f>
        <v>-1695.8160141637609</v>
      </c>
      <c r="P3996">
        <f>-751.774048892839 -153.744028532435 -380.389319117397</f>
        <v>-1285.907396542671</v>
      </c>
      <c r="Q3996">
        <f>-508.126449684708 -63.5991532314742 -392.710409844497</f>
        <v>-964.4360127606792</v>
      </c>
      <c r="R3996" t="s">
        <v>80537</v>
      </c>
      <c r="S3996" t="s">
        <v>80538</v>
      </c>
      <c r="T3996" t="s">
        <v>80539</v>
      </c>
      <c r="U3996" t="s">
        <v>80540</v>
      </c>
      <c r="V3996">
        <f>-729.667101745154 -57.4542122715116 -232.605999358346</f>
        <v>-1019.7273133750116</v>
      </c>
      <c r="W3996" t="s">
        <v>80541</v>
      </c>
      <c r="X3996" t="s">
        <v>80542</v>
      </c>
      <c r="Y3996" t="s">
        <v>80543</v>
      </c>
    </row>
    <row r="3997" spans="1:25" x14ac:dyDescent="0.3">
      <c r="A3997">
        <v>199800</v>
      </c>
      <c r="B3997" t="s">
        <v>80544</v>
      </c>
      <c r="C3997" t="s">
        <v>80545</v>
      </c>
      <c r="D3997" t="s">
        <v>80546</v>
      </c>
      <c r="E3997" t="s">
        <v>80547</v>
      </c>
      <c r="F3997" t="s">
        <v>80548</v>
      </c>
      <c r="G3997">
        <f>-753.915162045955 -23.6713431081484 -685.359066300654</f>
        <v>-1462.9455714547576</v>
      </c>
      <c r="H3997">
        <f>-748.399950063763 -70.7878322498786 -830.099052813598</f>
        <v>-1649.2868351272396</v>
      </c>
      <c r="I3997">
        <f>-710.748885165407 -101.297904118312 -919.734422895046</f>
        <v>-1731.7812121787651</v>
      </c>
      <c r="J3997">
        <f>-741.959329590692 -20.8132179565996 -775.19927574832</f>
        <v>-1537.9718232956116</v>
      </c>
      <c r="K3997" t="s">
        <v>80549</v>
      </c>
      <c r="L3997" t="s">
        <v>80550</v>
      </c>
      <c r="M3997" t="s">
        <v>80551</v>
      </c>
      <c r="N3997">
        <f>-759.721206122364 -79.0672901717119 -756.912902800728</f>
        <v>-1595.7013990948039</v>
      </c>
      <c r="O3997">
        <f>-805.871015410098 -200.932207408086 -688.764850998507</f>
        <v>-1695.5680738166911</v>
      </c>
      <c r="P3997">
        <f>-751.990709761386 -153.545252374336 -380.483368492053</f>
        <v>-1286.0193306277749</v>
      </c>
      <c r="Q3997">
        <f>-507.965239874179 -64.604574312433 -394.019363203528</f>
        <v>-966.58917739013998</v>
      </c>
      <c r="R3997" t="s">
        <v>80552</v>
      </c>
      <c r="S3997" t="s">
        <v>80553</v>
      </c>
      <c r="T3997" t="s">
        <v>80554</v>
      </c>
      <c r="U3997" t="s">
        <v>80555</v>
      </c>
      <c r="V3997">
        <f>-729.742971068702 -57.4911654294651 -232.565303115703</f>
        <v>-1019.7994396138702</v>
      </c>
      <c r="W3997" t="s">
        <v>80556</v>
      </c>
      <c r="X3997" t="s">
        <v>80557</v>
      </c>
      <c r="Y3997" t="s">
        <v>80558</v>
      </c>
    </row>
    <row r="3998" spans="1:25" x14ac:dyDescent="0.3">
      <c r="A3998">
        <v>199850</v>
      </c>
      <c r="B3998" t="s">
        <v>80559</v>
      </c>
      <c r="C3998" t="s">
        <v>80560</v>
      </c>
      <c r="D3998" t="s">
        <v>80561</v>
      </c>
      <c r="E3998" t="s">
        <v>80562</v>
      </c>
      <c r="F3998" t="s">
        <v>80563</v>
      </c>
      <c r="G3998">
        <f>-753.955825447987 -22.9534356397573 -685.395819741561</f>
        <v>-1462.3050808293053</v>
      </c>
      <c r="H3998">
        <f>-747.923984177077 -69.5840770989919 -830.272261146754</f>
        <v>-1647.7803224228228</v>
      </c>
      <c r="I3998">
        <f>-709.965450487619 -99.9033947237797 -919.842758660357</f>
        <v>-1729.7116038717559</v>
      </c>
      <c r="J3998">
        <f>-741.755125986081 -19.773923370507 -775.192195906583</f>
        <v>-1536.7212452631711</v>
      </c>
      <c r="K3998" t="s">
        <v>80564</v>
      </c>
      <c r="L3998" t="s">
        <v>80565</v>
      </c>
      <c r="M3998" t="s">
        <v>80566</v>
      </c>
      <c r="N3998">
        <f>-759.430610199705 -78.1289652050482 -757.145607538758</f>
        <v>-1594.7051829435113</v>
      </c>
      <c r="O3998">
        <f>-805.682155780912 -200.167482370384 -689.37267861314</f>
        <v>-1695.2223167644361</v>
      </c>
      <c r="P3998">
        <f>-753.033313647965 -153.014238726635 -380.842449751294</f>
        <v>-1286.8900021258939</v>
      </c>
      <c r="Q3998">
        <f>-508.834213558027 -64.8695618029719 -396.315457228694</f>
        <v>-970.01923258969282</v>
      </c>
      <c r="R3998" t="s">
        <v>80567</v>
      </c>
      <c r="S3998" t="s">
        <v>80568</v>
      </c>
      <c r="T3998" t="s">
        <v>80569</v>
      </c>
      <c r="U3998" t="s">
        <v>80570</v>
      </c>
      <c r="V3998">
        <f>-730.055198931454 -57.6478270802804 -232.504995071484</f>
        <v>-1020.2080210832185</v>
      </c>
      <c r="W3998" t="s">
        <v>80571</v>
      </c>
      <c r="X3998" t="s">
        <v>80572</v>
      </c>
      <c r="Y3998" t="s">
        <v>80573</v>
      </c>
    </row>
    <row r="3999" spans="1:25" x14ac:dyDescent="0.3">
      <c r="A3999">
        <v>199900</v>
      </c>
      <c r="B3999" t="s">
        <v>80574</v>
      </c>
      <c r="C3999" t="s">
        <v>80575</v>
      </c>
      <c r="D3999" t="s">
        <v>80576</v>
      </c>
      <c r="E3999" t="s">
        <v>80577</v>
      </c>
      <c r="F3999" t="s">
        <v>80578</v>
      </c>
      <c r="G3999">
        <f>-754.032601500796 -22.6310435300722 -685.431674769508</f>
        <v>-1462.0953198003763</v>
      </c>
      <c r="H3999">
        <f>-747.743974251122 -68.9927922238669 -830.383521946774</f>
        <v>-1647.1202884217628</v>
      </c>
      <c r="I3999">
        <f>-709.651770930663 -99.1884798462172 -919.938982594142</f>
        <v>-1728.7792333710222</v>
      </c>
      <c r="J3999">
        <f>-741.689936409481 -19.2804482489 -775.202366448956</f>
        <v>-1536.172751107337</v>
      </c>
      <c r="K3999" t="s">
        <v>80579</v>
      </c>
      <c r="L3999" t="s">
        <v>80580</v>
      </c>
      <c r="M3999" t="s">
        <v>80581</v>
      </c>
      <c r="N3999">
        <f>-759.362971687896 -77.6777534349717 -757.291186084724</f>
        <v>-1594.3319112075917</v>
      </c>
      <c r="O3999">
        <f>-805.709216357221 -199.782797367697 -689.728729456295</f>
        <v>-1695.220743181213</v>
      </c>
      <c r="P3999">
        <f>-753.562898832575 -152.864036525583 -381.077471969423</f>
        <v>-1287.504407327581</v>
      </c>
      <c r="Q3999">
        <f>-509.241995828883 -64.9591741998654 -395.980127844273</f>
        <v>-970.18129787302132</v>
      </c>
      <c r="R3999" t="s">
        <v>80582</v>
      </c>
      <c r="S3999" t="s">
        <v>80583</v>
      </c>
      <c r="T3999" t="s">
        <v>80584</v>
      </c>
      <c r="U3999" t="s">
        <v>80585</v>
      </c>
      <c r="V3999">
        <f>-730.329601842043 -57.7997741356323 -232.473981122763</f>
        <v>-1020.6033571004383</v>
      </c>
      <c r="W3999" t="s">
        <v>80586</v>
      </c>
      <c r="X3999" t="s">
        <v>80587</v>
      </c>
      <c r="Y3999" t="s">
        <v>80588</v>
      </c>
    </row>
    <row r="4000" spans="1:25" x14ac:dyDescent="0.3">
      <c r="A4000">
        <v>199950</v>
      </c>
      <c r="B4000" t="s">
        <v>80589</v>
      </c>
      <c r="C4000" t="s">
        <v>80590</v>
      </c>
      <c r="D4000" t="s">
        <v>80591</v>
      </c>
      <c r="E4000" t="s">
        <v>80592</v>
      </c>
      <c r="F4000" t="s">
        <v>80593</v>
      </c>
      <c r="G4000">
        <f>-753.938163905539 -21.919141014112 -685.44062437287</f>
        <v>-1461.2979292925211</v>
      </c>
      <c r="H4000">
        <f>-747.001056074377 -67.7167911802867 -830.542286074027</f>
        <v>-1645.2601333286907</v>
      </c>
      <c r="I4000">
        <f>-708.634955085413 -97.6175357425259 -920.079818146465</f>
        <v>-1726.332308974404</v>
      </c>
      <c r="J4000">
        <f>-741.256236390174 -18.2032949962511 -775.149859378628</f>
        <v>-1534.6093907650529</v>
      </c>
      <c r="K4000" t="s">
        <v>80594</v>
      </c>
      <c r="L4000" t="s">
        <v>80595</v>
      </c>
      <c r="M4000" t="s">
        <v>80596</v>
      </c>
      <c r="N4000">
        <f>-758.884865647229 -76.7022987924261 -757.528783504008</f>
        <v>-1593.1159479436631</v>
      </c>
      <c r="O4000">
        <f>-805.481738326729 -198.96449092667 -690.424985707429</f>
        <v>-1694.871214960828</v>
      </c>
      <c r="P4000">
        <f>-754.786667434369 -152.806013194742 -381.41757651693</f>
        <v>-1289.0102571460411</v>
      </c>
      <c r="Q4000">
        <f>-510.342246346319 -64.9146356487222 -394.224780372529</f>
        <v>-969.48166236757015</v>
      </c>
      <c r="R4000" t="s">
        <v>80597</v>
      </c>
      <c r="S4000" t="s">
        <v>80598</v>
      </c>
      <c r="T4000" t="s">
        <v>80599</v>
      </c>
      <c r="U4000" t="s">
        <v>80600</v>
      </c>
      <c r="V4000">
        <f>-731.071485227936 -58.1813137016281 -232.39426971402</f>
        <v>-1021.6470686435841</v>
      </c>
      <c r="W4000" t="s">
        <v>80601</v>
      </c>
      <c r="X4000" t="s">
        <v>80602</v>
      </c>
      <c r="Y4000" t="s">
        <v>80603</v>
      </c>
    </row>
    <row r="4001" spans="1:25" x14ac:dyDescent="0.3">
      <c r="A4001">
        <v>200000</v>
      </c>
      <c r="B4001" t="s">
        <v>80604</v>
      </c>
      <c r="C4001" t="s">
        <v>80605</v>
      </c>
      <c r="D4001" t="s">
        <v>80606</v>
      </c>
      <c r="E4001" t="s">
        <v>80607</v>
      </c>
      <c r="F4001" t="s">
        <v>80608</v>
      </c>
      <c r="G4001">
        <f>-753.887315708142 -21.6314560255239 -685.456144123905</f>
        <v>-1460.974915857571</v>
      </c>
      <c r="H4001">
        <f>-746.678301408476 -67.1417344040201 -830.634924145178</f>
        <v>-1644.4549599576742</v>
      </c>
      <c r="I4001">
        <f>-708.188915915917 -96.8943802439978 -920.168772290185</f>
        <v>-1725.2520684500998</v>
      </c>
      <c r="J4001">
        <f>-741.045147467056 -17.7359721603784 -775.134799549187</f>
        <v>-1533.9159191766216</v>
      </c>
      <c r="K4001" t="s">
        <v>80609</v>
      </c>
      <c r="L4001" t="s">
        <v>80610</v>
      </c>
      <c r="M4001" t="s">
        <v>80611</v>
      </c>
      <c r="N4001">
        <f>-758.691050064374 -76.2737999311473 -757.660744611643</f>
        <v>-1592.6255946071644</v>
      </c>
      <c r="O4001">
        <f>-805.468067204851 -198.655780851755 -690.895088847405</f>
        <v>-1695.0189369040108</v>
      </c>
      <c r="P4001">
        <f>-755.61699150713 -152.892042503427 -381.691671305576</f>
        <v>-1290.2007053161331</v>
      </c>
      <c r="Q4001">
        <f>-511.008538013915 -65.2312409448039 -392.842568019716</f>
        <v>-969.08234697843477</v>
      </c>
      <c r="R4001" t="s">
        <v>80612</v>
      </c>
      <c r="S4001" t="s">
        <v>80613</v>
      </c>
      <c r="T4001" t="s">
        <v>80614</v>
      </c>
      <c r="U4001" t="s">
        <v>80615</v>
      </c>
      <c r="V4001">
        <f>-731.406552271039 -58.418440254846 -232.355513337075</f>
        <v>-1022.18050586296</v>
      </c>
      <c r="W4001" t="s">
        <v>80616</v>
      </c>
      <c r="X4001" t="s">
        <v>80617</v>
      </c>
      <c r="Y4001" t="s">
        <v>80618</v>
      </c>
    </row>
    <row r="4002" spans="1:25" x14ac:dyDescent="0.3">
      <c r="A4002">
        <v>200050</v>
      </c>
      <c r="B4002" t="s">
        <v>80619</v>
      </c>
      <c r="C4002" t="s">
        <v>80620</v>
      </c>
      <c r="D4002" t="s">
        <v>80621</v>
      </c>
      <c r="E4002" t="s">
        <v>80622</v>
      </c>
      <c r="F4002" t="s">
        <v>80623</v>
      </c>
      <c r="G4002">
        <f>-753.169244543887 -21.543571575799 -685.560721437127</f>
        <v>-1460.2735375568129</v>
      </c>
      <c r="H4002">
        <f>-745.755293537104 -66.6454624153746 -830.856454102544</f>
        <v>-1643.2572100550226</v>
      </c>
      <c r="I4002">
        <f>-707.117421740139 -96.1847028286361 -920.397157170727</f>
        <v>-1723.6992817395021</v>
      </c>
      <c r="J4002">
        <f>-740.121842978431 -17.4166960015627 -775.199292563738</f>
        <v>-1532.7378315437318</v>
      </c>
      <c r="K4002" t="s">
        <v>80624</v>
      </c>
      <c r="L4002" t="s">
        <v>80625</v>
      </c>
      <c r="M4002" t="s">
        <v>80626</v>
      </c>
      <c r="N4002">
        <f>-757.949645979629 -75.9618733362083 -757.935695894427</f>
        <v>-1591.8472152102645</v>
      </c>
      <c r="O4002">
        <f>-805.343793715222 -198.394166061027 -691.704638282503</f>
        <v>-1695.4425980587521</v>
      </c>
      <c r="P4002">
        <f>-755.915363102794 -154.139772672238 -382.213674215624</f>
        <v>-1292.2688099906559</v>
      </c>
      <c r="Q4002">
        <f>-510.976315391149 -67.1196522937905 -390.839884961226</f>
        <v>-968.93585264616559</v>
      </c>
      <c r="R4002" t="s">
        <v>80627</v>
      </c>
      <c r="S4002" t="s">
        <v>80628</v>
      </c>
      <c r="T4002" t="s">
        <v>80629</v>
      </c>
      <c r="U4002" t="s">
        <v>80630</v>
      </c>
      <c r="V4002">
        <f>-731.779731478642 -59.0728224608865 -232.307071813014</f>
        <v>-1023.1596257525425</v>
      </c>
      <c r="W4002" t="s">
        <v>80631</v>
      </c>
      <c r="X4002" t="s">
        <v>80632</v>
      </c>
      <c r="Y4002" t="s">
        <v>80633</v>
      </c>
    </row>
    <row r="4003" spans="1:25" x14ac:dyDescent="0.3">
      <c r="A4003">
        <v>200100</v>
      </c>
      <c r="B4003" t="s">
        <v>80634</v>
      </c>
      <c r="C4003" t="s">
        <v>80635</v>
      </c>
      <c r="D4003" t="s">
        <v>80636</v>
      </c>
      <c r="E4003" t="s">
        <v>80637</v>
      </c>
      <c r="F4003" t="s">
        <v>80638</v>
      </c>
      <c r="G4003">
        <f>-752.744815047282 -21.6510421963972 -685.606406098347</f>
        <v>-1460.0022633420263</v>
      </c>
      <c r="H4003">
        <f>-745.277203468825 -66.6308843391705 -830.937172021346</f>
        <v>-1642.8452598293416</v>
      </c>
      <c r="I4003">
        <f>-706.606458305109 -96.1151746202629 -920.481831394305</f>
        <v>-1723.2034643196769</v>
      </c>
      <c r="J4003">
        <f>-739.623793350757 -17.459650429739 -775.231286228198</f>
        <v>-1532.3147300086939</v>
      </c>
      <c r="K4003" t="s">
        <v>80639</v>
      </c>
      <c r="L4003" t="s">
        <v>80640</v>
      </c>
      <c r="M4003" t="s">
        <v>80641</v>
      </c>
      <c r="N4003">
        <f>-757.538931832034 -75.997679183864 -758.034455613958</f>
        <v>-1591.571066629856</v>
      </c>
      <c r="O4003">
        <f>-805.155127742588 -198.443748791185 -691.95768152456</f>
        <v>-1695.5565580583329</v>
      </c>
      <c r="P4003">
        <f>-755.782096164093 -154.22085291386 -382.453627355869</f>
        <v>-1292.456576433822</v>
      </c>
      <c r="Q4003">
        <f>-510.447644544205 -68.2139653077331 -389.926525410705</f>
        <v>-968.58813526264316</v>
      </c>
      <c r="R4003" t="s">
        <v>80642</v>
      </c>
      <c r="S4003" t="s">
        <v>80643</v>
      </c>
      <c r="T4003" t="s">
        <v>80644</v>
      </c>
      <c r="U4003" t="s">
        <v>80645</v>
      </c>
      <c r="V4003">
        <f>-731.990475387642 -59.3787172868276 -232.287353084574</f>
        <v>-1023.6565457590436</v>
      </c>
      <c r="W4003" t="s">
        <v>80646</v>
      </c>
      <c r="X4003" t="s">
        <v>80647</v>
      </c>
      <c r="Y4003" t="s">
        <v>80648</v>
      </c>
    </row>
    <row r="4004" spans="1:25" x14ac:dyDescent="0.3">
      <c r="A4004">
        <v>200150</v>
      </c>
      <c r="B4004" t="s">
        <v>80649</v>
      </c>
      <c r="C4004" t="s">
        <v>80650</v>
      </c>
      <c r="D4004" t="s">
        <v>80651</v>
      </c>
      <c r="E4004" t="s">
        <v>80652</v>
      </c>
      <c r="F4004" t="s">
        <v>80653</v>
      </c>
      <c r="G4004">
        <f>-751.955155586581 -22.0374566040016 -685.687977550495</f>
        <v>-1459.6805897410777</v>
      </c>
      <c r="H4004">
        <f>-744.241368921135 -66.8125506233046 -831.069120323446</f>
        <v>-1642.1230398678854</v>
      </c>
      <c r="I4004">
        <f>-705.468609272347 -96.2014826140019 -920.600856343134</f>
        <v>-1722.2709482294827</v>
      </c>
      <c r="J4004">
        <f>-738.655361880227 -17.7270521356852 -775.280834729522</f>
        <v>-1531.6632487454342</v>
      </c>
      <c r="K4004" t="s">
        <v>80654</v>
      </c>
      <c r="L4004" t="s">
        <v>80655</v>
      </c>
      <c r="M4004" t="s">
        <v>80656</v>
      </c>
      <c r="N4004">
        <f>-756.653581901989 -76.2748501258884 -758.204021159934</f>
        <v>-1591.1324531878113</v>
      </c>
      <c r="O4004">
        <f>-804.575794964218 -198.690271330255 -692.295442397618</f>
        <v>-1695.5615086920909</v>
      </c>
      <c r="P4004">
        <f>-755.29247037966 -154.843801275807 -382.723349650951</f>
        <v>-1292.8596213064179</v>
      </c>
      <c r="Q4004">
        <f>-509.31772344206 -70.5783427127617 -388.868770685827</f>
        <v>-968.76483684064874</v>
      </c>
      <c r="R4004" t="s">
        <v>80657</v>
      </c>
      <c r="S4004" t="s">
        <v>80658</v>
      </c>
      <c r="T4004" t="s">
        <v>80659</v>
      </c>
      <c r="U4004" t="s">
        <v>80660</v>
      </c>
      <c r="V4004">
        <f>-732.210485639064 -60.0704054554176 -232.254960152742</f>
        <v>-1024.5358512472235</v>
      </c>
      <c r="W4004" t="s">
        <v>80661</v>
      </c>
      <c r="X4004" t="s">
        <v>80662</v>
      </c>
      <c r="Y4004" t="s">
        <v>80663</v>
      </c>
    </row>
    <row r="4005" spans="1:25" x14ac:dyDescent="0.3">
      <c r="A4005">
        <v>200200</v>
      </c>
      <c r="B4005" t="s">
        <v>80664</v>
      </c>
      <c r="C4005" t="s">
        <v>80665</v>
      </c>
      <c r="D4005" t="s">
        <v>80666</v>
      </c>
      <c r="E4005" t="s">
        <v>80667</v>
      </c>
      <c r="F4005" t="s">
        <v>80668</v>
      </c>
      <c r="G4005">
        <f>-751.377806058883 -22.2081936847994 -685.75077888909</f>
        <v>-1459.3367786327726</v>
      </c>
      <c r="H4005">
        <f>-743.588855195863 -66.8230830840932 -831.177312642158</f>
        <v>-1641.5892509221142</v>
      </c>
      <c r="I4005">
        <f>-704.754833145986 -96.1506198747811 -920.702669259233</f>
        <v>-1721.6081222800001</v>
      </c>
      <c r="J4005">
        <f>-738.024262429361 -17.801122871223 -775.331013062472</f>
        <v>-1531.156398363056</v>
      </c>
      <c r="K4005" t="s">
        <v>80669</v>
      </c>
      <c r="L4005" t="s">
        <v>80670</v>
      </c>
      <c r="M4005" t="s">
        <v>80671</v>
      </c>
      <c r="N4005">
        <f>-756.046242754484 -76.3637044534103 -758.330104660187</f>
        <v>-1590.7400518680811</v>
      </c>
      <c r="O4005">
        <f>-804.086868455403 -198.799271626583 -692.543353958733</f>
        <v>-1695.429494040719</v>
      </c>
      <c r="P4005">
        <f>-754.834852796578 -155.021695207252 -382.9565116014</f>
        <v>-1292.8130596052301</v>
      </c>
      <c r="Q4005">
        <f>-508.618584336722 -71.3999762133387 -388.156305593196</f>
        <v>-968.17486614325662</v>
      </c>
      <c r="R4005" t="s">
        <v>80672</v>
      </c>
      <c r="S4005" t="s">
        <v>80673</v>
      </c>
      <c r="T4005" t="s">
        <v>80674</v>
      </c>
      <c r="U4005" t="s">
        <v>80675</v>
      </c>
      <c r="V4005">
        <f>-732.086679811652 -60.4216256774848 -232.240571138569</f>
        <v>-1024.7488766277058</v>
      </c>
      <c r="W4005" t="s">
        <v>80676</v>
      </c>
      <c r="X4005" t="s">
        <v>80677</v>
      </c>
      <c r="Y4005" t="s">
        <v>80678</v>
      </c>
    </row>
    <row r="4006" spans="1:25" x14ac:dyDescent="0.3">
      <c r="A4006">
        <v>200250</v>
      </c>
      <c r="B4006" t="s">
        <v>80679</v>
      </c>
      <c r="C4006" t="s">
        <v>80680</v>
      </c>
      <c r="D4006" t="s">
        <v>80681</v>
      </c>
      <c r="E4006" t="s">
        <v>80682</v>
      </c>
      <c r="F4006" t="s">
        <v>80683</v>
      </c>
      <c r="G4006">
        <f>-750.550630610487 -22.778696501462 -685.785792927224</f>
        <v>-1459.115120039173</v>
      </c>
      <c r="H4006">
        <f>-742.729339538809 -67.2916240402769 -831.241603884675</f>
        <v>-1641.2625674637609</v>
      </c>
      <c r="I4006">
        <f>-703.78837689341 -96.5829597667296 -920.732360867046</f>
        <v>-1721.1036975271857</v>
      </c>
      <c r="J4006">
        <f>-737.15144100831 -18.3156350323229 -775.356404280084</f>
        <v>-1530.823480320717</v>
      </c>
      <c r="K4006" t="s">
        <v>80684</v>
      </c>
      <c r="L4006" t="s">
        <v>80685</v>
      </c>
      <c r="M4006" t="s">
        <v>80686</v>
      </c>
      <c r="N4006">
        <f>-755.228530926072 -76.8763485963736 -758.407497705573</f>
        <v>-1590.5123772280185</v>
      </c>
      <c r="O4006">
        <f>-803.473851409767 -199.328795692343 -692.808916601512</f>
        <v>-1695.6115637036219</v>
      </c>
      <c r="P4006">
        <f>-754.89657433439 -155.8052805425 -383.079766162182</f>
        <v>-1293.781621039072</v>
      </c>
      <c r="Q4006">
        <f>-508.872175436891 -71.6223473637845 -388.306716123485</f>
        <v>-968.80123892416043</v>
      </c>
      <c r="R4006" t="s">
        <v>80687</v>
      </c>
      <c r="S4006" t="s">
        <v>80688</v>
      </c>
      <c r="T4006" t="s">
        <v>80689</v>
      </c>
      <c r="U4006" t="s">
        <v>80690</v>
      </c>
      <c r="V4006">
        <f>-731.681981442558 -61.0605522580966 -232.201727260657</f>
        <v>-1024.9442609613116</v>
      </c>
      <c r="W4006" t="s">
        <v>80691</v>
      </c>
      <c r="X4006" t="s">
        <v>80692</v>
      </c>
      <c r="Y4006" t="s">
        <v>80693</v>
      </c>
    </row>
    <row r="4007" spans="1:25" x14ac:dyDescent="0.3">
      <c r="A4007">
        <v>200300</v>
      </c>
      <c r="B4007" t="s">
        <v>80694</v>
      </c>
      <c r="C4007" t="s">
        <v>80695</v>
      </c>
      <c r="D4007" t="s">
        <v>80696</v>
      </c>
      <c r="E4007" t="s">
        <v>80697</v>
      </c>
      <c r="F4007" t="s">
        <v>80698</v>
      </c>
      <c r="G4007">
        <f>-750.046031292957 -22.9566362073572 -685.801280238174</f>
        <v>-1458.8039477384882</v>
      </c>
      <c r="H4007">
        <f>-742.207867585447 -67.3605915547739 -831.289786678245</f>
        <v>-1640.858245818466</v>
      </c>
      <c r="I4007">
        <f>-703.227229041653 -96.5914383115585 -920.783040160568</f>
        <v>-1720.6017075137795</v>
      </c>
      <c r="J4007">
        <f>-736.632765757153 -18.4275192883495 -775.366665128766</f>
        <v>-1530.4269501742685</v>
      </c>
      <c r="K4007" t="s">
        <v>80699</v>
      </c>
      <c r="L4007" t="s">
        <v>80700</v>
      </c>
      <c r="M4007" t="s">
        <v>80701</v>
      </c>
      <c r="N4007">
        <f>-754.71920703035 -76.9988566281106 -758.464700915742</f>
        <v>-1590.1827645742028</v>
      </c>
      <c r="O4007">
        <f>-803.042289194631 -199.477675481003 -692.963436108019</f>
        <v>-1695.483400783653</v>
      </c>
      <c r="P4007">
        <f>-754.48735435632 -156.027253981914 -383.220479931656</f>
        <v>-1293.73508826989</v>
      </c>
      <c r="Q4007">
        <f>-508.435780100373 -71.8925387012157 -387.913515059829</f>
        <v>-968.24183386141772</v>
      </c>
      <c r="R4007" t="s">
        <v>80702</v>
      </c>
      <c r="S4007" t="s">
        <v>80703</v>
      </c>
      <c r="T4007" t="s">
        <v>80704</v>
      </c>
      <c r="U4007" t="s">
        <v>80705</v>
      </c>
      <c r="V4007">
        <f>-731.452497418856 -61.3318942028341 -232.174409373413</f>
        <v>-1024.958800995103</v>
      </c>
      <c r="W4007" t="s">
        <v>80706</v>
      </c>
      <c r="X4007" t="s">
        <v>80707</v>
      </c>
      <c r="Y4007" t="s">
        <v>80708</v>
      </c>
    </row>
    <row r="4008" spans="1:25" x14ac:dyDescent="0.3">
      <c r="A4008">
        <v>200350</v>
      </c>
      <c r="B4008" t="s">
        <v>80709</v>
      </c>
      <c r="C4008" t="s">
        <v>80710</v>
      </c>
      <c r="D4008" t="s">
        <v>80711</v>
      </c>
      <c r="E4008" t="s">
        <v>80712</v>
      </c>
      <c r="F4008" t="s">
        <v>80713</v>
      </c>
      <c r="G4008">
        <f>-749.443205934526 -23.6216000080851 -685.76737978962</f>
        <v>-1458.8321857322312</v>
      </c>
      <c r="H4008">
        <f>-741.669701470737 -68.0524619493872 -831.25101512759</f>
        <v>-1640.9731785477143</v>
      </c>
      <c r="I4008">
        <f>-702.64836995336 -97.2754250994917 -920.729144160729</f>
        <v>-1720.6529392135808</v>
      </c>
      <c r="J4008">
        <f>-736.057189617668 -19.1124863187254 -775.33767762226</f>
        <v>-1530.5073535586534</v>
      </c>
      <c r="K4008" t="s">
        <v>80714</v>
      </c>
      <c r="L4008" t="s">
        <v>80715</v>
      </c>
      <c r="M4008" t="s">
        <v>80716</v>
      </c>
      <c r="N4008">
        <f>-754.161250378274 -77.6738469876295 -758.42031301067</f>
        <v>-1590.2554103765735</v>
      </c>
      <c r="O4008">
        <f>-802.578239489453 -200.101428208652 -692.919216945954</f>
        <v>-1695.5988846440591</v>
      </c>
      <c r="P4008">
        <f>-754.137776033508 -156.283637354277 -383.210186086856</f>
        <v>-1293.631599474641</v>
      </c>
      <c r="Q4008">
        <f>-507.912158608755 -72.6320012228764 -387.382516102036</f>
        <v>-967.92667593366741</v>
      </c>
      <c r="R4008" t="s">
        <v>80717</v>
      </c>
      <c r="S4008" t="s">
        <v>80718</v>
      </c>
      <c r="T4008" t="s">
        <v>80719</v>
      </c>
      <c r="U4008" t="s">
        <v>80720</v>
      </c>
      <c r="V4008">
        <f>-731.109471804928 -61.8422298445564 -232.108936743158</f>
        <v>-1025.0606383926424</v>
      </c>
      <c r="W4008" t="s">
        <v>80721</v>
      </c>
      <c r="X4008" t="s">
        <v>80722</v>
      </c>
      <c r="Y4008" t="s">
        <v>80723</v>
      </c>
    </row>
    <row r="4009" spans="1:25" x14ac:dyDescent="0.3">
      <c r="A4009">
        <v>200400</v>
      </c>
      <c r="B4009" t="s">
        <v>80724</v>
      </c>
      <c r="C4009" t="s">
        <v>80725</v>
      </c>
      <c r="D4009" t="s">
        <v>80726</v>
      </c>
      <c r="E4009" t="s">
        <v>80727</v>
      </c>
      <c r="F4009" t="s">
        <v>80728</v>
      </c>
      <c r="G4009">
        <f>-749.220455588894 -23.9418254820887 -685.744131408333</f>
        <v>-1458.9064124793158</v>
      </c>
      <c r="H4009">
        <f>-741.463540051197 -68.4101577229781 -831.217108768509</f>
        <v>-1641.090806542684</v>
      </c>
      <c r="I4009">
        <f>-702.443897627471 -97.6557155805658 -920.688640317085</f>
        <v>-1720.7882535251217</v>
      </c>
      <c r="J4009">
        <f>-735.83332215439 -19.4588608334807 -775.315540456285</f>
        <v>-1530.6077234441557</v>
      </c>
      <c r="K4009" t="s">
        <v>80729</v>
      </c>
      <c r="L4009" t="s">
        <v>80730</v>
      </c>
      <c r="M4009" t="s">
        <v>80731</v>
      </c>
      <c r="N4009">
        <f>-753.95815935191 -78.0097498889268 -758.384143391036</f>
        <v>-1590.3520526318728</v>
      </c>
      <c r="O4009">
        <f>-802.459942759348 -200.375086347899 -692.823934428377</f>
        <v>-1695.658963535624</v>
      </c>
      <c r="P4009">
        <f>-753.76880136964 -156.508775010916 -383.161135173851</f>
        <v>-1293.4387115544068</v>
      </c>
      <c r="Q4009">
        <f>-507.328697079635 -73.4417992396707 -386.206163633875</f>
        <v>-966.97665995318073</v>
      </c>
      <c r="R4009" t="s">
        <v>80732</v>
      </c>
      <c r="S4009" t="s">
        <v>80733</v>
      </c>
      <c r="T4009" t="s">
        <v>80734</v>
      </c>
      <c r="U4009" t="s">
        <v>80735</v>
      </c>
      <c r="V4009">
        <f>-731.076503748503 -62.0605023478599 -232.072993114097</f>
        <v>-1025.20999921046</v>
      </c>
      <c r="W4009" t="s">
        <v>80736</v>
      </c>
      <c r="X4009" t="s">
        <v>80737</v>
      </c>
      <c r="Y4009" t="s">
        <v>80738</v>
      </c>
    </row>
    <row r="4010" spans="1:25" x14ac:dyDescent="0.3">
      <c r="A4010">
        <v>200450</v>
      </c>
      <c r="B4010" t="s">
        <v>80739</v>
      </c>
      <c r="C4010" t="s">
        <v>80740</v>
      </c>
      <c r="D4010" t="s">
        <v>80741</v>
      </c>
      <c r="E4010" t="s">
        <v>80742</v>
      </c>
      <c r="F4010" t="s">
        <v>80743</v>
      </c>
      <c r="G4010">
        <f>-748.874368523661 -24.9456737484038 -685.591332245789</f>
        <v>-1459.4113745178538</v>
      </c>
      <c r="H4010">
        <f>-741.138604763694 -69.7102694604191 -830.974598870167</f>
        <v>-1641.8234730942802</v>
      </c>
      <c r="I4010">
        <f>-702.132257254739 -99.1384377526438 -920.391846749684</f>
        <v>-1721.6625417570667</v>
      </c>
      <c r="J4010">
        <f>-735.497730966381 -20.645880609974 -775.173297747137</f>
        <v>-1531.3169093234919</v>
      </c>
      <c r="K4010" t="s">
        <v>80744</v>
      </c>
      <c r="L4010" t="s">
        <v>80745</v>
      </c>
      <c r="M4010" t="s">
        <v>80746</v>
      </c>
      <c r="N4010">
        <f>-753.625203555203 -79.1608334481573 -758.120504718188</f>
        <v>-1590.9065417215484</v>
      </c>
      <c r="O4010">
        <f>-802.261725719254 -201.364880123248 -692.358781444721</f>
        <v>-1695.9853872872229</v>
      </c>
      <c r="P4010">
        <f>-753.565299775049 -156.872071665877 -382.786113710583</f>
        <v>-1293.2234851515091</v>
      </c>
      <c r="Q4010">
        <f>-506.841848998628 -74.6570687222247 -385.988365737567</f>
        <v>-967.4872834584196</v>
      </c>
      <c r="R4010" t="s">
        <v>80747</v>
      </c>
      <c r="S4010" t="s">
        <v>80748</v>
      </c>
      <c r="T4010" t="s">
        <v>80749</v>
      </c>
      <c r="U4010" t="s">
        <v>80750</v>
      </c>
      <c r="V4010">
        <f>-730.966119767399 -62.5365717221453 -231.98910943828</f>
        <v>-1025.4918009278242</v>
      </c>
      <c r="W4010" t="s">
        <v>80751</v>
      </c>
      <c r="X4010" t="s">
        <v>80752</v>
      </c>
      <c r="Y4010" t="s">
        <v>80753</v>
      </c>
    </row>
    <row r="4011" spans="1:25" x14ac:dyDescent="0.3">
      <c r="A4011">
        <v>200500</v>
      </c>
      <c r="B4011" t="s">
        <v>80754</v>
      </c>
      <c r="C4011" t="s">
        <v>80755</v>
      </c>
      <c r="D4011" t="s">
        <v>80756</v>
      </c>
      <c r="E4011" t="s">
        <v>80757</v>
      </c>
      <c r="F4011" t="s">
        <v>80758</v>
      </c>
      <c r="G4011">
        <f>-748.632801507569 -25.4408186509304 -685.52317396474</f>
        <v>-1459.5967941232393</v>
      </c>
      <c r="H4011">
        <f>-740.941648771994 -70.3588435172228 -830.861305167396</f>
        <v>-1642.1617974566129</v>
      </c>
      <c r="I4011">
        <f>-701.949272812011 -99.8856990535137 -920.252319071659</f>
        <v>-1722.0872909371838</v>
      </c>
      <c r="J4011">
        <f>-735.277715406615 -21.2371060111984 -775.112792809833</f>
        <v>-1531.6276142276465</v>
      </c>
      <c r="K4011" t="s">
        <v>80759</v>
      </c>
      <c r="L4011" t="s">
        <v>80760</v>
      </c>
      <c r="M4011" t="s">
        <v>80761</v>
      </c>
      <c r="N4011">
        <f>-753.411710455448 -79.7308403483235 -757.994556396877</f>
        <v>-1591.1371072006484</v>
      </c>
      <c r="O4011">
        <f>-802.106507373325 -201.850254315634 -692.108971235013</f>
        <v>-1696.0657329239721</v>
      </c>
      <c r="P4011">
        <f>-753.025057725409 -157.198863385354 -382.619972900736</f>
        <v>-1292.8438940114991</v>
      </c>
      <c r="Q4011">
        <f>-506.025181543998 -75.8184892803051 -385.835089748948</f>
        <v>-967.67876057325111</v>
      </c>
      <c r="R4011" t="s">
        <v>80762</v>
      </c>
      <c r="S4011" t="s">
        <v>80763</v>
      </c>
      <c r="T4011" t="s">
        <v>80764</v>
      </c>
      <c r="U4011" t="s">
        <v>80765</v>
      </c>
      <c r="V4011">
        <f>-730.857642184081 -62.7549757196655 -231.945782234152</f>
        <v>-1025.5584001378984</v>
      </c>
      <c r="W4011" t="s">
        <v>80766</v>
      </c>
      <c r="X4011" t="s">
        <v>80767</v>
      </c>
      <c r="Y4011" t="s">
        <v>80768</v>
      </c>
    </row>
    <row r="4012" spans="1:25" x14ac:dyDescent="0.3">
      <c r="A4012">
        <v>200550</v>
      </c>
      <c r="B4012" t="s">
        <v>80769</v>
      </c>
      <c r="C4012" t="s">
        <v>80770</v>
      </c>
      <c r="D4012" t="s">
        <v>80771</v>
      </c>
      <c r="E4012" t="s">
        <v>80772</v>
      </c>
      <c r="F4012" t="s">
        <v>80773</v>
      </c>
      <c r="G4012">
        <f>-747.865967530636 -26.4429198265882 -685.428982428562</f>
        <v>-1459.7378697857862</v>
      </c>
      <c r="H4012">
        <f>-740.253371943466 -71.7614069603526 -830.646950881292</f>
        <v>-1642.6617297851108</v>
      </c>
      <c r="I4012">
        <f>-701.251989249485 -101.564982626288 -919.942209727135</f>
        <v>-1722.759181602908</v>
      </c>
      <c r="J4012">
        <f>-734.539016626131 -22.4916680132055 -775.034425092302</f>
        <v>-1532.0651097316386</v>
      </c>
      <c r="K4012" t="s">
        <v>80774</v>
      </c>
      <c r="L4012" t="s">
        <v>80775</v>
      </c>
      <c r="M4012" t="s">
        <v>80776</v>
      </c>
      <c r="N4012">
        <f>-752.704378922171 -80.9270674848949 -757.750594698902</f>
        <v>-1591.3820411059678</v>
      </c>
      <c r="O4012">
        <f>-801.580093991079 -202.83113297637 -691.609563766883</f>
        <v>-1696.020790734332</v>
      </c>
      <c r="P4012">
        <f>-752.308989277498 -158.111740199326 -382.160619627109</f>
        <v>-1292.581349103933</v>
      </c>
      <c r="Q4012">
        <f>-505.275441359396 -76.9033796312178 -386.823981625218</f>
        <v>-969.0028026158318</v>
      </c>
      <c r="R4012" t="s">
        <v>80777</v>
      </c>
      <c r="S4012" t="s">
        <v>80778</v>
      </c>
      <c r="T4012" t="s">
        <v>80779</v>
      </c>
      <c r="U4012" t="s">
        <v>80780</v>
      </c>
      <c r="V4012">
        <f>-730.168399088881 -62.9673514638578 -231.90835602156</f>
        <v>-1025.0441065742987</v>
      </c>
      <c r="W4012" t="s">
        <v>80781</v>
      </c>
      <c r="X4012" t="s">
        <v>80782</v>
      </c>
      <c r="Y4012" t="s">
        <v>80783</v>
      </c>
    </row>
    <row r="4013" spans="1:25" x14ac:dyDescent="0.3">
      <c r="A4013">
        <v>200600</v>
      </c>
      <c r="B4013" t="s">
        <v>80784</v>
      </c>
      <c r="C4013" t="s">
        <v>80785</v>
      </c>
      <c r="D4013" t="s">
        <v>80786</v>
      </c>
      <c r="E4013" t="s">
        <v>80787</v>
      </c>
      <c r="F4013" t="s">
        <v>80788</v>
      </c>
      <c r="G4013">
        <f>-747.470333598837 -26.893755808022 -685.408586537659</f>
        <v>-1459.7726759445179</v>
      </c>
      <c r="H4013">
        <f>-739.918229457697 -72.3719079989135 -830.579979348275</f>
        <v>-1642.8701168048854</v>
      </c>
      <c r="I4013">
        <f>-700.907650305913 -102.304654327886 -919.827810077282</f>
        <v>-1723.0401147110811</v>
      </c>
      <c r="J4013">
        <f>-734.180641925414 -23.0411793418107 -775.023880497241</f>
        <v>-1532.2457017644656</v>
      </c>
      <c r="K4013" t="s">
        <v>80789</v>
      </c>
      <c r="L4013" t="s">
        <v>80790</v>
      </c>
      <c r="M4013" t="s">
        <v>80791</v>
      </c>
      <c r="N4013">
        <f>-752.338957197308 -81.4572869005503 -757.668313875235</f>
        <v>-1591.4645579730932</v>
      </c>
      <c r="O4013">
        <f>-801.235005199236 -203.299706085823 -691.41896960754</f>
        <v>-1695.9536808925991</v>
      </c>
      <c r="P4013">
        <f>-751.563358475915 -158.333652785586 -382.069582860388</f>
        <v>-1291.9665941218891</v>
      </c>
      <c r="Q4013">
        <f>-504.515947260189 -77.1894334469191 -387.089609880938</f>
        <v>-968.79499058804618</v>
      </c>
      <c r="R4013" t="s">
        <v>80792</v>
      </c>
      <c r="S4013" t="s">
        <v>80793</v>
      </c>
      <c r="T4013" t="s">
        <v>80794</v>
      </c>
      <c r="U4013" t="s">
        <v>80795</v>
      </c>
      <c r="V4013">
        <f>-729.80155121728 -63.0600172824197 -231.895331454734</f>
        <v>-1024.7568999544337</v>
      </c>
      <c r="W4013" t="s">
        <v>80796</v>
      </c>
      <c r="X4013" t="s">
        <v>80797</v>
      </c>
      <c r="Y4013" t="s">
        <v>80798</v>
      </c>
    </row>
    <row r="4014" spans="1:25" x14ac:dyDescent="0.3">
      <c r="A4014">
        <v>200650</v>
      </c>
      <c r="B4014" t="s">
        <v>80799</v>
      </c>
      <c r="C4014" t="s">
        <v>80800</v>
      </c>
      <c r="D4014" t="s">
        <v>80801</v>
      </c>
      <c r="E4014" t="s">
        <v>80802</v>
      </c>
      <c r="F4014">
        <f>-748.909481171234 -0.123348967958009 -579.447494097395</f>
        <v>-1328.480324236587</v>
      </c>
      <c r="G4014">
        <f>-746.696411707402 -27.8430154975972 -685.379466850682</f>
        <v>-1459.9188940556812</v>
      </c>
      <c r="H4014">
        <f>-739.135286503032 -73.7672635904571 -830.409795216745</f>
        <v>-1643.3123453102342</v>
      </c>
      <c r="I4014">
        <f>-700.082215556429 -103.984451081599 -919.543303465487</f>
        <v>-1723.609970103515</v>
      </c>
      <c r="J4014">
        <f>-733.411969059333 -24.2629329128654 -775.006741117979</f>
        <v>-1532.6816430901774</v>
      </c>
      <c r="K4014" t="s">
        <v>80803</v>
      </c>
      <c r="L4014" t="s">
        <v>80804</v>
      </c>
      <c r="M4014" t="s">
        <v>80805</v>
      </c>
      <c r="N4014">
        <f>-751.549617130541 -82.6313454452998 -757.469911442755</f>
        <v>-1591.6508740185959</v>
      </c>
      <c r="O4014">
        <f>-800.456389561776 -204.292143900778 -690.898524686404</f>
        <v>-1695.647058148958</v>
      </c>
      <c r="P4014">
        <f>-750.508003305279 -158.391779550125 -381.731166236972</f>
        <v>-1290.6309490923759</v>
      </c>
      <c r="Q4014">
        <f>-503.46201260409 -77.3029573293809 -387.643302070683</f>
        <v>-968.40827200415379</v>
      </c>
      <c r="R4014" t="s">
        <v>80806</v>
      </c>
      <c r="S4014" t="s">
        <v>80807</v>
      </c>
      <c r="T4014" t="s">
        <v>80808</v>
      </c>
      <c r="U4014" t="s">
        <v>80809</v>
      </c>
      <c r="V4014">
        <f>-729.077810161152 -63.1476710347918 -231.933875765676</f>
        <v>-1024.1593569616198</v>
      </c>
      <c r="W4014" t="s">
        <v>80810</v>
      </c>
      <c r="X4014" t="s">
        <v>80811</v>
      </c>
      <c r="Y4014" t="s">
        <v>80812</v>
      </c>
    </row>
    <row r="4015" spans="1:25" x14ac:dyDescent="0.3">
      <c r="A4015">
        <v>200700</v>
      </c>
      <c r="B4015" t="s">
        <v>80813</v>
      </c>
      <c r="C4015" t="s">
        <v>80814</v>
      </c>
      <c r="D4015" t="s">
        <v>80815</v>
      </c>
      <c r="E4015" t="s">
        <v>80816</v>
      </c>
      <c r="F4015">
        <f>-748.437932697988 -0.398838719638889 -579.522857139589</f>
        <v>-1328.3596285572157</v>
      </c>
      <c r="G4015">
        <f>-746.126706431035 -28.2239275487927 -685.42501867307</f>
        <v>-1459.7756526528979</v>
      </c>
      <c r="H4015">
        <f>-738.412744519416 -74.3054217213387 -830.397346584396</f>
        <v>-1643.1155128251507</v>
      </c>
      <c r="I4015">
        <f>-699.293675256296 -104.611210270579 -919.471740168523</f>
        <v>-1723.3766256953979</v>
      </c>
      <c r="J4015">
        <f>-732.785461359755 -24.7310111707625 -775.047384773222</f>
        <v>-1532.5638573037395</v>
      </c>
      <c r="K4015" t="s">
        <v>80817</v>
      </c>
      <c r="L4015" t="s">
        <v>80818</v>
      </c>
      <c r="M4015" t="s">
        <v>80819</v>
      </c>
      <c r="N4015">
        <f>-750.866485603317 -83.1006587206859 -757.455811467636</f>
        <v>-1591.4229557916387</v>
      </c>
      <c r="O4015">
        <f>-799.719565173035 -204.70126138082 -690.706575726409</f>
        <v>-1695.1274022802641</v>
      </c>
      <c r="P4015">
        <f>-749.667865683717 -158.361448137933 -381.62136575756</f>
        <v>-1289.65067957921</v>
      </c>
      <c r="Q4015">
        <f>-502.688756454163 -77.1037496490296 -387.991878220103</f>
        <v>-967.78438432329563</v>
      </c>
      <c r="R4015" t="s">
        <v>80820</v>
      </c>
      <c r="S4015" t="s">
        <v>80821</v>
      </c>
      <c r="T4015" t="s">
        <v>80822</v>
      </c>
      <c r="U4015" t="s">
        <v>80823</v>
      </c>
      <c r="V4015">
        <f>-728.765183379423 -63.1788417377909 -231.975317151376</f>
        <v>-1023.9193422685898</v>
      </c>
      <c r="W4015" t="s">
        <v>80824</v>
      </c>
      <c r="X4015" t="s">
        <v>80825</v>
      </c>
      <c r="Y4015" t="s">
        <v>80826</v>
      </c>
    </row>
    <row r="4016" spans="1:25" x14ac:dyDescent="0.3">
      <c r="A4016">
        <v>200750</v>
      </c>
      <c r="B4016" t="s">
        <v>80827</v>
      </c>
      <c r="C4016" t="s">
        <v>80828</v>
      </c>
      <c r="D4016" t="s">
        <v>80829</v>
      </c>
      <c r="E4016" t="s">
        <v>80830</v>
      </c>
      <c r="F4016">
        <f>-747.9580613542 -1.03253394139688 -579.592698765549</f>
        <v>-1328.5832940611458</v>
      </c>
      <c r="G4016">
        <f>-745.51139664589 -29.1313940468751 -685.419600797679</f>
        <v>-1460.062391490444</v>
      </c>
      <c r="H4016">
        <f>-737.57308825823 -75.6388806452107 -830.243728574584</f>
        <v>-1643.4556974780248</v>
      </c>
      <c r="I4016">
        <f>-698.317396942042 -106.16931345441 -919.181180017683</f>
        <v>-1723.6678904141349</v>
      </c>
      <c r="J4016">
        <f>-732.087457979517 -25.8868513881121 -775.038915247736</f>
        <v>-1533.0132246153651</v>
      </c>
      <c r="K4016" t="s">
        <v>80831</v>
      </c>
      <c r="L4016" t="s">
        <v>80832</v>
      </c>
      <c r="M4016" t="s">
        <v>80833</v>
      </c>
      <c r="N4016">
        <f>-750.083542080929 -84.2345637853093 -757.288222324174</f>
        <v>-1591.6063281904121</v>
      </c>
      <c r="O4016">
        <f>-798.750510030815 -205.752016341124 -690.289350872893</f>
        <v>-1694.791877244832</v>
      </c>
      <c r="P4016">
        <f>-748.929048669381 -158.747929453746 -381.267171538683</f>
        <v>-1288.9441496618101</v>
      </c>
      <c r="Q4016">
        <f>-502.056499380251 -77.1975714932269 -388.01229135699</f>
        <v>-967.26636223046785</v>
      </c>
      <c r="R4016" t="s">
        <v>80834</v>
      </c>
      <c r="S4016" t="s">
        <v>80835</v>
      </c>
      <c r="T4016" t="s">
        <v>80836</v>
      </c>
      <c r="U4016" t="s">
        <v>80837</v>
      </c>
      <c r="V4016">
        <f>-728.33797936286 -63.3281568191505 -232.033639354242</f>
        <v>-1023.6997755362526</v>
      </c>
      <c r="W4016" t="s">
        <v>80838</v>
      </c>
      <c r="X4016" t="s">
        <v>80839</v>
      </c>
      <c r="Y4016" t="s">
        <v>80840</v>
      </c>
    </row>
    <row r="4017" spans="1:25" x14ac:dyDescent="0.3">
      <c r="A4017">
        <v>200800</v>
      </c>
      <c r="B4017" t="s">
        <v>80841</v>
      </c>
      <c r="C4017" t="s">
        <v>80842</v>
      </c>
      <c r="D4017" t="s">
        <v>80843</v>
      </c>
      <c r="E4017" t="s">
        <v>80844</v>
      </c>
      <c r="F4017">
        <f>-747.617958241008 -1.32348920125764 -579.59686904574</f>
        <v>-1328.5383164880056</v>
      </c>
      <c r="G4017">
        <f>-745.132771766145 -29.5259294122425 -685.395219925384</f>
        <v>-1460.0539211037715</v>
      </c>
      <c r="H4017">
        <f>-737.154203063188 -76.1936220496 -830.165649609053</f>
        <v>-1643.513474721841</v>
      </c>
      <c r="I4017">
        <f>-697.850618625069 -106.819921799892 -919.048918885398</f>
        <v>-1723.7194593103591</v>
      </c>
      <c r="J4017">
        <f>-731.702969669797 -26.3755834441602 -775.017082593228</f>
        <v>-1533.095635707185</v>
      </c>
      <c r="K4017" t="s">
        <v>80845</v>
      </c>
      <c r="L4017" t="s">
        <v>80846</v>
      </c>
      <c r="M4017" t="s">
        <v>80847</v>
      </c>
      <c r="N4017">
        <f>-749.666003942114 -84.7136777231603 -757.201434942793</f>
        <v>-1591.5811166080673</v>
      </c>
      <c r="O4017">
        <f>-798.244707034805 -206.208587143536 -690.087193563261</f>
        <v>-1694.540487741602</v>
      </c>
      <c r="P4017">
        <f>-748.472645939845 -158.792967900406 -381.120007676709</f>
        <v>-1288.3856215169601</v>
      </c>
      <c r="Q4017">
        <f>-501.757693893699 -76.774439596526 -387.959142343243</f>
        <v>-966.49127583346797</v>
      </c>
      <c r="R4017" t="s">
        <v>80848</v>
      </c>
      <c r="S4017" t="s">
        <v>80849</v>
      </c>
      <c r="T4017" t="s">
        <v>80850</v>
      </c>
      <c r="U4017" t="s">
        <v>80851</v>
      </c>
      <c r="V4017">
        <f>-728.070782811302 -63.4294654826667 -232.054186985858</f>
        <v>-1023.5544352798267</v>
      </c>
      <c r="W4017" t="s">
        <v>80852</v>
      </c>
      <c r="X4017" t="s">
        <v>80853</v>
      </c>
      <c r="Y4017" t="s">
        <v>80854</v>
      </c>
    </row>
    <row r="4018" spans="1:25" x14ac:dyDescent="0.3">
      <c r="A4018">
        <v>200850</v>
      </c>
      <c r="B4018" t="s">
        <v>80855</v>
      </c>
      <c r="C4018" t="s">
        <v>80856</v>
      </c>
      <c r="D4018" t="s">
        <v>80857</v>
      </c>
      <c r="E4018" t="s">
        <v>80858</v>
      </c>
      <c r="F4018">
        <f>-747.302365999854 -1.60462937643297 -579.639642615198</f>
        <v>-1328.5466379914851</v>
      </c>
      <c r="G4018">
        <f>-744.781757150255 -29.9069965892015 -685.410400671518</f>
        <v>-1460.0991544109745</v>
      </c>
      <c r="H4018">
        <f>-736.762694107018 -76.7289682436012 -830.128751304952</f>
        <v>-1643.6204136555712</v>
      </c>
      <c r="I4018">
        <f>-697.413833062297 -107.436698897566 -918.963964098163</f>
        <v>-1723.8144960580262</v>
      </c>
      <c r="J4018">
        <f>-731.345605716871 -26.8472523961066 -775.034427571132</f>
        <v>-1533.2272856841096</v>
      </c>
      <c r="K4018" t="s">
        <v>80859</v>
      </c>
      <c r="L4018" t="s">
        <v>80860</v>
      </c>
      <c r="M4018" t="s">
        <v>80861</v>
      </c>
      <c r="N4018">
        <f>-749.27625423853 -85.1762645269982 -757.156354709403</f>
        <v>-1591.6088734749312</v>
      </c>
      <c r="O4018">
        <f>-797.766644092787 -206.62956376535 -689.917802611613</f>
        <v>-1694.31401046975</v>
      </c>
      <c r="P4018">
        <f>-748.071037552351 -158.944648302409 -380.979933009312</f>
        <v>-1287.995618864072</v>
      </c>
      <c r="Q4018">
        <f>-501.539330203731 -76.3848571392473 -387.908716898173</f>
        <v>-965.83290424115137</v>
      </c>
      <c r="R4018" t="s">
        <v>80862</v>
      </c>
      <c r="S4018" t="s">
        <v>80863</v>
      </c>
      <c r="T4018" t="s">
        <v>80864</v>
      </c>
      <c r="U4018" t="s">
        <v>80865</v>
      </c>
      <c r="V4018">
        <f>-727.887561937164 -63.5454585522366 -232.080605407335</f>
        <v>-1023.5136258967357</v>
      </c>
      <c r="W4018" t="s">
        <v>80866</v>
      </c>
      <c r="X4018" t="s">
        <v>80867</v>
      </c>
      <c r="Y4018" t="s">
        <v>80868</v>
      </c>
    </row>
    <row r="4019" spans="1:25" x14ac:dyDescent="0.3">
      <c r="A4019">
        <v>200900</v>
      </c>
      <c r="B4019" t="s">
        <v>80869</v>
      </c>
      <c r="C4019" t="s">
        <v>80870</v>
      </c>
      <c r="D4019" t="s">
        <v>80871</v>
      </c>
      <c r="E4019" t="s">
        <v>80872</v>
      </c>
      <c r="F4019">
        <f>-746.884610837145 -2.06985891713884 -579.786445598349</f>
        <v>-1328.7409153526328</v>
      </c>
      <c r="G4019">
        <f>-744.31574246751 -30.5073638022473 -685.520036235952</f>
        <v>-1460.3431425057092</v>
      </c>
      <c r="H4019">
        <f>-736.237296444904 -77.5348903798013 -830.168244171301</f>
        <v>-1643.9404309960064</v>
      </c>
      <c r="I4019">
        <f>-696.833666074143 -108.35787417036 -918.939389498018</f>
        <v>-1724.1309297425209</v>
      </c>
      <c r="J4019">
        <f>-730.886584740053 -27.5633583531073 -775.148935095402</f>
        <v>-1533.5988781885621</v>
      </c>
      <c r="K4019" t="s">
        <v>80873</v>
      </c>
      <c r="L4019" t="s">
        <v>80874</v>
      </c>
      <c r="M4019" t="s">
        <v>80875</v>
      </c>
      <c r="N4019">
        <f>-748.736928290645 -85.8899627799988 -757.182946464683</f>
        <v>-1591.8098375353268</v>
      </c>
      <c r="O4019">
        <f>-797.061643752448 -207.322531057405 -689.784767515464</f>
        <v>-1694.1689423253169</v>
      </c>
      <c r="P4019">
        <f>-747.520313721218 -159.08952403327 -380.907058588575</f>
        <v>-1287.5168963430631</v>
      </c>
      <c r="Q4019">
        <f>-501.395383374193 -75.3488154816994 -388.120477840718</f>
        <v>-964.86467669661033</v>
      </c>
      <c r="R4019" t="s">
        <v>80876</v>
      </c>
      <c r="S4019" t="s">
        <v>80877</v>
      </c>
      <c r="T4019" t="s">
        <v>80878</v>
      </c>
      <c r="U4019" t="s">
        <v>80879</v>
      </c>
      <c r="V4019">
        <f>-727.623572480611 -63.7770528525396 -232.157973545479</f>
        <v>-1023.5585988786295</v>
      </c>
      <c r="W4019" t="s">
        <v>80880</v>
      </c>
      <c r="X4019" t="s">
        <v>80881</v>
      </c>
      <c r="Y4019" t="s">
        <v>80882</v>
      </c>
    </row>
    <row r="4020" spans="1:25" x14ac:dyDescent="0.3">
      <c r="A4020">
        <v>200950</v>
      </c>
      <c r="B4020" t="s">
        <v>80883</v>
      </c>
      <c r="C4020" t="s">
        <v>80884</v>
      </c>
      <c r="D4020" t="s">
        <v>80885</v>
      </c>
      <c r="E4020" t="s">
        <v>80886</v>
      </c>
      <c r="F4020">
        <f>-746.558885420708 -2.53852500652897 -579.860794404364</f>
        <v>-1328.9582048316011</v>
      </c>
      <c r="G4020">
        <f>-743.891651112586 -31.0738684904936 -685.565377170528</f>
        <v>-1460.5308967736078</v>
      </c>
      <c r="H4020">
        <f>-735.670477202214 -78.2462153061902 -830.15858929511</f>
        <v>-1644.0752818035141</v>
      </c>
      <c r="I4020">
        <f>-696.220703071574 -109.102523645038 -918.897422379355</f>
        <v>-1724.220649095967</v>
      </c>
      <c r="J4020">
        <f>-730.429404460968 -28.2051497062976 -775.191883789195</f>
        <v>-1533.8264379564607</v>
      </c>
      <c r="K4020" t="s">
        <v>80887</v>
      </c>
      <c r="L4020" t="s">
        <v>80888</v>
      </c>
      <c r="M4020" t="s">
        <v>80889</v>
      </c>
      <c r="N4020">
        <f>-748.186792935096 -86.5427084135181 -757.169251415537</f>
        <v>-1591.8987527641511</v>
      </c>
      <c r="O4020">
        <f>-796.329540599682 -207.984954708951 -689.651470197863</f>
        <v>-1693.9659655064961</v>
      </c>
      <c r="P4020">
        <f>-747.022461199774 -159.060242986802 -380.845018764344</f>
        <v>-1286.92772295092</v>
      </c>
      <c r="Q4020">
        <f>-501.229991455534 -74.3691819001058 -388.295812002686</f>
        <v>-963.89498535832581</v>
      </c>
      <c r="R4020" t="s">
        <v>80890</v>
      </c>
      <c r="S4020" t="s">
        <v>80891</v>
      </c>
      <c r="T4020" t="s">
        <v>80892</v>
      </c>
      <c r="U4020" t="s">
        <v>80893</v>
      </c>
      <c r="V4020">
        <f>-727.641235197867 -64.0429527349224 -232.18996313448</f>
        <v>-1023.8741510672694</v>
      </c>
      <c r="W4020" t="s">
        <v>80894</v>
      </c>
      <c r="X4020" t="s">
        <v>80895</v>
      </c>
      <c r="Y4020" t="s">
        <v>80896</v>
      </c>
    </row>
    <row r="4021" spans="1:25" x14ac:dyDescent="0.3">
      <c r="A4021">
        <v>201000</v>
      </c>
      <c r="B4021" t="s">
        <v>80897</v>
      </c>
      <c r="C4021" t="s">
        <v>80898</v>
      </c>
      <c r="D4021" t="s">
        <v>80899</v>
      </c>
      <c r="E4021" t="s">
        <v>80900</v>
      </c>
      <c r="F4021">
        <f>-746.372700166936 -2.78207650385843 -579.874183570947</f>
        <v>-1329.0289602417415</v>
      </c>
      <c r="G4021">
        <f>-743.652687138731 -31.356903054193 -685.566817665966</f>
        <v>-1460.57640785889</v>
      </c>
      <c r="H4021">
        <f>-735.353967026623 -78.5891062231922 -830.136108902668</f>
        <v>-1644.0791821524831</v>
      </c>
      <c r="I4021">
        <f>-695.878700241189 -109.4418202996 -918.864924203029</f>
        <v>-1724.1854447438179</v>
      </c>
      <c r="J4021">
        <f>-730.164847785669 -28.5194443762239 -775.190400899925</f>
        <v>-1533.8746930618179</v>
      </c>
      <c r="K4021" t="s">
        <v>80901</v>
      </c>
      <c r="L4021" t="s">
        <v>80902</v>
      </c>
      <c r="M4021" t="s">
        <v>80903</v>
      </c>
      <c r="N4021">
        <f>-747.886856724873 -86.8610896365408 -757.146912404525</f>
        <v>-1591.8948587659388</v>
      </c>
      <c r="O4021">
        <f>-795.952649878707 -208.312659508556 -689.592494588264</f>
        <v>-1693.8578039755271</v>
      </c>
      <c r="P4021">
        <f>-746.920654920699 -159.251620576084 -380.763875519811</f>
        <v>-1286.9361510165941</v>
      </c>
      <c r="Q4021">
        <f>-501.157248384659 -74.4704395812657 -388.150852866839</f>
        <v>-963.77854083276361</v>
      </c>
      <c r="R4021" t="s">
        <v>80904</v>
      </c>
      <c r="S4021" t="s">
        <v>80905</v>
      </c>
      <c r="T4021" t="s">
        <v>80906</v>
      </c>
      <c r="U4021" t="s">
        <v>80907</v>
      </c>
      <c r="V4021">
        <f>-727.568148804575 -64.1993709763142 -232.204337628208</f>
        <v>-1023.9718574090972</v>
      </c>
      <c r="W4021" t="s">
        <v>80908</v>
      </c>
      <c r="X4021" t="s">
        <v>80909</v>
      </c>
      <c r="Y4021" t="s">
        <v>80910</v>
      </c>
    </row>
    <row r="4022" spans="1:25" x14ac:dyDescent="0.3">
      <c r="A4022">
        <v>201050</v>
      </c>
      <c r="B4022" t="s">
        <v>80911</v>
      </c>
      <c r="C4022" t="s">
        <v>80912</v>
      </c>
      <c r="D4022" t="s">
        <v>80913</v>
      </c>
      <c r="E4022" t="s">
        <v>80914</v>
      </c>
      <c r="F4022">
        <f>-745.857852826077 -3.17647170237706 -579.900750548949</f>
        <v>-1328.9350750774029</v>
      </c>
      <c r="G4022">
        <f>-743.084223206021 -31.7487752415898 -685.592631747354</f>
        <v>-1460.4256301949647</v>
      </c>
      <c r="H4022">
        <f>-734.722729263415 -78.9697435265805 -830.161824921253</f>
        <v>-1643.8542977112484</v>
      </c>
      <c r="I4022">
        <f>-695.181769311582 -109.772583347748 -918.878636237092</f>
        <v>-1723.832988896422</v>
      </c>
      <c r="J4022">
        <f>-729.582675484371 -28.8978008112713 -775.213725043731</f>
        <v>-1533.6942013393732</v>
      </c>
      <c r="K4022" t="s">
        <v>80915</v>
      </c>
      <c r="L4022" t="s">
        <v>80916</v>
      </c>
      <c r="M4022" t="s">
        <v>80917</v>
      </c>
      <c r="N4022">
        <f>-747.262177140158 -87.2540548563004 -757.175152841436</f>
        <v>-1591.6913848378945</v>
      </c>
      <c r="O4022">
        <f>-795.253975945047 -208.719044511202 -689.59379166764</f>
        <v>-1693.5668121238891</v>
      </c>
      <c r="P4022">
        <f>-746.339368954885 -159.458881958601 -380.778394297701</f>
        <v>-1286.576645211187</v>
      </c>
      <c r="Q4022">
        <f>-500.492993816685 -74.8712963359412 -387.599556453543</f>
        <v>-962.96384660616923</v>
      </c>
      <c r="R4022" t="s">
        <v>80918</v>
      </c>
      <c r="S4022" t="s">
        <v>80919</v>
      </c>
      <c r="T4022" t="s">
        <v>80920</v>
      </c>
      <c r="U4022" t="s">
        <v>80921</v>
      </c>
      <c r="V4022">
        <f>-727.208995087839 -64.4864113643741 -232.218677103601</f>
        <v>-1023.9140835558142</v>
      </c>
      <c r="W4022" t="s">
        <v>80922</v>
      </c>
      <c r="X4022" t="s">
        <v>80923</v>
      </c>
      <c r="Y4022" t="s">
        <v>80924</v>
      </c>
    </row>
    <row r="4023" spans="1:25" x14ac:dyDescent="0.3">
      <c r="A4023">
        <v>201100</v>
      </c>
      <c r="B4023" t="s">
        <v>80925</v>
      </c>
      <c r="C4023" t="s">
        <v>80926</v>
      </c>
      <c r="D4023" t="s">
        <v>80927</v>
      </c>
      <c r="E4023" t="s">
        <v>80928</v>
      </c>
      <c r="F4023">
        <f>-745.605880512418 -3.2876758229047 -579.924434435108</f>
        <v>-1328.8179907704307</v>
      </c>
      <c r="G4023">
        <f>-742.8540994868 -31.84562361096 -685.620789891383</f>
        <v>-1460.320512989143</v>
      </c>
      <c r="H4023">
        <f>-734.530971933569 -79.0427160648389 -830.200099433398</f>
        <v>-1643.7737874318059</v>
      </c>
      <c r="I4023">
        <f>-694.981251968164 -109.833159539777 -918.917397286824</f>
        <v>-1723.7318087947651</v>
      </c>
      <c r="J4023">
        <f>-729.378977696089 -28.979128723895 -775.245492848226</f>
        <v>-1533.60359926821</v>
      </c>
      <c r="K4023" t="s">
        <v>80929</v>
      </c>
      <c r="L4023" t="s">
        <v>80930</v>
      </c>
      <c r="M4023" t="s">
        <v>80931</v>
      </c>
      <c r="N4023">
        <f>-747.048299047276 -87.3396614556864 -757.211203897069</f>
        <v>-1591.5991644000314</v>
      </c>
      <c r="O4023">
        <f>-795.033599230302 -208.788307176371 -689.594914075468</f>
        <v>-1693.4168204821408</v>
      </c>
      <c r="P4023">
        <f>-745.941948007198 -159.4930404177 -380.81307335246</f>
        <v>-1286.2480617773579</v>
      </c>
      <c r="Q4023">
        <f>-500.108355051992 -74.8493825337412 -387.399348077994</f>
        <v>-962.35708566372716</v>
      </c>
      <c r="R4023" t="s">
        <v>80932</v>
      </c>
      <c r="S4023" t="s">
        <v>80933</v>
      </c>
      <c r="T4023" t="s">
        <v>80934</v>
      </c>
      <c r="U4023" t="s">
        <v>80935</v>
      </c>
      <c r="V4023">
        <f>-726.961003726248 -64.5987107091305 -232.223867974747</f>
        <v>-1023.7835824101255</v>
      </c>
      <c r="W4023" t="s">
        <v>80936</v>
      </c>
      <c r="X4023" t="s">
        <v>80937</v>
      </c>
      <c r="Y4023" t="s">
        <v>80938</v>
      </c>
    </row>
    <row r="4024" spans="1:25" x14ac:dyDescent="0.3">
      <c r="A4024">
        <v>201150</v>
      </c>
      <c r="B4024" t="s">
        <v>80939</v>
      </c>
      <c r="C4024" t="s">
        <v>80940</v>
      </c>
      <c r="D4024" t="s">
        <v>80941</v>
      </c>
      <c r="E4024" t="s">
        <v>80942</v>
      </c>
      <c r="F4024">
        <f>-744.750784863804 -3.67307020034923 -579.979726899848</f>
        <v>-1328.4035819640012</v>
      </c>
      <c r="G4024">
        <f>-742.020633240764 -32.2278255904853 -685.677481584364</f>
        <v>-1459.9259404156132</v>
      </c>
      <c r="H4024">
        <f>-733.749404588455 -79.4059224346302 -830.265948954552</f>
        <v>-1643.4212759776372</v>
      </c>
      <c r="I4024">
        <f>-694.19423514303 -110.178044596362 -918.987183381283</f>
        <v>-1723.3594631206752</v>
      </c>
      <c r="J4024">
        <f>-728.579090113729 -29.3492743855106 -775.306681511781</f>
        <v>-1533.2350460110206</v>
      </c>
      <c r="K4024" t="s">
        <v>80943</v>
      </c>
      <c r="L4024" t="s">
        <v>80944</v>
      </c>
      <c r="M4024" t="s">
        <v>80945</v>
      </c>
      <c r="N4024">
        <f>-746.239333274346 -87.7129873474958 -757.273365225622</f>
        <v>-1591.2256858474639</v>
      </c>
      <c r="O4024">
        <f>-794.173454974467 -209.187853738223 -689.672152254783</f>
        <v>-1693.0334609674728</v>
      </c>
      <c r="P4024">
        <f>-745.245951324899 -159.837612056038 -380.87321102733</f>
        <v>-1285.9567744082669</v>
      </c>
      <c r="Q4024">
        <f>-499.557406093137 -74.8061769227108 -387.862561045651</f>
        <v>-962.22614406149876</v>
      </c>
      <c r="R4024" t="s">
        <v>80946</v>
      </c>
      <c r="S4024" t="s">
        <v>80947</v>
      </c>
      <c r="T4024" t="s">
        <v>80948</v>
      </c>
      <c r="U4024" t="s">
        <v>80949</v>
      </c>
      <c r="V4024">
        <f>-726.160684531792 -64.8484540701202 -232.236084013131</f>
        <v>-1023.2452226150431</v>
      </c>
      <c r="W4024" t="s">
        <v>80950</v>
      </c>
      <c r="X4024" t="s">
        <v>80951</v>
      </c>
      <c r="Y4024" t="s">
        <v>80952</v>
      </c>
    </row>
    <row r="4025" spans="1:25" x14ac:dyDescent="0.3">
      <c r="A4025">
        <v>201200</v>
      </c>
      <c r="B4025" t="s">
        <v>80953</v>
      </c>
      <c r="C4025" t="s">
        <v>80954</v>
      </c>
      <c r="D4025" t="s">
        <v>80955</v>
      </c>
      <c r="E4025" t="s">
        <v>80956</v>
      </c>
      <c r="F4025">
        <f>-744.40704450175 -3.82800175250804 -580.018256746532</f>
        <v>-1328.2533030007899</v>
      </c>
      <c r="G4025">
        <f>-741.723249450239 -32.354835870125 -685.724725548954</f>
        <v>-1459.8028108693179</v>
      </c>
      <c r="H4025">
        <f>-733.526386175271 -79.4861678999634 -830.332751200157</f>
        <v>-1643.3453052753914</v>
      </c>
      <c r="I4025">
        <f>-693.991813483914 -110.235777126593 -919.070920877914</f>
        <v>-1723.2985114884209</v>
      </c>
      <c r="J4025">
        <f>-728.311962248173 -29.4513660045502 -775.357752919401</f>
        <v>-1533.1210811721244</v>
      </c>
      <c r="K4025" t="s">
        <v>80957</v>
      </c>
      <c r="L4025" t="s">
        <v>80958</v>
      </c>
      <c r="M4025" t="s">
        <v>80959</v>
      </c>
      <c r="N4025">
        <f>-745.994510991677 -87.8126439106359 -757.338622767366</f>
        <v>-1591.1457776696789</v>
      </c>
      <c r="O4025">
        <f>-793.990700465673 -209.270286349116 -689.753988643179</f>
        <v>-1693.0149754579679</v>
      </c>
      <c r="P4025">
        <f>-744.880609297187 -160.258049478331 -380.930205975193</f>
        <v>-1286.0688647507111</v>
      </c>
      <c r="Q4025">
        <f>-499.215119200679 -75.1538759146974 -387.845751226227</f>
        <v>-962.21474634160336</v>
      </c>
      <c r="R4025" t="s">
        <v>80960</v>
      </c>
      <c r="S4025" t="s">
        <v>80961</v>
      </c>
      <c r="T4025" t="s">
        <v>80962</v>
      </c>
      <c r="U4025" t="s">
        <v>80963</v>
      </c>
      <c r="V4025">
        <f>-725.812671278204 -64.9888502854424 -232.239807649941</f>
        <v>-1023.0413292135873</v>
      </c>
      <c r="W4025" t="s">
        <v>80964</v>
      </c>
      <c r="X4025" t="s">
        <v>80965</v>
      </c>
      <c r="Y4025" t="s">
        <v>80966</v>
      </c>
    </row>
    <row r="4026" spans="1:25" x14ac:dyDescent="0.3">
      <c r="A4026">
        <v>201250</v>
      </c>
      <c r="B4026" t="s">
        <v>80967</v>
      </c>
      <c r="C4026" t="s">
        <v>80968</v>
      </c>
      <c r="D4026" t="s">
        <v>80969</v>
      </c>
      <c r="E4026" t="s">
        <v>80970</v>
      </c>
      <c r="F4026">
        <f>-743.503814931338 -4.26662084969666 -580.075520152043</f>
        <v>-1327.8459559330777</v>
      </c>
      <c r="G4026">
        <f>-740.909748914776 -32.8232437359104 -685.776171491476</f>
        <v>-1459.5091641421623</v>
      </c>
      <c r="H4026">
        <f>-732.869251831609 -79.9854417136116 -830.38286706084</f>
        <v>-1643.2375606060605</v>
      </c>
      <c r="I4026">
        <f>-693.4217585008 -110.76022076536 -919.15110151881</f>
        <v>-1723.3330807849702</v>
      </c>
      <c r="J4026">
        <f>-727.54975036649 -29.9509380616469 -775.417886589195</f>
        <v>-1532.9185750173319</v>
      </c>
      <c r="K4026" t="s">
        <v>80971</v>
      </c>
      <c r="L4026" t="s">
        <v>80972</v>
      </c>
      <c r="M4026" t="s">
        <v>80973</v>
      </c>
      <c r="N4026">
        <f>-745.304174175106 -88.2844214222498 -757.379940289314</f>
        <v>-1590.96853588667</v>
      </c>
      <c r="O4026">
        <f>-793.407966922622 -209.707133670413 -689.799363289107</f>
        <v>-1692.9144638821419</v>
      </c>
      <c r="P4026">
        <f>-744.365551066751 -160.789170682329 -380.949777104003</f>
        <v>-1286.104498853083</v>
      </c>
      <c r="Q4026">
        <f>-498.728390931142 -75.5934458949582 -387.739621179192</f>
        <v>-962.06145800529214</v>
      </c>
      <c r="R4026" t="s">
        <v>80974</v>
      </c>
      <c r="S4026" t="s">
        <v>80975</v>
      </c>
      <c r="T4026" t="s">
        <v>80976</v>
      </c>
      <c r="U4026" t="s">
        <v>80977</v>
      </c>
      <c r="V4026">
        <f>-724.994057804788 -65.1818012970439 -232.24097597831</f>
        <v>-1022.4168350801418</v>
      </c>
      <c r="W4026" t="s">
        <v>80978</v>
      </c>
      <c r="X4026" t="s">
        <v>80979</v>
      </c>
      <c r="Y4026" t="s">
        <v>80980</v>
      </c>
    </row>
    <row r="4027" spans="1:25" x14ac:dyDescent="0.3">
      <c r="A4027">
        <v>201300</v>
      </c>
      <c r="B4027" t="s">
        <v>80981</v>
      </c>
      <c r="C4027" t="s">
        <v>80982</v>
      </c>
      <c r="D4027" t="s">
        <v>80983</v>
      </c>
      <c r="E4027" t="s">
        <v>80984</v>
      </c>
      <c r="F4027">
        <f>-743.146875127025 -4.46501232897117 -580.07154212974</f>
        <v>-1327.6834295857361</v>
      </c>
      <c r="G4027">
        <f>-740.619843027535 -33.027087328315 -685.772406025346</f>
        <v>-1459.419336381196</v>
      </c>
      <c r="H4027">
        <f>-732.685705435264 -80.1944109860867 -830.383323957804</f>
        <v>-1643.2634403791549</v>
      </c>
      <c r="I4027">
        <f>-693.298319802777 -110.990989753594 -919.170551989787</f>
        <v>-1723.459861546158</v>
      </c>
      <c r="J4027">
        <f>-727.30450879903 -30.1633639863712 -775.421025789644</f>
        <v>-1532.8888985750452</v>
      </c>
      <c r="K4027" t="s">
        <v>80985</v>
      </c>
      <c r="L4027" t="s">
        <v>80986</v>
      </c>
      <c r="M4027" t="s">
        <v>80987</v>
      </c>
      <c r="N4027">
        <f>-745.088135490214 -88.4853266941523 -757.373909813248</f>
        <v>-1590.9473719976143</v>
      </c>
      <c r="O4027">
        <f>-793.22435313908 -209.89496360269 -689.802415678379</f>
        <v>-1692.9217324201491</v>
      </c>
      <c r="P4027">
        <f>-744.185666541164 -161.041140749959 -380.94221415695</f>
        <v>-1286.169021448073</v>
      </c>
      <c r="Q4027">
        <f>-498.475044569462 -76.0355725697873 -387.45519760203</f>
        <v>-961.96581474127936</v>
      </c>
      <c r="R4027" t="s">
        <v>80988</v>
      </c>
      <c r="S4027" t="s">
        <v>80989</v>
      </c>
      <c r="T4027" t="s">
        <v>80990</v>
      </c>
      <c r="U4027" t="s">
        <v>80991</v>
      </c>
      <c r="V4027">
        <f>-724.64812466549 -65.2829958891843 -232.220048066659</f>
        <v>-1022.1511686213332</v>
      </c>
      <c r="W4027" t="s">
        <v>80992</v>
      </c>
      <c r="X4027" t="s">
        <v>80993</v>
      </c>
      <c r="Y4027" t="s">
        <v>80994</v>
      </c>
    </row>
    <row r="4028" spans="1:25" x14ac:dyDescent="0.3">
      <c r="A4028">
        <v>201350</v>
      </c>
      <c r="B4028" t="s">
        <v>80995</v>
      </c>
      <c r="C4028" t="s">
        <v>80996</v>
      </c>
      <c r="D4028" t="s">
        <v>80997</v>
      </c>
      <c r="E4028" t="s">
        <v>80998</v>
      </c>
      <c r="F4028">
        <f>-742.461670892519 -4.96842373956042 -580.076108973717</f>
        <v>-1327.5062036057966</v>
      </c>
      <c r="G4028">
        <f>-740.070673196491 -33.5890516804914 -685.764314482184</f>
        <v>-1459.4240393591663</v>
      </c>
      <c r="H4028">
        <f>-732.353857511294 -80.8402945007138 -830.359480938709</f>
        <v>-1643.5536329507167</v>
      </c>
      <c r="I4028">
        <f>-693.051392340928 -111.72909692087 -919.152486560745</f>
        <v>-1723.9329758225431</v>
      </c>
      <c r="J4028">
        <f>-726.842295303461 -30.7899119389949 -775.427868133851</f>
        <v>-1533.0600753763069</v>
      </c>
      <c r="K4028" t="s">
        <v>80999</v>
      </c>
      <c r="L4028" t="s">
        <v>81000</v>
      </c>
      <c r="M4028" t="s">
        <v>81001</v>
      </c>
      <c r="N4028">
        <f>-744.694310538787 -89.0762365843666 -757.333536742496</f>
        <v>-1591.1040838656495</v>
      </c>
      <c r="O4028">
        <f>-792.989964800179 -210.408017503784 -689.71988506859</f>
        <v>-1693.1178673725531</v>
      </c>
      <c r="P4028">
        <f>-743.918751219835 -161.52931454838 -380.868636187122</f>
        <v>-1286.3167019553371</v>
      </c>
      <c r="Q4028">
        <f>-498.143673413686 -76.6967112901266 -387.200654025646</f>
        <v>-962.04103872945848</v>
      </c>
      <c r="R4028" t="s">
        <v>81002</v>
      </c>
      <c r="S4028" t="s">
        <v>81003</v>
      </c>
      <c r="T4028" t="s">
        <v>81004</v>
      </c>
      <c r="U4028" t="s">
        <v>81005</v>
      </c>
      <c r="V4028">
        <f>-723.854039429281 -65.5146041343335 -232.196079007912</f>
        <v>-1021.5647225715264</v>
      </c>
      <c r="W4028" t="s">
        <v>81006</v>
      </c>
      <c r="X4028" t="s">
        <v>81007</v>
      </c>
      <c r="Y4028" t="s">
        <v>81008</v>
      </c>
    </row>
    <row r="4029" spans="1:25" x14ac:dyDescent="0.3">
      <c r="A4029">
        <v>201400</v>
      </c>
      <c r="B4029" t="s">
        <v>81009</v>
      </c>
      <c r="C4029" t="s">
        <v>81010</v>
      </c>
      <c r="D4029" t="s">
        <v>81011</v>
      </c>
      <c r="E4029" t="s">
        <v>81012</v>
      </c>
      <c r="F4029">
        <f>-742.123089842795 -5.16428524306525 -580.043816090236</f>
        <v>-1327.3311911760961</v>
      </c>
      <c r="G4029">
        <f>-739.815891225419 -33.8271044968042 -685.72256531601</f>
        <v>-1459.3655610382332</v>
      </c>
      <c r="H4029">
        <f>-732.241886256965 -81.1429662177429 -830.304077614974</f>
        <v>-1643.6889300896819</v>
      </c>
      <c r="I4029">
        <f>-692.993570760712 -112.103795686723 -919.095876397196</f>
        <v>-1724.193242844631</v>
      </c>
      <c r="J4029">
        <f>-726.642040107541 -31.0769978180701 -775.395479139978</f>
        <v>-1533.1145170655891</v>
      </c>
      <c r="K4029" t="s">
        <v>81013</v>
      </c>
      <c r="L4029" t="s">
        <v>81014</v>
      </c>
      <c r="M4029" t="s">
        <v>81015</v>
      </c>
      <c r="N4029">
        <f>-744.5442740586 -89.3373610668134 -757.267037844274</f>
        <v>-1591.1486729696874</v>
      </c>
      <c r="O4029">
        <f>-792.885239102197 -210.630878327397 -689.634043282339</f>
        <v>-1693.150160711933</v>
      </c>
      <c r="P4029">
        <f>-743.960238908017 -161.804718222158 -380.751355518278</f>
        <v>-1286.5163126484529</v>
      </c>
      <c r="Q4029">
        <f>-498.136044620928 -77.1295059343806 -387.281624448233</f>
        <v>-962.5471750035415</v>
      </c>
      <c r="R4029" t="s">
        <v>81016</v>
      </c>
      <c r="S4029" t="s">
        <v>81017</v>
      </c>
      <c r="T4029" t="s">
        <v>81018</v>
      </c>
      <c r="U4029" t="s">
        <v>81019</v>
      </c>
      <c r="V4029">
        <f>-723.45617637596 -65.5662430718887 -232.175731795848</f>
        <v>-1021.1981512436968</v>
      </c>
      <c r="W4029" t="s">
        <v>81020</v>
      </c>
      <c r="X4029" t="s">
        <v>81021</v>
      </c>
      <c r="Y4029" t="s">
        <v>81022</v>
      </c>
    </row>
    <row r="4030" spans="1:25" x14ac:dyDescent="0.3">
      <c r="A4030">
        <v>201450</v>
      </c>
      <c r="B4030" t="s">
        <v>81023</v>
      </c>
      <c r="C4030" t="s">
        <v>81024</v>
      </c>
      <c r="D4030" t="s">
        <v>81025</v>
      </c>
      <c r="E4030" t="s">
        <v>81026</v>
      </c>
      <c r="F4030">
        <f>-741.60626243295 -5.39078342396124 -580.043883522466</f>
        <v>-1327.0409293793773</v>
      </c>
      <c r="G4030">
        <f>-739.390655861212 -34.1253024034775 -685.704975106128</f>
        <v>-1459.2209333708174</v>
      </c>
      <c r="H4030">
        <f>-731.964850927417 -81.5575410263552 -830.256108759544</f>
        <v>-1643.7785007133161</v>
      </c>
      <c r="I4030">
        <f>-692.756427135029 -112.657710309149 -919.016843085326</f>
        <v>-1724.4309805295038</v>
      </c>
      <c r="J4030">
        <f>-726.235952164295 -31.4666499728369 -775.383539952918</f>
        <v>-1533.0861420900499</v>
      </c>
      <c r="K4030" t="s">
        <v>81027</v>
      </c>
      <c r="L4030" t="s">
        <v>81028</v>
      </c>
      <c r="M4030" t="s">
        <v>81029</v>
      </c>
      <c r="N4030">
        <f>-744.265094902003 -89.6737893090942 -757.209933144097</f>
        <v>-1591.1488173551943</v>
      </c>
      <c r="O4030">
        <f>-792.804507433788 -210.859727476014 -689.508241107296</f>
        <v>-1693.172476017098</v>
      </c>
      <c r="P4030">
        <f>-743.537821675738 -162.117340062247 -380.666603803065</f>
        <v>-1286.3217655410499</v>
      </c>
      <c r="Q4030">
        <f>-497.634330368643 -77.7073640006511 -387.62959966575</f>
        <v>-962.97129403504414</v>
      </c>
      <c r="R4030" t="s">
        <v>81030</v>
      </c>
      <c r="S4030" t="s">
        <v>81031</v>
      </c>
      <c r="T4030" t="s">
        <v>81032</v>
      </c>
      <c r="U4030" t="s">
        <v>81033</v>
      </c>
      <c r="V4030">
        <f>-722.812093961653 -65.6188280384445 -232.169218793722</f>
        <v>-1020.6001407938195</v>
      </c>
      <c r="W4030" t="s">
        <v>81034</v>
      </c>
      <c r="X4030" t="s">
        <v>81035</v>
      </c>
      <c r="Y4030" t="s">
        <v>81036</v>
      </c>
    </row>
    <row r="4031" spans="1:25" x14ac:dyDescent="0.3">
      <c r="A4031">
        <v>201500</v>
      </c>
      <c r="B4031" t="s">
        <v>81037</v>
      </c>
      <c r="C4031" t="s">
        <v>81038</v>
      </c>
      <c r="D4031" t="s">
        <v>81039</v>
      </c>
      <c r="E4031" t="s">
        <v>81040</v>
      </c>
      <c r="F4031">
        <f>-741.478115363354 -5.40016124569547 -580.044833474098</f>
        <v>-1326.9231100831475</v>
      </c>
      <c r="G4031">
        <f>-739.342354169571 -34.1797950569683 -685.695313746033</f>
        <v>-1459.2174629725723</v>
      </c>
      <c r="H4031">
        <f>-732.04546657943 -81.683472352255 -830.229568971499</f>
        <v>-1643.958507903184</v>
      </c>
      <c r="I4031">
        <f>-692.883082282253 -112.86805615251 -918.980891304133</f>
        <v>-1724.732029738896</v>
      </c>
      <c r="J4031">
        <f>-726.23143731721 -31.5750920154026 -775.381783490323</f>
        <v>-1533.1883128229356</v>
      </c>
      <c r="K4031" t="s">
        <v>81041</v>
      </c>
      <c r="L4031" t="s">
        <v>81042</v>
      </c>
      <c r="M4031" t="s">
        <v>81043</v>
      </c>
      <c r="N4031">
        <f>-744.316653069169 -89.7538912509096 -757.173431558231</f>
        <v>-1591.2439758783096</v>
      </c>
      <c r="O4031">
        <f>-792.914994807756 -210.897337427289 -689.461065400557</f>
        <v>-1693.2733976356021</v>
      </c>
      <c r="P4031">
        <f>-743.531952853559 -162.187781717164 -380.632833412098</f>
        <v>-1286.352567982821</v>
      </c>
      <c r="Q4031">
        <f>-497.569615422046 -77.9684246325537 -387.822688290957</f>
        <v>-963.36072834555671</v>
      </c>
      <c r="R4031" t="s">
        <v>81044</v>
      </c>
      <c r="S4031" t="s">
        <v>81045</v>
      </c>
      <c r="T4031" t="s">
        <v>81046</v>
      </c>
      <c r="U4031" t="s">
        <v>81047</v>
      </c>
      <c r="V4031">
        <f>-722.564126392135 -65.515783547542 -232.173190250196</f>
        <v>-1020.2531001898731</v>
      </c>
      <c r="W4031" t="s">
        <v>81048</v>
      </c>
      <c r="X4031" t="s">
        <v>81049</v>
      </c>
      <c r="Y4031" t="s">
        <v>81050</v>
      </c>
    </row>
    <row r="4032" spans="1:25" x14ac:dyDescent="0.3">
      <c r="A4032">
        <v>201550</v>
      </c>
      <c r="B4032" t="s">
        <v>81051</v>
      </c>
      <c r="C4032" t="s">
        <v>81052</v>
      </c>
      <c r="D4032" t="s">
        <v>81053</v>
      </c>
      <c r="E4032" t="s">
        <v>81054</v>
      </c>
      <c r="F4032">
        <f>-741.555703914158 -5.33154551081088 -579.989182421238</f>
        <v>-1326.8764318462067</v>
      </c>
      <c r="G4032">
        <f>-739.610205466429 -34.2154719473133 -685.614829239826</f>
        <v>-1459.4405066535683</v>
      </c>
      <c r="H4032">
        <f>-732.624645724419 -81.887839134871 -830.109040668606</f>
        <v>-1644.621525527896</v>
      </c>
      <c r="I4032">
        <f>-693.590804511194 -113.269221957078 -918.847646016536</f>
        <v>-1725.707672484808</v>
      </c>
      <c r="J4032">
        <f>-726.58679225071 -31.7440803210359 -775.317834841134</f>
        <v>-1533.64870741288</v>
      </c>
      <c r="K4032" t="s">
        <v>81055</v>
      </c>
      <c r="L4032" t="s">
        <v>81056</v>
      </c>
      <c r="M4032" t="s">
        <v>81057</v>
      </c>
      <c r="N4032">
        <f>-744.844347044374 -89.8445912296138 -757.031696907695</f>
        <v>-1591.7206351816828</v>
      </c>
      <c r="O4032">
        <f>-793.645191490989 -210.886320077432 -689.262810955317</f>
        <v>-1693.7943225237379</v>
      </c>
      <c r="P4032">
        <f>-743.840419168733 -162.298531715732 -380.483119190461</f>
        <v>-1286.6220700749259</v>
      </c>
      <c r="Q4032">
        <f>-497.782390085553 -78.3536091707906 -387.605961836453</f>
        <v>-963.7419610927966</v>
      </c>
      <c r="R4032" t="s">
        <v>81058</v>
      </c>
      <c r="S4032" t="s">
        <v>81059</v>
      </c>
      <c r="T4032" t="s">
        <v>81060</v>
      </c>
      <c r="U4032" t="s">
        <v>81061</v>
      </c>
      <c r="V4032">
        <f>-722.437878662056 -65.3292230231084 -232.145379483944</f>
        <v>-1019.9124811691084</v>
      </c>
      <c r="W4032" t="s">
        <v>81062</v>
      </c>
      <c r="X4032" t="s">
        <v>81063</v>
      </c>
      <c r="Y4032" t="s">
        <v>81064</v>
      </c>
    </row>
    <row r="4033" spans="1:25" x14ac:dyDescent="0.3">
      <c r="A4033">
        <v>201600</v>
      </c>
      <c r="B4033" t="s">
        <v>81065</v>
      </c>
      <c r="C4033" t="s">
        <v>81066</v>
      </c>
      <c r="D4033" t="s">
        <v>81067</v>
      </c>
      <c r="E4033" t="s">
        <v>81068</v>
      </c>
      <c r="F4033">
        <f>-741.677947005135 -5.26427487310957 -579.927050944915</f>
        <v>-1326.8692728231595</v>
      </c>
      <c r="G4033">
        <f>-739.861918520416 -34.2182237197921 -685.535834599748</f>
        <v>-1459.6159768399561</v>
      </c>
      <c r="H4033">
        <f>-733.093474566015 -82.0021247065113 -830.003486584526</f>
        <v>-1645.0990858570522</v>
      </c>
      <c r="I4033">
        <f>-694.174989707732 -113.490318103728 -918.754880417985</f>
        <v>-1726.4201882294451</v>
      </c>
      <c r="J4033">
        <f>-726.931288941755 -31.8274434814225 -775.254523187162</f>
        <v>-1534.0132556103395</v>
      </c>
      <c r="K4033" t="s">
        <v>81069</v>
      </c>
      <c r="L4033" t="s">
        <v>81070</v>
      </c>
      <c r="M4033" t="s">
        <v>81071</v>
      </c>
      <c r="N4033">
        <f>-745.245408893225 -89.8911178862475 -756.907561400507</f>
        <v>-1592.0440881799796</v>
      </c>
      <c r="O4033">
        <f>-794.087241042813 -210.893158031267 -689.108522103365</f>
        <v>-1694.0889211774452</v>
      </c>
      <c r="P4033">
        <f>-744.157841571018 -162.207625303323 -380.364406029145</f>
        <v>-1286.729872903486</v>
      </c>
      <c r="Q4033">
        <f>-498.001292973102 -78.5449449982211 -387.405971637193</f>
        <v>-963.95220960851611</v>
      </c>
      <c r="R4033" t="s">
        <v>81072</v>
      </c>
      <c r="S4033" t="s">
        <v>81073</v>
      </c>
      <c r="T4033" t="s">
        <v>81074</v>
      </c>
      <c r="U4033" t="s">
        <v>81075</v>
      </c>
      <c r="V4033">
        <f>-722.430316869015 -65.1682278305057 -232.127947894432</f>
        <v>-1019.7264925939526</v>
      </c>
      <c r="W4033" t="s">
        <v>81076</v>
      </c>
      <c r="X4033" t="s">
        <v>81077</v>
      </c>
      <c r="Y4033" t="s">
        <v>81078</v>
      </c>
    </row>
    <row r="4034" spans="1:25" x14ac:dyDescent="0.3">
      <c r="A4034">
        <v>201650</v>
      </c>
      <c r="B4034" t="s">
        <v>81079</v>
      </c>
      <c r="C4034" t="s">
        <v>81080</v>
      </c>
      <c r="D4034" t="s">
        <v>81081</v>
      </c>
      <c r="E4034" t="s">
        <v>81082</v>
      </c>
      <c r="F4034">
        <f>-742.138167602024 -4.95225361050393 -579.834159643098</f>
        <v>-1326.9245808556261</v>
      </c>
      <c r="G4034">
        <f>-740.566909523856 -33.9889949059241 -685.424183129257</f>
        <v>-1459.9800875590372</v>
      </c>
      <c r="H4034">
        <f>-734.194537152481 -81.9143559543943 -829.862934828923</f>
        <v>-1645.9718279357983</v>
      </c>
      <c r="I4034">
        <f>-695.486098654464 -113.575429817278 -918.644799047039</f>
        <v>-1727.7063275187809</v>
      </c>
      <c r="J4034">
        <f>-727.816479213608 -31.7040708255281 -775.171500541031</f>
        <v>-1534.6920505801672</v>
      </c>
      <c r="K4034" t="s">
        <v>81083</v>
      </c>
      <c r="L4034" t="s">
        <v>81084</v>
      </c>
      <c r="M4034" t="s">
        <v>81085</v>
      </c>
      <c r="N4034">
        <f>-746.211718222147 -89.7136369798745 -756.735176901945</f>
        <v>-1592.6605321039665</v>
      </c>
      <c r="O4034">
        <f>-795.059847945397 -210.654853127241 -688.826339726462</f>
        <v>-1694.5410407991001</v>
      </c>
      <c r="P4034">
        <f>-744.830635164082 -161.725079755466 -380.169527397532</f>
        <v>-1286.7252423170801</v>
      </c>
      <c r="Q4034">
        <f>-498.627779397548 -78.2187168298869 -387.442016691994</f>
        <v>-964.28851291942897</v>
      </c>
      <c r="R4034" t="s">
        <v>81086</v>
      </c>
      <c r="S4034" t="s">
        <v>81087</v>
      </c>
      <c r="T4034" t="s">
        <v>81088</v>
      </c>
      <c r="U4034" t="s">
        <v>81089</v>
      </c>
      <c r="V4034">
        <f>-722.583896541226 -64.8303205968014 -232.109326617088</f>
        <v>-1019.5235437551153</v>
      </c>
      <c r="W4034" t="s">
        <v>81090</v>
      </c>
      <c r="X4034" t="s">
        <v>81091</v>
      </c>
      <c r="Y4034" t="s">
        <v>81092</v>
      </c>
    </row>
    <row r="4035" spans="1:25" x14ac:dyDescent="0.3">
      <c r="A4035">
        <v>201700</v>
      </c>
      <c r="B4035" t="s">
        <v>81093</v>
      </c>
      <c r="C4035" t="s">
        <v>81094</v>
      </c>
      <c r="D4035" t="s">
        <v>81095</v>
      </c>
      <c r="E4035" t="s">
        <v>81096</v>
      </c>
      <c r="F4035">
        <f>-742.491609822561 -4.75411801067094 -579.779484495615</f>
        <v>-1327.0252123288469</v>
      </c>
      <c r="G4035">
        <f>-741.029476458353 -33.8218897444995 -685.362493749152</f>
        <v>-1460.2138599520044</v>
      </c>
      <c r="H4035">
        <f>-734.835421638675 -81.7982006167783 -829.792060257752</f>
        <v>-1646.4256825132054</v>
      </c>
      <c r="I4035">
        <f>-696.211176005654 -113.526522226219 -918.586568446041</f>
        <v>-1728.324266677914</v>
      </c>
      <c r="J4035">
        <f>-728.365348657621 -31.5754046208813 -775.122840338687</f>
        <v>-1535.0635936171893</v>
      </c>
      <c r="K4035" t="s">
        <v>81097</v>
      </c>
      <c r="L4035" t="s">
        <v>81098</v>
      </c>
      <c r="M4035" t="s">
        <v>81099</v>
      </c>
      <c r="N4035">
        <f>-746.786826737407 -89.5649102634177 -756.650046120877</f>
        <v>-1593.0017831217017</v>
      </c>
      <c r="O4035">
        <f>-795.62607324223 -210.481839018316 -688.687252915533</f>
        <v>-1694.7951651760791</v>
      </c>
      <c r="P4035">
        <f>-745.321534723751 -161.490727242363 -380.052408509534</f>
        <v>-1286.8646704756479</v>
      </c>
      <c r="Q4035">
        <f>-499.062369666849 -78.1741773873553 -387.594084713006</f>
        <v>-964.83063176721021</v>
      </c>
      <c r="R4035" t="s">
        <v>81100</v>
      </c>
      <c r="S4035" t="s">
        <v>81101</v>
      </c>
      <c r="T4035" t="s">
        <v>81102</v>
      </c>
      <c r="U4035" t="s">
        <v>81103</v>
      </c>
      <c r="V4035">
        <f>-722.778485802679 -64.6459717086805 -232.095786882413</f>
        <v>-1019.5202443937725</v>
      </c>
      <c r="W4035" t="s">
        <v>81104</v>
      </c>
      <c r="X4035" t="s">
        <v>81105</v>
      </c>
      <c r="Y4035" t="s">
        <v>81106</v>
      </c>
    </row>
    <row r="4036" spans="1:25" x14ac:dyDescent="0.3">
      <c r="A4036">
        <v>201750</v>
      </c>
      <c r="B4036" t="s">
        <v>81107</v>
      </c>
      <c r="C4036" t="s">
        <v>81108</v>
      </c>
      <c r="D4036" t="s">
        <v>81109</v>
      </c>
      <c r="E4036" t="s">
        <v>81110</v>
      </c>
      <c r="F4036">
        <f>-743.730939859158 -4.12856786494854 -579.659692241038</f>
        <v>-1327.5191999651445</v>
      </c>
      <c r="G4036">
        <f>-742.530344177994 -33.180876803586 -685.250312475916</f>
        <v>-1460.961533457496</v>
      </c>
      <c r="H4036">
        <f>-736.747377013428 -81.1451628098141 -829.700874109037</f>
        <v>-1647.5934139322792</v>
      </c>
      <c r="I4036">
        <f>-698.30353460377 -112.969016234732 -918.53952867984</f>
        <v>-1729.812079518342</v>
      </c>
      <c r="J4036">
        <f>-730.059527320701 -30.9440357076282 -775.037879594453</f>
        <v>-1536.0414426227821</v>
      </c>
      <c r="K4036" t="s">
        <v>81111</v>
      </c>
      <c r="L4036" t="s">
        <v>81112</v>
      </c>
      <c r="M4036" t="s">
        <v>81113</v>
      </c>
      <c r="N4036">
        <f>-748.552783129773 -88.9008677745587 -756.53392925963</f>
        <v>-1593.9875801639619</v>
      </c>
      <c r="O4036">
        <f>-797.364043505265 -209.811372677049 -688.540748040414</f>
        <v>-1695.7161642227279</v>
      </c>
      <c r="P4036">
        <f>-746.337969167946 -160.982533970264 -379.998630418711</f>
        <v>-1287.3191335569209</v>
      </c>
      <c r="Q4036">
        <f>-500.045493563568 -77.7906911963817 -387.823719206428</f>
        <v>-965.65990396637767</v>
      </c>
      <c r="R4036" t="s">
        <v>81114</v>
      </c>
      <c r="S4036" t="s">
        <v>81115</v>
      </c>
      <c r="T4036" t="s">
        <v>81116</v>
      </c>
      <c r="U4036" t="s">
        <v>81117</v>
      </c>
      <c r="V4036">
        <f>-723.606236062372 -64.2462968032341 -232.048762878594</f>
        <v>-1019.9012957442001</v>
      </c>
      <c r="W4036" t="s">
        <v>81118</v>
      </c>
      <c r="X4036" t="s">
        <v>81119</v>
      </c>
      <c r="Y4036" t="s">
        <v>81120</v>
      </c>
    </row>
    <row r="4037" spans="1:25" x14ac:dyDescent="0.3">
      <c r="A4037">
        <v>201800</v>
      </c>
      <c r="B4037" t="s">
        <v>81121</v>
      </c>
      <c r="C4037" t="s">
        <v>81122</v>
      </c>
      <c r="D4037" t="s">
        <v>81123</v>
      </c>
      <c r="E4037" t="s">
        <v>81124</v>
      </c>
      <c r="F4037">
        <f>-744.473895976524 -3.90636646597113 -579.578920627783</f>
        <v>-1327.959183070278</v>
      </c>
      <c r="G4037">
        <f>-743.407755394442 -32.9711919686188 -685.167469459109</f>
        <v>-1461.5464168221697</v>
      </c>
      <c r="H4037">
        <f>-737.843436135684 -80.9580667727193 -829.619369680461</f>
        <v>-1648.4208725888643</v>
      </c>
      <c r="I4037">
        <f>-699.502414610261 -112.83538050664 -918.48306073457</f>
        <v>-1730.8208558514712</v>
      </c>
      <c r="J4037">
        <f>-731.057428720352 -30.7525656295602 -774.972252117045</f>
        <v>-1536.7822464669571</v>
      </c>
      <c r="K4037" t="s">
        <v>81125</v>
      </c>
      <c r="L4037" t="s">
        <v>81126</v>
      </c>
      <c r="M4037" t="s">
        <v>81127</v>
      </c>
      <c r="N4037">
        <f>-749.553485934121 -88.6981264247061 -756.435367956735</f>
        <v>-1594.6869803155621</v>
      </c>
      <c r="O4037">
        <f>-798.307819134648 -209.607595165644 -688.417565716455</f>
        <v>-1696.3329800167471</v>
      </c>
      <c r="P4037">
        <f>-747.108329186206 -160.975603540054 -379.873036759745</f>
        <v>-1287.9569694860049</v>
      </c>
      <c r="Q4037">
        <f>-500.888616448328 -77.6015244207649 -388.040550713747</f>
        <v>-966.53069158283984</v>
      </c>
      <c r="R4037" t="s">
        <v>81128</v>
      </c>
      <c r="S4037" t="s">
        <v>81129</v>
      </c>
      <c r="T4037" t="s">
        <v>81130</v>
      </c>
      <c r="U4037" t="s">
        <v>81131</v>
      </c>
      <c r="V4037">
        <f>-724.176968993688 -64.1319717220124 -232.020370316165</f>
        <v>-1020.3293110318654</v>
      </c>
      <c r="W4037" t="s">
        <v>81132</v>
      </c>
      <c r="X4037" t="s">
        <v>81133</v>
      </c>
      <c r="Y4037" t="s">
        <v>81134</v>
      </c>
    </row>
    <row r="4038" spans="1:25" x14ac:dyDescent="0.3">
      <c r="A4038">
        <v>201850</v>
      </c>
      <c r="B4038" t="s">
        <v>81135</v>
      </c>
      <c r="C4038" t="s">
        <v>81136</v>
      </c>
      <c r="D4038" t="s">
        <v>81137</v>
      </c>
      <c r="E4038" t="s">
        <v>81138</v>
      </c>
      <c r="F4038">
        <f>-745.921761523276 -3.51275930804263 -579.430295834908</f>
        <v>-1328.8648166662265</v>
      </c>
      <c r="G4038">
        <f>-745.110839997398 -32.5402868230697 -685.031485821839</f>
        <v>-1462.6826126423066</v>
      </c>
      <c r="H4038">
        <f>-739.971148916638 -80.4710870382073 -829.517445857409</f>
        <v>-1649.9596818122543</v>
      </c>
      <c r="I4038">
        <f>-701.85446227819 -112.362016926244 -918.473032063335</f>
        <v>-1732.6895112677689</v>
      </c>
      <c r="J4038">
        <f>-733.014040797057 -30.2897712152076 -774.869974045203</f>
        <v>-1538.1737860574676</v>
      </c>
      <c r="K4038" t="s">
        <v>81139</v>
      </c>
      <c r="L4038" t="s">
        <v>81140</v>
      </c>
      <c r="M4038" t="s">
        <v>81141</v>
      </c>
      <c r="N4038">
        <f>-751.476491934181 -88.2365297869965 -756.303811815562</f>
        <v>-1596.0168335367393</v>
      </c>
      <c r="O4038">
        <f>-800.003462684484 -209.254099640321 -688.293881000539</f>
        <v>-1697.5514433253441</v>
      </c>
      <c r="P4038">
        <f>-748.406383085671 -160.876157011438 -379.775736632533</f>
        <v>-1289.0582767296419</v>
      </c>
      <c r="Q4038">
        <f>-502.314108387791 -77.1848903922976 -388.515416308195</f>
        <v>-968.01441508828361</v>
      </c>
      <c r="R4038" t="s">
        <v>81142</v>
      </c>
      <c r="S4038" t="s">
        <v>81143</v>
      </c>
      <c r="T4038" t="s">
        <v>81144</v>
      </c>
      <c r="U4038" t="s">
        <v>81145</v>
      </c>
      <c r="V4038">
        <f>-725.373013640045 -63.9455271107552 -231.953316873172</f>
        <v>-1021.2718576239722</v>
      </c>
      <c r="W4038" t="s">
        <v>81146</v>
      </c>
      <c r="X4038" t="s">
        <v>81147</v>
      </c>
      <c r="Y4038" t="s">
        <v>81148</v>
      </c>
    </row>
    <row r="4039" spans="1:25" x14ac:dyDescent="0.3">
      <c r="A4039">
        <v>201900</v>
      </c>
      <c r="B4039" t="s">
        <v>81149</v>
      </c>
      <c r="C4039" t="s">
        <v>81150</v>
      </c>
      <c r="D4039" t="s">
        <v>81151</v>
      </c>
      <c r="E4039" t="s">
        <v>81152</v>
      </c>
      <c r="F4039">
        <f>-746.555955390397 -3.33569360397564 -579.393031289455</f>
        <v>-1329.2846802838276</v>
      </c>
      <c r="G4039">
        <f>-745.882507301505 -32.3181539961058 -685.007500982739</f>
        <v>-1463.2081622803498</v>
      </c>
      <c r="H4039">
        <f>-740.97037932916 -80.1714109343613 -829.527111278371</f>
        <v>-1650.6689015418924</v>
      </c>
      <c r="I4039">
        <f>-702.957549349433 -112.030131399593 -918.538501734579</f>
        <v>-1733.5261824836048</v>
      </c>
      <c r="J4039">
        <f>-733.93596870419 -30.017112511506 -774.864697871873</f>
        <v>-1538.8177790875689</v>
      </c>
      <c r="K4039" t="s">
        <v>81153</v>
      </c>
      <c r="L4039" t="s">
        <v>81154</v>
      </c>
      <c r="M4039" t="s">
        <v>81155</v>
      </c>
      <c r="N4039">
        <f>-752.351789844394 -87.9786323002031 -756.298460663286</f>
        <v>-1596.6288828078832</v>
      </c>
      <c r="O4039">
        <f>-800.701760229841 -209.056837593027 -688.279183601602</f>
        <v>-1698.03778142447</v>
      </c>
      <c r="P4039">
        <f>-748.676018827385 -160.810115048942 -379.812523244405</f>
        <v>-1289.2986571207318</v>
      </c>
      <c r="Q4039">
        <f>-502.670097439315 -76.8746331184634 -388.645317051203</f>
        <v>-968.19004760898133</v>
      </c>
      <c r="R4039" t="s">
        <v>81156</v>
      </c>
      <c r="S4039" t="s">
        <v>81157</v>
      </c>
      <c r="T4039" t="s">
        <v>81158</v>
      </c>
      <c r="U4039" t="s">
        <v>81159</v>
      </c>
      <c r="V4039">
        <f>-725.813953221202 -63.8420348046559 -231.918443218182</f>
        <v>-1021.5744312440399</v>
      </c>
      <c r="W4039" t="s">
        <v>81160</v>
      </c>
      <c r="X4039" t="s">
        <v>81161</v>
      </c>
      <c r="Y4039" t="s">
        <v>81162</v>
      </c>
    </row>
    <row r="4040" spans="1:25" x14ac:dyDescent="0.3">
      <c r="A4040">
        <v>201950</v>
      </c>
      <c r="B4040" t="s">
        <v>81163</v>
      </c>
      <c r="C4040" t="s">
        <v>81164</v>
      </c>
      <c r="D4040" t="s">
        <v>81165</v>
      </c>
      <c r="E4040" t="s">
        <v>81166</v>
      </c>
      <c r="F4040">
        <f>-747.634310804917 -2.92077533595784 -579.451617665769</f>
        <v>-1330.0067038066441</v>
      </c>
      <c r="G4040">
        <f>-747.228559766832 -31.8344209522736 -685.086270585306</f>
        <v>-1464.1492513044116</v>
      </c>
      <c r="H4040">
        <f>-742.740319108694 -79.5754933082783 -829.656853358681</f>
        <v>-1651.9726657756532</v>
      </c>
      <c r="I4040">
        <f>-704.926255760539 -111.342551733463 -918.785595066508</f>
        <v>-1735.05440256051</v>
      </c>
      <c r="J4040">
        <f>-735.595566335762 -29.4497158113882 -774.982571039056</f>
        <v>-1540.0278531862061</v>
      </c>
      <c r="K4040" t="s">
        <v>81167</v>
      </c>
      <c r="L4040" t="s">
        <v>81168</v>
      </c>
      <c r="M4040" t="s">
        <v>81169</v>
      </c>
      <c r="N4040">
        <f>-753.856891614673 -87.4533869618567 -756.395167428849</f>
        <v>-1597.7054460053787</v>
      </c>
      <c r="O4040">
        <f>-801.75174263294 -208.743168619784 -688.420961225751</f>
        <v>-1698.915872478475</v>
      </c>
      <c r="P4040">
        <f>-749.216719371984 -160.621648757694 -380.020844776719</f>
        <v>-1289.859212906397</v>
      </c>
      <c r="Q4040">
        <f>-503.525989572579 -75.7300784547758 -388.480239315825</f>
        <v>-967.73630734317976</v>
      </c>
      <c r="R4040" t="s">
        <v>81170</v>
      </c>
      <c r="S4040" t="s">
        <v>81171</v>
      </c>
      <c r="T4040" t="s">
        <v>81172</v>
      </c>
      <c r="U4040" t="s">
        <v>81173</v>
      </c>
      <c r="V4040">
        <f>-726.226071667942 -63.6134948442268 -231.973644870072</f>
        <v>-1021.8132113822409</v>
      </c>
      <c r="W4040" t="s">
        <v>81174</v>
      </c>
      <c r="X4040" t="s">
        <v>81175</v>
      </c>
      <c r="Y4040" t="s">
        <v>81176</v>
      </c>
    </row>
    <row r="4041" spans="1:25" x14ac:dyDescent="0.3">
      <c r="A4041">
        <v>202000</v>
      </c>
      <c r="B4041" t="s">
        <v>81177</v>
      </c>
      <c r="C4041" t="s">
        <v>81178</v>
      </c>
      <c r="D4041" t="s">
        <v>81179</v>
      </c>
      <c r="E4041" t="s">
        <v>81180</v>
      </c>
      <c r="F4041">
        <f>-748.009366379291 -2.74278021982218 -579.506636112809</f>
        <v>-1330.2587827119223</v>
      </c>
      <c r="G4041">
        <f>-747.680005968143 -31.630249121539 -685.148788916247</f>
        <v>-1464.4590440059289</v>
      </c>
      <c r="H4041">
        <f>-743.301218268864 -79.3269970258484 -829.737399986617</f>
        <v>-1652.3656152813294</v>
      </c>
      <c r="I4041">
        <f>-705.56077556277 -111.026887508424 -918.921167895187</f>
        <v>-1735.5088309663811</v>
      </c>
      <c r="J4041">
        <f>-736.157992908864 -29.2062192064011 -775.058421539361</f>
        <v>-1540.4226336546262</v>
      </c>
      <c r="K4041" t="s">
        <v>81181</v>
      </c>
      <c r="L4041" t="s">
        <v>81182</v>
      </c>
      <c r="M4041" t="s">
        <v>81183</v>
      </c>
      <c r="N4041">
        <f>-754.31953420498 -87.2392690985596 -756.464501660863</f>
        <v>-1598.0233049644025</v>
      </c>
      <c r="O4041">
        <f>-801.936153587602 -208.649948979279 -688.514171530663</f>
        <v>-1699.1002740975441</v>
      </c>
      <c r="P4041">
        <f>-749.370502116879 -160.438829123292 -380.133318372538</f>
        <v>-1289.9426496127091</v>
      </c>
      <c r="Q4041">
        <f>-503.883904569587 -74.9350421411618 -388.349687665256</f>
        <v>-967.16863437600477</v>
      </c>
      <c r="R4041" t="s">
        <v>81184</v>
      </c>
      <c r="S4041" t="s">
        <v>81185</v>
      </c>
      <c r="T4041" t="s">
        <v>81186</v>
      </c>
      <c r="U4041" t="s">
        <v>81187</v>
      </c>
      <c r="V4041">
        <f>-726.259759202717 -63.5071531766503 -232.032733285837</f>
        <v>-1021.7996456652043</v>
      </c>
      <c r="W4041" t="s">
        <v>81188</v>
      </c>
      <c r="X4041" t="s">
        <v>81189</v>
      </c>
      <c r="Y4041" t="s">
        <v>81190</v>
      </c>
    </row>
    <row r="4042" spans="1:25" x14ac:dyDescent="0.3">
      <c r="A4042">
        <v>202050</v>
      </c>
      <c r="B4042" t="s">
        <v>81191</v>
      </c>
      <c r="C4042" t="s">
        <v>81192</v>
      </c>
      <c r="D4042" t="s">
        <v>81193</v>
      </c>
      <c r="E4042" t="s">
        <v>81194</v>
      </c>
      <c r="F4042">
        <f>-748.718522130494 -2.47540075788356 -579.517462891496</f>
        <v>-1330.7113857798736</v>
      </c>
      <c r="G4042">
        <f>-748.550055828814 -31.2768261506478 -685.183462747432</f>
        <v>-1465.0103447268939</v>
      </c>
      <c r="H4042">
        <f>-744.40539151303 -78.8369136045944 -829.82392120731</f>
        <v>-1653.0662263249346</v>
      </c>
      <c r="I4042">
        <f>-706.780122697018 -110.394919814206 -919.106706007342</f>
        <v>-1736.281748518566</v>
      </c>
      <c r="J4042">
        <f>-737.261746850963 -28.7437797479563 -775.119479786125</f>
        <v>-1541.1250063850443</v>
      </c>
      <c r="K4042" t="s">
        <v>81195</v>
      </c>
      <c r="L4042" t="s">
        <v>81196</v>
      </c>
      <c r="M4042" t="s">
        <v>81197</v>
      </c>
      <c r="N4042">
        <f>-755.216800978245 -86.8423230313542 -756.530320974831</f>
        <v>-1598.5894449844304</v>
      </c>
      <c r="O4042">
        <f>-802.316461330966 -208.469441395044 -688.619039882795</f>
        <v>-1699.404942608805</v>
      </c>
      <c r="P4042">
        <f>-749.713299048246 -159.942081850235 -380.29425730008</f>
        <v>-1289.9496381985609</v>
      </c>
      <c r="Q4042">
        <f>-504.61967692854 -73.3978194855736 -389.310974737784</f>
        <v>-967.32847115189759</v>
      </c>
      <c r="R4042" t="s">
        <v>81198</v>
      </c>
      <c r="S4042" t="s">
        <v>81199</v>
      </c>
      <c r="T4042" t="s">
        <v>81200</v>
      </c>
      <c r="U4042" t="s">
        <v>81201</v>
      </c>
      <c r="V4042">
        <f>-726.217914312803 -63.3891992392275 -232.108550943822</f>
        <v>-1021.7156644958526</v>
      </c>
      <c r="W4042" t="s">
        <v>81202</v>
      </c>
      <c r="X4042" t="s">
        <v>81203</v>
      </c>
      <c r="Y4042" t="s">
        <v>81204</v>
      </c>
    </row>
    <row r="4043" spans="1:25" x14ac:dyDescent="0.3">
      <c r="A4043">
        <v>202100</v>
      </c>
      <c r="B4043" t="s">
        <v>81205</v>
      </c>
      <c r="C4043" t="s">
        <v>81206</v>
      </c>
      <c r="D4043" t="s">
        <v>81207</v>
      </c>
      <c r="E4043" t="s">
        <v>81208</v>
      </c>
      <c r="F4043">
        <f>-749.047332583663 -2.39587893665907 -579.533206242256</f>
        <v>-1330.976417762578</v>
      </c>
      <c r="G4043">
        <f>-748.95346651767 -31.1772906684769 -685.204663190521</f>
        <v>-1465.335420376668</v>
      </c>
      <c r="H4043">
        <f>-744.921256134319 -78.7076332979657 -829.858168462193</f>
        <v>-1653.4870578944779</v>
      </c>
      <c r="I4043">
        <f>-707.32183091273 -110.222201834355 -919.167135219266</f>
        <v>-1736.711167966351</v>
      </c>
      <c r="J4043">
        <f>-737.757132926064 -28.6197176619576 -775.151627238397</f>
        <v>-1541.5284778264186</v>
      </c>
      <c r="K4043" t="s">
        <v>81209</v>
      </c>
      <c r="L4043" t="s">
        <v>81210</v>
      </c>
      <c r="M4043" t="s">
        <v>81211</v>
      </c>
      <c r="N4043">
        <f>-755.65364416158 -86.7341599244071 -756.555328888249</f>
        <v>-1598.9431329742361</v>
      </c>
      <c r="O4043">
        <f>-802.627073604492 -208.405608822262 -688.628927055944</f>
        <v>-1699.6616094826982</v>
      </c>
      <c r="P4043">
        <f>-749.717376513839 -159.71839080485 -380.381681354042</f>
        <v>-1289.817448672731</v>
      </c>
      <c r="Q4043">
        <f>-504.660998592224 -73.1107784051253 -389.795121762023</f>
        <v>-967.56689875937229</v>
      </c>
      <c r="R4043" t="s">
        <v>81212</v>
      </c>
      <c r="S4043" t="s">
        <v>81213</v>
      </c>
      <c r="T4043" t="s">
        <v>81214</v>
      </c>
      <c r="U4043" t="s">
        <v>81215</v>
      </c>
      <c r="V4043">
        <f>-726.260945387554 -63.3739320376435 -232.135155160564</f>
        <v>-1021.7700325857616</v>
      </c>
      <c r="W4043" t="s">
        <v>81216</v>
      </c>
      <c r="X4043" t="s">
        <v>81217</v>
      </c>
      <c r="Y4043" t="s">
        <v>81218</v>
      </c>
    </row>
    <row r="4044" spans="1:25" x14ac:dyDescent="0.3">
      <c r="A4044">
        <v>202150</v>
      </c>
      <c r="B4044" t="s">
        <v>81219</v>
      </c>
      <c r="C4044" t="s">
        <v>81220</v>
      </c>
      <c r="D4044" t="s">
        <v>81221</v>
      </c>
      <c r="E4044" t="s">
        <v>81222</v>
      </c>
      <c r="F4044">
        <f>-749.940446919378 -2.17936544343183 -579.558844634767</f>
        <v>-1331.6786569975768</v>
      </c>
      <c r="G4044">
        <f>-750.065573117178 -30.9367113667936 -685.236921239813</f>
        <v>-1466.2392057237846</v>
      </c>
      <c r="H4044">
        <f>-746.36622415646 -78.4395024036544 -829.908180675847</f>
        <v>-1654.7139072359614</v>
      </c>
      <c r="I4044">
        <f>-708.836356845109 -109.945756221978 -919.249374974561</f>
        <v>-1738.0314880416481</v>
      </c>
      <c r="J4044">
        <f>-739.046206965047 -28.3701322365273 -775.205412226827</f>
        <v>-1542.6217514284012</v>
      </c>
      <c r="K4044" t="s">
        <v>81223</v>
      </c>
      <c r="L4044" t="s">
        <v>81224</v>
      </c>
      <c r="M4044" t="s">
        <v>81225</v>
      </c>
      <c r="N4044">
        <f>-756.959992873375 -86.4719169140697 -756.585849198486</f>
        <v>-1600.0177589859306</v>
      </c>
      <c r="O4044">
        <f>-803.875259485809 -208.159058638414 -688.663295883987</f>
        <v>-1700.6976140082099</v>
      </c>
      <c r="P4044">
        <f>-750.224413686417 -160.03045489821 -380.456534595832</f>
        <v>-1290.711403180459</v>
      </c>
      <c r="Q4044">
        <f>-505.411714098291 -72.9014634453758 -391.287335576061</f>
        <v>-969.60051311972779</v>
      </c>
      <c r="R4044" t="s">
        <v>81226</v>
      </c>
      <c r="S4044" t="s">
        <v>81227</v>
      </c>
      <c r="T4044" t="s">
        <v>81228</v>
      </c>
      <c r="U4044" t="s">
        <v>81229</v>
      </c>
      <c r="V4044">
        <f>-726.574016355761 -63.3034183714378 -232.213174426585</f>
        <v>-1022.0906091537838</v>
      </c>
      <c r="W4044" t="s">
        <v>81230</v>
      </c>
      <c r="X4044" t="s">
        <v>81231</v>
      </c>
      <c r="Y4044" t="s">
        <v>81232</v>
      </c>
    </row>
    <row r="4045" spans="1:25" x14ac:dyDescent="0.3">
      <c r="A4045">
        <v>202200</v>
      </c>
      <c r="B4045" t="s">
        <v>81233</v>
      </c>
      <c r="C4045" t="s">
        <v>81234</v>
      </c>
      <c r="D4045" t="s">
        <v>81235</v>
      </c>
      <c r="E4045" t="s">
        <v>81236</v>
      </c>
      <c r="F4045">
        <f>-750.421465354322 -2.10377359252197 -579.608882398786</f>
        <v>-1332.1341213456299</v>
      </c>
      <c r="G4045">
        <f>-750.656683727831 -30.8708726587424 -685.284218007349</f>
        <v>-1466.8117743939224</v>
      </c>
      <c r="H4045">
        <f>-747.130143942562 -78.3964221647886 -829.952304550473</f>
        <v>-1655.4788706578236</v>
      </c>
      <c r="I4045">
        <f>-709.637749026738 -109.961054463677 -919.288565062444</f>
        <v>-1738.887368552859</v>
      </c>
      <c r="J4045">
        <f>-739.703667802632 -28.3297299366891 -775.261621166554</f>
        <v>-1543.2950189058752</v>
      </c>
      <c r="K4045" t="s">
        <v>81237</v>
      </c>
      <c r="L4045" t="s">
        <v>81238</v>
      </c>
      <c r="M4045" t="s">
        <v>81239</v>
      </c>
      <c r="N4045">
        <f>-757.67745177943 -86.4060238909879 -756.62066841287</f>
        <v>-1600.7041440832879</v>
      </c>
      <c r="O4045">
        <f>-804.681722275277 -208.067222698214 -688.698692934891</f>
        <v>-1701.4476379083821</v>
      </c>
      <c r="P4045">
        <f>-750.657147758402 -160.246434516653 -380.50920558885</f>
        <v>-1291.4127878639051</v>
      </c>
      <c r="Q4045">
        <f>-505.91632809164 -72.9537146365103 -391.642668435364</f>
        <v>-970.51271116351427</v>
      </c>
      <c r="R4045" t="s">
        <v>81240</v>
      </c>
      <c r="S4045" t="s">
        <v>81241</v>
      </c>
      <c r="T4045" t="s">
        <v>81242</v>
      </c>
      <c r="U4045" t="s">
        <v>81243</v>
      </c>
      <c r="V4045">
        <f>-726.865160604108 -63.2545585540661 -232.27017172667</f>
        <v>-1022.3898908848441</v>
      </c>
      <c r="W4045" t="s">
        <v>81244</v>
      </c>
      <c r="X4045" t="s">
        <v>81245</v>
      </c>
      <c r="Y4045" t="s">
        <v>81246</v>
      </c>
    </row>
    <row r="4046" spans="1:25" x14ac:dyDescent="0.3">
      <c r="A4046">
        <v>202250</v>
      </c>
      <c r="B4046" t="s">
        <v>81247</v>
      </c>
      <c r="C4046" t="s">
        <v>81248</v>
      </c>
      <c r="D4046" t="s">
        <v>81249</v>
      </c>
      <c r="E4046" t="s">
        <v>81250</v>
      </c>
      <c r="F4046">
        <f>-751.307075362201 -1.94137079883467 -579.653744121944</f>
        <v>-1332.9021902829795</v>
      </c>
      <c r="G4046">
        <f>-751.64284918824 -30.7596384052781 -685.31466462525</f>
        <v>-1467.7171522187682</v>
      </c>
      <c r="H4046">
        <f>-748.265806765273 -78.383855946968 -829.954103496224</f>
        <v>-1656.603766208465</v>
      </c>
      <c r="I4046">
        <f>-710.893234387364 -110.089586952936 -919.290674356333</f>
        <v>-1740.2734956966331</v>
      </c>
      <c r="J4046">
        <f>-740.726221759243 -28.2952831149728 -775.298818403465</f>
        <v>-1544.3203232776809</v>
      </c>
      <c r="K4046" t="s">
        <v>81251</v>
      </c>
      <c r="L4046" t="s">
        <v>81252</v>
      </c>
      <c r="M4046" t="s">
        <v>81253</v>
      </c>
      <c r="N4046">
        <f>-758.793874859915 -86.3279680519761 -756.612642454299</f>
        <v>-1601.7344853661903</v>
      </c>
      <c r="O4046">
        <f>-805.922824889326 -207.939520528646 -688.698274282826</f>
        <v>-1702.5606197007978</v>
      </c>
      <c r="P4046">
        <f>-751.473279787034 -160.080155503003 -380.589700765967</f>
        <v>-1292.1431360560041</v>
      </c>
      <c r="Q4046">
        <f>-506.857569111705 -72.4695545655427 -391.97286938854</f>
        <v>-971.2999930657877</v>
      </c>
      <c r="R4046" t="s">
        <v>81254</v>
      </c>
      <c r="S4046" t="s">
        <v>81255</v>
      </c>
      <c r="T4046" t="s">
        <v>81256</v>
      </c>
      <c r="U4046" t="s">
        <v>81257</v>
      </c>
      <c r="V4046">
        <f>-727.727564571085 -63.0891478829178 -232.351594653752</f>
        <v>-1023.1683071077548</v>
      </c>
      <c r="W4046" t="s">
        <v>81258</v>
      </c>
      <c r="X4046" t="s">
        <v>81259</v>
      </c>
      <c r="Y4046" t="s">
        <v>81260</v>
      </c>
    </row>
    <row r="4047" spans="1:25" x14ac:dyDescent="0.3">
      <c r="A4047">
        <v>202300</v>
      </c>
      <c r="B4047" t="s">
        <v>81261</v>
      </c>
      <c r="C4047" t="s">
        <v>81262</v>
      </c>
      <c r="D4047" t="s">
        <v>81263</v>
      </c>
      <c r="E4047" t="s">
        <v>81264</v>
      </c>
      <c r="F4047">
        <f>-751.695141570405 -1.97519436895323 -579.666238273759</f>
        <v>-1333.3365742131173</v>
      </c>
      <c r="G4047">
        <f>-752.026945309349 -30.8844572189996 -685.3024725927</f>
        <v>-1468.2138751210487</v>
      </c>
      <c r="H4047">
        <f>-748.633851999346 -78.6618467619819 -829.890838040677</f>
        <v>-1657.1865368020049</v>
      </c>
      <c r="I4047">
        <f>-711.313922743494 -110.453994541449 -919.218694730333</f>
        <v>-1740.986612015276</v>
      </c>
      <c r="J4047">
        <f>-741.077941400647 -28.5215974221899 -775.285279956456</f>
        <v>-1544.8848187792928</v>
      </c>
      <c r="K4047" t="s">
        <v>81265</v>
      </c>
      <c r="L4047" t="s">
        <v>81266</v>
      </c>
      <c r="M4047" t="s">
        <v>81267</v>
      </c>
      <c r="N4047">
        <f>-759.192531958104 -86.522175119876 -756.544732357139</f>
        <v>-1602.259439435119</v>
      </c>
      <c r="O4047">
        <f>-806.423740496352 -208.046481537551 -688.54046172961</f>
        <v>-1703.010683763513</v>
      </c>
      <c r="P4047">
        <f>-752.041354918711 -159.696942601722 -380.496611421715</f>
        <v>-1292.234908942148</v>
      </c>
      <c r="Q4047">
        <f>-507.446468251326 -72.1034120113388 -392.445556254482</f>
        <v>-971.9954365171468</v>
      </c>
      <c r="R4047" t="s">
        <v>81268</v>
      </c>
      <c r="S4047" t="s">
        <v>81269</v>
      </c>
      <c r="T4047" t="s">
        <v>81270</v>
      </c>
      <c r="U4047" t="s">
        <v>81271</v>
      </c>
      <c r="V4047">
        <f>-728.170820929657 -63.0206659253743 -232.385184263248</f>
        <v>-1023.5766711182793</v>
      </c>
      <c r="W4047" t="s">
        <v>81272</v>
      </c>
      <c r="X4047" t="s">
        <v>81273</v>
      </c>
      <c r="Y4047" t="s">
        <v>81274</v>
      </c>
    </row>
    <row r="4048" spans="1:25" x14ac:dyDescent="0.3">
      <c r="A4048">
        <v>202350</v>
      </c>
      <c r="B4048" t="s">
        <v>81275</v>
      </c>
      <c r="C4048" t="s">
        <v>81276</v>
      </c>
      <c r="D4048" t="s">
        <v>81277</v>
      </c>
      <c r="E4048" t="s">
        <v>81278</v>
      </c>
      <c r="F4048">
        <f>-752.299876115617 -2.03117196857147 -579.57874043658</f>
        <v>-1333.9097885207684</v>
      </c>
      <c r="G4048">
        <f>-752.606114360713 -31.1555790116647 -685.15587877365</f>
        <v>-1468.9175721460279</v>
      </c>
      <c r="H4048">
        <f>-749.172877186652 -79.2993923902873 -829.62172926297</f>
        <v>-1658.0939988399093</v>
      </c>
      <c r="I4048">
        <f>-711.904957204074 -111.280778714541 -918.903684375005</f>
        <v>-1742.0894202936202</v>
      </c>
      <c r="J4048">
        <f>-741.561617484244 -29.0401930786236 -775.133171348761</f>
        <v>-1545.7349819116287</v>
      </c>
      <c r="K4048" t="s">
        <v>81279</v>
      </c>
      <c r="L4048" t="s">
        <v>81280</v>
      </c>
      <c r="M4048" t="s">
        <v>81281</v>
      </c>
      <c r="N4048">
        <f>-759.822250274648 -86.9541937078313 -756.267086506667</f>
        <v>-1603.0435304891464</v>
      </c>
      <c r="O4048">
        <f>-807.429669179927 -208.221776013449 -688.061180591022</f>
        <v>-1703.7126257843979</v>
      </c>
      <c r="P4048">
        <f>-752.927735673233 -159.804273819434 -380.049069122846</f>
        <v>-1292.781078615513</v>
      </c>
      <c r="Q4048">
        <f>-508.286844430689 -72.7444102134582 -394.660161600974</f>
        <v>-975.6914162451211</v>
      </c>
      <c r="R4048" t="s">
        <v>81282</v>
      </c>
      <c r="S4048" t="s">
        <v>81283</v>
      </c>
      <c r="T4048" t="s">
        <v>81284</v>
      </c>
      <c r="U4048" t="s">
        <v>81285</v>
      </c>
      <c r="V4048">
        <f>-728.940111816187 -62.9116797380025 -232.397373911522</f>
        <v>-1024.2491654657115</v>
      </c>
      <c r="W4048" t="s">
        <v>81286</v>
      </c>
      <c r="X4048" t="s">
        <v>81287</v>
      </c>
      <c r="Y4048" t="s">
        <v>81288</v>
      </c>
    </row>
    <row r="4049" spans="1:25" x14ac:dyDescent="0.3">
      <c r="A4049">
        <v>202400</v>
      </c>
      <c r="B4049" t="s">
        <v>81289</v>
      </c>
      <c r="C4049" t="s">
        <v>81290</v>
      </c>
      <c r="D4049" t="s">
        <v>81291</v>
      </c>
      <c r="E4049" t="s">
        <v>81292</v>
      </c>
      <c r="F4049">
        <f>-752.738348331582 -1.95416610232019 -579.559923042632</f>
        <v>-1334.2524374765342</v>
      </c>
      <c r="G4049">
        <f>-753.069785364518 -31.1386195287771 -685.120419811312</f>
        <v>-1469.3288247046071</v>
      </c>
      <c r="H4049">
        <f>-749.667513569348 -79.3939171964175 -829.549844346661</f>
        <v>-1658.6112751124265</v>
      </c>
      <c r="I4049">
        <f>-712.39017855831 -111.4773234432 -918.791273027841</f>
        <v>-1742.6587750293511</v>
      </c>
      <c r="J4049">
        <f>-741.985736992199 -29.10914673617 -775.094797823567</f>
        <v>-1546.189681551936</v>
      </c>
      <c r="K4049" t="s">
        <v>81293</v>
      </c>
      <c r="L4049" t="s">
        <v>81294</v>
      </c>
      <c r="M4049" t="s">
        <v>81295</v>
      </c>
      <c r="N4049">
        <f>-760.360018292577 -86.9756612297344 -756.193767417373</f>
        <v>-1603.5294469396845</v>
      </c>
      <c r="O4049">
        <f>-808.35612304995 -208.031995482508 -687.881569777349</f>
        <v>-1704.269688309807</v>
      </c>
      <c r="P4049">
        <f>-753.067602639637 -160.442120088579 -379.880649206283</f>
        <v>-1293.3903719344989</v>
      </c>
      <c r="Q4049">
        <f>-508.400856764611 -73.5952719112245 -395.303126349879</f>
        <v>-977.2992550257145</v>
      </c>
      <c r="R4049" t="s">
        <v>81296</v>
      </c>
      <c r="S4049" t="s">
        <v>81297</v>
      </c>
      <c r="T4049" t="s">
        <v>81298</v>
      </c>
      <c r="U4049" t="s">
        <v>81299</v>
      </c>
      <c r="V4049">
        <f>-729.359345587282 -62.8562188798207 -232.406315737264</f>
        <v>-1024.6218802043668</v>
      </c>
      <c r="W4049" t="s">
        <v>81300</v>
      </c>
      <c r="X4049" t="s">
        <v>81301</v>
      </c>
      <c r="Y4049" t="s">
        <v>81302</v>
      </c>
    </row>
    <row r="4050" spans="1:25" x14ac:dyDescent="0.3">
      <c r="A4050">
        <v>202450</v>
      </c>
      <c r="B4050" t="s">
        <v>81303</v>
      </c>
      <c r="C4050" t="s">
        <v>81304</v>
      </c>
      <c r="D4050" t="s">
        <v>81305</v>
      </c>
      <c r="E4050" t="s">
        <v>81306</v>
      </c>
      <c r="F4050">
        <f>-753.392083207169 -1.7364596450011 -579.544349519168</f>
        <v>-1334.6728923713381</v>
      </c>
      <c r="G4050">
        <f>-753.766619235092 -30.9990039299089 -685.083106758163</f>
        <v>-1469.8487299231638</v>
      </c>
      <c r="H4050">
        <f>-750.433371557063 -79.3922927239457 -829.467897143409</f>
        <v>-1659.2935614244177</v>
      </c>
      <c r="I4050">
        <f>-713.195633635256 -111.681681050914 -918.65159764039</f>
        <v>-1743.52891232656</v>
      </c>
      <c r="J4050">
        <f>-742.661240539926 -29.0734668731745 -775.057036796908</f>
        <v>-1546.7917442100086</v>
      </c>
      <c r="K4050" t="s">
        <v>81307</v>
      </c>
      <c r="L4050" t="s">
        <v>81308</v>
      </c>
      <c r="M4050" t="s">
        <v>81309</v>
      </c>
      <c r="N4050">
        <f>-761.155137178648 -86.885963668072 -756.107083128584</f>
        <v>-1604.1481839753042</v>
      </c>
      <c r="O4050">
        <f>-809.526875234864 -207.721806534023 -687.660196387091</f>
        <v>-1704.9088781559781</v>
      </c>
      <c r="P4050">
        <f>-753.432736851209 -160.788755666517 -379.704136119705</f>
        <v>-1293.9256286374311</v>
      </c>
      <c r="Q4050">
        <f>-509.214056692447 -73.0339699570425 -396.9800118933</f>
        <v>-979.22803854278948</v>
      </c>
      <c r="R4050" t="s">
        <v>81310</v>
      </c>
      <c r="S4050" t="s">
        <v>81311</v>
      </c>
      <c r="T4050" t="s">
        <v>81312</v>
      </c>
      <c r="U4050" t="s">
        <v>81313</v>
      </c>
      <c r="V4050">
        <f>-730.196997716979 -62.6326596604815 -232.427955060495</f>
        <v>-1025.2576124379555</v>
      </c>
      <c r="W4050" t="s">
        <v>81314</v>
      </c>
      <c r="X4050" t="s">
        <v>81315</v>
      </c>
      <c r="Y4050" t="s">
        <v>81316</v>
      </c>
    </row>
    <row r="4051" spans="1:25" x14ac:dyDescent="0.3">
      <c r="A4051">
        <v>202500</v>
      </c>
      <c r="B4051" t="s">
        <v>81317</v>
      </c>
      <c r="C4051" t="s">
        <v>81318</v>
      </c>
      <c r="D4051" t="s">
        <v>81319</v>
      </c>
      <c r="E4051" t="s">
        <v>81320</v>
      </c>
      <c r="F4051">
        <f>-753.680789456639 -1.56072510390004 -579.554801569197</f>
        <v>-1334.7963161297362</v>
      </c>
      <c r="G4051">
        <f>-754.017895405551 -30.8307210558617 -685.091630267322</f>
        <v>-1469.9402467287346</v>
      </c>
      <c r="H4051">
        <f>-750.607701982338 -79.2429727561844 -829.468261002738</f>
        <v>-1659.3189357412602</v>
      </c>
      <c r="I4051">
        <f>-713.386042891804 -111.550613677229 -918.652053709842</f>
        <v>-1743.5887102788749</v>
      </c>
      <c r="J4051">
        <f>-742.879381686367 -28.9129137031678 -775.061519999291</f>
        <v>-1546.8538153888258</v>
      </c>
      <c r="K4051" t="s">
        <v>81321</v>
      </c>
      <c r="L4051" t="s">
        <v>81322</v>
      </c>
      <c r="M4051" t="s">
        <v>81323</v>
      </c>
      <c r="N4051">
        <f>-761.353782727192 -86.7311374925232 -756.110519391844</f>
        <v>-1604.1954396115593</v>
      </c>
      <c r="O4051">
        <f>-809.739527426141 -207.552624178129 -687.64980939977</f>
        <v>-1704.94196100404</v>
      </c>
      <c r="P4051">
        <f>-753.546515354134 -161.223036406047 -379.620404129906</f>
        <v>-1294.3899558900871</v>
      </c>
      <c r="Q4051">
        <f>-509.56555352751 -72.8849969739274 -397.274497937153</f>
        <v>-979.72504843859042</v>
      </c>
      <c r="R4051" t="s">
        <v>81324</v>
      </c>
      <c r="S4051" t="s">
        <v>81325</v>
      </c>
      <c r="T4051" t="s">
        <v>81326</v>
      </c>
      <c r="U4051" t="s">
        <v>81327</v>
      </c>
      <c r="V4051">
        <f>-730.587760149487 -62.4700565663693 -232.441729135316</f>
        <v>-1025.4995458511723</v>
      </c>
      <c r="W4051" t="s">
        <v>81328</v>
      </c>
      <c r="X4051" t="s">
        <v>81329</v>
      </c>
      <c r="Y4051" t="s">
        <v>81330</v>
      </c>
    </row>
    <row r="4052" spans="1:25" x14ac:dyDescent="0.3">
      <c r="A4052">
        <v>202550</v>
      </c>
      <c r="B4052" t="s">
        <v>81331</v>
      </c>
      <c r="C4052" t="s">
        <v>81332</v>
      </c>
      <c r="D4052" t="s">
        <v>81333</v>
      </c>
      <c r="E4052" t="s">
        <v>81334</v>
      </c>
      <c r="F4052">
        <f>-754.042069308071 -1.06920296304406 -579.578612927319</f>
        <v>-1334.689885198434</v>
      </c>
      <c r="G4052">
        <f>-754.279175767442 -30.3084385101188 -685.124207487695</f>
        <v>-1469.7118217652558</v>
      </c>
      <c r="H4052">
        <f>-750.67972127329 -78.6756134861012 -829.51136206298</f>
        <v>-1658.8666968223711</v>
      </c>
      <c r="I4052">
        <f>-713.482745618766 -110.910768059988 -918.731616538548</f>
        <v>-1743.1251302173018</v>
      </c>
      <c r="J4052">
        <f>-743.092386236878 -28.3430394102456 -775.087293604158</f>
        <v>-1546.5227192512816</v>
      </c>
      <c r="K4052" t="s">
        <v>81335</v>
      </c>
      <c r="L4052" t="s">
        <v>81336</v>
      </c>
      <c r="M4052" t="s">
        <v>81337</v>
      </c>
      <c r="N4052">
        <f>-761.452328253712 -86.206213891317 -756.161798647563</f>
        <v>-1603.8203407925921</v>
      </c>
      <c r="O4052">
        <f>-809.78314525531 -207.050510237669 -687.72774263114</f>
        <v>-1704.561398124119</v>
      </c>
      <c r="P4052">
        <f>-754.109244364327 -160.317983373998 -379.664987824507</f>
        <v>-1294.0922155628321</v>
      </c>
      <c r="Q4052">
        <f>-509.968518678168 -72.4859059387004 -397.634870788039</f>
        <v>-980.08929540490749</v>
      </c>
      <c r="R4052" t="s">
        <v>81338</v>
      </c>
      <c r="S4052" t="s">
        <v>81339</v>
      </c>
      <c r="T4052" t="s">
        <v>81340</v>
      </c>
      <c r="U4052" t="s">
        <v>81341</v>
      </c>
      <c r="V4052">
        <f>-731.089574879984 -62.0519873419019 -232.480218411508</f>
        <v>-1025.6217806333939</v>
      </c>
      <c r="W4052" t="s">
        <v>81342</v>
      </c>
      <c r="X4052" t="s">
        <v>81343</v>
      </c>
      <c r="Y4052" t="s">
        <v>81344</v>
      </c>
    </row>
    <row r="4053" spans="1:25" x14ac:dyDescent="0.3">
      <c r="A4053">
        <v>202600</v>
      </c>
      <c r="B4053" t="s">
        <v>81345</v>
      </c>
      <c r="C4053" t="s">
        <v>81346</v>
      </c>
      <c r="D4053" t="s">
        <v>81347</v>
      </c>
      <c r="E4053" t="s">
        <v>81348</v>
      </c>
      <c r="F4053">
        <f>-754.291557864766 -0.82985520313332 -579.540427830678</f>
        <v>-1334.6618408985773</v>
      </c>
      <c r="G4053">
        <f>-754.461960803319 -30.0648718498965 -685.087234358479</f>
        <v>-1469.6140670116945</v>
      </c>
      <c r="H4053">
        <f>-750.728358717464 -78.4336073052375 -829.47060778841</f>
        <v>-1658.6325738111113</v>
      </c>
      <c r="I4053">
        <f>-713.505804842593 -110.616226889823 -918.699147583331</f>
        <v>-1742.821179315747</v>
      </c>
      <c r="J4053">
        <f>-743.224612783291 -28.0913747636896 -775.043732122465</f>
        <v>-1546.3597196694457</v>
      </c>
      <c r="K4053" t="s">
        <v>81349</v>
      </c>
      <c r="L4053" t="s">
        <v>81350</v>
      </c>
      <c r="M4053" t="s">
        <v>81351</v>
      </c>
      <c r="N4053">
        <f>-761.536221738843 -85.9726370050573 -756.126937531394</f>
        <v>-1603.6357962752943</v>
      </c>
      <c r="O4053">
        <f>-809.828281878448 -206.837224023693 -687.687020471976</f>
        <v>-1704.3525263741171</v>
      </c>
      <c r="P4053">
        <f>-754.302766688564 -160.269124949508 -379.572425431594</f>
        <v>-1294.1443170696659</v>
      </c>
      <c r="Q4053">
        <f>-509.926298253986 -73.0760017616662 -397.446854932681</f>
        <v>-980.44915494833322</v>
      </c>
      <c r="R4053" t="s">
        <v>81352</v>
      </c>
      <c r="S4053" t="s">
        <v>81353</v>
      </c>
      <c r="T4053" t="s">
        <v>81354</v>
      </c>
      <c r="U4053" t="s">
        <v>81355</v>
      </c>
      <c r="V4053">
        <f>-731.299356530307 -61.8905302104727 -232.483060884555</f>
        <v>-1025.6729476253347</v>
      </c>
      <c r="W4053" t="s">
        <v>81356</v>
      </c>
      <c r="X4053" t="s">
        <v>81357</v>
      </c>
      <c r="Y4053" t="s">
        <v>81358</v>
      </c>
    </row>
    <row r="4054" spans="1:25" x14ac:dyDescent="0.3">
      <c r="A4054">
        <v>202650</v>
      </c>
      <c r="B4054" t="s">
        <v>81359</v>
      </c>
      <c r="C4054" t="s">
        <v>81360</v>
      </c>
      <c r="D4054" t="s">
        <v>81361</v>
      </c>
      <c r="E4054" t="s">
        <v>81362</v>
      </c>
      <c r="F4054">
        <f>-754.982862007463 -0.415199418608609 -579.498659489853</f>
        <v>-1334.8967209159246</v>
      </c>
      <c r="G4054">
        <f>-755.085017060888 -29.6077425224628 -685.057440321932</f>
        <v>-1469.7501999052829</v>
      </c>
      <c r="H4054">
        <f>-751.179086591826 -77.9253130670552 -829.453215989733</f>
        <v>-1658.5576156486143</v>
      </c>
      <c r="I4054">
        <f>-713.816102689771 -110.035192555043 -918.64934053325</f>
        <v>-1742.500635778064</v>
      </c>
      <c r="J4054">
        <f>-743.764860004819 -27.5955332493529 -775.002748406227</f>
        <v>-1546.3631416603989</v>
      </c>
      <c r="K4054" t="s">
        <v>81363</v>
      </c>
      <c r="L4054" t="s">
        <v>81364</v>
      </c>
      <c r="M4054" t="s">
        <v>81365</v>
      </c>
      <c r="N4054">
        <f>-762.049821053062 -85.4970389539394 -756.122434213377</f>
        <v>-1603.6692942203786</v>
      </c>
      <c r="O4054">
        <f>-810.404777480199 -206.326615748846 -687.680196629304</f>
        <v>-1704.4115898583489</v>
      </c>
      <c r="P4054">
        <f>-755.027806015292 -159.857606937757 -379.524025728872</f>
        <v>-1294.4094386819208</v>
      </c>
      <c r="Q4054">
        <f>-510.206523953207 -74.0031434302066 -397.788303925001</f>
        <v>-981.99797130841466</v>
      </c>
      <c r="R4054" t="s">
        <v>81366</v>
      </c>
      <c r="S4054" t="s">
        <v>81367</v>
      </c>
      <c r="T4054" t="s">
        <v>81368</v>
      </c>
      <c r="U4054" t="s">
        <v>81369</v>
      </c>
      <c r="V4054">
        <f>-731.606113435606 -61.6548925485779 -232.492023125241</f>
        <v>-1025.7530291094249</v>
      </c>
      <c r="W4054" t="s">
        <v>81370</v>
      </c>
      <c r="X4054" t="s">
        <v>81371</v>
      </c>
      <c r="Y4054" t="s">
        <v>81372</v>
      </c>
    </row>
    <row r="4055" spans="1:25" x14ac:dyDescent="0.3">
      <c r="A4055">
        <v>202700</v>
      </c>
      <c r="B4055" t="s">
        <v>81373</v>
      </c>
      <c r="C4055" t="s">
        <v>81374</v>
      </c>
      <c r="D4055" t="s">
        <v>81375</v>
      </c>
      <c r="E4055" t="s">
        <v>81376</v>
      </c>
      <c r="F4055">
        <f>-755.526783978135 -0.21147785174162 -579.425124576498</f>
        <v>-1335.1633864063747</v>
      </c>
      <c r="G4055">
        <f>-755.595247335453 -29.374497468697 -684.992034652502</f>
        <v>-1469.961779456652</v>
      </c>
      <c r="H4055">
        <f>-751.591848657373 -77.6588593002425 -829.396303139625</f>
        <v>-1658.6470110972405</v>
      </c>
      <c r="I4055">
        <f>-714.144979364598 -109.732252750027 -918.570347145604</f>
        <v>-1742.4475792602291</v>
      </c>
      <c r="J4055">
        <f>-744.223235894616 -27.3391686393859 -774.930311107662</f>
        <v>-1546.4927156416638</v>
      </c>
      <c r="K4055" t="s">
        <v>81377</v>
      </c>
      <c r="L4055" t="s">
        <v>81378</v>
      </c>
      <c r="M4055" t="s">
        <v>81379</v>
      </c>
      <c r="N4055">
        <f>-762.503310365816 -85.2499927579897 -756.073398963399</f>
        <v>-1603.8267020872047</v>
      </c>
      <c r="O4055">
        <f>-810.866414860502 -206.092445561565 -687.638992833838</f>
        <v>-1704.597853255905</v>
      </c>
      <c r="P4055">
        <f>-755.466838026659 -159.737000636969 -379.469843171716</f>
        <v>-1294.673681835344</v>
      </c>
      <c r="Q4055">
        <f>-510.461298144654 -74.4571248844447 -397.953301069054</f>
        <v>-982.87172409815275</v>
      </c>
      <c r="R4055" t="s">
        <v>81380</v>
      </c>
      <c r="S4055" t="s">
        <v>81381</v>
      </c>
      <c r="T4055" t="s">
        <v>81382</v>
      </c>
      <c r="U4055" t="s">
        <v>81383</v>
      </c>
      <c r="V4055">
        <f>-731.828417881037 -61.5996272770633 -232.470209578081</f>
        <v>-1025.8982547361813</v>
      </c>
      <c r="W4055" t="s">
        <v>81384</v>
      </c>
      <c r="X4055" t="s">
        <v>81385</v>
      </c>
      <c r="Y4055" t="s">
        <v>81386</v>
      </c>
    </row>
    <row r="4056" spans="1:25" x14ac:dyDescent="0.3">
      <c r="A4056">
        <v>202750</v>
      </c>
      <c r="B4056" t="s">
        <v>81387</v>
      </c>
      <c r="C4056" t="s">
        <v>81388</v>
      </c>
      <c r="D4056" t="s">
        <v>81389</v>
      </c>
      <c r="E4056" t="s">
        <v>81390</v>
      </c>
      <c r="F4056" t="s">
        <v>81391</v>
      </c>
      <c r="G4056">
        <f>-756.293874207531 -28.8323076610532 -684.808950056675</f>
        <v>-1469.9351319252592</v>
      </c>
      <c r="H4056">
        <f>-752.056521942424 -77.0485760060521 -829.229287013349</f>
        <v>-1658.334384961825</v>
      </c>
      <c r="I4056">
        <f>-714.441217584302 -109.030455087834 -918.365266147536</f>
        <v>-1741.836938819672</v>
      </c>
      <c r="J4056">
        <f>-744.802549783515 -26.7472566745228 -774.73086118446</f>
        <v>-1546.2806676424977</v>
      </c>
      <c r="K4056" t="s">
        <v>81392</v>
      </c>
      <c r="L4056" t="s">
        <v>81393</v>
      </c>
      <c r="M4056" t="s">
        <v>81394</v>
      </c>
      <c r="N4056">
        <f>-763.06030990074 -84.6815137770534 -755.924617526842</f>
        <v>-1603.6664412046352</v>
      </c>
      <c r="O4056">
        <f>-811.455948800859 -205.562433821586 -687.580382269298</f>
        <v>-1704.598764891743</v>
      </c>
      <c r="P4056">
        <f>-756.239118864947 -159.654423181694 -379.311451837328</f>
        <v>-1295.2049938839691</v>
      </c>
      <c r="Q4056">
        <f>-511.055573795541 -74.813198669817 -397.449902342652</f>
        <v>-983.31867480800997</v>
      </c>
      <c r="R4056" t="s">
        <v>81395</v>
      </c>
      <c r="S4056" t="s">
        <v>81396</v>
      </c>
      <c r="T4056" t="s">
        <v>81397</v>
      </c>
      <c r="U4056" t="s">
        <v>81398</v>
      </c>
      <c r="V4056">
        <f>-732.264103981471 -61.373621905841 -232.399534517227</f>
        <v>-1026.037260404539</v>
      </c>
      <c r="W4056" t="s">
        <v>81399</v>
      </c>
      <c r="X4056" t="s">
        <v>81400</v>
      </c>
      <c r="Y4056" t="s">
        <v>81401</v>
      </c>
    </row>
    <row r="4057" spans="1:25" x14ac:dyDescent="0.3">
      <c r="A4057">
        <v>202800</v>
      </c>
      <c r="B4057" t="s">
        <v>81402</v>
      </c>
      <c r="C4057" t="s">
        <v>81403</v>
      </c>
      <c r="D4057" t="s">
        <v>81404</v>
      </c>
      <c r="E4057" t="s">
        <v>81405</v>
      </c>
      <c r="F4057" t="s">
        <v>81406</v>
      </c>
      <c r="G4057">
        <f>-756.99418875086 -28.3285867890929 -684.630243348837</f>
        <v>-1469.9530188887898</v>
      </c>
      <c r="H4057">
        <f>-752.486696001952 -76.4550841527221 -829.072352227487</f>
        <v>-1658.0141323821613</v>
      </c>
      <c r="I4057">
        <f>-714.719556641833 -108.317195825168 -918.187114980367</f>
        <v>-1741.2238674473681</v>
      </c>
      <c r="J4057">
        <f>-745.387551300036 -26.1731166372447 -774.535788097009</f>
        <v>-1546.0964560342895</v>
      </c>
      <c r="K4057" t="s">
        <v>81407</v>
      </c>
      <c r="L4057" t="s">
        <v>81408</v>
      </c>
      <c r="M4057" t="s">
        <v>81409</v>
      </c>
      <c r="N4057">
        <f>-763.574633672437 -84.1480070664445 -755.786736754308</f>
        <v>-1603.5093774931895</v>
      </c>
      <c r="O4057">
        <f>-811.899807209277 -205.110228560816 -687.545855519289</f>
        <v>-1704.5558912893821</v>
      </c>
      <c r="P4057">
        <f>-757.631835425262 -158.995490994172 -379.139341973564</f>
        <v>-1295.7666683929979</v>
      </c>
      <c r="Q4057">
        <f>-512.440713176994 -74.0242356942456 -396.554742411648</f>
        <v>-983.01969128288761</v>
      </c>
      <c r="R4057" t="s">
        <v>81410</v>
      </c>
      <c r="S4057" t="s">
        <v>81411</v>
      </c>
      <c r="T4057" t="s">
        <v>81412</v>
      </c>
      <c r="U4057" t="s">
        <v>81413</v>
      </c>
      <c r="V4057">
        <f>-732.932386419008 -61.2338226832373 -232.287960010671</f>
        <v>-1026.4541691129164</v>
      </c>
      <c r="W4057" t="s">
        <v>81414</v>
      </c>
      <c r="X4057" t="s">
        <v>81415</v>
      </c>
      <c r="Y4057" t="s">
        <v>81416</v>
      </c>
    </row>
    <row r="4058" spans="1:25" x14ac:dyDescent="0.3">
      <c r="A4058">
        <v>202850</v>
      </c>
      <c r="B4058" t="s">
        <v>81417</v>
      </c>
      <c r="C4058" t="s">
        <v>81418</v>
      </c>
      <c r="D4058" t="s">
        <v>81419</v>
      </c>
      <c r="E4058" t="s">
        <v>81420</v>
      </c>
      <c r="F4058" t="s">
        <v>81421</v>
      </c>
      <c r="G4058">
        <f>-757.236517819002 -28.0330999023483 -684.567776496713</f>
        <v>-1469.8373942180633</v>
      </c>
      <c r="H4058">
        <f>-752.57085634808 -76.059245029139 -829.038266255586</f>
        <v>-1657.668367632805</v>
      </c>
      <c r="I4058">
        <f>-714.710856251455 -107.826545507515 -918.147469857716</f>
        <v>-1740.684871616686</v>
      </c>
      <c r="J4058">
        <f>-745.553404337813 -25.8090811330953 -774.461661198098</f>
        <v>-1545.8241466690065</v>
      </c>
      <c r="K4058" t="s">
        <v>81422</v>
      </c>
      <c r="L4058" t="s">
        <v>81423</v>
      </c>
      <c r="M4058" t="s">
        <v>81424</v>
      </c>
      <c r="N4058">
        <f>-763.716996757641 -83.809087279458 -755.767432500545</f>
        <v>-1603.2935165376441</v>
      </c>
      <c r="O4058">
        <f>-812.021299398459 -204.836860353434 -687.610229649676</f>
        <v>-1704.4683894015689</v>
      </c>
      <c r="P4058">
        <f>-758.018632274808 -158.787175821214 -379.147406222315</f>
        <v>-1295.9532143183369</v>
      </c>
      <c r="Q4058">
        <f>-512.885733999852 -73.5699768628049 -396.17335286596</f>
        <v>-982.62906372861698</v>
      </c>
      <c r="R4058" t="s">
        <v>81425</v>
      </c>
      <c r="S4058" t="s">
        <v>81426</v>
      </c>
      <c r="T4058" t="s">
        <v>81427</v>
      </c>
      <c r="U4058" t="s">
        <v>81428</v>
      </c>
      <c r="V4058">
        <f>-733.191409551974 -61.1835874476385 -232.237372047681</f>
        <v>-1026.6123690472934</v>
      </c>
      <c r="W4058" t="s">
        <v>81429</v>
      </c>
      <c r="X4058" t="s">
        <v>81430</v>
      </c>
      <c r="Y4058" t="s">
        <v>81431</v>
      </c>
    </row>
    <row r="4059" spans="1:25" x14ac:dyDescent="0.3">
      <c r="A4059">
        <v>202900</v>
      </c>
      <c r="B4059" t="s">
        <v>81432</v>
      </c>
      <c r="C4059" t="s">
        <v>81433</v>
      </c>
      <c r="D4059" t="s">
        <v>81434</v>
      </c>
      <c r="E4059" t="s">
        <v>81435</v>
      </c>
      <c r="F4059" t="s">
        <v>81436</v>
      </c>
      <c r="G4059">
        <f>-757.603940802696 -27.7317425300723 -684.534070777535</f>
        <v>-1469.8697541103033</v>
      </c>
      <c r="H4059">
        <f>-752.877185321865 -75.6227255466551 -829.047382352474</f>
        <v>-1657.5472932209941</v>
      </c>
      <c r="I4059">
        <f>-714.948089418488 -107.290938210513 -918.162518915939</f>
        <v>-1740.4015465449402</v>
      </c>
      <c r="J4059">
        <f>-745.902257137925 -25.418389685419 -774.423332158331</f>
        <v>-1545.7439789816749</v>
      </c>
      <c r="K4059" t="s">
        <v>81437</v>
      </c>
      <c r="L4059" t="s">
        <v>81438</v>
      </c>
      <c r="M4059" t="s">
        <v>81439</v>
      </c>
      <c r="N4059">
        <f>-764.034965653144 -83.4464680572148 -755.786189373748</f>
        <v>-1603.2676230841068</v>
      </c>
      <c r="O4059">
        <f>-812.320459857629 -204.516474883554 -687.704853760373</f>
        <v>-1704.5417885015559</v>
      </c>
      <c r="P4059">
        <f>-758.615958087981 -158.54743331132 -379.177960393709</f>
        <v>-1296.3413517930098</v>
      </c>
      <c r="Q4059">
        <f>-513.525451401475 -73.1097658533629 -395.704299336648</f>
        <v>-982.3395165914859</v>
      </c>
      <c r="R4059" t="s">
        <v>81440</v>
      </c>
      <c r="S4059" t="s">
        <v>81441</v>
      </c>
      <c r="T4059" t="s">
        <v>81442</v>
      </c>
      <c r="U4059" t="s">
        <v>81443</v>
      </c>
      <c r="V4059">
        <f>-733.463114430827 -61.1722529520925 -232.189423278416</f>
        <v>-1026.8247906613356</v>
      </c>
      <c r="W4059" t="s">
        <v>81444</v>
      </c>
      <c r="X4059" t="s">
        <v>81445</v>
      </c>
      <c r="Y4059" t="s">
        <v>81446</v>
      </c>
    </row>
    <row r="4060" spans="1:25" x14ac:dyDescent="0.3">
      <c r="A4060">
        <v>202950</v>
      </c>
      <c r="B4060" t="s">
        <v>81447</v>
      </c>
      <c r="C4060" t="s">
        <v>81448</v>
      </c>
      <c r="D4060" t="s">
        <v>81449</v>
      </c>
      <c r="E4060" t="s">
        <v>81450</v>
      </c>
      <c r="F4060" t="s">
        <v>81451</v>
      </c>
      <c r="G4060">
        <f>-758.136501976947 -27.3170440859076 -684.393018916538</f>
        <v>-1469.8465649793925</v>
      </c>
      <c r="H4060">
        <f>-753.125191107788 -75.0395845945136 -828.95251926008</f>
        <v>-1657.1172949623815</v>
      </c>
      <c r="I4060">
        <f>-715.015124938626 -106.538082069871 -918.050509553434</f>
        <v>-1739.6037165619309</v>
      </c>
      <c r="J4060">
        <f>-746.309607305417 -24.8848483837894 -774.262676841629</f>
        <v>-1545.4571325308352</v>
      </c>
      <c r="K4060" t="s">
        <v>81452</v>
      </c>
      <c r="L4060" t="s">
        <v>81453</v>
      </c>
      <c r="M4060" t="s">
        <v>81454</v>
      </c>
      <c r="N4060">
        <f>-764.375464834003 -82.9628182918573 -755.716088642093</f>
        <v>-1603.0543717679534</v>
      </c>
      <c r="O4060">
        <f>-812.608605166956 -204.168652203128 -687.828756418263</f>
        <v>-1704.6060137883469</v>
      </c>
      <c r="P4060">
        <f>-759.499750653516 -158.403064577048 -379.16856348054</f>
        <v>-1297.071378711104</v>
      </c>
      <c r="Q4060">
        <f>-514.582159999088 -72.3718765581898 -395.171494870139</f>
        <v>-982.12553142741683</v>
      </c>
      <c r="R4060" t="s">
        <v>81455</v>
      </c>
      <c r="S4060" t="s">
        <v>81456</v>
      </c>
      <c r="T4060" t="s">
        <v>81457</v>
      </c>
      <c r="U4060" t="s">
        <v>81458</v>
      </c>
      <c r="V4060">
        <f>-734.17616177299 -61.2091418970067 -232.079913002501</f>
        <v>-1027.4652166724977</v>
      </c>
      <c r="W4060" t="s">
        <v>81459</v>
      </c>
      <c r="X4060" t="s">
        <v>81460</v>
      </c>
      <c r="Y4060" t="s">
        <v>81461</v>
      </c>
    </row>
    <row r="4061" spans="1:25" x14ac:dyDescent="0.3">
      <c r="A4061">
        <v>203000</v>
      </c>
      <c r="B4061" t="s">
        <v>81462</v>
      </c>
      <c r="C4061" t="s">
        <v>81463</v>
      </c>
      <c r="D4061" t="s">
        <v>81464</v>
      </c>
      <c r="E4061" t="s">
        <v>81465</v>
      </c>
      <c r="F4061" t="s">
        <v>81466</v>
      </c>
      <c r="G4061">
        <f>-758.358091774445 -27.059180822725 -684.334878973162</f>
        <v>-1469.752151570332</v>
      </c>
      <c r="H4061">
        <f>-753.122024696158 -74.653583544861 -828.928697583151</f>
        <v>-1656.70430582417</v>
      </c>
      <c r="I4061">
        <f>-714.897427067398 -106.04404258622 -918.01573325922</f>
        <v>-1738.9572029128381</v>
      </c>
      <c r="J4061">
        <f>-746.427629452573 -24.5376981363036 -774.188587254636</f>
        <v>-1545.1539148435127</v>
      </c>
      <c r="K4061" t="s">
        <v>81467</v>
      </c>
      <c r="L4061" t="s">
        <v>81468</v>
      </c>
      <c r="M4061" t="s">
        <v>81469</v>
      </c>
      <c r="N4061">
        <f>-764.45014036942 -82.6515185974965 -755.712281762657</f>
        <v>-1602.8139407295735</v>
      </c>
      <c r="O4061">
        <f>-812.655749801666 -203.917503699826 -687.91791170005</f>
        <v>-1704.4911652015421</v>
      </c>
      <c r="P4061">
        <f>-759.649842729461 -158.076366218211 -379.251200797009</f>
        <v>-1296.9774097446812</v>
      </c>
      <c r="Q4061">
        <f>-514.741083137885 -71.9625846548936 -394.941101232589</f>
        <v>-981.64476902536762</v>
      </c>
      <c r="R4061" t="s">
        <v>81470</v>
      </c>
      <c r="S4061" t="s">
        <v>81471</v>
      </c>
      <c r="T4061" t="s">
        <v>81472</v>
      </c>
      <c r="U4061" t="s">
        <v>81473</v>
      </c>
      <c r="V4061">
        <f>-734.518332869686 -61.2406228847278 -232.013428465973</f>
        <v>-1027.7723842203868</v>
      </c>
      <c r="W4061" t="s">
        <v>81474</v>
      </c>
      <c r="X4061" t="s">
        <v>81475</v>
      </c>
      <c r="Y4061" t="s">
        <v>81476</v>
      </c>
    </row>
    <row r="4062" spans="1:25" x14ac:dyDescent="0.3">
      <c r="A4062">
        <v>203050</v>
      </c>
      <c r="B4062" t="s">
        <v>81477</v>
      </c>
      <c r="C4062" t="s">
        <v>81478</v>
      </c>
      <c r="D4062" t="s">
        <v>81479</v>
      </c>
      <c r="E4062" t="s">
        <v>81480</v>
      </c>
      <c r="F4062" t="s">
        <v>81481</v>
      </c>
      <c r="G4062">
        <f>-758.791939359843 -26.8593745716187 -684.154032076691</f>
        <v>-1469.8053460081528</v>
      </c>
      <c r="H4062">
        <f>-753.271657948125 -74.3655511808779 -828.766166873112</f>
        <v>-1656.4033760021148</v>
      </c>
      <c r="I4062">
        <f>-714.856141695102 -105.614024884432 -917.82106521347</f>
        <v>-1738.291231793004</v>
      </c>
      <c r="J4062">
        <f>-746.714686512385 -24.2748702103111 -773.986184233371</f>
        <v>-1544.9757409560671</v>
      </c>
      <c r="K4062" t="s">
        <v>81482</v>
      </c>
      <c r="L4062" t="s">
        <v>81483</v>
      </c>
      <c r="M4062" t="s">
        <v>81484</v>
      </c>
      <c r="N4062">
        <f>-764.713634023012 -82.4160879084136 -755.573445299705</f>
        <v>-1602.7031672311305</v>
      </c>
      <c r="O4062">
        <f>-812.902201296521 -203.755208566091 -687.900555215687</f>
        <v>-1704.5579650782988</v>
      </c>
      <c r="P4062">
        <f>-760.319718669538 -158.415177519322 -379.087444707153</f>
        <v>-1297.822340896013</v>
      </c>
      <c r="Q4062">
        <f>-515.587327843865 -71.7742626486927 -394.628392071369</f>
        <v>-981.98998256392656</v>
      </c>
      <c r="R4062" t="s">
        <v>81485</v>
      </c>
      <c r="S4062" t="s">
        <v>81486</v>
      </c>
      <c r="T4062" t="s">
        <v>81487</v>
      </c>
      <c r="U4062" t="s">
        <v>81488</v>
      </c>
      <c r="V4062">
        <f>-735.236465106984 -61.3649301149105 -231.876437119276</f>
        <v>-1028.4778323411706</v>
      </c>
      <c r="W4062" t="s">
        <v>81489</v>
      </c>
      <c r="X4062" t="s">
        <v>81490</v>
      </c>
      <c r="Y4062" t="s">
        <v>81491</v>
      </c>
    </row>
    <row r="4063" spans="1:25" x14ac:dyDescent="0.3">
      <c r="A4063">
        <v>203100</v>
      </c>
      <c r="B4063" t="s">
        <v>81492</v>
      </c>
      <c r="C4063" t="s">
        <v>81493</v>
      </c>
      <c r="D4063" t="s">
        <v>81494</v>
      </c>
      <c r="E4063" t="s">
        <v>81495</v>
      </c>
      <c r="F4063" t="s">
        <v>81496</v>
      </c>
      <c r="G4063">
        <f>-758.901404317082 -26.9493985214879 -684.055884822701</f>
        <v>-1469.906687661271</v>
      </c>
      <c r="H4063">
        <f>-753.313485911449 -74.4188331480259 -828.677633396457</f>
        <v>-1656.4099524559319</v>
      </c>
      <c r="I4063">
        <f>-714.831744351128 -105.612125271879 -917.723119533292</f>
        <v>-1738.166989156299</v>
      </c>
      <c r="J4063">
        <f>-746.790373371952 -24.3398181076684 -773.882742924382</f>
        <v>-1545.0129344040024</v>
      </c>
      <c r="K4063" t="s">
        <v>81497</v>
      </c>
      <c r="L4063" t="s">
        <v>81498</v>
      </c>
      <c r="M4063" t="s">
        <v>81499</v>
      </c>
      <c r="N4063">
        <f>-764.781509639086 -82.4902845287199 -755.491066312531</f>
        <v>-1602.7628604803369</v>
      </c>
      <c r="O4063">
        <f>-812.938836828266 -203.862726168626 -687.872580649215</f>
        <v>-1704.674143646107</v>
      </c>
      <c r="P4063">
        <f>-760.482191808188 -158.676296613954 -379.015524231935</f>
        <v>-1298.1740126540769</v>
      </c>
      <c r="Q4063">
        <f>-515.813986314557 -71.847905653678 -394.518974448688</f>
        <v>-982.1808664169231</v>
      </c>
      <c r="R4063" t="s">
        <v>81500</v>
      </c>
      <c r="S4063" t="s">
        <v>81501</v>
      </c>
      <c r="T4063" t="s">
        <v>81502</v>
      </c>
      <c r="U4063" t="s">
        <v>81503</v>
      </c>
      <c r="V4063">
        <f>-735.49726652007 -61.583489860549 -231.803830314255</f>
        <v>-1028.8845866948739</v>
      </c>
      <c r="W4063" t="s">
        <v>81504</v>
      </c>
      <c r="X4063" t="s">
        <v>81505</v>
      </c>
      <c r="Y4063" t="s">
        <v>81506</v>
      </c>
    </row>
    <row r="4064" spans="1:25" x14ac:dyDescent="0.3">
      <c r="A4064">
        <v>203150</v>
      </c>
      <c r="B4064" t="s">
        <v>81507</v>
      </c>
      <c r="C4064" t="s">
        <v>81508</v>
      </c>
      <c r="D4064" t="s">
        <v>81509</v>
      </c>
      <c r="E4064" t="s">
        <v>81510</v>
      </c>
      <c r="F4064" t="s">
        <v>81511</v>
      </c>
      <c r="G4064">
        <f>-759.387615406175 -27.1600724033869 -684.044259967548</f>
        <v>-1470.5919477771099</v>
      </c>
      <c r="H4064">
        <f>-753.704265879315 -74.551051279474 -828.687875056786</f>
        <v>-1656.943192215575</v>
      </c>
      <c r="I4064">
        <f>-715.107546369677 -105.633186813484 -917.722620480014</f>
        <v>-1738.463353663175</v>
      </c>
      <c r="J4064">
        <f>-747.246001410724 -24.4940699770104 -773.865500146122</f>
        <v>-1545.6055715338566</v>
      </c>
      <c r="K4064" t="s">
        <v>81512</v>
      </c>
      <c r="L4064" t="s">
        <v>81513</v>
      </c>
      <c r="M4064" t="s">
        <v>81514</v>
      </c>
      <c r="N4064">
        <f>-765.191917331526 -82.6699264237825 -755.509849811331</f>
        <v>-1603.3716935666396</v>
      </c>
      <c r="O4064">
        <f>-813.322553967042 -204.109132162933 -687.972283937334</f>
        <v>-1705.4039700673093</v>
      </c>
      <c r="P4064">
        <f>-760.98979363488 -159.415245257875 -379.022511404965</f>
        <v>-1299.42755029772</v>
      </c>
      <c r="Q4064">
        <f>-516.515823040894 -72.1471124279863 -395.109537060063</f>
        <v>-983.77247252894335</v>
      </c>
      <c r="R4064" t="s">
        <v>81515</v>
      </c>
      <c r="S4064" t="s">
        <v>81516</v>
      </c>
      <c r="T4064" t="s">
        <v>81517</v>
      </c>
      <c r="U4064" t="s">
        <v>81518</v>
      </c>
      <c r="V4064">
        <f>-735.921882663292 -61.9755365213284 -231.744356457233</f>
        <v>-1029.6417756418534</v>
      </c>
      <c r="W4064" t="s">
        <v>81519</v>
      </c>
      <c r="X4064" t="s">
        <v>81520</v>
      </c>
      <c r="Y4064" t="s">
        <v>81521</v>
      </c>
    </row>
    <row r="4065" spans="1:25" x14ac:dyDescent="0.3">
      <c r="A4065">
        <v>203200</v>
      </c>
      <c r="B4065" t="s">
        <v>81522</v>
      </c>
      <c r="C4065" t="s">
        <v>81523</v>
      </c>
      <c r="D4065" t="s">
        <v>81524</v>
      </c>
      <c r="E4065" t="s">
        <v>81525</v>
      </c>
      <c r="F4065" t="s">
        <v>81526</v>
      </c>
      <c r="G4065">
        <f>-759.714438803764 -27.2885310670351 -684.08334151736</f>
        <v>-1471.0863113881592</v>
      </c>
      <c r="H4065">
        <f>-754.029244766666 -74.6495764455908 -828.736793206832</f>
        <v>-1657.4156144190888</v>
      </c>
      <c r="I4065">
        <f>-715.400863381175 -105.694918404087 -917.770733020174</f>
        <v>-1738.8665148054361</v>
      </c>
      <c r="J4065">
        <f>-747.570661302654 -24.6042248772058 -773.903637955524</f>
        <v>-1546.0785241353838</v>
      </c>
      <c r="K4065" t="s">
        <v>81527</v>
      </c>
      <c r="L4065" t="s">
        <v>81528</v>
      </c>
      <c r="M4065" t="s">
        <v>81529</v>
      </c>
      <c r="N4065">
        <f>-765.518774977083 -82.7832231501277 -755.560663148554</f>
        <v>-1603.8626612757648</v>
      </c>
      <c r="O4065">
        <f>-813.674306362943 -204.216033865288 -688.0453535648</f>
        <v>-1705.9356937930311</v>
      </c>
      <c r="P4065">
        <f>-761.210065282737 -159.947565740951 -379.05667879062</f>
        <v>-1300.2143098143081</v>
      </c>
      <c r="Q4065">
        <f>-516.764055404278 -72.6670798840576 -395.497598716895</f>
        <v>-984.92873400523058</v>
      </c>
      <c r="R4065" t="s">
        <v>81530</v>
      </c>
      <c r="S4065" t="s">
        <v>81531</v>
      </c>
      <c r="T4065" t="s">
        <v>81532</v>
      </c>
      <c r="U4065" t="s">
        <v>81533</v>
      </c>
      <c r="V4065">
        <f>-736.074973511941 -62.1618661291225 -231.761582584017</f>
        <v>-1029.9984222250805</v>
      </c>
      <c r="W4065" t="s">
        <v>81534</v>
      </c>
      <c r="X4065" t="s">
        <v>81535</v>
      </c>
      <c r="Y4065" t="s">
        <v>81536</v>
      </c>
    </row>
    <row r="4066" spans="1:25" x14ac:dyDescent="0.3">
      <c r="A4066">
        <v>203250</v>
      </c>
      <c r="B4066" t="s">
        <v>81537</v>
      </c>
      <c r="C4066" t="s">
        <v>81538</v>
      </c>
      <c r="D4066" t="s">
        <v>81539</v>
      </c>
      <c r="E4066" t="s">
        <v>81540</v>
      </c>
      <c r="F4066" t="s">
        <v>81541</v>
      </c>
      <c r="G4066">
        <f>-759.943011652994 -27.5302164644961 -684.129812034235</f>
        <v>-1471.6030401517251</v>
      </c>
      <c r="H4066">
        <f>-754.240351159548 -74.7722486244484 -828.821356688189</f>
        <v>-1657.8339564721855</v>
      </c>
      <c r="I4066">
        <f>-715.558099371698 -105.735667775807 -917.860400594958</f>
        <v>-1739.154167742463</v>
      </c>
      <c r="J4066">
        <f>-747.797959722494 -24.7694568713523 -773.947498697481</f>
        <v>-1546.5149152913273</v>
      </c>
      <c r="K4066" t="s">
        <v>81542</v>
      </c>
      <c r="L4066" t="s">
        <v>81543</v>
      </c>
      <c r="M4066" t="s">
        <v>81544</v>
      </c>
      <c r="N4066">
        <f>-765.729224170794 -82.9687500576856 -755.652145671453</f>
        <v>-1604.3501198999327</v>
      </c>
      <c r="O4066">
        <f>-813.919687487162 -204.434703581056 -688.197729687251</f>
        <v>-1706.5521207554691</v>
      </c>
      <c r="P4066">
        <f>-761.018883027461 -160.338675722243 -379.258831299705</f>
        <v>-1300.6163900494089</v>
      </c>
      <c r="Q4066">
        <f>-516.51872692029 -73.220772655854 -395.756076818797</f>
        <v>-985.49557639494105</v>
      </c>
      <c r="R4066" t="s">
        <v>81545</v>
      </c>
      <c r="S4066" t="s">
        <v>81546</v>
      </c>
      <c r="T4066" t="s">
        <v>81547</v>
      </c>
      <c r="U4066" t="s">
        <v>81548</v>
      </c>
      <c r="V4066">
        <f>-736.265449144326 -62.557503715811 -231.772392724267</f>
        <v>-1030.595345584404</v>
      </c>
      <c r="W4066" t="s">
        <v>81549</v>
      </c>
      <c r="X4066" t="s">
        <v>81550</v>
      </c>
      <c r="Y4066" t="s">
        <v>81551</v>
      </c>
    </row>
    <row r="4067" spans="1:25" x14ac:dyDescent="0.3">
      <c r="A4067">
        <v>203300</v>
      </c>
      <c r="B4067" t="s">
        <v>81552</v>
      </c>
      <c r="C4067" t="s">
        <v>81553</v>
      </c>
      <c r="D4067" t="s">
        <v>81554</v>
      </c>
      <c r="E4067" t="s">
        <v>81555</v>
      </c>
      <c r="F4067" t="s">
        <v>81556</v>
      </c>
      <c r="G4067">
        <f>-760.008652115818 -27.734058362719 -684.111423677864</f>
        <v>-1471.854134156401</v>
      </c>
      <c r="H4067">
        <f>-754.255716714409 -74.9668954196834 -828.804094266352</f>
        <v>-1658.0267064004443</v>
      </c>
      <c r="I4067">
        <f>-715.559050239008 -105.896475188795 -917.848499930253</f>
        <v>-1739.3040253580559</v>
      </c>
      <c r="J4067">
        <f>-747.845842136921 -24.9641177453298 -773.926533907942</f>
        <v>-1546.7364937901928</v>
      </c>
      <c r="K4067" t="s">
        <v>81557</v>
      </c>
      <c r="L4067" t="s">
        <v>81558</v>
      </c>
      <c r="M4067" t="s">
        <v>81559</v>
      </c>
      <c r="N4067">
        <f>-765.756572031555 -83.1715255652582 -755.637687190797</f>
        <v>-1604.5657847876103</v>
      </c>
      <c r="O4067">
        <f>-813.896976102876 -204.664663142423 -688.201095596746</f>
        <v>-1706.7627348420451</v>
      </c>
      <c r="P4067">
        <f>-761.185695652819 -160.33627376491 -379.263079945219</f>
        <v>-1300.785049362948</v>
      </c>
      <c r="Q4067">
        <f>-516.6637495849 -73.2011390650969 -395.342792690052</f>
        <v>-985.20768134004879</v>
      </c>
      <c r="R4067" t="s">
        <v>81560</v>
      </c>
      <c r="S4067" t="s">
        <v>81561</v>
      </c>
      <c r="T4067" t="s">
        <v>81562</v>
      </c>
      <c r="U4067" t="s">
        <v>81563</v>
      </c>
      <c r="V4067">
        <f>-736.427348861847 -62.7845467798027 -231.756794403047</f>
        <v>-1030.9686900446966</v>
      </c>
      <c r="W4067" t="s">
        <v>81564</v>
      </c>
      <c r="X4067" t="s">
        <v>81565</v>
      </c>
      <c r="Y4067" t="s">
        <v>81566</v>
      </c>
    </row>
    <row r="4068" spans="1:25" x14ac:dyDescent="0.3">
      <c r="A4068">
        <v>203350</v>
      </c>
      <c r="B4068" t="s">
        <v>81567</v>
      </c>
      <c r="C4068" t="s">
        <v>81568</v>
      </c>
      <c r="D4068" t="s">
        <v>81569</v>
      </c>
      <c r="E4068" t="s">
        <v>81570</v>
      </c>
      <c r="F4068" t="s">
        <v>81571</v>
      </c>
      <c r="G4068">
        <f>-760.152002165504 -28.0541539160317 -684.179239998086</f>
        <v>-1472.3853960796218</v>
      </c>
      <c r="H4068">
        <f>-754.251300034398 -75.1720661392046 -828.903460454776</f>
        <v>-1658.3268266283785</v>
      </c>
      <c r="I4068">
        <f>-715.502881497894 -105.998805572257 -917.961104248052</f>
        <v>-1739.462791318203</v>
      </c>
      <c r="J4068">
        <f>-747.940657105654 -25.20120980257 -773.985243440961</f>
        <v>-1547.1271103491849</v>
      </c>
      <c r="K4068" t="s">
        <v>81572</v>
      </c>
      <c r="L4068" t="s">
        <v>81573</v>
      </c>
      <c r="M4068" t="s">
        <v>81574</v>
      </c>
      <c r="N4068">
        <f>-765.783647211583 -83.4464317856259 -755.749767585339</f>
        <v>-1604.9798465825479</v>
      </c>
      <c r="O4068">
        <f>-813.807451677075 -205.035905204559 -688.408489267843</f>
        <v>-1707.2518461494769</v>
      </c>
      <c r="P4068">
        <f>-761.715475508989 -160.06515903922 -379.458283696888</f>
        <v>-1301.238918245097</v>
      </c>
      <c r="Q4068">
        <f>-517.132762128856 -72.8380071522902 -394.044547317334</f>
        <v>-984.01531659848024</v>
      </c>
      <c r="R4068" t="s">
        <v>81575</v>
      </c>
      <c r="S4068" t="s">
        <v>81576</v>
      </c>
      <c r="T4068" t="s">
        <v>81577</v>
      </c>
      <c r="U4068" t="s">
        <v>81578</v>
      </c>
      <c r="V4068">
        <f>-736.631871027543 -63.2281698105346 -231.764964842784</f>
        <v>-1031.6250056808615</v>
      </c>
      <c r="W4068" t="s">
        <v>81579</v>
      </c>
      <c r="X4068" t="s">
        <v>81580</v>
      </c>
      <c r="Y4068" t="s">
        <v>81581</v>
      </c>
    </row>
    <row r="4069" spans="1:25" x14ac:dyDescent="0.3">
      <c r="A4069">
        <v>203400</v>
      </c>
      <c r="B4069" t="s">
        <v>81582</v>
      </c>
      <c r="C4069" t="s">
        <v>81583</v>
      </c>
      <c r="D4069" t="s">
        <v>81584</v>
      </c>
      <c r="E4069" t="s">
        <v>81585</v>
      </c>
      <c r="F4069" t="s">
        <v>81586</v>
      </c>
      <c r="G4069">
        <f>-760.272677739699 -28.3105769682711 -684.211649028793</f>
        <v>-1472.794903736763</v>
      </c>
      <c r="H4069">
        <f>-754.298475420491 -75.4297000238241 -828.932421328358</f>
        <v>-1658.6605967726732</v>
      </c>
      <c r="I4069">
        <f>-715.503232212609 -106.232819911466 -917.977860520168</f>
        <v>-1739.713912644243</v>
      </c>
      <c r="J4069">
        <f>-748.032131820372 -25.4541085244946 -774.01350506892</f>
        <v>-1547.4997454137865</v>
      </c>
      <c r="K4069" t="s">
        <v>81587</v>
      </c>
      <c r="L4069" t="s">
        <v>81588</v>
      </c>
      <c r="M4069" t="s">
        <v>81589</v>
      </c>
      <c r="N4069">
        <f>-765.851602225 -83.7077636766087 -755.782554974782</f>
        <v>-1605.3419208763908</v>
      </c>
      <c r="O4069">
        <f>-813.801361293289 -205.322348436615 -688.450459652139</f>
        <v>-1707.574169382043</v>
      </c>
      <c r="P4069">
        <f>-762.215370104104 -160.004170635588 -379.466130328156</f>
        <v>-1301.685671067848</v>
      </c>
      <c r="Q4069">
        <f>-517.487604090722 -73.0861933269539 -393.454159482616</f>
        <v>-984.02795690029188</v>
      </c>
      <c r="R4069" t="s">
        <v>81590</v>
      </c>
      <c r="S4069" t="s">
        <v>81591</v>
      </c>
      <c r="T4069" t="s">
        <v>81592</v>
      </c>
      <c r="U4069" t="s">
        <v>81593</v>
      </c>
      <c r="V4069">
        <f>-736.760345502373 -63.479904781012 -231.778033365037</f>
        <v>-1032.0182836484219</v>
      </c>
      <c r="W4069" t="s">
        <v>81594</v>
      </c>
      <c r="X4069" t="s">
        <v>81595</v>
      </c>
      <c r="Y4069" t="s">
        <v>81596</v>
      </c>
    </row>
    <row r="4070" spans="1:25" x14ac:dyDescent="0.3">
      <c r="A4070">
        <v>203450</v>
      </c>
      <c r="B4070" t="s">
        <v>81597</v>
      </c>
      <c r="C4070" t="s">
        <v>81598</v>
      </c>
      <c r="D4070" t="s">
        <v>81599</v>
      </c>
      <c r="E4070" t="s">
        <v>81600</v>
      </c>
      <c r="F4070">
        <f>-761.506868523575 -0.355401580745365 -578.493982527452</f>
        <v>-1340.3562526317723</v>
      </c>
      <c r="G4070">
        <f>-760.470198124338 -28.6822469058804 -684.283155603644</f>
        <v>-1473.4356006338626</v>
      </c>
      <c r="H4070">
        <f>-754.376512417888 -75.733839762669 -829.020992176669</f>
        <v>-1659.131344357226</v>
      </c>
      <c r="I4070">
        <f>-715.478259687438 -106.484201564634 -918.039673797618</f>
        <v>-1740.00213504969</v>
      </c>
      <c r="J4070">
        <f>-748.15178056016 -25.7848119206997 -774.073093567366</f>
        <v>-1548.0096860482256</v>
      </c>
      <c r="K4070" t="s">
        <v>81601</v>
      </c>
      <c r="L4070" t="s">
        <v>81602</v>
      </c>
      <c r="M4070" t="s">
        <v>81603</v>
      </c>
      <c r="N4070">
        <f>-765.993809617281 -84.045155534207 -755.884932792798</f>
        <v>-1605.9238979442862</v>
      </c>
      <c r="O4070">
        <f>-813.993577930964 -205.653421520256 -688.572992524669</f>
        <v>-1708.2199919758889</v>
      </c>
      <c r="P4070">
        <f>-762.71235581912 -159.866446343608 -379.606930097611</f>
        <v>-1302.1857322603391</v>
      </c>
      <c r="Q4070">
        <f>-517.206900336063 -74.9541978841421 -392.21671415709</f>
        <v>-984.37781237729507</v>
      </c>
      <c r="R4070" t="s">
        <v>81604</v>
      </c>
      <c r="S4070" t="s">
        <v>81605</v>
      </c>
      <c r="T4070" t="s">
        <v>81606</v>
      </c>
      <c r="U4070" t="s">
        <v>81607</v>
      </c>
      <c r="V4070">
        <f>-737.036163968931 -63.9344012579541 -231.811426575892</f>
        <v>-1032.7819918027769</v>
      </c>
      <c r="W4070" t="s">
        <v>81608</v>
      </c>
      <c r="X4070" t="s">
        <v>81609</v>
      </c>
      <c r="Y4070" t="s">
        <v>81610</v>
      </c>
    </row>
    <row r="4071" spans="1:25" x14ac:dyDescent="0.3">
      <c r="A4071">
        <v>203500</v>
      </c>
      <c r="B4071" t="s">
        <v>81611</v>
      </c>
      <c r="C4071" t="s">
        <v>81612</v>
      </c>
      <c r="D4071" t="s">
        <v>81613</v>
      </c>
      <c r="E4071" t="s">
        <v>81614</v>
      </c>
      <c r="F4071">
        <f>-761.585952807454 -0.576369555992414 -578.511605035329</f>
        <v>-1340.6739273987755</v>
      </c>
      <c r="G4071">
        <f>-760.538849148612 -28.9053698434304 -684.300112618816</f>
        <v>-1473.7443316108584</v>
      </c>
      <c r="H4071">
        <f>-754.439243465428 -75.9624325565576 -829.03582325838</f>
        <v>-1659.4374992803655</v>
      </c>
      <c r="I4071">
        <f>-715.480496497383 -106.764165654129 -918.010401944785</f>
        <v>-1740.255064096297</v>
      </c>
      <c r="J4071">
        <f>-748.191871254882 -26.0179131691496 -774.086406436939</f>
        <v>-1548.2961908609705</v>
      </c>
      <c r="K4071" t="s">
        <v>81615</v>
      </c>
      <c r="L4071" t="s">
        <v>81616</v>
      </c>
      <c r="M4071" t="s">
        <v>81617</v>
      </c>
      <c r="N4071">
        <f>-766.08438147636 -84.2643587521768 -755.903174427214</f>
        <v>-1606.2519146557509</v>
      </c>
      <c r="O4071">
        <f>-814.122811383756 -205.841497038767 -688.565718166564</f>
        <v>-1708.5300265890869</v>
      </c>
      <c r="P4071">
        <f>-762.785944171504 -160.184555615262 -379.589750844168</f>
        <v>-1302.560250630934</v>
      </c>
      <c r="Q4071">
        <f>-517.011194969995 -76.0986479742578 -392.489704085719</f>
        <v>-985.59954702997175</v>
      </c>
      <c r="R4071" t="s">
        <v>81618</v>
      </c>
      <c r="S4071" t="s">
        <v>81619</v>
      </c>
      <c r="T4071" t="s">
        <v>81620</v>
      </c>
      <c r="U4071" t="s">
        <v>81621</v>
      </c>
      <c r="V4071">
        <f>-737.163918693253 -64.1484890288561 -231.817864067354</f>
        <v>-1033.1302717894632</v>
      </c>
      <c r="W4071" t="s">
        <v>81622</v>
      </c>
      <c r="X4071" t="s">
        <v>81623</v>
      </c>
      <c r="Y4071" t="s">
        <v>81624</v>
      </c>
    </row>
    <row r="4072" spans="1:25" x14ac:dyDescent="0.3">
      <c r="A4072">
        <v>203550</v>
      </c>
      <c r="B4072" t="s">
        <v>81625</v>
      </c>
      <c r="C4072" t="s">
        <v>81626</v>
      </c>
      <c r="D4072" t="s">
        <v>81627</v>
      </c>
      <c r="E4072" t="s">
        <v>81628</v>
      </c>
      <c r="F4072">
        <f>-761.872497940401 -0.8076515053001 -578.560824530919</f>
        <v>-1341.2409739766201</v>
      </c>
      <c r="G4072">
        <f>-760.905521558472 -28.9796451453708 -684.392151103743</f>
        <v>-1474.2773178075859</v>
      </c>
      <c r="H4072">
        <f>-754.96034888927 -75.7886007994803 -829.214660028736</f>
        <v>-1659.9636097174862</v>
      </c>
      <c r="I4072">
        <f>-715.769827600093 -107.079223192625 -917.91648188732</f>
        <v>-1740.7655326800379</v>
      </c>
      <c r="J4072">
        <f>-748.557441353038 -25.9643863716869 -774.17402813871</f>
        <v>-1548.6958558634351</v>
      </c>
      <c r="K4072" t="s">
        <v>81629</v>
      </c>
      <c r="L4072" t="s">
        <v>81630</v>
      </c>
      <c r="M4072" t="s">
        <v>81631</v>
      </c>
      <c r="N4072">
        <f>-766.62430789238 -84.1897281229974 -756.096403732798</f>
        <v>-1606.9104397481753</v>
      </c>
      <c r="O4072">
        <f>-814.828005103225 -205.803468201894 -688.917223657</f>
        <v>-1709.548696962119</v>
      </c>
      <c r="P4072">
        <f>-762.507409613144 -161.929516322152 -379.847798530984</f>
        <v>-1304.2847244662801</v>
      </c>
      <c r="Q4072">
        <f>-516.420475594362 -78.7731979391474 -392.822226857467</f>
        <v>-988.01590039097641</v>
      </c>
      <c r="R4072" t="s">
        <v>81632</v>
      </c>
      <c r="S4072" t="s">
        <v>81633</v>
      </c>
      <c r="T4072" t="s">
        <v>81634</v>
      </c>
      <c r="U4072" t="s">
        <v>81635</v>
      </c>
      <c r="V4072">
        <f>-737.498898247617 -64.5915528986259 -231.817702037002</f>
        <v>-1033.9081531832448</v>
      </c>
      <c r="W4072" t="s">
        <v>81636</v>
      </c>
      <c r="X4072" t="s">
        <v>81637</v>
      </c>
      <c r="Y4072" t="s">
        <v>81638</v>
      </c>
    </row>
    <row r="4073" spans="1:25" x14ac:dyDescent="0.3">
      <c r="A4073">
        <v>203600</v>
      </c>
      <c r="B4073" t="s">
        <v>81639</v>
      </c>
      <c r="C4073" t="s">
        <v>81640</v>
      </c>
      <c r="D4073" t="s">
        <v>81641</v>
      </c>
      <c r="E4073" t="s">
        <v>81642</v>
      </c>
      <c r="F4073">
        <f>-762.103713352749 -0.804554055739345 -578.575913145932</f>
        <v>-1341.4841805544202</v>
      </c>
      <c r="G4073">
        <f>-761.304104676847 -28.763838882174 -684.464986761642</f>
        <v>-1474.5329303206631</v>
      </c>
      <c r="H4073">
        <f>-755.646453771623 -75.2284360294911 -829.409869390716</f>
        <v>-1660.2847591918303</v>
      </c>
      <c r="I4073">
        <f>-716.278979978823 -107.00889310204 -917.858743978678</f>
        <v>-1741.1466170595411</v>
      </c>
      <c r="J4073">
        <f>-749.080346723505 -25.5497073271663 -774.25702690386</f>
        <v>-1548.8870809545315</v>
      </c>
      <c r="K4073" t="s">
        <v>81643</v>
      </c>
      <c r="L4073" t="s">
        <v>81644</v>
      </c>
      <c r="M4073" t="s">
        <v>81645</v>
      </c>
      <c r="N4073">
        <f>-767.219091337051 -83.7887129193775 -756.295439603024</f>
        <v>-1607.3032438594526</v>
      </c>
      <c r="O4073">
        <f>-815.463389982116 -205.489735952938 -689.31614167263</f>
        <v>-1710.269267607684</v>
      </c>
      <c r="P4073">
        <f>-762.107335043915 -162.3395716617 -380.322043053351</f>
        <v>-1304.7689497589661</v>
      </c>
      <c r="Q4073">
        <f>-515.984097869363 -79.2149781650573 -392.79968811073</f>
        <v>-987.9987641451504</v>
      </c>
      <c r="R4073" t="s">
        <v>81646</v>
      </c>
      <c r="S4073" t="s">
        <v>81647</v>
      </c>
      <c r="T4073" t="s">
        <v>81648</v>
      </c>
      <c r="U4073" t="s">
        <v>81649</v>
      </c>
      <c r="V4073">
        <f>-737.608608828936 -64.8655171336266 -231.798505543696</f>
        <v>-1034.2726315062584</v>
      </c>
      <c r="W4073" t="s">
        <v>81650</v>
      </c>
      <c r="X4073" t="s">
        <v>81651</v>
      </c>
      <c r="Y4073" t="s">
        <v>81652</v>
      </c>
    </row>
    <row r="4074" spans="1:25" x14ac:dyDescent="0.3">
      <c r="A4074">
        <v>203650</v>
      </c>
      <c r="B4074" t="s">
        <v>81653</v>
      </c>
      <c r="C4074" t="s">
        <v>81654</v>
      </c>
      <c r="D4074" t="s">
        <v>81655</v>
      </c>
      <c r="E4074" t="s">
        <v>81656</v>
      </c>
      <c r="F4074">
        <f>-762.52653047753 -0.596825432865444 -578.621802408864</f>
        <v>-1341.7451583192594</v>
      </c>
      <c r="G4074">
        <f>-762.198928493027 -27.9582661692189 -684.669401495697</f>
        <v>-1474.8265961579427</v>
      </c>
      <c r="H4074">
        <f>-757.330578744612 -73.454726889272 -829.949757591528</f>
        <v>-1660.735063225412</v>
      </c>
      <c r="I4074">
        <f>-717.569180658067 -106.435889047561 -917.780609715918</f>
        <v>-1741.7856794215459</v>
      </c>
      <c r="J4074">
        <f>-750.379175648299 -24.168288121472 -774.493027301488</f>
        <v>-1549.0404910712591</v>
      </c>
      <c r="K4074" t="s">
        <v>81657</v>
      </c>
      <c r="L4074" t="s">
        <v>81658</v>
      </c>
      <c r="M4074" t="s">
        <v>81659</v>
      </c>
      <c r="N4074">
        <f>-768.590187993637 -82.4796413257536 -756.842376012223</f>
        <v>-1607.9122053316137</v>
      </c>
      <c r="O4074">
        <f>-816.671789539185 -204.551191327614 -690.419307448965</f>
        <v>-1711.6422883157641</v>
      </c>
      <c r="P4074">
        <f>-761.051935125406 -163.838699212911 -381.493552921239</f>
        <v>-1306.384187259556</v>
      </c>
      <c r="Q4074">
        <f>-515.376514219973 -79.0890864096202 -391.651541483719</f>
        <v>-986.11714211331218</v>
      </c>
      <c r="R4074" t="s">
        <v>81660</v>
      </c>
      <c r="S4074" t="s">
        <v>81661</v>
      </c>
      <c r="T4074" t="s">
        <v>81662</v>
      </c>
      <c r="U4074" t="s">
        <v>81663</v>
      </c>
      <c r="V4074">
        <f>-737.697877884861 -65.469696608204 -231.74288292963</f>
        <v>-1034.9104574226949</v>
      </c>
      <c r="W4074" t="s">
        <v>81664</v>
      </c>
      <c r="X4074" t="s">
        <v>81665</v>
      </c>
      <c r="Y4074" t="s">
        <v>81666</v>
      </c>
    </row>
    <row r="4075" spans="1:25" x14ac:dyDescent="0.3">
      <c r="A4075">
        <v>203700</v>
      </c>
      <c r="B4075" t="s">
        <v>81667</v>
      </c>
      <c r="C4075" t="s">
        <v>81668</v>
      </c>
      <c r="D4075" t="s">
        <v>81669</v>
      </c>
      <c r="E4075" t="s">
        <v>81670</v>
      </c>
      <c r="F4075">
        <f>-762.559646336503 -0.622453389783914 -578.630038478736</f>
        <v>-1341.8121382050228</v>
      </c>
      <c r="G4075">
        <f>-762.34360097955 -27.7777748793876 -684.730820499742</f>
        <v>-1474.8521963586795</v>
      </c>
      <c r="H4075">
        <f>-757.666738182546 -72.9444641344685 -830.120421979189</f>
        <v>-1660.7316242962036</v>
      </c>
      <c r="I4075">
        <f>-717.767644075861 -106.448935959067 -917.690273220212</f>
        <v>-1741.90685325514</v>
      </c>
      <c r="J4075">
        <f>-750.62404489254 -23.7890460536732 -774.55909601872</f>
        <v>-1548.9721869649334</v>
      </c>
      <c r="K4075" t="s">
        <v>81671</v>
      </c>
      <c r="L4075" t="s">
        <v>81672</v>
      </c>
      <c r="M4075" t="s">
        <v>81673</v>
      </c>
      <c r="N4075">
        <f>-768.848175801245 -82.1301805081691 -757.021009967288</f>
        <v>-1607.9993662767022</v>
      </c>
      <c r="O4075">
        <f>-816.832344405551 -204.359107407742 -690.835757295161</f>
        <v>-1712.0272091084539</v>
      </c>
      <c r="P4075">
        <f>-760.853853636756 -165.017976764396 -381.797054039003</f>
        <v>-1307.6688844401551</v>
      </c>
      <c r="Q4075">
        <f>-515.809837460196 -78.4179583698806 -391.589371790216</f>
        <v>-985.81716762029259</v>
      </c>
      <c r="R4075" t="s">
        <v>81674</v>
      </c>
      <c r="S4075" t="s">
        <v>81675</v>
      </c>
      <c r="T4075" t="s">
        <v>81676</v>
      </c>
      <c r="U4075" t="s">
        <v>81677</v>
      </c>
      <c r="V4075">
        <f>-737.766005654469 -65.7734765141113 -231.708894569345</f>
        <v>-1035.2483767379254</v>
      </c>
      <c r="W4075" t="s">
        <v>81678</v>
      </c>
      <c r="X4075" t="s">
        <v>81679</v>
      </c>
      <c r="Y4075" t="s">
        <v>81680</v>
      </c>
    </row>
    <row r="4076" spans="1:25" x14ac:dyDescent="0.3">
      <c r="A4076">
        <v>203750</v>
      </c>
      <c r="B4076" t="s">
        <v>81681</v>
      </c>
      <c r="C4076" t="s">
        <v>81682</v>
      </c>
      <c r="D4076" t="s">
        <v>81683</v>
      </c>
      <c r="E4076" t="s">
        <v>81684</v>
      </c>
      <c r="F4076">
        <f>-762.510507092093 -0.658674661797477 -578.694161124905</f>
        <v>-1341.8633428787955</v>
      </c>
      <c r="G4076">
        <f>-762.367279847714 -27.361124598433 -684.910118446026</f>
        <v>-1474.6385228921731</v>
      </c>
      <c r="H4076">
        <f>-757.801619485128 -71.798774333434 -830.527448727971</f>
        <v>-1660.127842546533</v>
      </c>
      <c r="I4076">
        <f>-717.727103904051 -105.867238808237 -917.799236710482</f>
        <v>-1741.39357942277</v>
      </c>
      <c r="J4076">
        <f>-750.716550531291 -22.9222277810602 -774.725963421513</f>
        <v>-1548.3647417338643</v>
      </c>
      <c r="K4076" t="s">
        <v>81685</v>
      </c>
      <c r="L4076" t="s">
        <v>81686</v>
      </c>
      <c r="M4076" t="s">
        <v>81687</v>
      </c>
      <c r="N4076">
        <f>-768.926985898457 -81.3507238551024 -757.46650681499</f>
        <v>-1607.7442165685493</v>
      </c>
      <c r="O4076">
        <f>-816.708030927657 -203.910957994724 -691.746873689397</f>
        <v>-1712.3658626117781</v>
      </c>
      <c r="P4076">
        <f>-760.110557215275 -167.635896265524 -382.445897762221</f>
        <v>-1310.1923512430201</v>
      </c>
      <c r="Q4076">
        <f>-516.397436555047 -77.2474551031844 -391.159639095949</f>
        <v>-984.8045307541804</v>
      </c>
      <c r="R4076" t="s">
        <v>81688</v>
      </c>
      <c r="S4076" t="s">
        <v>81689</v>
      </c>
      <c r="T4076" t="s">
        <v>81690</v>
      </c>
      <c r="U4076" t="s">
        <v>81691</v>
      </c>
      <c r="V4076">
        <f>-737.796381520545 -66.3503289475714 -231.662961268727</f>
        <v>-1035.8096717368433</v>
      </c>
      <c r="W4076" t="s">
        <v>81692</v>
      </c>
      <c r="X4076" t="s">
        <v>81693</v>
      </c>
      <c r="Y4076" t="s">
        <v>81694</v>
      </c>
    </row>
    <row r="4077" spans="1:25" x14ac:dyDescent="0.3">
      <c r="A4077">
        <v>203800</v>
      </c>
      <c r="B4077" t="s">
        <v>81695</v>
      </c>
      <c r="C4077" t="s">
        <v>81696</v>
      </c>
      <c r="D4077" t="s">
        <v>81697</v>
      </c>
      <c r="E4077" t="s">
        <v>81698</v>
      </c>
      <c r="F4077">
        <f>-762.649533163211 -0.728505733977499 -578.739525471407</f>
        <v>-1342.1175643685956</v>
      </c>
      <c r="G4077">
        <f>-762.5306391618 -27.2809621036695 -684.992993651719</f>
        <v>-1474.8045949171883</v>
      </c>
      <c r="H4077">
        <f>-757.98193067376 -71.4813133773523 -830.683212934156</f>
        <v>-1660.1464569852683</v>
      </c>
      <c r="I4077">
        <f>-717.861614939831 -105.680815429585 -917.882659480151</f>
        <v>-1741.425089849567</v>
      </c>
      <c r="J4077">
        <f>-750.902967729927 -22.6923256911446 -774.804479713053</f>
        <v>-1548.3997731341246</v>
      </c>
      <c r="K4077" t="s">
        <v>81699</v>
      </c>
      <c r="L4077" t="s">
        <v>81700</v>
      </c>
      <c r="M4077" t="s">
        <v>81701</v>
      </c>
      <c r="N4077">
        <f>-769.086282118207 -81.1558008633128 -757.63516437794</f>
        <v>-1607.8772473594599</v>
      </c>
      <c r="O4077">
        <f>-816.797948614859 -203.852520839567 -692.108891632573</f>
        <v>-1712.759361086999</v>
      </c>
      <c r="P4077">
        <f>-760.551796314254 -168.24258157757 -382.666629348</f>
        <v>-1311.4610072398241</v>
      </c>
      <c r="Q4077">
        <f>-517.570688504311 -75.8555423008759 -390.843259732601</f>
        <v>-984.26949053778776</v>
      </c>
      <c r="R4077" t="s">
        <v>81702</v>
      </c>
      <c r="S4077" t="s">
        <v>81703</v>
      </c>
      <c r="T4077" t="s">
        <v>81704</v>
      </c>
      <c r="U4077" t="s">
        <v>81705</v>
      </c>
      <c r="V4077">
        <f>-737.823308345203 -66.6271734257261 -231.66039360294</f>
        <v>-1036.1108753738692</v>
      </c>
      <c r="W4077" t="s">
        <v>81706</v>
      </c>
      <c r="X4077" t="s">
        <v>81707</v>
      </c>
      <c r="Y4077" t="s">
        <v>81708</v>
      </c>
    </row>
    <row r="4078" spans="1:25" x14ac:dyDescent="0.3">
      <c r="A4078">
        <v>203850</v>
      </c>
      <c r="B4078" t="s">
        <v>81709</v>
      </c>
      <c r="C4078" t="s">
        <v>81710</v>
      </c>
      <c r="D4078" t="s">
        <v>81711</v>
      </c>
      <c r="E4078" t="s">
        <v>81712</v>
      </c>
      <c r="F4078">
        <f>-762.803183280308 -1.02092818892243 -578.716021573921</f>
        <v>-1342.5401330431514</v>
      </c>
      <c r="G4078">
        <f>-762.738009627084 -27.3776289673433 -685.018331573722</f>
        <v>-1475.1339701681493</v>
      </c>
      <c r="H4078">
        <f>-758.261288899209 -71.256939522322 -830.807830048813</f>
        <v>-1660.3260584703439</v>
      </c>
      <c r="I4078">
        <f>-718.155354708159 -105.442675111438 -918.019206072524</f>
        <v>-1741.617235892121</v>
      </c>
      <c r="J4078">
        <f>-751.204454842512 -22.5774551194449 -774.830837793484</f>
        <v>-1548.612747755441</v>
      </c>
      <c r="K4078" t="s">
        <v>81713</v>
      </c>
      <c r="L4078" t="s">
        <v>81714</v>
      </c>
      <c r="M4078" t="s">
        <v>81715</v>
      </c>
      <c r="N4078">
        <f>-769.27982988889 -81.1060568102309 -757.770001852798</f>
        <v>-1608.1558885519189</v>
      </c>
      <c r="O4078">
        <f>-816.753118281789 -204.090238939509 -692.601199122199</f>
        <v>-1713.444556343497</v>
      </c>
      <c r="P4078">
        <f>-761.062549499792 -170.226285373013 -382.862556546853</f>
        <v>-1314.151391419658</v>
      </c>
      <c r="Q4078">
        <f>-519.638132641122 -73.8077039403622 -390.596441392089</f>
        <v>-984.04227797357316</v>
      </c>
      <c r="R4078" t="s">
        <v>81716</v>
      </c>
      <c r="S4078" t="s">
        <v>81717</v>
      </c>
      <c r="T4078" t="s">
        <v>81718</v>
      </c>
      <c r="U4078" t="s">
        <v>81719</v>
      </c>
      <c r="V4078">
        <f>-737.871830823128 -67.1206237399024 -231.630523983526</f>
        <v>-1036.6229785465564</v>
      </c>
      <c r="W4078" t="s">
        <v>81720</v>
      </c>
      <c r="X4078" t="s">
        <v>81721</v>
      </c>
      <c r="Y4078" t="s">
        <v>81722</v>
      </c>
    </row>
    <row r="4079" spans="1:25" x14ac:dyDescent="0.3">
      <c r="A4079">
        <v>203900</v>
      </c>
      <c r="B4079" t="s">
        <v>81709</v>
      </c>
      <c r="C4079" t="s">
        <v>81710</v>
      </c>
      <c r="D4079" t="s">
        <v>81711</v>
      </c>
      <c r="E4079" t="s">
        <v>81712</v>
      </c>
      <c r="F4079">
        <f>-762.803183280308 -1.02092818892243 -578.716021573921</f>
        <v>-1342.5401330431514</v>
      </c>
      <c r="G4079">
        <f>-762.738009627084 -27.3776289673433 -685.018331573722</f>
        <v>-1475.1339701681493</v>
      </c>
      <c r="H4079">
        <f>-758.261288899209 -71.256939522322 -830.807830048813</f>
        <v>-1660.3260584703439</v>
      </c>
      <c r="I4079">
        <f>-718.155354708159 -105.442675111438 -918.019206072524</f>
        <v>-1741.617235892121</v>
      </c>
      <c r="J4079">
        <f>-751.204454842512 -22.5774551194449 -774.830837793484</f>
        <v>-1548.612747755441</v>
      </c>
      <c r="K4079" t="s">
        <v>81713</v>
      </c>
      <c r="L4079" t="s">
        <v>81714</v>
      </c>
      <c r="M4079" t="s">
        <v>81715</v>
      </c>
      <c r="N4079">
        <f>-769.27982988889 -81.1060568102309 -757.770001852798</f>
        <v>-1608.1558885519189</v>
      </c>
      <c r="O4079">
        <f>-816.753118281789 -204.090238939509 -692.601199122199</f>
        <v>-1713.444556343497</v>
      </c>
      <c r="P4079">
        <f>-761.062549499792 -170.226285373013 -382.862556546853</f>
        <v>-1314.151391419658</v>
      </c>
      <c r="Q4079">
        <f>-519.638132641122 -73.8077039403622 -390.596441392089</f>
        <v>-984.04227797357316</v>
      </c>
      <c r="R4079" t="s">
        <v>81716</v>
      </c>
      <c r="S4079" t="s">
        <v>81717</v>
      </c>
      <c r="T4079" t="s">
        <v>81718</v>
      </c>
      <c r="U4079" t="s">
        <v>81719</v>
      </c>
      <c r="V4079">
        <f>-737.871830823128 -67.1206237399024 -231.630523983526</f>
        <v>-1036.6229785465564</v>
      </c>
      <c r="W4079" t="s">
        <v>81720</v>
      </c>
      <c r="X4079" t="s">
        <v>81721</v>
      </c>
      <c r="Y4079" t="s">
        <v>81722</v>
      </c>
    </row>
    <row r="4080" spans="1:25" x14ac:dyDescent="0.3">
      <c r="A4080">
        <v>203950</v>
      </c>
      <c r="B4080" t="s">
        <v>81723</v>
      </c>
      <c r="C4080" t="s">
        <v>81724</v>
      </c>
      <c r="D4080" t="s">
        <v>81725</v>
      </c>
      <c r="E4080" t="s">
        <v>81726</v>
      </c>
      <c r="F4080">
        <f>-763.093789097496 -1.10882407459735 -578.687226897428</f>
        <v>-1342.8898400695214</v>
      </c>
      <c r="G4080">
        <f>-763.098101647012 -27.3874761409097 -685.008807566071</f>
        <v>-1475.4943853539926</v>
      </c>
      <c r="H4080">
        <f>-758.708223231898 -71.1470842280787 -830.836803003049</f>
        <v>-1660.6921104630258</v>
      </c>
      <c r="I4080">
        <f>-718.64146387234 -105.258977787157 -918.095163829462</f>
        <v>-1741.995605488959</v>
      </c>
      <c r="J4080">
        <f>-751.633996168343 -22.5091354582455 -774.825926888505</f>
        <v>-1548.9690585150934</v>
      </c>
      <c r="K4080" t="s">
        <v>81727</v>
      </c>
      <c r="L4080" t="s">
        <v>81728</v>
      </c>
      <c r="M4080" t="s">
        <v>81729</v>
      </c>
      <c r="N4080">
        <f>-769.66735251822 -81.0606495161303 -757.79886657555</f>
        <v>-1608.5268686099002</v>
      </c>
      <c r="O4080">
        <f>-817.036873296052 -204.146308133397 -692.745085317811</f>
        <v>-1713.9282667472601</v>
      </c>
      <c r="P4080">
        <f>-761.405294236857 -170.918992342632 -382.926893915141</f>
        <v>-1315.25118049463</v>
      </c>
      <c r="Q4080">
        <f>-520.842983819812 -72.3651414877104 -390.605929312778</f>
        <v>-983.81405462030045</v>
      </c>
      <c r="R4080" t="s">
        <v>81730</v>
      </c>
      <c r="S4080" t="s">
        <v>81731</v>
      </c>
      <c r="T4080" t="s">
        <v>81732</v>
      </c>
      <c r="U4080" t="s">
        <v>81733</v>
      </c>
      <c r="V4080">
        <f>-737.882302966444 -67.336575464532 -231.613645536243</f>
        <v>-1036.832523967219</v>
      </c>
      <c r="W4080" t="s">
        <v>81734</v>
      </c>
      <c r="X4080" t="s">
        <v>81735</v>
      </c>
      <c r="Y4080" t="s">
        <v>81736</v>
      </c>
    </row>
    <row r="4081" spans="1:25" x14ac:dyDescent="0.3">
      <c r="A4081">
        <v>204000</v>
      </c>
      <c r="B4081" t="s">
        <v>81723</v>
      </c>
      <c r="C4081" t="s">
        <v>81724</v>
      </c>
      <c r="D4081" t="s">
        <v>81725</v>
      </c>
      <c r="E4081" t="s">
        <v>81726</v>
      </c>
      <c r="F4081">
        <f>-763.093789097496 -1.10882407459735 -578.687226897428</f>
        <v>-1342.8898400695214</v>
      </c>
      <c r="G4081">
        <f>-763.098101647012 -27.3874761409097 -685.008807566071</f>
        <v>-1475.4943853539926</v>
      </c>
      <c r="H4081">
        <f>-758.708223231898 -71.1470842280787 -830.836803003049</f>
        <v>-1660.6921104630258</v>
      </c>
      <c r="I4081">
        <f>-718.64146387234 -105.258977787157 -918.095163829462</f>
        <v>-1741.995605488959</v>
      </c>
      <c r="J4081">
        <f>-751.633996168343 -22.5091354582455 -774.825926888505</f>
        <v>-1548.9690585150934</v>
      </c>
      <c r="K4081" t="s">
        <v>81727</v>
      </c>
      <c r="L4081" t="s">
        <v>81728</v>
      </c>
      <c r="M4081" t="s">
        <v>81729</v>
      </c>
      <c r="N4081">
        <f>-769.66735251822 -81.0606495161303 -757.79886657555</f>
        <v>-1608.5268686099002</v>
      </c>
      <c r="O4081">
        <f>-817.036873296052 -204.146308133397 -692.745085317811</f>
        <v>-1713.9282667472601</v>
      </c>
      <c r="P4081">
        <f>-761.405294236857 -170.918992342632 -382.926893915141</f>
        <v>-1315.25118049463</v>
      </c>
      <c r="Q4081">
        <f>-520.842983819812 -72.3651414877104 -390.605929312778</f>
        <v>-983.81405462030045</v>
      </c>
      <c r="R4081" t="s">
        <v>81730</v>
      </c>
      <c r="S4081" t="s">
        <v>81731</v>
      </c>
      <c r="T4081" t="s">
        <v>81732</v>
      </c>
      <c r="U4081" t="s">
        <v>81733</v>
      </c>
      <c r="V4081">
        <f>-737.882302966444 -67.336575464532 -231.613645536243</f>
        <v>-1036.832523967219</v>
      </c>
      <c r="W4081" t="s">
        <v>81734</v>
      </c>
      <c r="X4081" t="s">
        <v>81735</v>
      </c>
      <c r="Y4081" t="s">
        <v>81736</v>
      </c>
    </row>
    <row r="4082" spans="1:25" x14ac:dyDescent="0.3">
      <c r="A4082">
        <v>204050</v>
      </c>
      <c r="B4082" t="s">
        <v>81737</v>
      </c>
      <c r="C4082" t="s">
        <v>81738</v>
      </c>
      <c r="D4082" t="s">
        <v>81739</v>
      </c>
      <c r="E4082" t="s">
        <v>81740</v>
      </c>
      <c r="F4082">
        <f>-763.385698470437 -1.1877603341718 -578.666058446401</f>
        <v>-1343.2395172510098</v>
      </c>
      <c r="G4082">
        <f>-763.447002050752 -27.3969349767503 -685.004693528928</f>
        <v>-1475.8486305564302</v>
      </c>
      <c r="H4082">
        <f>-759.1295559384 -71.0466366018454 -830.867907053537</f>
        <v>-1661.0440995937824</v>
      </c>
      <c r="I4082">
        <f>-719.100729862622 -105.055561609198 -918.183781600773</f>
        <v>-1742.340073072593</v>
      </c>
      <c r="J4082">
        <f>-752.048200383809 -22.4451538002613 -774.826211065147</f>
        <v>-1549.3195652492172</v>
      </c>
      <c r="K4082" t="s">
        <v>81741</v>
      </c>
      <c r="L4082" t="s">
        <v>81742</v>
      </c>
      <c r="M4082" t="s">
        <v>81743</v>
      </c>
      <c r="N4082">
        <f>-770.031566804721 -81.0208171207664 -757.829753646743</f>
        <v>-1608.8821375722305</v>
      </c>
      <c r="O4082">
        <f>-817.279118056729 -204.191838165844 -692.873940449979</f>
        <v>-1714.3448966725521</v>
      </c>
      <c r="P4082">
        <f>-761.576061945475 -171.90643603806 -382.969152435187</f>
        <v>-1316.451650418722</v>
      </c>
      <c r="Q4082">
        <f>-521.793568237674 -71.4908143132491 -390.916738233042</f>
        <v>-984.20112078396505</v>
      </c>
      <c r="R4082" t="s">
        <v>81744</v>
      </c>
      <c r="S4082" t="s">
        <v>81745</v>
      </c>
      <c r="T4082" t="s">
        <v>81746</v>
      </c>
      <c r="U4082" t="s">
        <v>81747</v>
      </c>
      <c r="V4082">
        <f>-737.94857630671 -67.5395307478695 -231.594523622837</f>
        <v>-1037.0826306774165</v>
      </c>
      <c r="W4082" t="s">
        <v>81748</v>
      </c>
      <c r="X4082" t="s">
        <v>81749</v>
      </c>
      <c r="Y4082" t="s">
        <v>81750</v>
      </c>
    </row>
    <row r="4083" spans="1:25" x14ac:dyDescent="0.3">
      <c r="A4083">
        <v>204100</v>
      </c>
      <c r="B4083" t="s">
        <v>81751</v>
      </c>
      <c r="C4083" t="s">
        <v>81752</v>
      </c>
      <c r="D4083" t="s">
        <v>81753</v>
      </c>
      <c r="E4083" t="s">
        <v>81754</v>
      </c>
      <c r="F4083">
        <f>-765.143984995483 -0.800702110201428 -578.476981241897</f>
        <v>-1344.4216683475815</v>
      </c>
      <c r="G4083">
        <f>-765.258726013712 -26.469964321145 -684.94740016418</f>
        <v>-1476.6760904990369</v>
      </c>
      <c r="H4083">
        <f>-760.906226878124 -69.2596408270829 -831.064122572664</f>
        <v>-1661.2299902778709</v>
      </c>
      <c r="I4083">
        <f>-721.018184452397 -102.402848717504 -918.776439621547</f>
        <v>-1742.197472791448</v>
      </c>
      <c r="J4083">
        <f>-754.004903821979 -20.9437269099165 -774.753683632732</f>
        <v>-1549.7023143646275</v>
      </c>
      <c r="K4083" t="s">
        <v>81755</v>
      </c>
      <c r="L4083" t="s">
        <v>81756</v>
      </c>
      <c r="M4083" t="s">
        <v>81757</v>
      </c>
      <c r="N4083">
        <f>-771.659265708354 -79.7093706905014 -758.070392771552</f>
        <v>-1609.4390291704074</v>
      </c>
      <c r="O4083">
        <f>-817.846451588817 -203.643358437087 -693.787896680646</f>
        <v>-1715.2777067065499</v>
      </c>
      <c r="P4083">
        <f>-762.113671801484 -175.93058301695 -383.446051322328</f>
        <v>-1321.490306140762</v>
      </c>
      <c r="Q4083">
        <f>-526.593080859999 -65.6867809546595 -387.733681658733</f>
        <v>-980.01354347339156</v>
      </c>
      <c r="R4083" t="s">
        <v>81758</v>
      </c>
      <c r="S4083" t="s">
        <v>81759</v>
      </c>
      <c r="T4083" t="s">
        <v>81760</v>
      </c>
      <c r="U4083" t="s">
        <v>81761</v>
      </c>
      <c r="V4083">
        <f>-738.845802802333 -67.9287159040139 -231.465334459021</f>
        <v>-1038.2398531653678</v>
      </c>
      <c r="W4083" t="s">
        <v>81762</v>
      </c>
      <c r="X4083" t="s">
        <v>81763</v>
      </c>
      <c r="Y4083" t="s">
        <v>81764</v>
      </c>
    </row>
    <row r="4084" spans="1:25" x14ac:dyDescent="0.3">
      <c r="A4084">
        <v>204150</v>
      </c>
      <c r="B4084" t="s">
        <v>81765</v>
      </c>
      <c r="C4084" t="s">
        <v>81766</v>
      </c>
      <c r="D4084" t="s">
        <v>81767</v>
      </c>
      <c r="E4084" t="s">
        <v>81768</v>
      </c>
      <c r="F4084">
        <f>-765.999814357964 -0.44093913304846 -578.38853723207</f>
        <v>-1344.8292907230825</v>
      </c>
      <c r="G4084">
        <f>-765.861454106917 -25.8956899092027 -684.910302090886</f>
        <v>-1476.6674461070056</v>
      </c>
      <c r="H4084">
        <f>-761.022947868856 -68.3484226507344 -831.109901839814</f>
        <v>-1660.4812723594046</v>
      </c>
      <c r="I4084">
        <f>-721.085745552869 -101.055474590818 -918.963485308758</f>
        <v>-1741.1047054524449</v>
      </c>
      <c r="J4084">
        <f>-754.373849693678 -20.1451608729535 -774.6728047984</f>
        <v>-1549.1918153650315</v>
      </c>
      <c r="K4084" t="s">
        <v>81769</v>
      </c>
      <c r="L4084" t="s">
        <v>81770</v>
      </c>
      <c r="M4084" t="s">
        <v>81771</v>
      </c>
      <c r="N4084">
        <f>-771.953859585612 -78.9836907962733 -758.169328066502</f>
        <v>-1609.1068784483873</v>
      </c>
      <c r="O4084">
        <f>-817.706506906466 -203.266366309387 -694.253204924212</f>
        <v>-1715.2260781400651</v>
      </c>
      <c r="P4084">
        <f>-762.675654169439 -177.251031331674 -383.639274613831</f>
        <v>-1323.5659601149439</v>
      </c>
      <c r="Q4084">
        <f>-529.161325725618 -62.7584914965505 -385.777755823656</f>
        <v>-977.69757304582447</v>
      </c>
      <c r="R4084" t="s">
        <v>81772</v>
      </c>
      <c r="S4084" t="s">
        <v>81773</v>
      </c>
      <c r="T4084" t="s">
        <v>81774</v>
      </c>
      <c r="U4084" t="s">
        <v>81775</v>
      </c>
      <c r="V4084">
        <f>-739.742219377939 -67.921013222083 -231.377629604855</f>
        <v>-1039.0408622048772</v>
      </c>
      <c r="W4084" t="s">
        <v>81776</v>
      </c>
      <c r="X4084" t="s">
        <v>81777</v>
      </c>
      <c r="Y4084" t="s">
        <v>81778</v>
      </c>
    </row>
    <row r="4085" spans="1:25" x14ac:dyDescent="0.3">
      <c r="A4085">
        <v>204200</v>
      </c>
      <c r="B4085" t="s">
        <v>81779</v>
      </c>
      <c r="C4085" t="s">
        <v>81780</v>
      </c>
      <c r="D4085" t="s">
        <v>81781</v>
      </c>
      <c r="E4085" t="s">
        <v>81782</v>
      </c>
      <c r="F4085">
        <f>-766.586290598601 -0.0912883019332185 -578.344079858452</f>
        <v>-1345.0216587589862</v>
      </c>
      <c r="G4085">
        <f>-766.317836669933 -25.3878463131723 -684.903331463031</f>
        <v>-1476.6090144461364</v>
      </c>
      <c r="H4085">
        <f>-761.228789086315 -67.5957088078949 -831.165436403657</f>
        <v>-1659.989934297867</v>
      </c>
      <c r="I4085">
        <f>-721.277191567207 -100.046944844436 -919.10726274026</f>
        <v>-1740.431399151903</v>
      </c>
      <c r="J4085">
        <f>-754.706182915366 -19.4790945611164 -774.639576240735</f>
        <v>-1548.8248537172174</v>
      </c>
      <c r="K4085" t="s">
        <v>81783</v>
      </c>
      <c r="L4085" t="s">
        <v>81784</v>
      </c>
      <c r="M4085" t="s">
        <v>81785</v>
      </c>
      <c r="N4085">
        <f>-772.25489701369 -78.3609960959125 -758.258315423656</f>
        <v>-1608.8742085332583</v>
      </c>
      <c r="O4085">
        <f>-817.842269159299 -202.8109800345 -694.551224464594</f>
        <v>-1715.204473658393</v>
      </c>
      <c r="P4085">
        <f>-762.369420120214 -178.202890300999 -383.90115709616</f>
        <v>-1324.4734675173731</v>
      </c>
      <c r="Q4085">
        <f>-529.856167131831 -61.6927537926745 -386.146525552633</f>
        <v>-977.69544647713838</v>
      </c>
      <c r="R4085" t="s">
        <v>81786</v>
      </c>
      <c r="S4085" t="s">
        <v>81787</v>
      </c>
      <c r="T4085" t="s">
        <v>81788</v>
      </c>
      <c r="U4085" t="s">
        <v>81789</v>
      </c>
      <c r="V4085">
        <f>-740.286781367516 -67.8420759715975 -231.345988733689</f>
        <v>-1039.4748460728026</v>
      </c>
      <c r="W4085" t="s">
        <v>81790</v>
      </c>
      <c r="X4085" t="s">
        <v>81791</v>
      </c>
      <c r="Y4085" t="s">
        <v>81792</v>
      </c>
    </row>
    <row r="4086" spans="1:25" x14ac:dyDescent="0.3">
      <c r="A4086">
        <v>204250</v>
      </c>
      <c r="B4086" t="s">
        <v>81793</v>
      </c>
      <c r="C4086" t="s">
        <v>81794</v>
      </c>
      <c r="D4086" t="s">
        <v>81795</v>
      </c>
      <c r="E4086" t="s">
        <v>81796</v>
      </c>
      <c r="F4086" t="s">
        <v>81797</v>
      </c>
      <c r="G4086">
        <f>-766.707289789592 -24.518113210456 -684.860005566227</f>
        <v>-1476.085408566275</v>
      </c>
      <c r="H4086">
        <f>-760.948804945522 -66.2996620593653 -831.219688125585</f>
        <v>-1658.4681551304725</v>
      </c>
      <c r="I4086">
        <f>-721.286032674749 -98.096269282491 -919.530647711181</f>
        <v>-1738.9129496684209</v>
      </c>
      <c r="J4086">
        <f>-754.754650482347 -18.3295075807414 -774.5327691549</f>
        <v>-1547.6169272179884</v>
      </c>
      <c r="K4086" t="s">
        <v>81798</v>
      </c>
      <c r="L4086" t="s">
        <v>81799</v>
      </c>
      <c r="M4086" t="s">
        <v>81800</v>
      </c>
      <c r="N4086">
        <f>-772.238965554376 -77.2958605066071 -758.387384410249</f>
        <v>-1607.9222104712321</v>
      </c>
      <c r="O4086">
        <f>-817.375025235688 -202.128838286801 -695.110315780758</f>
        <v>-1714.6141793032471</v>
      </c>
      <c r="P4086">
        <f>-761.03803311311 -180.291584793021 -384.408750654828</f>
        <v>-1325.7383685609591</v>
      </c>
      <c r="Q4086">
        <f>-531.035974806696 -58.8956765593348 -386.441404074553</f>
        <v>-976.37305544058381</v>
      </c>
      <c r="R4086" t="s">
        <v>81801</v>
      </c>
      <c r="S4086" t="s">
        <v>81802</v>
      </c>
      <c r="T4086" t="s">
        <v>81803</v>
      </c>
      <c r="U4086" t="s">
        <v>81804</v>
      </c>
      <c r="V4086">
        <f>-741.373812809046 -67.7977566105217 -231.265590601571</f>
        <v>-1040.4371600211387</v>
      </c>
      <c r="W4086" t="s">
        <v>81805</v>
      </c>
      <c r="X4086" t="s">
        <v>81806</v>
      </c>
      <c r="Y4086" t="s">
        <v>81807</v>
      </c>
    </row>
    <row r="4087" spans="1:25" x14ac:dyDescent="0.3">
      <c r="A4087">
        <v>204300</v>
      </c>
      <c r="B4087" t="s">
        <v>81808</v>
      </c>
      <c r="C4087" t="s">
        <v>81809</v>
      </c>
      <c r="D4087" t="s">
        <v>81810</v>
      </c>
      <c r="E4087" t="s">
        <v>81811</v>
      </c>
      <c r="F4087" t="s">
        <v>81812</v>
      </c>
      <c r="G4087">
        <f>-766.78522512728 -23.996382684709 -684.824811876688</f>
        <v>-1475.6064196886771</v>
      </c>
      <c r="H4087">
        <f>-760.465539868694 -65.5081352345928 -831.237936890846</f>
        <v>-1657.2116119941329</v>
      </c>
      <c r="I4087">
        <f>-721.240708701671 -96.7487466832658 -919.942178499089</f>
        <v>-1737.9316338840258</v>
      </c>
      <c r="J4087">
        <f>-754.521853523544 -17.633856807267 -774.443402281811</f>
        <v>-1546.5991126126219</v>
      </c>
      <c r="K4087" t="s">
        <v>81813</v>
      </c>
      <c r="L4087" t="s">
        <v>81814</v>
      </c>
      <c r="M4087" t="s">
        <v>81815</v>
      </c>
      <c r="N4087">
        <f>-772.001780437418 -76.6471137918711 -758.466002381544</f>
        <v>-1607.1148966108331</v>
      </c>
      <c r="O4087">
        <f>-817.008119496378 -201.64540211857 -695.386264764041</f>
        <v>-1714.039786378989</v>
      </c>
      <c r="P4087">
        <f>-760.318884689614 -180.174452560522 -384.723131576004</f>
        <v>-1325.21646882614</v>
      </c>
      <c r="Q4087">
        <f>-531.268073343651 -56.9969846707697 -386.98437560173</f>
        <v>-975.24943361615078</v>
      </c>
      <c r="R4087" t="s">
        <v>81816</v>
      </c>
      <c r="S4087" t="s">
        <v>81817</v>
      </c>
      <c r="T4087" t="s">
        <v>81818</v>
      </c>
      <c r="U4087" t="s">
        <v>81819</v>
      </c>
      <c r="V4087">
        <f>-741.944085693222 -67.7698061955546 -231.195885366153</f>
        <v>-1040.9097772549294</v>
      </c>
      <c r="W4087" t="s">
        <v>81820</v>
      </c>
      <c r="X4087" t="s">
        <v>81821</v>
      </c>
      <c r="Y4087" t="s">
        <v>81822</v>
      </c>
    </row>
    <row r="4088" spans="1:25" x14ac:dyDescent="0.3">
      <c r="A4088">
        <v>204350</v>
      </c>
      <c r="B4088" t="s">
        <v>81823</v>
      </c>
      <c r="C4088" t="s">
        <v>81824</v>
      </c>
      <c r="D4088" t="s">
        <v>81825</v>
      </c>
      <c r="E4088" t="s">
        <v>81826</v>
      </c>
      <c r="F4088" t="s">
        <v>81827</v>
      </c>
      <c r="G4088">
        <f>-766.860616390758 -22.292563319515 -684.867314762241</f>
        <v>-1474.020494472514</v>
      </c>
      <c r="H4088">
        <f>-759.117414473587 -62.6148514153633 -831.544322884051</f>
        <v>-1653.2765887730013</v>
      </c>
      <c r="I4088">
        <f>-720.955745702039 -92.1633775360574 -921.286008559981</f>
        <v>-1734.4051317980775</v>
      </c>
      <c r="J4088">
        <f>-754.021992229348 -15.1265780025242 -774.344547657476</f>
        <v>-1543.4931178893482</v>
      </c>
      <c r="K4088" t="s">
        <v>81828</v>
      </c>
      <c r="L4088" t="s">
        <v>81829</v>
      </c>
      <c r="M4088" t="s">
        <v>81830</v>
      </c>
      <c r="N4088">
        <f>-771.065071986797 -74.4203810893262 -758.944072462904</f>
        <v>-1604.4295255390271</v>
      </c>
      <c r="O4088">
        <f>-815.330794266921 -200.036095807766 -696.561677023099</f>
        <v>-1711.9285670977861</v>
      </c>
      <c r="P4088">
        <f>-759.12808087144 -180.219664630089 -385.700278251037</f>
        <v>-1325.048023752566</v>
      </c>
      <c r="Q4088">
        <f>-531.750235902731 -53.9704713599642 -387.286262556136</f>
        <v>-973.00696981883129</v>
      </c>
      <c r="R4088" t="s">
        <v>81831</v>
      </c>
      <c r="S4088" t="s">
        <v>81832</v>
      </c>
      <c r="T4088" t="s">
        <v>81833</v>
      </c>
      <c r="U4088" t="s">
        <v>81834</v>
      </c>
      <c r="V4088">
        <f>-742.820740861381 -67.9196511190735 -231.057129925621</f>
        <v>-1041.7975219060754</v>
      </c>
      <c r="W4088" t="s">
        <v>81835</v>
      </c>
      <c r="X4088" t="s">
        <v>81836</v>
      </c>
      <c r="Y4088" t="s">
        <v>81837</v>
      </c>
    </row>
    <row r="4089" spans="1:25" x14ac:dyDescent="0.3">
      <c r="A4089">
        <v>204400</v>
      </c>
      <c r="B4089" t="s">
        <v>81838</v>
      </c>
      <c r="C4089" t="s">
        <v>81839</v>
      </c>
      <c r="D4089" t="s">
        <v>81840</v>
      </c>
      <c r="E4089" t="s">
        <v>81841</v>
      </c>
      <c r="F4089" t="s">
        <v>81842</v>
      </c>
      <c r="G4089">
        <f>-766.789052630468 -21.4614904048753 -684.931400932431</f>
        <v>-1473.1819439677743</v>
      </c>
      <c r="H4089">
        <f>-758.235554871753 -60.8647530620349 -831.813106498081</f>
        <v>-1650.9134144318689</v>
      </c>
      <c r="I4089">
        <f>-720.492165236298 -89.3167637194367 -922.084382033862</f>
        <v>-1731.8933109895966</v>
      </c>
      <c r="J4089">
        <f>-753.781600831555 -13.6541588471646 -774.330612115877</f>
        <v>-1541.7663717945966</v>
      </c>
      <c r="K4089" t="s">
        <v>81843</v>
      </c>
      <c r="L4089" t="s">
        <v>81844</v>
      </c>
      <c r="M4089" t="s">
        <v>81845</v>
      </c>
      <c r="N4089">
        <f>-770.258841636661 -73.2059235084935 -759.314431143052</f>
        <v>-1602.7791962882065</v>
      </c>
      <c r="O4089">
        <f>-813.446602848715 -199.561459375822 -697.721993875555</f>
        <v>-1710.730056100092</v>
      </c>
      <c r="P4089">
        <f>-759.271302991104 -180.104280008968 -386.478339389322</f>
        <v>-1325.853922389394</v>
      </c>
      <c r="Q4089">
        <f>-533.065026503495 -51.7595057562976 -387.125929424719</f>
        <v>-971.95046168451154</v>
      </c>
      <c r="R4089" t="s">
        <v>81846</v>
      </c>
      <c r="S4089" t="s">
        <v>81847</v>
      </c>
      <c r="T4089" t="s">
        <v>81848</v>
      </c>
      <c r="U4089" t="s">
        <v>81849</v>
      </c>
      <c r="V4089">
        <f>-742.969935457819 -68.2708446803331 -230.991294113306</f>
        <v>-1042.232074251458</v>
      </c>
      <c r="W4089" t="s">
        <v>81850</v>
      </c>
      <c r="X4089" t="s">
        <v>81851</v>
      </c>
      <c r="Y4089" t="s">
        <v>81852</v>
      </c>
    </row>
    <row r="4090" spans="1:25" x14ac:dyDescent="0.3">
      <c r="A4090">
        <v>204450</v>
      </c>
      <c r="B4090" t="s">
        <v>81853</v>
      </c>
      <c r="C4090" t="s">
        <v>81854</v>
      </c>
      <c r="D4090" t="s">
        <v>81855</v>
      </c>
      <c r="E4090" t="s">
        <v>81856</v>
      </c>
      <c r="F4090" t="s">
        <v>81857</v>
      </c>
      <c r="G4090">
        <f>-766.908226625016 -20.6444405036314 -684.886092108814</f>
        <v>-1472.4387592374615</v>
      </c>
      <c r="H4090">
        <f>-757.238182489214 -58.0308009318628 -832.225158886501</f>
        <v>-1647.4941423075779</v>
      </c>
      <c r="I4090">
        <f>-719.952022024462 -84.1170872553334 -923.396532893397</f>
        <v>-1727.4656421731925</v>
      </c>
      <c r="J4090">
        <f>-753.914120933332 -11.4500524859113 -774.155219663752</f>
        <v>-1539.5193930829953</v>
      </c>
      <c r="K4090" t="s">
        <v>81858</v>
      </c>
      <c r="L4090" t="s">
        <v>81859</v>
      </c>
      <c r="M4090" t="s">
        <v>81860</v>
      </c>
      <c r="N4090">
        <f>-769.119692038178 -71.527007841564 -759.908993662232</f>
        <v>-1600.5556935419741</v>
      </c>
      <c r="O4090">
        <f>-809.554849570189 -199.726574871753 -700.249800893432</f>
        <v>-1709.5312253353741</v>
      </c>
      <c r="P4090">
        <f>-759.486081621388 -179.724264535433 -388.35363739887</f>
        <v>-1327.563983555691</v>
      </c>
      <c r="Q4090">
        <f>-535.394429948083 -47.73876567153 -386.164751434247</f>
        <v>-969.29794705386007</v>
      </c>
      <c r="R4090" t="s">
        <v>81861</v>
      </c>
      <c r="S4090" t="s">
        <v>81862</v>
      </c>
      <c r="T4090" t="s">
        <v>81863</v>
      </c>
      <c r="U4090" t="s">
        <v>81864</v>
      </c>
      <c r="V4090">
        <f>-742.37236695012 -69.6443837835163 -230.84461078704</f>
        <v>-1042.8613615206764</v>
      </c>
      <c r="W4090" t="s">
        <v>81865</v>
      </c>
      <c r="X4090" t="s">
        <v>81866</v>
      </c>
      <c r="Y4090" t="s">
        <v>81867</v>
      </c>
    </row>
    <row r="4091" spans="1:25" x14ac:dyDescent="0.3">
      <c r="A4091">
        <v>204500</v>
      </c>
      <c r="B4091" t="s">
        <v>81868</v>
      </c>
      <c r="C4091" t="s">
        <v>81869</v>
      </c>
      <c r="D4091" t="s">
        <v>81870</v>
      </c>
      <c r="E4091" t="s">
        <v>81871</v>
      </c>
      <c r="F4091" t="s">
        <v>81872</v>
      </c>
      <c r="G4091">
        <f>-766.567514217675 -19.6851871754607 -685.013417347488</f>
        <v>-1471.2661187406238</v>
      </c>
      <c r="H4091">
        <f>-756.430175515454 -55.8144666627149 -832.634332862113</f>
        <v>-1644.8789750402821</v>
      </c>
      <c r="I4091">
        <f>-719.313832125945 -80.6682188885575 -924.218398001371</f>
        <v>-1724.2004490158736</v>
      </c>
      <c r="J4091">
        <f>-753.606980917945 -9.66087154195384 -774.198144722249</f>
        <v>-1537.4659971821479</v>
      </c>
      <c r="K4091" t="s">
        <v>81873</v>
      </c>
      <c r="L4091" t="s">
        <v>81874</v>
      </c>
      <c r="M4091" t="s">
        <v>81875</v>
      </c>
      <c r="N4091">
        <f>-768.224320549503 -69.995926552549 -760.4352256736</f>
        <v>-1598.655472775652</v>
      </c>
      <c r="O4091">
        <f>-807.417192833647 -198.989320637121 -701.704813842783</f>
        <v>-1708.1113273135511</v>
      </c>
      <c r="P4091">
        <f>-758.961704538126 -179.813095887635 -389.502166845662</f>
        <v>-1328.276967271423</v>
      </c>
      <c r="Q4091">
        <f>-536.051549825351 -45.8709055439626 -385.954511334503</f>
        <v>-967.87696670381661</v>
      </c>
      <c r="R4091" t="s">
        <v>81876</v>
      </c>
      <c r="S4091" t="s">
        <v>81877</v>
      </c>
      <c r="T4091" t="s">
        <v>81878</v>
      </c>
      <c r="U4091" t="s">
        <v>81879</v>
      </c>
      <c r="V4091">
        <f>-741.695752183335 -70.2638576516688 -230.831504595173</f>
        <v>-1042.7911144301768</v>
      </c>
      <c r="W4091" t="s">
        <v>81880</v>
      </c>
      <c r="X4091" t="s">
        <v>81881</v>
      </c>
      <c r="Y4091" t="s">
        <v>81882</v>
      </c>
    </row>
    <row r="4092" spans="1:25" x14ac:dyDescent="0.3">
      <c r="A4092">
        <v>204550</v>
      </c>
      <c r="B4092" t="s">
        <v>81883</v>
      </c>
      <c r="C4092" t="s">
        <v>81884</v>
      </c>
      <c r="D4092" t="s">
        <v>81885</v>
      </c>
      <c r="E4092" t="s">
        <v>81886</v>
      </c>
      <c r="F4092" t="s">
        <v>81887</v>
      </c>
      <c r="G4092">
        <f>-766.251899746704 -14.960718911919 -685.642922405024</f>
        <v>-1466.855541063647</v>
      </c>
      <c r="H4092">
        <f>-755.361403320513 -48.2938639111926 -833.866810731165</f>
        <v>-1637.5220779628705</v>
      </c>
      <c r="I4092">
        <f>-718.604304770725 -70.7609638978552 -926.209269111811</f>
        <v>-1715.574537780391</v>
      </c>
      <c r="J4092">
        <f>-753.319631645677 -3.15246040257284 -774.613020765331</f>
        <v>-1531.085112813581</v>
      </c>
      <c r="K4092" t="s">
        <v>81888</v>
      </c>
      <c r="L4092" t="s">
        <v>81889</v>
      </c>
      <c r="M4092" t="s">
        <v>81890</v>
      </c>
      <c r="N4092">
        <f>-767.040540143679 -63.9374366259367 -761.95174492963</f>
        <v>-1592.9297216992456</v>
      </c>
      <c r="O4092">
        <f>-804.22407999007 -194.504605709796 -705.40888920321</f>
        <v>-1704.137574903076</v>
      </c>
      <c r="P4092">
        <f>-759.077557612422 -176.443938931947 -392.644181947744</f>
        <v>-1328.1656784921131</v>
      </c>
      <c r="Q4092">
        <f>-537.941149405149 -39.6577273432708 -387.141624576382</f>
        <v>-964.74050132480181</v>
      </c>
      <c r="R4092" t="s">
        <v>81891</v>
      </c>
      <c r="S4092" t="s">
        <v>81892</v>
      </c>
      <c r="T4092" t="s">
        <v>81893</v>
      </c>
      <c r="U4092" t="s">
        <v>81894</v>
      </c>
      <c r="V4092">
        <f>-740.433997990332 -70.2858308212342 -231.005790840616</f>
        <v>-1041.7256196521821</v>
      </c>
      <c r="W4092" t="s">
        <v>81895</v>
      </c>
      <c r="X4092" t="s">
        <v>81896</v>
      </c>
      <c r="Y4092" t="s">
        <v>81897</v>
      </c>
    </row>
    <row r="4093" spans="1:25" x14ac:dyDescent="0.3">
      <c r="A4093">
        <v>204600</v>
      </c>
      <c r="B4093" t="s">
        <v>81898</v>
      </c>
      <c r="C4093" t="s">
        <v>81899</v>
      </c>
      <c r="D4093" t="s">
        <v>81900</v>
      </c>
      <c r="E4093" t="s">
        <v>81901</v>
      </c>
      <c r="F4093" t="s">
        <v>81902</v>
      </c>
      <c r="G4093">
        <f>-766.217895453885 -12.130336819642 -686.062888947255</f>
        <v>-1464.4111212207822</v>
      </c>
      <c r="H4093">
        <f>-755.262646455324 -44.0189472160316 -834.599456135195</f>
        <v>-1633.8810498065507</v>
      </c>
      <c r="I4093">
        <f>-718.803177330522 -65.4430035827445 -927.307026622236</f>
        <v>-1711.5532075355025</v>
      </c>
      <c r="J4093" t="s">
        <v>81903</v>
      </c>
      <c r="K4093" t="s">
        <v>81904</v>
      </c>
      <c r="L4093" t="s">
        <v>81905</v>
      </c>
      <c r="M4093" t="s">
        <v>81906</v>
      </c>
      <c r="N4093">
        <f>-766.868624999258 -60.3829606817849 -762.832837507809</f>
        <v>-1590.0844231888518</v>
      </c>
      <c r="O4093">
        <f>-803.590012095605 -191.542791325722 -707.441631435743</f>
        <v>-1702.5744348570699</v>
      </c>
      <c r="P4093">
        <f>-759.640980467863 -174.468288068424 -394.451071321145</f>
        <v>-1328.5603398574319</v>
      </c>
      <c r="Q4093">
        <f>-539.265271496623 -36.4771100603152 -388.527869224717</f>
        <v>-964.27025078165525</v>
      </c>
      <c r="R4093" t="s">
        <v>81907</v>
      </c>
      <c r="S4093" t="s">
        <v>81908</v>
      </c>
      <c r="T4093" t="s">
        <v>81909</v>
      </c>
      <c r="U4093" t="s">
        <v>81910</v>
      </c>
      <c r="V4093">
        <f>-740.030519741653 -70.0239227634611 -231.155306428032</f>
        <v>-1041.2097489331461</v>
      </c>
      <c r="W4093" t="s">
        <v>81911</v>
      </c>
      <c r="X4093" t="s">
        <v>81912</v>
      </c>
      <c r="Y4093" t="s">
        <v>81913</v>
      </c>
    </row>
    <row r="4094" spans="1:25" x14ac:dyDescent="0.3">
      <c r="A4094">
        <v>204650</v>
      </c>
      <c r="B4094" t="s">
        <v>81914</v>
      </c>
      <c r="C4094" t="s">
        <v>81915</v>
      </c>
      <c r="D4094" t="s">
        <v>81916</v>
      </c>
      <c r="E4094" t="s">
        <v>81917</v>
      </c>
      <c r="F4094" t="s">
        <v>81918</v>
      </c>
      <c r="G4094">
        <f>-765.563540528791 -7.41403877340031 -686.729322482742</f>
        <v>-1459.7069017849333</v>
      </c>
      <c r="H4094">
        <f>-754.789794081511 -37.015362008523 -835.7516941659</f>
        <v>-1627.556850255934</v>
      </c>
      <c r="I4094">
        <f>-719.031995277751 -56.9486332528829 -929.06322980267</f>
        <v>-1705.0438583333039</v>
      </c>
      <c r="J4094" t="s">
        <v>81919</v>
      </c>
      <c r="K4094" t="s">
        <v>81920</v>
      </c>
      <c r="L4094" t="s">
        <v>81921</v>
      </c>
      <c r="M4094" t="s">
        <v>81922</v>
      </c>
      <c r="N4094">
        <f>-766.498305976685 -54.4419642344196 -764.252575030614</f>
        <v>-1585.1928452417187</v>
      </c>
      <c r="O4094">
        <f>-804.060970341198 -186.14833825182 -710.777438656203</f>
        <v>-1700.986747249221</v>
      </c>
      <c r="P4094">
        <f>-760.729673778413 -172.443622673677 -397.535068012377</f>
        <v>-1330.708364464467</v>
      </c>
      <c r="Q4094">
        <f>-541.148967990073 -33.1896555781736 -391.645214929141</f>
        <v>-965.98383849738752</v>
      </c>
      <c r="R4094" t="s">
        <v>81923</v>
      </c>
      <c r="S4094" t="s">
        <v>81924</v>
      </c>
      <c r="T4094" t="s">
        <v>81925</v>
      </c>
      <c r="U4094" t="s">
        <v>81926</v>
      </c>
      <c r="V4094">
        <f>-739.757041126969 -69.5505403059935 -231.414916381061</f>
        <v>-1040.7224978140237</v>
      </c>
      <c r="W4094" t="s">
        <v>81927</v>
      </c>
      <c r="X4094" t="s">
        <v>81928</v>
      </c>
      <c r="Y4094" t="s">
        <v>81929</v>
      </c>
    </row>
    <row r="4095" spans="1:25" x14ac:dyDescent="0.3">
      <c r="A4095">
        <v>204700</v>
      </c>
      <c r="B4095" t="s">
        <v>81930</v>
      </c>
      <c r="C4095" t="s">
        <v>81931</v>
      </c>
      <c r="D4095" t="s">
        <v>81932</v>
      </c>
      <c r="E4095" t="s">
        <v>81933</v>
      </c>
      <c r="F4095" t="s">
        <v>81934</v>
      </c>
      <c r="G4095">
        <f>-765.755175224015 -5.86652035345332 -686.881119615193</f>
        <v>-1458.5028151926613</v>
      </c>
      <c r="H4095">
        <f>-755.178385550842 -34.5982576289739 -836.087669463103</f>
        <v>-1625.8643126429188</v>
      </c>
      <c r="I4095">
        <f>-719.798905922594 -54.063766011712 -929.641767131445</f>
        <v>-1703.5044390657511</v>
      </c>
      <c r="J4095" t="s">
        <v>81935</v>
      </c>
      <c r="K4095" t="s">
        <v>81936</v>
      </c>
      <c r="L4095" t="s">
        <v>81937</v>
      </c>
      <c r="M4095" t="s">
        <v>81938</v>
      </c>
      <c r="N4095">
        <f>-767.054471094649 -52.386235143297 -764.705095485849</f>
        <v>-1584.1458017237951</v>
      </c>
      <c r="O4095">
        <f>-805.883285658986 -184.025134216711 -711.947452887143</f>
        <v>-1701.8558727628399</v>
      </c>
      <c r="P4095">
        <f>-762.042571256537 -172.434760351109 -398.690571442682</f>
        <v>-1333.1679030503281</v>
      </c>
      <c r="Q4095">
        <f>-542.210061183801 -33.5917770245596 -392.496963455254</f>
        <v>-968.29880166361465</v>
      </c>
      <c r="R4095" t="s">
        <v>81939</v>
      </c>
      <c r="S4095" t="s">
        <v>81940</v>
      </c>
      <c r="T4095" t="s">
        <v>81941</v>
      </c>
      <c r="U4095" t="s">
        <v>81942</v>
      </c>
      <c r="V4095">
        <f>-740.316134113447 -69.7004573970432 -231.483234167446</f>
        <v>-1041.4998256779363</v>
      </c>
      <c r="W4095" t="s">
        <v>81943</v>
      </c>
      <c r="X4095" t="s">
        <v>81944</v>
      </c>
      <c r="Y4095" t="s">
        <v>81945</v>
      </c>
    </row>
    <row r="4096" spans="1:25" x14ac:dyDescent="0.3">
      <c r="A4096">
        <v>204750</v>
      </c>
      <c r="B4096" t="s">
        <v>81946</v>
      </c>
      <c r="C4096" t="s">
        <v>81947</v>
      </c>
      <c r="D4096" t="s">
        <v>81948</v>
      </c>
      <c r="E4096" t="s">
        <v>81949</v>
      </c>
      <c r="F4096" t="s">
        <v>81950</v>
      </c>
      <c r="G4096">
        <f>-764.940330553493 -4.66297228070266 -687.38603443188</f>
        <v>-1456.9893372660758</v>
      </c>
      <c r="H4096">
        <f>-754.194537148815 -32.411340175734 -836.766669672636</f>
        <v>-1623.3725469971851</v>
      </c>
      <c r="I4096">
        <f>-719.302281490089 -51.4564293035501 -930.589890946233</f>
        <v>-1701.348601739872</v>
      </c>
      <c r="J4096" t="s">
        <v>81951</v>
      </c>
      <c r="K4096" t="s">
        <v>81952</v>
      </c>
      <c r="L4096" t="s">
        <v>81953</v>
      </c>
      <c r="M4096" t="s">
        <v>81954</v>
      </c>
      <c r="N4096">
        <f>-766.80181317042 -50.5207566081594 -765.590662850766</f>
        <v>-1582.9132326293454</v>
      </c>
      <c r="O4096">
        <f>-808.648507149628 -181.647821026557 -713.874270776639</f>
        <v>-1704.1705989528241</v>
      </c>
      <c r="P4096">
        <f>-764.348467485039 -173.193933963607 -400.58155132708</f>
        <v>-1338.1239527757261</v>
      </c>
      <c r="Q4096">
        <f>-542.887990565772 -37.0055005452236 -393.512905431855</f>
        <v>-973.40639654285064</v>
      </c>
      <c r="R4096" t="s">
        <v>81955</v>
      </c>
      <c r="S4096" t="s">
        <v>81956</v>
      </c>
      <c r="T4096" t="s">
        <v>81957</v>
      </c>
      <c r="U4096" t="s">
        <v>81958</v>
      </c>
      <c r="V4096">
        <f>-741.941358290119 -70.411951642682 -231.761690486897</f>
        <v>-1044.1150004196979</v>
      </c>
      <c r="W4096" t="s">
        <v>81959</v>
      </c>
      <c r="X4096" t="s">
        <v>81960</v>
      </c>
      <c r="Y4096" t="s">
        <v>81961</v>
      </c>
    </row>
    <row r="4097" spans="1:25" x14ac:dyDescent="0.3">
      <c r="A4097">
        <v>204800</v>
      </c>
      <c r="B4097" t="s">
        <v>81962</v>
      </c>
      <c r="C4097" t="s">
        <v>81963</v>
      </c>
      <c r="D4097" t="s">
        <v>81964</v>
      </c>
      <c r="E4097" t="s">
        <v>81965</v>
      </c>
      <c r="F4097" t="s">
        <v>81966</v>
      </c>
      <c r="G4097">
        <f>-763.888341684979 -4.56813889720183 -687.665194599857</f>
        <v>-1456.121675182038</v>
      </c>
      <c r="H4097">
        <f>-752.89989885113 -32.0845324482216 -837.070967922914</f>
        <v>-1622.0553992222656</v>
      </c>
      <c r="I4097">
        <f>-718.077487802771 -51.0836591984203 -930.929525043425</f>
        <v>-1700.0906720446162</v>
      </c>
      <c r="J4097" t="s">
        <v>81967</v>
      </c>
      <c r="K4097" t="s">
        <v>81968</v>
      </c>
      <c r="L4097" t="s">
        <v>81969</v>
      </c>
      <c r="M4097" t="s">
        <v>81970</v>
      </c>
      <c r="N4097">
        <f>-765.928409356061 -50.2297402047388 -765.980045653898</f>
        <v>-1582.1381952146978</v>
      </c>
      <c r="O4097">
        <f>-809.151863531271 -181.063877648302 -714.623329179898</f>
        <v>-1704.839070359471</v>
      </c>
      <c r="P4097">
        <f>-765.334338193629 -173.374240969991 -401.243287634465</f>
        <v>-1339.9518667980851</v>
      </c>
      <c r="Q4097">
        <f>-542.776723115452 -39.0271518298248 -393.431641344902</f>
        <v>-975.23551629017879</v>
      </c>
      <c r="R4097" t="s">
        <v>81971</v>
      </c>
      <c r="S4097" t="s">
        <v>81972</v>
      </c>
      <c r="T4097" t="s">
        <v>81973</v>
      </c>
      <c r="U4097" t="s">
        <v>81974</v>
      </c>
      <c r="V4097">
        <f>-742.72269691446 -70.7152003873371 -231.884965846359</f>
        <v>-1045.3228631481561</v>
      </c>
      <c r="W4097" t="s">
        <v>81975</v>
      </c>
      <c r="X4097" t="s">
        <v>81976</v>
      </c>
      <c r="Y4097" t="s">
        <v>81977</v>
      </c>
    </row>
    <row r="4098" spans="1:25" x14ac:dyDescent="0.3">
      <c r="A4098">
        <v>204850</v>
      </c>
      <c r="B4098" t="s">
        <v>81978</v>
      </c>
      <c r="C4098" t="s">
        <v>81979</v>
      </c>
      <c r="D4098" t="s">
        <v>81980</v>
      </c>
      <c r="E4098" t="s">
        <v>81981</v>
      </c>
      <c r="F4098" t="s">
        <v>81982</v>
      </c>
      <c r="G4098">
        <f>-761.77404616647 -4.58626421151962 -687.861056368175</f>
        <v>-1454.2213667461647</v>
      </c>
      <c r="H4098">
        <f>-750.332883857288 -31.7959491775232 -837.289158815752</f>
        <v>-1619.4179918505633</v>
      </c>
      <c r="I4098">
        <f>-715.424701654215 -50.7905762036773 -931.11673429785</f>
        <v>-1697.3320121557424</v>
      </c>
      <c r="J4098" t="s">
        <v>81983</v>
      </c>
      <c r="K4098" t="s">
        <v>81984</v>
      </c>
      <c r="L4098" t="s">
        <v>81985</v>
      </c>
      <c r="M4098" t="s">
        <v>81986</v>
      </c>
      <c r="N4098">
        <f>-764.071889099331 -49.9589169674455 -766.336577109792</f>
        <v>-1580.3673831765684</v>
      </c>
      <c r="O4098">
        <f>-809.582308222913 -180.316921548226 -715.703427956636</f>
        <v>-1705.6026577277748</v>
      </c>
      <c r="P4098">
        <f>-768.247408130105 -173.645239365924 -401.963025977052</f>
        <v>-1343.855673473081</v>
      </c>
      <c r="Q4098">
        <f>-543.291141703744 -43.5058060992187 -391.939446726642</f>
        <v>-978.73639452960469</v>
      </c>
      <c r="R4098" t="s">
        <v>81987</v>
      </c>
      <c r="S4098" t="s">
        <v>81988</v>
      </c>
      <c r="T4098" t="s">
        <v>81989</v>
      </c>
      <c r="U4098" t="s">
        <v>81990</v>
      </c>
      <c r="V4098">
        <f>-743.938097797546 -71.3451835046969 -232.003302680446</f>
        <v>-1047.2865839826889</v>
      </c>
      <c r="W4098" t="s">
        <v>81991</v>
      </c>
      <c r="X4098" t="s">
        <v>81992</v>
      </c>
      <c r="Y4098" t="s">
        <v>81993</v>
      </c>
    </row>
    <row r="4099" spans="1:25" x14ac:dyDescent="0.3">
      <c r="A4099">
        <v>204900</v>
      </c>
      <c r="B4099" t="s">
        <v>81994</v>
      </c>
      <c r="C4099" t="s">
        <v>81995</v>
      </c>
      <c r="D4099" t="s">
        <v>81996</v>
      </c>
      <c r="E4099" t="s">
        <v>81997</v>
      </c>
      <c r="F4099" t="s">
        <v>81998</v>
      </c>
      <c r="G4099">
        <f>-760.126950329309 -4.81728038077631 -687.546793431579</f>
        <v>-1452.4910241416642</v>
      </c>
      <c r="H4099">
        <f>-748.520804141684 -31.9472781184372 -836.976619289059</f>
        <v>-1617.4447015491803</v>
      </c>
      <c r="I4099">
        <f>-713.396129699241 -51.0606679763353 -930.699263784307</f>
        <v>-1695.1560614598834</v>
      </c>
      <c r="J4099" t="s">
        <v>81999</v>
      </c>
      <c r="K4099" t="s">
        <v>82000</v>
      </c>
      <c r="L4099" t="s">
        <v>82001</v>
      </c>
      <c r="M4099" t="s">
        <v>82002</v>
      </c>
      <c r="N4099">
        <f>-762.63203813009 -50.068107498588 -766.086345824265</f>
        <v>-1578.786491452943</v>
      </c>
      <c r="O4099">
        <f>-809.442412286119 -180.13540456568 -715.95491055443</f>
        <v>-1705.5327274062288</v>
      </c>
      <c r="P4099">
        <f>-770.600890570141 -174.04378153479 -401.884133557616</f>
        <v>-1346.528805662547</v>
      </c>
      <c r="Q4099">
        <f>-543.814673960946 -47.2409674588757 -390.435638297069</f>
        <v>-981.49127971689074</v>
      </c>
      <c r="R4099" t="s">
        <v>82003</v>
      </c>
      <c r="S4099" t="s">
        <v>82004</v>
      </c>
      <c r="T4099" t="s">
        <v>82005</v>
      </c>
      <c r="U4099" t="s">
        <v>82006</v>
      </c>
      <c r="V4099">
        <f>-744.846852826476 -71.9227567843277 -231.828791928946</f>
        <v>-1048.5984015397498</v>
      </c>
      <c r="W4099" t="s">
        <v>82007</v>
      </c>
      <c r="X4099" t="s">
        <v>82008</v>
      </c>
      <c r="Y4099" t="s">
        <v>82009</v>
      </c>
    </row>
    <row r="4100" spans="1:25" x14ac:dyDescent="0.3">
      <c r="A4100">
        <v>204950</v>
      </c>
      <c r="B4100" t="s">
        <v>82010</v>
      </c>
      <c r="C4100" t="s">
        <v>82011</v>
      </c>
      <c r="D4100" t="s">
        <v>82012</v>
      </c>
      <c r="E4100" t="s">
        <v>82013</v>
      </c>
      <c r="F4100" t="s">
        <v>82014</v>
      </c>
      <c r="G4100">
        <f>-759.813256575917 -5.07801019254316 -687.318634571164</f>
        <v>-1452.2099013396241</v>
      </c>
      <c r="H4100">
        <f>-748.310503884313 -32.2881079235522 -836.74179255564</f>
        <v>-1617.3404043635051</v>
      </c>
      <c r="I4100">
        <f>-713.064127784589 -51.5133699773321 -930.395826576109</f>
        <v>-1694.9733243380301</v>
      </c>
      <c r="J4100" t="s">
        <v>82015</v>
      </c>
      <c r="K4100" t="s">
        <v>82016</v>
      </c>
      <c r="L4100" t="s">
        <v>82017</v>
      </c>
      <c r="M4100" t="s">
        <v>82018</v>
      </c>
      <c r="N4100">
        <f>-762.487029330408 -50.338832674767 -765.84667271357</f>
        <v>-1578.6725347187448</v>
      </c>
      <c r="O4100">
        <f>-809.818403530069 -180.258640606863 -715.798744416639</f>
        <v>-1705.8757885535711</v>
      </c>
      <c r="P4100">
        <f>-771.289338031222 -174.285532444886 -401.68727636076</f>
        <v>-1347.2621468368679</v>
      </c>
      <c r="Q4100">
        <f>-543.540983205472 -49.239817613488 -390.010801650827</f>
        <v>-982.79160246978699</v>
      </c>
      <c r="R4100" t="s">
        <v>82019</v>
      </c>
      <c r="S4100" t="s">
        <v>82020</v>
      </c>
      <c r="T4100" t="s">
        <v>82021</v>
      </c>
      <c r="U4100" t="s">
        <v>82022</v>
      </c>
      <c r="V4100">
        <f>-745.168119969489 -72.17843996222 -231.686455123789</f>
        <v>-1049.033015055498</v>
      </c>
      <c r="W4100" t="s">
        <v>82023</v>
      </c>
      <c r="X4100" t="s">
        <v>82024</v>
      </c>
      <c r="Y4100" t="s">
        <v>82025</v>
      </c>
    </row>
    <row r="4101" spans="1:25" x14ac:dyDescent="0.3">
      <c r="A4101">
        <v>205000</v>
      </c>
      <c r="B4101" t="s">
        <v>82026</v>
      </c>
      <c r="C4101" t="s">
        <v>82027</v>
      </c>
      <c r="D4101" t="s">
        <v>82028</v>
      </c>
      <c r="E4101" t="s">
        <v>82029</v>
      </c>
      <c r="F4101" t="s">
        <v>82030</v>
      </c>
      <c r="G4101">
        <f>-759.623355961256 -5.47557128979201 -687.147321370018</f>
        <v>-1452.2462486210661</v>
      </c>
      <c r="H4101">
        <f>-748.261430496025 -32.7864997555464 -836.562852639146</f>
        <v>-1617.6107828907175</v>
      </c>
      <c r="I4101">
        <f>-712.934523817979 -52.1289917509794 -930.16234595924</f>
        <v>-1695.2258615281985</v>
      </c>
      <c r="J4101" t="s">
        <v>82031</v>
      </c>
      <c r="K4101" t="s">
        <v>82032</v>
      </c>
      <c r="L4101" t="s">
        <v>82033</v>
      </c>
      <c r="M4101" t="s">
        <v>82034</v>
      </c>
      <c r="N4101">
        <f>-762.439712952649 -50.7700578696897 -765.650983914722</f>
        <v>-1578.8607547370607</v>
      </c>
      <c r="O4101">
        <f>-810.168708922411 -180.503174431593 -715.509047732655</f>
        <v>-1706.180931086659</v>
      </c>
      <c r="P4101">
        <f>-771.288051291792 -174.541985564333 -401.440730396576</f>
        <v>-1347.270767252701</v>
      </c>
      <c r="Q4101">
        <f>-542.724258439893 -50.9740622363538 -389.968901634719</f>
        <v>-983.66722231096583</v>
      </c>
      <c r="R4101" t="s">
        <v>82035</v>
      </c>
      <c r="S4101" t="s">
        <v>82036</v>
      </c>
      <c r="T4101" t="s">
        <v>82037</v>
      </c>
      <c r="U4101" t="s">
        <v>82038</v>
      </c>
      <c r="V4101">
        <f>-745.328869864166 -72.4644472140924 -231.555951237665</f>
        <v>-1049.3492683159234</v>
      </c>
      <c r="W4101" t="s">
        <v>82039</v>
      </c>
      <c r="X4101" t="s">
        <v>82040</v>
      </c>
      <c r="Y4101" t="s">
        <v>82041</v>
      </c>
    </row>
    <row r="4102" spans="1:25" x14ac:dyDescent="0.3">
      <c r="A4102">
        <v>205050</v>
      </c>
      <c r="B4102" t="s">
        <v>82042</v>
      </c>
      <c r="C4102" t="s">
        <v>82043</v>
      </c>
      <c r="D4102" t="s">
        <v>82044</v>
      </c>
      <c r="E4102" t="s">
        <v>82045</v>
      </c>
      <c r="F4102" t="s">
        <v>82046</v>
      </c>
      <c r="G4102">
        <f>-759.259397013194 -6.67105141686602 -686.892967974037</f>
        <v>-1452.8234164040969</v>
      </c>
      <c r="H4102">
        <f>-748.22774874926 -34.3762599535673 -836.260575618945</f>
        <v>-1618.8645843217723</v>
      </c>
      <c r="I4102">
        <f>-712.874589404199 -54.0335814298219 -929.784634778788</f>
        <v>-1696.692805612809</v>
      </c>
      <c r="J4102" t="s">
        <v>82047</v>
      </c>
      <c r="K4102" t="s">
        <v>82048</v>
      </c>
      <c r="L4102" t="s">
        <v>82049</v>
      </c>
      <c r="M4102" t="s">
        <v>82050</v>
      </c>
      <c r="N4102">
        <f>-762.298910622345 -52.1584088938077 -765.276727230592</f>
        <v>-1579.7340467467448</v>
      </c>
      <c r="O4102">
        <f>-810.276764484488 -181.681041315439 -714.805498749427</f>
        <v>-1706.763304549354</v>
      </c>
      <c r="P4102">
        <f>-770.434249190292 -174.274537867529 -400.888424522796</f>
        <v>-1345.5972115806171</v>
      </c>
      <c r="Q4102">
        <f>-540.772826468867 -52.6684452283807 -390.417373057292</f>
        <v>-983.8586447545398</v>
      </c>
      <c r="R4102" t="s">
        <v>82051</v>
      </c>
      <c r="S4102" t="s">
        <v>82052</v>
      </c>
      <c r="T4102" t="s">
        <v>82053</v>
      </c>
      <c r="U4102" t="s">
        <v>82054</v>
      </c>
      <c r="V4102">
        <f>-744.922772497299 -72.9817665057224 -231.332576867437</f>
        <v>-1049.2371158704584</v>
      </c>
      <c r="W4102" t="s">
        <v>82055</v>
      </c>
      <c r="X4102" t="s">
        <v>82056</v>
      </c>
      <c r="Y4102" t="s">
        <v>82057</v>
      </c>
    </row>
    <row r="4103" spans="1:25" x14ac:dyDescent="0.3">
      <c r="A4103">
        <v>205100</v>
      </c>
      <c r="B4103" t="s">
        <v>82058</v>
      </c>
      <c r="C4103" t="s">
        <v>82059</v>
      </c>
      <c r="D4103" t="s">
        <v>82060</v>
      </c>
      <c r="E4103" t="s">
        <v>82061</v>
      </c>
      <c r="F4103" t="s">
        <v>82062</v>
      </c>
      <c r="G4103">
        <f>-759.093855443355 -7.15722841004549 -686.77044510936</f>
        <v>-1453.0215289627604</v>
      </c>
      <c r="H4103">
        <f>-748.257808332963 -35.0626807692477 -836.115211086205</f>
        <v>-1619.4357001884157</v>
      </c>
      <c r="I4103">
        <f>-712.977565664844 -54.8398982280157 -929.641492844196</f>
        <v>-1697.4589567370558</v>
      </c>
      <c r="J4103" t="s">
        <v>82063</v>
      </c>
      <c r="K4103" t="s">
        <v>82064</v>
      </c>
      <c r="L4103" t="s">
        <v>82065</v>
      </c>
      <c r="M4103" t="s">
        <v>82066</v>
      </c>
      <c r="N4103">
        <f>-762.204778086216 -52.7584243531917 -765.08527372537</f>
        <v>-1580.0484761647776</v>
      </c>
      <c r="O4103">
        <f>-810.032600565736 -182.256460403725 -714.39153157821</f>
        <v>-1706.680592547671</v>
      </c>
      <c r="P4103">
        <f>-769.732997030301 -174.509625573817 -400.541012068524</f>
        <v>-1344.7836346726419</v>
      </c>
      <c r="Q4103">
        <f>-539.788302346715 -53.4017551900938 -390.522820940152</f>
        <v>-983.71287847696078</v>
      </c>
      <c r="R4103" t="s">
        <v>82067</v>
      </c>
      <c r="S4103" t="s">
        <v>82068</v>
      </c>
      <c r="T4103" t="s">
        <v>82069</v>
      </c>
      <c r="U4103" t="s">
        <v>82070</v>
      </c>
      <c r="V4103">
        <f>-744.479921508386 -73.1798947871096 -231.231907394413</f>
        <v>-1048.8917236899085</v>
      </c>
      <c r="W4103" t="s">
        <v>82071</v>
      </c>
      <c r="X4103" t="s">
        <v>82072</v>
      </c>
      <c r="Y4103" t="s">
        <v>82073</v>
      </c>
    </row>
    <row r="4104" spans="1:25" x14ac:dyDescent="0.3">
      <c r="A4104">
        <v>205150</v>
      </c>
      <c r="B4104" t="s">
        <v>82074</v>
      </c>
      <c r="C4104" t="s">
        <v>82075</v>
      </c>
      <c r="D4104" t="s">
        <v>82076</v>
      </c>
      <c r="E4104" t="s">
        <v>82077</v>
      </c>
      <c r="F4104" t="s">
        <v>82078</v>
      </c>
      <c r="G4104">
        <f>-758.857650026755 -8.25411519744171 -686.629740126784</f>
        <v>-1453.7415053509808</v>
      </c>
      <c r="H4104">
        <f>-748.503049952031 -36.6172519115405 -835.922562558907</f>
        <v>-1621.0428644224785</v>
      </c>
      <c r="I4104">
        <f>-713.373466762224 -56.5780755012117 -929.466466250184</f>
        <v>-1699.4180085136197</v>
      </c>
      <c r="J4104" t="s">
        <v>82079</v>
      </c>
      <c r="K4104" t="s">
        <v>82080</v>
      </c>
      <c r="L4104" t="s">
        <v>82081</v>
      </c>
      <c r="M4104" t="s">
        <v>82082</v>
      </c>
      <c r="N4104">
        <f>-762.079276409128 -54.1349595202967 -764.776626494297</f>
        <v>-1580.9908624237219</v>
      </c>
      <c r="O4104">
        <f>-809.184764351477 -183.751878497794 -713.730981421916</f>
        <v>-1706.6676242711869</v>
      </c>
      <c r="P4104">
        <f>-768.14453196696 -174.926224373308 -400.005008925051</f>
        <v>-1343.075765265319</v>
      </c>
      <c r="Q4104">
        <f>-538.07094614983 -53.982122669134 -391.017677330929</f>
        <v>-983.07074614989301</v>
      </c>
      <c r="R4104" t="s">
        <v>82083</v>
      </c>
      <c r="S4104" t="s">
        <v>82084</v>
      </c>
      <c r="T4104" t="s">
        <v>82085</v>
      </c>
      <c r="U4104" t="s">
        <v>82086</v>
      </c>
      <c r="V4104">
        <f>-743.319516613047 -73.4544990762263 -231.102272730497</f>
        <v>-1047.8762884197702</v>
      </c>
      <c r="W4104" t="s">
        <v>82087</v>
      </c>
      <c r="X4104" t="s">
        <v>82088</v>
      </c>
      <c r="Y4104" t="s">
        <v>82089</v>
      </c>
    </row>
    <row r="4105" spans="1:25" x14ac:dyDescent="0.3">
      <c r="A4105">
        <v>205200</v>
      </c>
      <c r="B4105" t="s">
        <v>82090</v>
      </c>
      <c r="C4105" t="s">
        <v>82091</v>
      </c>
      <c r="D4105" t="s">
        <v>82092</v>
      </c>
      <c r="E4105" t="s">
        <v>82093</v>
      </c>
      <c r="F4105" t="s">
        <v>82094</v>
      </c>
      <c r="G4105">
        <f>-758.514036056196 -8.92699063523992 -686.599295889863</f>
        <v>-1454.0403225812988</v>
      </c>
      <c r="H4105">
        <f>-748.393496202659 -37.5399106270811 -835.860370011116</f>
        <v>-1621.793776840856</v>
      </c>
      <c r="I4105">
        <f>-713.298122845299 -57.5726389426354 -929.4018116977</f>
        <v>-1700.2725734856344</v>
      </c>
      <c r="J4105" t="s">
        <v>82095</v>
      </c>
      <c r="K4105" t="s">
        <v>82096</v>
      </c>
      <c r="L4105" t="s">
        <v>82097</v>
      </c>
      <c r="M4105" t="s">
        <v>82098</v>
      </c>
      <c r="N4105">
        <f>-761.784841269444 -54.9588130580814 -764.655251307374</f>
        <v>-1581.3989056348994</v>
      </c>
      <c r="O4105">
        <f>-808.533845863653 -184.631329425508 -713.408232356428</f>
        <v>-1706.573407645589</v>
      </c>
      <c r="P4105">
        <f>-766.871830324644 -175.423830811818 -399.775131836955</f>
        <v>-1342.0707929734169</v>
      </c>
      <c r="Q4105">
        <f>-536.808503926382 -54.4189188118276 -391.363666438435</f>
        <v>-982.59108917664457</v>
      </c>
      <c r="R4105" t="s">
        <v>82099</v>
      </c>
      <c r="S4105" t="s">
        <v>82100</v>
      </c>
      <c r="T4105" t="s">
        <v>82101</v>
      </c>
      <c r="U4105" t="s">
        <v>82102</v>
      </c>
      <c r="V4105">
        <f>-742.591550313415 -73.565400472874 -231.048272561795</f>
        <v>-1047.205223348084</v>
      </c>
      <c r="W4105" t="s">
        <v>82103</v>
      </c>
      <c r="X4105" t="s">
        <v>82104</v>
      </c>
      <c r="Y4105" t="s">
        <v>82105</v>
      </c>
    </row>
    <row r="4106" spans="1:25" x14ac:dyDescent="0.3">
      <c r="A4106">
        <v>205250</v>
      </c>
      <c r="B4106" t="s">
        <v>82106</v>
      </c>
      <c r="C4106" t="s">
        <v>82107</v>
      </c>
      <c r="D4106" t="s">
        <v>82108</v>
      </c>
      <c r="E4106" t="s">
        <v>82109</v>
      </c>
      <c r="F4106" t="s">
        <v>82110</v>
      </c>
      <c r="G4106">
        <f>-758.179009766039 -10.106429470623 -686.660039233121</f>
        <v>-1454.945478469783</v>
      </c>
      <c r="H4106">
        <f>-748.573333534545 -39.1996975218958 -835.862439452753</f>
        <v>-1623.635470509194</v>
      </c>
      <c r="I4106">
        <f>-713.54258395848 -59.3424381453794 -929.404313352095</f>
        <v>-1702.2893354559544</v>
      </c>
      <c r="J4106" t="s">
        <v>82111</v>
      </c>
      <c r="K4106" t="s">
        <v>82112</v>
      </c>
      <c r="L4106" t="s">
        <v>82113</v>
      </c>
      <c r="M4106" t="s">
        <v>82114</v>
      </c>
      <c r="N4106">
        <f>-761.612097752445 -56.4183219238237 -764.543185280458</f>
        <v>-1582.5736049567267</v>
      </c>
      <c r="O4106">
        <f>-807.835302383925 -186.059168504377 -712.73910586728</f>
        <v>-1706.633576755582</v>
      </c>
      <c r="P4106">
        <f>-764.404543504276 -175.929447862552 -399.374572286119</f>
        <v>-1339.7085636529471</v>
      </c>
      <c r="Q4106">
        <f>-534.293185251651 -54.9249870453018 -392.396737408043</f>
        <v>-981.61490970499585</v>
      </c>
      <c r="R4106" t="s">
        <v>82115</v>
      </c>
      <c r="S4106" t="s">
        <v>82116</v>
      </c>
      <c r="T4106" t="s">
        <v>82117</v>
      </c>
      <c r="U4106" t="s">
        <v>82118</v>
      </c>
      <c r="V4106">
        <f>-741.364148839508 -73.684230959316 -230.983917387502</f>
        <v>-1046.0322971863259</v>
      </c>
      <c r="W4106" t="s">
        <v>82119</v>
      </c>
      <c r="X4106" t="s">
        <v>82120</v>
      </c>
      <c r="Y4106" t="s">
        <v>82121</v>
      </c>
    </row>
    <row r="4107" spans="1:25" x14ac:dyDescent="0.3">
      <c r="A4107">
        <v>205300</v>
      </c>
      <c r="B4107" t="s">
        <v>82122</v>
      </c>
      <c r="C4107" t="s">
        <v>82123</v>
      </c>
      <c r="D4107" t="s">
        <v>82124</v>
      </c>
      <c r="E4107" t="s">
        <v>82125</v>
      </c>
      <c r="F4107" t="s">
        <v>82126</v>
      </c>
      <c r="G4107">
        <f>-757.803411892876 -10.8186105859052 -686.71870093844</f>
        <v>-1455.3407234172212</v>
      </c>
      <c r="H4107">
        <f>-748.505902430136 -40.1368924600883 -835.896409463546</f>
        <v>-1624.5392043537704</v>
      </c>
      <c r="I4107">
        <f>-713.531162724003 -60.3591309001897 -929.442082935132</f>
        <v>-1703.3323765593248</v>
      </c>
      <c r="J4107" t="s">
        <v>82127</v>
      </c>
      <c r="K4107" t="s">
        <v>82128</v>
      </c>
      <c r="L4107" t="s">
        <v>82129</v>
      </c>
      <c r="M4107" t="s">
        <v>82130</v>
      </c>
      <c r="N4107">
        <f>-761.342228097261 -57.2629563809455 -764.518189333682</f>
        <v>-1583.1233738118885</v>
      </c>
      <c r="O4107">
        <f>-807.288357371304 -186.864744940499 -712.415504599445</f>
        <v>-1706.568606911248</v>
      </c>
      <c r="P4107">
        <f>-763.068539618413 -176.293912766259 -399.175937638443</f>
        <v>-1338.538390023115</v>
      </c>
      <c r="Q4107">
        <f>-532.851490870039 -55.4446341722262 -393.044356395807</f>
        <v>-981.34048143807217</v>
      </c>
      <c r="R4107" t="s">
        <v>82131</v>
      </c>
      <c r="S4107" t="s">
        <v>82132</v>
      </c>
      <c r="T4107" t="s">
        <v>82133</v>
      </c>
      <c r="U4107" t="s">
        <v>82134</v>
      </c>
      <c r="V4107">
        <f>-740.752646257762 -73.8403652653421 -230.978503162652</f>
        <v>-1045.571514685756</v>
      </c>
      <c r="W4107" t="s">
        <v>82135</v>
      </c>
      <c r="X4107" t="s">
        <v>82136</v>
      </c>
      <c r="Y4107" t="s">
        <v>82137</v>
      </c>
    </row>
    <row r="4108" spans="1:25" x14ac:dyDescent="0.3">
      <c r="A4108">
        <v>205350</v>
      </c>
      <c r="B4108" t="s">
        <v>82138</v>
      </c>
      <c r="C4108" t="s">
        <v>82139</v>
      </c>
      <c r="D4108" t="s">
        <v>82140</v>
      </c>
      <c r="E4108" t="s">
        <v>82141</v>
      </c>
      <c r="F4108" t="s">
        <v>82142</v>
      </c>
      <c r="G4108">
        <f>-757.25863551489 -12.1238100853213 -686.883403200099</f>
        <v>-1456.2658488003103</v>
      </c>
      <c r="H4108">
        <f>-748.457382542305 -41.7999558076319 -836.020373308303</f>
        <v>-1626.2777116582399</v>
      </c>
      <c r="I4108">
        <f>-713.584395279939 -62.1889866170702 -929.567949657993</f>
        <v>-1705.3413315550024</v>
      </c>
      <c r="J4108" t="s">
        <v>82143</v>
      </c>
      <c r="K4108" t="s">
        <v>82144</v>
      </c>
      <c r="L4108" t="s">
        <v>82145</v>
      </c>
      <c r="M4108" t="s">
        <v>82146</v>
      </c>
      <c r="N4108">
        <f>-760.957896694146 -58.7807823986259 -764.547958510361</f>
        <v>-1584.2866376031329</v>
      </c>
      <c r="O4108">
        <f>-806.549182548004 -188.320849673528 -711.943208603273</f>
        <v>-1706.8132408248048</v>
      </c>
      <c r="P4108">
        <f>-760.955645886862 -176.858392325992 -398.932000467692</f>
        <v>-1336.746038680546</v>
      </c>
      <c r="Q4108">
        <f>-530.518569178034 -56.3498621514364 -394.633850503541</f>
        <v>-981.50228183301135</v>
      </c>
      <c r="R4108" t="s">
        <v>82147</v>
      </c>
      <c r="S4108" t="s">
        <v>82148</v>
      </c>
      <c r="T4108" t="s">
        <v>82149</v>
      </c>
      <c r="U4108" t="s">
        <v>82150</v>
      </c>
      <c r="V4108">
        <f>-739.668160636144 -74.2235115639992 -231.012786846357</f>
        <v>-1044.9044590465001</v>
      </c>
      <c r="W4108" t="s">
        <v>82151</v>
      </c>
      <c r="X4108" t="s">
        <v>82152</v>
      </c>
      <c r="Y4108" t="s">
        <v>82153</v>
      </c>
    </row>
    <row r="4109" spans="1:25" x14ac:dyDescent="0.3">
      <c r="A4109">
        <v>205400</v>
      </c>
      <c r="B4109" t="s">
        <v>82154</v>
      </c>
      <c r="C4109" t="s">
        <v>82155</v>
      </c>
      <c r="D4109" t="s">
        <v>82156</v>
      </c>
      <c r="E4109" t="s">
        <v>82157</v>
      </c>
      <c r="F4109" t="s">
        <v>82158</v>
      </c>
      <c r="G4109">
        <f>-757.041464016211 -12.7076064303567 -686.912783395723</f>
        <v>-1456.6618538422906</v>
      </c>
      <c r="H4109">
        <f>-748.478072052283 -42.5515680255326 -836.030258787816</f>
        <v>-1627.0598988656316</v>
      </c>
      <c r="I4109">
        <f>-713.657466026081 -63.0618699701854 -929.57072286931</f>
        <v>-1706.2900588655764</v>
      </c>
      <c r="J4109" t="s">
        <v>82159</v>
      </c>
      <c r="K4109" t="s">
        <v>82160</v>
      </c>
      <c r="L4109" t="s">
        <v>82161</v>
      </c>
      <c r="M4109" t="s">
        <v>82162</v>
      </c>
      <c r="N4109">
        <f>-760.834008514296 -59.4600366283771 -764.51542330378</f>
        <v>-1584.8094684464531</v>
      </c>
      <c r="O4109">
        <f>-806.299620127391 -188.93891352881 -711.682215095354</f>
        <v>-1706.920748751555</v>
      </c>
      <c r="P4109">
        <f>-760.027799994499 -177.08850980978 -398.785062419495</f>
        <v>-1335.9013722237739</v>
      </c>
      <c r="Q4109">
        <f>-529.438910806842 -56.8465821098239 -395.228448070268</f>
        <v>-981.5139409869339</v>
      </c>
      <c r="R4109" t="s">
        <v>82163</v>
      </c>
      <c r="S4109" t="s">
        <v>82164</v>
      </c>
      <c r="T4109" t="s">
        <v>82165</v>
      </c>
      <c r="U4109" t="s">
        <v>82166</v>
      </c>
      <c r="V4109">
        <f>-739.249139151811 -74.4099131319681 -231.014325340991</f>
        <v>-1044.6733776247702</v>
      </c>
      <c r="W4109" t="s">
        <v>82167</v>
      </c>
      <c r="X4109" t="s">
        <v>82168</v>
      </c>
      <c r="Y4109" t="s">
        <v>82169</v>
      </c>
    </row>
    <row r="4110" spans="1:25" x14ac:dyDescent="0.3">
      <c r="A4110">
        <v>205450</v>
      </c>
      <c r="B4110" t="s">
        <v>82170</v>
      </c>
      <c r="C4110" t="s">
        <v>82171</v>
      </c>
      <c r="D4110" t="s">
        <v>82172</v>
      </c>
      <c r="E4110" t="s">
        <v>82173</v>
      </c>
      <c r="F4110" t="s">
        <v>82174</v>
      </c>
      <c r="G4110">
        <f>-756.791288116695 -13.7553734359137 -686.974509342824</f>
        <v>-1457.5211708954328</v>
      </c>
      <c r="H4110">
        <f>-748.710408514286 -43.8774449667642 -836.062959308966</f>
        <v>-1628.6508127900161</v>
      </c>
      <c r="I4110">
        <f>-714.002079622104 -64.6371208368528 -929.5902356713</f>
        <v>-1708.2294361302568</v>
      </c>
      <c r="J4110">
        <f>-743.783292515471 -0.434049914989373 -775.71966885554</f>
        <v>-1519.9370112860004</v>
      </c>
      <c r="K4110" t="s">
        <v>82175</v>
      </c>
      <c r="L4110" t="s">
        <v>82176</v>
      </c>
      <c r="M4110" t="s">
        <v>82177</v>
      </c>
      <c r="N4110">
        <f>-760.788499915172 -60.6645522375475 -764.472335958823</f>
        <v>-1585.9253881115424</v>
      </c>
      <c r="O4110">
        <f>-806.075396204957 -190.033044846032 -711.204671805062</f>
        <v>-1707.313112856051</v>
      </c>
      <c r="P4110">
        <f>-758.667216562182 -177.521450693652 -398.503509253547</f>
        <v>-1334.6921765093812</v>
      </c>
      <c r="Q4110">
        <f>-527.618416898431 -58.1328611041479 -396.297611227718</f>
        <v>-982.04888923029682</v>
      </c>
      <c r="R4110" t="s">
        <v>82178</v>
      </c>
      <c r="S4110" t="s">
        <v>82179</v>
      </c>
      <c r="T4110" t="s">
        <v>82180</v>
      </c>
      <c r="U4110" t="s">
        <v>82181</v>
      </c>
      <c r="V4110">
        <f>-738.521672364806 -74.8246061107052 -231.006895567608</f>
        <v>-1044.3531740431192</v>
      </c>
      <c r="W4110" t="s">
        <v>82182</v>
      </c>
      <c r="X4110" t="s">
        <v>82183</v>
      </c>
      <c r="Y4110" t="s">
        <v>82184</v>
      </c>
    </row>
    <row r="4111" spans="1:25" x14ac:dyDescent="0.3">
      <c r="A4111">
        <v>205500</v>
      </c>
      <c r="B4111" t="s">
        <v>82185</v>
      </c>
      <c r="C4111" t="s">
        <v>82186</v>
      </c>
      <c r="D4111" t="s">
        <v>82187</v>
      </c>
      <c r="E4111" t="s">
        <v>82188</v>
      </c>
      <c r="F4111" t="s">
        <v>82189</v>
      </c>
      <c r="G4111">
        <f>-756.619307403459 -14.3071494078611 -686.992218025196</f>
        <v>-1457.9186748365159</v>
      </c>
      <c r="H4111">
        <f>-748.790933010132 -44.5530547107624 -836.068943959056</f>
        <v>-1629.4129316799504</v>
      </c>
      <c r="I4111">
        <f>-714.146223800234 -65.4400233238205 -929.591500701115</f>
        <v>-1709.1777478251695</v>
      </c>
      <c r="J4111">
        <f>-743.770570782453 -1.05738483752316 -775.770996410791</f>
        <v>-1520.5989520307671</v>
      </c>
      <c r="K4111" t="s">
        <v>82190</v>
      </c>
      <c r="L4111" t="s">
        <v>82191</v>
      </c>
      <c r="M4111" t="s">
        <v>82192</v>
      </c>
      <c r="N4111">
        <f>-760.739008177998 -61.2830808889528 -764.442959942034</f>
        <v>-1586.4650490089848</v>
      </c>
      <c r="O4111">
        <f>-805.962722333206 -190.603957139917 -711.009933768499</f>
        <v>-1707.576613241622</v>
      </c>
      <c r="P4111">
        <f>-758.145577258105 -177.681263073462 -398.387467954434</f>
        <v>-1334.2143082860011</v>
      </c>
      <c r="Q4111">
        <f>-526.704515987483 -59.04650915466 -396.671340879864</f>
        <v>-982.42236602200705</v>
      </c>
      <c r="R4111" t="s">
        <v>82193</v>
      </c>
      <c r="S4111" t="s">
        <v>82194</v>
      </c>
      <c r="T4111" t="s">
        <v>82195</v>
      </c>
      <c r="U4111" t="s">
        <v>82196</v>
      </c>
      <c r="V4111">
        <f>-738.166913539607 -75.0240873065884 -230.994872958772</f>
        <v>-1044.1858738049673</v>
      </c>
      <c r="W4111" t="s">
        <v>82197</v>
      </c>
      <c r="X4111" t="s">
        <v>82198</v>
      </c>
      <c r="Y4111" t="s">
        <v>82199</v>
      </c>
    </row>
    <row r="4112" spans="1:25" x14ac:dyDescent="0.3">
      <c r="A4112">
        <v>205550</v>
      </c>
      <c r="B4112" t="s">
        <v>82200</v>
      </c>
      <c r="C4112" t="s">
        <v>82201</v>
      </c>
      <c r="D4112" t="s">
        <v>82202</v>
      </c>
      <c r="E4112" t="s">
        <v>82203</v>
      </c>
      <c r="F4112" t="s">
        <v>82204</v>
      </c>
      <c r="G4112">
        <f>-756.428645825223 -15.1334538207466 -687.022449154563</f>
        <v>-1458.5845488005325</v>
      </c>
      <c r="H4112">
        <f>-749.035871409061 -45.510921133241 -836.094915441069</f>
        <v>-1630.6417079833709</v>
      </c>
      <c r="I4112">
        <f>-714.545659038017 -66.5271061929675 -929.645573569789</f>
        <v>-1710.7183388007734</v>
      </c>
      <c r="J4112">
        <f>-743.842582646275 -1.96106698226299 -775.850639791558</f>
        <v>-1521.6542894200961</v>
      </c>
      <c r="K4112" t="s">
        <v>82205</v>
      </c>
      <c r="L4112" t="s">
        <v>82206</v>
      </c>
      <c r="M4112" t="s">
        <v>82207</v>
      </c>
      <c r="N4112">
        <f>-760.771304171789 -62.1785927755068 -764.419359113397</f>
        <v>-1587.3692560606928</v>
      </c>
      <c r="O4112">
        <f>-805.990225757927 -191.389470456336 -710.707069415883</f>
        <v>-1708.0867656301459</v>
      </c>
      <c r="P4112">
        <f>-757.47476241288 -177.763603946456 -398.222327135763</f>
        <v>-1333.4606934950989</v>
      </c>
      <c r="Q4112">
        <f>-525.227026114213 -60.7042800753993 -397.768810876874</f>
        <v>-983.70011706648631</v>
      </c>
      <c r="R4112" t="s">
        <v>82208</v>
      </c>
      <c r="S4112" t="s">
        <v>82209</v>
      </c>
      <c r="T4112" t="s">
        <v>82210</v>
      </c>
      <c r="U4112" t="s">
        <v>82211</v>
      </c>
      <c r="V4112">
        <f>-737.513460255648 -75.4491229100606 -230.964933317264</f>
        <v>-1043.9275164829728</v>
      </c>
      <c r="W4112" t="s">
        <v>82212</v>
      </c>
      <c r="X4112" t="s">
        <v>82213</v>
      </c>
      <c r="Y4112" t="s">
        <v>82214</v>
      </c>
    </row>
    <row r="4113" spans="1:25" x14ac:dyDescent="0.3">
      <c r="A4113">
        <v>205600</v>
      </c>
      <c r="B4113" t="s">
        <v>82215</v>
      </c>
      <c r="C4113" t="s">
        <v>82216</v>
      </c>
      <c r="D4113" t="s">
        <v>82217</v>
      </c>
      <c r="E4113" t="s">
        <v>82218</v>
      </c>
      <c r="F4113" t="s">
        <v>82219</v>
      </c>
      <c r="G4113">
        <f>-756.311302180134 -15.487649151022 -687.057367257297</f>
        <v>-1458.856318588453</v>
      </c>
      <c r="H4113">
        <f>-749.139478222593 -45.8970799258154 -836.134039529024</f>
        <v>-1631.1705976774324</v>
      </c>
      <c r="I4113">
        <f>-714.716350115506 -66.9516905865307 -929.700842317863</f>
        <v>-1711.3688830198998</v>
      </c>
      <c r="J4113">
        <f>-743.847133646445 -2.3369311692627 -775.9059389274</f>
        <v>-1522.0900037431077</v>
      </c>
      <c r="K4113" t="s">
        <v>82220</v>
      </c>
      <c r="L4113" t="s">
        <v>82221</v>
      </c>
      <c r="M4113" t="s">
        <v>82222</v>
      </c>
      <c r="N4113">
        <f>-760.778484307367 -62.5468233929164 -764.438587109959</f>
        <v>-1587.7638948102424</v>
      </c>
      <c r="O4113">
        <f>-805.983239150463 -191.712172256017 -710.606578001618</f>
        <v>-1708.3019894080981</v>
      </c>
      <c r="P4113">
        <f>-757.067791968075 -177.73865629038 -398.199524922202</f>
        <v>-1333.0059731806571</v>
      </c>
      <c r="Q4113">
        <f>-524.382205199643 -61.5514220387865 -398.317324588426</f>
        <v>-984.2509518268555</v>
      </c>
      <c r="R4113" t="s">
        <v>82223</v>
      </c>
      <c r="S4113" t="s">
        <v>82224</v>
      </c>
      <c r="T4113" t="s">
        <v>82225</v>
      </c>
      <c r="U4113" t="s">
        <v>82226</v>
      </c>
      <c r="V4113">
        <f>-737.189444853807 -75.6442993016485 -230.956828793141</f>
        <v>-1043.7905729485965</v>
      </c>
      <c r="W4113" t="s">
        <v>82227</v>
      </c>
      <c r="X4113" t="s">
        <v>82228</v>
      </c>
      <c r="Y4113" t="s">
        <v>82229</v>
      </c>
    </row>
    <row r="4114" spans="1:25" x14ac:dyDescent="0.3">
      <c r="A4114">
        <v>205650</v>
      </c>
      <c r="B4114" t="s">
        <v>82230</v>
      </c>
      <c r="C4114" t="s">
        <v>82231</v>
      </c>
      <c r="D4114" t="s">
        <v>82232</v>
      </c>
      <c r="E4114" t="s">
        <v>82233</v>
      </c>
      <c r="F4114" t="s">
        <v>82234</v>
      </c>
      <c r="G4114">
        <f>-756.435406550191 -16.1148488007293 -687.121780053213</f>
        <v>-1459.6720354041333</v>
      </c>
      <c r="H4114">
        <f>-749.761373488052 -46.4880710732662 -836.22885977167</f>
        <v>-1632.478304332988</v>
      </c>
      <c r="I4114">
        <f>-715.510019510612 -67.5493874857718 -929.857062825354</f>
        <v>-1712.9164698217378</v>
      </c>
      <c r="J4114">
        <f>-744.249481225777 -2.94737607957359 -776.006367446041</f>
        <v>-1523.2032247513916</v>
      </c>
      <c r="K4114" t="s">
        <v>82235</v>
      </c>
      <c r="L4114" t="s">
        <v>82236</v>
      </c>
      <c r="M4114" t="s">
        <v>82237</v>
      </c>
      <c r="N4114">
        <f>-761.179390064291 -63.1503713573293 -764.500747314048</f>
        <v>-1588.8305087356684</v>
      </c>
      <c r="O4114">
        <f>-806.386131717326 -192.257614152529 -710.539475620044</f>
        <v>-1709.1832214898989</v>
      </c>
      <c r="P4114">
        <f>-756.597575841318 -177.949601532059 -398.28558066971</f>
        <v>-1332.8327580430869</v>
      </c>
      <c r="Q4114">
        <f>-523.057617241747 -63.4932245678751 -399.187479135622</f>
        <v>-985.73832094524414</v>
      </c>
      <c r="R4114" t="s">
        <v>82238</v>
      </c>
      <c r="S4114" t="s">
        <v>82239</v>
      </c>
      <c r="T4114" t="s">
        <v>82240</v>
      </c>
      <c r="U4114" t="s">
        <v>82241</v>
      </c>
      <c r="V4114">
        <f>-736.710854871453 -76.1298542202487 -230.914658700418</f>
        <v>-1043.7553677921196</v>
      </c>
      <c r="W4114" t="s">
        <v>82242</v>
      </c>
      <c r="X4114" t="s">
        <v>82243</v>
      </c>
      <c r="Y4114" t="s">
        <v>82244</v>
      </c>
    </row>
    <row r="4115" spans="1:25" x14ac:dyDescent="0.3">
      <c r="A4115">
        <v>205700</v>
      </c>
      <c r="B4115" t="s">
        <v>82245</v>
      </c>
      <c r="C4115" t="s">
        <v>82246</v>
      </c>
      <c r="D4115" t="s">
        <v>82247</v>
      </c>
      <c r="E4115" t="s">
        <v>82248</v>
      </c>
      <c r="F4115" t="s">
        <v>82249</v>
      </c>
      <c r="G4115">
        <f>-756.466763982077 -16.3753384280697 -687.150490843388</f>
        <v>-1459.9925932535348</v>
      </c>
      <c r="H4115">
        <f>-750.009929425179 -46.705760632344 -836.275828727071</f>
        <v>-1632.9915187845941</v>
      </c>
      <c r="I4115">
        <f>-715.837119649708 -67.744964250352 -929.937748334481</f>
        <v>-1713.5198322345409</v>
      </c>
      <c r="J4115">
        <f>-744.408727006376 -3.18276741211912 -776.048694110798</f>
        <v>-1523.640188529293</v>
      </c>
      <c r="K4115" t="s">
        <v>82250</v>
      </c>
      <c r="L4115" t="s">
        <v>82251</v>
      </c>
      <c r="M4115" t="s">
        <v>82252</v>
      </c>
      <c r="N4115">
        <f>-761.325006838714 -63.3881833749949 -764.536160246262</f>
        <v>-1589.2493504599711</v>
      </c>
      <c r="O4115">
        <f>-806.514253995967 -192.493039046995 -710.545745925466</f>
        <v>-1709.5530389684282</v>
      </c>
      <c r="P4115">
        <f>-756.397454181199 -178.00356003755 -398.352591112171</f>
        <v>-1332.75360533092</v>
      </c>
      <c r="Q4115">
        <f>-522.590041645935 -64.0985310056178 -399.709410076276</f>
        <v>-986.39798272782878</v>
      </c>
      <c r="R4115" t="s">
        <v>82253</v>
      </c>
      <c r="S4115" t="s">
        <v>82254</v>
      </c>
      <c r="T4115" t="s">
        <v>82255</v>
      </c>
      <c r="U4115" t="s">
        <v>82256</v>
      </c>
      <c r="V4115">
        <f>-736.416793550821 -76.3055373625546 -230.888083839888</f>
        <v>-1043.6104147532635</v>
      </c>
      <c r="W4115" t="s">
        <v>82257</v>
      </c>
      <c r="X4115" t="s">
        <v>82258</v>
      </c>
      <c r="Y4115" t="s">
        <v>82259</v>
      </c>
    </row>
    <row r="4116" spans="1:25" x14ac:dyDescent="0.3">
      <c r="A4116">
        <v>205750</v>
      </c>
      <c r="B4116" t="s">
        <v>82260</v>
      </c>
      <c r="C4116" t="s">
        <v>82261</v>
      </c>
      <c r="D4116" t="s">
        <v>82262</v>
      </c>
      <c r="E4116" t="s">
        <v>82263</v>
      </c>
      <c r="F4116" t="s">
        <v>82264</v>
      </c>
      <c r="G4116">
        <f>-756.382797306545 -16.7977348289896 -687.213733929011</f>
        <v>-1460.3942660645457</v>
      </c>
      <c r="H4116">
        <f>-750.33314585874 -46.9923309794667 -836.383629885388</f>
        <v>-1633.7091067235947</v>
      </c>
      <c r="I4116">
        <f>-716.252284010801 -67.9295449445765 -930.102007179119</f>
        <v>-1714.2838361344966</v>
      </c>
      <c r="J4116">
        <f>-744.583313539595 -3.52005250759544 -776.13405957701</f>
        <v>-1524.2374256242006</v>
      </c>
      <c r="K4116" t="s">
        <v>82265</v>
      </c>
      <c r="L4116" t="s">
        <v>82266</v>
      </c>
      <c r="M4116" t="s">
        <v>82267</v>
      </c>
      <c r="N4116">
        <f>-761.436605760145 -63.7443343791881 -764.627175894386</f>
        <v>-1589.8081160337192</v>
      </c>
      <c r="O4116">
        <f>-806.468715866422 -192.888234850801 -710.599635386741</f>
        <v>-1709.9565861039641</v>
      </c>
      <c r="P4116">
        <f>-755.739689375068 -178.300855712624 -398.50992536476</f>
        <v>-1332.5504704524519</v>
      </c>
      <c r="Q4116">
        <f>-521.459274434479 -65.3833175304569 -400.596406488164</f>
        <v>-987.43899845309988</v>
      </c>
      <c r="R4116" t="s">
        <v>82268</v>
      </c>
      <c r="S4116" t="s">
        <v>82269</v>
      </c>
      <c r="T4116" t="s">
        <v>82270</v>
      </c>
      <c r="U4116" t="s">
        <v>82271</v>
      </c>
      <c r="V4116">
        <f>-735.744562429994 -76.7010141769942 -230.836735151652</f>
        <v>-1043.2823117586402</v>
      </c>
      <c r="W4116" t="s">
        <v>82272</v>
      </c>
      <c r="X4116" t="s">
        <v>82273</v>
      </c>
      <c r="Y4116" t="s">
        <v>82274</v>
      </c>
    </row>
    <row r="4117" spans="1:25" x14ac:dyDescent="0.3">
      <c r="A4117">
        <v>205800</v>
      </c>
      <c r="B4117" t="s">
        <v>82275</v>
      </c>
      <c r="C4117" t="s">
        <v>82276</v>
      </c>
      <c r="D4117" t="s">
        <v>82277</v>
      </c>
      <c r="E4117" t="s">
        <v>82278</v>
      </c>
      <c r="F4117" t="s">
        <v>82279</v>
      </c>
      <c r="G4117">
        <f>-756.411116301417 -17.1677281797834 -687.253806314355</f>
        <v>-1460.8326507955553</v>
      </c>
      <c r="H4117">
        <f>-750.750108479969 -47.1368261017958 -836.484537182002</f>
        <v>-1634.3714717637667</v>
      </c>
      <c r="I4117">
        <f>-716.722336102959 -67.8738729189195 -930.266547774541</f>
        <v>-1714.8627567964195</v>
      </c>
      <c r="J4117">
        <f>-744.883171368336 -3.74524442439861 -776.188094173817</f>
        <v>-1524.8165099665516</v>
      </c>
      <c r="K4117" t="s">
        <v>82280</v>
      </c>
      <c r="L4117" t="s">
        <v>82281</v>
      </c>
      <c r="M4117" t="s">
        <v>82282</v>
      </c>
      <c r="N4117">
        <f>-761.626716241383 -64.0076508229508 -764.721135522886</f>
        <v>-1590.3555025872197</v>
      </c>
      <c r="O4117">
        <f>-806.454607426787 -193.2228361509 -710.693248195441</f>
        <v>-1710.3706917731279</v>
      </c>
      <c r="P4117">
        <f>-755.101003987373 -178.726697599584 -398.701453178986</f>
        <v>-1332.5291547659431</v>
      </c>
      <c r="Q4117">
        <f>-520.68165090669 -66.1081899002545 -401.286676265562</f>
        <v>-988.07651707250648</v>
      </c>
      <c r="R4117" t="s">
        <v>82283</v>
      </c>
      <c r="S4117" t="s">
        <v>82284</v>
      </c>
      <c r="T4117" t="s">
        <v>82285</v>
      </c>
      <c r="U4117" t="s">
        <v>82286</v>
      </c>
      <c r="V4117">
        <f>-735.166309249435 -77.2161612358514 -230.764214034602</f>
        <v>-1043.1466845198884</v>
      </c>
      <c r="W4117" t="s">
        <v>82287</v>
      </c>
      <c r="X4117" t="s">
        <v>82288</v>
      </c>
      <c r="Y4117" t="s">
        <v>82289</v>
      </c>
    </row>
    <row r="4118" spans="1:25" x14ac:dyDescent="0.3">
      <c r="A4118">
        <v>205850</v>
      </c>
      <c r="B4118" t="s">
        <v>82290</v>
      </c>
      <c r="C4118" t="s">
        <v>82291</v>
      </c>
      <c r="D4118" t="s">
        <v>82292</v>
      </c>
      <c r="E4118" t="s">
        <v>82293</v>
      </c>
      <c r="F4118" t="s">
        <v>82294</v>
      </c>
      <c r="G4118">
        <f>-756.390697383827 -17.418178212808 -687.274185988651</f>
        <v>-1461.083061585286</v>
      </c>
      <c r="H4118">
        <f>-750.801057893183 -47.2989601340412 -836.52534985536</f>
        <v>-1634.6253678825842</v>
      </c>
      <c r="I4118">
        <f>-716.740323009258 -67.9352941532754 -930.317568643757</f>
        <v>-1714.9931858062905</v>
      </c>
      <c r="J4118">
        <f>-744.931270563509 -3.93635677134012 -776.2082613062</f>
        <v>-1525.075888641049</v>
      </c>
      <c r="K4118" t="s">
        <v>82295</v>
      </c>
      <c r="L4118" t="s">
        <v>82296</v>
      </c>
      <c r="M4118" t="s">
        <v>82297</v>
      </c>
      <c r="N4118">
        <f>-761.617467834 -64.2190943647288 -764.76419189614</f>
        <v>-1590.6007540948688</v>
      </c>
      <c r="O4118">
        <f>-806.297226562328 -193.490973463655 -710.749993337761</f>
        <v>-1710.5381933637441</v>
      </c>
      <c r="P4118">
        <f>-754.751865918661 -178.963080198231 -398.791209858162</f>
        <v>-1332.5061559750538</v>
      </c>
      <c r="Q4118">
        <f>-520.381308063291 -66.2498969934343 -401.665875416308</f>
        <v>-988.29708047303325</v>
      </c>
      <c r="R4118" t="s">
        <v>82298</v>
      </c>
      <c r="S4118" t="s">
        <v>82299</v>
      </c>
      <c r="T4118" t="s">
        <v>82300</v>
      </c>
      <c r="U4118" t="s">
        <v>82301</v>
      </c>
      <c r="V4118">
        <f>-734.918949665245 -77.5104278753486 -230.73738875543</f>
        <v>-1043.1667662960235</v>
      </c>
      <c r="W4118" t="s">
        <v>82302</v>
      </c>
      <c r="X4118" t="s">
        <v>82303</v>
      </c>
      <c r="Y4118" t="s">
        <v>82304</v>
      </c>
    </row>
    <row r="4119" spans="1:25" x14ac:dyDescent="0.3">
      <c r="A4119">
        <v>205900</v>
      </c>
      <c r="B4119" t="s">
        <v>82305</v>
      </c>
      <c r="C4119" t="s">
        <v>82306</v>
      </c>
      <c r="D4119" t="s">
        <v>82307</v>
      </c>
      <c r="E4119" t="s">
        <v>82308</v>
      </c>
      <c r="F4119" t="s">
        <v>82309</v>
      </c>
      <c r="G4119">
        <f>-756.271696628098 -17.5853621377591 -687.305296855947</f>
        <v>-1461.1623556218042</v>
      </c>
      <c r="H4119">
        <f>-750.701321488691 -47.3209190357018 -836.586090515487</f>
        <v>-1634.6083310398797</v>
      </c>
      <c r="I4119">
        <f>-716.559650667221 -67.849764617074 -930.37264295059</f>
        <v>-1714.782058234885</v>
      </c>
      <c r="J4119">
        <f>-744.864214389112 -4.0065205208773 -776.231250715309</f>
        <v>-1525.1019856252983</v>
      </c>
      <c r="K4119" t="s">
        <v>82310</v>
      </c>
      <c r="L4119" t="s">
        <v>82311</v>
      </c>
      <c r="M4119" t="s">
        <v>82312</v>
      </c>
      <c r="N4119">
        <f>-761.467968097009 -64.3213199834377 -764.836685676383</f>
        <v>-1590.6259737568298</v>
      </c>
      <c r="O4119">
        <f>-806.014841517353 -193.659302784835 -710.872189925543</f>
        <v>-1710.5463342277312</v>
      </c>
      <c r="P4119">
        <f>-754.166744855209 -179.314026745598 -398.95520360184</f>
        <v>-1332.4359752026471</v>
      </c>
      <c r="Q4119">
        <f>-519.859469468087 -66.4704152621493 -401.862364694722</f>
        <v>-988.19224942495839</v>
      </c>
      <c r="R4119" t="s">
        <v>82313</v>
      </c>
      <c r="S4119" t="s">
        <v>82314</v>
      </c>
      <c r="T4119" t="s">
        <v>82315</v>
      </c>
      <c r="U4119" t="s">
        <v>82316</v>
      </c>
      <c r="V4119">
        <f>-734.629860377748 -77.7880182006941 -230.720187224736</f>
        <v>-1043.1380658031781</v>
      </c>
      <c r="W4119" t="s">
        <v>82317</v>
      </c>
      <c r="X4119" t="s">
        <v>82318</v>
      </c>
      <c r="Y4119" t="s">
        <v>82319</v>
      </c>
    </row>
    <row r="4120" spans="1:25" x14ac:dyDescent="0.3">
      <c r="A4120">
        <v>205950</v>
      </c>
      <c r="B4120" t="s">
        <v>82320</v>
      </c>
      <c r="C4120" t="s">
        <v>82321</v>
      </c>
      <c r="D4120" t="s">
        <v>82322</v>
      </c>
      <c r="E4120" t="s">
        <v>82323</v>
      </c>
      <c r="F4120">
        <f>-757.029427072862 -0.50560704746249 -579.264760884752</f>
        <v>-1336.7997950050765</v>
      </c>
      <c r="G4120">
        <f>-756.168821768293 -18.0696876850618 -687.364756465493</f>
        <v>-1461.6032659188477</v>
      </c>
      <c r="H4120">
        <f>-750.689376884673 -47.6749474219591 -836.674877115812</f>
        <v>-1635.0392014224442</v>
      </c>
      <c r="I4120">
        <f>-716.338157314563 -68.0739630079177 -930.413152002748</f>
        <v>-1714.8252723252285</v>
      </c>
      <c r="J4120">
        <f>-744.89975515755 -4.39155297982256 -776.293184949422</f>
        <v>-1525.5844930867945</v>
      </c>
      <c r="K4120" t="s">
        <v>82324</v>
      </c>
      <c r="L4120" t="s">
        <v>82325</v>
      </c>
      <c r="M4120" t="s">
        <v>82326</v>
      </c>
      <c r="N4120">
        <f>-761.32802733533 -64.7595903050046 -764.926422074316</f>
        <v>-1591.0140397146506</v>
      </c>
      <c r="O4120">
        <f>-805.432581263464 -194.277484268712 -711.03163699079</f>
        <v>-1710.7417025229661</v>
      </c>
      <c r="P4120">
        <f>-753.225919132248 -179.943820826034 -399.174058271577</f>
        <v>-1332.343798229859</v>
      </c>
      <c r="Q4120">
        <f>-518.902585930318 -67.1237296672844 -401.675687014776</f>
        <v>-987.70200261237824</v>
      </c>
      <c r="R4120" t="s">
        <v>82327</v>
      </c>
      <c r="S4120" t="s">
        <v>82328</v>
      </c>
      <c r="T4120" t="s">
        <v>82329</v>
      </c>
      <c r="U4120" t="s">
        <v>82330</v>
      </c>
      <c r="V4120">
        <f>-734.09487784811 -78.2748310999691 -230.728279565668</f>
        <v>-1043.0979885137472</v>
      </c>
      <c r="W4120" t="s">
        <v>82331</v>
      </c>
      <c r="X4120" t="s">
        <v>82332</v>
      </c>
      <c r="Y4120" t="s">
        <v>82333</v>
      </c>
    </row>
    <row r="4121" spans="1:25" x14ac:dyDescent="0.3">
      <c r="A4121">
        <v>206000</v>
      </c>
      <c r="B4121" t="s">
        <v>82334</v>
      </c>
      <c r="C4121" t="s">
        <v>82335</v>
      </c>
      <c r="D4121" t="s">
        <v>82336</v>
      </c>
      <c r="E4121" t="s">
        <v>82337</v>
      </c>
      <c r="F4121">
        <f>-756.957546787709 -0.859535911745979 -579.246047716318</f>
        <v>-1337.063130415773</v>
      </c>
      <c r="G4121">
        <f>-756.217379660839 -18.3423601690254 -687.360190811413</f>
        <v>-1461.9199306412775</v>
      </c>
      <c r="H4121">
        <f>-750.923889982646 -47.7992519459985 -836.706289323704</f>
        <v>-1635.4294312523484</v>
      </c>
      <c r="I4121">
        <f>-716.337184384401 -68.0535925805709 -930.389247054623</f>
        <v>-1714.7800240195947</v>
      </c>
      <c r="J4121">
        <f>-745.152273833766 -4.55218762508525 -776.29693433136</f>
        <v>-1526.0013957902113</v>
      </c>
      <c r="K4121" t="s">
        <v>82338</v>
      </c>
      <c r="L4121" t="s">
        <v>82339</v>
      </c>
      <c r="M4121" t="s">
        <v>82340</v>
      </c>
      <c r="N4121">
        <f>-761.379921559991 -64.9787944132909 -764.953590411264</f>
        <v>-1591.312306384546</v>
      </c>
      <c r="O4121">
        <f>-805.024490136676 -194.677160578659 -711.12496542835</f>
        <v>-1710.826616143685</v>
      </c>
      <c r="P4121">
        <f>-752.524543837788 -180.626666395203 -399.303710911485</f>
        <v>-1332.454921144476</v>
      </c>
      <c r="Q4121">
        <f>-518.526913001482 -67.1385966687158 -402.060737013047</f>
        <v>-987.72624668324465</v>
      </c>
      <c r="R4121" t="s">
        <v>82341</v>
      </c>
      <c r="S4121" t="s">
        <v>82342</v>
      </c>
      <c r="T4121" t="s">
        <v>82343</v>
      </c>
      <c r="U4121" t="s">
        <v>82344</v>
      </c>
      <c r="V4121">
        <f>-733.750394536585 -78.6692738259499 -230.714620626884</f>
        <v>-1043.1342889894188</v>
      </c>
      <c r="W4121" t="s">
        <v>82345</v>
      </c>
      <c r="X4121" t="s">
        <v>82346</v>
      </c>
      <c r="Y4121" t="s">
        <v>82347</v>
      </c>
    </row>
    <row r="4122" spans="1:25" x14ac:dyDescent="0.3">
      <c r="A4122">
        <v>206050</v>
      </c>
      <c r="B4122" t="s">
        <v>82348</v>
      </c>
      <c r="C4122" t="s">
        <v>82349</v>
      </c>
      <c r="D4122" t="s">
        <v>82350</v>
      </c>
      <c r="E4122" t="s">
        <v>82351</v>
      </c>
      <c r="F4122">
        <f>-756.998164043415 -0.914785849315876 -579.252565443943</f>
        <v>-1337.1655153366739</v>
      </c>
      <c r="G4122">
        <f>-756.278935968178 -18.3378075423122 -687.376478194962</f>
        <v>-1461.9932217054522</v>
      </c>
      <c r="H4122">
        <f>-751.012502020454 -47.6937585878438 -836.743400122025</f>
        <v>-1635.4496607303229</v>
      </c>
      <c r="I4122">
        <f>-716.268498762135 -67.8612226672929 -930.387057506408</f>
        <v>-1714.5167789358361</v>
      </c>
      <c r="J4122">
        <f>-745.274902272921 -4.47619569969402 -776.30977716516</f>
        <v>-1526.0608751377749</v>
      </c>
      <c r="K4122" t="s">
        <v>82352</v>
      </c>
      <c r="L4122" t="s">
        <v>82353</v>
      </c>
      <c r="M4122" t="s">
        <v>82354</v>
      </c>
      <c r="N4122">
        <f>-761.410611296089 -64.9331732226083 -764.996761698833</f>
        <v>-1591.3405462175301</v>
      </c>
      <c r="O4122">
        <f>-804.930847543022 -194.696990348365 -711.205338480178</f>
        <v>-1710.8331763715651</v>
      </c>
      <c r="P4122">
        <f>-752.381211063913 -180.968068985426 -399.377969959392</f>
        <v>-1332.7272500087311</v>
      </c>
      <c r="Q4122">
        <f>-518.693187479361 -66.8516019586248 -402.435318766397</f>
        <v>-987.98010820438276</v>
      </c>
      <c r="R4122" t="s">
        <v>82355</v>
      </c>
      <c r="S4122" t="s">
        <v>82356</v>
      </c>
      <c r="T4122" t="s">
        <v>82357</v>
      </c>
      <c r="U4122" t="s">
        <v>82358</v>
      </c>
      <c r="V4122">
        <f>-733.702153661818 -78.8096452400846 -230.713001687881</f>
        <v>-1043.2248005897836</v>
      </c>
      <c r="W4122" t="s">
        <v>82359</v>
      </c>
      <c r="X4122" t="s">
        <v>82360</v>
      </c>
      <c r="Y4122" t="s">
        <v>82361</v>
      </c>
    </row>
    <row r="4123" spans="1:25" x14ac:dyDescent="0.3">
      <c r="A4123">
        <v>206100</v>
      </c>
      <c r="B4123" t="s">
        <v>82362</v>
      </c>
      <c r="C4123" t="s">
        <v>82363</v>
      </c>
      <c r="D4123" t="s">
        <v>82364</v>
      </c>
      <c r="E4123" t="s">
        <v>82365</v>
      </c>
      <c r="F4123">
        <f>-757.058714722768 -0.897035956325453 -579.268354872899</f>
        <v>-1337.2241055519924</v>
      </c>
      <c r="G4123">
        <f>-756.353020441246 -18.2403371510322 -687.405103720638</f>
        <v>-1461.9984613129163</v>
      </c>
      <c r="H4123">
        <f>-751.111275908174 -47.458544648239 -836.800061424471</f>
        <v>-1635.369881980884</v>
      </c>
      <c r="I4123">
        <f>-716.205530881341 -67.5344959115041 -930.403098576778</f>
        <v>-1714.1431253696232</v>
      </c>
      <c r="J4123">
        <f>-745.40393347904 -4.28654764074304 -776.330791200684</f>
        <v>-1526.021272320467</v>
      </c>
      <c r="K4123" t="s">
        <v>82366</v>
      </c>
      <c r="L4123" t="s">
        <v>82367</v>
      </c>
      <c r="M4123" t="s">
        <v>82368</v>
      </c>
      <c r="N4123">
        <f>-761.457170664521 -64.7741620005734 -765.064016990382</f>
        <v>-1591.2953496554765</v>
      </c>
      <c r="O4123">
        <f>-804.785222142136 -194.606192265167 -711.304523805682</f>
        <v>-1710.6959382129851</v>
      </c>
      <c r="P4123">
        <f>-751.843387899908 -181.232418302534 -399.528129831069</f>
        <v>-1332.603936033511</v>
      </c>
      <c r="Q4123">
        <f>-518.769098140441 -65.880618325835 -403.055546515777</f>
        <v>-987.705262982053</v>
      </c>
      <c r="R4123" t="s">
        <v>82369</v>
      </c>
      <c r="S4123" t="s">
        <v>82370</v>
      </c>
      <c r="T4123" t="s">
        <v>82371</v>
      </c>
      <c r="U4123" t="s">
        <v>82372</v>
      </c>
      <c r="V4123">
        <f>-733.708773766419 -78.8637487006097 -230.711693942505</f>
        <v>-1043.2842164095337</v>
      </c>
      <c r="W4123" t="s">
        <v>82373</v>
      </c>
      <c r="X4123" t="s">
        <v>82374</v>
      </c>
      <c r="Y4123" t="s">
        <v>82375</v>
      </c>
    </row>
    <row r="4124" spans="1:25" x14ac:dyDescent="0.3">
      <c r="A4124">
        <v>206150</v>
      </c>
      <c r="B4124" t="s">
        <v>82376</v>
      </c>
      <c r="C4124" t="s">
        <v>82377</v>
      </c>
      <c r="D4124" t="s">
        <v>82378</v>
      </c>
      <c r="E4124" t="s">
        <v>82379</v>
      </c>
      <c r="F4124">
        <f>-757.82365114408 -0.647655801263682 -579.248935829685</f>
        <v>-1337.7202427750287</v>
      </c>
      <c r="G4124">
        <f>-757.147624187422 -17.8465686050904 -687.408943663741</f>
        <v>-1462.4031364562534</v>
      </c>
      <c r="H4124">
        <f>-751.920185530111 -46.8211813533121 -836.851745032192</f>
        <v>-1635.5931119156151</v>
      </c>
      <c r="I4124">
        <f>-716.679452068365 -66.7471053781414 -930.361286593982</f>
        <v>-1713.7878440404884</v>
      </c>
      <c r="J4124">
        <f>-746.318995368046 -3.72011676426268 -776.322052446739</f>
        <v>-1526.3611645790477</v>
      </c>
      <c r="K4124" t="s">
        <v>82380</v>
      </c>
      <c r="L4124" t="s">
        <v>82381</v>
      </c>
      <c r="M4124" t="s">
        <v>82382</v>
      </c>
      <c r="N4124">
        <f>-762.147295416156 -64.2814575386949 -765.133913881532</f>
        <v>-1591.562666836383</v>
      </c>
      <c r="O4124">
        <f>-804.995240038545 -194.323105603969 -711.48052562326</f>
        <v>-1710.7988712657739</v>
      </c>
      <c r="P4124">
        <f>-751.79858195802 -180.374653845469 -399.772760731427</f>
        <v>-1331.945996534916</v>
      </c>
      <c r="Q4124">
        <f>-519.57374310582 -63.3117843808755 -402.918354420588</f>
        <v>-985.80388190728343</v>
      </c>
      <c r="R4124" t="s">
        <v>82383</v>
      </c>
      <c r="S4124" t="s">
        <v>82384</v>
      </c>
      <c r="T4124" t="s">
        <v>82385</v>
      </c>
      <c r="U4124" t="s">
        <v>82386</v>
      </c>
      <c r="V4124">
        <f>-734.050928817239 -78.8058225074187 -230.684902208984</f>
        <v>-1043.5416535336417</v>
      </c>
      <c r="W4124" t="s">
        <v>82387</v>
      </c>
      <c r="X4124" t="s">
        <v>82388</v>
      </c>
      <c r="Y4124" t="s">
        <v>82389</v>
      </c>
    </row>
    <row r="4125" spans="1:25" x14ac:dyDescent="0.3">
      <c r="A4125">
        <v>206200</v>
      </c>
      <c r="B4125" t="s">
        <v>82390</v>
      </c>
      <c r="C4125" t="s">
        <v>82391</v>
      </c>
      <c r="D4125" t="s">
        <v>82392</v>
      </c>
      <c r="E4125" t="s">
        <v>82393</v>
      </c>
      <c r="F4125">
        <f>-758.298061063804 -0.449093030214044 -579.206783017926</f>
        <v>-1337.953937111944</v>
      </c>
      <c r="G4125">
        <f>-757.529651060774 -17.6042247768894 -687.373164816498</f>
        <v>-1462.5070406541613</v>
      </c>
      <c r="H4125">
        <f>-752.128874544321 -46.5119711754223 -836.822677945229</f>
        <v>-1635.4635236649724</v>
      </c>
      <c r="I4125">
        <f>-716.708522495782 -66.337594552396 -930.285596320741</f>
        <v>-1713.3317133689188</v>
      </c>
      <c r="J4125">
        <f>-746.667173396551 -3.42096724912017 -776.27308174467</f>
        <v>-1526.361222390341</v>
      </c>
      <c r="K4125" t="s">
        <v>82394</v>
      </c>
      <c r="L4125" t="s">
        <v>82395</v>
      </c>
      <c r="M4125" t="s">
        <v>82396</v>
      </c>
      <c r="N4125">
        <f>-762.369903267795 -64.0213817564722 -765.118677964079</f>
        <v>-1591.5099629883462</v>
      </c>
      <c r="O4125">
        <f>-804.978316011933 -194.163652534187 -711.533026787369</f>
        <v>-1710.6749953334888</v>
      </c>
      <c r="P4125">
        <f>-752.178116981923 -180.24592903977 -399.75641005435</f>
        <v>-1332.1804560760429</v>
      </c>
      <c r="Q4125">
        <f>-520.031663983662 -63.0219209182285 -402.698056331737</f>
        <v>-985.75164123362754</v>
      </c>
      <c r="R4125" t="s">
        <v>82397</v>
      </c>
      <c r="S4125" t="s">
        <v>82398</v>
      </c>
      <c r="T4125" t="s">
        <v>82399</v>
      </c>
      <c r="U4125" t="s">
        <v>82400</v>
      </c>
      <c r="V4125">
        <f>-734.38466253052 -78.7377160657441 -230.675514260128</f>
        <v>-1043.7978928563921</v>
      </c>
      <c r="W4125" t="s">
        <v>82401</v>
      </c>
      <c r="X4125" t="s">
        <v>82402</v>
      </c>
      <c r="Y4125" t="s">
        <v>82403</v>
      </c>
    </row>
    <row r="4126" spans="1:25" x14ac:dyDescent="0.3">
      <c r="A4126">
        <v>206250</v>
      </c>
      <c r="B4126" t="s">
        <v>82404</v>
      </c>
      <c r="C4126" t="s">
        <v>82405</v>
      </c>
      <c r="D4126" t="s">
        <v>82406</v>
      </c>
      <c r="E4126" t="s">
        <v>82407</v>
      </c>
      <c r="F4126" t="s">
        <v>82408</v>
      </c>
      <c r="G4126">
        <f>-759.259154217827 -16.8522647171383 -687.261445432782</f>
        <v>-1463.3728643677473</v>
      </c>
      <c r="H4126">
        <f>-753.618760920884 -45.5423358325884 -836.744194285055</f>
        <v>-1635.9052910385274</v>
      </c>
      <c r="I4126">
        <f>-717.852302815506 -65.0912092252875 -930.133593585566</f>
        <v>-1713.0771056263595</v>
      </c>
      <c r="J4126">
        <f>-748.368150838229 -2.51203905724333 -776.132835602161</f>
        <v>-1527.0130254976334</v>
      </c>
      <c r="K4126" t="s">
        <v>82409</v>
      </c>
      <c r="L4126" t="s">
        <v>82410</v>
      </c>
      <c r="M4126" t="s">
        <v>82411</v>
      </c>
      <c r="N4126">
        <f>-763.860769567705 -63.183699594832 -765.072615693105</f>
        <v>-1592.1170848556421</v>
      </c>
      <c r="O4126">
        <f>-806.247467671743 -193.444665916491 -711.629023596872</f>
        <v>-1711.3211571851061</v>
      </c>
      <c r="P4126">
        <f>-753.636527815955 -179.798869548669 -399.8086100484</f>
        <v>-1333.2440074130241</v>
      </c>
      <c r="Q4126">
        <f>-521.308593195213 -63.0106805784069 -404.938377152548</f>
        <v>-989.25765092616791</v>
      </c>
      <c r="R4126" t="s">
        <v>82412</v>
      </c>
      <c r="S4126" t="s">
        <v>82413</v>
      </c>
      <c r="T4126" t="s">
        <v>82414</v>
      </c>
      <c r="U4126" t="s">
        <v>82415</v>
      </c>
      <c r="V4126">
        <f>-735.489204332639 -78.5431810914533 -230.617170537338</f>
        <v>-1044.6495559614305</v>
      </c>
      <c r="W4126" t="s">
        <v>82416</v>
      </c>
      <c r="X4126" t="s">
        <v>82417</v>
      </c>
      <c r="Y4126" t="s">
        <v>82418</v>
      </c>
    </row>
    <row r="4127" spans="1:25" x14ac:dyDescent="0.3">
      <c r="A4127">
        <v>206300</v>
      </c>
      <c r="B4127" t="s">
        <v>82419</v>
      </c>
      <c r="C4127" t="s">
        <v>82420</v>
      </c>
      <c r="D4127" t="s">
        <v>82421</v>
      </c>
      <c r="E4127" t="s">
        <v>82422</v>
      </c>
      <c r="F4127" t="s">
        <v>82423</v>
      </c>
      <c r="G4127">
        <f>-760.212919086743 -16.5056888496399 -687.184407850885</f>
        <v>-1463.903015787268</v>
      </c>
      <c r="H4127">
        <f>-754.526010359938 -45.1110576996077 -836.681601778723</f>
        <v>-1636.3186698382688</v>
      </c>
      <c r="I4127">
        <f>-718.55972283628 -64.5426183891016 -930.018657266404</f>
        <v>-1713.1209984917855</v>
      </c>
      <c r="J4127">
        <f>-749.324774883914 -2.10781078229434 -776.046597956326</f>
        <v>-1527.4791836225343</v>
      </c>
      <c r="K4127" t="s">
        <v>82424</v>
      </c>
      <c r="L4127" t="s">
        <v>82425</v>
      </c>
      <c r="M4127" t="s">
        <v>82426</v>
      </c>
      <c r="N4127">
        <f>-764.759871717212 -62.8004042157916 -765.020743718483</f>
        <v>-1592.5810196514867</v>
      </c>
      <c r="O4127">
        <f>-807.190205365691 -193.106531337978 -711.697927383927</f>
        <v>-1711.994664087596</v>
      </c>
      <c r="P4127">
        <f>-753.883171884003 -179.865993562644 -399.978203714016</f>
        <v>-1333.7273691606629</v>
      </c>
      <c r="Q4127">
        <f>-521.140356467542 -63.9452785041076 -405.909641377095</f>
        <v>-990.9952763487446</v>
      </c>
      <c r="R4127" t="s">
        <v>82427</v>
      </c>
      <c r="S4127" t="s">
        <v>82428</v>
      </c>
      <c r="T4127" t="s">
        <v>82429</v>
      </c>
      <c r="U4127" t="s">
        <v>82430</v>
      </c>
      <c r="V4127">
        <f>-736.202334007275 -78.4443076877419 -230.590022852796</f>
        <v>-1045.236664547813</v>
      </c>
      <c r="W4127" t="s">
        <v>82431</v>
      </c>
      <c r="X4127" t="s">
        <v>82432</v>
      </c>
      <c r="Y4127" t="s">
        <v>82433</v>
      </c>
    </row>
    <row r="4128" spans="1:25" x14ac:dyDescent="0.3">
      <c r="A4128">
        <v>206350</v>
      </c>
      <c r="B4128" t="s">
        <v>82434</v>
      </c>
      <c r="C4128" t="s">
        <v>82435</v>
      </c>
      <c r="D4128" t="s">
        <v>82436</v>
      </c>
      <c r="E4128" t="s">
        <v>82437</v>
      </c>
      <c r="F4128" t="s">
        <v>82438</v>
      </c>
      <c r="G4128">
        <f>-762.05133848224 -16.038040378246 -686.922288926066</f>
        <v>-1465.0116677865522</v>
      </c>
      <c r="H4128">
        <f>-756.33355089109 -44.606943467579 -836.425117482395</f>
        <v>-1637.365611841064</v>
      </c>
      <c r="I4128">
        <f>-719.922219238231 -63.9438280241325 -929.609348089285</f>
        <v>-1713.4753953516486</v>
      </c>
      <c r="J4128">
        <f>-751.196850570725 -1.6059169577602 -775.783161552616</f>
        <v>-1528.5859290811013</v>
      </c>
      <c r="K4128" t="s">
        <v>82439</v>
      </c>
      <c r="L4128" t="s">
        <v>82440</v>
      </c>
      <c r="M4128" t="s">
        <v>82441</v>
      </c>
      <c r="N4128">
        <f>-766.529994714091 -62.3260816931718 -764.766427957262</f>
        <v>-1593.6225043645247</v>
      </c>
      <c r="O4128">
        <f>-808.798096871905 -192.671867674295 -711.430595964816</f>
        <v>-1712.900560511016</v>
      </c>
      <c r="P4128">
        <f>-755.736810357555 -177.699772385563 -399.747122230037</f>
        <v>-1333.1837049731548</v>
      </c>
      <c r="Q4128">
        <f>-522.701297737003 -62.4332788175709 -406.824373892032</f>
        <v>-991.95895044660585</v>
      </c>
      <c r="R4128" t="s">
        <v>82442</v>
      </c>
      <c r="S4128" t="s">
        <v>82443</v>
      </c>
      <c r="T4128" t="s">
        <v>82444</v>
      </c>
      <c r="U4128" t="s">
        <v>82445</v>
      </c>
      <c r="V4128">
        <f>-737.57142766535 -78.2962621130032 -230.470778214407</f>
        <v>-1046.3384679927603</v>
      </c>
      <c r="W4128" t="s">
        <v>82446</v>
      </c>
      <c r="X4128" t="s">
        <v>82447</v>
      </c>
      <c r="Y4128" t="s">
        <v>82448</v>
      </c>
    </row>
    <row r="4129" spans="1:25" x14ac:dyDescent="0.3">
      <c r="A4129">
        <v>206400</v>
      </c>
      <c r="B4129" t="s">
        <v>82449</v>
      </c>
      <c r="C4129" t="s">
        <v>82450</v>
      </c>
      <c r="D4129" t="s">
        <v>82451</v>
      </c>
      <c r="E4129" t="s">
        <v>82452</v>
      </c>
      <c r="F4129" t="s">
        <v>82453</v>
      </c>
      <c r="G4129">
        <f>-762.643226290563 -15.9868071790131 -686.778965919229</f>
        <v>-1465.4089993888051</v>
      </c>
      <c r="H4129">
        <f>-756.756454961102 -44.6352616495785 -836.260221299288</f>
        <v>-1637.6519379099686</v>
      </c>
      <c r="I4129">
        <f>-720.10794210325 -63.935528791777 -929.358820937895</f>
        <v>-1713.4022918329219</v>
      </c>
      <c r="J4129">
        <f>-751.718489357 -1.59497241811391 -775.637888613218</f>
        <v>-1528.9513503883318</v>
      </c>
      <c r="K4129" t="s">
        <v>82454</v>
      </c>
      <c r="L4129" t="s">
        <v>82455</v>
      </c>
      <c r="M4129" t="s">
        <v>82456</v>
      </c>
      <c r="N4129">
        <f>-767.003834819739 -62.3234231329293 -764.600874696912</f>
        <v>-1593.9281326495802</v>
      </c>
      <c r="O4129">
        <f>-809.179310685401 -192.682910471169 -711.187549613764</f>
        <v>-1713.0497707703339</v>
      </c>
      <c r="P4129">
        <f>-756.840890328103 -177.176759802533 -399.408038338729</f>
        <v>-1333.425688469365</v>
      </c>
      <c r="Q4129">
        <f>-523.228370029685 -63.0828270110028 -406.462165544725</f>
        <v>-992.77336258541277</v>
      </c>
      <c r="R4129" t="s">
        <v>82457</v>
      </c>
      <c r="S4129" t="s">
        <v>82458</v>
      </c>
      <c r="T4129" t="s">
        <v>82459</v>
      </c>
      <c r="U4129" t="s">
        <v>82460</v>
      </c>
      <c r="V4129">
        <f>-738.064791123395 -78.2985758114937 -230.423120371837</f>
        <v>-1046.7864873067258</v>
      </c>
      <c r="W4129" t="s">
        <v>82461</v>
      </c>
      <c r="X4129" t="s">
        <v>82462</v>
      </c>
      <c r="Y4129" t="s">
        <v>82463</v>
      </c>
    </row>
    <row r="4130" spans="1:25" x14ac:dyDescent="0.3">
      <c r="A4130">
        <v>206450</v>
      </c>
      <c r="B4130" t="s">
        <v>82464</v>
      </c>
      <c r="C4130" t="s">
        <v>82465</v>
      </c>
      <c r="D4130" t="s">
        <v>82466</v>
      </c>
      <c r="E4130" t="s">
        <v>82467</v>
      </c>
      <c r="F4130" t="s">
        <v>82468</v>
      </c>
      <c r="G4130">
        <f>-763.467085860678 -15.5533332861896 -686.691239198396</f>
        <v>-1465.7116583452637</v>
      </c>
      <c r="H4130">
        <f>-757.223695015893 -44.0219355615536 -836.192278684925</f>
        <v>-1637.4379092623717</v>
      </c>
      <c r="I4130">
        <f>-719.992485101707 -63.1238529782293 -929.100553792987</f>
        <v>-1712.216891872923</v>
      </c>
      <c r="J4130">
        <f>-752.394141602309 -1.03968909351556 -775.511763239066</f>
        <v>-1528.9455939348904</v>
      </c>
      <c r="K4130" t="s">
        <v>82469</v>
      </c>
      <c r="L4130" t="s">
        <v>82470</v>
      </c>
      <c r="M4130" t="s">
        <v>82471</v>
      </c>
      <c r="N4130">
        <f>-767.57832724427 -61.8113177074192 -764.573508783107</f>
        <v>-1593.9631537347962</v>
      </c>
      <c r="O4130">
        <f>-809.626344860747 -192.207519966123 -711.159098230861</f>
        <v>-1712.992963057731</v>
      </c>
      <c r="P4130">
        <f>-758.742282648423 -175.187761105605 -399.217757209136</f>
        <v>-1333.1478009631639</v>
      </c>
      <c r="Q4130">
        <f>-523.652258206478 -64.0916092278437 -404.902304899907</f>
        <v>-992.64617233422871</v>
      </c>
      <c r="R4130" t="s">
        <v>82472</v>
      </c>
      <c r="S4130" t="s">
        <v>82473</v>
      </c>
      <c r="T4130" t="s">
        <v>82474</v>
      </c>
      <c r="U4130" t="s">
        <v>82475</v>
      </c>
      <c r="V4130">
        <f>-738.931790404902 -78.3780460730375 -230.365471542507</f>
        <v>-1047.6753080204464</v>
      </c>
      <c r="W4130" t="s">
        <v>82476</v>
      </c>
      <c r="X4130" t="s">
        <v>82477</v>
      </c>
      <c r="Y4130" t="s">
        <v>82478</v>
      </c>
    </row>
    <row r="4131" spans="1:25" x14ac:dyDescent="0.3">
      <c r="A4131">
        <v>206500</v>
      </c>
      <c r="B4131" t="s">
        <v>82479</v>
      </c>
      <c r="C4131" t="s">
        <v>82480</v>
      </c>
      <c r="D4131" t="s">
        <v>82481</v>
      </c>
      <c r="E4131" t="s">
        <v>82482</v>
      </c>
      <c r="F4131" t="s">
        <v>82483</v>
      </c>
      <c r="G4131">
        <f>-763.778022504352 -15.3338600071202 -686.665938780551</f>
        <v>-1465.777821292023</v>
      </c>
      <c r="H4131">
        <f>-757.259312788006 -43.6940355124841 -836.175824455075</f>
        <v>-1637.1291727555652</v>
      </c>
      <c r="I4131">
        <f>-719.72344285097 -62.6593691800283 -928.989460399815</f>
        <v>-1711.3722724308132</v>
      </c>
      <c r="J4131">
        <f>-752.571641813883 -0.748692397284231 -775.458049835003</f>
        <v>-1528.7783840461702</v>
      </c>
      <c r="K4131" t="s">
        <v>82484</v>
      </c>
      <c r="L4131" t="s">
        <v>82485</v>
      </c>
      <c r="M4131" t="s">
        <v>82486</v>
      </c>
      <c r="N4131">
        <f>-767.71555112744 -61.542276790876 -764.586644570596</f>
        <v>-1593.8444724889121</v>
      </c>
      <c r="O4131">
        <f>-809.748081261913 -191.987503253083 -711.275065842019</f>
        <v>-1713.010650357015</v>
      </c>
      <c r="P4131">
        <f>-759.328162780531 -175.465707826033 -399.23179704423</f>
        <v>-1334.025667650794</v>
      </c>
      <c r="Q4131">
        <f>-523.703704306296 -65.4908020325615 -404.587776820114</f>
        <v>-993.7822831589715</v>
      </c>
      <c r="R4131" t="s">
        <v>82487</v>
      </c>
      <c r="S4131" t="s">
        <v>82488</v>
      </c>
      <c r="T4131" t="s">
        <v>82489</v>
      </c>
      <c r="U4131" t="s">
        <v>82490</v>
      </c>
      <c r="V4131">
        <f>-739.445498975978 -78.3789936697665 -230.348109064608</f>
        <v>-1048.1726017103524</v>
      </c>
      <c r="W4131" t="s">
        <v>82491</v>
      </c>
      <c r="X4131" t="s">
        <v>82492</v>
      </c>
      <c r="Y4131" t="s">
        <v>82493</v>
      </c>
    </row>
    <row r="4132" spans="1:25" x14ac:dyDescent="0.3">
      <c r="A4132">
        <v>206550</v>
      </c>
      <c r="B4132" t="s">
        <v>82494</v>
      </c>
      <c r="C4132" t="s">
        <v>82495</v>
      </c>
      <c r="D4132" t="s">
        <v>82496</v>
      </c>
      <c r="E4132" t="s">
        <v>82497</v>
      </c>
      <c r="F4132" t="s">
        <v>82498</v>
      </c>
      <c r="G4132">
        <f>-764.664094291798 -14.3623350566318 -686.712209651025</f>
        <v>-1465.7386389994549</v>
      </c>
      <c r="H4132">
        <f>-757.818012106093 -42.1973471485046 -836.306223696447</f>
        <v>-1636.3215829510445</v>
      </c>
      <c r="I4132">
        <f>-719.740068441489 -60.7430284803843 -928.983734572106</f>
        <v>-1709.4668314939793</v>
      </c>
      <c r="J4132" t="s">
        <v>82499</v>
      </c>
      <c r="K4132" t="s">
        <v>82500</v>
      </c>
      <c r="L4132" t="s">
        <v>82501</v>
      </c>
      <c r="M4132" t="s">
        <v>82502</v>
      </c>
      <c r="N4132">
        <f>-768.340488285213 -60.317951977818 -764.795195468846</f>
        <v>-1593.4536357318771</v>
      </c>
      <c r="O4132">
        <f>-810.286191722888 -190.884533158024 -711.72267449076</f>
        <v>-1712.8933993716721</v>
      </c>
      <c r="P4132">
        <f>-760.33421656136 -175.178781784697 -399.56188268717</f>
        <v>-1335.074881033227</v>
      </c>
      <c r="Q4132">
        <f>-524.241271783026 -66.3003064772806 -406.466986561386</f>
        <v>-997.00856482169274</v>
      </c>
      <c r="R4132" t="s">
        <v>82503</v>
      </c>
      <c r="S4132" t="s">
        <v>82504</v>
      </c>
      <c r="T4132" t="s">
        <v>82505</v>
      </c>
      <c r="U4132" t="s">
        <v>82506</v>
      </c>
      <c r="V4132">
        <f>-740.314204420699 -78.1930547337201 -230.346790845174</f>
        <v>-1048.8540499995931</v>
      </c>
      <c r="W4132" t="s">
        <v>82507</v>
      </c>
      <c r="X4132" t="s">
        <v>82508</v>
      </c>
      <c r="Y4132" t="s">
        <v>82509</v>
      </c>
    </row>
    <row r="4133" spans="1:25" x14ac:dyDescent="0.3">
      <c r="A4133">
        <v>206600</v>
      </c>
      <c r="B4133" t="s">
        <v>82510</v>
      </c>
      <c r="C4133" t="s">
        <v>82511</v>
      </c>
      <c r="D4133" t="s">
        <v>82512</v>
      </c>
      <c r="E4133" t="s">
        <v>82513</v>
      </c>
      <c r="F4133" t="s">
        <v>82514</v>
      </c>
      <c r="G4133">
        <f>-764.751912336506 -13.743791488045 -686.756619091092</f>
        <v>-1465.2523229156432</v>
      </c>
      <c r="H4133">
        <f>-757.621069637458 -41.2532572755401 -836.397365431663</f>
        <v>-1635.2716923446612</v>
      </c>
      <c r="I4133">
        <f>-719.276072026224 -59.4913559548418 -929.025860960594</f>
        <v>-1707.7932889416597</v>
      </c>
      <c r="J4133" t="s">
        <v>82515</v>
      </c>
      <c r="K4133" t="s">
        <v>82516</v>
      </c>
      <c r="L4133" t="s">
        <v>82517</v>
      </c>
      <c r="M4133" t="s">
        <v>82518</v>
      </c>
      <c r="N4133">
        <f>-768.201946603592 -59.5471266425525 -764.939080265968</f>
        <v>-1592.6881535121124</v>
      </c>
      <c r="O4133">
        <f>-809.939394896463 -190.299347619654 -712.136636737599</f>
        <v>-1712.3753792537159</v>
      </c>
      <c r="P4133">
        <f>-760.332436294376 -175.721829828336 -399.866114544253</f>
        <v>-1335.920380666965</v>
      </c>
      <c r="Q4133">
        <f>-524.121260733944 -67.0955560481243 -406.698450008351</f>
        <v>-997.91526679041931</v>
      </c>
      <c r="R4133" t="s">
        <v>82519</v>
      </c>
      <c r="S4133" t="s">
        <v>82520</v>
      </c>
      <c r="T4133" t="s">
        <v>82521</v>
      </c>
      <c r="U4133" t="s">
        <v>82522</v>
      </c>
      <c r="V4133">
        <f>-740.815992181464 -78.0590306502083 -230.349328869975</f>
        <v>-1049.2243517016473</v>
      </c>
      <c r="W4133" t="s">
        <v>82523</v>
      </c>
      <c r="X4133" t="s">
        <v>82524</v>
      </c>
      <c r="Y4133" t="s">
        <v>82525</v>
      </c>
    </row>
    <row r="4134" spans="1:25" x14ac:dyDescent="0.3">
      <c r="A4134">
        <v>206650</v>
      </c>
      <c r="B4134" t="s">
        <v>82526</v>
      </c>
      <c r="C4134" t="s">
        <v>82527</v>
      </c>
      <c r="D4134" t="s">
        <v>82528</v>
      </c>
      <c r="E4134" t="s">
        <v>82529</v>
      </c>
      <c r="F4134" t="s">
        <v>82530</v>
      </c>
      <c r="G4134">
        <f>-765.395926525937 -12.3961886894249 -686.771656480386</f>
        <v>-1464.5637716957481</v>
      </c>
      <c r="H4134">
        <f>-757.501634324927 -39.3134263902882 -836.481761080707</f>
        <v>-1633.2968217959221</v>
      </c>
      <c r="I4134">
        <f>-718.610562624107 -56.8914739185259 -929.010074372497</f>
        <v>-1704.5121109151301</v>
      </c>
      <c r="J4134" t="s">
        <v>82531</v>
      </c>
      <c r="K4134" t="s">
        <v>82532</v>
      </c>
      <c r="L4134" t="s">
        <v>82533</v>
      </c>
      <c r="M4134" t="s">
        <v>82534</v>
      </c>
      <c r="N4134">
        <f>-768.254990428801 -57.9330101591461 -765.133389354474</f>
        <v>-1591.3213899424211</v>
      </c>
      <c r="O4134">
        <f>-809.397786247505 -189.083263734585 -712.903918753598</f>
        <v>-1711.3849687356878</v>
      </c>
      <c r="P4134">
        <f>-760.839311112369 -173.824237351141 -400.5013569546</f>
        <v>-1335.16490541811</v>
      </c>
      <c r="Q4134">
        <f>-524.363744694897 -65.7734889874137 -407.313241857124</f>
        <v>-997.45047553943471</v>
      </c>
      <c r="R4134" t="s">
        <v>82535</v>
      </c>
      <c r="S4134" t="s">
        <v>82536</v>
      </c>
      <c r="T4134" t="s">
        <v>82537</v>
      </c>
      <c r="U4134" t="s">
        <v>82538</v>
      </c>
      <c r="V4134">
        <f>-741.846953365077 -77.7353664556108 -230.346741750105</f>
        <v>-1049.9290615707928</v>
      </c>
      <c r="W4134" t="s">
        <v>82539</v>
      </c>
      <c r="X4134" t="s">
        <v>82540</v>
      </c>
      <c r="Y4134" t="s">
        <v>82541</v>
      </c>
    </row>
    <row r="4135" spans="1:25" x14ac:dyDescent="0.3">
      <c r="A4135">
        <v>206700</v>
      </c>
      <c r="B4135" t="s">
        <v>82542</v>
      </c>
      <c r="C4135" t="s">
        <v>82543</v>
      </c>
      <c r="D4135" t="s">
        <v>82544</v>
      </c>
      <c r="E4135" t="s">
        <v>82545</v>
      </c>
      <c r="F4135" t="s">
        <v>82546</v>
      </c>
      <c r="G4135">
        <f>-765.418626616904 -11.7116123257904 -686.749210418338</f>
        <v>-1463.8794493610324</v>
      </c>
      <c r="H4135">
        <f>-756.912844308096 -38.3122149669953 -836.482669244558</f>
        <v>-1631.7077285196492</v>
      </c>
      <c r="I4135">
        <f>-717.702443754699 -55.5111029379993 -928.947336161873</f>
        <v>-1702.1608828545714</v>
      </c>
      <c r="J4135" t="s">
        <v>82547</v>
      </c>
      <c r="K4135" t="s">
        <v>82548</v>
      </c>
      <c r="L4135" t="s">
        <v>82549</v>
      </c>
      <c r="M4135" t="s">
        <v>82550</v>
      </c>
      <c r="N4135">
        <f>-767.848322012709 -57.1067533553455 -765.207723347299</f>
        <v>-1590.1627987153533</v>
      </c>
      <c r="O4135">
        <f>-808.709802355399 -188.466766167091 -713.29000317313</f>
        <v>-1710.4665716956201</v>
      </c>
      <c r="P4135">
        <f>-760.678580207748 -174.852535273491 -400.7298980226</f>
        <v>-1336.261013503839</v>
      </c>
      <c r="Q4135">
        <f>-524.844636632506 -65.3733732444171 -406.950658836353</f>
        <v>-997.16866871327602</v>
      </c>
      <c r="R4135" t="s">
        <v>82551</v>
      </c>
      <c r="S4135" t="s">
        <v>82552</v>
      </c>
      <c r="T4135" t="s">
        <v>82553</v>
      </c>
      <c r="U4135" t="s">
        <v>82554</v>
      </c>
      <c r="V4135">
        <f>-742.30049106896 -77.6602103708801 -230.359669689958</f>
        <v>-1050.3203711297981</v>
      </c>
      <c r="W4135" t="s">
        <v>82555</v>
      </c>
      <c r="X4135" t="s">
        <v>82556</v>
      </c>
      <c r="Y4135" t="s">
        <v>82557</v>
      </c>
    </row>
    <row r="4136" spans="1:25" x14ac:dyDescent="0.3">
      <c r="A4136">
        <v>206750</v>
      </c>
      <c r="B4136" t="s">
        <v>82558</v>
      </c>
      <c r="C4136" t="s">
        <v>82559</v>
      </c>
      <c r="D4136" t="s">
        <v>82560</v>
      </c>
      <c r="E4136" t="s">
        <v>82561</v>
      </c>
      <c r="F4136" t="s">
        <v>82562</v>
      </c>
      <c r="G4136">
        <f>-766.630597671292 -10.3652360277677 -686.611683306824</f>
        <v>-1463.6075170058837</v>
      </c>
      <c r="H4136">
        <f>-757.447188592943 -36.3372833390979 -836.415320709765</f>
        <v>-1630.1997926418057</v>
      </c>
      <c r="I4136">
        <f>-717.733103184622 -52.8515826598536 -928.789797342645</f>
        <v>-1699.3744831871206</v>
      </c>
      <c r="J4136" t="s">
        <v>82563</v>
      </c>
      <c r="K4136" t="s">
        <v>82564</v>
      </c>
      <c r="L4136" t="s">
        <v>82565</v>
      </c>
      <c r="M4136" t="s">
        <v>82566</v>
      </c>
      <c r="N4136">
        <f>-768.421490899898 -55.4915744565544 -765.242275949635</f>
        <v>-1589.1553413060874</v>
      </c>
      <c r="O4136">
        <f>-808.040365956546 -187.472320454942 -713.953831138433</f>
        <v>-1709.4665175499208</v>
      </c>
      <c r="P4136">
        <f>-761.983674717807 -173.099125607606 -401.130663751749</f>
        <v>-1336.2134640771619</v>
      </c>
      <c r="Q4136">
        <f>-528.14778852415 -59.3137455022643 -405.095101954417</f>
        <v>-992.55663598083129</v>
      </c>
      <c r="R4136" t="s">
        <v>82567</v>
      </c>
      <c r="S4136" t="s">
        <v>82568</v>
      </c>
      <c r="T4136" t="s">
        <v>82569</v>
      </c>
      <c r="U4136" t="s">
        <v>82570</v>
      </c>
      <c r="V4136">
        <f>-743.330879008645 -77.5720337209141 -230.357218525799</f>
        <v>-1051.2601312553579</v>
      </c>
      <c r="W4136" t="s">
        <v>82571</v>
      </c>
      <c r="X4136" t="s">
        <v>82572</v>
      </c>
      <c r="Y4136" t="s">
        <v>82573</v>
      </c>
    </row>
    <row r="4137" spans="1:25" x14ac:dyDescent="0.3">
      <c r="A4137">
        <v>206800</v>
      </c>
      <c r="B4137" t="s">
        <v>82574</v>
      </c>
      <c r="C4137" t="s">
        <v>82575</v>
      </c>
      <c r="D4137" t="s">
        <v>82576</v>
      </c>
      <c r="E4137" t="s">
        <v>82577</v>
      </c>
      <c r="F4137" t="s">
        <v>82578</v>
      </c>
      <c r="G4137">
        <f>-767.68419248712 -8.4569040456779 -686.486688867896</f>
        <v>-1462.6277854006939</v>
      </c>
      <c r="H4137">
        <f>-757.605251023404 -33.7429404934746 -836.349972640782</f>
        <v>-1627.6981641576606</v>
      </c>
      <c r="I4137">
        <f>-717.292030448239 -49.5107032233286 -928.595487871869</f>
        <v>-1695.3982215434366</v>
      </c>
      <c r="J4137" t="s">
        <v>82579</v>
      </c>
      <c r="K4137" t="s">
        <v>82580</v>
      </c>
      <c r="L4137" t="s">
        <v>82581</v>
      </c>
      <c r="M4137" t="s">
        <v>82582</v>
      </c>
      <c r="N4137">
        <f>-768.742734018856 -53.2767755656294 -765.305523299427</f>
        <v>-1587.3250328839124</v>
      </c>
      <c r="O4137">
        <f>-807.102802187008 -185.929578905406 -714.700770742176</f>
        <v>-1707.73315183459</v>
      </c>
      <c r="P4137">
        <f>-763.94573862033 -173.953880209915 -401.363674008664</f>
        <v>-1339.2632928389089</v>
      </c>
      <c r="Q4137">
        <f>-534.279504018126 -51.9396870061435 -404.198873576541</f>
        <v>-990.41806460081045</v>
      </c>
      <c r="R4137" t="s">
        <v>82583</v>
      </c>
      <c r="S4137" t="s">
        <v>82584</v>
      </c>
      <c r="T4137" t="s">
        <v>82585</v>
      </c>
      <c r="U4137" t="s">
        <v>82586</v>
      </c>
      <c r="V4137">
        <f>-744.243265511809 -77.2702976513654 -230.415175805323</f>
        <v>-1051.9287389684973</v>
      </c>
      <c r="W4137" t="s">
        <v>82587</v>
      </c>
      <c r="X4137" t="s">
        <v>82588</v>
      </c>
      <c r="Y4137" t="s">
        <v>82589</v>
      </c>
    </row>
    <row r="4138" spans="1:25" x14ac:dyDescent="0.3">
      <c r="A4138">
        <v>206850</v>
      </c>
      <c r="B4138" t="s">
        <v>82590</v>
      </c>
      <c r="C4138" t="s">
        <v>82591</v>
      </c>
      <c r="D4138" t="s">
        <v>82592</v>
      </c>
      <c r="E4138" t="s">
        <v>82593</v>
      </c>
      <c r="F4138" t="s">
        <v>82594</v>
      </c>
      <c r="G4138">
        <f>-768.255817258487 -7.31385792268179 -686.477513796861</f>
        <v>-1462.0471889780297</v>
      </c>
      <c r="H4138">
        <f>-757.81711692765 -32.1799768385338 -836.386467426344</f>
        <v>-1626.3835611925278</v>
      </c>
      <c r="I4138">
        <f>-717.192982606886 -47.7047396005466 -928.5367387969</f>
        <v>-1693.4344610043327</v>
      </c>
      <c r="J4138" t="s">
        <v>82595</v>
      </c>
      <c r="K4138" t="s">
        <v>82596</v>
      </c>
      <c r="L4138" t="s">
        <v>82597</v>
      </c>
      <c r="M4138" t="s">
        <v>82598</v>
      </c>
      <c r="N4138">
        <f>-769.04939426704 -51.9277158253296 -765.416322694955</f>
        <v>-1586.3934327873249</v>
      </c>
      <c r="O4138">
        <f>-807.191887963158 -184.791818098702 -715.319966635088</f>
        <v>-1707.3036726969481</v>
      </c>
      <c r="P4138">
        <f>-764.955768186605 -173.716156714012 -401.82413087446</f>
        <v>-1340.4960557750769</v>
      </c>
      <c r="Q4138">
        <f>-537.099480953904 -48.3687417556994 -405.227028544527</f>
        <v>-990.69525125413043</v>
      </c>
      <c r="R4138" t="s">
        <v>82599</v>
      </c>
      <c r="S4138" t="s">
        <v>82600</v>
      </c>
      <c r="T4138" t="s">
        <v>82601</v>
      </c>
      <c r="U4138" t="s">
        <v>82602</v>
      </c>
      <c r="V4138">
        <f>-744.732566680256 -77.1271360138762 -230.477325619648</f>
        <v>-1052.3370283137801</v>
      </c>
      <c r="W4138" t="s">
        <v>82603</v>
      </c>
      <c r="X4138" t="s">
        <v>82604</v>
      </c>
      <c r="Y4138" t="s">
        <v>82605</v>
      </c>
    </row>
    <row r="4139" spans="1:25" x14ac:dyDescent="0.3">
      <c r="A4139">
        <v>206900</v>
      </c>
      <c r="B4139" t="s">
        <v>82606</v>
      </c>
      <c r="C4139" t="s">
        <v>82607</v>
      </c>
      <c r="D4139" t="s">
        <v>82608</v>
      </c>
      <c r="E4139" t="s">
        <v>82609</v>
      </c>
      <c r="F4139" t="s">
        <v>82610</v>
      </c>
      <c r="G4139">
        <f>-768.900986212349 -6.01573979121781 -686.521848095664</f>
        <v>-1461.4385740992309</v>
      </c>
      <c r="H4139">
        <f>-758.170826628591 -30.3657387120174 -836.495005074452</f>
        <v>-1625.0315704150605</v>
      </c>
      <c r="I4139">
        <f>-717.290727451908 -45.6569989321476 -928.570972919992</f>
        <v>-1691.5186993040475</v>
      </c>
      <c r="J4139" t="s">
        <v>82611</v>
      </c>
      <c r="K4139" t="s">
        <v>82612</v>
      </c>
      <c r="L4139" t="s">
        <v>82613</v>
      </c>
      <c r="M4139" t="s">
        <v>82614</v>
      </c>
      <c r="N4139">
        <f>-769.499486425469 -50.3660017712621 -765.610751316524</f>
        <v>-1585.476239513255</v>
      </c>
      <c r="O4139">
        <f>-807.565368474298 -183.482362958761 -716.032016703769</f>
        <v>-1707.0797481368281</v>
      </c>
      <c r="P4139">
        <f>-765.144730739767 -173.465619682844 -402.525574974239</f>
        <v>-1341.1359253968501</v>
      </c>
      <c r="Q4139">
        <f>-538.759884592677 -45.4806416448207 -405.954641144375</f>
        <v>-990.19516738187281</v>
      </c>
      <c r="R4139" t="s">
        <v>82615</v>
      </c>
      <c r="S4139" t="s">
        <v>82616</v>
      </c>
      <c r="T4139" t="s">
        <v>82617</v>
      </c>
      <c r="U4139" t="s">
        <v>82618</v>
      </c>
      <c r="V4139">
        <f>-745.274981502708 -76.9720968698339 -230.599366590339</f>
        <v>-1052.8464449628809</v>
      </c>
      <c r="W4139" t="s">
        <v>82619</v>
      </c>
      <c r="X4139" t="s">
        <v>82620</v>
      </c>
      <c r="Y4139" t="s">
        <v>82621</v>
      </c>
    </row>
    <row r="4140" spans="1:25" x14ac:dyDescent="0.3">
      <c r="A4140">
        <v>206950</v>
      </c>
      <c r="B4140" t="s">
        <v>82622</v>
      </c>
      <c r="C4140" t="s">
        <v>82623</v>
      </c>
      <c r="D4140" t="s">
        <v>82624</v>
      </c>
      <c r="E4140" t="s">
        <v>82625</v>
      </c>
      <c r="F4140" t="s">
        <v>82626</v>
      </c>
      <c r="G4140">
        <f>-769.466521530605 -3.96539732464566 -686.721972083755</f>
        <v>-1460.1538909390056</v>
      </c>
      <c r="H4140">
        <f>-758.172257404445 -27.5110424049446 -836.782126977204</f>
        <v>-1622.4654267865935</v>
      </c>
      <c r="I4140">
        <f>-716.965697393146 -42.5755817393638 -928.749923423724</f>
        <v>-1688.2912025562337</v>
      </c>
      <c r="J4140" t="s">
        <v>82627</v>
      </c>
      <c r="K4140" t="s">
        <v>82628</v>
      </c>
      <c r="L4140" t="s">
        <v>82629</v>
      </c>
      <c r="M4140" t="s">
        <v>82630</v>
      </c>
      <c r="N4140">
        <f>-769.757284526672 -47.8929557871049 -766.048208182471</f>
        <v>-1583.6984484962479</v>
      </c>
      <c r="O4140">
        <f>-808.049954500189 -181.207745429148 -717.228523342189</f>
        <v>-1706.4862232715259</v>
      </c>
      <c r="P4140">
        <f>-766.140096196437 -171.480284293236 -403.644145075103</f>
        <v>-1341.2645255647758</v>
      </c>
      <c r="Q4140">
        <f>-541.021776131972 -41.2611834286556 -406.251319678098</f>
        <v>-988.53427923872573</v>
      </c>
      <c r="R4140" t="s">
        <v>82631</v>
      </c>
      <c r="S4140" t="s">
        <v>82632</v>
      </c>
      <c r="T4140" t="s">
        <v>82633</v>
      </c>
      <c r="U4140" t="s">
        <v>82634</v>
      </c>
      <c r="V4140">
        <f>-746.619508073464 -76.7713566361126 -230.928838915673</f>
        <v>-1054.3197036252495</v>
      </c>
      <c r="W4140" t="s">
        <v>82635</v>
      </c>
      <c r="X4140" t="s">
        <v>82636</v>
      </c>
      <c r="Y4140" t="s">
        <v>82637</v>
      </c>
    </row>
    <row r="4141" spans="1:25" x14ac:dyDescent="0.3">
      <c r="A4141">
        <v>207000</v>
      </c>
      <c r="B4141" t="s">
        <v>82638</v>
      </c>
      <c r="C4141" t="s">
        <v>82639</v>
      </c>
      <c r="D4141" t="s">
        <v>82640</v>
      </c>
      <c r="E4141" t="s">
        <v>82641</v>
      </c>
      <c r="F4141" t="s">
        <v>82642</v>
      </c>
      <c r="G4141">
        <f>-769.36703485853 -3.15529941951172 -686.905404171085</f>
        <v>-1459.4277384491268</v>
      </c>
      <c r="H4141">
        <f>-757.623321756415 -26.383151018741 -836.980591465772</f>
        <v>-1620.987064240928</v>
      </c>
      <c r="I4141">
        <f>-716.264862993825 -41.3869656836546 -928.890055496597</f>
        <v>-1686.5418841740766</v>
      </c>
      <c r="J4141" t="s">
        <v>82643</v>
      </c>
      <c r="K4141" t="s">
        <v>82644</v>
      </c>
      <c r="L4141" t="s">
        <v>82645</v>
      </c>
      <c r="M4141" t="s">
        <v>82646</v>
      </c>
      <c r="N4141">
        <f>-769.390936333288 -46.9204615053491 -766.321903656759</f>
        <v>-1582.6333014953962</v>
      </c>
      <c r="O4141">
        <f>-807.663132469078 -180.347977478281 -717.783031707632</f>
        <v>-1705.7941416549911</v>
      </c>
      <c r="P4141">
        <f>-766.442546186888 -171.032781394672 -404.094738826471</f>
        <v>-1341.5700664080309</v>
      </c>
      <c r="Q4141">
        <f>-540.820332869993 -41.664580999548 -404.871529119076</f>
        <v>-987.35644298861689</v>
      </c>
      <c r="R4141" t="s">
        <v>82647</v>
      </c>
      <c r="S4141" t="s">
        <v>82648</v>
      </c>
      <c r="T4141" t="s">
        <v>82649</v>
      </c>
      <c r="U4141" t="s">
        <v>82650</v>
      </c>
      <c r="V4141">
        <f>-747.423681062498 -76.7225140357448 -231.145438523585</f>
        <v>-1055.2916336218277</v>
      </c>
      <c r="W4141" t="s">
        <v>82651</v>
      </c>
      <c r="X4141" t="s">
        <v>82652</v>
      </c>
      <c r="Y4141" t="s">
        <v>82653</v>
      </c>
    </row>
    <row r="4142" spans="1:25" x14ac:dyDescent="0.3">
      <c r="A4142">
        <v>207050</v>
      </c>
      <c r="B4142" t="s">
        <v>82654</v>
      </c>
      <c r="C4142" t="s">
        <v>82655</v>
      </c>
      <c r="D4142" t="s">
        <v>82656</v>
      </c>
      <c r="E4142" t="s">
        <v>82657</v>
      </c>
      <c r="F4142" t="s">
        <v>82658</v>
      </c>
      <c r="G4142">
        <f>-769.423162397585 -2.10724415191271 -687.591250158432</f>
        <v>-1459.1216567079296</v>
      </c>
      <c r="H4142">
        <f>-756.779055866306 -24.8138144330046 -837.672993261314</f>
        <v>-1619.2658635606244</v>
      </c>
      <c r="I4142">
        <f>-715.144107164884 -39.7841865747471 -929.463056369735</f>
        <v>-1684.3913501093662</v>
      </c>
      <c r="J4142" t="s">
        <v>82659</v>
      </c>
      <c r="K4142" t="s">
        <v>82660</v>
      </c>
      <c r="L4142" t="s">
        <v>82661</v>
      </c>
      <c r="M4142" t="s">
        <v>82662</v>
      </c>
      <c r="N4142">
        <f>-768.866990318911 -45.6167279631538 -767.146178464182</f>
        <v>-1581.6298967462467</v>
      </c>
      <c r="O4142">
        <f>-806.885397917205 -179.317021023108 -719.13074024916</f>
        <v>-1705.333159189473</v>
      </c>
      <c r="P4142">
        <f>-768.829193739504 -169.849738532761 -405.047607787032</f>
        <v>-1343.7265400592969</v>
      </c>
      <c r="Q4142">
        <f>-542.247526920756 -42.1923756034748 -402.512379908531</f>
        <v>-986.95228243276176</v>
      </c>
      <c r="R4142" t="s">
        <v>82663</v>
      </c>
      <c r="S4142" t="s">
        <v>82664</v>
      </c>
      <c r="T4142" t="s">
        <v>82665</v>
      </c>
      <c r="U4142" t="s">
        <v>82666</v>
      </c>
      <c r="V4142">
        <f>-748.942412286963 -77.2444328169825 -232.045715525091</f>
        <v>-1058.2325606290365</v>
      </c>
      <c r="W4142" t="s">
        <v>82667</v>
      </c>
      <c r="X4142" t="s">
        <v>82668</v>
      </c>
      <c r="Y4142" t="s">
        <v>82669</v>
      </c>
    </row>
    <row r="4143" spans="1:25" x14ac:dyDescent="0.3">
      <c r="A4143">
        <v>207100</v>
      </c>
      <c r="B4143" t="s">
        <v>82670</v>
      </c>
      <c r="C4143" t="s">
        <v>82671</v>
      </c>
      <c r="D4143" t="s">
        <v>82672</v>
      </c>
      <c r="E4143" t="s">
        <v>82673</v>
      </c>
      <c r="F4143" t="s">
        <v>82674</v>
      </c>
      <c r="G4143">
        <f>-769.226661587264 -1.90179647077184 -688.108839631788</f>
        <v>-1459.2372976898237</v>
      </c>
      <c r="H4143">
        <f>-755.959085874446 -24.349372649782 -838.175805323841</f>
        <v>-1618.4842638480691</v>
      </c>
      <c r="I4143">
        <f>-714.125096136444 -39.2421175643965 -929.887969848452</f>
        <v>-1683.2551835492925</v>
      </c>
      <c r="J4143" t="s">
        <v>82675</v>
      </c>
      <c r="K4143" t="s">
        <v>82676</v>
      </c>
      <c r="L4143" t="s">
        <v>82677</v>
      </c>
      <c r="M4143" t="s">
        <v>82678</v>
      </c>
      <c r="N4143">
        <f>-768.322124409204 -45.2773717081288 -767.733702478174</f>
        <v>-1581.3331985955069</v>
      </c>
      <c r="O4143">
        <f>-806.380410388355 -179.048463963214 -719.979542477079</f>
        <v>-1705.4084168286481</v>
      </c>
      <c r="P4143">
        <f>-769.464433369578 -170.398871471745 -405.73678402816</f>
        <v>-1345.600088869483</v>
      </c>
      <c r="Q4143">
        <f>-542.734432785667 -43.0416229929426 -401.777346334356</f>
        <v>-987.55340211296561</v>
      </c>
      <c r="R4143" t="s">
        <v>82679</v>
      </c>
      <c r="S4143" t="s">
        <v>82680</v>
      </c>
      <c r="T4143" t="s">
        <v>82681</v>
      </c>
      <c r="U4143" t="s">
        <v>82682</v>
      </c>
      <c r="V4143">
        <f>-749.632941759346 -77.8608687751127 -232.7346156782</f>
        <v>-1060.2284262126586</v>
      </c>
      <c r="W4143" t="s">
        <v>82683</v>
      </c>
      <c r="X4143" t="s">
        <v>82684</v>
      </c>
      <c r="Y4143" t="s">
        <v>82685</v>
      </c>
    </row>
    <row r="4144" spans="1:25" x14ac:dyDescent="0.3">
      <c r="A4144">
        <v>207150</v>
      </c>
      <c r="B4144" t="s">
        <v>82686</v>
      </c>
      <c r="C4144" t="s">
        <v>82687</v>
      </c>
      <c r="D4144" t="s">
        <v>82688</v>
      </c>
      <c r="E4144" t="s">
        <v>82689</v>
      </c>
      <c r="F4144" t="s">
        <v>82690</v>
      </c>
      <c r="G4144">
        <f>-769.646722449789 -1.8776190164665 -689.28736218148</f>
        <v>-1460.8117036477356</v>
      </c>
      <c r="H4144">
        <f>-755.611886279151 -23.9106221786417 -839.34592928766</f>
        <v>-1618.8684377454529</v>
      </c>
      <c r="I4144">
        <f>-713.515720167564 -38.6456121627791 -930.963464449458</f>
        <v>-1683.1247967798013</v>
      </c>
      <c r="J4144" t="s">
        <v>82691</v>
      </c>
      <c r="K4144" t="s">
        <v>82692</v>
      </c>
      <c r="L4144" t="s">
        <v>82693</v>
      </c>
      <c r="M4144" t="s">
        <v>82694</v>
      </c>
      <c r="N4144">
        <f>-768.313543239217 -45.0371647854979 -769.023379381088</f>
        <v>-1582.374087405803</v>
      </c>
      <c r="O4144">
        <f>-806.371107590616 -178.969164950262 -721.732048505544</f>
        <v>-1707.0723210464221</v>
      </c>
      <c r="P4144">
        <f>-771.266359323402 -170.840397379419 -407.267891170223</f>
        <v>-1349.3746478730438</v>
      </c>
      <c r="Q4144">
        <f>-545.40690949021 -42.0194977220403 -401.375605505444</f>
        <v>-988.80201271769431</v>
      </c>
      <c r="R4144" t="s">
        <v>82695</v>
      </c>
      <c r="S4144" t="s">
        <v>82696</v>
      </c>
      <c r="T4144" t="s">
        <v>82697</v>
      </c>
      <c r="U4144" t="s">
        <v>82698</v>
      </c>
      <c r="V4144">
        <f>-750.961235507674 -79.0277783683262 -234.111715857592</f>
        <v>-1064.1007297335923</v>
      </c>
      <c r="W4144" t="s">
        <v>82699</v>
      </c>
      <c r="X4144" t="s">
        <v>82700</v>
      </c>
      <c r="Y4144" t="s">
        <v>82701</v>
      </c>
    </row>
    <row r="4145" spans="1:25" x14ac:dyDescent="0.3">
      <c r="A4145">
        <v>207200</v>
      </c>
      <c r="B4145" t="s">
        <v>82702</v>
      </c>
      <c r="C4145" t="s">
        <v>82703</v>
      </c>
      <c r="D4145" t="s">
        <v>82704</v>
      </c>
      <c r="E4145" t="s">
        <v>82705</v>
      </c>
      <c r="F4145" t="s">
        <v>82706</v>
      </c>
      <c r="G4145">
        <f>-769.918518594069 -1.90353810506895 -689.980262596919</f>
        <v>-1461.802319296057</v>
      </c>
      <c r="H4145">
        <f>-755.511326542309 -23.6882686324284 -840.039818811733</f>
        <v>-1619.2394139864705</v>
      </c>
      <c r="I4145">
        <f>-713.348647605647 -38.3097265154579 -931.644977759826</f>
        <v>-1683.3033518809309</v>
      </c>
      <c r="J4145" t="s">
        <v>82707</v>
      </c>
      <c r="K4145" t="s">
        <v>82708</v>
      </c>
      <c r="L4145" t="s">
        <v>82709</v>
      </c>
      <c r="M4145" t="s">
        <v>82710</v>
      </c>
      <c r="N4145">
        <f>-768.379560490223 -44.9326124226423 -769.783103012505</f>
        <v>-1583.0952759253701</v>
      </c>
      <c r="O4145">
        <f>-806.458137793381 -178.961603652836 -722.76638790073</f>
        <v>-1708.1861293469469</v>
      </c>
      <c r="P4145">
        <f>-772.140170467172 -171.078063102014 -408.209127551068</f>
        <v>-1351.4273611202539</v>
      </c>
      <c r="Q4145">
        <f>-547.098464665655 -40.8766127328929 -401.437622943089</f>
        <v>-989.41270034163699</v>
      </c>
      <c r="R4145" t="s">
        <v>82711</v>
      </c>
      <c r="S4145" t="s">
        <v>82712</v>
      </c>
      <c r="T4145" t="s">
        <v>82713</v>
      </c>
      <c r="U4145" t="s">
        <v>82714</v>
      </c>
      <c r="V4145">
        <f>-751.519340929168 -79.6793838177919 -234.859610554238</f>
        <v>-1066.058335301198</v>
      </c>
      <c r="W4145" t="s">
        <v>82715</v>
      </c>
      <c r="X4145" t="s">
        <v>82716</v>
      </c>
      <c r="Y4145" t="s">
        <v>82717</v>
      </c>
    </row>
    <row r="4146" spans="1:25" x14ac:dyDescent="0.3">
      <c r="A4146">
        <v>207250</v>
      </c>
      <c r="B4146" t="s">
        <v>82718</v>
      </c>
      <c r="C4146" t="s">
        <v>82719</v>
      </c>
      <c r="D4146" t="s">
        <v>82720</v>
      </c>
      <c r="E4146" t="s">
        <v>82721</v>
      </c>
      <c r="F4146" t="s">
        <v>82722</v>
      </c>
      <c r="G4146">
        <f>-770.354375136995 -0.990562847533738 -691.056405569881</f>
        <v>-1462.4013435544098</v>
      </c>
      <c r="H4146">
        <f>-755.460908322478 -22.0549815043457 -841.171308629084</f>
        <v>-1618.6871984559077</v>
      </c>
      <c r="I4146">
        <f>-713.389258595543 -36.4358814511581 -932.856255652178</f>
        <v>-1682.681395698879</v>
      </c>
      <c r="J4146" t="s">
        <v>82723</v>
      </c>
      <c r="K4146" t="s">
        <v>82724</v>
      </c>
      <c r="L4146" t="s">
        <v>82725</v>
      </c>
      <c r="M4146" t="s">
        <v>82726</v>
      </c>
      <c r="N4146">
        <f>-768.561396521547 -43.6352671008153 -771.060044064461</f>
        <v>-1583.2567076868231</v>
      </c>
      <c r="O4146">
        <f>-806.765564135312 -177.871633851762 -724.722368852604</f>
        <v>-1709.3595668396779</v>
      </c>
      <c r="P4146">
        <f>-773.735763700005 -171.113860966502 -410.000856236214</f>
        <v>-1354.8504809027211</v>
      </c>
      <c r="Q4146">
        <f>-549.849914725146 -38.999846652468 -402.059415013931</f>
        <v>-990.90917639154509</v>
      </c>
      <c r="R4146" t="s">
        <v>82727</v>
      </c>
      <c r="S4146" t="s">
        <v>82728</v>
      </c>
      <c r="T4146" t="s">
        <v>82729</v>
      </c>
      <c r="U4146" t="s">
        <v>82730</v>
      </c>
      <c r="V4146">
        <f>-752.694466480182 -80.1639899769839 -235.819966800417</f>
        <v>-1068.6784232575828</v>
      </c>
      <c r="W4146" t="s">
        <v>82731</v>
      </c>
      <c r="X4146" t="s">
        <v>82732</v>
      </c>
      <c r="Y4146" t="s">
        <v>82733</v>
      </c>
    </row>
    <row r="4147" spans="1:25" x14ac:dyDescent="0.3">
      <c r="A4147">
        <v>207300</v>
      </c>
      <c r="B4147" t="s">
        <v>82734</v>
      </c>
      <c r="C4147" t="s">
        <v>82735</v>
      </c>
      <c r="D4147" t="s">
        <v>82736</v>
      </c>
      <c r="E4147" t="s">
        <v>82737</v>
      </c>
      <c r="F4147" t="s">
        <v>82738</v>
      </c>
      <c r="G4147">
        <f>-770.357972684775 -0.0426621537912979 -691.389882534639</f>
        <v>-1461.7905173732051</v>
      </c>
      <c r="H4147">
        <f>-755.270837791214 -20.6474927566455 -841.549163525194</f>
        <v>-1617.4674940730536</v>
      </c>
      <c r="I4147">
        <f>-713.276767139142 -34.9427860467677 -933.283095141002</f>
        <v>-1681.5026483269116</v>
      </c>
      <c r="J4147" t="s">
        <v>82739</v>
      </c>
      <c r="K4147" t="s">
        <v>82740</v>
      </c>
      <c r="L4147" t="s">
        <v>82741</v>
      </c>
      <c r="M4147" t="s">
        <v>82742</v>
      </c>
      <c r="N4147">
        <f>-768.494405430551 -42.4357835676328 -771.525287871567</f>
        <v>-1582.4554768697508</v>
      </c>
      <c r="O4147">
        <f>-807.022313913648 -176.736591705827 -725.632784359736</f>
        <v>-1709.3916899792109</v>
      </c>
      <c r="P4147">
        <f>-774.244906308829 -171.101291276642 -410.862954548549</f>
        <v>-1356.2091521340199</v>
      </c>
      <c r="Q4147">
        <f>-550.551567840561 -38.7047678410686 -402.226594589708</f>
        <v>-991.48293027133764</v>
      </c>
      <c r="R4147" t="s">
        <v>82743</v>
      </c>
      <c r="S4147" t="s">
        <v>82744</v>
      </c>
      <c r="T4147" t="s">
        <v>82745</v>
      </c>
      <c r="U4147" t="s">
        <v>82746</v>
      </c>
      <c r="V4147">
        <f>-753.121383621645 -80.1137993757682 -236.085580649962</f>
        <v>-1069.3207636473751</v>
      </c>
      <c r="W4147" t="s">
        <v>82747</v>
      </c>
      <c r="X4147" t="s">
        <v>82748</v>
      </c>
      <c r="Y4147" t="s">
        <v>82749</v>
      </c>
    </row>
    <row r="4148" spans="1:25" x14ac:dyDescent="0.3">
      <c r="A4148">
        <v>207350</v>
      </c>
      <c r="B4148" t="s">
        <v>82750</v>
      </c>
      <c r="C4148" t="s">
        <v>82751</v>
      </c>
      <c r="D4148" t="s">
        <v>82752</v>
      </c>
      <c r="E4148" t="s">
        <v>82753</v>
      </c>
      <c r="F4148" t="s">
        <v>82754</v>
      </c>
      <c r="G4148" t="s">
        <v>82755</v>
      </c>
      <c r="H4148">
        <f>-754.289374690238 -18.2191588485159 -841.928887540786</f>
        <v>-1614.4374210795399</v>
      </c>
      <c r="I4148">
        <f>-712.43018433974 -32.571262426522 -933.715488377529</f>
        <v>-1678.716935143791</v>
      </c>
      <c r="J4148" t="s">
        <v>82756</v>
      </c>
      <c r="K4148" t="s">
        <v>82757</v>
      </c>
      <c r="L4148" t="s">
        <v>82758</v>
      </c>
      <c r="M4148" t="s">
        <v>82759</v>
      </c>
      <c r="N4148">
        <f>-767.833822372903 -40.3542594430421 -772.075447034486</f>
        <v>-1580.2635288504312</v>
      </c>
      <c r="O4148">
        <f>-807.130335541363 -174.663951136745 -726.945648714057</f>
        <v>-1708.7399353921651</v>
      </c>
      <c r="P4148">
        <f>-774.708270694112 -171.014491947936 -412.109669790617</f>
        <v>-1357.832432432665</v>
      </c>
      <c r="Q4148">
        <f>-550.414220116909 -39.6989986579047 -402.599934917951</f>
        <v>-992.71315369276454</v>
      </c>
      <c r="R4148" t="s">
        <v>82760</v>
      </c>
      <c r="S4148" t="s">
        <v>82761</v>
      </c>
      <c r="T4148" t="s">
        <v>82762</v>
      </c>
      <c r="U4148" t="s">
        <v>82763</v>
      </c>
      <c r="V4148">
        <f>-753.915301705257 -80.1113718896643 -236.348811784018</f>
        <v>-1070.3754853789392</v>
      </c>
      <c r="W4148" t="s">
        <v>82764</v>
      </c>
      <c r="X4148" t="s">
        <v>82765</v>
      </c>
      <c r="Y4148" t="s">
        <v>82766</v>
      </c>
    </row>
    <row r="4149" spans="1:25" x14ac:dyDescent="0.3">
      <c r="A4149">
        <v>207400</v>
      </c>
      <c r="B4149" t="s">
        <v>82767</v>
      </c>
      <c r="C4149" t="s">
        <v>82768</v>
      </c>
      <c r="D4149" t="s">
        <v>82769</v>
      </c>
      <c r="E4149" t="s">
        <v>82770</v>
      </c>
      <c r="F4149" t="s">
        <v>82771</v>
      </c>
      <c r="G4149" t="s">
        <v>82772</v>
      </c>
      <c r="H4149">
        <f>-753.790042681844 -17.8133988468021 -841.966748515288</f>
        <v>-1613.5701900439342</v>
      </c>
      <c r="I4149">
        <f>-711.995014605154 -32.3189810439483 -933.758479096927</f>
        <v>-1678.0724747460292</v>
      </c>
      <c r="J4149" t="s">
        <v>82773</v>
      </c>
      <c r="K4149" t="s">
        <v>82774</v>
      </c>
      <c r="L4149" t="s">
        <v>82775</v>
      </c>
      <c r="M4149" t="s">
        <v>82776</v>
      </c>
      <c r="N4149">
        <f>-767.456937138909 -40.0143170281397 -772.158005662496</f>
        <v>-1579.6292598295445</v>
      </c>
      <c r="O4149">
        <f>-807.029769185915 -174.31151379185 -727.238416646979</f>
        <v>-1708.5796996247441</v>
      </c>
      <c r="P4149">
        <f>-774.79299779588 -171.544750159156 -412.374414565001</f>
        <v>-1358.7121625200371</v>
      </c>
      <c r="Q4149">
        <f>-550.025779790317 -41.0637939930973 -402.553310465743</f>
        <v>-993.64288424915731</v>
      </c>
      <c r="R4149" t="s">
        <v>82777</v>
      </c>
      <c r="S4149" t="s">
        <v>82778</v>
      </c>
      <c r="T4149" t="s">
        <v>82779</v>
      </c>
      <c r="U4149" t="s">
        <v>82780</v>
      </c>
      <c r="V4149">
        <f>-754.121644506617 -80.2573299737887 -236.371760496123</f>
        <v>-1070.7507349765287</v>
      </c>
      <c r="W4149" t="s">
        <v>82781</v>
      </c>
      <c r="X4149" t="s">
        <v>82782</v>
      </c>
      <c r="Y4149" t="s">
        <v>82783</v>
      </c>
    </row>
    <row r="4150" spans="1:25" x14ac:dyDescent="0.3">
      <c r="A4150">
        <v>207450</v>
      </c>
      <c r="B4150" t="s">
        <v>82784</v>
      </c>
      <c r="C4150" t="s">
        <v>82785</v>
      </c>
      <c r="D4150" t="s">
        <v>82786</v>
      </c>
      <c r="E4150" t="s">
        <v>82787</v>
      </c>
      <c r="F4150" t="s">
        <v>82788</v>
      </c>
      <c r="G4150" t="s">
        <v>82789</v>
      </c>
      <c r="H4150">
        <f>-752.880366773057 -18.7013604080848 -841.852966050454</f>
        <v>-1613.4346932315957</v>
      </c>
      <c r="I4150">
        <f>-711.239402252486 -33.7895730391642 -933.620935815919</f>
        <v>-1678.6499111075691</v>
      </c>
      <c r="J4150" t="s">
        <v>82790</v>
      </c>
      <c r="K4150" t="s">
        <v>82791</v>
      </c>
      <c r="L4150" t="s">
        <v>82792</v>
      </c>
      <c r="M4150" t="s">
        <v>82793</v>
      </c>
      <c r="N4150">
        <f>-766.649487748685 -40.7913694906547 -772.029185671065</f>
        <v>-1579.4700429104046</v>
      </c>
      <c r="O4150">
        <f>-806.450954667158 -175.036405284443 -727.08992974794</f>
        <v>-1708.5772896995411</v>
      </c>
      <c r="P4150">
        <f>-774.59981645115 -172.507690881378 -412.184770952707</f>
        <v>-1359.2922782852352</v>
      </c>
      <c r="Q4150">
        <f>-548.971581925181 -43.5620004630564 -401.842990632206</f>
        <v>-994.3765730204434</v>
      </c>
      <c r="R4150" t="s">
        <v>82794</v>
      </c>
      <c r="S4150" t="s">
        <v>82795</v>
      </c>
      <c r="T4150" t="s">
        <v>82796</v>
      </c>
      <c r="U4150" t="s">
        <v>82797</v>
      </c>
      <c r="V4150">
        <f>-754.381823270452 -80.6961469703872 -236.329231018689</f>
        <v>-1071.4072012595282</v>
      </c>
      <c r="W4150" t="s">
        <v>82798</v>
      </c>
      <c r="X4150" t="s">
        <v>82799</v>
      </c>
      <c r="Y4150" t="s">
        <v>82800</v>
      </c>
    </row>
    <row r="4151" spans="1:25" x14ac:dyDescent="0.3">
      <c r="A4151">
        <v>207500</v>
      </c>
      <c r="B4151" t="s">
        <v>82801</v>
      </c>
      <c r="C4151" t="s">
        <v>82802</v>
      </c>
      <c r="D4151" t="s">
        <v>82803</v>
      </c>
      <c r="E4151" t="s">
        <v>82804</v>
      </c>
      <c r="F4151" t="s">
        <v>82805</v>
      </c>
      <c r="G4151" t="s">
        <v>82806</v>
      </c>
      <c r="H4151">
        <f>-752.26855214235 -19.4273208897835 -841.732730378024</f>
        <v>-1613.4286034101574</v>
      </c>
      <c r="I4151">
        <f>-710.701148474916 -34.7969397548807 -933.487472382031</f>
        <v>-1678.9855606118276</v>
      </c>
      <c r="J4151" t="s">
        <v>82807</v>
      </c>
      <c r="K4151" t="s">
        <v>82808</v>
      </c>
      <c r="L4151" t="s">
        <v>82809</v>
      </c>
      <c r="M4151" t="s">
        <v>82810</v>
      </c>
      <c r="N4151">
        <f>-766.05103251642 -41.4261150274672 -771.882852641939</f>
        <v>-1579.3600001858263</v>
      </c>
      <c r="O4151">
        <f>-805.797419211885 -175.648503948324 -726.800067733528</f>
        <v>-1708.2459908937369</v>
      </c>
      <c r="P4151">
        <f>-774.29443755 -172.660813404642 -411.863891540399</f>
        <v>-1358.819142495041</v>
      </c>
      <c r="Q4151">
        <f>-548.411940839173 -44.1797288114963 -401.292274580898</f>
        <v>-993.88394423156728</v>
      </c>
      <c r="R4151" t="s">
        <v>82811</v>
      </c>
      <c r="S4151" t="s">
        <v>82812</v>
      </c>
      <c r="T4151" t="s">
        <v>82813</v>
      </c>
      <c r="U4151" t="s">
        <v>82814</v>
      </c>
      <c r="V4151">
        <f>-754.367076123939 -80.8325340920212 -236.267525491405</f>
        <v>-1071.4671357073653</v>
      </c>
      <c r="W4151" t="s">
        <v>82815</v>
      </c>
      <c r="X4151" t="s">
        <v>82816</v>
      </c>
      <c r="Y4151" t="s">
        <v>82817</v>
      </c>
    </row>
    <row r="4152" spans="1:25" x14ac:dyDescent="0.3">
      <c r="A4152">
        <v>207550</v>
      </c>
      <c r="B4152" t="s">
        <v>82818</v>
      </c>
      <c r="C4152" t="s">
        <v>82819</v>
      </c>
      <c r="D4152" t="s">
        <v>82820</v>
      </c>
      <c r="E4152" t="s">
        <v>82821</v>
      </c>
      <c r="F4152" t="s">
        <v>82822</v>
      </c>
      <c r="G4152">
        <f>-767.050829142522 -0.185377632291193 -691.291318009495</f>
        <v>-1458.5275247843083</v>
      </c>
      <c r="H4152">
        <f>-751.013337305327 -20.6924965194933 -841.365477200755</f>
        <v>-1613.0713110255751</v>
      </c>
      <c r="I4152">
        <f>-709.527248294245 -36.5710292344927 -933.070254710174</f>
        <v>-1679.1685322389117</v>
      </c>
      <c r="J4152" t="s">
        <v>82823</v>
      </c>
      <c r="K4152" t="s">
        <v>82824</v>
      </c>
      <c r="L4152" t="s">
        <v>82825</v>
      </c>
      <c r="M4152" t="s">
        <v>82826</v>
      </c>
      <c r="N4152">
        <f>-764.73005786363 -42.5163607887412 -771.447759373841</f>
        <v>-1578.6941780262123</v>
      </c>
      <c r="O4152">
        <f>-804.067240398822 -176.75911562473 -726.035935564153</f>
        <v>-1706.8622915877049</v>
      </c>
      <c r="P4152">
        <f>-772.862021731499 -173.079741692378 -411.077405557904</f>
        <v>-1357.0191689817809</v>
      </c>
      <c r="Q4152">
        <f>-547.122432185498 -44.3459370494729 -400.528834949249</f>
        <v>-991.99720418421998</v>
      </c>
      <c r="R4152" t="s">
        <v>82827</v>
      </c>
      <c r="S4152" t="s">
        <v>82828</v>
      </c>
      <c r="T4152" t="s">
        <v>82829</v>
      </c>
      <c r="U4152" t="s">
        <v>82830</v>
      </c>
      <c r="V4152">
        <f>-753.537238674175 -80.6896843117927 -235.906341652938</f>
        <v>-1070.1332646389058</v>
      </c>
      <c r="W4152" t="s">
        <v>82831</v>
      </c>
      <c r="X4152" t="s">
        <v>82832</v>
      </c>
      <c r="Y4152" t="s">
        <v>82833</v>
      </c>
    </row>
    <row r="4153" spans="1:25" x14ac:dyDescent="0.3">
      <c r="A4153">
        <v>207600</v>
      </c>
      <c r="B4153" t="s">
        <v>82834</v>
      </c>
      <c r="C4153" t="s">
        <v>82835</v>
      </c>
      <c r="D4153" t="s">
        <v>82836</v>
      </c>
      <c r="E4153" t="s">
        <v>82837</v>
      </c>
      <c r="F4153" t="s">
        <v>82838</v>
      </c>
      <c r="G4153">
        <f>-766.284346359037 -0.405315805651753 -691.031470613873</f>
        <v>-1457.7211327785617</v>
      </c>
      <c r="H4153">
        <f>-750.196817149654 -21.0736254739925 -841.078273893625</f>
        <v>-1612.3487165172714</v>
      </c>
      <c r="I4153">
        <f>-708.726431199653 -37.136080043517 -932.758097232035</f>
        <v>-1678.620608475205</v>
      </c>
      <c r="J4153" t="s">
        <v>82839</v>
      </c>
      <c r="K4153" t="s">
        <v>82840</v>
      </c>
      <c r="L4153" t="s">
        <v>82841</v>
      </c>
      <c r="M4153" t="s">
        <v>82842</v>
      </c>
      <c r="N4153">
        <f>-763.841787699293 -42.8411207886352 -771.129006744302</f>
        <v>-1577.8119152322301</v>
      </c>
      <c r="O4153">
        <f>-802.857566544268 -177.126962499213 -725.58868611513</f>
        <v>-1705.573215158611</v>
      </c>
      <c r="P4153">
        <f>-771.564255501988 -172.747406129774 -410.647761468457</f>
        <v>-1354.9594231002191</v>
      </c>
      <c r="Q4153">
        <f>-545.927095860353 -43.833270846229 -400.111010278134</f>
        <v>-989.87137698471599</v>
      </c>
      <c r="R4153" t="s">
        <v>82843</v>
      </c>
      <c r="S4153" t="s">
        <v>82844</v>
      </c>
      <c r="T4153" t="s">
        <v>82845</v>
      </c>
      <c r="U4153" t="s">
        <v>82846</v>
      </c>
      <c r="V4153">
        <f>-752.804391827738 -80.4100155823687 -235.538388811035</f>
        <v>-1068.7527962211416</v>
      </c>
      <c r="W4153" t="s">
        <v>82847</v>
      </c>
      <c r="X4153" t="s">
        <v>82848</v>
      </c>
      <c r="Y4153" t="s">
        <v>82849</v>
      </c>
    </row>
    <row r="4154" spans="1:25" x14ac:dyDescent="0.3">
      <c r="A4154">
        <v>207650</v>
      </c>
      <c r="B4154" t="s">
        <v>82850</v>
      </c>
      <c r="C4154" t="s">
        <v>82851</v>
      </c>
      <c r="D4154" t="s">
        <v>82852</v>
      </c>
      <c r="E4154" t="s">
        <v>82853</v>
      </c>
      <c r="F4154" t="s">
        <v>82854</v>
      </c>
      <c r="G4154">
        <f>-764.595258563054 -0.989132083927188 -690.068244723509</f>
        <v>-1455.6526353704903</v>
      </c>
      <c r="H4154">
        <f>-748.628872430122 -22.3465280578992 -840.031436093587</f>
        <v>-1611.0068365816082</v>
      </c>
      <c r="I4154">
        <f>-707.251769064622 -38.7904316200224 -931.685736692999</f>
        <v>-1677.7279373776432</v>
      </c>
      <c r="J4154" t="s">
        <v>82855</v>
      </c>
      <c r="K4154" t="s">
        <v>82856</v>
      </c>
      <c r="L4154" t="s">
        <v>82857</v>
      </c>
      <c r="M4154" t="s">
        <v>82858</v>
      </c>
      <c r="N4154">
        <f>-762.002610773352 -43.8336091485814 -769.943199746666</f>
        <v>-1575.7794196685995</v>
      </c>
      <c r="O4154">
        <f>-800.1669311926 -178.184010796814 -723.93842070199</f>
        <v>-1702.289362691404</v>
      </c>
      <c r="P4154">
        <f>-768.836614991103 -172.146668231837 -409.028751745964</f>
        <v>-1350.0120349689041</v>
      </c>
      <c r="Q4154">
        <f>-543.494308747188 -42.7302763778055 -398.337444773421</f>
        <v>-984.56202989841449</v>
      </c>
      <c r="R4154" t="s">
        <v>82859</v>
      </c>
      <c r="S4154" t="s">
        <v>82860</v>
      </c>
      <c r="T4154" t="s">
        <v>82861</v>
      </c>
      <c r="U4154" t="s">
        <v>82862</v>
      </c>
      <c r="V4154">
        <f>-750.704468534006 -79.3221922677753 -234.404291797555</f>
        <v>-1064.4309525993363</v>
      </c>
      <c r="W4154" t="s">
        <v>82863</v>
      </c>
      <c r="X4154" t="s">
        <v>82864</v>
      </c>
      <c r="Y4154" t="s">
        <v>82865</v>
      </c>
    </row>
    <row r="4155" spans="1:25" x14ac:dyDescent="0.3">
      <c r="A4155">
        <v>207700</v>
      </c>
      <c r="B4155" t="s">
        <v>82866</v>
      </c>
      <c r="C4155" t="s">
        <v>82867</v>
      </c>
      <c r="D4155" t="s">
        <v>82868</v>
      </c>
      <c r="E4155" t="s">
        <v>82869</v>
      </c>
      <c r="F4155" t="s">
        <v>82870</v>
      </c>
      <c r="G4155">
        <f>-763.61245544489 -1.48052956443053 -689.513284227887</f>
        <v>-1454.6062692372075</v>
      </c>
      <c r="H4155">
        <f>-747.804777341296 -23.4164356362126 -839.409645310933</f>
        <v>-1610.6308582884417</v>
      </c>
      <c r="I4155">
        <f>-706.513982212163 -40.0836454360549 -931.062565195952</f>
        <v>-1677.6601928441698</v>
      </c>
      <c r="J4155" t="s">
        <v>82871</v>
      </c>
      <c r="K4155" t="s">
        <v>82872</v>
      </c>
      <c r="L4155" t="s">
        <v>82873</v>
      </c>
      <c r="M4155" t="s">
        <v>82874</v>
      </c>
      <c r="N4155">
        <f>-761.022022059158 -44.6481654493216 -769.213984297231</f>
        <v>-1574.8841718057106</v>
      </c>
      <c r="O4155">
        <f>-798.918291708864 -178.964500121238 -722.90380932735</f>
        <v>-1700.786601157452</v>
      </c>
      <c r="P4155">
        <f>-767.457413621705 -172.100080026935 -408.023902741873</f>
        <v>-1347.581396390513</v>
      </c>
      <c r="Q4155">
        <f>-542.158442772797 -42.5946045231817 -397.49868954084</f>
        <v>-982.25173683681874</v>
      </c>
      <c r="R4155" t="s">
        <v>82875</v>
      </c>
      <c r="S4155" t="s">
        <v>82876</v>
      </c>
      <c r="T4155" t="s">
        <v>82877</v>
      </c>
      <c r="U4155" t="s">
        <v>82878</v>
      </c>
      <c r="V4155">
        <f>-749.495882770909 -78.6511426346665 -233.822186584245</f>
        <v>-1061.9692119898205</v>
      </c>
      <c r="W4155" t="s">
        <v>82879</v>
      </c>
      <c r="X4155" t="s">
        <v>82880</v>
      </c>
      <c r="Y4155" t="s">
        <v>82881</v>
      </c>
    </row>
    <row r="4156" spans="1:25" x14ac:dyDescent="0.3">
      <c r="A4156">
        <v>207750</v>
      </c>
      <c r="B4156" t="s">
        <v>82882</v>
      </c>
      <c r="C4156" t="s">
        <v>82883</v>
      </c>
      <c r="D4156" t="s">
        <v>82884</v>
      </c>
      <c r="E4156" t="s">
        <v>82885</v>
      </c>
      <c r="F4156" t="s">
        <v>82886</v>
      </c>
      <c r="G4156">
        <f>-760.714150727717 -3.37678091718703 -688.584463807844</f>
        <v>-1452.675395452748</v>
      </c>
      <c r="H4156">
        <f>-745.289891869421 -26.7254335885195 -838.307336779515</f>
        <v>-1610.3226622374555</v>
      </c>
      <c r="I4156">
        <f>-704.167423096143 -43.8868971066904 -929.944752723967</f>
        <v>-1677.9990729268004</v>
      </c>
      <c r="J4156" t="s">
        <v>82887</v>
      </c>
      <c r="K4156" t="s">
        <v>82888</v>
      </c>
      <c r="L4156" t="s">
        <v>82889</v>
      </c>
      <c r="M4156" t="s">
        <v>82890</v>
      </c>
      <c r="N4156">
        <f>-758.282356471208 -47.3023241600158 -767.875025979907</f>
        <v>-1573.459706611131</v>
      </c>
      <c r="O4156">
        <f>-795.982306769556 -181.386476787848 -720.719422872615</f>
        <v>-1698.088206430019</v>
      </c>
      <c r="P4156">
        <f>-763.099540558506 -173.000312002159 -406.021895393897</f>
        <v>-1342.1217479545621</v>
      </c>
      <c r="Q4156">
        <f>-537.861872208132 -43.29993566792 -396.647800984897</f>
        <v>-977.80960886094897</v>
      </c>
      <c r="R4156" t="s">
        <v>82891</v>
      </c>
      <c r="S4156" t="s">
        <v>82892</v>
      </c>
      <c r="T4156" t="s">
        <v>82893</v>
      </c>
      <c r="U4156" t="s">
        <v>82894</v>
      </c>
      <c r="V4156">
        <f>-746.849895464656 -77.7000682648013 -232.996578114243</f>
        <v>-1057.5465418437002</v>
      </c>
      <c r="W4156" t="s">
        <v>82895</v>
      </c>
      <c r="X4156" t="s">
        <v>82896</v>
      </c>
      <c r="Y4156" t="s">
        <v>82897</v>
      </c>
    </row>
    <row r="4157" spans="1:25" x14ac:dyDescent="0.3">
      <c r="A4157">
        <v>207800</v>
      </c>
      <c r="B4157" t="s">
        <v>82898</v>
      </c>
      <c r="C4157" t="s">
        <v>82899</v>
      </c>
      <c r="D4157" t="s">
        <v>82900</v>
      </c>
      <c r="E4157" t="s">
        <v>82901</v>
      </c>
      <c r="F4157" t="s">
        <v>82902</v>
      </c>
      <c r="G4157">
        <f>-759.196656739465 -4.61206819422205 -688.305423077719</f>
        <v>-1452.1141480114061</v>
      </c>
      <c r="H4157">
        <f>-743.945910993174 -28.7903827874486 -837.914375302364</f>
        <v>-1610.6506690829865</v>
      </c>
      <c r="I4157">
        <f>-702.91680340704 -46.2328947726999 -929.540568331987</f>
        <v>-1678.6902665117268</v>
      </c>
      <c r="J4157" t="s">
        <v>82903</v>
      </c>
      <c r="K4157" t="s">
        <v>82904</v>
      </c>
      <c r="L4157" t="s">
        <v>82905</v>
      </c>
      <c r="M4157" t="s">
        <v>82906</v>
      </c>
      <c r="N4157">
        <f>-756.88166471047 -48.9718871304474 -767.357344198361</f>
        <v>-1573.2108960392784</v>
      </c>
      <c r="O4157">
        <f>-794.638748504103 -182.84535218424 -719.63918928773</f>
        <v>-1697.123289976073</v>
      </c>
      <c r="P4157">
        <f>-761.012646924033 -173.667769313526 -405.042181934527</f>
        <v>-1339.722598172086</v>
      </c>
      <c r="Q4157">
        <f>-535.787246697657 -43.855738895116 -397.016698759735</f>
        <v>-976.65968435250807</v>
      </c>
      <c r="R4157" t="s">
        <v>82907</v>
      </c>
      <c r="S4157" t="s">
        <v>82908</v>
      </c>
      <c r="T4157" t="s">
        <v>82909</v>
      </c>
      <c r="U4157" t="s">
        <v>82910</v>
      </c>
      <c r="V4157">
        <f>-745.43647299498 -77.3444941239613 -232.763000521516</f>
        <v>-1055.5439676404574</v>
      </c>
      <c r="W4157" t="s">
        <v>82911</v>
      </c>
      <c r="X4157" t="s">
        <v>82912</v>
      </c>
      <c r="Y4157" t="s">
        <v>82913</v>
      </c>
    </row>
    <row r="4158" spans="1:25" x14ac:dyDescent="0.3">
      <c r="A4158">
        <v>207850</v>
      </c>
      <c r="B4158" t="s">
        <v>82914</v>
      </c>
      <c r="C4158" t="s">
        <v>82915</v>
      </c>
      <c r="D4158" t="s">
        <v>82916</v>
      </c>
      <c r="E4158" t="s">
        <v>82917</v>
      </c>
      <c r="F4158" t="s">
        <v>82918</v>
      </c>
      <c r="G4158">
        <f>-757.133397907307 -6.48009494790517 -688.1768679105</f>
        <v>-1451.7903607657122</v>
      </c>
      <c r="H4158">
        <f>-742.321920967854 -32.0339169727222 -837.601148555711</f>
        <v>-1611.9569864962873</v>
      </c>
      <c r="I4158">
        <f>-701.611023771665 -49.9338465979772 -929.281052632728</f>
        <v>-1680.8259230023702</v>
      </c>
      <c r="J4158" t="s">
        <v>82919</v>
      </c>
      <c r="K4158" t="s">
        <v>82920</v>
      </c>
      <c r="L4158" t="s">
        <v>82921</v>
      </c>
      <c r="M4158" t="s">
        <v>82922</v>
      </c>
      <c r="N4158">
        <f>-755.04272524808 -51.5667255164435 -766.822857733193</f>
        <v>-1573.4323084977166</v>
      </c>
      <c r="O4158">
        <f>-792.785209324419 -185.054832395743 -717.931662435213</f>
        <v>-1695.7717041553751</v>
      </c>
      <c r="P4158">
        <f>-757.411522447135 -174.682705613667 -403.563557111505</f>
        <v>-1335.6577851723068</v>
      </c>
      <c r="Q4158">
        <f>-531.840022381673 -45.37518961722 -397.311799459515</f>
        <v>-974.52701145840797</v>
      </c>
      <c r="R4158" t="s">
        <v>82923</v>
      </c>
      <c r="S4158" t="s">
        <v>82924</v>
      </c>
      <c r="T4158" t="s">
        <v>82925</v>
      </c>
      <c r="U4158" t="s">
        <v>82926</v>
      </c>
      <c r="V4158">
        <f>-743.200099006051 -76.3690553142553 -232.575388238437</f>
        <v>-1052.1445425587433</v>
      </c>
      <c r="W4158" t="s">
        <v>82927</v>
      </c>
      <c r="X4158" t="s">
        <v>82928</v>
      </c>
      <c r="Y4158" t="s">
        <v>82929</v>
      </c>
    </row>
    <row r="4159" spans="1:25" x14ac:dyDescent="0.3">
      <c r="A4159">
        <v>207900</v>
      </c>
      <c r="B4159" t="s">
        <v>82930</v>
      </c>
      <c r="C4159" t="s">
        <v>82931</v>
      </c>
      <c r="D4159" t="s">
        <v>82932</v>
      </c>
      <c r="E4159" t="s">
        <v>82933</v>
      </c>
      <c r="F4159" t="s">
        <v>82934</v>
      </c>
      <c r="G4159">
        <f>-756.204001718583 -6.93301513466031 -688.185090970835</f>
        <v>-1451.3221078240781</v>
      </c>
      <c r="H4159">
        <f>-741.552885897157 -32.8442660085723 -837.563642016518</f>
        <v>-1611.9607939222474</v>
      </c>
      <c r="I4159">
        <f>-700.960022744959 -50.880664553003 -929.269201278162</f>
        <v>-1681.1098885761239</v>
      </c>
      <c r="J4159" t="s">
        <v>82935</v>
      </c>
      <c r="K4159" t="s">
        <v>82936</v>
      </c>
      <c r="L4159" t="s">
        <v>82937</v>
      </c>
      <c r="M4159" t="s">
        <v>82938</v>
      </c>
      <c r="N4159">
        <f>-754.147052803566 -52.2166185562171 -766.718674070991</f>
        <v>-1573.0823454307742</v>
      </c>
      <c r="O4159">
        <f>-791.805989475146 -185.59503153408 -717.478628454467</f>
        <v>-1694.8796494636931</v>
      </c>
      <c r="P4159">
        <f>-756.102139971038 -174.274377521395 -403.180648009659</f>
        <v>-1333.5571655020919</v>
      </c>
      <c r="Q4159">
        <f>-530.516259394785 -44.9810398998325 -397.156303678577</f>
        <v>-972.65360297319444</v>
      </c>
      <c r="R4159" t="s">
        <v>82939</v>
      </c>
      <c r="S4159" t="s">
        <v>82940</v>
      </c>
      <c r="T4159" t="s">
        <v>82941</v>
      </c>
      <c r="U4159" t="s">
        <v>82942</v>
      </c>
      <c r="V4159">
        <f>-742.194054942403 -75.8897146223576 -232.551989509019</f>
        <v>-1050.6357590737796</v>
      </c>
      <c r="W4159" t="s">
        <v>82943</v>
      </c>
      <c r="X4159" t="s">
        <v>82944</v>
      </c>
      <c r="Y4159" t="s">
        <v>82945</v>
      </c>
    </row>
    <row r="4160" spans="1:25" x14ac:dyDescent="0.3">
      <c r="A4160">
        <v>207950</v>
      </c>
      <c r="B4160" t="s">
        <v>82946</v>
      </c>
      <c r="C4160" t="s">
        <v>82947</v>
      </c>
      <c r="D4160" t="s">
        <v>82948</v>
      </c>
      <c r="E4160" t="s">
        <v>82949</v>
      </c>
      <c r="F4160" t="s">
        <v>82950</v>
      </c>
      <c r="G4160">
        <f>-754.378934821812 -7.81879769477155 -688.275867526683</f>
        <v>-1450.4736000432665</v>
      </c>
      <c r="H4160">
        <f>-739.901541081013 -34.3961230133759 -837.554258547388</f>
        <v>-1611.851922641777</v>
      </c>
      <c r="I4160">
        <f>-699.495060846987 -52.6430692844326 -929.300336548261</f>
        <v>-1681.4384666796807</v>
      </c>
      <c r="J4160" t="s">
        <v>82951</v>
      </c>
      <c r="K4160" t="s">
        <v>82952</v>
      </c>
      <c r="L4160" t="s">
        <v>82953</v>
      </c>
      <c r="M4160" t="s">
        <v>82954</v>
      </c>
      <c r="N4160">
        <f>-752.269439034975 -53.4775226809184 -766.590511432541</f>
        <v>-1572.3374731484344</v>
      </c>
      <c r="O4160">
        <f>-789.385276749668 -186.740341929572 -716.749141027067</f>
        <v>-1692.874759706307</v>
      </c>
      <c r="P4160">
        <f>-753.467978620638 -173.506819395985 -402.550156832242</f>
        <v>-1329.524954848865</v>
      </c>
      <c r="Q4160">
        <f>-527.842304663303 -44.2846962760111 -396.485511238462</f>
        <v>-968.61251217777613</v>
      </c>
      <c r="R4160" t="s">
        <v>82955</v>
      </c>
      <c r="S4160" t="s">
        <v>82956</v>
      </c>
      <c r="T4160" t="s">
        <v>82957</v>
      </c>
      <c r="U4160" t="s">
        <v>82958</v>
      </c>
      <c r="V4160">
        <f>-740.399123932262 -75.0621272406161 -232.550118356932</f>
        <v>-1048.0113695298101</v>
      </c>
      <c r="W4160" t="s">
        <v>82959</v>
      </c>
      <c r="X4160" t="s">
        <v>82960</v>
      </c>
      <c r="Y4160" t="s">
        <v>82961</v>
      </c>
    </row>
    <row r="4161" spans="1:25" x14ac:dyDescent="0.3">
      <c r="A4161">
        <v>208000</v>
      </c>
      <c r="B4161" t="s">
        <v>82962</v>
      </c>
      <c r="C4161" t="s">
        <v>82963</v>
      </c>
      <c r="D4161" t="s">
        <v>82964</v>
      </c>
      <c r="E4161" t="s">
        <v>82965</v>
      </c>
      <c r="F4161" t="s">
        <v>82966</v>
      </c>
      <c r="G4161">
        <f>-753.55722371936 -8.22511988925112 -688.315309544011</f>
        <v>-1450.0976531526221</v>
      </c>
      <c r="H4161">
        <f>-739.171759064158 -35.0545375076538 -837.557576531613</f>
        <v>-1611.7838731034249</v>
      </c>
      <c r="I4161">
        <f>-698.795671362491 -53.3326763867867 -929.310872467457</f>
        <v>-1681.4392202167346</v>
      </c>
      <c r="J4161" t="s">
        <v>82967</v>
      </c>
      <c r="K4161" t="s">
        <v>82968</v>
      </c>
      <c r="L4161" t="s">
        <v>82969</v>
      </c>
      <c r="M4161" t="s">
        <v>82970</v>
      </c>
      <c r="N4161">
        <f>-751.465388268253 -54.021321250199 -766.550227933824</f>
        <v>-1572.0369374522761</v>
      </c>
      <c r="O4161">
        <f>-788.460983582101 -187.23227956718 -716.44210551351</f>
        <v>-1692.1353686627908</v>
      </c>
      <c r="P4161">
        <f>-752.192148076765 -173.088208853567 -402.323206968093</f>
        <v>-1327.6035638984249</v>
      </c>
      <c r="Q4161">
        <f>-526.633450664741 -43.7428681829674 -396.399981755153</f>
        <v>-966.7763006028614</v>
      </c>
      <c r="R4161" t="s">
        <v>82971</v>
      </c>
      <c r="S4161" t="s">
        <v>82972</v>
      </c>
      <c r="T4161" t="s">
        <v>82973</v>
      </c>
      <c r="U4161" t="s">
        <v>82974</v>
      </c>
      <c r="V4161">
        <f>-739.53995914039 -74.6957873785125 -232.528603194864</f>
        <v>-1046.7643497137665</v>
      </c>
      <c r="W4161" t="s">
        <v>82975</v>
      </c>
      <c r="X4161" t="s">
        <v>82976</v>
      </c>
      <c r="Y4161" t="s">
        <v>82977</v>
      </c>
    </row>
    <row r="4162" spans="1:25" x14ac:dyDescent="0.3">
      <c r="A4162">
        <v>208050</v>
      </c>
      <c r="B4162" t="s">
        <v>82978</v>
      </c>
      <c r="C4162" t="s">
        <v>82979</v>
      </c>
      <c r="D4162" t="s">
        <v>82980</v>
      </c>
      <c r="E4162" t="s">
        <v>82981</v>
      </c>
      <c r="F4162" t="s">
        <v>82982</v>
      </c>
      <c r="G4162">
        <f>-752.047282647949 -9.35237764229828 -688.369264351348</f>
        <v>-1449.7689246415953</v>
      </c>
      <c r="H4162">
        <f>-737.776533188379 -36.9258025709155 -837.486972234665</f>
        <v>-1612.1893079939596</v>
      </c>
      <c r="I4162">
        <f>-697.418450294296 -55.3035187361209 -929.22816673091</f>
        <v>-1681.9501357613267</v>
      </c>
      <c r="J4162" t="s">
        <v>82983</v>
      </c>
      <c r="K4162" t="s">
        <v>82984</v>
      </c>
      <c r="L4162" t="s">
        <v>82985</v>
      </c>
      <c r="M4162" t="s">
        <v>82986</v>
      </c>
      <c r="N4162">
        <f>-749.972332979496 -55.5454748477343 -766.370922991828</f>
        <v>-1571.8887308190583</v>
      </c>
      <c r="O4162">
        <f>-786.81046659768 -188.566220016194 -715.644690676775</f>
        <v>-1691.0213772906491</v>
      </c>
      <c r="P4162">
        <f>-749.97847081025 -173.315957006817 -401.642973470534</f>
        <v>-1324.937401287601</v>
      </c>
      <c r="Q4162">
        <f>-524.435728005853 -43.9043978132393 -396.628002409414</f>
        <v>-964.9681282285062</v>
      </c>
      <c r="R4162" t="s">
        <v>82987</v>
      </c>
      <c r="S4162" t="s">
        <v>82988</v>
      </c>
      <c r="T4162" t="s">
        <v>82989</v>
      </c>
      <c r="U4162" t="s">
        <v>82990</v>
      </c>
      <c r="V4162">
        <f>-737.917125925713 -74.1421068653522 -232.481042935387</f>
        <v>-1044.5402757264521</v>
      </c>
      <c r="W4162" t="s">
        <v>82991</v>
      </c>
      <c r="X4162" t="s">
        <v>82992</v>
      </c>
      <c r="Y4162" t="s">
        <v>82993</v>
      </c>
    </row>
    <row r="4163" spans="1:25" x14ac:dyDescent="0.3">
      <c r="A4163">
        <v>208100</v>
      </c>
      <c r="B4163" t="s">
        <v>82994</v>
      </c>
      <c r="C4163" t="s">
        <v>82995</v>
      </c>
      <c r="D4163" t="s">
        <v>82996</v>
      </c>
      <c r="E4163" t="s">
        <v>82997</v>
      </c>
      <c r="F4163" t="s">
        <v>82998</v>
      </c>
      <c r="G4163">
        <f>-751.416600099043 -9.73641651913044 -688.389868501941</f>
        <v>-1449.5428851201145</v>
      </c>
      <c r="H4163">
        <f>-737.338878382212 -37.6500367019753 -837.462470035712</f>
        <v>-1612.4513851198994</v>
      </c>
      <c r="I4163">
        <f>-697.005483959399 -56.0709346520173 -929.206024033507</f>
        <v>-1682.2824426449233</v>
      </c>
      <c r="J4163" t="s">
        <v>82999</v>
      </c>
      <c r="K4163" t="s">
        <v>83000</v>
      </c>
      <c r="L4163" t="s">
        <v>83001</v>
      </c>
      <c r="M4163" t="s">
        <v>83002</v>
      </c>
      <c r="N4163">
        <f>-749.426233019017 -56.1101708464478 -766.286416451083</f>
        <v>-1571.8228203165477</v>
      </c>
      <c r="O4163">
        <f>-786.10051397135 -189.083243655652 -715.318434683324</f>
        <v>-1690.5021923103259</v>
      </c>
      <c r="P4163">
        <f>-748.950468164895 -173.24575158434 -401.383341540546</f>
        <v>-1323.5795612897809</v>
      </c>
      <c r="Q4163">
        <f>-523.381424025103 -43.8582414559041 -396.96531302164</f>
        <v>-964.20497850264712</v>
      </c>
      <c r="R4163" t="s">
        <v>83003</v>
      </c>
      <c r="S4163" t="s">
        <v>83004</v>
      </c>
      <c r="T4163" t="s">
        <v>83005</v>
      </c>
      <c r="U4163" t="s">
        <v>83006</v>
      </c>
      <c r="V4163">
        <f>-737.229346890446 -73.8268927092074 -232.485157770664</f>
        <v>-1043.5413973703173</v>
      </c>
      <c r="W4163" t="s">
        <v>83007</v>
      </c>
      <c r="X4163" t="s">
        <v>83008</v>
      </c>
      <c r="Y4163" t="s">
        <v>83009</v>
      </c>
    </row>
    <row r="4164" spans="1:25" x14ac:dyDescent="0.3">
      <c r="A4164">
        <v>208150</v>
      </c>
      <c r="B4164" t="s">
        <v>83010</v>
      </c>
      <c r="C4164" t="s">
        <v>83011</v>
      </c>
      <c r="D4164" t="s">
        <v>83012</v>
      </c>
      <c r="E4164" t="s">
        <v>83013</v>
      </c>
      <c r="F4164" t="s">
        <v>83014</v>
      </c>
      <c r="G4164">
        <f>-751.005761481817 -10.7648282694277 -688.404654284124</f>
        <v>-1450.1752440353687</v>
      </c>
      <c r="H4164">
        <f>-737.531648482661 -39.4366759002967 -837.389148308322</f>
        <v>-1614.3574726912798</v>
      </c>
      <c r="I4164">
        <f>-697.247724816457 -58.087638785101 -929.107885376922</f>
        <v>-1684.4432489784799</v>
      </c>
      <c r="J4164" t="s">
        <v>83015</v>
      </c>
      <c r="K4164" t="s">
        <v>83016</v>
      </c>
      <c r="L4164" t="s">
        <v>83017</v>
      </c>
      <c r="M4164" t="s">
        <v>83018</v>
      </c>
      <c r="N4164">
        <f>-749.35381308106 -57.5303290638833 -766.074549303272</f>
        <v>-1572.9586914482152</v>
      </c>
      <c r="O4164">
        <f>-786.048926355769 -190.274420252093 -714.566501580198</f>
        <v>-1690.8898481880601</v>
      </c>
      <c r="P4164">
        <f>-747.508949276565 -173.841434494373 -400.829645757623</f>
        <v>-1322.1800295285609</v>
      </c>
      <c r="Q4164">
        <f>-521.678077733038 -44.8815746384087 -397.385087536588</f>
        <v>-963.94473990803465</v>
      </c>
      <c r="R4164" t="s">
        <v>83019</v>
      </c>
      <c r="S4164" t="s">
        <v>83020</v>
      </c>
      <c r="T4164" t="s">
        <v>83021</v>
      </c>
      <c r="U4164" t="s">
        <v>83022</v>
      </c>
      <c r="V4164">
        <f>-736.104890611932 -73.5564006364123 -232.501117984443</f>
        <v>-1042.1624092327872</v>
      </c>
      <c r="W4164" t="s">
        <v>83023</v>
      </c>
      <c r="X4164" t="s">
        <v>83024</v>
      </c>
      <c r="Y4164" t="s">
        <v>83025</v>
      </c>
    </row>
    <row r="4165" spans="1:25" x14ac:dyDescent="0.3">
      <c r="A4165">
        <v>208200</v>
      </c>
      <c r="B4165" t="s">
        <v>83026</v>
      </c>
      <c r="C4165" t="s">
        <v>83027</v>
      </c>
      <c r="D4165" t="s">
        <v>83028</v>
      </c>
      <c r="E4165" t="s">
        <v>83029</v>
      </c>
      <c r="F4165" t="s">
        <v>83030</v>
      </c>
      <c r="G4165">
        <f>-750.698624459822 -11.4836836822844 -688.428382856167</f>
        <v>-1450.6106909982734</v>
      </c>
      <c r="H4165">
        <f>-737.589719476078 -40.5937789821173 -837.360460079991</f>
        <v>-1615.5439585381864</v>
      </c>
      <c r="I4165">
        <f>-697.384051680612 -59.4252012992647 -929.076700165679</f>
        <v>-1685.8859531455555</v>
      </c>
      <c r="J4165" t="s">
        <v>83031</v>
      </c>
      <c r="K4165" t="s">
        <v>83032</v>
      </c>
      <c r="L4165" t="s">
        <v>83033</v>
      </c>
      <c r="M4165" t="s">
        <v>83034</v>
      </c>
      <c r="N4165">
        <f>-749.270349622092 -58.4719665987877 -765.968218375588</f>
        <v>-1573.7105345964678</v>
      </c>
      <c r="O4165">
        <f>-786.035131792947 -191.082303571961 -714.141131209965</f>
        <v>-1691.2585665748729</v>
      </c>
      <c r="P4165">
        <f>-746.635857282332 -174.317181673151 -400.528669443674</f>
        <v>-1321.481708399157</v>
      </c>
      <c r="Q4165">
        <f>-520.755714803393 -45.4275425060393 -397.756603728117</f>
        <v>-963.93986103754924</v>
      </c>
      <c r="R4165" t="s">
        <v>83035</v>
      </c>
      <c r="S4165" t="s">
        <v>83036</v>
      </c>
      <c r="T4165" t="s">
        <v>83037</v>
      </c>
      <c r="U4165" t="s">
        <v>83038</v>
      </c>
      <c r="V4165">
        <f>-735.663731274773 -73.4745409013231 -232.52317444592</f>
        <v>-1041.661446622016</v>
      </c>
      <c r="W4165" t="s">
        <v>83039</v>
      </c>
      <c r="X4165" t="s">
        <v>83040</v>
      </c>
      <c r="Y4165" t="s">
        <v>83041</v>
      </c>
    </row>
    <row r="4166" spans="1:25" x14ac:dyDescent="0.3">
      <c r="A4166">
        <v>208250</v>
      </c>
      <c r="B4166" t="s">
        <v>83042</v>
      </c>
      <c r="C4166" t="s">
        <v>83043</v>
      </c>
      <c r="D4166" t="s">
        <v>83044</v>
      </c>
      <c r="E4166" t="s">
        <v>83045</v>
      </c>
      <c r="F4166" t="s">
        <v>83046</v>
      </c>
      <c r="G4166">
        <f>-750.203829041012 -13.0560530954838 -688.413029742753</f>
        <v>-1451.6729118792487</v>
      </c>
      <c r="H4166">
        <f>-737.671461171778 -43.1415728042773 -837.200838337546</f>
        <v>-1618.0138723136013</v>
      </c>
      <c r="I4166">
        <f>-697.581235415859 -62.3690327461973 -928.885415809738</f>
        <v>-1688.8356839717944</v>
      </c>
      <c r="J4166" t="s">
        <v>83047</v>
      </c>
      <c r="K4166" t="s">
        <v>83048</v>
      </c>
      <c r="L4166" t="s">
        <v>83049</v>
      </c>
      <c r="M4166" t="s">
        <v>83050</v>
      </c>
      <c r="N4166">
        <f>-749.144463470391 -60.5398111773948 -765.656514662116</f>
        <v>-1575.3407893099018</v>
      </c>
      <c r="O4166">
        <f>-786.054218292323 -192.858740075153 -713.171941810783</f>
        <v>-1692.084900178259</v>
      </c>
      <c r="P4166">
        <f>-745.028497368395 -175.220443979024 -399.815890532917</f>
        <v>-1320.064831880336</v>
      </c>
      <c r="Q4166">
        <f>-518.82695831177 -46.8718846298686 -398.566056216122</f>
        <v>-964.26489915776062</v>
      </c>
      <c r="R4166" t="s">
        <v>83051</v>
      </c>
      <c r="S4166" t="s">
        <v>83052</v>
      </c>
      <c r="T4166" t="s">
        <v>83053</v>
      </c>
      <c r="U4166" t="s">
        <v>83054</v>
      </c>
      <c r="V4166">
        <f>-734.733756595988 -73.3965532260274 -232.550487410245</f>
        <v>-1040.6807972322604</v>
      </c>
      <c r="W4166" t="s">
        <v>83055</v>
      </c>
      <c r="X4166" t="s">
        <v>83056</v>
      </c>
      <c r="Y4166" t="s">
        <v>83057</v>
      </c>
    </row>
    <row r="4167" spans="1:25" x14ac:dyDescent="0.3">
      <c r="A4167">
        <v>208300</v>
      </c>
      <c r="B4167" t="s">
        <v>83058</v>
      </c>
      <c r="C4167" t="s">
        <v>83059</v>
      </c>
      <c r="D4167" t="s">
        <v>83060</v>
      </c>
      <c r="E4167" t="s">
        <v>83061</v>
      </c>
      <c r="F4167" t="s">
        <v>83062</v>
      </c>
      <c r="G4167">
        <f>-749.896037860799 -13.8237000357281 -688.398202629246</f>
        <v>-1452.1179405257731</v>
      </c>
      <c r="H4167">
        <f>-737.602653380118 -44.3983003652252 -837.106218790761</f>
        <v>-1619.1071725361041</v>
      </c>
      <c r="I4167">
        <f>-697.568243910857 -63.779457815335 -928.782772366277</f>
        <v>-1690.1304740924688</v>
      </c>
      <c r="J4167">
        <f>-737.094257561203 -0.184024941794632 -777.124990052779</f>
        <v>-1514.4032725557768</v>
      </c>
      <c r="K4167" t="s">
        <v>83063</v>
      </c>
      <c r="L4167" t="s">
        <v>83064</v>
      </c>
      <c r="M4167" t="s">
        <v>83065</v>
      </c>
      <c r="N4167">
        <f>-748.989996426021 -61.5560309934126 -765.490120021683</f>
        <v>-1576.0361474411166</v>
      </c>
      <c r="O4167">
        <f>-786.01524423894 -193.69323277066 -712.615823478415</f>
        <v>-1692.3243004880151</v>
      </c>
      <c r="P4167">
        <f>-744.20280576477 -175.442749503021 -399.398974379037</f>
        <v>-1319.0445296468279</v>
      </c>
      <c r="Q4167">
        <f>-517.792921085048 -47.4575488668722 -398.745137835294</f>
        <v>-963.99560778721411</v>
      </c>
      <c r="R4167" t="s">
        <v>83066</v>
      </c>
      <c r="S4167" t="s">
        <v>83067</v>
      </c>
      <c r="T4167" t="s">
        <v>83068</v>
      </c>
      <c r="U4167" t="s">
        <v>83069</v>
      </c>
      <c r="V4167">
        <f>-734.248032843486 -73.2778788521312 -232.563270398146</f>
        <v>-1040.0891820937632</v>
      </c>
      <c r="W4167" t="s">
        <v>83070</v>
      </c>
      <c r="X4167" t="s">
        <v>83071</v>
      </c>
      <c r="Y4167" t="s">
        <v>83072</v>
      </c>
    </row>
    <row r="4168" spans="1:25" x14ac:dyDescent="0.3">
      <c r="A4168">
        <v>208350</v>
      </c>
      <c r="B4168" t="s">
        <v>83073</v>
      </c>
      <c r="C4168" t="s">
        <v>83074</v>
      </c>
      <c r="D4168" t="s">
        <v>83075</v>
      </c>
      <c r="E4168" t="s">
        <v>83076</v>
      </c>
      <c r="F4168" t="s">
        <v>83077</v>
      </c>
      <c r="G4168">
        <f>-749.072629039162 -15.2813448556929 -688.304763806897</f>
        <v>-1452.6587377017518</v>
      </c>
      <c r="H4168">
        <f>-737.034785716613 -46.8125896096751 -836.833757354183</f>
        <v>-1620.6811326804711</v>
      </c>
      <c r="I4168">
        <f>-697.078276086498 -66.5274103904803 -928.473296690213</f>
        <v>-1692.0789831671914</v>
      </c>
      <c r="J4168">
        <f>-736.390904263991 -2.21865112601949 -777.135574144933</f>
        <v>-1515.7451295349435</v>
      </c>
      <c r="K4168" t="s">
        <v>83078</v>
      </c>
      <c r="L4168" t="s">
        <v>83079</v>
      </c>
      <c r="M4168" t="s">
        <v>83080</v>
      </c>
      <c r="N4168">
        <f>-748.331428207408 -63.5033568698084 -765.09306315328</f>
        <v>-1576.9278482304962</v>
      </c>
      <c r="O4168">
        <f>-785.433858925425 -195.333372681615 -711.531901194355</f>
        <v>-1692.299132801395</v>
      </c>
      <c r="P4168">
        <f>-742.913002618556 -175.796651571002 -398.488011061261</f>
        <v>-1317.197665250819</v>
      </c>
      <c r="Q4168">
        <f>-516.224762891204 -48.3040067380232 -398.825209381196</f>
        <v>-963.35397901042325</v>
      </c>
      <c r="R4168" t="s">
        <v>83081</v>
      </c>
      <c r="S4168" t="s">
        <v>83082</v>
      </c>
      <c r="T4168" t="s">
        <v>83083</v>
      </c>
      <c r="U4168" t="s">
        <v>83084</v>
      </c>
      <c r="V4168">
        <f>-733.419370095124 -72.9934738587876 -232.54088846903</f>
        <v>-1038.9537324229416</v>
      </c>
      <c r="W4168" t="s">
        <v>83085</v>
      </c>
      <c r="X4168" t="s">
        <v>83086</v>
      </c>
      <c r="Y4168" t="s">
        <v>83087</v>
      </c>
    </row>
    <row r="4169" spans="1:25" x14ac:dyDescent="0.3">
      <c r="A4169">
        <v>208400</v>
      </c>
      <c r="B4169" t="s">
        <v>83088</v>
      </c>
      <c r="C4169" t="s">
        <v>83089</v>
      </c>
      <c r="D4169" t="s">
        <v>83090</v>
      </c>
      <c r="E4169" t="s">
        <v>83091</v>
      </c>
      <c r="F4169" t="s">
        <v>83092</v>
      </c>
      <c r="G4169">
        <f>-748.560860743278 -16.2154795505135 -688.305095760747</f>
        <v>-1453.0814360545385</v>
      </c>
      <c r="H4169">
        <f>-736.774772319674 -48.4123062218657 -836.711543480059</f>
        <v>-1621.8986220215988</v>
      </c>
      <c r="I4169">
        <f>-696.903228052031 -68.3738274234843 -928.334516182346</f>
        <v>-1693.6115716578611</v>
      </c>
      <c r="J4169">
        <f>-735.956460349625 -3.56385485736678 -777.206252279258</f>
        <v>-1516.7265674862497</v>
      </c>
      <c r="K4169" t="s">
        <v>83093</v>
      </c>
      <c r="L4169" t="s">
        <v>83094</v>
      </c>
      <c r="M4169" t="s">
        <v>83095</v>
      </c>
      <c r="N4169">
        <f>-748.02299082322 -64.7685105694877 -764.88626271622</f>
        <v>-1577.6777641089277</v>
      </c>
      <c r="O4169">
        <f>-785.330682893132 -196.351309307795 -710.845746474962</f>
        <v>-1692.5277386758889</v>
      </c>
      <c r="P4169">
        <f>-742.385924498879 -175.750603034717 -397.927925205546</f>
        <v>-1316.0644527391419</v>
      </c>
      <c r="Q4169">
        <f>-515.5502588258 -48.5263638832464 -399.200729886519</f>
        <v>-963.27735259556539</v>
      </c>
      <c r="R4169" t="s">
        <v>83096</v>
      </c>
      <c r="S4169" t="s">
        <v>83097</v>
      </c>
      <c r="T4169" t="s">
        <v>83098</v>
      </c>
      <c r="U4169" t="s">
        <v>83099</v>
      </c>
      <c r="V4169">
        <f>-732.784877799237 -72.652247141792 -232.534001864837</f>
        <v>-1037.9711268058661</v>
      </c>
      <c r="W4169" t="s">
        <v>83100</v>
      </c>
      <c r="X4169" t="s">
        <v>83101</v>
      </c>
      <c r="Y4169" t="s">
        <v>83102</v>
      </c>
    </row>
    <row r="4170" spans="1:25" x14ac:dyDescent="0.3">
      <c r="A4170">
        <v>208450</v>
      </c>
      <c r="B4170" t="s">
        <v>83103</v>
      </c>
      <c r="C4170" t="s">
        <v>83104</v>
      </c>
      <c r="D4170" t="s">
        <v>83105</v>
      </c>
      <c r="E4170" t="s">
        <v>83106</v>
      </c>
      <c r="F4170" t="s">
        <v>83107</v>
      </c>
      <c r="G4170">
        <f>-748.368093570923 -16.650733804885 -688.322954253261</f>
        <v>-1453.3417816290689</v>
      </c>
      <c r="H4170">
        <f>-736.748670779166 -49.1649278020584 -836.673189401246</f>
        <v>-1622.5867879824705</v>
      </c>
      <c r="I4170">
        <f>-696.893301572526 -69.2382599829816 -928.278816520857</f>
        <v>-1694.4103780763646</v>
      </c>
      <c r="J4170">
        <f>-735.806362532388 -4.19933808762289 -777.258418093636</f>
        <v>-1517.2641187136469</v>
      </c>
      <c r="K4170" t="s">
        <v>83108</v>
      </c>
      <c r="L4170" t="s">
        <v>83109</v>
      </c>
      <c r="M4170" t="s">
        <v>83110</v>
      </c>
      <c r="N4170">
        <f>-747.97354257244 -65.3575879553684 -764.80714333163</f>
        <v>-1578.1382738594384</v>
      </c>
      <c r="O4170">
        <f>-785.52134664691 -196.751471737103 -710.51030035712</f>
        <v>-1692.783118741133</v>
      </c>
      <c r="P4170">
        <f>-742.05785487331 -176.005387743641 -397.673656133005</f>
        <v>-1315.736898749956</v>
      </c>
      <c r="Q4170">
        <f>-515.011776963305 -49.1614767643425 -399.324878437111</f>
        <v>-963.49813216475854</v>
      </c>
      <c r="R4170" t="s">
        <v>83111</v>
      </c>
      <c r="S4170" t="s">
        <v>83112</v>
      </c>
      <c r="T4170" t="s">
        <v>83113</v>
      </c>
      <c r="U4170" t="s">
        <v>83114</v>
      </c>
      <c r="V4170">
        <f>-732.489970982404 -72.4835804332899 -232.548301985278</f>
        <v>-1037.5218534009718</v>
      </c>
      <c r="W4170" t="s">
        <v>83115</v>
      </c>
      <c r="X4170" t="s">
        <v>83116</v>
      </c>
      <c r="Y4170" t="s">
        <v>83117</v>
      </c>
    </row>
    <row r="4171" spans="1:25" x14ac:dyDescent="0.3">
      <c r="A4171">
        <v>208500</v>
      </c>
      <c r="B4171" t="s">
        <v>83118</v>
      </c>
      <c r="C4171" t="s">
        <v>83119</v>
      </c>
      <c r="D4171" t="s">
        <v>83120</v>
      </c>
      <c r="E4171" t="s">
        <v>83121</v>
      </c>
      <c r="F4171" t="s">
        <v>83122</v>
      </c>
      <c r="G4171">
        <f>-748.231596276952 -17.0766703682762 -688.334308936945</f>
        <v>-1453.6425755821733</v>
      </c>
      <c r="H4171">
        <f>-736.808901051067 -49.8773570606288 -836.636831836408</f>
        <v>-1623.3230899481036</v>
      </c>
      <c r="I4171">
        <f>-696.974419760853 -70.0415601855009 -928.231691126059</f>
        <v>-1695.2476710724129</v>
      </c>
      <c r="J4171">
        <f>-735.740458436526 -4.80539314947123 -777.304817123608</f>
        <v>-1517.8506687096051</v>
      </c>
      <c r="K4171" t="s">
        <v>83123</v>
      </c>
      <c r="L4171" t="s">
        <v>83124</v>
      </c>
      <c r="M4171" t="s">
        <v>83125</v>
      </c>
      <c r="N4171">
        <f>-747.985766137755 -65.9227993819316 -764.73036139873</f>
        <v>-1578.6389269184165</v>
      </c>
      <c r="O4171">
        <f>-785.703820273213 -197.170096051365 -710.168825031661</f>
        <v>-1693.0427413562388</v>
      </c>
      <c r="P4171">
        <f>-741.706960155111 -175.950390417433 -397.438743392978</f>
        <v>-1315.096093965522</v>
      </c>
      <c r="Q4171">
        <f>-514.421155739232 -49.5409445135053 -399.41542595269</f>
        <v>-963.37752620542733</v>
      </c>
      <c r="R4171" t="s">
        <v>83126</v>
      </c>
      <c r="S4171" t="s">
        <v>83127</v>
      </c>
      <c r="T4171" t="s">
        <v>83128</v>
      </c>
      <c r="U4171" t="s">
        <v>83129</v>
      </c>
      <c r="V4171">
        <f>-732.207238517045 -72.3492462346824 -232.561216390236</f>
        <v>-1037.1177011419634</v>
      </c>
      <c r="W4171" t="s">
        <v>83130</v>
      </c>
      <c r="X4171" t="s">
        <v>83131</v>
      </c>
      <c r="Y4171" t="s">
        <v>83132</v>
      </c>
    </row>
    <row r="4172" spans="1:25" x14ac:dyDescent="0.3">
      <c r="A4172">
        <v>208550</v>
      </c>
      <c r="B4172" t="s">
        <v>83133</v>
      </c>
      <c r="C4172" t="s">
        <v>83134</v>
      </c>
      <c r="D4172" t="s">
        <v>83135</v>
      </c>
      <c r="E4172" t="s">
        <v>83136</v>
      </c>
      <c r="F4172" t="s">
        <v>83137</v>
      </c>
      <c r="G4172">
        <f>-748.131130692436 -17.9907121211636 -688.264922677999</f>
        <v>-1454.3867654915987</v>
      </c>
      <c r="H4172">
        <f>-737.017794051603 -51.37152141667 -836.461467640768</f>
        <v>-1624.850783109041</v>
      </c>
      <c r="I4172">
        <f>-697.156315085889 -71.7108058986466 -928.005712065429</f>
        <v>-1696.8728330499646</v>
      </c>
      <c r="J4172">
        <f>-735.754868253315 -6.08021046058252 -777.300438904356</f>
        <v>-1519.1355176182535</v>
      </c>
      <c r="K4172" t="s">
        <v>83138</v>
      </c>
      <c r="L4172" t="s">
        <v>83139</v>
      </c>
      <c r="M4172" t="s">
        <v>83140</v>
      </c>
      <c r="N4172">
        <f>-748.115280330195 -67.1228230533711 -764.477591989778</f>
        <v>-1579.7156953733443</v>
      </c>
      <c r="O4172">
        <f>-786.061706005771 -198.10636153675 -709.446805197838</f>
        <v>-1693.614872740359</v>
      </c>
      <c r="P4172">
        <f>-741.314767926975 -175.891066633116 -396.892228998337</f>
        <v>-1314.0980635584281</v>
      </c>
      <c r="Q4172">
        <f>-513.561120964666 -50.3419320420244 -399.68555878951</f>
        <v>-963.58861179620044</v>
      </c>
      <c r="R4172" t="s">
        <v>83141</v>
      </c>
      <c r="S4172" t="s">
        <v>83142</v>
      </c>
      <c r="T4172" t="s">
        <v>83143</v>
      </c>
      <c r="U4172" t="s">
        <v>83144</v>
      </c>
      <c r="V4172">
        <f>-731.956486907773 -72.1984436393388 -232.536760987027</f>
        <v>-1036.6916915341387</v>
      </c>
      <c r="W4172" t="s">
        <v>83145</v>
      </c>
      <c r="X4172" t="s">
        <v>83146</v>
      </c>
      <c r="Y4172" t="s">
        <v>83147</v>
      </c>
    </row>
    <row r="4173" spans="1:25" x14ac:dyDescent="0.3">
      <c r="A4173">
        <v>208600</v>
      </c>
      <c r="B4173" t="s">
        <v>83148</v>
      </c>
      <c r="C4173" t="s">
        <v>83149</v>
      </c>
      <c r="D4173" t="s">
        <v>83150</v>
      </c>
      <c r="E4173" t="s">
        <v>83151</v>
      </c>
      <c r="F4173" t="s">
        <v>83152</v>
      </c>
      <c r="G4173">
        <f>-748.376204589488 -18.3371340977073 -688.232507437862</f>
        <v>-1454.9458461250574</v>
      </c>
      <c r="H4173">
        <f>-737.434606772303 -51.9281040004687 -836.394462153874</f>
        <v>-1625.7571729266456</v>
      </c>
      <c r="I4173">
        <f>-697.585590024763 -72.3253548728139 -927.931235696961</f>
        <v>-1697.8421805945379</v>
      </c>
      <c r="J4173">
        <f>-736.080928994376 -6.55695924138422 -777.296589486322</f>
        <v>-1519.9344777220822</v>
      </c>
      <c r="K4173" t="s">
        <v>83153</v>
      </c>
      <c r="L4173" t="s">
        <v>83154</v>
      </c>
      <c r="M4173" t="s">
        <v>83155</v>
      </c>
      <c r="N4173">
        <f>-748.470948940095 -67.5733618359832 -764.378046539326</f>
        <v>-1580.422357315404</v>
      </c>
      <c r="O4173">
        <f>-786.518814857858 -198.435221478992 -709.136900572926</f>
        <v>-1694.0909369097762</v>
      </c>
      <c r="P4173">
        <f>-741.392823690336 -175.981354762595 -396.653931390492</f>
        <v>-1314.028109843423</v>
      </c>
      <c r="Q4173">
        <f>-513.459765601357 -50.7646469925312 -399.712380811327</f>
        <v>-963.93679340521521</v>
      </c>
      <c r="R4173" t="s">
        <v>83156</v>
      </c>
      <c r="S4173" t="s">
        <v>83157</v>
      </c>
      <c r="T4173" t="s">
        <v>83158</v>
      </c>
      <c r="U4173" t="s">
        <v>83159</v>
      </c>
      <c r="V4173">
        <f>-732.017242712853 -72.1656106681257 -232.520899995954</f>
        <v>-1036.7037533769328</v>
      </c>
      <c r="W4173" t="s">
        <v>83160</v>
      </c>
      <c r="X4173" t="s">
        <v>83161</v>
      </c>
      <c r="Y4173" t="s">
        <v>83162</v>
      </c>
    </row>
    <row r="4174" spans="1:25" x14ac:dyDescent="0.3">
      <c r="A4174">
        <v>208650</v>
      </c>
      <c r="B4174" t="s">
        <v>83163</v>
      </c>
      <c r="C4174" t="s">
        <v>83164</v>
      </c>
      <c r="D4174" t="s">
        <v>83165</v>
      </c>
      <c r="E4174" t="s">
        <v>83166</v>
      </c>
      <c r="F4174" t="s">
        <v>83167</v>
      </c>
      <c r="G4174">
        <f>-748.670889478188 -18.838976255561 -688.157177082571</f>
        <v>-1455.66704281632</v>
      </c>
      <c r="H4174">
        <f>-737.807707232777 -52.6841899249196 -836.266932982639</f>
        <v>-1626.7588301403357</v>
      </c>
      <c r="I4174">
        <f>-697.888924761632 -73.1731542634764 -927.752833660554</f>
        <v>-1698.8149126856624</v>
      </c>
      <c r="J4174">
        <f>-736.402491635948 -7.21532234687243 -777.245455868757</f>
        <v>-1520.8632698515773</v>
      </c>
      <c r="K4174" t="s">
        <v>83168</v>
      </c>
      <c r="L4174" t="s">
        <v>83169</v>
      </c>
      <c r="M4174" t="s">
        <v>83170</v>
      </c>
      <c r="N4174">
        <f>-748.826187182316 -68.2021729677501 -764.22040439572</f>
        <v>-1581.2487645457861</v>
      </c>
      <c r="O4174">
        <f>-786.882928495059 -198.952681155255 -708.676946825311</f>
        <v>-1694.5125564756249</v>
      </c>
      <c r="P4174">
        <f>-741.233064725058 -175.948984647429 -396.310010607967</f>
        <v>-1313.4920599804541</v>
      </c>
      <c r="Q4174">
        <f>-513.165173933799 -50.9869383569562 -399.709428357593</f>
        <v>-963.86154064834818</v>
      </c>
      <c r="R4174" t="s">
        <v>83171</v>
      </c>
      <c r="S4174" t="s">
        <v>83172</v>
      </c>
      <c r="T4174" t="s">
        <v>83173</v>
      </c>
      <c r="U4174" t="s">
        <v>83174</v>
      </c>
      <c r="V4174">
        <f>-732.090107590828 -72.1129090808947 -232.439000913624</f>
        <v>-1036.6420175853468</v>
      </c>
      <c r="W4174" t="s">
        <v>83175</v>
      </c>
      <c r="X4174" t="s">
        <v>83176</v>
      </c>
      <c r="Y4174" t="s">
        <v>83177</v>
      </c>
    </row>
    <row r="4175" spans="1:25" x14ac:dyDescent="0.3">
      <c r="A4175">
        <v>208700</v>
      </c>
      <c r="B4175" t="s">
        <v>83178</v>
      </c>
      <c r="C4175" t="s">
        <v>83179</v>
      </c>
      <c r="D4175" t="s">
        <v>83180</v>
      </c>
      <c r="E4175" t="s">
        <v>83181</v>
      </c>
      <c r="F4175" t="s">
        <v>83182</v>
      </c>
      <c r="G4175">
        <f>-749.027476612681 -18.976956655649 -688.110192442746</f>
        <v>-1456.1146257110759</v>
      </c>
      <c r="H4175">
        <f>-738.107339928503 -52.8502451927423 -836.209279349039</f>
        <v>-1627.1668644702843</v>
      </c>
      <c r="I4175">
        <f>-698.133035144574 -73.3331147305005 -927.672343945292</f>
        <v>-1699.1384938203664</v>
      </c>
      <c r="J4175">
        <f>-736.75802079583 -7.36429012958433 -777.199828326004</f>
        <v>-1521.3221392514183</v>
      </c>
      <c r="K4175" t="s">
        <v>83183</v>
      </c>
      <c r="L4175" t="s">
        <v>83184</v>
      </c>
      <c r="M4175" t="s">
        <v>83185</v>
      </c>
      <c r="N4175">
        <f>-749.120389505928 -68.3605353228345 -764.160318147097</f>
        <v>-1581.6412429758593</v>
      </c>
      <c r="O4175">
        <f>-787.007589523688 -199.103484566689 -708.544651177376</f>
        <v>-1694.655725267753</v>
      </c>
      <c r="P4175">
        <f>-741.356405943551 -175.848274449905 -396.196607920066</f>
        <v>-1313.4012883135219</v>
      </c>
      <c r="Q4175">
        <f>-513.313478762426 -50.8413175189494 -399.616654000634</f>
        <v>-963.77145028200948</v>
      </c>
      <c r="R4175" t="s">
        <v>83186</v>
      </c>
      <c r="S4175" t="s">
        <v>83187</v>
      </c>
      <c r="T4175" t="s">
        <v>83188</v>
      </c>
      <c r="U4175" t="s">
        <v>83189</v>
      </c>
      <c r="V4175">
        <f>-732.339636943922 -72.1536116461878 -232.38347016552</f>
        <v>-1036.8767187556298</v>
      </c>
      <c r="W4175" t="s">
        <v>83190</v>
      </c>
      <c r="X4175" t="s">
        <v>83191</v>
      </c>
      <c r="Y4175" t="s">
        <v>83192</v>
      </c>
    </row>
    <row r="4176" spans="1:25" x14ac:dyDescent="0.3">
      <c r="A4176">
        <v>208750</v>
      </c>
      <c r="B4176" t="s">
        <v>83193</v>
      </c>
      <c r="C4176" t="s">
        <v>83194</v>
      </c>
      <c r="D4176" t="s">
        <v>83195</v>
      </c>
      <c r="E4176" t="s">
        <v>83196</v>
      </c>
      <c r="F4176" t="s">
        <v>83197</v>
      </c>
      <c r="G4176">
        <f>-750.239437197371 -19.5240856012274 -687.921309448072</f>
        <v>-1457.6848322466703</v>
      </c>
      <c r="H4176">
        <f>-739.283497871556 -53.6516972329132 -835.959357647644</f>
        <v>-1628.8945527521132</v>
      </c>
      <c r="I4176">
        <f>-699.208638284051 -74.1321985349009 -927.378953945639</f>
        <v>-1700.7197907645909</v>
      </c>
      <c r="J4176">
        <f>-737.99365076872 -8.05633457577164 -777.032971687497</f>
        <v>-1523.0829570319888</v>
      </c>
      <c r="K4176" t="s">
        <v>83198</v>
      </c>
      <c r="L4176" t="s">
        <v>83199</v>
      </c>
      <c r="M4176" t="s">
        <v>83200</v>
      </c>
      <c r="N4176">
        <f>-750.268629075662 -69.0461906509067 -763.881209923156</f>
        <v>-1583.1960296497248</v>
      </c>
      <c r="O4176">
        <f>-787.865551448238 -199.811310221941 -708.122173936259</f>
        <v>-1695.7990356064379</v>
      </c>
      <c r="P4176">
        <f>-742.328630701207 -176.054787414234 -395.795083041623</f>
        <v>-1314.1785011570639</v>
      </c>
      <c r="Q4176">
        <f>-514.538526066843 -50.5990387583922 -399.607619674663</f>
        <v>-964.74518449989819</v>
      </c>
      <c r="R4176" t="s">
        <v>83201</v>
      </c>
      <c r="S4176" t="s">
        <v>83202</v>
      </c>
      <c r="T4176" t="s">
        <v>83203</v>
      </c>
      <c r="U4176" t="s">
        <v>83204</v>
      </c>
      <c r="V4176">
        <f>-733.069214060255 -72.3680415423205 -232.285420407324</f>
        <v>-1037.7226760098995</v>
      </c>
      <c r="W4176" t="s">
        <v>83205</v>
      </c>
      <c r="X4176" t="s">
        <v>83206</v>
      </c>
      <c r="Y4176" t="s">
        <v>83207</v>
      </c>
    </row>
    <row r="4177" spans="1:25" x14ac:dyDescent="0.3">
      <c r="A4177">
        <v>208800</v>
      </c>
      <c r="B4177" t="s">
        <v>83208</v>
      </c>
      <c r="C4177" t="s">
        <v>83209</v>
      </c>
      <c r="D4177" t="s">
        <v>83210</v>
      </c>
      <c r="E4177" t="s">
        <v>83211</v>
      </c>
      <c r="F4177" t="s">
        <v>83212</v>
      </c>
      <c r="G4177">
        <f>-750.854817466401 -19.8268267960768 -687.830103564661</f>
        <v>-1458.5117478271388</v>
      </c>
      <c r="H4177">
        <f>-740.015523753098 -54.0652723657311 -835.851351321437</f>
        <v>-1629.9321474402661</v>
      </c>
      <c r="I4177">
        <f>-699.932203071761 -74.547526965318 -927.266801947438</f>
        <v>-1701.7465319845169</v>
      </c>
      <c r="J4177">
        <f>-738.685145489 -8.4248080916409 -776.960593744569</f>
        <v>-1524.0705473252099</v>
      </c>
      <c r="K4177" t="s">
        <v>83213</v>
      </c>
      <c r="L4177" t="s">
        <v>83214</v>
      </c>
      <c r="M4177" t="s">
        <v>83215</v>
      </c>
      <c r="N4177">
        <f>-750.938025600157 -69.4068578935908 -763.75236956961</f>
        <v>-1584.0972530633576</v>
      </c>
      <c r="O4177">
        <f>-788.444341179684 -200.17747092274 -707.924889523232</f>
        <v>-1696.5467016256559</v>
      </c>
      <c r="P4177">
        <f>-742.704577935817 -176.25883372624 -395.639878032453</f>
        <v>-1314.6032896945101</v>
      </c>
      <c r="Q4177">
        <f>-515.002616609396 -50.6479779738884 -399.614033812574</f>
        <v>-965.26462839585838</v>
      </c>
      <c r="R4177" t="s">
        <v>83216</v>
      </c>
      <c r="S4177" t="s">
        <v>83217</v>
      </c>
      <c r="T4177" t="s">
        <v>83218</v>
      </c>
      <c r="U4177" t="s">
        <v>83219</v>
      </c>
      <c r="V4177">
        <f>-733.511388435408 -72.4733113178891 -232.237709849587</f>
        <v>-1038.222409602884</v>
      </c>
      <c r="W4177" t="s">
        <v>83220</v>
      </c>
      <c r="X4177" t="s">
        <v>83221</v>
      </c>
      <c r="Y4177" t="s">
        <v>83222</v>
      </c>
    </row>
    <row r="4178" spans="1:25" x14ac:dyDescent="0.3">
      <c r="A4178">
        <v>208850</v>
      </c>
      <c r="B4178" t="s">
        <v>83223</v>
      </c>
      <c r="C4178" t="s">
        <v>83224</v>
      </c>
      <c r="D4178" t="s">
        <v>83225</v>
      </c>
      <c r="E4178" t="s">
        <v>83226</v>
      </c>
      <c r="F4178" t="s">
        <v>83227</v>
      </c>
      <c r="G4178">
        <f>-752.30919068919 -20.1652086702461 -687.772489685249</f>
        <v>-1460.2468890446851</v>
      </c>
      <c r="H4178">
        <f>-741.839745591347 -54.5374432996757 -835.789155138677</f>
        <v>-1632.1663440296998</v>
      </c>
      <c r="I4178">
        <f>-701.80273810164 -75.0410597607543 -927.22018224485</f>
        <v>-1704.0639801072443</v>
      </c>
      <c r="J4178">
        <f>-740.357970013572 -8.84453632569216 -776.942966341637</f>
        <v>-1526.1454726809011</v>
      </c>
      <c r="K4178" t="s">
        <v>83228</v>
      </c>
      <c r="L4178" t="s">
        <v>83229</v>
      </c>
      <c r="M4178" t="s">
        <v>83230</v>
      </c>
      <c r="N4178">
        <f>-752.586338822922 -69.8130596425267 -763.649791146609</f>
        <v>-1586.0491896120577</v>
      </c>
      <c r="O4178">
        <f>-789.955081199382 -200.567478466557 -707.686394346637</f>
        <v>-1698.208954012576</v>
      </c>
      <c r="P4178">
        <f>-743.532226776073 -176.329205769625 -395.526767711427</f>
        <v>-1315.3882002571249</v>
      </c>
      <c r="Q4178">
        <f>-515.902842478224 -50.6010595931155 -399.926319040241</f>
        <v>-966.43022111158052</v>
      </c>
      <c r="R4178" t="s">
        <v>83231</v>
      </c>
      <c r="S4178" t="s">
        <v>83232</v>
      </c>
      <c r="T4178" t="s">
        <v>83233</v>
      </c>
      <c r="U4178" t="s">
        <v>83234</v>
      </c>
      <c r="V4178">
        <f>-734.313783035584 -72.6177720091625 -232.177433016894</f>
        <v>-1039.1089880616405</v>
      </c>
      <c r="W4178" t="s">
        <v>83235</v>
      </c>
      <c r="X4178" t="s">
        <v>83236</v>
      </c>
      <c r="Y4178" t="s">
        <v>83237</v>
      </c>
    </row>
    <row r="4179" spans="1:25" x14ac:dyDescent="0.3">
      <c r="A4179">
        <v>208900</v>
      </c>
      <c r="B4179" t="s">
        <v>83238</v>
      </c>
      <c r="C4179" t="s">
        <v>83239</v>
      </c>
      <c r="D4179" t="s">
        <v>83240</v>
      </c>
      <c r="E4179" t="s">
        <v>83241</v>
      </c>
      <c r="F4179" t="s">
        <v>83242</v>
      </c>
      <c r="G4179">
        <f>-753.042828390334 -20.2629591989319 -687.779778614434</f>
        <v>-1461.0855662036997</v>
      </c>
      <c r="H4179">
        <f>-742.803532017854 -54.6917289872288 -835.799484431203</f>
        <v>-1633.2947454362857</v>
      </c>
      <c r="I4179">
        <f>-702.825596879055 -75.227379467196 -927.249047084759</f>
        <v>-1705.30202343101</v>
      </c>
      <c r="J4179">
        <f>-741.215906495661 -8.97886498709636 -776.971410140739</f>
        <v>-1527.1661816234964</v>
      </c>
      <c r="K4179" t="s">
        <v>83243</v>
      </c>
      <c r="L4179" t="s">
        <v>83244</v>
      </c>
      <c r="M4179" t="s">
        <v>83245</v>
      </c>
      <c r="N4179">
        <f>-753.45224930147 -69.9372008194755 -763.639229223779</f>
        <v>-1587.0286793447244</v>
      </c>
      <c r="O4179">
        <f>-790.753941842233 -200.698795666582 -707.655518795459</f>
        <v>-1699.1082563042739</v>
      </c>
      <c r="P4179">
        <f>-744.054388431935 -176.396493975316 -395.542189790312</f>
        <v>-1315.9930721975629</v>
      </c>
      <c r="Q4179">
        <f>-516.475569152351 -50.5846728234228 -400.155100883993</f>
        <v>-967.21534285976679</v>
      </c>
      <c r="R4179" t="s">
        <v>83246</v>
      </c>
      <c r="S4179" t="s">
        <v>83247</v>
      </c>
      <c r="T4179" t="s">
        <v>83248</v>
      </c>
      <c r="U4179" t="s">
        <v>83249</v>
      </c>
      <c r="V4179">
        <f>-734.704954167381 -72.6440642857347 -232.178028776897</f>
        <v>-1039.5270472300126</v>
      </c>
      <c r="W4179" t="s">
        <v>83250</v>
      </c>
      <c r="X4179" t="s">
        <v>83251</v>
      </c>
      <c r="Y4179" t="s">
        <v>83252</v>
      </c>
    </row>
    <row r="4180" spans="1:25" x14ac:dyDescent="0.3">
      <c r="A4180">
        <v>208950</v>
      </c>
      <c r="B4180" t="s">
        <v>83253</v>
      </c>
      <c r="C4180" t="s">
        <v>83254</v>
      </c>
      <c r="D4180" t="s">
        <v>83255</v>
      </c>
      <c r="E4180" t="s">
        <v>83256</v>
      </c>
      <c r="F4180" t="s">
        <v>83257</v>
      </c>
      <c r="G4180">
        <f>-754.701156552735 -20.3293297470302 -687.769695635929</f>
        <v>-1462.8001819356941</v>
      </c>
      <c r="H4180">
        <f>-744.897783178803 -54.8849960439677 -835.789276391594</f>
        <v>-1635.5720556143647</v>
      </c>
      <c r="I4180">
        <f>-705.098245907623 -75.5310668346247 -927.291855625669</f>
        <v>-1707.9211683679166</v>
      </c>
      <c r="J4180">
        <f>-743.068774574142 -9.13381749778887 -776.998184908846</f>
        <v>-1529.2007769807769</v>
      </c>
      <c r="K4180" t="s">
        <v>83258</v>
      </c>
      <c r="L4180" t="s">
        <v>83259</v>
      </c>
      <c r="M4180" t="s">
        <v>83260</v>
      </c>
      <c r="N4180">
        <f>-755.402125911292 -70.0564983666741 -763.592375255169</f>
        <v>-1589.0509995331352</v>
      </c>
      <c r="O4180">
        <f>-792.67323917716 -200.825000027142 -707.590504471162</f>
        <v>-1701.088743675464</v>
      </c>
      <c r="P4180">
        <f>-745.451448437119 -176.848915391453 -395.530467822691</f>
        <v>-1317.830831651263</v>
      </c>
      <c r="Q4180">
        <f>-517.943349316505 -50.9200855082865 -400.43223393625</f>
        <v>-969.2956687610415</v>
      </c>
      <c r="R4180" t="s">
        <v>83261</v>
      </c>
      <c r="S4180" t="s">
        <v>83262</v>
      </c>
      <c r="T4180" t="s">
        <v>83263</v>
      </c>
      <c r="U4180" t="s">
        <v>83264</v>
      </c>
      <c r="V4180">
        <f>-735.563420815967 -72.624454005339 -232.182476916767</f>
        <v>-1040.3703517380729</v>
      </c>
      <c r="W4180" t="s">
        <v>83265</v>
      </c>
      <c r="X4180" t="s">
        <v>83266</v>
      </c>
      <c r="Y4180" t="s">
        <v>83267</v>
      </c>
    </row>
    <row r="4181" spans="1:25" x14ac:dyDescent="0.3">
      <c r="A4181">
        <v>209000</v>
      </c>
      <c r="B4181" t="s">
        <v>83268</v>
      </c>
      <c r="C4181" t="s">
        <v>83269</v>
      </c>
      <c r="D4181" t="s">
        <v>83270</v>
      </c>
      <c r="E4181" t="s">
        <v>83271</v>
      </c>
      <c r="F4181" t="s">
        <v>83272</v>
      </c>
      <c r="G4181">
        <f>-755.77691153238 -20.2030809470918 -687.767199565913</f>
        <v>-1463.747192045385</v>
      </c>
      <c r="H4181">
        <f>-746.242719394678 -54.7661555609523 -835.802607289684</f>
        <v>-1636.8114822453144</v>
      </c>
      <c r="I4181">
        <f>-706.567035868954 -75.4550308525861 -927.349419365133</f>
        <v>-1709.371486086673</v>
      </c>
      <c r="J4181">
        <f>-744.27963599655 -9.01698886614895 -777.014318881427</f>
        <v>-1530.310943744126</v>
      </c>
      <c r="K4181" t="s">
        <v>83273</v>
      </c>
      <c r="L4181" t="s">
        <v>83274</v>
      </c>
      <c r="M4181" t="s">
        <v>83275</v>
      </c>
      <c r="N4181">
        <f>-756.64297862578 -69.9291531457266 -763.588779911177</f>
        <v>-1590.1609116826835</v>
      </c>
      <c r="O4181">
        <f>-793.911539545281 -200.69146135055 -707.568211428759</f>
        <v>-1702.17121232459</v>
      </c>
      <c r="P4181">
        <f>-746.515621228341 -176.61688101581 -395.542199588949</f>
        <v>-1318.6747018331</v>
      </c>
      <c r="Q4181">
        <f>-518.951109377189 -50.7921221642821 -400.499110908139</f>
        <v>-970.24234244961008</v>
      </c>
      <c r="R4181" t="s">
        <v>83276</v>
      </c>
      <c r="S4181" t="s">
        <v>83277</v>
      </c>
      <c r="T4181" t="s">
        <v>83278</v>
      </c>
      <c r="U4181" t="s">
        <v>83279</v>
      </c>
      <c r="V4181">
        <f>-736.076036866658 -72.58253123912 -232.191857217754</f>
        <v>-1040.8504253235321</v>
      </c>
      <c r="W4181" t="s">
        <v>83280</v>
      </c>
      <c r="X4181" t="s">
        <v>83281</v>
      </c>
      <c r="Y4181" t="s">
        <v>83282</v>
      </c>
    </row>
    <row r="4182" spans="1:25" x14ac:dyDescent="0.3">
      <c r="A4182">
        <v>209050</v>
      </c>
      <c r="B4182" t="s">
        <v>83283</v>
      </c>
      <c r="C4182" t="s">
        <v>83284</v>
      </c>
      <c r="D4182" t="s">
        <v>83285</v>
      </c>
      <c r="E4182" t="s">
        <v>83286</v>
      </c>
      <c r="F4182" t="s">
        <v>83287</v>
      </c>
      <c r="G4182">
        <f>-757.667084148374 -20.0236748603281 -687.689281853907</f>
        <v>-1465.3800408626091</v>
      </c>
      <c r="H4182">
        <f>-748.733637619548 -54.6256847776826 -835.753086177907</f>
        <v>-1639.1124085751376</v>
      </c>
      <c r="I4182">
        <f>-709.308185463776 -75.4370992370925 -927.380043329159</f>
        <v>-1712.1253280300275</v>
      </c>
      <c r="J4182">
        <f>-746.443471572383 -8.87708149691116 -776.976213093944</f>
        <v>-1532.2967661632383</v>
      </c>
      <c r="K4182" t="s">
        <v>83288</v>
      </c>
      <c r="L4182" t="s">
        <v>83289</v>
      </c>
      <c r="M4182" t="s">
        <v>83290</v>
      </c>
      <c r="N4182">
        <f>-758.929451316575 -69.7537745498669 -763.502780867968</f>
        <v>-1592.1860067344098</v>
      </c>
      <c r="O4182">
        <f>-796.195438246789 -200.501653607013 -707.452109284708</f>
        <v>-1704.1492011385099</v>
      </c>
      <c r="P4182">
        <f>-748.231118914178 -176.415900758327 -395.513919893007</f>
        <v>-1320.1609395655119</v>
      </c>
      <c r="Q4182">
        <f>-520.577898418825 -50.7616208305546 -400.717796898119</f>
        <v>-972.05731614749868</v>
      </c>
      <c r="R4182" t="s">
        <v>83291</v>
      </c>
      <c r="S4182" t="s">
        <v>83292</v>
      </c>
      <c r="T4182" t="s">
        <v>83293</v>
      </c>
      <c r="U4182" t="s">
        <v>83294</v>
      </c>
      <c r="V4182">
        <f>-736.95238436695 -72.5063596270206 -232.195106444692</f>
        <v>-1041.6538504386626</v>
      </c>
      <c r="W4182" t="s">
        <v>83295</v>
      </c>
      <c r="X4182" t="s">
        <v>83296</v>
      </c>
      <c r="Y4182" t="s">
        <v>83297</v>
      </c>
    </row>
    <row r="4183" spans="1:25" x14ac:dyDescent="0.3">
      <c r="A4183">
        <v>209100</v>
      </c>
      <c r="B4183" t="s">
        <v>83298</v>
      </c>
      <c r="C4183" t="s">
        <v>83299</v>
      </c>
      <c r="D4183" t="s">
        <v>83300</v>
      </c>
      <c r="E4183" t="s">
        <v>83301</v>
      </c>
      <c r="F4183" t="s">
        <v>83302</v>
      </c>
      <c r="G4183">
        <f>-758.636221171638 -19.9523155786883 -687.63382324032</f>
        <v>-1466.2223599906463</v>
      </c>
      <c r="H4183">
        <f>-750.016020588134 -54.5983816663661 -835.705888538641</f>
        <v>-1640.3202907931411</v>
      </c>
      <c r="I4183">
        <f>-710.713672364123 -75.4836760611131 -927.368893061012</f>
        <v>-1713.5662414862481</v>
      </c>
      <c r="J4183">
        <f>-747.544878469416 -8.84263601678913 -776.941744807277</f>
        <v>-1533.3292592934822</v>
      </c>
      <c r="K4183" t="s">
        <v>83303</v>
      </c>
      <c r="L4183" t="s">
        <v>83304</v>
      </c>
      <c r="M4183" t="s">
        <v>83305</v>
      </c>
      <c r="N4183">
        <f>-760.115626920452 -69.6946525302108 -763.435407671609</f>
        <v>-1593.2456871222716</v>
      </c>
      <c r="O4183">
        <f>-797.424298588077 -200.405951612326 -707.349926851211</f>
        <v>-1705.180177051614</v>
      </c>
      <c r="P4183">
        <f>-749.113657225814 -176.288109328233 -395.467507770329</f>
        <v>-1320.869274324376</v>
      </c>
      <c r="Q4183">
        <f>-521.40321568787 -50.7474652943263 -400.904220493526</f>
        <v>-973.05490147572232</v>
      </c>
      <c r="R4183" t="s">
        <v>83306</v>
      </c>
      <c r="S4183" t="s">
        <v>83307</v>
      </c>
      <c r="T4183" t="s">
        <v>83308</v>
      </c>
      <c r="U4183" t="s">
        <v>83309</v>
      </c>
      <c r="V4183">
        <f>-737.429747628355 -72.4756512095134 -232.184918363821</f>
        <v>-1042.0903172016895</v>
      </c>
      <c r="W4183" t="s">
        <v>83310</v>
      </c>
      <c r="X4183" t="s">
        <v>83311</v>
      </c>
      <c r="Y4183" t="s">
        <v>83312</v>
      </c>
    </row>
    <row r="4184" spans="1:25" x14ac:dyDescent="0.3">
      <c r="A4184">
        <v>209150</v>
      </c>
      <c r="B4184" t="s">
        <v>83313</v>
      </c>
      <c r="C4184" t="s">
        <v>83314</v>
      </c>
      <c r="D4184" t="s">
        <v>83315</v>
      </c>
      <c r="E4184" t="s">
        <v>83316</v>
      </c>
      <c r="F4184" t="s">
        <v>83317</v>
      </c>
      <c r="G4184">
        <f>-760.840904725248 -19.9572715177901 -687.492520038515</f>
        <v>-1468.2906962815532</v>
      </c>
      <c r="H4184">
        <f>-752.957755001632 -54.8125345175029 -835.556694052659</f>
        <v>-1643.3269835717938</v>
      </c>
      <c r="I4184">
        <f>-713.901424762266 -75.9120765521243 -927.275759462224</f>
        <v>-1717.0892607766141</v>
      </c>
      <c r="J4184">
        <f>-750.040063926222 -9.00262404437717 -776.855171884951</f>
        <v>-1535.8978598555502</v>
      </c>
      <c r="K4184" t="s">
        <v>83318</v>
      </c>
      <c r="L4184" t="s">
        <v>83319</v>
      </c>
      <c r="M4184" t="s">
        <v>83320</v>
      </c>
      <c r="N4184">
        <f>-762.85161789146 -69.7777851524986 -763.230500857316</f>
        <v>-1595.8599039012747</v>
      </c>
      <c r="O4184">
        <f>-800.33658041464 -200.404449252823 -707.057965117168</f>
        <v>-1707.7989947846311</v>
      </c>
      <c r="P4184">
        <f>-751.030350368592 -176.422463974174 -395.320890643502</f>
        <v>-1322.7737049862681</v>
      </c>
      <c r="Q4184">
        <f>-522.977355706261 -51.5508526130393 -401.726291208201</f>
        <v>-976.25449952750137</v>
      </c>
      <c r="R4184" t="s">
        <v>83321</v>
      </c>
      <c r="S4184" t="s">
        <v>83322</v>
      </c>
      <c r="T4184" t="s">
        <v>83323</v>
      </c>
      <c r="U4184" t="s">
        <v>83324</v>
      </c>
      <c r="V4184">
        <f>-738.307754984554 -72.3689310777968 -232.172849616216</f>
        <v>-1042.8495356785668</v>
      </c>
      <c r="W4184" t="s">
        <v>83325</v>
      </c>
      <c r="X4184" t="s">
        <v>83326</v>
      </c>
      <c r="Y4184" t="s">
        <v>83327</v>
      </c>
    </row>
    <row r="4185" spans="1:25" x14ac:dyDescent="0.3">
      <c r="A4185">
        <v>209200</v>
      </c>
      <c r="B4185" t="s">
        <v>83328</v>
      </c>
      <c r="C4185" t="s">
        <v>83329</v>
      </c>
      <c r="D4185" t="s">
        <v>83330</v>
      </c>
      <c r="E4185" t="s">
        <v>83331</v>
      </c>
      <c r="F4185" t="s">
        <v>83332</v>
      </c>
      <c r="G4185">
        <f>-761.917448847775 -19.9654911314315 -687.429777303195</f>
        <v>-1469.3127172824015</v>
      </c>
      <c r="H4185">
        <f>-754.441298397674 -54.9224678386649 -835.490930987728</f>
        <v>-1644.854697224067</v>
      </c>
      <c r="I4185">
        <f>-715.510853101684 -76.1371833929031 -927.236996750151</f>
        <v>-1718.8850332447382</v>
      </c>
      <c r="J4185">
        <f>-751.285656798396 -9.08674509460025 -776.822056680428</f>
        <v>-1537.1944585734241</v>
      </c>
      <c r="K4185" t="s">
        <v>83333</v>
      </c>
      <c r="L4185" t="s">
        <v>83334</v>
      </c>
      <c r="M4185" t="s">
        <v>83335</v>
      </c>
      <c r="N4185">
        <f>-764.212916481805 -69.8234906337573 -763.135022554912</f>
        <v>-1597.1714296704743</v>
      </c>
      <c r="O4185">
        <f>-801.777002987978 -200.416116840249 -706.916445568384</f>
        <v>-1709.1095653966111</v>
      </c>
      <c r="P4185">
        <f>-751.968595831089 -175.922102016427 -395.299221330303</f>
        <v>-1323.1899191778191</v>
      </c>
      <c r="Q4185">
        <f>-523.333129274557 -52.1831714875575 -402.818457983182</f>
        <v>-978.33475874529654</v>
      </c>
      <c r="R4185" t="s">
        <v>83336</v>
      </c>
      <c r="S4185" t="s">
        <v>83337</v>
      </c>
      <c r="T4185" t="s">
        <v>83338</v>
      </c>
      <c r="U4185" t="s">
        <v>83339</v>
      </c>
      <c r="V4185">
        <f>-738.726956999044 -72.2934804912727 -232.164808639254</f>
        <v>-1043.1852461295707</v>
      </c>
      <c r="W4185" t="s">
        <v>83340</v>
      </c>
      <c r="X4185" t="s">
        <v>83341</v>
      </c>
      <c r="Y4185" t="s">
        <v>83342</v>
      </c>
    </row>
    <row r="4186" spans="1:25" x14ac:dyDescent="0.3">
      <c r="A4186">
        <v>209250</v>
      </c>
      <c r="B4186" t="s">
        <v>83343</v>
      </c>
      <c r="C4186" t="s">
        <v>83344</v>
      </c>
      <c r="D4186" t="s">
        <v>83345</v>
      </c>
      <c r="E4186" t="s">
        <v>83346</v>
      </c>
      <c r="F4186" t="s">
        <v>83347</v>
      </c>
      <c r="G4186">
        <f>-764.250839075056 -19.8285833199893 -687.313708927489</f>
        <v>-1471.3931313225344</v>
      </c>
      <c r="H4186">
        <f>-757.575595242705 -54.9437781959086 -835.375759045696</f>
        <v>-1647.8951324843097</v>
      </c>
      <c r="I4186">
        <f>-718.849091665018 -76.3800179468269 -927.156696974301</f>
        <v>-1722.3858065861459</v>
      </c>
      <c r="J4186">
        <f>-753.935741900461 -9.07776818740717 -776.758510038004</f>
        <v>-1539.7720201258721</v>
      </c>
      <c r="K4186" t="s">
        <v>83348</v>
      </c>
      <c r="L4186" t="s">
        <v>83349</v>
      </c>
      <c r="M4186" t="s">
        <v>83350</v>
      </c>
      <c r="N4186">
        <f>-767.122670269153 -69.7350683507132 -762.967207860537</f>
        <v>-1599.824946480403</v>
      </c>
      <c r="O4186">
        <f>-805.006654984371 -200.1923344712 -706.632260406859</f>
        <v>-1711.83124986243</v>
      </c>
      <c r="P4186">
        <f>-754.374270228431 -176.047985513132 -395.120574322171</f>
        <v>-1325.5428300637341</v>
      </c>
      <c r="Q4186">
        <f>-524.946424130272 -53.9058906681933 -404.408695884116</f>
        <v>-983.26101068258129</v>
      </c>
      <c r="R4186" t="s">
        <v>83351</v>
      </c>
      <c r="S4186" t="s">
        <v>83352</v>
      </c>
      <c r="T4186" t="s">
        <v>83353</v>
      </c>
      <c r="U4186" t="s">
        <v>83354</v>
      </c>
      <c r="V4186">
        <f>-739.589423490113 -72.0380269386433 -232.150560418662</f>
        <v>-1043.7780108474183</v>
      </c>
      <c r="W4186" t="s">
        <v>83355</v>
      </c>
      <c r="X4186" t="s">
        <v>83356</v>
      </c>
      <c r="Y4186" t="s">
        <v>83357</v>
      </c>
    </row>
    <row r="4187" spans="1:25" x14ac:dyDescent="0.3">
      <c r="A4187">
        <v>209300</v>
      </c>
      <c r="B4187" t="s">
        <v>83358</v>
      </c>
      <c r="C4187" t="s">
        <v>83359</v>
      </c>
      <c r="D4187" t="s">
        <v>83360</v>
      </c>
      <c r="E4187" t="s">
        <v>83361</v>
      </c>
      <c r="F4187" t="s">
        <v>83362</v>
      </c>
      <c r="G4187">
        <f>-765.538198714084 -19.681154385632 -687.280266231681</f>
        <v>-1472.4996193313971</v>
      </c>
      <c r="H4187">
        <f>-759.378182844178 -54.8163679120919 -835.359867750286</f>
        <v>-1649.554418506556</v>
      </c>
      <c r="I4187">
        <f>-720.744053503005 -76.3562667479232 -927.155329419541</f>
        <v>-1724.2556496704692</v>
      </c>
      <c r="J4187">
        <f>-755.45881722181 -8.95740153995985 -776.75514599158</f>
        <v>-1541.1713647533497</v>
      </c>
      <c r="K4187" t="s">
        <v>83363</v>
      </c>
      <c r="L4187" t="s">
        <v>83364</v>
      </c>
      <c r="M4187" t="s">
        <v>83365</v>
      </c>
      <c r="N4187">
        <f>-768.748830389286 -69.5829056418627 -762.923264009628</f>
        <v>-1601.2550000407768</v>
      </c>
      <c r="O4187">
        <f>-806.984114640978 -199.914439507587 -706.552963913112</f>
        <v>-1713.4515180616768</v>
      </c>
      <c r="P4187">
        <f>-756.905662198775 -175.994531695238 -394.934337218069</f>
        <v>-1327.834531112082</v>
      </c>
      <c r="Q4187">
        <f>-526.963400452144 -54.8907673906037 -405.055936534451</f>
        <v>-986.91010437719876</v>
      </c>
      <c r="R4187" t="s">
        <v>83366</v>
      </c>
      <c r="S4187" t="s">
        <v>83367</v>
      </c>
      <c r="T4187" t="s">
        <v>83368</v>
      </c>
      <c r="U4187" t="s">
        <v>83369</v>
      </c>
      <c r="V4187">
        <f>-739.946582980894 -71.9008288704131 -232.161956123013</f>
        <v>-1044.0093679743202</v>
      </c>
      <c r="W4187" t="s">
        <v>83370</v>
      </c>
      <c r="X4187" t="s">
        <v>83371</v>
      </c>
      <c r="Y4187" t="s">
        <v>83372</v>
      </c>
    </row>
    <row r="4188" spans="1:25" x14ac:dyDescent="0.3">
      <c r="A4188">
        <v>209350</v>
      </c>
      <c r="B4188" t="s">
        <v>83373</v>
      </c>
      <c r="C4188" t="s">
        <v>83374</v>
      </c>
      <c r="D4188" t="s">
        <v>83375</v>
      </c>
      <c r="E4188" t="s">
        <v>83376</v>
      </c>
      <c r="F4188" t="s">
        <v>83377</v>
      </c>
      <c r="G4188">
        <f>-767.434162037448 -19.5347726273808 -687.204761053742</f>
        <v>-1474.1736957185708</v>
      </c>
      <c r="H4188">
        <f>-761.834582376342 -54.9528050837698 -835.239181590765</f>
        <v>-1652.0265690508768</v>
      </c>
      <c r="I4188">
        <f>-723.15476089166 -76.7847265424457 -926.946516476861</f>
        <v>-1726.8860039109668</v>
      </c>
      <c r="J4188">
        <f>-757.47202567877 -9.02686653930664 -776.718414059148</f>
        <v>-1543.2173062772247</v>
      </c>
      <c r="K4188" t="s">
        <v>83378</v>
      </c>
      <c r="L4188" t="s">
        <v>83379</v>
      </c>
      <c r="M4188" t="s">
        <v>83380</v>
      </c>
      <c r="N4188">
        <f>-771.152502742859 -69.5360795233671 -762.75867767331</f>
        <v>-1603.4472599395363</v>
      </c>
      <c r="O4188">
        <f>-810.081733377874 -199.728672312055 -706.493856546682</f>
        <v>-1716.3042622366111</v>
      </c>
      <c r="P4188">
        <f>-761.61930693017 -176.673353806755 -394.554637040348</f>
        <v>-1332.8472977772731</v>
      </c>
      <c r="Q4188">
        <f>-530.035873601038 -58.6972313540603 -404.187565947117</f>
        <v>-992.92067090221531</v>
      </c>
      <c r="R4188" t="s">
        <v>83381</v>
      </c>
      <c r="S4188" t="s">
        <v>83382</v>
      </c>
      <c r="T4188" t="s">
        <v>83383</v>
      </c>
      <c r="U4188" t="s">
        <v>83384</v>
      </c>
      <c r="V4188">
        <f>-740.77338736367 -71.5157040099512 -232.214187616315</f>
        <v>-1044.5032789899362</v>
      </c>
      <c r="W4188" t="s">
        <v>83385</v>
      </c>
      <c r="X4188" t="s">
        <v>83386</v>
      </c>
      <c r="Y4188" t="s">
        <v>83387</v>
      </c>
    </row>
    <row r="4189" spans="1:25" x14ac:dyDescent="0.3">
      <c r="A4189">
        <v>209400</v>
      </c>
      <c r="B4189" t="s">
        <v>83388</v>
      </c>
      <c r="C4189" t="s">
        <v>83389</v>
      </c>
      <c r="D4189" t="s">
        <v>83390</v>
      </c>
      <c r="E4189" t="s">
        <v>83391</v>
      </c>
      <c r="F4189" t="s">
        <v>83392</v>
      </c>
      <c r="G4189">
        <f>-768.368721540145 -19.1779827982284 -687.199142428989</f>
        <v>-1474.7458467673623</v>
      </c>
      <c r="H4189">
        <f>-762.924550739794 -54.6119447941792 -835.235685495343</f>
        <v>-1652.772181029316</v>
      </c>
      <c r="I4189">
        <f>-724.115268279155 -76.5630270052193 -926.859719186512</f>
        <v>-1727.5380144708863</v>
      </c>
      <c r="J4189">
        <f>-758.362429740614 -8.70838788496508 -776.712425625375</f>
        <v>-1543.783243250954</v>
      </c>
      <c r="K4189" t="s">
        <v>83393</v>
      </c>
      <c r="L4189" t="s">
        <v>83394</v>
      </c>
      <c r="M4189" t="s">
        <v>83395</v>
      </c>
      <c r="N4189">
        <f>-772.304482461495 -69.1587145423853 -762.75573862487</f>
        <v>-1604.2189356287504</v>
      </c>
      <c r="O4189">
        <f>-811.643098416265 -199.254741254264 -706.604205639341</f>
        <v>-1717.50204530987</v>
      </c>
      <c r="P4189">
        <f>-764.028007072675 -175.32581091532 -394.600379422133</f>
        <v>-1333.954197410128</v>
      </c>
      <c r="Q4189">
        <f>-531.259171121217 -59.7758028791357 -405.036315455213</f>
        <v>-996.07128945556565</v>
      </c>
      <c r="R4189" t="s">
        <v>83396</v>
      </c>
      <c r="S4189" t="s">
        <v>83397</v>
      </c>
      <c r="T4189" t="s">
        <v>83398</v>
      </c>
      <c r="U4189" t="s">
        <v>83399</v>
      </c>
      <c r="V4189">
        <f>-741.259174911643 -71.2751090971058 -232.248415657876</f>
        <v>-1044.7826996666247</v>
      </c>
      <c r="W4189" t="s">
        <v>83400</v>
      </c>
      <c r="X4189" t="s">
        <v>83401</v>
      </c>
      <c r="Y4189" t="s">
        <v>83402</v>
      </c>
    </row>
    <row r="4190" spans="1:25" x14ac:dyDescent="0.3">
      <c r="A4190">
        <v>209450</v>
      </c>
      <c r="B4190" t="s">
        <v>83403</v>
      </c>
      <c r="C4190" t="s">
        <v>83404</v>
      </c>
      <c r="D4190" t="s">
        <v>83405</v>
      </c>
      <c r="E4190" t="s">
        <v>83406</v>
      </c>
      <c r="F4190" t="s">
        <v>83407</v>
      </c>
      <c r="G4190">
        <f>-770.638803509396 -18.5800976494993 -687.134782377265</f>
        <v>-1476.3536835361601</v>
      </c>
      <c r="H4190">
        <f>-765.64223302994 -54.2000308482427 -835.14247034935</f>
        <v>-1654.9847342275327</v>
      </c>
      <c r="I4190">
        <f>-726.575649484588 -76.4764136172212 -926.578539221019</f>
        <v>-1729.6306023228281</v>
      </c>
      <c r="J4190">
        <f>-760.555268134005 -8.29819160882016 -776.661211038753</f>
        <v>-1545.5146707815782</v>
      </c>
      <c r="K4190" t="s">
        <v>83408</v>
      </c>
      <c r="L4190" t="s">
        <v>83409</v>
      </c>
      <c r="M4190" t="s">
        <v>83410</v>
      </c>
      <c r="N4190">
        <f>-775.150846209509 -68.5804335330886 -762.646082685009</f>
        <v>-1606.3773624276066</v>
      </c>
      <c r="O4190">
        <f>-815.616270070081 -198.392130163208 -706.64966544185</f>
        <v>-1720.6580656751389</v>
      </c>
      <c r="P4190">
        <f>-767.519812697009 -173.767035295591 -394.773733751199</f>
        <v>-1336.060581743799</v>
      </c>
      <c r="Q4190">
        <f>-531.245198029293 -65.5786321128655 -405.33976108365</f>
        <v>-1002.1635912258084</v>
      </c>
      <c r="R4190" t="s">
        <v>83411</v>
      </c>
      <c r="S4190" t="s">
        <v>83412</v>
      </c>
      <c r="T4190" t="s">
        <v>83413</v>
      </c>
      <c r="U4190" t="s">
        <v>83414</v>
      </c>
      <c r="V4190">
        <f>-742.490003836147 -70.7461585316071 -232.289307548069</f>
        <v>-1045.5254699158231</v>
      </c>
      <c r="W4190" t="s">
        <v>83415</v>
      </c>
      <c r="X4190" t="s">
        <v>83416</v>
      </c>
      <c r="Y4190" t="s">
        <v>83417</v>
      </c>
    </row>
    <row r="4191" spans="1:25" x14ac:dyDescent="0.3">
      <c r="A4191">
        <v>209500</v>
      </c>
      <c r="B4191" t="s">
        <v>83418</v>
      </c>
      <c r="C4191" t="s">
        <v>83419</v>
      </c>
      <c r="D4191" t="s">
        <v>83420</v>
      </c>
      <c r="E4191" t="s">
        <v>83421</v>
      </c>
      <c r="F4191" t="s">
        <v>83422</v>
      </c>
      <c r="G4191">
        <f>-771.79204254658 -18.2654045738436 -687.028614641405</f>
        <v>-1477.0860617618287</v>
      </c>
      <c r="H4191">
        <f>-767.070662101042 -53.9887095946194 -835.020253460297</f>
        <v>-1656.0796251559584</v>
      </c>
      <c r="I4191">
        <f>-727.897784268579 -76.4730937580425 -926.35990180325</f>
        <v>-1730.7307798298716</v>
      </c>
      <c r="J4191">
        <f>-761.682370972416 -8.08941360108588 -776.564122887976</f>
        <v>-1546.335907461478</v>
      </c>
      <c r="K4191" t="s">
        <v>83423</v>
      </c>
      <c r="L4191" t="s">
        <v>83424</v>
      </c>
      <c r="M4191" t="s">
        <v>83425</v>
      </c>
      <c r="N4191">
        <f>-776.637121545948 -68.2751408781598 -762.513142248981</f>
        <v>-1607.4254046730889</v>
      </c>
      <c r="O4191">
        <f>-817.658366630957 -197.910004652411 -706.51249423784</f>
        <v>-1722.0808655212079</v>
      </c>
      <c r="P4191">
        <f>-768.909046825253 -173.321651494895 -394.735208000402</f>
        <v>-1336.9659063205499</v>
      </c>
      <c r="Q4191">
        <f>-531.428204911014 -67.758254829163 -404.800229378241</f>
        <v>-1003.9866891184179</v>
      </c>
      <c r="R4191" t="s">
        <v>83426</v>
      </c>
      <c r="S4191" t="s">
        <v>83427</v>
      </c>
      <c r="T4191" t="s">
        <v>83428</v>
      </c>
      <c r="U4191" t="s">
        <v>83429</v>
      </c>
      <c r="V4191">
        <f>-743.193072636749 -70.4640437313628 -232.286778089895</f>
        <v>-1045.9438944580068</v>
      </c>
      <c r="W4191" t="s">
        <v>83430</v>
      </c>
      <c r="X4191" t="s">
        <v>83431</v>
      </c>
      <c r="Y4191" t="s">
        <v>83432</v>
      </c>
    </row>
    <row r="4192" spans="1:25" x14ac:dyDescent="0.3">
      <c r="A4192">
        <v>209550</v>
      </c>
      <c r="B4192" t="s">
        <v>83433</v>
      </c>
      <c r="C4192" t="s">
        <v>83434</v>
      </c>
      <c r="D4192" t="s">
        <v>83435</v>
      </c>
      <c r="E4192" t="s">
        <v>83436</v>
      </c>
      <c r="F4192" t="s">
        <v>83437</v>
      </c>
      <c r="G4192">
        <f>-774.170559024365 -17.6319613874482 -686.782460452642</f>
        <v>-1478.5849808644552</v>
      </c>
      <c r="H4192">
        <f>-769.753220817152 -53.7314442355109 -834.692346103875</f>
        <v>-1658.1770111565379</v>
      </c>
      <c r="I4192">
        <f>-730.33720142598 -76.6840128021627 -925.810601089203</f>
        <v>-1732.8318153173457</v>
      </c>
      <c r="J4192">
        <f>-763.918476613838 -7.75981780579514 -776.335687192899</f>
        <v>-1548.013981612532</v>
      </c>
      <c r="K4192" t="s">
        <v>83438</v>
      </c>
      <c r="L4192" t="s">
        <v>83439</v>
      </c>
      <c r="M4192" t="s">
        <v>83440</v>
      </c>
      <c r="N4192">
        <f>-779.497013996718 -67.7572440307761 -762.157788060021</f>
        <v>-1609.4120460875151</v>
      </c>
      <c r="O4192">
        <f>-821.151848989736 -197.145510191172 -706.084573143412</f>
        <v>-1724.3819323243199</v>
      </c>
      <c r="P4192">
        <f>-771.865156794841 -173.541303066093 -394.315723143191</f>
        <v>-1339.7221830041251</v>
      </c>
      <c r="Q4192">
        <f>-534.317078835952 -67.806903639909 -400.083681508408</f>
        <v>-1002.2076639842689</v>
      </c>
      <c r="R4192" t="s">
        <v>83441</v>
      </c>
      <c r="S4192" t="s">
        <v>83442</v>
      </c>
      <c r="T4192" t="s">
        <v>83443</v>
      </c>
      <c r="U4192" t="s">
        <v>83444</v>
      </c>
      <c r="V4192">
        <f>-745.122320356224 -69.8187138692206 -232.267375144266</f>
        <v>-1047.2084093697106</v>
      </c>
      <c r="W4192" t="s">
        <v>83445</v>
      </c>
      <c r="X4192" t="s">
        <v>83446</v>
      </c>
      <c r="Y4192" t="s">
        <v>83447</v>
      </c>
    </row>
    <row r="4193" spans="1:25" x14ac:dyDescent="0.3">
      <c r="A4193">
        <v>209600</v>
      </c>
      <c r="B4193" t="s">
        <v>83448</v>
      </c>
      <c r="C4193" t="s">
        <v>83449</v>
      </c>
      <c r="D4193" t="s">
        <v>83450</v>
      </c>
      <c r="E4193" t="s">
        <v>83451</v>
      </c>
      <c r="F4193" t="s">
        <v>83452</v>
      </c>
      <c r="G4193">
        <f>-775.337181270528 -17.682581178173 -686.601173517781</f>
        <v>-1479.6209359664822</v>
      </c>
      <c r="H4193">
        <f>-771.041280061147 -54.2160673061878 -834.407883903868</f>
        <v>-1659.6652312712026</v>
      </c>
      <c r="I4193">
        <f>-731.497200514736 -77.5315486321817 -925.378435627909</f>
        <v>-1734.4071847748269</v>
      </c>
      <c r="J4193">
        <f>-764.989139167758 -8.11421948384327 -776.176239747177</f>
        <v>-1549.2795983987783</v>
      </c>
      <c r="K4193" t="s">
        <v>83453</v>
      </c>
      <c r="L4193" t="s">
        <v>83454</v>
      </c>
      <c r="M4193" t="s">
        <v>83455</v>
      </c>
      <c r="N4193">
        <f>-780.894926278809 -67.9879277088323 -761.83952092033</f>
        <v>-1610.7223749079712</v>
      </c>
      <c r="O4193">
        <f>-822.669607636677 -197.20647201525 -705.534728263373</f>
        <v>-1725.4108079153002</v>
      </c>
      <c r="P4193">
        <f>-773.430682702417 -174.928824929142 -393.660715465047</f>
        <v>-1342.0202230966061</v>
      </c>
      <c r="Q4193">
        <f>-537.268872872968 -66.0576694955773 -397.749083261526</f>
        <v>-1001.0756256300713</v>
      </c>
      <c r="R4193" t="s">
        <v>83456</v>
      </c>
      <c r="S4193" t="s">
        <v>83457</v>
      </c>
      <c r="T4193" t="s">
        <v>83458</v>
      </c>
      <c r="U4193" t="s">
        <v>83459</v>
      </c>
      <c r="V4193">
        <f>-746.297159893391 -69.4989019714421 -232.253924000567</f>
        <v>-1048.0499858654002</v>
      </c>
      <c r="W4193" t="s">
        <v>83460</v>
      </c>
      <c r="X4193" t="s">
        <v>83461</v>
      </c>
      <c r="Y4193" t="s">
        <v>83462</v>
      </c>
    </row>
    <row r="4194" spans="1:25" x14ac:dyDescent="0.3">
      <c r="A4194">
        <v>209650</v>
      </c>
      <c r="B4194" t="s">
        <v>83463</v>
      </c>
      <c r="C4194" t="s">
        <v>83464</v>
      </c>
      <c r="D4194" t="s">
        <v>83465</v>
      </c>
      <c r="E4194" t="s">
        <v>83466</v>
      </c>
      <c r="F4194" t="s">
        <v>83467</v>
      </c>
      <c r="G4194">
        <f>-778.183133113328 -17.6517549763109 -686.302348703588</f>
        <v>-1482.137236793227</v>
      </c>
      <c r="H4194">
        <f>-774.19170035255 -55.0120910349503 -833.910968969881</f>
        <v>-1663.1147603573813</v>
      </c>
      <c r="I4194">
        <f>-734.371999110606 -78.9413892263417 -924.601381548828</f>
        <v>-1737.9147698857757</v>
      </c>
      <c r="J4194">
        <f>-767.713481196198 -8.66145638436092 -775.923267094186</f>
        <v>-1552.298204674745</v>
      </c>
      <c r="K4194" t="s">
        <v>83468</v>
      </c>
      <c r="L4194" t="s">
        <v>83469</v>
      </c>
      <c r="M4194" t="s">
        <v>83470</v>
      </c>
      <c r="N4194">
        <f>-784.202217727655 -68.3013014257701 -761.274010020426</f>
        <v>-1613.7775291738512</v>
      </c>
      <c r="O4194">
        <f>-826.645573584819 -197.076544460669 -704.343324763213</f>
        <v>-1728.0654428087009</v>
      </c>
      <c r="P4194">
        <f>-773.079203088052 -174.06889134036 -393.236543650922</f>
        <v>-1340.3846380793341</v>
      </c>
      <c r="Q4194">
        <f>-540.518403180787 -57.7655241361463 -398.817370350048</f>
        <v>-997.10129766698128</v>
      </c>
      <c r="R4194" t="s">
        <v>83471</v>
      </c>
      <c r="S4194" t="s">
        <v>83472</v>
      </c>
      <c r="T4194" t="s">
        <v>83473</v>
      </c>
      <c r="U4194" t="s">
        <v>83474</v>
      </c>
      <c r="V4194">
        <f>-749.165694737556 -68.6528185178784 -232.210632850959</f>
        <v>-1050.0291461063935</v>
      </c>
      <c r="W4194" t="s">
        <v>83475</v>
      </c>
      <c r="X4194" t="s">
        <v>83476</v>
      </c>
      <c r="Y4194" t="s">
        <v>83477</v>
      </c>
    </row>
    <row r="4195" spans="1:25" x14ac:dyDescent="0.3">
      <c r="A4195">
        <v>209700</v>
      </c>
      <c r="B4195" t="s">
        <v>83478</v>
      </c>
      <c r="C4195" t="s">
        <v>83479</v>
      </c>
      <c r="D4195" t="s">
        <v>83480</v>
      </c>
      <c r="E4195" t="s">
        <v>83481</v>
      </c>
      <c r="F4195" t="s">
        <v>83482</v>
      </c>
      <c r="G4195">
        <f>-779.66870956667 -17.7489149374737 -686.14286911327</f>
        <v>-1483.5604936174136</v>
      </c>
      <c r="H4195">
        <f>-775.873590774306 -55.5643327736418 -833.640540270804</f>
        <v>-1665.0784638187517</v>
      </c>
      <c r="I4195">
        <f>-735.933440891454 -79.8211470114422 -924.191056423516</f>
        <v>-1739.9456443264121</v>
      </c>
      <c r="J4195">
        <f>-769.215726484939 -9.06116331485146 -775.795650272277</f>
        <v>-1554.0725400720676</v>
      </c>
      <c r="K4195" t="s">
        <v>83483</v>
      </c>
      <c r="L4195" t="s">
        <v>83484</v>
      </c>
      <c r="M4195" t="s">
        <v>83485</v>
      </c>
      <c r="N4195">
        <f>-785.889904345946 -68.6032030366721 -760.959273686355</f>
        <v>-1615.452381068973</v>
      </c>
      <c r="O4195">
        <f>-828.601021456968 -197.115062746912 -703.621975406129</f>
        <v>-1729.3380596100089</v>
      </c>
      <c r="P4195">
        <f>-772.149986555323 -172.401771866845 -393.156740033002</f>
        <v>-1337.70849845517</v>
      </c>
      <c r="Q4195">
        <f>-540.357440452239 -54.7230754183486 -401.279678090152</f>
        <v>-996.36019396073948</v>
      </c>
      <c r="R4195" t="s">
        <v>83486</v>
      </c>
      <c r="S4195" t="s">
        <v>83487</v>
      </c>
      <c r="T4195" t="s">
        <v>83488</v>
      </c>
      <c r="U4195" t="s">
        <v>83489</v>
      </c>
      <c r="V4195">
        <f>-750.510373280638 -68.2391206848567 -232.23495848711</f>
        <v>-1050.9844524526047</v>
      </c>
      <c r="W4195" t="s">
        <v>83490</v>
      </c>
      <c r="X4195" t="s">
        <v>83491</v>
      </c>
      <c r="Y4195" t="s">
        <v>83492</v>
      </c>
    </row>
    <row r="4196" spans="1:25" x14ac:dyDescent="0.3">
      <c r="A4196">
        <v>209750</v>
      </c>
      <c r="B4196" t="s">
        <v>83493</v>
      </c>
      <c r="C4196" t="s">
        <v>83494</v>
      </c>
      <c r="D4196" t="s">
        <v>83495</v>
      </c>
      <c r="E4196" t="s">
        <v>83496</v>
      </c>
      <c r="F4196" t="s">
        <v>83497</v>
      </c>
      <c r="G4196">
        <f>-782.07285458278 -17.8010104798359 -685.844017894481</f>
        <v>-1485.7178829570969</v>
      </c>
      <c r="H4196">
        <f>-778.496322791696 -56.6210215797637 -833.086057402859</f>
        <v>-1668.2034017743185</v>
      </c>
      <c r="I4196">
        <f>-738.293072733829 -81.5338796025162 -923.341403916608</f>
        <v>-1743.1683562529533</v>
      </c>
      <c r="J4196">
        <f>-771.567424299844 -9.77287274796549 -775.552172319021</f>
        <v>-1556.8924693668305</v>
      </c>
      <c r="K4196" t="s">
        <v>83498</v>
      </c>
      <c r="L4196" t="s">
        <v>83499</v>
      </c>
      <c r="M4196" t="s">
        <v>83500</v>
      </c>
      <c r="N4196">
        <f>-788.590315351488 -69.1159702236266 -760.319931363582</f>
        <v>-1618.0262169386965</v>
      </c>
      <c r="O4196">
        <f>-831.934209644187 -197.185031246495 -702.474787743113</f>
        <v>-1731.594028633795</v>
      </c>
      <c r="P4196">
        <f>-770.013031425169 -170.773714525276 -393.194303064413</f>
        <v>-1333.9810490148579</v>
      </c>
      <c r="Q4196">
        <f>-538.07297450598 -53.8169587502846 -406.113943947569</f>
        <v>-998.00387720383355</v>
      </c>
      <c r="R4196" t="s">
        <v>83501</v>
      </c>
      <c r="S4196" t="s">
        <v>83502</v>
      </c>
      <c r="T4196" t="s">
        <v>83503</v>
      </c>
      <c r="U4196" t="s">
        <v>83504</v>
      </c>
      <c r="V4196">
        <f>-752.625656080577 -67.3500725674144 -232.377872199811</f>
        <v>-1052.3536008478022</v>
      </c>
      <c r="W4196" t="s">
        <v>83505</v>
      </c>
      <c r="X4196" t="s">
        <v>83506</v>
      </c>
      <c r="Y4196" t="s">
        <v>83507</v>
      </c>
    </row>
    <row r="4197" spans="1:25" x14ac:dyDescent="0.3">
      <c r="A4197">
        <v>209800</v>
      </c>
      <c r="B4197" t="s">
        <v>83508</v>
      </c>
      <c r="C4197" t="s">
        <v>83509</v>
      </c>
      <c r="D4197" t="s">
        <v>83510</v>
      </c>
      <c r="E4197" t="s">
        <v>83511</v>
      </c>
      <c r="F4197" t="s">
        <v>83512</v>
      </c>
      <c r="G4197">
        <f>-782.821955732823 -17.6939497399069 -685.714036242971</f>
        <v>-1486.229941715701</v>
      </c>
      <c r="H4197">
        <f>-779.277283750202 -56.9789443686332 -832.833403811556</f>
        <v>-1669.0896319303911</v>
      </c>
      <c r="I4197">
        <f>-738.964496136893 -82.2482924278133 -922.940678812465</f>
        <v>-1744.1534673771712</v>
      </c>
      <c r="J4197">
        <f>-772.241254980199 -9.97423398346018 -775.44026160133</f>
        <v>-1557.6557505649891</v>
      </c>
      <c r="K4197" t="s">
        <v>83513</v>
      </c>
      <c r="L4197" t="s">
        <v>83514</v>
      </c>
      <c r="M4197" t="s">
        <v>83515</v>
      </c>
      <c r="N4197">
        <f>-789.450207025993 -69.2189651085669 -760.034944010393</f>
        <v>-1618.7041161449529</v>
      </c>
      <c r="O4197">
        <f>-833.264448536247 -197.012647542832 -701.958206906562</f>
        <v>-1732.2353029856411</v>
      </c>
      <c r="P4197">
        <f>-769.074618915626 -171.152244038889 -393.093961087795</f>
        <v>-1333.3208240423101</v>
      </c>
      <c r="Q4197">
        <f>-537.250078895006 -54.3150811746859 -408.859942602106</f>
        <v>-1000.425102671798</v>
      </c>
      <c r="R4197" t="s">
        <v>83516</v>
      </c>
      <c r="S4197" t="s">
        <v>83517</v>
      </c>
      <c r="T4197" t="s">
        <v>83518</v>
      </c>
      <c r="U4197" t="s">
        <v>83519</v>
      </c>
      <c r="V4197">
        <f>-753.322397077146 -66.8049609054121 -232.467266633335</f>
        <v>-1052.5946246158931</v>
      </c>
      <c r="W4197" t="s">
        <v>83520</v>
      </c>
      <c r="X4197" t="s">
        <v>83521</v>
      </c>
      <c r="Y4197" t="s">
        <v>83522</v>
      </c>
    </row>
    <row r="4198" spans="1:25" x14ac:dyDescent="0.3">
      <c r="A4198">
        <v>209850</v>
      </c>
      <c r="B4198" t="s">
        <v>83523</v>
      </c>
      <c r="C4198" t="s">
        <v>83524</v>
      </c>
      <c r="D4198" t="s">
        <v>83525</v>
      </c>
      <c r="E4198" t="s">
        <v>83526</v>
      </c>
      <c r="F4198" t="s">
        <v>83527</v>
      </c>
      <c r="G4198">
        <f>-782.806418327881 -17.4909448298795 -685.72417784016</f>
        <v>-1486.0215409979205</v>
      </c>
      <c r="H4198">
        <f>-779.068255937662 -57.6508736496553 -832.602301319522</f>
        <v>-1669.3214309068394</v>
      </c>
      <c r="I4198">
        <f>-738.583389704264 -83.5450367842898 -922.45475193005</f>
        <v>-1744.5831784186039</v>
      </c>
      <c r="J4198">
        <f>-771.940480510565 -10.3500954965757 -775.464321493634</f>
        <v>-1557.7548975007746</v>
      </c>
      <c r="K4198" t="s">
        <v>83528</v>
      </c>
      <c r="L4198" t="s">
        <v>83529</v>
      </c>
      <c r="M4198" t="s">
        <v>83530</v>
      </c>
      <c r="N4198">
        <f>-789.504013288992 -69.4125334238104 -759.762227892416</f>
        <v>-1618.6787746052185</v>
      </c>
      <c r="O4198">
        <f>-834.104870118756 -196.696375583797 -701.101453168285</f>
        <v>-1731.9026988708379</v>
      </c>
      <c r="P4198">
        <f>-767.285787607964 -172.260065432296 -392.679185352627</f>
        <v>-1332.225038392887</v>
      </c>
      <c r="Q4198">
        <f>-534.616641324773 -57.7368148234923 -412.467275407509</f>
        <v>-1004.8207315557743</v>
      </c>
      <c r="R4198" t="s">
        <v>83531</v>
      </c>
      <c r="S4198" t="s">
        <v>83532</v>
      </c>
      <c r="T4198" t="s">
        <v>83533</v>
      </c>
      <c r="U4198" t="s">
        <v>83534</v>
      </c>
      <c r="V4198">
        <f>-753.977565015196 -65.5500274085684 -232.718638367794</f>
        <v>-1052.2462307915584</v>
      </c>
      <c r="W4198" t="s">
        <v>83535</v>
      </c>
      <c r="X4198" t="s">
        <v>83536</v>
      </c>
      <c r="Y4198" t="s">
        <v>83537</v>
      </c>
    </row>
    <row r="4199" spans="1:25" x14ac:dyDescent="0.3">
      <c r="A4199">
        <v>209900</v>
      </c>
      <c r="B4199" t="s">
        <v>83538</v>
      </c>
      <c r="C4199" t="s">
        <v>83539</v>
      </c>
      <c r="D4199" t="s">
        <v>83540</v>
      </c>
      <c r="E4199" t="s">
        <v>83541</v>
      </c>
      <c r="F4199" t="s">
        <v>83542</v>
      </c>
      <c r="G4199">
        <f>-782.355305771219 -17.0889979795074 -685.866069703706</f>
        <v>-1485.3103734544325</v>
      </c>
      <c r="H4199">
        <f>-778.372236343479 -57.5001752965995 -832.668910094799</f>
        <v>-1668.5413217348776</v>
      </c>
      <c r="I4199">
        <f>-737.78234178394 -83.5682553300317 -922.423650938829</f>
        <v>-1743.7742480528007</v>
      </c>
      <c r="J4199">
        <f>-771.304549307914 -10.1113026837788 -775.596470312877</f>
        <v>-1557.0123223045698</v>
      </c>
      <c r="K4199" t="s">
        <v>83543</v>
      </c>
      <c r="L4199" t="s">
        <v>83544</v>
      </c>
      <c r="M4199" t="s">
        <v>83545</v>
      </c>
      <c r="N4199">
        <f>-788.964665657042 -69.1276291567988 -759.829937314729</f>
        <v>-1617.9222321285697</v>
      </c>
      <c r="O4199">
        <f>-833.709194455171 -196.254016622939 -700.931932153287</f>
        <v>-1730.895143231397</v>
      </c>
      <c r="P4199">
        <f>-766.393977509108 -171.195196765644 -392.66755520886</f>
        <v>-1330.2567294836122</v>
      </c>
      <c r="Q4199">
        <f>-533.512269955314 -57.4573687999816 -414.39036682499</f>
        <v>-1005.3600055802856</v>
      </c>
      <c r="R4199" t="s">
        <v>83546</v>
      </c>
      <c r="S4199" t="s">
        <v>83547</v>
      </c>
      <c r="T4199" t="s">
        <v>83548</v>
      </c>
      <c r="U4199" t="s">
        <v>83549</v>
      </c>
      <c r="V4199">
        <f>-754.060618180069 -64.8981889863662 -232.860672402124</f>
        <v>-1051.8194795685592</v>
      </c>
      <c r="W4199" t="s">
        <v>83550</v>
      </c>
      <c r="X4199" t="s">
        <v>83551</v>
      </c>
      <c r="Y4199" t="s">
        <v>83552</v>
      </c>
    </row>
    <row r="4200" spans="1:25" x14ac:dyDescent="0.3">
      <c r="A4200">
        <v>209950</v>
      </c>
      <c r="B4200" t="s">
        <v>83553</v>
      </c>
      <c r="C4200" t="s">
        <v>83554</v>
      </c>
      <c r="D4200" t="s">
        <v>83555</v>
      </c>
      <c r="E4200" t="s">
        <v>83556</v>
      </c>
      <c r="F4200" t="s">
        <v>83557</v>
      </c>
      <c r="G4200">
        <f>-780.962337612302 -16.3520931142955 -686.141173994449</f>
        <v>-1483.4556047210465</v>
      </c>
      <c r="H4200">
        <f>-776.312578999392 -57.0885790005816 -832.834377332705</f>
        <v>-1666.2355353326786</v>
      </c>
      <c r="I4200">
        <f>-735.477735681998 -83.315802770876 -922.431535664691</f>
        <v>-1741.2250741175649</v>
      </c>
      <c r="J4200">
        <f>-769.569582471889 -9.55547267039788 -775.842816644273</f>
        <v>-1554.96787178656</v>
      </c>
      <c r="K4200" t="s">
        <v>83558</v>
      </c>
      <c r="L4200" t="s">
        <v>83559</v>
      </c>
      <c r="M4200" t="s">
        <v>83560</v>
      </c>
      <c r="N4200">
        <f>-787.170320926496 -68.5724161880248 -760.011632480735</f>
        <v>-1615.7543695952559</v>
      </c>
      <c r="O4200">
        <f>-831.867213428807 -195.588987727029 -700.867867866242</f>
        <v>-1728.324069022078</v>
      </c>
      <c r="P4200">
        <f>-765.129157107172 -169.598207260075 -392.555247351423</f>
        <v>-1327.2826117186701</v>
      </c>
      <c r="Q4200">
        <f>-531.89745434464 -56.7402523779483 -415.095853289428</f>
        <v>-1003.7335600120164</v>
      </c>
      <c r="R4200" t="s">
        <v>83561</v>
      </c>
      <c r="S4200" t="s">
        <v>83562</v>
      </c>
      <c r="T4200" t="s">
        <v>83563</v>
      </c>
      <c r="U4200" t="s">
        <v>83564</v>
      </c>
      <c r="V4200">
        <f>-754.003285035884 -63.8148876505209 -233.134094763477</f>
        <v>-1050.9522674498819</v>
      </c>
      <c r="W4200" t="s">
        <v>83565</v>
      </c>
      <c r="X4200" t="s">
        <v>83566</v>
      </c>
      <c r="Y4200" t="s">
        <v>83567</v>
      </c>
    </row>
    <row r="4201" spans="1:25" x14ac:dyDescent="0.3">
      <c r="A4201">
        <v>210000</v>
      </c>
      <c r="B4201" t="s">
        <v>83568</v>
      </c>
      <c r="C4201" t="s">
        <v>83569</v>
      </c>
      <c r="D4201" t="s">
        <v>83570</v>
      </c>
      <c r="E4201" t="s">
        <v>83571</v>
      </c>
      <c r="F4201" t="s">
        <v>83572</v>
      </c>
      <c r="G4201">
        <f>-780.45010854921 -15.9330385803605 -686.401202432869</f>
        <v>-1482.7843495624395</v>
      </c>
      <c r="H4201">
        <f>-775.47732996368 -56.7032356035973 -833.074691180132</f>
        <v>-1665.2552567474092</v>
      </c>
      <c r="I4201">
        <f>-734.476983005619 -82.9017909922063 -922.60441287683</f>
        <v>-1739.9831868746553</v>
      </c>
      <c r="J4201">
        <f>-768.939102480622 -9.13570762654012 -776.087689785225</f>
        <v>-1554.1624998923871</v>
      </c>
      <c r="K4201" t="s">
        <v>83573</v>
      </c>
      <c r="L4201" t="s">
        <v>83574</v>
      </c>
      <c r="M4201" t="s">
        <v>83575</v>
      </c>
      <c r="N4201">
        <f>-786.416069898668 -68.1915624720023 -760.264767823489</f>
        <v>-1614.8724001941591</v>
      </c>
      <c r="O4201">
        <f>-830.921651811026 -195.229741177363 -701.039678886798</f>
        <v>-1727.1910718751869</v>
      </c>
      <c r="P4201">
        <f>-764.704907158214 -168.408015585304 -392.685753342387</f>
        <v>-1325.7986760859051</v>
      </c>
      <c r="Q4201">
        <f>-531.457218770963 -55.5400074622328 -415.009436454303</f>
        <v>-1002.0066626874988</v>
      </c>
      <c r="R4201" t="s">
        <v>83576</v>
      </c>
      <c r="S4201" t="s">
        <v>83577</v>
      </c>
      <c r="T4201" t="s">
        <v>83578</v>
      </c>
      <c r="U4201" t="s">
        <v>83579</v>
      </c>
      <c r="V4201">
        <f>-753.950141679318 -63.496833664454 -233.41752410073</f>
        <v>-1050.8644994445019</v>
      </c>
      <c r="W4201" t="s">
        <v>83580</v>
      </c>
      <c r="X4201" t="s">
        <v>83581</v>
      </c>
      <c r="Y4201" t="s">
        <v>83582</v>
      </c>
    </row>
    <row r="4202" spans="1:25" x14ac:dyDescent="0.3">
      <c r="A4202">
        <v>210050</v>
      </c>
      <c r="B4202" t="s">
        <v>83583</v>
      </c>
      <c r="C4202" t="s">
        <v>83584</v>
      </c>
      <c r="D4202" t="s">
        <v>83585</v>
      </c>
      <c r="E4202" t="s">
        <v>83586</v>
      </c>
      <c r="F4202" t="s">
        <v>83587</v>
      </c>
      <c r="G4202">
        <f>-779.647742347717 -15.3796207093192 -687.345179287787</f>
        <v>-1482.3725423448232</v>
      </c>
      <c r="H4202">
        <f>-773.647228063891 -55.9596903544664 -834.032829966138</f>
        <v>-1663.6397483844953</v>
      </c>
      <c r="I4202">
        <f>-732.211784273123 -81.8160384615171 -923.461728639512</f>
        <v>-1737.4895513741521</v>
      </c>
      <c r="J4202">
        <f>-767.804443334217 -8.38858979547058 -776.97335373451</f>
        <v>-1553.1663868641976</v>
      </c>
      <c r="K4202" t="s">
        <v>83588</v>
      </c>
      <c r="L4202" t="s">
        <v>83589</v>
      </c>
      <c r="M4202" t="s">
        <v>83590</v>
      </c>
      <c r="N4202">
        <f>-784.800129335129 -67.6199864496386 -761.282701111347</f>
        <v>-1613.7028168961147</v>
      </c>
      <c r="O4202">
        <f>-828.702755150685 -194.892371292206 -702.109251270888</f>
        <v>-1725.704377713779</v>
      </c>
      <c r="P4202">
        <f>-763.816308214779 -167.260059347887 -393.544258659216</f>
        <v>-1324.620626221882</v>
      </c>
      <c r="Q4202">
        <f>-530.517710302959 -54.3268394379365 -414.989531215626</f>
        <v>-999.83408095652157</v>
      </c>
      <c r="R4202" t="s">
        <v>83591</v>
      </c>
      <c r="S4202" t="s">
        <v>83592</v>
      </c>
      <c r="T4202" t="s">
        <v>83593</v>
      </c>
      <c r="U4202" t="s">
        <v>83594</v>
      </c>
      <c r="V4202">
        <f>-753.879915421938 -63.8686303478589 -234.622083431516</f>
        <v>-1052.370629201313</v>
      </c>
      <c r="W4202" t="s">
        <v>83595</v>
      </c>
      <c r="X4202" t="s">
        <v>83596</v>
      </c>
      <c r="Y4202" t="s">
        <v>83597</v>
      </c>
    </row>
    <row r="4203" spans="1:25" x14ac:dyDescent="0.3">
      <c r="A4203">
        <v>210100</v>
      </c>
      <c r="B4203" t="s">
        <v>83598</v>
      </c>
      <c r="C4203" t="s">
        <v>83599</v>
      </c>
      <c r="D4203" t="s">
        <v>83600</v>
      </c>
      <c r="E4203" t="s">
        <v>83601</v>
      </c>
      <c r="F4203" t="s">
        <v>83602</v>
      </c>
      <c r="G4203">
        <f>-779.645202582065 -15.442960253662 -688.112852171003</f>
        <v>-1483.2010150067301</v>
      </c>
      <c r="H4203">
        <f>-773.089371388973 -55.8693649329639 -834.819137596529</f>
        <v>-1663.777873918466</v>
      </c>
      <c r="I4203">
        <f>-731.383400132252 -81.4819720353198 -924.192329991247</f>
        <v>-1737.0577021588188</v>
      </c>
      <c r="J4203">
        <f>-767.635841085256 -8.31396546054452 -777.708044755326</f>
        <v>-1553.6578513011264</v>
      </c>
      <c r="K4203" t="s">
        <v>83603</v>
      </c>
      <c r="L4203" t="s">
        <v>83604</v>
      </c>
      <c r="M4203" t="s">
        <v>83605</v>
      </c>
      <c r="N4203">
        <f>-784.344289828404 -67.6497668511429 -762.104053554948</f>
        <v>-1614.0981102344949</v>
      </c>
      <c r="O4203">
        <f>-827.816482687963 -195.077414131198 -703.007953817213</f>
        <v>-1725.9018506363741</v>
      </c>
      <c r="P4203">
        <f>-763.929884225377 -167.227236875874 -394.253896182096</f>
        <v>-1325.4110172833471</v>
      </c>
      <c r="Q4203">
        <f>-530.604260501079 -54.3535170432951 -415.719553537406</f>
        <v>-1000.6773310817802</v>
      </c>
      <c r="R4203" t="s">
        <v>83606</v>
      </c>
      <c r="S4203" t="s">
        <v>83607</v>
      </c>
      <c r="T4203" t="s">
        <v>83608</v>
      </c>
      <c r="U4203" t="s">
        <v>83609</v>
      </c>
      <c r="V4203">
        <f>-753.832448034598 -64.5760324120554 -235.551421897909</f>
        <v>-1053.9599023445624</v>
      </c>
      <c r="W4203" t="s">
        <v>83610</v>
      </c>
      <c r="X4203" t="s">
        <v>83611</v>
      </c>
      <c r="Y4203" t="s">
        <v>83612</v>
      </c>
    </row>
    <row r="4204" spans="1:25" x14ac:dyDescent="0.3">
      <c r="A4204">
        <v>210150</v>
      </c>
      <c r="B4204" t="s">
        <v>83613</v>
      </c>
      <c r="C4204" t="s">
        <v>83614</v>
      </c>
      <c r="D4204" t="s">
        <v>83615</v>
      </c>
      <c r="E4204" t="s">
        <v>83616</v>
      </c>
      <c r="F4204" t="s">
        <v>83617</v>
      </c>
      <c r="G4204">
        <f>-779.33622436879 -15.4033224422271 -689.512716428748</f>
        <v>-1484.2522632397652</v>
      </c>
      <c r="H4204">
        <f>-772.024741766716 -55.5024268449858 -836.27318965705</f>
        <v>-1663.800358268752</v>
      </c>
      <c r="I4204">
        <f>-729.800684506618 -80.5749544515525 -925.556343902021</f>
        <v>-1735.9319828601915</v>
      </c>
      <c r="J4204">
        <f>-767.137430853707 -8.00738398125554 -779.060809609809</f>
        <v>-1554.2056244447715</v>
      </c>
      <c r="K4204" t="s">
        <v>83618</v>
      </c>
      <c r="L4204" t="s">
        <v>83619</v>
      </c>
      <c r="M4204" t="s">
        <v>83620</v>
      </c>
      <c r="N4204">
        <f>-783.382225745855 -67.5122093011341 -763.61160097085</f>
        <v>-1614.5060360178391</v>
      </c>
      <c r="O4204">
        <f>-826.272532882049 -195.273186371691 -704.772547489525</f>
        <v>-1726.3182667432648</v>
      </c>
      <c r="P4204">
        <f>-763.521803863381 -167.00312851131 -395.823738864477</f>
        <v>-1326.348671239168</v>
      </c>
      <c r="Q4204">
        <f>-530.125660566979 -54.2273188566487 -417.033500617004</f>
        <v>-1001.3864800406318</v>
      </c>
      <c r="R4204" t="s">
        <v>83621</v>
      </c>
      <c r="S4204" t="s">
        <v>83622</v>
      </c>
      <c r="T4204" t="s">
        <v>83623</v>
      </c>
      <c r="U4204" t="s">
        <v>83624</v>
      </c>
      <c r="V4204">
        <f>-753.612903510329 -65.4386640648418 -237.008851377341</f>
        <v>-1056.0604189525118</v>
      </c>
      <c r="W4204" t="s">
        <v>83625</v>
      </c>
      <c r="X4204" t="s">
        <v>83626</v>
      </c>
      <c r="Y4204" t="s">
        <v>83627</v>
      </c>
    </row>
    <row r="4205" spans="1:25" x14ac:dyDescent="0.3">
      <c r="A4205">
        <v>210200</v>
      </c>
      <c r="B4205" t="s">
        <v>83628</v>
      </c>
      <c r="C4205" t="s">
        <v>83629</v>
      </c>
      <c r="D4205" t="s">
        <v>83630</v>
      </c>
      <c r="E4205" t="s">
        <v>83631</v>
      </c>
      <c r="F4205" t="s">
        <v>83632</v>
      </c>
      <c r="G4205">
        <f>-778.826193103098 -15.2141219955761 -690.05845888939</f>
        <v>-1484.0987739880641</v>
      </c>
      <c r="H4205">
        <f>-771.226411848002 -55.1950924774992 -836.836410599721</f>
        <v>-1663.2579149252224</v>
      </c>
      <c r="I4205">
        <f>-728.795709259874 -80.025676133612 -926.089317618819</f>
        <v>-1734.910703012305</v>
      </c>
      <c r="J4205">
        <f>-766.584787828212 -7.71401751565168 -779.592012417125</f>
        <v>-1553.8908177609887</v>
      </c>
      <c r="K4205" t="s">
        <v>83633</v>
      </c>
      <c r="L4205" t="s">
        <v>83634</v>
      </c>
      <c r="M4205" t="s">
        <v>83635</v>
      </c>
      <c r="N4205">
        <f>-782.593350977304 -67.2954647045242 -764.191462472932</f>
        <v>-1614.0802781547602</v>
      </c>
      <c r="O4205">
        <f>-825.055782022699 -195.21861179081 -705.396512208986</f>
        <v>-1725.6709060224948</v>
      </c>
      <c r="P4205">
        <f>-763.240062218047 -166.397718272519 -396.310207796232</f>
        <v>-1325.9479882867981</v>
      </c>
      <c r="Q4205">
        <f>-529.885416850162 -53.5598028439599 -417.646859690212</f>
        <v>-1001.0920793843338</v>
      </c>
      <c r="R4205" t="s">
        <v>83636</v>
      </c>
      <c r="S4205" t="s">
        <v>83637</v>
      </c>
      <c r="T4205" t="s">
        <v>83638</v>
      </c>
      <c r="U4205" t="s">
        <v>83639</v>
      </c>
      <c r="V4205">
        <f>-753.384252587629 -65.5622957477774 -237.506090774559</f>
        <v>-1056.4526391099655</v>
      </c>
      <c r="W4205" t="s">
        <v>83640</v>
      </c>
      <c r="X4205" t="s">
        <v>83641</v>
      </c>
      <c r="Y4205" t="s">
        <v>83642</v>
      </c>
    </row>
    <row r="4206" spans="1:25" x14ac:dyDescent="0.3">
      <c r="A4206">
        <v>210250</v>
      </c>
      <c r="B4206" t="s">
        <v>83643</v>
      </c>
      <c r="C4206" t="s">
        <v>83644</v>
      </c>
      <c r="D4206" t="s">
        <v>83645</v>
      </c>
      <c r="E4206" t="s">
        <v>83646</v>
      </c>
      <c r="F4206" t="s">
        <v>83647</v>
      </c>
      <c r="G4206">
        <f>-777.952263834514 -14.2107251367966 -691.035592481643</f>
        <v>-1483.1985814529535</v>
      </c>
      <c r="H4206">
        <f>-769.808488280585 -53.8576410650337 -837.875040615422</f>
        <v>-1661.5411699610409</v>
      </c>
      <c r="I4206">
        <f>-726.994597631103 -78.1892116386664 -927.082287569735</f>
        <v>-1732.2660968395044</v>
      </c>
      <c r="J4206">
        <f>-765.628021374597 -6.44862597755628 -780.535550827276</f>
        <v>-1552.6121981794292</v>
      </c>
      <c r="K4206" t="s">
        <v>83648</v>
      </c>
      <c r="L4206" t="s">
        <v>83649</v>
      </c>
      <c r="M4206" t="s">
        <v>83650</v>
      </c>
      <c r="N4206">
        <f>-781.195778593216 -66.1816954305002 -765.270838358404</f>
        <v>-1612.6483123821204</v>
      </c>
      <c r="O4206">
        <f>-822.989374538178 -194.432374576017 -706.689074366839</f>
        <v>-1724.110823481034</v>
      </c>
      <c r="P4206">
        <f>-762.220266974623 -165.294800651251 -397.424990762833</f>
        <v>-1324.9400583887068</v>
      </c>
      <c r="Q4206">
        <f>-528.761557356419 -52.5579481204145 -418.148607065377</f>
        <v>-999.46811254221052</v>
      </c>
      <c r="R4206" t="s">
        <v>83651</v>
      </c>
      <c r="S4206" t="s">
        <v>83652</v>
      </c>
      <c r="T4206" t="s">
        <v>83653</v>
      </c>
      <c r="U4206" t="s">
        <v>83654</v>
      </c>
      <c r="V4206">
        <f>-752.991818545591 -65.3644106015322 -238.237927811553</f>
        <v>-1056.5941569586762</v>
      </c>
      <c r="W4206" t="s">
        <v>83655</v>
      </c>
      <c r="X4206" t="s">
        <v>83656</v>
      </c>
      <c r="Y4206" t="s">
        <v>83657</v>
      </c>
    </row>
    <row r="4207" spans="1:25" x14ac:dyDescent="0.3">
      <c r="A4207">
        <v>210300</v>
      </c>
      <c r="B4207" t="s">
        <v>83658</v>
      </c>
      <c r="C4207" t="s">
        <v>83659</v>
      </c>
      <c r="D4207" t="s">
        <v>83660</v>
      </c>
      <c r="E4207" t="s">
        <v>83661</v>
      </c>
      <c r="F4207" t="s">
        <v>83662</v>
      </c>
      <c r="G4207">
        <f>-777.359651968415 -13.5805359074734 -691.381779899866</f>
        <v>-1482.3219677757545</v>
      </c>
      <c r="H4207">
        <f>-768.964709366232 -53.0165889041948 -838.263864634561</f>
        <v>-1660.2451629049879</v>
      </c>
      <c r="I4207">
        <f>-725.981003766494 -77.1296775477845 -927.448779151348</f>
        <v>-1730.5594604656267</v>
      </c>
      <c r="J4207">
        <f>-764.991131402248 -5.66492570096761 -780.862230200345</f>
        <v>-1551.5182873035606</v>
      </c>
      <c r="K4207" t="s">
        <v>83663</v>
      </c>
      <c r="L4207" t="s">
        <v>83664</v>
      </c>
      <c r="M4207" t="s">
        <v>83665</v>
      </c>
      <c r="N4207">
        <f>-780.367198782099 -65.469679072691 -765.684082901138</f>
        <v>-1611.5209607559279</v>
      </c>
      <c r="O4207">
        <f>-821.891334182036 -193.847720285345 -707.223109085797</f>
        <v>-1722.962163553178</v>
      </c>
      <c r="P4207">
        <f>-761.784235578974 -164.757961077477 -397.825007304385</f>
        <v>-1324.3672039608359</v>
      </c>
      <c r="Q4207">
        <f>-528.313741100916 -52.0103792460627 -418.357839448983</f>
        <v>-998.68195979596169</v>
      </c>
      <c r="R4207" t="s">
        <v>83666</v>
      </c>
      <c r="S4207" t="s">
        <v>83667</v>
      </c>
      <c r="T4207" t="s">
        <v>83668</v>
      </c>
      <c r="U4207" t="s">
        <v>83669</v>
      </c>
      <c r="V4207">
        <f>-752.799981691191 -65.0786728766004 -238.456137815043</f>
        <v>-1056.3347923828344</v>
      </c>
      <c r="W4207" t="s">
        <v>83670</v>
      </c>
      <c r="X4207" t="s">
        <v>83671</v>
      </c>
      <c r="Y4207" t="s">
        <v>83672</v>
      </c>
    </row>
    <row r="4208" spans="1:25" x14ac:dyDescent="0.3">
      <c r="A4208">
        <v>210350</v>
      </c>
      <c r="B4208" t="s">
        <v>83673</v>
      </c>
      <c r="C4208" t="s">
        <v>83674</v>
      </c>
      <c r="D4208" t="s">
        <v>83675</v>
      </c>
      <c r="E4208" t="s">
        <v>83676</v>
      </c>
      <c r="F4208" t="s">
        <v>83677</v>
      </c>
      <c r="G4208">
        <f>-776.530321672446 -12.0895023176047 -691.709481123598</f>
        <v>-1480.3293051136488</v>
      </c>
      <c r="H4208">
        <f>-767.599772351905 -51.1470210279942 -838.660941554509</f>
        <v>-1657.4077349344084</v>
      </c>
      <c r="I4208">
        <f>-724.308765744436 -74.8497912706414 -927.807230664332</f>
        <v>-1726.9657876794095</v>
      </c>
      <c r="J4208">
        <f>-764.024639891147 -3.9010154331263 -781.146037633618</f>
        <v>-1549.0716929578912</v>
      </c>
      <c r="K4208" t="s">
        <v>83678</v>
      </c>
      <c r="L4208" t="s">
        <v>83679</v>
      </c>
      <c r="M4208" t="s">
        <v>83680</v>
      </c>
      <c r="N4208">
        <f>-779.077763772207 -63.8293987591476 -766.132792946547</f>
        <v>-1609.0399554779017</v>
      </c>
      <c r="O4208">
        <f>-820.072072367867 -192.529534943494 -707.990243883516</f>
        <v>-1720.5918511948771</v>
      </c>
      <c r="P4208">
        <f>-761.015953628021 -163.520856838264 -398.382263088429</f>
        <v>-1322.919073554714</v>
      </c>
      <c r="Q4208">
        <f>-527.443844752497 -50.8381948590923 -418.099669101821</f>
        <v>-996.38170871341026</v>
      </c>
      <c r="R4208" t="s">
        <v>83681</v>
      </c>
      <c r="S4208" t="s">
        <v>83682</v>
      </c>
      <c r="T4208" t="s">
        <v>83683</v>
      </c>
      <c r="U4208" t="s">
        <v>83684</v>
      </c>
      <c r="V4208">
        <f>-752.59045837384 -64.2569573007165 -238.617307338141</f>
        <v>-1055.4647230126975</v>
      </c>
      <c r="W4208" t="s">
        <v>83685</v>
      </c>
      <c r="X4208" t="s">
        <v>83686</v>
      </c>
      <c r="Y4208" t="s">
        <v>83687</v>
      </c>
    </row>
    <row r="4209" spans="1:25" x14ac:dyDescent="0.3">
      <c r="A4209">
        <v>210400</v>
      </c>
      <c r="B4209" t="s">
        <v>83688</v>
      </c>
      <c r="C4209" t="s">
        <v>83689</v>
      </c>
      <c r="D4209" t="s">
        <v>83690</v>
      </c>
      <c r="E4209" t="s">
        <v>83691</v>
      </c>
      <c r="F4209" t="s">
        <v>83692</v>
      </c>
      <c r="G4209">
        <f>-776.401670535972 -11.4557722395248 -691.82658128384</f>
        <v>-1479.6840240593369</v>
      </c>
      <c r="H4209">
        <f>-767.278925507721 -50.3903447276273 -838.798999564305</f>
        <v>-1656.4682697996532</v>
      </c>
      <c r="I4209">
        <f>-723.878130903541 -73.9234484137694 -927.93677241735</f>
        <v>-1725.7383517346602</v>
      </c>
      <c r="J4209">
        <f>-763.842775799161 -3.17861232949531 -781.247612905168</f>
        <v>-1548.2690010338242</v>
      </c>
      <c r="K4209" t="s">
        <v>83693</v>
      </c>
      <c r="L4209" t="s">
        <v>83694</v>
      </c>
      <c r="M4209" t="s">
        <v>83695</v>
      </c>
      <c r="N4209">
        <f>-778.788152829666 -63.1474120764951 -766.288829136352</f>
        <v>-1608.2243940425133</v>
      </c>
      <c r="O4209">
        <f>-819.656933340904 -191.915238826229 -708.221467286943</f>
        <v>-1719.7936394540761</v>
      </c>
      <c r="P4209">
        <f>-760.989063178137 -162.833130368902 -398.546731199619</f>
        <v>-1322.368924746658</v>
      </c>
      <c r="Q4209">
        <f>-527.498389693439 -50.0279872598169 -418.525871554486</f>
        <v>-996.05224850774187</v>
      </c>
      <c r="R4209" t="s">
        <v>83696</v>
      </c>
      <c r="S4209" t="s">
        <v>83697</v>
      </c>
      <c r="T4209" t="s">
        <v>83698</v>
      </c>
      <c r="U4209" t="s">
        <v>83699</v>
      </c>
      <c r="V4209">
        <f>-752.63813579506 -63.905478709341 -238.711336905017</f>
        <v>-1055.254951409418</v>
      </c>
      <c r="W4209" t="s">
        <v>83700</v>
      </c>
      <c r="X4209" t="s">
        <v>83701</v>
      </c>
      <c r="Y4209" t="s">
        <v>83702</v>
      </c>
    </row>
    <row r="4210" spans="1:25" x14ac:dyDescent="0.3">
      <c r="A4210">
        <v>210450</v>
      </c>
      <c r="B4210" t="s">
        <v>83703</v>
      </c>
      <c r="C4210" t="s">
        <v>83704</v>
      </c>
      <c r="D4210" t="s">
        <v>83705</v>
      </c>
      <c r="E4210" t="s">
        <v>83706</v>
      </c>
      <c r="F4210" t="s">
        <v>83707</v>
      </c>
      <c r="G4210">
        <f>-776.209127238302 -10.3574142825869 -691.915226267439</f>
        <v>-1478.4817677883279</v>
      </c>
      <c r="H4210">
        <f>-766.667686396203 -48.9546857469438 -838.949851412729</f>
        <v>-1654.5722235558758</v>
      </c>
      <c r="I4210">
        <f>-723.050355777499 -72.1436135646729 -928.072192105233</f>
        <v>-1723.266161447405</v>
      </c>
      <c r="J4210">
        <f>-763.540537381821 -1.84350326324375 -781.298464235355</f>
        <v>-1546.6825048804199</v>
      </c>
      <c r="K4210" t="s">
        <v>83708</v>
      </c>
      <c r="L4210" t="s">
        <v>83709</v>
      </c>
      <c r="M4210" t="s">
        <v>83710</v>
      </c>
      <c r="N4210">
        <f>-778.238359591266 -61.9096059655553 -766.484753062335</f>
        <v>-1606.6327186191563</v>
      </c>
      <c r="O4210">
        <f>-818.738980576122 -190.904176830931 -708.645623830581</f>
        <v>-1718.2887812376339</v>
      </c>
      <c r="P4210">
        <f>-761.001534747238 -161.981088479282 -398.781157024786</f>
        <v>-1321.7637802513059</v>
      </c>
      <c r="Q4210">
        <f>-527.136192055458 -49.891489797692 -418.403184226497</f>
        <v>-995.43086607964688</v>
      </c>
      <c r="R4210" t="s">
        <v>83711</v>
      </c>
      <c r="S4210" t="s">
        <v>83712</v>
      </c>
      <c r="T4210" t="s">
        <v>83713</v>
      </c>
      <c r="U4210" t="s">
        <v>83714</v>
      </c>
      <c r="V4210">
        <f>-752.9092283209 -63.4082102245241 -238.846692419589</f>
        <v>-1055.1641309650131</v>
      </c>
      <c r="W4210" t="s">
        <v>83715</v>
      </c>
      <c r="X4210" t="s">
        <v>83716</v>
      </c>
      <c r="Y4210" t="s">
        <v>83717</v>
      </c>
    </row>
    <row r="4211" spans="1:25" x14ac:dyDescent="0.3">
      <c r="A4211">
        <v>210500</v>
      </c>
      <c r="B4211" t="s">
        <v>83718</v>
      </c>
      <c r="C4211" t="s">
        <v>83719</v>
      </c>
      <c r="D4211" t="s">
        <v>83720</v>
      </c>
      <c r="E4211" t="s">
        <v>83721</v>
      </c>
      <c r="F4211" t="s">
        <v>83722</v>
      </c>
      <c r="G4211">
        <f>-776.513039113629 -9.76967582192333 -691.973447622571</f>
        <v>-1478.2561625581234</v>
      </c>
      <c r="H4211">
        <f>-766.766168051385 -48.1932502443344 -839.04026213395</f>
        <v>-1653.9996804296693</v>
      </c>
      <c r="I4211">
        <f>-723.035587644051 -71.226197319907 -928.147520012082</f>
        <v>-1722.4093049760399</v>
      </c>
      <c r="J4211">
        <f>-763.784513250989 -1.13649168498137 -781.336766666611</f>
        <v>-1546.2577716025812</v>
      </c>
      <c r="K4211" t="s">
        <v>83723</v>
      </c>
      <c r="L4211" t="s">
        <v>83724</v>
      </c>
      <c r="M4211" t="s">
        <v>83725</v>
      </c>
      <c r="N4211">
        <f>-778.37328183403 -61.2476271888468 -766.598708899454</f>
        <v>-1606.2196179223306</v>
      </c>
      <c r="O4211">
        <f>-818.695711778827 -190.340253360092 -708.868365973498</f>
        <v>-1717.9043311124169</v>
      </c>
      <c r="P4211">
        <f>-761.336793447116 -161.493307130731 -398.926501290479</f>
        <v>-1321.756601868326</v>
      </c>
      <c r="Q4211">
        <f>-527.372243901396 -49.5527050385324 -418.213336952299</f>
        <v>-995.13828589222749</v>
      </c>
      <c r="R4211" t="s">
        <v>83726</v>
      </c>
      <c r="S4211" t="s">
        <v>83727</v>
      </c>
      <c r="T4211" t="s">
        <v>83728</v>
      </c>
      <c r="U4211" t="s">
        <v>83729</v>
      </c>
      <c r="V4211">
        <f>-753.117255049316 -63.179064269465 -238.931643850054</f>
        <v>-1055.227963168835</v>
      </c>
      <c r="W4211" t="s">
        <v>83730</v>
      </c>
      <c r="X4211" t="s">
        <v>83731</v>
      </c>
      <c r="Y4211" t="s">
        <v>83732</v>
      </c>
    </row>
    <row r="4212" spans="1:25" x14ac:dyDescent="0.3">
      <c r="A4212">
        <v>210550</v>
      </c>
      <c r="B4212" t="s">
        <v>83733</v>
      </c>
      <c r="C4212" t="s">
        <v>83734</v>
      </c>
      <c r="D4212" t="s">
        <v>83735</v>
      </c>
      <c r="E4212" t="s">
        <v>83736</v>
      </c>
      <c r="F4212" t="s">
        <v>83737</v>
      </c>
      <c r="G4212">
        <f>-777.154086303941 -8.73781700673635 -692.079236511906</f>
        <v>-1477.9711398225832</v>
      </c>
      <c r="H4212">
        <f>-767.007231667919 -46.8046536736988 -839.211621783173</f>
        <v>-1653.0235071247907</v>
      </c>
      <c r="I4212">
        <f>-723.043517698318 -69.5561601450243 -928.276471367165</f>
        <v>-1720.8761492105073</v>
      </c>
      <c r="J4212" t="s">
        <v>83738</v>
      </c>
      <c r="K4212" t="s">
        <v>83739</v>
      </c>
      <c r="L4212" t="s">
        <v>83740</v>
      </c>
      <c r="M4212" t="s">
        <v>83741</v>
      </c>
      <c r="N4212">
        <f>-778.708005346808 -60.0565480743373 -766.820987502667</f>
        <v>-1605.5855409238125</v>
      </c>
      <c r="O4212">
        <f>-818.768999862441 -189.352958255638 -709.354317742934</f>
        <v>-1717.4762758610129</v>
      </c>
      <c r="P4212">
        <f>-762.063868228668 -161.339397013409 -399.215681649315</f>
        <v>-1322.6189468913919</v>
      </c>
      <c r="Q4212">
        <f>-528.257406028024 -48.9638380664983 -417.878378635317</f>
        <v>-995.09962272983921</v>
      </c>
      <c r="R4212" t="s">
        <v>83742</v>
      </c>
      <c r="S4212" t="s">
        <v>83743</v>
      </c>
      <c r="T4212" t="s">
        <v>83744</v>
      </c>
      <c r="U4212" t="s">
        <v>83745</v>
      </c>
      <c r="V4212">
        <f>-753.772744861875 -62.8813688677449 -239.13825434091</f>
        <v>-1055.7923680705298</v>
      </c>
      <c r="W4212" t="s">
        <v>83746</v>
      </c>
      <c r="X4212" t="s">
        <v>83747</v>
      </c>
      <c r="Y4212" t="s">
        <v>83748</v>
      </c>
    </row>
    <row r="4213" spans="1:25" x14ac:dyDescent="0.3">
      <c r="A4213">
        <v>210600</v>
      </c>
      <c r="B4213" t="s">
        <v>83749</v>
      </c>
      <c r="C4213" t="s">
        <v>83750</v>
      </c>
      <c r="D4213" t="s">
        <v>83751</v>
      </c>
      <c r="E4213" t="s">
        <v>83752</v>
      </c>
      <c r="F4213" t="s">
        <v>83753</v>
      </c>
      <c r="G4213">
        <f>-777.516878772452 -8.20654560375419 -692.13952009987</f>
        <v>-1477.8629444760761</v>
      </c>
      <c r="H4213">
        <f>-767.17729110858 -46.0816420654087 -839.308001336365</f>
        <v>-1652.5669345103538</v>
      </c>
      <c r="I4213">
        <f>-723.098363427581 -68.6973659299811 -928.350501504368</f>
        <v>-1720.1462308619302</v>
      </c>
      <c r="J4213" t="s">
        <v>83754</v>
      </c>
      <c r="K4213" t="s">
        <v>83755</v>
      </c>
      <c r="L4213" t="s">
        <v>83756</v>
      </c>
      <c r="M4213" t="s">
        <v>83757</v>
      </c>
      <c r="N4213">
        <f>-778.911924650838 -59.4404905683184 -766.942529857384</f>
        <v>-1605.2949450765404</v>
      </c>
      <c r="O4213">
        <f>-818.810989730356 -188.852660844246 -709.610037100079</f>
        <v>-1717.273687674681</v>
      </c>
      <c r="P4213">
        <f>-762.580059662845 -160.785239648508 -399.389923880508</f>
        <v>-1322.755223191861</v>
      </c>
      <c r="Q4213">
        <f>-528.584132335718 -48.7441845361952 -417.68599796817</f>
        <v>-995.01431484008322</v>
      </c>
      <c r="R4213" t="s">
        <v>83758</v>
      </c>
      <c r="S4213" t="s">
        <v>83759</v>
      </c>
      <c r="T4213" t="s">
        <v>83760</v>
      </c>
      <c r="U4213" t="s">
        <v>83761</v>
      </c>
      <c r="V4213">
        <f>-754.138389886911 -62.708039137935 -239.201918223463</f>
        <v>-1056.048347248309</v>
      </c>
      <c r="W4213" t="s">
        <v>83762</v>
      </c>
      <c r="X4213" t="s">
        <v>83763</v>
      </c>
      <c r="Y4213" t="s">
        <v>83764</v>
      </c>
    </row>
    <row r="4214" spans="1:25" x14ac:dyDescent="0.3">
      <c r="A4214">
        <v>210650</v>
      </c>
      <c r="B4214" t="s">
        <v>83765</v>
      </c>
      <c r="C4214" t="s">
        <v>83766</v>
      </c>
      <c r="D4214" t="s">
        <v>83767</v>
      </c>
      <c r="E4214" t="s">
        <v>83768</v>
      </c>
      <c r="F4214" t="s">
        <v>83769</v>
      </c>
      <c r="G4214">
        <f>-778.091900209794 -7.34018389028142 -692.126282030723</f>
        <v>-1477.5583661307983</v>
      </c>
      <c r="H4214">
        <f>-767.256207758772 -44.8262149156067 -839.35873941609</f>
        <v>-1651.4411620904687</v>
      </c>
      <c r="I4214">
        <f>-722.951489639231 -67.1699127495315 -928.357856147863</f>
        <v>-1718.4792585366254</v>
      </c>
      <c r="J4214" t="s">
        <v>83770</v>
      </c>
      <c r="K4214" t="s">
        <v>83771</v>
      </c>
      <c r="L4214" t="s">
        <v>83772</v>
      </c>
      <c r="M4214" t="s">
        <v>83773</v>
      </c>
      <c r="N4214">
        <f>-779.092788277474 -58.4054712547359 -767.050913747154</f>
        <v>-1604.5491732793639</v>
      </c>
      <c r="O4214">
        <f>-818.542090833378 -188.042678942871 -709.946614335071</f>
        <v>-1716.53138411132</v>
      </c>
      <c r="P4214">
        <f>-763.332019799117 -160.151182535597 -399.52733300825</f>
        <v>-1323.010535342964</v>
      </c>
      <c r="Q4214">
        <f>-528.393262982701 -49.8082050211071 -415.96690804589</f>
        <v>-994.16837604969817</v>
      </c>
      <c r="R4214" t="s">
        <v>83774</v>
      </c>
      <c r="S4214" t="s">
        <v>83775</v>
      </c>
      <c r="T4214" t="s">
        <v>83776</v>
      </c>
      <c r="U4214" t="s">
        <v>83777</v>
      </c>
      <c r="V4214">
        <f>-754.789815418535 -62.6644356249637 -239.249863519288</f>
        <v>-1056.7041145627868</v>
      </c>
      <c r="W4214" t="s">
        <v>83778</v>
      </c>
      <c r="X4214" t="s">
        <v>83779</v>
      </c>
      <c r="Y4214" t="s">
        <v>83780</v>
      </c>
    </row>
    <row r="4215" spans="1:25" x14ac:dyDescent="0.3">
      <c r="A4215">
        <v>210700</v>
      </c>
      <c r="B4215" t="s">
        <v>83781</v>
      </c>
      <c r="C4215" t="s">
        <v>83782</v>
      </c>
      <c r="D4215" t="s">
        <v>83783</v>
      </c>
      <c r="E4215" t="s">
        <v>83784</v>
      </c>
      <c r="F4215" t="s">
        <v>83785</v>
      </c>
      <c r="G4215">
        <f>-778.567602438112 -6.94205200543365 -692.129642310769</f>
        <v>-1477.6392967543147</v>
      </c>
      <c r="H4215">
        <f>-767.578421948678 -44.224946775455 -839.402356336715</f>
        <v>-1651.2057250608482</v>
      </c>
      <c r="I4215">
        <f>-723.184263602824 -66.4409784944082 -928.388776863564</f>
        <v>-1718.0140189607962</v>
      </c>
      <c r="J4215" t="s">
        <v>83786</v>
      </c>
      <c r="K4215" t="s">
        <v>83787</v>
      </c>
      <c r="L4215" t="s">
        <v>83788</v>
      </c>
      <c r="M4215" t="s">
        <v>83789</v>
      </c>
      <c r="N4215">
        <f>-779.421219327534 -57.9178699418032 -767.116952258318</f>
        <v>-1604.4560415276551</v>
      </c>
      <c r="O4215">
        <f>-818.619096685835 -187.698930053931 -710.143040017556</f>
        <v>-1716.461066757322</v>
      </c>
      <c r="P4215">
        <f>-763.621261496049 -160.182249759201 -399.652699759188</f>
        <v>-1323.4562110144379</v>
      </c>
      <c r="Q4215">
        <f>-528.486074320929 -50.0999178489672 -414.993756101562</f>
        <v>-993.57974827145813</v>
      </c>
      <c r="R4215" t="s">
        <v>83790</v>
      </c>
      <c r="S4215" t="s">
        <v>83791</v>
      </c>
      <c r="T4215" t="s">
        <v>83792</v>
      </c>
      <c r="U4215" t="s">
        <v>83793</v>
      </c>
      <c r="V4215">
        <f>-755.108478085593 -62.6980119486086 -239.248050019913</f>
        <v>-1057.0545400541146</v>
      </c>
      <c r="W4215" t="s">
        <v>83794</v>
      </c>
      <c r="X4215" t="s">
        <v>83795</v>
      </c>
      <c r="Y4215" t="s">
        <v>83796</v>
      </c>
    </row>
    <row r="4216" spans="1:25" x14ac:dyDescent="0.3">
      <c r="A4216">
        <v>210750</v>
      </c>
      <c r="B4216" t="s">
        <v>83797</v>
      </c>
      <c r="C4216" t="s">
        <v>83798</v>
      </c>
      <c r="D4216" t="s">
        <v>83799</v>
      </c>
      <c r="E4216" t="s">
        <v>83800</v>
      </c>
      <c r="F4216" t="s">
        <v>83801</v>
      </c>
      <c r="G4216">
        <f>-779.744047432675 -5.97774221720442 -692.081896589757</f>
        <v>-1477.8036862396364</v>
      </c>
      <c r="H4216">
        <f>-768.449632926629 -42.9040698069155 -839.42126494882</f>
        <v>-1650.7749676823644</v>
      </c>
      <c r="I4216">
        <f>-723.880810407051 -64.9254764109553 -928.368689990404</f>
        <v>-1717.1749768084103</v>
      </c>
      <c r="J4216" t="s">
        <v>83802</v>
      </c>
      <c r="K4216" t="s">
        <v>83803</v>
      </c>
      <c r="L4216" t="s">
        <v>83804</v>
      </c>
      <c r="M4216" t="s">
        <v>83805</v>
      </c>
      <c r="N4216">
        <f>-780.298285781712 -56.800582091551 -767.175771053698</f>
        <v>-1604.274638926961</v>
      </c>
      <c r="O4216">
        <f>-818.933270098193 -186.858674788372 -710.465113909123</f>
        <v>-1716.257058795688</v>
      </c>
      <c r="P4216">
        <f>-764.716912475702 -159.65831624067 -399.809499660438</f>
        <v>-1324.18472837681</v>
      </c>
      <c r="Q4216">
        <f>-529.501397372528 -49.4514543211346 -412.852677160181</f>
        <v>-991.80552885384361</v>
      </c>
      <c r="R4216" t="s">
        <v>83806</v>
      </c>
      <c r="S4216" t="s">
        <v>83807</v>
      </c>
      <c r="T4216" t="s">
        <v>83808</v>
      </c>
      <c r="U4216" t="s">
        <v>83809</v>
      </c>
      <c r="V4216">
        <f>-755.631671797034 -62.3470599471768 -239.211578173626</f>
        <v>-1057.1903099178369</v>
      </c>
      <c r="W4216" t="s">
        <v>83810</v>
      </c>
      <c r="X4216" t="s">
        <v>83811</v>
      </c>
      <c r="Y4216" t="s">
        <v>83812</v>
      </c>
    </row>
    <row r="4217" spans="1:25" x14ac:dyDescent="0.3">
      <c r="A4217">
        <v>210800</v>
      </c>
      <c r="B4217" t="s">
        <v>83813</v>
      </c>
      <c r="C4217" t="s">
        <v>83814</v>
      </c>
      <c r="D4217" t="s">
        <v>83815</v>
      </c>
      <c r="E4217" t="s">
        <v>83816</v>
      </c>
      <c r="F4217" t="s">
        <v>83817</v>
      </c>
      <c r="G4217">
        <f>-780.309631798771 -5.39028889446399 -692.060468969919</f>
        <v>-1477.760389663154</v>
      </c>
      <c r="H4217">
        <f>-768.78751049252 -42.0690432627941 -839.444138704913</f>
        <v>-1650.3006924602273</v>
      </c>
      <c r="I4217">
        <f>-724.091787535606 -64.0061684124898 -928.3488164515</f>
        <v>-1716.4467723995958</v>
      </c>
      <c r="J4217" t="s">
        <v>83818</v>
      </c>
      <c r="K4217" t="s">
        <v>83819</v>
      </c>
      <c r="L4217" t="s">
        <v>83820</v>
      </c>
      <c r="M4217" t="s">
        <v>83821</v>
      </c>
      <c r="N4217">
        <f>-780.679046343669 -56.1004215796363 -767.231730153509</f>
        <v>-1604.0111980768143</v>
      </c>
      <c r="O4217">
        <f>-819.036592775317 -186.309749229475 -710.668805541817</f>
        <v>-1716.0151475466091</v>
      </c>
      <c r="P4217">
        <f>-764.679700755361 -159.422355698258 -400.010461746818</f>
        <v>-1324.1125182004371</v>
      </c>
      <c r="Q4217">
        <f>-529.432409053941 -49.1461672050332 -411.841350388624</f>
        <v>-990.41992664759823</v>
      </c>
      <c r="R4217" t="s">
        <v>83822</v>
      </c>
      <c r="S4217" t="s">
        <v>83823</v>
      </c>
      <c r="T4217" t="s">
        <v>83824</v>
      </c>
      <c r="U4217" t="s">
        <v>83825</v>
      </c>
      <c r="V4217">
        <f>-755.989561368347 -62.1480221000388 -239.250971324073</f>
        <v>-1057.3885547924588</v>
      </c>
      <c r="W4217" t="s">
        <v>83826</v>
      </c>
      <c r="X4217" t="s">
        <v>83827</v>
      </c>
      <c r="Y4217" t="s">
        <v>83828</v>
      </c>
    </row>
    <row r="4218" spans="1:25" x14ac:dyDescent="0.3">
      <c r="A4218">
        <v>210850</v>
      </c>
      <c r="B4218" t="s">
        <v>83829</v>
      </c>
      <c r="C4218" t="s">
        <v>83830</v>
      </c>
      <c r="D4218" t="s">
        <v>83831</v>
      </c>
      <c r="E4218" t="s">
        <v>83832</v>
      </c>
      <c r="F4218" t="s">
        <v>83833</v>
      </c>
      <c r="G4218">
        <f>-781.480707049763 -4.1438113479378 -692.198550254065</f>
        <v>-1477.8230686517659</v>
      </c>
      <c r="H4218">
        <f>-769.923317620125 -40.3851303020485 -839.687477513638</f>
        <v>-1649.9959254358114</v>
      </c>
      <c r="I4218">
        <f>-725.027847639214 -62.4968946562785 -928.448132016196</f>
        <v>-1715.9728743116884</v>
      </c>
      <c r="J4218" t="s">
        <v>83834</v>
      </c>
      <c r="K4218" t="s">
        <v>83835</v>
      </c>
      <c r="L4218" t="s">
        <v>83836</v>
      </c>
      <c r="M4218" t="s">
        <v>83837</v>
      </c>
      <c r="N4218">
        <f>-781.714948334118 -54.6533382357541 -767.505156369047</f>
        <v>-1603.8734429389192</v>
      </c>
      <c r="O4218">
        <f>-819.347057887481 -185.144090946531 -711.129686656186</f>
        <v>-1715.620835490198</v>
      </c>
      <c r="P4218">
        <f>-764.825487860659 -158.87735095991 -400.447283857581</f>
        <v>-1324.15012267815</v>
      </c>
      <c r="Q4218">
        <f>-530.097698218993 -47.290759042128 -410.110831598903</f>
        <v>-987.49928886002397</v>
      </c>
      <c r="R4218" t="s">
        <v>83838</v>
      </c>
      <c r="S4218" t="s">
        <v>83839</v>
      </c>
      <c r="T4218" t="s">
        <v>83840</v>
      </c>
      <c r="U4218" t="s">
        <v>83841</v>
      </c>
      <c r="V4218">
        <f>-756.44699194902 -61.5239485496734 -239.441436091678</f>
        <v>-1057.4123765903714</v>
      </c>
      <c r="W4218" t="s">
        <v>83842</v>
      </c>
      <c r="X4218" t="s">
        <v>83843</v>
      </c>
      <c r="Y4218" t="s">
        <v>83844</v>
      </c>
    </row>
    <row r="4219" spans="1:25" x14ac:dyDescent="0.3">
      <c r="A4219">
        <v>210900</v>
      </c>
      <c r="B4219" t="s">
        <v>83845</v>
      </c>
      <c r="C4219" t="s">
        <v>83846</v>
      </c>
      <c r="D4219" t="s">
        <v>83847</v>
      </c>
      <c r="E4219" t="s">
        <v>83848</v>
      </c>
      <c r="F4219" t="s">
        <v>83849</v>
      </c>
      <c r="G4219">
        <f>-782.670812415052 -2.89868593230358 -692.311008613927</f>
        <v>-1477.8805069612827</v>
      </c>
      <c r="H4219">
        <f>-771.319827319704 -38.5891675692901 -839.95022233498</f>
        <v>-1649.8592172239742</v>
      </c>
      <c r="I4219">
        <f>-726.347920862172 -61.3442091921704 -928.509318371963</f>
        <v>-1716.2014484263054</v>
      </c>
      <c r="J4219" t="s">
        <v>83850</v>
      </c>
      <c r="K4219" t="s">
        <v>83851</v>
      </c>
      <c r="L4219" t="s">
        <v>83852</v>
      </c>
      <c r="M4219" t="s">
        <v>83853</v>
      </c>
      <c r="N4219">
        <f>-782.883365101607 -53.1510397603258 -767.78959530859</f>
        <v>-1603.8240001705228</v>
      </c>
      <c r="O4219">
        <f>-819.662565353185 -184.053688914717 -711.786976609225</f>
        <v>-1715.503230877127</v>
      </c>
      <c r="P4219">
        <f>-764.734216881959 -158.843753374249 -401.088590208017</f>
        <v>-1324.6665604642251</v>
      </c>
      <c r="Q4219">
        <f>-530.926572346228 -45.1956230248256 -408.843271260996</f>
        <v>-984.96546663204958</v>
      </c>
      <c r="R4219" t="s">
        <v>83854</v>
      </c>
      <c r="S4219" t="s">
        <v>83855</v>
      </c>
      <c r="T4219" t="s">
        <v>83856</v>
      </c>
      <c r="U4219" t="s">
        <v>83857</v>
      </c>
      <c r="V4219">
        <f>-756.831167746036 -61.3010325748132 -239.534253363954</f>
        <v>-1057.6664536848034</v>
      </c>
      <c r="W4219" t="s">
        <v>83858</v>
      </c>
      <c r="X4219" t="s">
        <v>83859</v>
      </c>
      <c r="Y4219" t="s">
        <v>83860</v>
      </c>
    </row>
    <row r="4220" spans="1:25" x14ac:dyDescent="0.3">
      <c r="A4220">
        <v>210950</v>
      </c>
      <c r="B4220" t="s">
        <v>83861</v>
      </c>
      <c r="C4220" t="s">
        <v>83862</v>
      </c>
      <c r="D4220" t="s">
        <v>83863</v>
      </c>
      <c r="E4220" t="s">
        <v>83864</v>
      </c>
      <c r="F4220" t="s">
        <v>83865</v>
      </c>
      <c r="G4220">
        <f>-783.29716376403 -2.3341507272487 -692.40504734397</f>
        <v>-1478.0363618352485</v>
      </c>
      <c r="H4220">
        <f>-772.067310396977 -37.7122049768461 -840.128783753514</f>
        <v>-1649.9082991273372</v>
      </c>
      <c r="I4220">
        <f>-727.071496448581 -60.8410361937872 -928.578668511581</f>
        <v>-1716.4912011539491</v>
      </c>
      <c r="J4220" t="s">
        <v>83866</v>
      </c>
      <c r="K4220" t="s">
        <v>83867</v>
      </c>
      <c r="L4220" t="s">
        <v>83868</v>
      </c>
      <c r="M4220" t="s">
        <v>83869</v>
      </c>
      <c r="N4220">
        <f>-783.514045074614 -52.4374136666868 -767.982545908416</f>
        <v>-1603.9340046497168</v>
      </c>
      <c r="O4220">
        <f>-820.035046905802 -183.507545001293 -712.201976611766</f>
        <v>-1715.7445685188609</v>
      </c>
      <c r="P4220">
        <f>-764.707898685515 -159.199511832238 -401.502349980564</f>
        <v>-1325.4097604983172</v>
      </c>
      <c r="Q4220">
        <f>-531.622986358698 -44.0599649991877 -409.010383500045</f>
        <v>-984.69333485793072</v>
      </c>
      <c r="R4220" t="s">
        <v>83870</v>
      </c>
      <c r="S4220" t="s">
        <v>83871</v>
      </c>
      <c r="T4220" t="s">
        <v>83872</v>
      </c>
      <c r="U4220" t="s">
        <v>83873</v>
      </c>
      <c r="V4220">
        <f>-756.813197526271 -61.2926280107615 -239.605218447156</f>
        <v>-1057.7110439841886</v>
      </c>
      <c r="W4220" t="s">
        <v>83874</v>
      </c>
      <c r="X4220" t="s">
        <v>83875</v>
      </c>
      <c r="Y4220" t="s">
        <v>83876</v>
      </c>
    </row>
    <row r="4221" spans="1:25" x14ac:dyDescent="0.3">
      <c r="A4221">
        <v>211000</v>
      </c>
      <c r="B4221" t="s">
        <v>83877</v>
      </c>
      <c r="C4221" t="s">
        <v>83878</v>
      </c>
      <c r="D4221" t="s">
        <v>83879</v>
      </c>
      <c r="E4221" t="s">
        <v>83880</v>
      </c>
      <c r="F4221" t="s">
        <v>83881</v>
      </c>
      <c r="G4221">
        <f>-783.588488566033 -1.88716544320209 -692.472123999498</f>
        <v>-1477.9477780087332</v>
      </c>
      <c r="H4221">
        <f>-772.498455080969 -36.9570501156793 -840.279870506898</f>
        <v>-1649.7353757035462</v>
      </c>
      <c r="I4221">
        <f>-727.56223922289 -60.4110941029321 -928.674526569975</f>
        <v>-1716.647859895797</v>
      </c>
      <c r="J4221" t="s">
        <v>83882</v>
      </c>
      <c r="K4221" t="s">
        <v>83883</v>
      </c>
      <c r="L4221" t="s">
        <v>83884</v>
      </c>
      <c r="M4221" t="s">
        <v>83885</v>
      </c>
      <c r="N4221">
        <f>-783.818879059341 -51.8434517061041 -768.146940218083</f>
        <v>-1603.8092709835282</v>
      </c>
      <c r="O4221">
        <f>-820.013364275179 -183.110143203591 -712.609402296619</f>
        <v>-1715.7329097753891</v>
      </c>
      <c r="P4221">
        <f>-764.287696347524 -159.74169375657 -401.908949757923</f>
        <v>-1325.9383398620171</v>
      </c>
      <c r="Q4221">
        <f>-532.003381613335 -43.0139956884134 -409.699265223618</f>
        <v>-984.71664252536641</v>
      </c>
      <c r="R4221" t="s">
        <v>83886</v>
      </c>
      <c r="S4221" t="s">
        <v>83887</v>
      </c>
      <c r="T4221" t="s">
        <v>83888</v>
      </c>
      <c r="U4221" t="s">
        <v>83889</v>
      </c>
      <c r="V4221">
        <f>-756.765585931121 -61.3742888292081 -239.66463518029</f>
        <v>-1057.804509940619</v>
      </c>
      <c r="W4221" t="s">
        <v>83890</v>
      </c>
      <c r="X4221" t="s">
        <v>83891</v>
      </c>
      <c r="Y4221" t="s">
        <v>83892</v>
      </c>
    </row>
    <row r="4222" spans="1:25" x14ac:dyDescent="0.3">
      <c r="A4222">
        <v>211050</v>
      </c>
      <c r="B4222" t="s">
        <v>83893</v>
      </c>
      <c r="C4222" t="s">
        <v>83894</v>
      </c>
      <c r="D4222" t="s">
        <v>83895</v>
      </c>
      <c r="E4222" t="s">
        <v>83896</v>
      </c>
      <c r="F4222" t="s">
        <v>83897</v>
      </c>
      <c r="G4222">
        <f>-784.268927311617 -0.935303536605716 -692.60818336794</f>
        <v>-1477.8124142161628</v>
      </c>
      <c r="H4222">
        <f>-773.430646452917 -35.3705820202515 -840.583659919151</f>
        <v>-1649.3848883923197</v>
      </c>
      <c r="I4222">
        <f>-728.658042767159 -59.2476834352306 -928.948220368983</f>
        <v>-1716.8539465713725</v>
      </c>
      <c r="J4222" t="s">
        <v>83898</v>
      </c>
      <c r="K4222" t="s">
        <v>83899</v>
      </c>
      <c r="L4222" t="s">
        <v>83900</v>
      </c>
      <c r="M4222" t="s">
        <v>83901</v>
      </c>
      <c r="N4222">
        <f>-784.511191495059 -50.5879406493277 -768.482432761336</f>
        <v>-1603.5815649057226</v>
      </c>
      <c r="O4222">
        <f>-820.157568568721 -182.207767150459 -713.426679022444</f>
        <v>-1715.7920147416239</v>
      </c>
      <c r="P4222">
        <f>-763.371806703813 -160.269453710604 -402.813882829746</f>
        <v>-1326.4551432441631</v>
      </c>
      <c r="Q4222">
        <f>-532.309615607699 -41.1429749425358 -410.636914795185</f>
        <v>-984.08950534541987</v>
      </c>
      <c r="R4222" t="s">
        <v>83902</v>
      </c>
      <c r="S4222" t="s">
        <v>83903</v>
      </c>
      <c r="T4222" t="s">
        <v>83904</v>
      </c>
      <c r="U4222" t="s">
        <v>83905</v>
      </c>
      <c r="V4222">
        <f>-756.555169691333 -61.4818791118385 -239.775658737371</f>
        <v>-1057.8127075405425</v>
      </c>
      <c r="W4222" t="s">
        <v>83906</v>
      </c>
      <c r="X4222" t="s">
        <v>83907</v>
      </c>
      <c r="Y4222" t="s">
        <v>83908</v>
      </c>
    </row>
    <row r="4223" spans="1:25" x14ac:dyDescent="0.3">
      <c r="A4223">
        <v>211100</v>
      </c>
      <c r="B4223" t="s">
        <v>83909</v>
      </c>
      <c r="C4223" t="s">
        <v>83910</v>
      </c>
      <c r="D4223" t="s">
        <v>83911</v>
      </c>
      <c r="E4223" t="s">
        <v>83912</v>
      </c>
      <c r="F4223" t="s">
        <v>83913</v>
      </c>
      <c r="G4223">
        <f>-784.554373905714 -0.640953182552266 -692.65096847023</f>
        <v>-1477.8462955584964</v>
      </c>
      <c r="H4223">
        <f>-773.872938588436 -34.8534981005189 -840.68956952635</f>
        <v>-1649.4160062153051</v>
      </c>
      <c r="I4223">
        <f>-729.191465665073 -58.8323278656114 -929.072654097483</f>
        <v>-1717.0964476281674</v>
      </c>
      <c r="J4223" t="s">
        <v>83914</v>
      </c>
      <c r="K4223" t="s">
        <v>83915</v>
      </c>
      <c r="L4223" t="s">
        <v>83916</v>
      </c>
      <c r="M4223" t="s">
        <v>83917</v>
      </c>
      <c r="N4223">
        <f>-784.819027031697 -50.1898360519949 -768.593068415439</f>
        <v>-1603.6019314991308</v>
      </c>
      <c r="O4223">
        <f>-820.162913771414 -181.958286131001 -713.685375447731</f>
        <v>-1715.806575350146</v>
      </c>
      <c r="P4223">
        <f>-763.180287492314 -160.440064718279 -403.07934384865</f>
        <v>-1326.699696059243</v>
      </c>
      <c r="Q4223">
        <f>-532.609786015158 -40.3972345353095 -411.38407163958</f>
        <v>-984.3910921900474</v>
      </c>
      <c r="R4223" t="s">
        <v>83918</v>
      </c>
      <c r="S4223" t="s">
        <v>83919</v>
      </c>
      <c r="T4223" t="s">
        <v>83920</v>
      </c>
      <c r="U4223" t="s">
        <v>83921</v>
      </c>
      <c r="V4223">
        <f>-756.428997544528 -61.4746338464574 -239.803214435707</f>
        <v>-1057.7068458266924</v>
      </c>
      <c r="W4223" t="s">
        <v>83922</v>
      </c>
      <c r="X4223" t="s">
        <v>83923</v>
      </c>
      <c r="Y4223" t="s">
        <v>83924</v>
      </c>
    </row>
    <row r="4224" spans="1:25" x14ac:dyDescent="0.3">
      <c r="A4224">
        <v>211150</v>
      </c>
      <c r="B4224" t="s">
        <v>83925</v>
      </c>
      <c r="C4224" t="s">
        <v>83926</v>
      </c>
      <c r="D4224" t="s">
        <v>83927</v>
      </c>
      <c r="E4224" t="s">
        <v>83928</v>
      </c>
      <c r="F4224" t="s">
        <v>83929</v>
      </c>
      <c r="G4224">
        <f>-785.254179091851 -0.0488978358032455 -692.660884448543</f>
        <v>-1477.9639613761974</v>
      </c>
      <c r="H4224">
        <f>-774.895302918019 -33.7749363378309 -840.834001733796</f>
        <v>-1649.504240989646</v>
      </c>
      <c r="I4224">
        <f>-730.463117469259 -57.7845025705958 -929.334204918351</f>
        <v>-1717.5818249582057</v>
      </c>
      <c r="J4224" t="s">
        <v>83930</v>
      </c>
      <c r="K4224" t="s">
        <v>83931</v>
      </c>
      <c r="L4224" t="s">
        <v>83932</v>
      </c>
      <c r="M4224" t="s">
        <v>83933</v>
      </c>
      <c r="N4224">
        <f>-785.589617731955 -49.364904099139 -768.754035206466</f>
        <v>-1603.70855703756</v>
      </c>
      <c r="O4224">
        <f>-820.494670023383 -181.382172837515 -714.159833075445</f>
        <v>-1716.036675936343</v>
      </c>
      <c r="P4224">
        <f>-762.530463164107 -160.725985572846 -403.67689704138</f>
        <v>-1326.933345778333</v>
      </c>
      <c r="Q4224">
        <f>-532.491923973203 -39.7061752554521 -412.539268011484</f>
        <v>-984.73736724013906</v>
      </c>
      <c r="R4224" t="s">
        <v>83934</v>
      </c>
      <c r="S4224" t="s">
        <v>83935</v>
      </c>
      <c r="T4224" t="s">
        <v>83936</v>
      </c>
      <c r="U4224" t="s">
        <v>83937</v>
      </c>
      <c r="V4224">
        <f>-756.23927830637 -61.5301266667595 -239.793705073732</f>
        <v>-1057.5631100468615</v>
      </c>
      <c r="W4224" t="s">
        <v>83938</v>
      </c>
      <c r="X4224" t="s">
        <v>83939</v>
      </c>
      <c r="Y4224" t="s">
        <v>83940</v>
      </c>
    </row>
    <row r="4225" spans="1:25" x14ac:dyDescent="0.3">
      <c r="A4225">
        <v>211200</v>
      </c>
      <c r="B4225" t="s">
        <v>83941</v>
      </c>
      <c r="C4225" t="s">
        <v>83942</v>
      </c>
      <c r="D4225" t="s">
        <v>83943</v>
      </c>
      <c r="E4225" t="s">
        <v>83944</v>
      </c>
      <c r="F4225" t="s">
        <v>83945</v>
      </c>
      <c r="G4225" t="s">
        <v>83946</v>
      </c>
      <c r="H4225">
        <f>-775.354380113516 -33.4055258588485 -840.873407403861</f>
        <v>-1649.6333133762255</v>
      </c>
      <c r="I4225">
        <f>-731.057411272399 -57.4444596199191 -929.433413597712</f>
        <v>-1717.9352844900302</v>
      </c>
      <c r="J4225" t="s">
        <v>83947</v>
      </c>
      <c r="K4225" t="s">
        <v>83948</v>
      </c>
      <c r="L4225" t="s">
        <v>83949</v>
      </c>
      <c r="M4225" t="s">
        <v>83950</v>
      </c>
      <c r="N4225">
        <f>-785.941661400836 -49.0949599513531 -768.799273403548</f>
        <v>-1603.8358947557372</v>
      </c>
      <c r="O4225">
        <f>-820.678213605602 -181.181256292331 -714.303597821841</f>
        <v>-1716.1630677197741</v>
      </c>
      <c r="P4225">
        <f>-762.241987463034 -161.125623821416 -403.869900733744</f>
        <v>-1327.2375120181941</v>
      </c>
      <c r="Q4225">
        <f>-532.31290173561 -39.9025277087346 -412.793645094634</f>
        <v>-985.00907453897867</v>
      </c>
      <c r="R4225" t="s">
        <v>83951</v>
      </c>
      <c r="S4225" t="s">
        <v>83952</v>
      </c>
      <c r="T4225" t="s">
        <v>83953</v>
      </c>
      <c r="U4225" t="s">
        <v>83954</v>
      </c>
      <c r="V4225">
        <f>-756.034630795918 -61.611027640547 -239.799736261856</f>
        <v>-1057.445394698321</v>
      </c>
      <c r="W4225" t="s">
        <v>83955</v>
      </c>
      <c r="X4225" t="s">
        <v>83956</v>
      </c>
      <c r="Y4225" t="s">
        <v>83957</v>
      </c>
    </row>
    <row r="4226" spans="1:25" x14ac:dyDescent="0.3">
      <c r="A4226">
        <v>211250</v>
      </c>
      <c r="B4226" t="s">
        <v>83958</v>
      </c>
      <c r="C4226" t="s">
        <v>83959</v>
      </c>
      <c r="D4226" t="s">
        <v>83960</v>
      </c>
      <c r="E4226" t="s">
        <v>83961</v>
      </c>
      <c r="F4226" t="s">
        <v>83962</v>
      </c>
      <c r="G4226" t="s">
        <v>83963</v>
      </c>
      <c r="H4226">
        <f>-776.094447153896 -33.1603252803675 -840.891776216932</f>
        <v>-1650.1465486511956</v>
      </c>
      <c r="I4226">
        <f>-732.099896903523 -57.2980459466396 -929.575646447358</f>
        <v>-1718.9735892975207</v>
      </c>
      <c r="J4226" t="s">
        <v>83964</v>
      </c>
      <c r="K4226" t="s">
        <v>83965</v>
      </c>
      <c r="L4226" t="s">
        <v>83966</v>
      </c>
      <c r="M4226" t="s">
        <v>83967</v>
      </c>
      <c r="N4226">
        <f>-786.515062248244 -48.9523158122984 -768.815830708891</f>
        <v>-1604.2832087694333</v>
      </c>
      <c r="O4226">
        <f>-821.028899653242 -181.139024073257 -714.423353166137</f>
        <v>-1716.591276892636</v>
      </c>
      <c r="P4226">
        <f>-761.271724467667 -161.840059123976 -404.193037894786</f>
        <v>-1327.3048214864289</v>
      </c>
      <c r="Q4226">
        <f>-531.09646061832 -41.0259778056138 -412.278947161873</f>
        <v>-984.40138558580679</v>
      </c>
      <c r="R4226" t="s">
        <v>83968</v>
      </c>
      <c r="S4226" t="s">
        <v>83969</v>
      </c>
      <c r="T4226" t="s">
        <v>83970</v>
      </c>
      <c r="U4226" t="s">
        <v>83971</v>
      </c>
      <c r="V4226">
        <f>-755.645601190208 -61.8092757471434 -239.785886732492</f>
        <v>-1057.2407636698433</v>
      </c>
      <c r="W4226" t="s">
        <v>83972</v>
      </c>
      <c r="X4226" t="s">
        <v>83973</v>
      </c>
      <c r="Y4226" t="s">
        <v>83974</v>
      </c>
    </row>
    <row r="4227" spans="1:25" x14ac:dyDescent="0.3">
      <c r="A4227">
        <v>211300</v>
      </c>
      <c r="B4227" t="s">
        <v>83975</v>
      </c>
      <c r="C4227" t="s">
        <v>83976</v>
      </c>
      <c r="D4227" t="s">
        <v>83977</v>
      </c>
      <c r="E4227" t="s">
        <v>83978</v>
      </c>
      <c r="F4227" t="s">
        <v>83979</v>
      </c>
      <c r="G4227">
        <f>-786.110144999846 -0.0799575422906855 -692.564727540947</f>
        <v>-1478.7548300830838</v>
      </c>
      <c r="H4227">
        <f>-776.481094852217 -33.4319293432509 -840.871635333627</f>
        <v>-1650.7846595290948</v>
      </c>
      <c r="I4227">
        <f>-732.682255958115 -57.6575919082147 -929.6283814449</f>
        <v>-1719.9682293112296</v>
      </c>
      <c r="J4227" t="s">
        <v>83980</v>
      </c>
      <c r="K4227" t="s">
        <v>83981</v>
      </c>
      <c r="L4227" t="s">
        <v>83982</v>
      </c>
      <c r="M4227" t="s">
        <v>83983</v>
      </c>
      <c r="N4227">
        <f>-786.816979926023 -49.2045205365305 -768.779208554265</f>
        <v>-1604.8007090168185</v>
      </c>
      <c r="O4227">
        <f>-821.226748882825 -181.375226326545 -714.280672852453</f>
        <v>-1716.8826480618229</v>
      </c>
      <c r="P4227">
        <f>-760.877937286766 -162.82130212145 -404.119431467128</f>
        <v>-1327.818670875344</v>
      </c>
      <c r="Q4227">
        <f>-531.056075630527 -41.3352145221563 -412.187771076356</f>
        <v>-984.57906122903933</v>
      </c>
      <c r="R4227" t="s">
        <v>83984</v>
      </c>
      <c r="S4227" t="s">
        <v>83985</v>
      </c>
      <c r="T4227" t="s">
        <v>83986</v>
      </c>
      <c r="U4227" t="s">
        <v>83987</v>
      </c>
      <c r="V4227">
        <f>-755.453693410218 -61.9267464154709 -239.760889994314</f>
        <v>-1057.141329820003</v>
      </c>
      <c r="W4227" t="s">
        <v>83988</v>
      </c>
      <c r="X4227" t="s">
        <v>83989</v>
      </c>
      <c r="Y4227" t="s">
        <v>83990</v>
      </c>
    </row>
    <row r="4228" spans="1:25" x14ac:dyDescent="0.3">
      <c r="A4228">
        <v>211350</v>
      </c>
      <c r="B4228" t="s">
        <v>83991</v>
      </c>
      <c r="C4228" t="s">
        <v>83992</v>
      </c>
      <c r="D4228" t="s">
        <v>83993</v>
      </c>
      <c r="E4228" t="s">
        <v>83994</v>
      </c>
      <c r="F4228" t="s">
        <v>83995</v>
      </c>
      <c r="G4228">
        <f>-786.27896760741 -0.685633796856791 -692.532679719233</f>
        <v>-1479.4972811234998</v>
      </c>
      <c r="H4228">
        <f>-777.091619392954 -34.1057440817558 -840.85217996246</f>
        <v>-1652.0495434371699</v>
      </c>
      <c r="I4228">
        <f>-733.675159438521 -58.5045299346802 -929.749318722921</f>
        <v>-1721.9290080961223</v>
      </c>
      <c r="J4228" t="s">
        <v>83996</v>
      </c>
      <c r="K4228" t="s">
        <v>83997</v>
      </c>
      <c r="L4228" t="s">
        <v>83998</v>
      </c>
      <c r="M4228" t="s">
        <v>83999</v>
      </c>
      <c r="N4228">
        <f>-787.283104996555 -49.8325856822908 -768.729383540464</f>
        <v>-1605.8450742193099</v>
      </c>
      <c r="O4228">
        <f>-821.6098207886 -181.985944675929 -714.112480961353</f>
        <v>-1717.708246425882</v>
      </c>
      <c r="P4228">
        <f>-759.600282917912 -164.642700019144 -404.208803782703</f>
        <v>-1328.451786719759</v>
      </c>
      <c r="Q4228">
        <f>-530.51609510394 -41.7494845574402 -411.934936227582</f>
        <v>-984.20051588896217</v>
      </c>
      <c r="R4228" t="s">
        <v>84000</v>
      </c>
      <c r="S4228" t="s">
        <v>84001</v>
      </c>
      <c r="T4228" t="s">
        <v>84002</v>
      </c>
      <c r="U4228" t="s">
        <v>84003</v>
      </c>
      <c r="V4228">
        <f>-755.215507657311 -62.238394698534 -239.702346910682</f>
        <v>-1057.1562492665271</v>
      </c>
      <c r="W4228" t="s">
        <v>84004</v>
      </c>
      <c r="X4228" t="s">
        <v>84005</v>
      </c>
      <c r="Y4228" t="s">
        <v>84006</v>
      </c>
    </row>
    <row r="4229" spans="1:25" x14ac:dyDescent="0.3">
      <c r="A4229">
        <v>211400</v>
      </c>
      <c r="B4229" t="s">
        <v>84007</v>
      </c>
      <c r="C4229" t="s">
        <v>84008</v>
      </c>
      <c r="D4229" t="s">
        <v>84009</v>
      </c>
      <c r="E4229" t="s">
        <v>84010</v>
      </c>
      <c r="F4229" t="s">
        <v>84011</v>
      </c>
      <c r="G4229">
        <f>-786.432060765435 -1.0681652321 -692.512249314111</f>
        <v>-1480.0124753116461</v>
      </c>
      <c r="H4229">
        <f>-777.457944834019 -34.5326779909849 -840.834821940596</f>
        <v>-1652.8254447656</v>
      </c>
      <c r="I4229">
        <f>-734.223768708605 -59.0672158401021 -929.783490007172</f>
        <v>-1723.0744745558791</v>
      </c>
      <c r="J4229" t="s">
        <v>84012</v>
      </c>
      <c r="K4229" t="s">
        <v>84013</v>
      </c>
      <c r="L4229" t="s">
        <v>84014</v>
      </c>
      <c r="M4229" t="s">
        <v>84015</v>
      </c>
      <c r="N4229">
        <f>-787.581478056487 -50.2315522250788 -768.696266789864</f>
        <v>-1606.5092970714297</v>
      </c>
      <c r="O4229">
        <f>-821.938521413944 -182.340999531318 -714.003257609591</f>
        <v>-1718.2827785548529</v>
      </c>
      <c r="P4229">
        <f>-758.966213587786 -165.481853116398 -404.267166216081</f>
        <v>-1328.715232920265</v>
      </c>
      <c r="Q4229">
        <f>-530.688785069023 -41.1593893202294 -412.947881027534</f>
        <v>-984.79605541678632</v>
      </c>
      <c r="R4229" t="s">
        <v>84016</v>
      </c>
      <c r="S4229" t="s">
        <v>84017</v>
      </c>
      <c r="T4229" t="s">
        <v>84018</v>
      </c>
      <c r="U4229" t="s">
        <v>84019</v>
      </c>
      <c r="V4229">
        <f>-755.104250259254 -62.44322563624 -239.665435065293</f>
        <v>-1057.212910960787</v>
      </c>
      <c r="W4229" t="s">
        <v>84020</v>
      </c>
      <c r="X4229" t="s">
        <v>84021</v>
      </c>
      <c r="Y4229" t="s">
        <v>84022</v>
      </c>
    </row>
    <row r="4230" spans="1:25" x14ac:dyDescent="0.3">
      <c r="A4230">
        <v>211450</v>
      </c>
      <c r="B4230" t="s">
        <v>84023</v>
      </c>
      <c r="C4230" t="s">
        <v>84024</v>
      </c>
      <c r="D4230" t="s">
        <v>84025</v>
      </c>
      <c r="E4230" t="s">
        <v>84026</v>
      </c>
      <c r="F4230" t="s">
        <v>84027</v>
      </c>
      <c r="G4230">
        <f>-786.809697491283 -2.0030019414794 -692.430780933313</f>
        <v>-1481.2434803660753</v>
      </c>
      <c r="H4230">
        <f>-778.338411333067 -35.6325111981535 -840.745684164798</f>
        <v>-1654.7166066960185</v>
      </c>
      <c r="I4230">
        <f>-735.47980061558 -60.4599445033327 -929.794671624758</f>
        <v>-1725.7344167436709</v>
      </c>
      <c r="J4230" t="s">
        <v>84028</v>
      </c>
      <c r="K4230" t="s">
        <v>84029</v>
      </c>
      <c r="L4230" t="s">
        <v>84030</v>
      </c>
      <c r="M4230" t="s">
        <v>84031</v>
      </c>
      <c r="N4230">
        <f>-788.306521547443 -51.2349663791722 -768.564575043521</f>
        <v>-1608.1060629701362</v>
      </c>
      <c r="O4230">
        <f>-822.794991372023 -183.224440487532 -713.688218923824</f>
        <v>-1719.707650783379</v>
      </c>
      <c r="P4230">
        <f>-757.536899653963 -168.036298835672 -404.339177513039</f>
        <v>-1329.9123760026741</v>
      </c>
      <c r="Q4230">
        <f>-531.481120605836 -39.8690258926579 -415.014968708958</f>
        <v>-986.36511520745194</v>
      </c>
      <c r="R4230" t="s">
        <v>84032</v>
      </c>
      <c r="S4230" t="s">
        <v>84033</v>
      </c>
      <c r="T4230" t="s">
        <v>84034</v>
      </c>
      <c r="U4230" t="s">
        <v>84035</v>
      </c>
      <c r="V4230">
        <f>-754.87220532982 -62.972443289658 -239.606131122949</f>
        <v>-1057.4507797424269</v>
      </c>
      <c r="W4230" t="s">
        <v>84036</v>
      </c>
      <c r="X4230" t="s">
        <v>84037</v>
      </c>
      <c r="Y4230" t="s">
        <v>84038</v>
      </c>
    </row>
    <row r="4231" spans="1:25" x14ac:dyDescent="0.3">
      <c r="A4231">
        <v>211500</v>
      </c>
      <c r="B4231" t="s">
        <v>84039</v>
      </c>
      <c r="C4231" t="s">
        <v>84040</v>
      </c>
      <c r="D4231" t="s">
        <v>84041</v>
      </c>
      <c r="E4231" t="s">
        <v>84042</v>
      </c>
      <c r="F4231" t="s">
        <v>84043</v>
      </c>
      <c r="G4231">
        <f>-786.879439418222 -2.55897153951719 -692.356491120277</f>
        <v>-1481.7949020780161</v>
      </c>
      <c r="H4231">
        <f>-778.559570130246 -36.2706173590818 -840.661288169649</f>
        <v>-1655.4914756589769</v>
      </c>
      <c r="I4231">
        <f>-735.808149563292 -61.2409161536934 -929.721858376765</f>
        <v>-1726.7709240937504</v>
      </c>
      <c r="J4231" t="s">
        <v>84044</v>
      </c>
      <c r="K4231" t="s">
        <v>84045</v>
      </c>
      <c r="L4231" t="s">
        <v>84046</v>
      </c>
      <c r="M4231" t="s">
        <v>84047</v>
      </c>
      <c r="N4231">
        <f>-788.478623275631 -51.828492658884 -768.463921256412</f>
        <v>-1608.771037190927</v>
      </c>
      <c r="O4231">
        <f>-822.927224979801 -183.796077597822 -713.454726772267</f>
        <v>-1720.17802934989</v>
      </c>
      <c r="P4231">
        <f>-756.771629917418 -168.288242117896 -404.312116791128</f>
        <v>-1329.3719888264418</v>
      </c>
      <c r="Q4231">
        <f>-531.26801034071 -39.1805224357647 -415.330136537589</f>
        <v>-985.77866931406379</v>
      </c>
      <c r="R4231" t="s">
        <v>84048</v>
      </c>
      <c r="S4231" t="s">
        <v>84049</v>
      </c>
      <c r="T4231" t="s">
        <v>84050</v>
      </c>
      <c r="U4231" t="s">
        <v>84051</v>
      </c>
      <c r="V4231">
        <f>-754.729626838491 -63.2725325498129 -239.560046473058</f>
        <v>-1057.5622058613619</v>
      </c>
      <c r="W4231" t="s">
        <v>84052</v>
      </c>
      <c r="X4231" t="s">
        <v>84053</v>
      </c>
      <c r="Y4231" t="s">
        <v>84054</v>
      </c>
    </row>
    <row r="4232" spans="1:25" x14ac:dyDescent="0.3">
      <c r="A4232">
        <v>211550</v>
      </c>
      <c r="B4232" t="s">
        <v>84055</v>
      </c>
      <c r="C4232" t="s">
        <v>84056</v>
      </c>
      <c r="D4232" t="s">
        <v>84057</v>
      </c>
      <c r="E4232" t="s">
        <v>84058</v>
      </c>
      <c r="F4232" t="s">
        <v>84059</v>
      </c>
      <c r="G4232">
        <f>-787.299945905719 -3.73688067769103 -692.211754039877</f>
        <v>-1483.2485806232871</v>
      </c>
      <c r="H4232">
        <f>-779.283721420494 -37.6905955849322 -840.478161119302</f>
        <v>-1657.4524781247283</v>
      </c>
      <c r="I4232">
        <f>-736.707727063624 -62.9406350069637 -929.543855225483</f>
        <v>-1729.1922172960708</v>
      </c>
      <c r="J4232" t="s">
        <v>84060</v>
      </c>
      <c r="K4232" t="s">
        <v>84061</v>
      </c>
      <c r="L4232" t="s">
        <v>84062</v>
      </c>
      <c r="M4232" t="s">
        <v>84063</v>
      </c>
      <c r="N4232">
        <f>-789.068102564918 -53.128243438571 -768.23638582307</f>
        <v>-1610.4327318265591</v>
      </c>
      <c r="O4232">
        <f>-823.222786719377 -185.06053723739 -712.965003828665</f>
        <v>-1721.2483277854321</v>
      </c>
      <c r="P4232">
        <f>-755.994953644693 -169.368597023986 -404.063021468494</f>
        <v>-1329.426572137173</v>
      </c>
      <c r="Q4232">
        <f>-531.365361594928 -38.5531436760175 -412.486554677509</f>
        <v>-982.40505994845444</v>
      </c>
      <c r="R4232" t="s">
        <v>84064</v>
      </c>
      <c r="S4232" t="s">
        <v>84065</v>
      </c>
      <c r="T4232" t="s">
        <v>84066</v>
      </c>
      <c r="U4232" t="s">
        <v>84067</v>
      </c>
      <c r="V4232">
        <f>-754.478475767195 -63.8654993549253 -239.480304903806</f>
        <v>-1057.8242800259263</v>
      </c>
      <c r="W4232" t="s">
        <v>84068</v>
      </c>
      <c r="X4232" t="s">
        <v>84069</v>
      </c>
      <c r="Y4232" t="s">
        <v>84070</v>
      </c>
    </row>
    <row r="4233" spans="1:25" x14ac:dyDescent="0.3">
      <c r="A4233">
        <v>211600</v>
      </c>
      <c r="B4233" t="s">
        <v>84071</v>
      </c>
      <c r="C4233" t="s">
        <v>84072</v>
      </c>
      <c r="D4233" t="s">
        <v>84073</v>
      </c>
      <c r="E4233" t="s">
        <v>84074</v>
      </c>
      <c r="F4233" t="s">
        <v>84075</v>
      </c>
      <c r="G4233">
        <f>-787.231146491605 -4.41745009152805 -692.135842375851</f>
        <v>-1483.7844389589841</v>
      </c>
      <c r="H4233">
        <f>-779.299857652899 -38.580291121446 -840.358499464838</f>
        <v>-1658.238648239183</v>
      </c>
      <c r="I4233">
        <f>-736.791077559789 -63.9862238264243 -929.412052362298</f>
        <v>-1730.1893537485112</v>
      </c>
      <c r="J4233" t="s">
        <v>84076</v>
      </c>
      <c r="K4233" t="s">
        <v>84077</v>
      </c>
      <c r="L4233" t="s">
        <v>84078</v>
      </c>
      <c r="M4233" t="s">
        <v>84079</v>
      </c>
      <c r="N4233">
        <f>-789.033963459193 -53.9175356175817 -768.088553973876</f>
        <v>-1611.0400530506508</v>
      </c>
      <c r="O4233">
        <f>-822.92650954978 -185.839068250555 -712.664460039051</f>
        <v>-1721.4300378393859</v>
      </c>
      <c r="P4233">
        <f>-756.078091213363 -170.169669839362 -403.679148612939</f>
        <v>-1329.926909665664</v>
      </c>
      <c r="Q4233">
        <f>-532.566468426411 -37.3876238214707 -410.994523734338</f>
        <v>-980.94861598221974</v>
      </c>
      <c r="R4233" t="s">
        <v>84080</v>
      </c>
      <c r="S4233" t="s">
        <v>84081</v>
      </c>
      <c r="T4233" t="s">
        <v>84082</v>
      </c>
      <c r="U4233" t="s">
        <v>84083</v>
      </c>
      <c r="V4233">
        <f>-754.249711796477 -64.0473486275071 -239.434253591507</f>
        <v>-1057.7313140154911</v>
      </c>
      <c r="W4233" t="s">
        <v>84084</v>
      </c>
      <c r="X4233" t="s">
        <v>84085</v>
      </c>
      <c r="Y4233" t="s">
        <v>84086</v>
      </c>
    </row>
    <row r="4234" spans="1:25" x14ac:dyDescent="0.3">
      <c r="A4234">
        <v>211650</v>
      </c>
      <c r="B4234" t="s">
        <v>84087</v>
      </c>
      <c r="C4234" t="s">
        <v>84088</v>
      </c>
      <c r="D4234" t="s">
        <v>84089</v>
      </c>
      <c r="E4234" t="s">
        <v>84090</v>
      </c>
      <c r="F4234" t="s">
        <v>84091</v>
      </c>
      <c r="G4234">
        <f>-787.009637322951 -5.40356942891844 -692.109245889356</f>
        <v>-1484.5224526412253</v>
      </c>
      <c r="H4234">
        <f>-779.225805455646 -39.801957478825 -840.285445526614</f>
        <v>-1659.313208461085</v>
      </c>
      <c r="I4234">
        <f>-736.802502362971 -65.4061033503685 -929.322864506325</f>
        <v>-1731.5314702196647</v>
      </c>
      <c r="J4234" t="s">
        <v>84092</v>
      </c>
      <c r="K4234" t="s">
        <v>84093</v>
      </c>
      <c r="L4234" t="s">
        <v>84094</v>
      </c>
      <c r="M4234" t="s">
        <v>84095</v>
      </c>
      <c r="N4234">
        <f>-788.85156090748 -55.030947342023 -767.978065763952</f>
        <v>-1611.8605740134549</v>
      </c>
      <c r="O4234">
        <f>-822.413408558362 -186.994961589581 -712.423737487259</f>
        <v>-1721.8321076352022</v>
      </c>
      <c r="P4234">
        <f>-755.254050333409 -171.872544477666 -403.478579275798</f>
        <v>-1330.6051740868729</v>
      </c>
      <c r="Q4234">
        <f>-533.241004347043 -36.5355748643044 -409.488070649061</f>
        <v>-979.26464986040844</v>
      </c>
      <c r="R4234" t="s">
        <v>84096</v>
      </c>
      <c r="S4234" t="s">
        <v>84097</v>
      </c>
      <c r="T4234" t="s">
        <v>84098</v>
      </c>
      <c r="U4234" t="s">
        <v>84099</v>
      </c>
      <c r="V4234">
        <f>-753.498780470242 -64.2785464393514 -239.359547640713</f>
        <v>-1057.1368745503064</v>
      </c>
      <c r="W4234" t="s">
        <v>84100</v>
      </c>
      <c r="X4234" t="s">
        <v>84101</v>
      </c>
      <c r="Y4234" t="s">
        <v>84102</v>
      </c>
    </row>
    <row r="4235" spans="1:25" x14ac:dyDescent="0.3">
      <c r="A4235">
        <v>211700</v>
      </c>
      <c r="B4235" t="s">
        <v>84103</v>
      </c>
      <c r="C4235" t="s">
        <v>84104</v>
      </c>
      <c r="D4235" t="s">
        <v>84105</v>
      </c>
      <c r="E4235" t="s">
        <v>84106</v>
      </c>
      <c r="F4235" t="s">
        <v>84107</v>
      </c>
      <c r="G4235">
        <f>-787.062556563141 -5.87262658471855 -692.096801308074</f>
        <v>-1485.0319844559335</v>
      </c>
      <c r="H4235">
        <f>-779.450929219678 -40.4103723946489 -840.249530828796</f>
        <v>-1660.1108324431229</v>
      </c>
      <c r="I4235">
        <f>-737.084133012684 -66.1433251887397 -929.2768214292</f>
        <v>-1732.5042796306238</v>
      </c>
      <c r="J4235" t="s">
        <v>84108</v>
      </c>
      <c r="K4235" t="s">
        <v>84109</v>
      </c>
      <c r="L4235" t="s">
        <v>84110</v>
      </c>
      <c r="M4235" t="s">
        <v>84111</v>
      </c>
      <c r="N4235">
        <f>-788.979390076185 -55.5738802994254 -767.915626600512</f>
        <v>-1612.4688969761223</v>
      </c>
      <c r="O4235">
        <f>-822.391359373985 -187.497410569826 -712.204167538662</f>
        <v>-1722.092937482473</v>
      </c>
      <c r="P4235">
        <f>-755.225007461127 -172.162555445121 -403.270915385973</f>
        <v>-1330.6584782922209</v>
      </c>
      <c r="Q4235">
        <f>-534.075813781515 -35.4138864049457 -409.180341606142</f>
        <v>-978.67004179260266</v>
      </c>
      <c r="R4235" t="s">
        <v>84112</v>
      </c>
      <c r="S4235" t="s">
        <v>84113</v>
      </c>
      <c r="T4235" t="s">
        <v>84114</v>
      </c>
      <c r="U4235" t="s">
        <v>84115</v>
      </c>
      <c r="V4235">
        <f>-753.161853645848 -64.3509352503922 -239.327767572139</f>
        <v>-1056.8405564683794</v>
      </c>
      <c r="W4235" t="s">
        <v>84116</v>
      </c>
      <c r="X4235" t="s">
        <v>84117</v>
      </c>
      <c r="Y4235" t="s">
        <v>84118</v>
      </c>
    </row>
    <row r="4236" spans="1:25" x14ac:dyDescent="0.3">
      <c r="A4236">
        <v>211750</v>
      </c>
      <c r="B4236" t="s">
        <v>84119</v>
      </c>
      <c r="C4236" t="s">
        <v>84120</v>
      </c>
      <c r="D4236" t="s">
        <v>84121</v>
      </c>
      <c r="E4236" t="s">
        <v>84122</v>
      </c>
      <c r="F4236" t="s">
        <v>84123</v>
      </c>
      <c r="G4236">
        <f>-787.138721198938 -6.88618866503498 -692.045571314489</f>
        <v>-1486.0704811784622</v>
      </c>
      <c r="H4236">
        <f>-779.895201979559 -41.8038524032274 -840.127657670075</f>
        <v>-1661.8267120528615</v>
      </c>
      <c r="I4236">
        <f>-737.710132910995 -67.8188752274825 -929.159184227837</f>
        <v>-1734.6881923663145</v>
      </c>
      <c r="J4236" t="s">
        <v>84124</v>
      </c>
      <c r="K4236" t="s">
        <v>84125</v>
      </c>
      <c r="L4236" t="s">
        <v>84126</v>
      </c>
      <c r="M4236" t="s">
        <v>84127</v>
      </c>
      <c r="N4236">
        <f>-789.242404938768 -56.7819300438132 -767.731427289622</f>
        <v>-1613.7557622722034</v>
      </c>
      <c r="O4236">
        <f>-822.332841543108 -188.664473050141 -711.711111880889</f>
        <v>-1722.7084264741379</v>
      </c>
      <c r="P4236">
        <f>-754.624974634927 -173.479352759207 -402.888671913015</f>
        <v>-1330.9929993071489</v>
      </c>
      <c r="Q4236">
        <f>-535.59344621944 -33.345208921515 -408.334884932741</f>
        <v>-977.27354007369604</v>
      </c>
      <c r="R4236" t="s">
        <v>84128</v>
      </c>
      <c r="S4236" t="s">
        <v>84129</v>
      </c>
      <c r="T4236" t="s">
        <v>84130</v>
      </c>
      <c r="U4236" t="s">
        <v>84131</v>
      </c>
      <c r="V4236">
        <f>-752.424804957134 -64.4822918873817 -239.323679682245</f>
        <v>-1056.2307765267608</v>
      </c>
      <c r="W4236" t="s">
        <v>84132</v>
      </c>
      <c r="X4236" t="s">
        <v>84133</v>
      </c>
      <c r="Y4236" t="s">
        <v>84134</v>
      </c>
    </row>
    <row r="4237" spans="1:25" x14ac:dyDescent="0.3">
      <c r="A4237">
        <v>211800</v>
      </c>
      <c r="B4237" t="s">
        <v>84135</v>
      </c>
      <c r="C4237" t="s">
        <v>84136</v>
      </c>
      <c r="D4237" t="s">
        <v>84137</v>
      </c>
      <c r="E4237" t="s">
        <v>84138</v>
      </c>
      <c r="F4237" t="s">
        <v>84139</v>
      </c>
      <c r="G4237">
        <f>-787.206746909067 -7.33418860736333 -692.015396660693</f>
        <v>-1486.5563321771233</v>
      </c>
      <c r="H4237">
        <f>-780.221599628198 -42.446354054935 -840.063913296769</f>
        <v>-1662.731866979902</v>
      </c>
      <c r="I4237">
        <f>-738.170971636846 -68.5972547934236 -929.119314352895</f>
        <v>-1735.8875407831647</v>
      </c>
      <c r="J4237" t="s">
        <v>84140</v>
      </c>
      <c r="K4237" t="s">
        <v>84141</v>
      </c>
      <c r="L4237" t="s">
        <v>84142</v>
      </c>
      <c r="M4237" t="s">
        <v>84143</v>
      </c>
      <c r="N4237">
        <f>-789.442464601649 -57.3292271289547 -767.631902588876</f>
        <v>-1614.4035943194797</v>
      </c>
      <c r="O4237">
        <f>-822.370788151786 -189.148601386092 -711.393003118882</f>
        <v>-1722.9123926567599</v>
      </c>
      <c r="P4237">
        <f>-754.11420602593 -174.049968228557 -402.687202923581</f>
        <v>-1330.8513771780681</v>
      </c>
      <c r="Q4237">
        <f>-536.011699466601 -32.4864120362281 -408.439591087126</f>
        <v>-976.93770258995517</v>
      </c>
      <c r="R4237" t="s">
        <v>84144</v>
      </c>
      <c r="S4237" t="s">
        <v>84145</v>
      </c>
      <c r="T4237" t="s">
        <v>84146</v>
      </c>
      <c r="U4237" t="s">
        <v>84147</v>
      </c>
      <c r="V4237">
        <f>-752.112953691907 -64.4924694995568 -239.324187044257</f>
        <v>-1055.9296102357209</v>
      </c>
      <c r="W4237" t="s">
        <v>84148</v>
      </c>
      <c r="X4237" t="s">
        <v>84149</v>
      </c>
      <c r="Y4237" t="s">
        <v>84150</v>
      </c>
    </row>
    <row r="4238" spans="1:25" x14ac:dyDescent="0.3">
      <c r="A4238">
        <v>211850</v>
      </c>
      <c r="B4238" t="s">
        <v>84151</v>
      </c>
      <c r="C4238" t="s">
        <v>84152</v>
      </c>
      <c r="D4238" t="s">
        <v>84153</v>
      </c>
      <c r="E4238" t="s">
        <v>84154</v>
      </c>
      <c r="F4238" t="s">
        <v>84155</v>
      </c>
      <c r="G4238">
        <f>-787.203888169564 -7.64731249138549 -692.094601130182</f>
        <v>-1486.9458017911315</v>
      </c>
      <c r="H4238">
        <f>-780.687028698701 -43.0198725163825 -840.102437193</f>
        <v>-1663.8093384080835</v>
      </c>
      <c r="I4238">
        <f>-738.932969257989 -69.3860406842182 -929.23385612523</f>
        <v>-1737.5528660674372</v>
      </c>
      <c r="J4238" t="s">
        <v>84156</v>
      </c>
      <c r="K4238" t="s">
        <v>84157</v>
      </c>
      <c r="L4238" t="s">
        <v>84158</v>
      </c>
      <c r="M4238" t="s">
        <v>84159</v>
      </c>
      <c r="N4238">
        <f>-789.6376569674 -57.7826473265204 -767.612058197936</f>
        <v>-1615.0323624918565</v>
      </c>
      <c r="O4238">
        <f>-822.132377820184 -189.641652523673 -711.174625004538</f>
        <v>-1722.9486553483951</v>
      </c>
      <c r="P4238">
        <f>-752.682169058401 -174.509263055905 -402.7367813867</f>
        <v>-1329.928213501006</v>
      </c>
      <c r="Q4238">
        <f>-536.508756103683 -30.1171457819598 -410.613100385151</f>
        <v>-977.23900227079389</v>
      </c>
      <c r="R4238" t="s">
        <v>84160</v>
      </c>
      <c r="S4238" t="s">
        <v>84161</v>
      </c>
      <c r="T4238" t="s">
        <v>84162</v>
      </c>
      <c r="U4238" t="s">
        <v>84163</v>
      </c>
      <c r="V4238">
        <f>-751.124904352955 -64.3308405551948 -239.416417366208</f>
        <v>-1054.8721622743578</v>
      </c>
      <c r="W4238" t="s">
        <v>84164</v>
      </c>
      <c r="X4238" t="s">
        <v>84165</v>
      </c>
      <c r="Y4238" t="s">
        <v>84166</v>
      </c>
    </row>
    <row r="4239" spans="1:25" x14ac:dyDescent="0.3">
      <c r="A4239">
        <v>211900</v>
      </c>
      <c r="B4239" t="s">
        <v>84167</v>
      </c>
      <c r="C4239" t="s">
        <v>84168</v>
      </c>
      <c r="D4239" t="s">
        <v>84169</v>
      </c>
      <c r="E4239" t="s">
        <v>84170</v>
      </c>
      <c r="F4239" t="s">
        <v>84171</v>
      </c>
      <c r="G4239">
        <f>-786.80893188839 -7.64747229947989 -692.15421591493</f>
        <v>-1486.6106201027999</v>
      </c>
      <c r="H4239">
        <f>-780.472528650391 -43.1164746839836 -840.146794236345</f>
        <v>-1663.7357975707196</v>
      </c>
      <c r="I4239">
        <f>-738.871946102125 -69.5593852914387 -929.327302367556</f>
        <v>-1737.7586337611197</v>
      </c>
      <c r="J4239" t="s">
        <v>84172</v>
      </c>
      <c r="K4239" t="s">
        <v>84173</v>
      </c>
      <c r="L4239" t="s">
        <v>84174</v>
      </c>
      <c r="M4239" t="s">
        <v>84175</v>
      </c>
      <c r="N4239">
        <f>-789.298939094604 -57.8384911004039 -767.632793787599</f>
        <v>-1614.7702239826067</v>
      </c>
      <c r="O4239">
        <f>-821.525895775183 -189.731285475971 -711.138525149645</f>
        <v>-1722.3957064007991</v>
      </c>
      <c r="P4239">
        <f>-751.895962158347 -174.275901871226 -402.757243425317</f>
        <v>-1328.9291074548898</v>
      </c>
      <c r="Q4239">
        <f>-535.810774518877 -29.7769422476968 -411.081981447979</f>
        <v>-976.66969821455268</v>
      </c>
      <c r="R4239" t="s">
        <v>84176</v>
      </c>
      <c r="S4239" t="s">
        <v>84177</v>
      </c>
      <c r="T4239" t="s">
        <v>84178</v>
      </c>
      <c r="U4239" t="s">
        <v>84179</v>
      </c>
      <c r="V4239">
        <f>-750.444555572748 -64.1446485319841 -239.46318515197</f>
        <v>-1054.0523892567021</v>
      </c>
      <c r="W4239" t="s">
        <v>84180</v>
      </c>
      <c r="X4239" t="s">
        <v>84181</v>
      </c>
      <c r="Y4239" t="s">
        <v>84182</v>
      </c>
    </row>
    <row r="4240" spans="1:25" x14ac:dyDescent="0.3">
      <c r="A4240">
        <v>211950</v>
      </c>
      <c r="B4240" t="s">
        <v>84183</v>
      </c>
      <c r="C4240" t="s">
        <v>84184</v>
      </c>
      <c r="D4240" t="s">
        <v>84185</v>
      </c>
      <c r="E4240" t="s">
        <v>84186</v>
      </c>
      <c r="F4240" t="s">
        <v>84187</v>
      </c>
      <c r="G4240">
        <f>-786.062897302681 -7.52310875156536 -692.20567935315</f>
        <v>-1485.7916854073965</v>
      </c>
      <c r="H4240">
        <f>-780.145937345786 -43.1592681793168 -840.175488636238</f>
        <v>-1663.4806941613408</v>
      </c>
      <c r="I4240">
        <f>-738.867689767434 -69.6378476149896 -929.495000923473</f>
        <v>-1738.0005383058965</v>
      </c>
      <c r="J4240" t="s">
        <v>84188</v>
      </c>
      <c r="K4240" t="s">
        <v>84189</v>
      </c>
      <c r="L4240" t="s">
        <v>84190</v>
      </c>
      <c r="M4240" t="s">
        <v>84191</v>
      </c>
      <c r="N4240">
        <f>-788.70009859642 -57.8110929981844 -767.614678730373</f>
        <v>-1614.1258703249775</v>
      </c>
      <c r="O4240">
        <f>-820.281814131245 -189.790474208078 -710.940098997579</f>
        <v>-1721.0123873369021</v>
      </c>
      <c r="P4240">
        <f>-750.202447967289 -173.958478822758 -402.679749875769</f>
        <v>-1326.8406766658161</v>
      </c>
      <c r="Q4240">
        <f>-534.557446615595 -28.7957937892259 -410.866634084607</f>
        <v>-974.21987448942787</v>
      </c>
      <c r="R4240" t="s">
        <v>84192</v>
      </c>
      <c r="S4240" t="s">
        <v>84193</v>
      </c>
      <c r="T4240" t="s">
        <v>84194</v>
      </c>
      <c r="U4240" t="s">
        <v>84195</v>
      </c>
      <c r="V4240">
        <f>-748.777209541691 -63.6697124045813 -239.474882362014</f>
        <v>-1051.9218043082865</v>
      </c>
      <c r="W4240" t="s">
        <v>84196</v>
      </c>
      <c r="X4240" t="s">
        <v>84197</v>
      </c>
      <c r="Y4240" t="s">
        <v>84198</v>
      </c>
    </row>
    <row r="4241" spans="1:25" x14ac:dyDescent="0.3">
      <c r="A4241">
        <v>212000</v>
      </c>
      <c r="B4241" t="s">
        <v>84199</v>
      </c>
      <c r="C4241" t="s">
        <v>84200</v>
      </c>
      <c r="D4241" t="s">
        <v>84201</v>
      </c>
      <c r="E4241" t="s">
        <v>84202</v>
      </c>
      <c r="F4241" t="s">
        <v>84203</v>
      </c>
      <c r="G4241">
        <f>-785.457191074811 -7.5521099781547 -692.167367108701</f>
        <v>-1485.1766681616668</v>
      </c>
      <c r="H4241">
        <f>-779.71008887352 -43.2602223461543 -840.126552262971</f>
        <v>-1663.0968634826454</v>
      </c>
      <c r="I4241">
        <f>-738.585344314266 -69.7040385410551 -929.527198414057</f>
        <v>-1737.816581269378</v>
      </c>
      <c r="J4241" t="s">
        <v>84204</v>
      </c>
      <c r="K4241" t="s">
        <v>84205</v>
      </c>
      <c r="L4241" t="s">
        <v>84206</v>
      </c>
      <c r="M4241" t="s">
        <v>84207</v>
      </c>
      <c r="N4241">
        <f>-788.130955306825 -57.8855441385117 -767.544778056585</f>
        <v>-1613.5612775019217</v>
      </c>
      <c r="O4241">
        <f>-819.358264280269 -189.930569808811 -710.855932503807</f>
        <v>-1720.1447665928872</v>
      </c>
      <c r="P4241">
        <f>-749.339482949473 -173.585334189953 -402.608683709633</f>
        <v>-1325.533500849059</v>
      </c>
      <c r="Q4241">
        <f>-533.680216841586 -28.4266619776713 -410.487705338586</f>
        <v>-972.59458415784331</v>
      </c>
      <c r="R4241" t="s">
        <v>84208</v>
      </c>
      <c r="S4241" t="s">
        <v>84209</v>
      </c>
      <c r="T4241" t="s">
        <v>84210</v>
      </c>
      <c r="U4241" t="s">
        <v>84211</v>
      </c>
      <c r="V4241">
        <f>-747.770278537859 -63.3630179812892 -239.420908817856</f>
        <v>-1050.5542053370041</v>
      </c>
      <c r="W4241" t="s">
        <v>84212</v>
      </c>
      <c r="X4241" t="s">
        <v>84213</v>
      </c>
      <c r="Y4241" t="s">
        <v>84214</v>
      </c>
    </row>
    <row r="4242" spans="1:25" x14ac:dyDescent="0.3">
      <c r="A4242">
        <v>212050</v>
      </c>
      <c r="B4242" t="s">
        <v>84215</v>
      </c>
      <c r="C4242" t="s">
        <v>84216</v>
      </c>
      <c r="D4242" t="s">
        <v>84217</v>
      </c>
      <c r="E4242" t="s">
        <v>84218</v>
      </c>
      <c r="F4242" t="s">
        <v>84219</v>
      </c>
      <c r="G4242">
        <f>-784.351548374632 -7.63497267918024 -692.082652252959</f>
        <v>-1484.0691733067711</v>
      </c>
      <c r="H4242">
        <f>-778.984411472068 -43.435904975064 -840.033625408221</f>
        <v>-1662.4539418553532</v>
      </c>
      <c r="I4242">
        <f>-738.215252212016 -69.7804264512088 -929.626235986458</f>
        <v>-1737.6219146496828</v>
      </c>
      <c r="J4242" t="s">
        <v>84220</v>
      </c>
      <c r="K4242" t="s">
        <v>84221</v>
      </c>
      <c r="L4242" t="s">
        <v>84222</v>
      </c>
      <c r="M4242" t="s">
        <v>84223</v>
      </c>
      <c r="N4242">
        <f>-787.136511562343 -58.0298935727244 -767.414967730249</f>
        <v>-1612.5813728653166</v>
      </c>
      <c r="O4242">
        <f>-817.671956588952 -190.211683400752 -710.665952795461</f>
        <v>-1718.5495927851648</v>
      </c>
      <c r="P4242">
        <f>-747.547898463937 -173.509813122188 -402.461756343139</f>
        <v>-1323.519467929264</v>
      </c>
      <c r="Q4242">
        <f>-532.430580599073 -27.5510860729842 -410.377659864994</f>
        <v>-970.35932653705117</v>
      </c>
      <c r="R4242" t="s">
        <v>84224</v>
      </c>
      <c r="S4242" t="s">
        <v>84225</v>
      </c>
      <c r="T4242" t="s">
        <v>84226</v>
      </c>
      <c r="U4242" t="s">
        <v>84227</v>
      </c>
      <c r="V4242">
        <f>-745.934814493173 -62.8635588005341 -239.262160831688</f>
        <v>-1048.060534125395</v>
      </c>
      <c r="W4242" t="s">
        <v>84228</v>
      </c>
      <c r="X4242" t="s">
        <v>84229</v>
      </c>
      <c r="Y4242" t="s">
        <v>84230</v>
      </c>
    </row>
    <row r="4243" spans="1:25" x14ac:dyDescent="0.3">
      <c r="A4243">
        <v>212100</v>
      </c>
      <c r="B4243" t="s">
        <v>84231</v>
      </c>
      <c r="C4243" t="s">
        <v>84232</v>
      </c>
      <c r="D4243" t="s">
        <v>84233</v>
      </c>
      <c r="E4243" t="s">
        <v>84234</v>
      </c>
      <c r="F4243" t="s">
        <v>84235</v>
      </c>
      <c r="G4243">
        <f>-783.900956342279 -7.62959618335822 -692.00334918473</f>
        <v>-1483.5339017103672</v>
      </c>
      <c r="H4243">
        <f>-778.737768561876 -43.4187446465689 -839.964466702595</f>
        <v>-1662.12097991104</v>
      </c>
      <c r="I4243">
        <f>-738.158700266969 -69.690275828814 -929.664745732828</f>
        <v>-1737.5137218286111</v>
      </c>
      <c r="J4243" t="s">
        <v>84236</v>
      </c>
      <c r="K4243" t="s">
        <v>84237</v>
      </c>
      <c r="L4243" t="s">
        <v>84238</v>
      </c>
      <c r="M4243" t="s">
        <v>84239</v>
      </c>
      <c r="N4243">
        <f>-786.749033285403 -58.0254325908465 -767.332703874302</f>
        <v>-1612.1071697505515</v>
      </c>
      <c r="O4243">
        <f>-817.004394773491 -190.291936246181 -710.631360940131</f>
        <v>-1717.9276919598028</v>
      </c>
      <c r="P4243">
        <f>-746.992966138047 -173.069891805113 -402.430185018687</f>
        <v>-1322.4930429618471</v>
      </c>
      <c r="Q4243">
        <f>-531.851798422701 -27.1994821908488 -411.271265618241</f>
        <v>-970.32254623179074</v>
      </c>
      <c r="R4243" t="s">
        <v>84240</v>
      </c>
      <c r="S4243" t="s">
        <v>84241</v>
      </c>
      <c r="T4243" t="s">
        <v>84242</v>
      </c>
      <c r="U4243" t="s">
        <v>84243</v>
      </c>
      <c r="V4243">
        <f>-745.13788286626 -62.6624978735435 -239.162593743693</f>
        <v>-1046.9629744834965</v>
      </c>
      <c r="W4243" t="s">
        <v>84244</v>
      </c>
      <c r="X4243" t="s">
        <v>84245</v>
      </c>
      <c r="Y4243" t="s">
        <v>84246</v>
      </c>
    </row>
    <row r="4244" spans="1:25" x14ac:dyDescent="0.3">
      <c r="A4244">
        <v>212150</v>
      </c>
      <c r="B4244" t="s">
        <v>84247</v>
      </c>
      <c r="C4244" t="s">
        <v>84248</v>
      </c>
      <c r="D4244" t="s">
        <v>84249</v>
      </c>
      <c r="E4244" t="s">
        <v>84250</v>
      </c>
      <c r="F4244" t="s">
        <v>84251</v>
      </c>
      <c r="G4244">
        <f>-782.776791166728 -7.7356612063511 -691.902342855022</f>
        <v>-1482.414795228101</v>
      </c>
      <c r="H4244">
        <f>-777.952968172979 -43.529792470674 -839.873717455841</f>
        <v>-1661.3564780994939</v>
      </c>
      <c r="I4244">
        <f>-737.738894488223 -69.6549938566493 -929.780709010705</f>
        <v>-1737.1745973555771</v>
      </c>
      <c r="J4244" t="s">
        <v>84252</v>
      </c>
      <c r="K4244" t="s">
        <v>84253</v>
      </c>
      <c r="L4244" t="s">
        <v>84254</v>
      </c>
      <c r="M4244" t="s">
        <v>84255</v>
      </c>
      <c r="N4244">
        <f>-785.777791406815 -58.1375493822743 -767.221685585659</f>
        <v>-1611.1370263747483</v>
      </c>
      <c r="O4244">
        <f>-815.65534225839 -190.516564150094 -710.590788596149</f>
        <v>-1716.7626950046329</v>
      </c>
      <c r="P4244">
        <f>-745.475888300145 -173.285106873812 -402.428213872307</f>
        <v>-1321.1892090462641</v>
      </c>
      <c r="Q4244">
        <f>-529.237032775028 -29.1129677915897 -412.288848174718</f>
        <v>-970.63884874133555</v>
      </c>
      <c r="R4244" t="s">
        <v>84256</v>
      </c>
      <c r="S4244" t="s">
        <v>84257</v>
      </c>
      <c r="T4244" t="s">
        <v>84258</v>
      </c>
      <c r="U4244" t="s">
        <v>84259</v>
      </c>
      <c r="V4244">
        <f>-743.542102438268 -62.5645533184759 -239.086468216188</f>
        <v>-1045.193123972932</v>
      </c>
      <c r="W4244" t="s">
        <v>84260</v>
      </c>
      <c r="X4244" t="s">
        <v>84261</v>
      </c>
      <c r="Y4244" t="s">
        <v>84262</v>
      </c>
    </row>
    <row r="4245" spans="1:25" x14ac:dyDescent="0.3">
      <c r="A4245">
        <v>212200</v>
      </c>
      <c r="B4245" t="s">
        <v>84263</v>
      </c>
      <c r="C4245" t="s">
        <v>84264</v>
      </c>
      <c r="D4245" t="s">
        <v>84265</v>
      </c>
      <c r="E4245" t="s">
        <v>84266</v>
      </c>
      <c r="F4245" t="s">
        <v>84267</v>
      </c>
      <c r="G4245">
        <f>-781.973737186803 -7.79328731711348 -691.840293249669</f>
        <v>-1481.6073177535854</v>
      </c>
      <c r="H4245">
        <f>-777.236373476127 -43.6014280144288 -839.810992733168</f>
        <v>-1660.6487942237238</v>
      </c>
      <c r="I4245">
        <f>-737.158357905613 -69.6501886192191 -929.801111704282</f>
        <v>-1736.6096582291141</v>
      </c>
      <c r="J4245" t="s">
        <v>84268</v>
      </c>
      <c r="K4245" t="s">
        <v>84269</v>
      </c>
      <c r="L4245" t="s">
        <v>84270</v>
      </c>
      <c r="M4245" t="s">
        <v>84271</v>
      </c>
      <c r="N4245">
        <f>-785.051586641935 -58.1966542178634 -767.155570586568</f>
        <v>-1610.4038114463665</v>
      </c>
      <c r="O4245">
        <f>-814.950409033517 -190.605467589695 -710.589425055207</f>
        <v>-1716.1453016784189</v>
      </c>
      <c r="P4245">
        <f>-744.995719386059 -173.685171678846 -402.358618113184</f>
        <v>-1321.039509178089</v>
      </c>
      <c r="Q4245">
        <f>-528.658023138134 -29.6914175866564 -412.648795607234</f>
        <v>-970.99823633202436</v>
      </c>
      <c r="R4245" t="s">
        <v>84272</v>
      </c>
      <c r="S4245" t="s">
        <v>84273</v>
      </c>
      <c r="T4245" t="s">
        <v>84274</v>
      </c>
      <c r="U4245" t="s">
        <v>84275</v>
      </c>
      <c r="V4245">
        <f>-742.742306756728 -62.5661728094879 -239.046198437661</f>
        <v>-1044.3546780038769</v>
      </c>
      <c r="W4245" t="s">
        <v>84276</v>
      </c>
      <c r="X4245" t="s">
        <v>84277</v>
      </c>
      <c r="Y4245" t="s">
        <v>84278</v>
      </c>
    </row>
    <row r="4246" spans="1:25" x14ac:dyDescent="0.3">
      <c r="A4246">
        <v>212250</v>
      </c>
      <c r="B4246" t="s">
        <v>84279</v>
      </c>
      <c r="C4246" t="s">
        <v>84280</v>
      </c>
      <c r="D4246" t="s">
        <v>84281</v>
      </c>
      <c r="E4246" t="s">
        <v>84282</v>
      </c>
      <c r="F4246" t="s">
        <v>84283</v>
      </c>
      <c r="G4246">
        <f>-780.519492887773 -7.93402390712731 -691.838311271151</f>
        <v>-1480.2918280660515</v>
      </c>
      <c r="H4246">
        <f>-776.00540045865 -43.7153696452042 -839.822511842595</f>
        <v>-1659.543281946449</v>
      </c>
      <c r="I4246">
        <f>-736.145872334544 -69.5522813813629 -929.970469699561</f>
        <v>-1735.6686234154681</v>
      </c>
      <c r="J4246" t="s">
        <v>84284</v>
      </c>
      <c r="K4246" t="s">
        <v>84285</v>
      </c>
      <c r="L4246" t="s">
        <v>84286</v>
      </c>
      <c r="M4246" t="s">
        <v>84287</v>
      </c>
      <c r="N4246">
        <f>-783.816460225785 -58.3055443420806 -767.165525427075</f>
        <v>-1609.2875299949405</v>
      </c>
      <c r="O4246">
        <f>-813.902924718326 -190.732547199111 -710.751092495611</f>
        <v>-1715.3865644130478</v>
      </c>
      <c r="P4246">
        <f>-743.716493639879 -174.365526255495 -402.543222539913</f>
        <v>-1320.625242435287</v>
      </c>
      <c r="Q4246">
        <f>-527.026521471461 -30.8492650326295 -412.061623486621</f>
        <v>-969.93740999071156</v>
      </c>
      <c r="R4246" t="s">
        <v>84288</v>
      </c>
      <c r="S4246" t="s">
        <v>84289</v>
      </c>
      <c r="T4246" t="s">
        <v>84290</v>
      </c>
      <c r="U4246" t="s">
        <v>84291</v>
      </c>
      <c r="V4246">
        <f>-741.129055985219 -62.7755552459321 -238.968801170705</f>
        <v>-1042.8734124018561</v>
      </c>
      <c r="W4246" t="s">
        <v>84292</v>
      </c>
      <c r="X4246" t="s">
        <v>84293</v>
      </c>
      <c r="Y4246" t="s">
        <v>84294</v>
      </c>
    </row>
    <row r="4247" spans="1:25" x14ac:dyDescent="0.3">
      <c r="A4247">
        <v>212300</v>
      </c>
      <c r="B4247" t="s">
        <v>84295</v>
      </c>
      <c r="C4247" t="s">
        <v>84296</v>
      </c>
      <c r="D4247" t="s">
        <v>84297</v>
      </c>
      <c r="E4247" t="s">
        <v>84298</v>
      </c>
      <c r="F4247" t="s">
        <v>84299</v>
      </c>
      <c r="G4247">
        <f>-779.755036992569 -8.03394332280777 -691.86600507401</f>
        <v>-1479.6549853893866</v>
      </c>
      <c r="H4247">
        <f>-775.410040864361 -43.8414167236656 -839.849035138676</f>
        <v>-1659.1004927267027</v>
      </c>
      <c r="I4247">
        <f>-735.683706404386 -69.5167699828851 -930.101969580204</f>
        <v>-1735.3024459674753</v>
      </c>
      <c r="J4247" t="s">
        <v>84300</v>
      </c>
      <c r="K4247" t="s">
        <v>84301</v>
      </c>
      <c r="L4247" t="s">
        <v>84302</v>
      </c>
      <c r="M4247" t="s">
        <v>84303</v>
      </c>
      <c r="N4247">
        <f>-783.18848701597 -58.4100282774773 -767.184306778375</f>
        <v>-1608.7828220718225</v>
      </c>
      <c r="O4247">
        <f>-813.366015763522 -190.838321853048 -710.811622993329</f>
        <v>-1715.0159606098991</v>
      </c>
      <c r="P4247">
        <f>-743.34975663433 -174.575881722322 -402.559210317683</f>
        <v>-1320.4848486743349</v>
      </c>
      <c r="Q4247">
        <f>-526.552504903882 -31.1934526864927 -411.636652212009</f>
        <v>-969.38260980238374</v>
      </c>
      <c r="R4247" t="s">
        <v>84304</v>
      </c>
      <c r="S4247" t="s">
        <v>84305</v>
      </c>
      <c r="T4247" t="s">
        <v>84306</v>
      </c>
      <c r="U4247" t="s">
        <v>84307</v>
      </c>
      <c r="V4247">
        <f>-740.505386964695 -62.7688838837767 -238.93247616198</f>
        <v>-1042.2067470104516</v>
      </c>
      <c r="W4247" t="s">
        <v>84308</v>
      </c>
      <c r="X4247" t="s">
        <v>84309</v>
      </c>
      <c r="Y4247" t="s">
        <v>84310</v>
      </c>
    </row>
    <row r="4248" spans="1:25" x14ac:dyDescent="0.3">
      <c r="A4248">
        <v>212350</v>
      </c>
      <c r="B4248" t="s">
        <v>84311</v>
      </c>
      <c r="C4248" t="s">
        <v>84312</v>
      </c>
      <c r="D4248" t="s">
        <v>84313</v>
      </c>
      <c r="E4248" t="s">
        <v>84314</v>
      </c>
      <c r="F4248" t="s">
        <v>84315</v>
      </c>
      <c r="G4248">
        <f>-778.359047835495 -7.77548914207523 -691.892259078523</f>
        <v>-1478.0267960560932</v>
      </c>
      <c r="H4248">
        <f>-774.302043133989 -43.5216974629632 -839.898244363684</f>
        <v>-1657.7219849606361</v>
      </c>
      <c r="I4248">
        <f>-734.80408572142 -68.6568630990266 -930.403069676618</f>
        <v>-1733.8640184970645</v>
      </c>
      <c r="J4248" t="s">
        <v>84316</v>
      </c>
      <c r="K4248" t="s">
        <v>84317</v>
      </c>
      <c r="L4248" t="s">
        <v>84318</v>
      </c>
      <c r="M4248" t="s">
        <v>84319</v>
      </c>
      <c r="N4248">
        <f>-782.012718981803 -58.107404693852 -767.229602026953</f>
        <v>-1607.3497257026079</v>
      </c>
      <c r="O4248">
        <f>-812.382178556788 -190.581533977017 -711.053624012393</f>
        <v>-1714.0173365461978</v>
      </c>
      <c r="P4248">
        <f>-742.748563432118 -174.582103327539 -402.700902781384</f>
        <v>-1320.0315695410409</v>
      </c>
      <c r="Q4248">
        <f>-525.9732870365 -31.1143856615292 -410.916082455282</f>
        <v>-968.0037551533112</v>
      </c>
      <c r="R4248" t="s">
        <v>84320</v>
      </c>
      <c r="S4248" t="s">
        <v>84321</v>
      </c>
      <c r="T4248" t="s">
        <v>84322</v>
      </c>
      <c r="U4248" t="s">
        <v>84323</v>
      </c>
      <c r="V4248">
        <f>-739.527375810549 -62.6003432540379 -238.859213346316</f>
        <v>-1040.9869324109029</v>
      </c>
      <c r="W4248" t="s">
        <v>84324</v>
      </c>
      <c r="X4248" t="s">
        <v>84325</v>
      </c>
      <c r="Y4248" t="s">
        <v>84326</v>
      </c>
    </row>
    <row r="4249" spans="1:25" x14ac:dyDescent="0.3">
      <c r="A4249">
        <v>212400</v>
      </c>
      <c r="B4249" t="s">
        <v>84327</v>
      </c>
      <c r="C4249" t="s">
        <v>84328</v>
      </c>
      <c r="D4249" t="s">
        <v>84329</v>
      </c>
      <c r="E4249" t="s">
        <v>84330</v>
      </c>
      <c r="F4249" t="s">
        <v>84331</v>
      </c>
      <c r="G4249">
        <f>-777.789090351397 -7.5768717979106 -691.963818877151</f>
        <v>-1477.3297810264585</v>
      </c>
      <c r="H4249">
        <f>-773.835864024833 -43.200200570998 -840.002166562427</f>
        <v>-1657.038231158258</v>
      </c>
      <c r="I4249">
        <f>-734.394779714359 -68.0130782660822 -930.620636130041</f>
        <v>-1733.0284941104821</v>
      </c>
      <c r="J4249" t="s">
        <v>84332</v>
      </c>
      <c r="K4249" t="s">
        <v>84333</v>
      </c>
      <c r="L4249" t="s">
        <v>84334</v>
      </c>
      <c r="M4249" t="s">
        <v>84335</v>
      </c>
      <c r="N4249">
        <f>-781.513960867045 -57.8428595943128 -767.341580616815</f>
        <v>-1606.6984010781728</v>
      </c>
      <c r="O4249">
        <f>-812.02952364863 -190.315404463939 -711.27807434801</f>
        <v>-1713.6230024605788</v>
      </c>
      <c r="P4249">
        <f>-742.690378313148 -174.432382186363 -402.853086146589</f>
        <v>-1319.9758466461001</v>
      </c>
      <c r="Q4249">
        <f>-526.063241668646 -30.7138869348623 -410.579509399482</f>
        <v>-967.35663800299039</v>
      </c>
      <c r="R4249" t="s">
        <v>84336</v>
      </c>
      <c r="S4249" t="s">
        <v>84337</v>
      </c>
      <c r="T4249" t="s">
        <v>84338</v>
      </c>
      <c r="U4249" t="s">
        <v>84339</v>
      </c>
      <c r="V4249">
        <f>-739.069718178713 -62.5906767032268 -238.862978541954</f>
        <v>-1040.5233734238936</v>
      </c>
      <c r="W4249" t="s">
        <v>84340</v>
      </c>
      <c r="X4249" t="s">
        <v>84341</v>
      </c>
      <c r="Y4249" t="s">
        <v>84342</v>
      </c>
    </row>
    <row r="4250" spans="1:25" x14ac:dyDescent="0.3">
      <c r="A4250">
        <v>212450</v>
      </c>
      <c r="B4250" t="s">
        <v>84343</v>
      </c>
      <c r="C4250" t="s">
        <v>84344</v>
      </c>
      <c r="D4250" t="s">
        <v>84345</v>
      </c>
      <c r="E4250" t="s">
        <v>84346</v>
      </c>
      <c r="F4250" t="s">
        <v>84347</v>
      </c>
      <c r="G4250">
        <f>-776.360298271928 -7.07235939827001 -692.196136847792</f>
        <v>-1475.6287945179899</v>
      </c>
      <c r="H4250">
        <f>-772.285447463274 -42.2744203383663 -840.331735115713</f>
        <v>-1654.8916029173533</v>
      </c>
      <c r="I4250">
        <f>-732.782561207532 -66.3939667992754 -931.11040918006</f>
        <v>-1730.2869371868674</v>
      </c>
      <c r="J4250" t="s">
        <v>84348</v>
      </c>
      <c r="K4250" t="s">
        <v>84349</v>
      </c>
      <c r="L4250" t="s">
        <v>84350</v>
      </c>
      <c r="M4250" t="s">
        <v>84351</v>
      </c>
      <c r="N4250">
        <f>-779.996662998872 -57.128494977128 -767.717735241101</f>
        <v>-1604.8428932171009</v>
      </c>
      <c r="O4250">
        <f>-810.403042717067 -189.810885721854 -712.055019492466</f>
        <v>-1712.2689479313872</v>
      </c>
      <c r="P4250">
        <f>-742.325873128886 -174.138699962954 -403.338135964257</f>
        <v>-1319.802709056097</v>
      </c>
      <c r="Q4250">
        <f>-525.66994251656 -30.4062092447302 -409.918137202899</f>
        <v>-965.99428896418931</v>
      </c>
      <c r="R4250" t="s">
        <v>84352</v>
      </c>
      <c r="S4250" t="s">
        <v>84353</v>
      </c>
      <c r="T4250" t="s">
        <v>84354</v>
      </c>
      <c r="U4250" t="s">
        <v>84355</v>
      </c>
      <c r="V4250">
        <f>-738.066474141981 -62.4698442281399 -238.950711894245</f>
        <v>-1039.4870302643658</v>
      </c>
      <c r="W4250" t="s">
        <v>84356</v>
      </c>
      <c r="X4250" t="s">
        <v>84357</v>
      </c>
      <c r="Y4250" t="s">
        <v>84358</v>
      </c>
    </row>
    <row r="4251" spans="1:25" x14ac:dyDescent="0.3">
      <c r="A4251">
        <v>212500</v>
      </c>
      <c r="B4251" t="s">
        <v>84359</v>
      </c>
      <c r="C4251" t="s">
        <v>84360</v>
      </c>
      <c r="D4251" t="s">
        <v>84361</v>
      </c>
      <c r="E4251" t="s">
        <v>84362</v>
      </c>
      <c r="F4251" t="s">
        <v>84363</v>
      </c>
      <c r="G4251">
        <f>-775.884360107534 -6.8338958553195 -692.339548075446</f>
        <v>-1475.0578040382995</v>
      </c>
      <c r="H4251">
        <f>-771.662618105785 -41.7846658791239 -840.530765412085</f>
        <v>-1653.9780493969938</v>
      </c>
      <c r="I4251">
        <f>-732.056410598282 -65.5560097867785 -931.356127437549</f>
        <v>-1728.9685478226097</v>
      </c>
      <c r="J4251" t="s">
        <v>84364</v>
      </c>
      <c r="K4251" t="s">
        <v>84365</v>
      </c>
      <c r="L4251" t="s">
        <v>84366</v>
      </c>
      <c r="M4251" t="s">
        <v>84367</v>
      </c>
      <c r="N4251">
        <f>-779.42097808448 -56.7662738282379 -767.947803903885</f>
        <v>-1604.1350558166027</v>
      </c>
      <c r="O4251">
        <f>-809.745365535983 -189.570715817784 -712.567945192232</f>
        <v>-1711.8840265459989</v>
      </c>
      <c r="P4251">
        <f>-742.610822887609 -173.952696313168 -403.641960386118</f>
        <v>-1320.2054795868949</v>
      </c>
      <c r="Q4251">
        <f>-525.772663086197 -30.4680837322308 -409.590723501565</f>
        <v>-965.83147031999272</v>
      </c>
      <c r="R4251" t="s">
        <v>84368</v>
      </c>
      <c r="S4251" t="s">
        <v>84369</v>
      </c>
      <c r="T4251" t="s">
        <v>84370</v>
      </c>
      <c r="U4251" t="s">
        <v>84371</v>
      </c>
      <c r="V4251">
        <f>-737.519591454793 -62.4104086903862 -239.020144747029</f>
        <v>-1038.9501448922083</v>
      </c>
      <c r="W4251" t="s">
        <v>84372</v>
      </c>
      <c r="X4251" t="s">
        <v>84373</v>
      </c>
      <c r="Y4251" t="s">
        <v>84374</v>
      </c>
    </row>
    <row r="4252" spans="1:25" x14ac:dyDescent="0.3">
      <c r="A4252">
        <v>212550</v>
      </c>
      <c r="B4252" t="s">
        <v>84375</v>
      </c>
      <c r="C4252" t="s">
        <v>84376</v>
      </c>
      <c r="D4252" t="s">
        <v>84377</v>
      </c>
      <c r="E4252" t="s">
        <v>84378</v>
      </c>
      <c r="F4252" t="s">
        <v>84379</v>
      </c>
      <c r="G4252">
        <f>-774.228633048613 -6.17705337971029 -692.631775987752</f>
        <v>-1473.0374624160754</v>
      </c>
      <c r="H4252">
        <f>-769.724141987191 -40.4598725056717 -840.970627504356</f>
        <v>-1651.1546419972187</v>
      </c>
      <c r="I4252">
        <f>-729.845441317264 -63.4799126128376 -931.870280939968</f>
        <v>-1725.1956348700696</v>
      </c>
      <c r="J4252" t="s">
        <v>84380</v>
      </c>
      <c r="K4252" t="s">
        <v>84381</v>
      </c>
      <c r="L4252" t="s">
        <v>84382</v>
      </c>
      <c r="M4252" t="s">
        <v>84383</v>
      </c>
      <c r="N4252">
        <f>-777.580917627423 -55.7752813150544 -768.46808070628</f>
        <v>-1601.8242796487575</v>
      </c>
      <c r="O4252">
        <f>-807.960398025639 -188.815028384013 -713.676430106557</f>
        <v>-1710.4518565162089</v>
      </c>
      <c r="P4252">
        <f>-742.23553908171 -174.268477815481 -404.395357864383</f>
        <v>-1320.8993747615741</v>
      </c>
      <c r="Q4252">
        <f>-525.182605611035 -31.0764186359413 -409.504366181374</f>
        <v>-965.76339042835025</v>
      </c>
      <c r="R4252" t="s">
        <v>84384</v>
      </c>
      <c r="S4252" t="s">
        <v>84385</v>
      </c>
      <c r="T4252" t="s">
        <v>84386</v>
      </c>
      <c r="U4252" t="s">
        <v>84387</v>
      </c>
      <c r="V4252">
        <f>-736.210234566921 -62.4243098004663 -239.148274209938</f>
        <v>-1037.7828185773253</v>
      </c>
      <c r="W4252" t="s">
        <v>84388</v>
      </c>
      <c r="X4252" t="s">
        <v>84389</v>
      </c>
      <c r="Y4252" t="s">
        <v>84390</v>
      </c>
    </row>
    <row r="4253" spans="1:25" x14ac:dyDescent="0.3">
      <c r="A4253">
        <v>212600</v>
      </c>
      <c r="B4253" t="s">
        <v>84391</v>
      </c>
      <c r="C4253" t="s">
        <v>84392</v>
      </c>
      <c r="D4253" t="s">
        <v>84393</v>
      </c>
      <c r="E4253" t="s">
        <v>84394</v>
      </c>
      <c r="F4253" t="s">
        <v>84395</v>
      </c>
      <c r="G4253">
        <f>-773.146274460482 -5.8886286764498 -692.743714819154</f>
        <v>-1471.7786179560858</v>
      </c>
      <c r="H4253">
        <f>-768.533360585099 -39.83659034875 -841.156108810907</f>
        <v>-1649.5260597447559</v>
      </c>
      <c r="I4253">
        <f>-728.521455899337 -62.5164227150904 -932.08277277977</f>
        <v>-1723.1206513941975</v>
      </c>
      <c r="J4253" t="s">
        <v>84396</v>
      </c>
      <c r="K4253" t="s">
        <v>84397</v>
      </c>
      <c r="L4253" t="s">
        <v>84398</v>
      </c>
      <c r="M4253" t="s">
        <v>84399</v>
      </c>
      <c r="N4253">
        <f>-776.446125625236 -55.3151714168582 -768.69429541232</f>
        <v>-1600.4555924544143</v>
      </c>
      <c r="O4253">
        <f>-807.018151767129 -188.442905929426 -714.244795289086</f>
        <v>-1709.7058529856408</v>
      </c>
      <c r="P4253">
        <f>-741.988756658404 -174.365252169902 -404.795041910231</f>
        <v>-1321.149050738537</v>
      </c>
      <c r="Q4253">
        <f>-524.63467235865 -31.6053239399739 -409.145401097959</f>
        <v>-965.3853973965829</v>
      </c>
      <c r="R4253" t="s">
        <v>84400</v>
      </c>
      <c r="S4253" t="s">
        <v>84401</v>
      </c>
      <c r="T4253" t="s">
        <v>84402</v>
      </c>
      <c r="U4253" t="s">
        <v>84403</v>
      </c>
      <c r="V4253">
        <f>-735.498872515086 -62.5231714543636 -239.152268177157</f>
        <v>-1037.1743121466066</v>
      </c>
      <c r="W4253" t="s">
        <v>84404</v>
      </c>
      <c r="X4253" t="s">
        <v>84405</v>
      </c>
      <c r="Y4253" t="s">
        <v>84406</v>
      </c>
    </row>
    <row r="4254" spans="1:25" x14ac:dyDescent="0.3">
      <c r="A4254">
        <v>212650</v>
      </c>
      <c r="B4254" t="s">
        <v>84407</v>
      </c>
      <c r="C4254" t="s">
        <v>84408</v>
      </c>
      <c r="D4254" t="s">
        <v>84409</v>
      </c>
      <c r="E4254" t="s">
        <v>84410</v>
      </c>
      <c r="F4254" t="s">
        <v>84411</v>
      </c>
      <c r="G4254">
        <f>-771.955233996818 -5.64444902070977 -692.824404783263</f>
        <v>-1470.4240878007909</v>
      </c>
      <c r="H4254">
        <f>-767.19416721969 -39.277041700876 -841.304045073191</f>
        <v>-1647.7752539937569</v>
      </c>
      <c r="I4254">
        <f>-727.049039342121 -61.6288559360048 -932.253146329537</f>
        <v>-1720.9310416076628</v>
      </c>
      <c r="J4254" t="s">
        <v>84412</v>
      </c>
      <c r="K4254" t="s">
        <v>84413</v>
      </c>
      <c r="L4254" t="s">
        <v>84414</v>
      </c>
      <c r="M4254" t="s">
        <v>84415</v>
      </c>
      <c r="N4254">
        <f>-775.208167357555 -54.9043488337886 -768.885157813179</f>
        <v>-1598.9976740045227</v>
      </c>
      <c r="O4254">
        <f>-806.105946602095 -188.062338317598 -714.687325600672</f>
        <v>-1708.855610520365</v>
      </c>
      <c r="P4254">
        <f>-741.427152879982 -174.455637098294 -405.142837096524</f>
        <v>-1321.0256270748</v>
      </c>
      <c r="Q4254">
        <f>-523.823826597967 -32.0684248619866 -409.23427126491</f>
        <v>-965.12652272486366</v>
      </c>
      <c r="R4254" t="s">
        <v>84416</v>
      </c>
      <c r="S4254" t="s">
        <v>84417</v>
      </c>
      <c r="T4254" t="s">
        <v>84418</v>
      </c>
      <c r="U4254" t="s">
        <v>84419</v>
      </c>
      <c r="V4254">
        <f>-734.832440604911 -62.7097333893582 -239.128481528212</f>
        <v>-1036.6706555224812</v>
      </c>
      <c r="W4254" t="s">
        <v>84420</v>
      </c>
      <c r="X4254" t="s">
        <v>84421</v>
      </c>
      <c r="Y4254" t="s">
        <v>84422</v>
      </c>
    </row>
    <row r="4255" spans="1:25" x14ac:dyDescent="0.3">
      <c r="A4255">
        <v>212700</v>
      </c>
      <c r="B4255" t="s">
        <v>84423</v>
      </c>
      <c r="C4255" t="s">
        <v>84424</v>
      </c>
      <c r="D4255" t="s">
        <v>84425</v>
      </c>
      <c r="E4255" t="s">
        <v>84426</v>
      </c>
      <c r="F4255" t="s">
        <v>84427</v>
      </c>
      <c r="G4255">
        <f>-769.163136580166 -5.23588499559946 -692.989366681474</f>
        <v>-1467.3883882572395</v>
      </c>
      <c r="H4255">
        <f>-763.846448586299 -38.2646474490352 -841.585634864141</f>
        <v>-1643.6967308994751</v>
      </c>
      <c r="I4255">
        <f>-723.393033145579 -60.0094780831244 -932.545420159471</f>
        <v>-1715.9479313881743</v>
      </c>
      <c r="J4255" t="s">
        <v>84428</v>
      </c>
      <c r="K4255" t="s">
        <v>84429</v>
      </c>
      <c r="L4255" t="s">
        <v>84430</v>
      </c>
      <c r="M4255" t="s">
        <v>84431</v>
      </c>
      <c r="N4255">
        <f>-772.211937481332 -54.1715640637201 -769.267621729517</f>
        <v>-1595.6511232745693</v>
      </c>
      <c r="O4255">
        <f>-803.882356774981 -187.330488934819 -715.485797606053</f>
        <v>-1706.6986433158529</v>
      </c>
      <c r="P4255">
        <f>-739.684882995504 -175.184690785223 -405.780574216397</f>
        <v>-1320.6501479971239</v>
      </c>
      <c r="Q4255">
        <f>-521.426742690494 -33.7803856814257 -408.988990673036</f>
        <v>-964.19611904495582</v>
      </c>
      <c r="R4255" t="s">
        <v>84432</v>
      </c>
      <c r="S4255" t="s">
        <v>84433</v>
      </c>
      <c r="T4255" t="s">
        <v>84434</v>
      </c>
      <c r="U4255" t="s">
        <v>84435</v>
      </c>
      <c r="V4255">
        <f>-733.530042822661 -63.2559868555779 -239.028333087535</f>
        <v>-1035.8143627657739</v>
      </c>
      <c r="W4255" t="s">
        <v>84436</v>
      </c>
      <c r="X4255" t="s">
        <v>84437</v>
      </c>
      <c r="Y4255" t="s">
        <v>84438</v>
      </c>
    </row>
    <row r="4256" spans="1:25" x14ac:dyDescent="0.3">
      <c r="A4256">
        <v>212750</v>
      </c>
      <c r="B4256" t="s">
        <v>84439</v>
      </c>
      <c r="C4256" t="s">
        <v>84440</v>
      </c>
      <c r="D4256" t="s">
        <v>84441</v>
      </c>
      <c r="E4256" t="s">
        <v>84442</v>
      </c>
      <c r="F4256" t="s">
        <v>84443</v>
      </c>
      <c r="G4256">
        <f>-765.915401247129 -4.69019723759288 -693.161256893621</f>
        <v>-1463.7668553783428</v>
      </c>
      <c r="H4256">
        <f>-760.097626875885 -37.0801845643139 -841.879331707777</f>
        <v>-1639.0571431479759</v>
      </c>
      <c r="I4256">
        <f>-719.279136963013 -58.3483399304896 -932.788613254517</f>
        <v>-1710.4160901480195</v>
      </c>
      <c r="J4256" t="s">
        <v>84444</v>
      </c>
      <c r="K4256" t="s">
        <v>84445</v>
      </c>
      <c r="L4256" t="s">
        <v>84446</v>
      </c>
      <c r="M4256" t="s">
        <v>84447</v>
      </c>
      <c r="N4256">
        <f>-768.742829529058 -53.2911552738076 -769.661660324797</f>
        <v>-1591.6956451276626</v>
      </c>
      <c r="O4256">
        <f>-801.009123662615 -186.535241902043 -716.465886767257</f>
        <v>-1704.0102523319151</v>
      </c>
      <c r="P4256">
        <f>-737.6069205389 -175.52617296129 -406.554475212973</f>
        <v>-1319.6875687131628</v>
      </c>
      <c r="Q4256">
        <f>-518.640946071164 -35.204682108523 -408.975566413037</f>
        <v>-962.82119459272394</v>
      </c>
      <c r="R4256" t="s">
        <v>84448</v>
      </c>
      <c r="S4256" t="s">
        <v>84449</v>
      </c>
      <c r="T4256" t="s">
        <v>84450</v>
      </c>
      <c r="U4256" t="s">
        <v>84451</v>
      </c>
      <c r="V4256">
        <f>-732.040034155751 -63.6934998380327 -238.890599447416</f>
        <v>-1034.6241334411998</v>
      </c>
      <c r="W4256" t="s">
        <v>84452</v>
      </c>
      <c r="X4256" t="s">
        <v>84453</v>
      </c>
      <c r="Y4256" t="s">
        <v>84454</v>
      </c>
    </row>
    <row r="4257" spans="1:25" x14ac:dyDescent="0.3">
      <c r="A4257">
        <v>212800</v>
      </c>
      <c r="B4257" t="s">
        <v>84455</v>
      </c>
      <c r="C4257" t="s">
        <v>84456</v>
      </c>
      <c r="D4257" t="s">
        <v>84457</v>
      </c>
      <c r="E4257" t="s">
        <v>84458</v>
      </c>
      <c r="F4257" t="s">
        <v>84459</v>
      </c>
      <c r="G4257">
        <f>-764.341391833198 -4.36322379806984 -693.161682073557</f>
        <v>-1461.8662977048248</v>
      </c>
      <c r="H4257">
        <f>-758.270468708301 -36.4247863826918 -841.940849684666</f>
        <v>-1636.6361047756586</v>
      </c>
      <c r="I4257">
        <f>-717.253622192715 -57.4713723415941 -932.812377025636</f>
        <v>-1707.5373715599453</v>
      </c>
      <c r="J4257" t="s">
        <v>84460</v>
      </c>
      <c r="K4257" t="s">
        <v>84461</v>
      </c>
      <c r="L4257" t="s">
        <v>84462</v>
      </c>
      <c r="M4257" t="s">
        <v>84463</v>
      </c>
      <c r="N4257">
        <f>-767.052830685836 -52.7925236541803 -769.775160452135</f>
        <v>-1589.6205147921514</v>
      </c>
      <c r="O4257">
        <f>-799.618424823032 -186.072435848258 -716.849315057393</f>
        <v>-1702.5401757286832</v>
      </c>
      <c r="P4257">
        <f>-736.492645049599 -175.845767620341 -406.854529480574</f>
        <v>-1319.192942150514</v>
      </c>
      <c r="Q4257">
        <f>-517.206811809249 -36.0177833248797 -408.835630669932</f>
        <v>-962.06022580406068</v>
      </c>
      <c r="R4257" t="s">
        <v>84464</v>
      </c>
      <c r="S4257" t="s">
        <v>84465</v>
      </c>
      <c r="T4257" t="s">
        <v>84466</v>
      </c>
      <c r="U4257" t="s">
        <v>84467</v>
      </c>
      <c r="V4257">
        <f>-731.301196051229 -63.7516807345976 -238.663791495274</f>
        <v>-1033.7166682811005</v>
      </c>
      <c r="W4257" t="s">
        <v>84468</v>
      </c>
      <c r="X4257" t="s">
        <v>84469</v>
      </c>
      <c r="Y4257" t="s">
        <v>84470</v>
      </c>
    </row>
    <row r="4258" spans="1:25" x14ac:dyDescent="0.3">
      <c r="A4258">
        <v>212850</v>
      </c>
      <c r="B4258" t="s">
        <v>84471</v>
      </c>
      <c r="C4258" t="s">
        <v>84472</v>
      </c>
      <c r="D4258" t="s">
        <v>84473</v>
      </c>
      <c r="E4258" t="s">
        <v>84474</v>
      </c>
      <c r="F4258" t="s">
        <v>84475</v>
      </c>
      <c r="G4258">
        <f>-761.095517120025 -3.40396976097554 -692.72842120103</f>
        <v>-1457.2279080820304</v>
      </c>
      <c r="H4258">
        <f>-754.54418193646 -34.7706239028155 -841.635174978446</f>
        <v>-1630.9499808177216</v>
      </c>
      <c r="I4258">
        <f>-713.124178272664 -55.3938776416908 -932.421038878665</f>
        <v>-1700.9390947930196</v>
      </c>
      <c r="J4258" t="s">
        <v>84476</v>
      </c>
      <c r="K4258" t="s">
        <v>84477</v>
      </c>
      <c r="L4258" t="s">
        <v>84478</v>
      </c>
      <c r="M4258" t="s">
        <v>84479</v>
      </c>
      <c r="N4258">
        <f>-763.594411025256 -51.468536711053 -769.578400810184</f>
        <v>-1584.6413485464932</v>
      </c>
      <c r="O4258">
        <f>-796.789257181592 -184.839212143495 -717.254530498891</f>
        <v>-1698.882999823978</v>
      </c>
      <c r="P4258">
        <f>-734.348275550587 -175.839820264266 -407.082941608516</f>
        <v>-1317.2710374233691</v>
      </c>
      <c r="Q4258">
        <f>-514.294953499819 -37.211432643825 -407.960112810086</f>
        <v>-959.46649895373002</v>
      </c>
      <c r="R4258" t="s">
        <v>84480</v>
      </c>
      <c r="S4258" t="s">
        <v>84481</v>
      </c>
      <c r="T4258" t="s">
        <v>84482</v>
      </c>
      <c r="U4258" t="s">
        <v>84483</v>
      </c>
      <c r="V4258">
        <f>-729.791609625604 -63.2468178960717 -237.725268962846</f>
        <v>-1030.7636964845217</v>
      </c>
      <c r="W4258" t="s">
        <v>84484</v>
      </c>
      <c r="X4258" t="s">
        <v>84485</v>
      </c>
      <c r="Y4258" t="s">
        <v>84486</v>
      </c>
    </row>
    <row r="4259" spans="1:25" x14ac:dyDescent="0.3">
      <c r="A4259">
        <v>212900</v>
      </c>
      <c r="B4259" t="s">
        <v>84487</v>
      </c>
      <c r="C4259" t="s">
        <v>84488</v>
      </c>
      <c r="D4259" t="s">
        <v>84489</v>
      </c>
      <c r="E4259" t="s">
        <v>84490</v>
      </c>
      <c r="F4259" t="s">
        <v>84491</v>
      </c>
      <c r="G4259">
        <f>-759.254008460891 -2.84370117278445 -692.324196435928</f>
        <v>-1454.4219060696034</v>
      </c>
      <c r="H4259">
        <f>-752.265757967818 -33.8402708297342 -841.288607152331</f>
        <v>-1627.3946359498832</v>
      </c>
      <c r="I4259">
        <f>-710.597271501006 -54.2094412544404 -932.018002595004</f>
        <v>-1696.8247153504503</v>
      </c>
      <c r="J4259" t="s">
        <v>84492</v>
      </c>
      <c r="K4259" t="s">
        <v>84493</v>
      </c>
      <c r="L4259" t="s">
        <v>84494</v>
      </c>
      <c r="M4259" t="s">
        <v>84495</v>
      </c>
      <c r="N4259">
        <f>-761.531765845975 -50.7162934701696 -769.300706830454</f>
        <v>-1581.5487661465986</v>
      </c>
      <c r="O4259">
        <f>-795.010760640944 -184.127989078879 -717.273802788956</f>
        <v>-1696.4125525087788</v>
      </c>
      <c r="P4259">
        <f>-733.138421603142 -175.569620645108 -406.976032095371</f>
        <v>-1315.684074343621</v>
      </c>
      <c r="Q4259">
        <f>-512.694685936116 -37.5604691668534 -407.316330557564</f>
        <v>-957.57148566053343</v>
      </c>
      <c r="R4259" t="s">
        <v>84496</v>
      </c>
      <c r="S4259" t="s">
        <v>84497</v>
      </c>
      <c r="T4259" t="s">
        <v>84498</v>
      </c>
      <c r="U4259" t="s">
        <v>84499</v>
      </c>
      <c r="V4259">
        <f>-729.033089864064 -62.9288472979567 -237.109898665109</f>
        <v>-1029.0718358271297</v>
      </c>
      <c r="W4259" t="s">
        <v>84500</v>
      </c>
      <c r="X4259" t="s">
        <v>84501</v>
      </c>
      <c r="Y4259" t="s">
        <v>84502</v>
      </c>
    </row>
    <row r="4260" spans="1:25" x14ac:dyDescent="0.3">
      <c r="A4260">
        <v>212950</v>
      </c>
      <c r="B4260" t="s">
        <v>84503</v>
      </c>
      <c r="C4260" t="s">
        <v>84504</v>
      </c>
      <c r="D4260" t="s">
        <v>84505</v>
      </c>
      <c r="E4260" t="s">
        <v>84506</v>
      </c>
      <c r="F4260" t="s">
        <v>84507</v>
      </c>
      <c r="G4260">
        <f>-755.866517037993 -1.94089801157611 -691.372059276212</f>
        <v>-1449.179474325781</v>
      </c>
      <c r="H4260">
        <f>-747.888203061245 -32.3463974455042 -840.408464650739</f>
        <v>-1620.6430651574883</v>
      </c>
      <c r="I4260">
        <f>-705.710665092173 -52.2411009439063 -931.007783986642</f>
        <v>-1688.9595500227215</v>
      </c>
      <c r="J4260" t="s">
        <v>84508</v>
      </c>
      <c r="K4260" t="s">
        <v>84509</v>
      </c>
      <c r="L4260" t="s">
        <v>84510</v>
      </c>
      <c r="M4260" t="s">
        <v>84511</v>
      </c>
      <c r="N4260">
        <f>-757.649697697309 -49.5045470881169 -768.552877515481</f>
        <v>-1575.7071223009068</v>
      </c>
      <c r="O4260">
        <f>-791.700236974358 -182.992520677692 -717.098673698738</f>
        <v>-1691.7914313507881</v>
      </c>
      <c r="P4260">
        <f>-731.469566528303 -175.575262249301 -406.448716190516</f>
        <v>-1313.49354496812</v>
      </c>
      <c r="Q4260">
        <f>-510.364215021804 -38.6296492919407 -405.792348281627</f>
        <v>-954.78621259537169</v>
      </c>
      <c r="R4260" t="s">
        <v>84512</v>
      </c>
      <c r="S4260" t="s">
        <v>84513</v>
      </c>
      <c r="T4260" t="s">
        <v>84514</v>
      </c>
      <c r="U4260" t="s">
        <v>84515</v>
      </c>
      <c r="V4260">
        <f>-727.424116463714 -62.4440750465139 -236.027496751324</f>
        <v>-1025.8956882615519</v>
      </c>
      <c r="W4260" t="s">
        <v>84516</v>
      </c>
      <c r="X4260" t="s">
        <v>84517</v>
      </c>
      <c r="Y4260" t="s">
        <v>84518</v>
      </c>
    </row>
    <row r="4261" spans="1:25" x14ac:dyDescent="0.3">
      <c r="A4261">
        <v>213000</v>
      </c>
      <c r="B4261" t="s">
        <v>84519</v>
      </c>
      <c r="C4261" t="s">
        <v>84520</v>
      </c>
      <c r="D4261" t="s">
        <v>84521</v>
      </c>
      <c r="E4261" t="s">
        <v>84522</v>
      </c>
      <c r="F4261" t="s">
        <v>84523</v>
      </c>
      <c r="G4261">
        <f>-754.30491105129 -1.3220239250511 -690.988563823294</f>
        <v>-1446.6154987996351</v>
      </c>
      <c r="H4261">
        <f>-745.838813672394 -31.3792988799073 -840.068719479371</f>
        <v>-1617.2868320316725</v>
      </c>
      <c r="I4261">
        <f>-703.38549159386 -51.0207973134034 -930.59442008152</f>
        <v>-1685.0007089887833</v>
      </c>
      <c r="J4261" t="s">
        <v>84524</v>
      </c>
      <c r="K4261" t="s">
        <v>84525</v>
      </c>
      <c r="L4261" t="s">
        <v>84526</v>
      </c>
      <c r="M4261" t="s">
        <v>84527</v>
      </c>
      <c r="N4261">
        <f>-755.835313404142 -48.7052647663284 -768.285739824306</f>
        <v>-1572.8263179947762</v>
      </c>
      <c r="O4261">
        <f>-790.100639137324 -182.255472261636 -717.099374075631</f>
        <v>-1689.4554854745911</v>
      </c>
      <c r="P4261">
        <f>-730.902284133136 -175.18297700593 -406.243038441911</f>
        <v>-1312.328299580977</v>
      </c>
      <c r="Q4261">
        <f>-509.555191914518 -38.6320237854482 -405.064013851487</f>
        <v>-953.25122955145321</v>
      </c>
      <c r="R4261" t="s">
        <v>84528</v>
      </c>
      <c r="S4261" t="s">
        <v>84529</v>
      </c>
      <c r="T4261" t="s">
        <v>84530</v>
      </c>
      <c r="U4261" t="s">
        <v>84531</v>
      </c>
      <c r="V4261">
        <f>-726.631990638378 -62.1642302149385 -235.626187026824</f>
        <v>-1024.4224078801406</v>
      </c>
      <c r="W4261" t="s">
        <v>84532</v>
      </c>
      <c r="X4261" t="s">
        <v>84533</v>
      </c>
      <c r="Y4261" t="s">
        <v>84534</v>
      </c>
    </row>
    <row r="4262" spans="1:25" x14ac:dyDescent="0.3">
      <c r="A4262">
        <v>213050</v>
      </c>
      <c r="B4262" t="s">
        <v>84535</v>
      </c>
      <c r="C4262" t="s">
        <v>84536</v>
      </c>
      <c r="D4262" t="s">
        <v>84537</v>
      </c>
      <c r="E4262" t="s">
        <v>84538</v>
      </c>
      <c r="F4262" t="s">
        <v>84539</v>
      </c>
      <c r="G4262" t="s">
        <v>84540</v>
      </c>
      <c r="H4262">
        <f>-741.921483967561 -29.0358003677088 -840.026512296226</f>
        <v>-1610.9837966314958</v>
      </c>
      <c r="I4262">
        <f>-698.869202336475 -48.0870613631653 -930.395360064734</f>
        <v>-1677.3516237643744</v>
      </c>
      <c r="J4262" t="s">
        <v>84541</v>
      </c>
      <c r="K4262" t="s">
        <v>84542</v>
      </c>
      <c r="L4262" t="s">
        <v>84543</v>
      </c>
      <c r="M4262" t="s">
        <v>84544</v>
      </c>
      <c r="N4262">
        <f>-752.432498613706 -46.8159707639354 -768.428283108785</f>
        <v>-1567.6767524864263</v>
      </c>
      <c r="O4262">
        <f>-787.423792402282 -180.451454757331 -717.986897736213</f>
        <v>-1685.8621448958261</v>
      </c>
      <c r="P4262">
        <f>-730.400756060954 -174.43287901614 -406.701865794849</f>
        <v>-1311.535500871943</v>
      </c>
      <c r="Q4262">
        <f>-508.442257956355 -38.8961475221247 -404.204776581493</f>
        <v>-951.54318205997265</v>
      </c>
      <c r="R4262" t="s">
        <v>84545</v>
      </c>
      <c r="S4262" t="s">
        <v>84546</v>
      </c>
      <c r="T4262" t="s">
        <v>84547</v>
      </c>
      <c r="U4262" t="s">
        <v>84548</v>
      </c>
      <c r="V4262">
        <f>-724.781082749894 -61.5482280910101 -235.387129663317</f>
        <v>-1021.7164405042211</v>
      </c>
      <c r="W4262" t="s">
        <v>84549</v>
      </c>
      <c r="X4262" t="s">
        <v>84550</v>
      </c>
      <c r="Y4262" t="s">
        <v>84551</v>
      </c>
    </row>
    <row r="4263" spans="1:25" x14ac:dyDescent="0.3">
      <c r="A4263">
        <v>213100</v>
      </c>
      <c r="B4263" t="s">
        <v>84552</v>
      </c>
      <c r="C4263" t="s">
        <v>84553</v>
      </c>
      <c r="D4263" t="s">
        <v>84554</v>
      </c>
      <c r="E4263" t="s">
        <v>84555</v>
      </c>
      <c r="F4263" t="s">
        <v>84556</v>
      </c>
      <c r="G4263" t="s">
        <v>84557</v>
      </c>
      <c r="H4263">
        <f>-739.68490055315 -27.4393031064401 -840.213525707532</f>
        <v>-1607.3377293671219</v>
      </c>
      <c r="I4263">
        <f>-696.344705273826 -46.2193989283016 -930.501430886661</f>
        <v>-1673.0655350887887</v>
      </c>
      <c r="J4263" t="s">
        <v>84558</v>
      </c>
      <c r="K4263" t="s">
        <v>84559</v>
      </c>
      <c r="L4263" t="s">
        <v>84560</v>
      </c>
      <c r="M4263" t="s">
        <v>84561</v>
      </c>
      <c r="N4263">
        <f>-750.450456069092 -45.4873316763437 -768.720211663792</f>
        <v>-1564.6579994092276</v>
      </c>
      <c r="O4263">
        <f>-785.797914792501 -179.18137750198 -718.742557532369</f>
        <v>-1683.7218498268501</v>
      </c>
      <c r="P4263">
        <f>-730.041071477403 -173.890689812444 -407.215050743334</f>
        <v>-1311.146812033181</v>
      </c>
      <c r="Q4263">
        <f>-507.754487885824 -38.9139809847561 -403.742214786899</f>
        <v>-950.41068365747913</v>
      </c>
      <c r="R4263" t="s">
        <v>84562</v>
      </c>
      <c r="S4263" t="s">
        <v>84563</v>
      </c>
      <c r="T4263" t="s">
        <v>84564</v>
      </c>
      <c r="U4263" t="s">
        <v>84565</v>
      </c>
      <c r="V4263">
        <f>-723.639723188784 -61.0736485146213 -235.431144079138</f>
        <v>-1020.1445157825433</v>
      </c>
      <c r="W4263" t="s">
        <v>84566</v>
      </c>
      <c r="X4263" t="s">
        <v>84567</v>
      </c>
      <c r="Y4263" t="s">
        <v>84568</v>
      </c>
    </row>
    <row r="4264" spans="1:25" x14ac:dyDescent="0.3">
      <c r="A4264">
        <v>213150</v>
      </c>
      <c r="B4264" t="s">
        <v>84569</v>
      </c>
      <c r="C4264" t="s">
        <v>84570</v>
      </c>
      <c r="D4264" t="s">
        <v>84571</v>
      </c>
      <c r="E4264" t="s">
        <v>84572</v>
      </c>
      <c r="F4264" t="s">
        <v>84573</v>
      </c>
      <c r="G4264" t="s">
        <v>84574</v>
      </c>
      <c r="H4264">
        <f>-735.681327039683 -23.7726443107701 -840.45588292265</f>
        <v>-1599.9098542731031</v>
      </c>
      <c r="I4264">
        <f>-691.791512291345 -41.973393016212 -930.596919100122</f>
        <v>-1664.361824407679</v>
      </c>
      <c r="J4264" t="s">
        <v>84575</v>
      </c>
      <c r="K4264" t="s">
        <v>84576</v>
      </c>
      <c r="L4264" t="s">
        <v>84577</v>
      </c>
      <c r="M4264" t="s">
        <v>84578</v>
      </c>
      <c r="N4264">
        <f>-747.03085318243 -42.4374628410883 -769.211788394437</f>
        <v>-1558.6801044179551</v>
      </c>
      <c r="O4264">
        <f>-783.316332173074 -176.28995804495 -720.325221507999</f>
        <v>-1679.931511726023</v>
      </c>
      <c r="P4264">
        <f>-730.357774403076 -172.264323636157 -408.291024438892</f>
        <v>-1310.9131224781249</v>
      </c>
      <c r="Q4264">
        <f>-507.068514095396 -39.0270035268738 -402.653898177489</f>
        <v>-948.74941579975871</v>
      </c>
      <c r="R4264" t="s">
        <v>84579</v>
      </c>
      <c r="S4264" t="s">
        <v>84580</v>
      </c>
      <c r="T4264" t="s">
        <v>84581</v>
      </c>
      <c r="U4264" t="s">
        <v>84582</v>
      </c>
      <c r="V4264">
        <f>-721.480058182794 -60.2205685125273 -235.463655127347</f>
        <v>-1017.1642818226683</v>
      </c>
      <c r="W4264" t="s">
        <v>84583</v>
      </c>
      <c r="X4264" t="s">
        <v>84584</v>
      </c>
      <c r="Y4264" t="s">
        <v>84585</v>
      </c>
    </row>
    <row r="4265" spans="1:25" x14ac:dyDescent="0.3">
      <c r="A4265">
        <v>213200</v>
      </c>
      <c r="B4265" t="s">
        <v>84586</v>
      </c>
      <c r="C4265" t="s">
        <v>84587</v>
      </c>
      <c r="D4265" t="s">
        <v>84588</v>
      </c>
      <c r="E4265" t="s">
        <v>84589</v>
      </c>
      <c r="F4265" t="s">
        <v>84590</v>
      </c>
      <c r="G4265" t="s">
        <v>84591</v>
      </c>
      <c r="H4265">
        <f>-733.801478608933 -21.4404248384399 -840.436163058608</f>
        <v>-1595.678066505981</v>
      </c>
      <c r="I4265">
        <f>-689.684629869768 -39.3085146271758 -930.532773630825</f>
        <v>-1659.5259181277688</v>
      </c>
      <c r="J4265" t="s">
        <v>84592</v>
      </c>
      <c r="K4265" t="s">
        <v>84593</v>
      </c>
      <c r="L4265" t="s">
        <v>84594</v>
      </c>
      <c r="M4265" t="s">
        <v>84595</v>
      </c>
      <c r="N4265">
        <f>-745.438543033753 -40.4515811684598 -769.329958243804</f>
        <v>-1555.2200824460169</v>
      </c>
      <c r="O4265">
        <f>-782.371810840786 -174.344530737018 -721.05816498566</f>
        <v>-1677.774506563464</v>
      </c>
      <c r="P4265">
        <f>-730.628496613171 -171.041611983827 -408.811501306287</f>
        <v>-1310.4816099032851</v>
      </c>
      <c r="Q4265">
        <f>-506.701122442545 -38.9496446555099 -401.720987184449</f>
        <v>-947.37175428250384</v>
      </c>
      <c r="R4265" t="s">
        <v>84596</v>
      </c>
      <c r="S4265" t="s">
        <v>84597</v>
      </c>
      <c r="T4265" t="s">
        <v>84598</v>
      </c>
      <c r="U4265" t="s">
        <v>84599</v>
      </c>
      <c r="V4265">
        <f>-720.402212578885 -59.8954687824291 -235.410287387211</f>
        <v>-1015.7079687485252</v>
      </c>
      <c r="W4265" t="s">
        <v>84600</v>
      </c>
      <c r="X4265" t="s">
        <v>84601</v>
      </c>
      <c r="Y4265" t="s">
        <v>84602</v>
      </c>
    </row>
    <row r="4266" spans="1:25" x14ac:dyDescent="0.3">
      <c r="A4266">
        <v>213250</v>
      </c>
      <c r="B4266" t="s">
        <v>84603</v>
      </c>
      <c r="C4266" t="s">
        <v>84604</v>
      </c>
      <c r="D4266" t="s">
        <v>84605</v>
      </c>
      <c r="E4266" t="s">
        <v>84606</v>
      </c>
      <c r="F4266" t="s">
        <v>84607</v>
      </c>
      <c r="G4266" t="s">
        <v>84608</v>
      </c>
      <c r="H4266">
        <f>-727.093801853008 -12.9293197395245 -841.098491210801</f>
        <v>-1581.1216128033334</v>
      </c>
      <c r="I4266">
        <f>-682.693196433256 -29.8248560677901 -931.24342085939</f>
        <v>-1643.761473360436</v>
      </c>
      <c r="J4266" t="s">
        <v>84609</v>
      </c>
      <c r="K4266" t="s">
        <v>84610</v>
      </c>
      <c r="L4266" t="s">
        <v>84611</v>
      </c>
      <c r="M4266" t="s">
        <v>84612</v>
      </c>
      <c r="N4266">
        <f>-739.431580620705 -33.0667582831109 -770.421944795022</f>
        <v>-1542.9202836988379</v>
      </c>
      <c r="O4266">
        <f>-778.60551605698 -166.969686363047 -723.800843401119</f>
        <v>-1669.3760458211459</v>
      </c>
      <c r="P4266">
        <f>-728.916326904008 -167.31212809868 -411.203542687553</f>
        <v>-1307.4319976902409</v>
      </c>
      <c r="Q4266">
        <f>-503.600854304691 -37.8513213834676 -400.48513594726</f>
        <v>-941.93731163541861</v>
      </c>
      <c r="R4266" t="s">
        <v>84613</v>
      </c>
      <c r="S4266" t="s">
        <v>84614</v>
      </c>
      <c r="T4266" t="s">
        <v>84615</v>
      </c>
      <c r="U4266" t="s">
        <v>84616</v>
      </c>
      <c r="V4266">
        <f>-716.833934737835 -58.4828732576977 -235.524982490691</f>
        <v>-1010.8417904862238</v>
      </c>
      <c r="W4266" t="s">
        <v>84617</v>
      </c>
      <c r="X4266" t="s">
        <v>84618</v>
      </c>
      <c r="Y4266" t="s">
        <v>84619</v>
      </c>
    </row>
    <row r="4267" spans="1:25" x14ac:dyDescent="0.3">
      <c r="A4267">
        <v>213300</v>
      </c>
      <c r="B4267" t="s">
        <v>84620</v>
      </c>
      <c r="C4267" t="s">
        <v>84621</v>
      </c>
      <c r="D4267" t="s">
        <v>84622</v>
      </c>
      <c r="E4267" t="s">
        <v>84623</v>
      </c>
      <c r="F4267" t="s">
        <v>84624</v>
      </c>
      <c r="G4267" t="s">
        <v>84625</v>
      </c>
      <c r="H4267">
        <f>-724.780923995524 -5.09005403737433 -841.558352926289</f>
        <v>-1571.4293309591872</v>
      </c>
      <c r="I4267">
        <f>-680.339859274186 -21.4657405279208 -931.779210670979</f>
        <v>-1633.5848104730858</v>
      </c>
      <c r="J4267" t="s">
        <v>84626</v>
      </c>
      <c r="K4267" t="s">
        <v>84627</v>
      </c>
      <c r="L4267" t="s">
        <v>84628</v>
      </c>
      <c r="M4267" t="s">
        <v>84629</v>
      </c>
      <c r="N4267">
        <f>-737.568210187402 -25.9238614466167 -771.163960553241</f>
        <v>-1534.6560321872598</v>
      </c>
      <c r="O4267">
        <f>-778.65479004082 -159.630698752319 -725.834458690956</f>
        <v>-1664.1199474840951</v>
      </c>
      <c r="P4267">
        <f>-730.123245414991 -162.841929065847 -413.071569847443</f>
        <v>-1306.036744328281</v>
      </c>
      <c r="Q4267">
        <f>-504.170981058668 -34.6945828031946 -400.192350419072</f>
        <v>-939.0579142809346</v>
      </c>
      <c r="R4267" t="s">
        <v>84630</v>
      </c>
      <c r="S4267" t="s">
        <v>84631</v>
      </c>
      <c r="T4267" t="s">
        <v>84632</v>
      </c>
      <c r="U4267" t="s">
        <v>84633</v>
      </c>
      <c r="V4267">
        <f>-715.584986726021 -56.4061250394077 -235.602827379036</f>
        <v>-1007.5939391444647</v>
      </c>
      <c r="W4267" t="s">
        <v>84634</v>
      </c>
      <c r="X4267" t="s">
        <v>84635</v>
      </c>
      <c r="Y4267" t="s">
        <v>84636</v>
      </c>
    </row>
    <row r="4268" spans="1:25" x14ac:dyDescent="0.3">
      <c r="A4268">
        <v>213350</v>
      </c>
      <c r="B4268" t="s">
        <v>84637</v>
      </c>
      <c r="C4268" t="s">
        <v>84638</v>
      </c>
      <c r="D4268" t="s">
        <v>84639</v>
      </c>
      <c r="E4268" t="s">
        <v>84640</v>
      </c>
      <c r="F4268" t="s">
        <v>84641</v>
      </c>
      <c r="G4268" t="s">
        <v>84642</v>
      </c>
      <c r="H4268" t="s">
        <v>84643</v>
      </c>
      <c r="I4268">
        <f>-679.912810640303 -2.35557927462173 -932.525176213595</f>
        <v>-1614.7935661285196</v>
      </c>
      <c r="J4268" t="s">
        <v>84644</v>
      </c>
      <c r="K4268" t="s">
        <v>84645</v>
      </c>
      <c r="L4268" t="s">
        <v>84646</v>
      </c>
      <c r="M4268" t="s">
        <v>84647</v>
      </c>
      <c r="N4268">
        <f>-738.187225872499 -8.51578513870027 -772.322013176868</f>
        <v>-1519.0250241880672</v>
      </c>
      <c r="O4268">
        <f>-784.088899004721 -141.521805000333 -729.696009117955</f>
        <v>-1655.3067131230091</v>
      </c>
      <c r="P4268">
        <f>-738.239768008412 -152.893143199266 -416.718746342951</f>
        <v>-1307.8516575506292</v>
      </c>
      <c r="Q4268">
        <f>-510.481310625411 -28.485894232851 -399.661208323975</f>
        <v>-938.62841318223695</v>
      </c>
      <c r="R4268" t="s">
        <v>84648</v>
      </c>
      <c r="S4268" t="s">
        <v>84649</v>
      </c>
      <c r="T4268" t="s">
        <v>84650</v>
      </c>
      <c r="U4268" t="s">
        <v>84651</v>
      </c>
      <c r="V4268">
        <f>-715.51729974268 -49.7830308170373 -235.802675950969</f>
        <v>-1001.1030065106863</v>
      </c>
      <c r="W4268" t="s">
        <v>84652</v>
      </c>
      <c r="X4268" t="s">
        <v>84653</v>
      </c>
      <c r="Y4268" t="s">
        <v>84654</v>
      </c>
    </row>
    <row r="4269" spans="1:25" x14ac:dyDescent="0.3">
      <c r="A4269">
        <v>213400</v>
      </c>
      <c r="B4269" t="s">
        <v>84655</v>
      </c>
      <c r="C4269" t="s">
        <v>84656</v>
      </c>
      <c r="D4269" t="s">
        <v>84657</v>
      </c>
      <c r="E4269" t="s">
        <v>84658</v>
      </c>
      <c r="F4269" t="s">
        <v>84659</v>
      </c>
      <c r="G4269" t="s">
        <v>84660</v>
      </c>
      <c r="H4269" t="s">
        <v>84661</v>
      </c>
      <c r="I4269" t="s">
        <v>84662</v>
      </c>
      <c r="J4269" t="s">
        <v>84663</v>
      </c>
      <c r="K4269" t="s">
        <v>84664</v>
      </c>
      <c r="L4269" t="s">
        <v>84665</v>
      </c>
      <c r="M4269" t="s">
        <v>84666</v>
      </c>
      <c r="N4269">
        <f>-736.198699839237 -1.43467854868845 -773.183454571357</f>
        <v>-1510.8168329592822</v>
      </c>
      <c r="O4269">
        <f>-785.142785475985 -133.734348156872 -731.809689409348</f>
        <v>-1650.6868230422051</v>
      </c>
      <c r="P4269">
        <f>-740.499131159087 -148.7740810597 -418.813035168614</f>
        <v>-1308.086247387401</v>
      </c>
      <c r="Q4269">
        <f>-511.365332538591 -27.2090594997248 -399.795521491226</f>
        <v>-938.36991352954192</v>
      </c>
      <c r="R4269" t="s">
        <v>84667</v>
      </c>
      <c r="S4269" t="s">
        <v>84668</v>
      </c>
      <c r="T4269" t="s">
        <v>84669</v>
      </c>
      <c r="U4269" t="s">
        <v>84670</v>
      </c>
      <c r="V4269">
        <f>-714.151003413294 -46.6883890853219 -236.040570690206</f>
        <v>-996.87996318882188</v>
      </c>
      <c r="W4269" t="s">
        <v>84671</v>
      </c>
      <c r="X4269" t="s">
        <v>84672</v>
      </c>
      <c r="Y4269" t="s">
        <v>84673</v>
      </c>
    </row>
    <row r="4270" spans="1:25" x14ac:dyDescent="0.3">
      <c r="A4270">
        <v>213450</v>
      </c>
      <c r="B4270" t="s">
        <v>84674</v>
      </c>
      <c r="C4270" t="s">
        <v>84675</v>
      </c>
      <c r="D4270" t="s">
        <v>84676</v>
      </c>
      <c r="E4270" t="s">
        <v>84677</v>
      </c>
      <c r="F4270" t="s">
        <v>84678</v>
      </c>
      <c r="G4270" t="s">
        <v>84679</v>
      </c>
      <c r="H4270" t="s">
        <v>84680</v>
      </c>
      <c r="I4270" t="s">
        <v>84681</v>
      </c>
      <c r="J4270" t="s">
        <v>84682</v>
      </c>
      <c r="K4270" t="s">
        <v>84683</v>
      </c>
      <c r="L4270" t="s">
        <v>84684</v>
      </c>
      <c r="M4270" t="s">
        <v>84685</v>
      </c>
      <c r="N4270" t="s">
        <v>84686</v>
      </c>
      <c r="O4270">
        <f>-785.610013230352 -119.881055187705 -736.962962325041</f>
        <v>-1642.454030743098</v>
      </c>
      <c r="P4270">
        <f>-743.479115906334 -142.625852536041 -424.083098750103</f>
        <v>-1310.1880671924778</v>
      </c>
      <c r="Q4270">
        <f>-511.009589487491 -28.2994963025037 -401.071687286738</f>
        <v>-940.38077307673268</v>
      </c>
      <c r="R4270" t="s">
        <v>84687</v>
      </c>
      <c r="S4270" t="s">
        <v>84688</v>
      </c>
      <c r="T4270" t="s">
        <v>84689</v>
      </c>
      <c r="U4270" t="s">
        <v>84690</v>
      </c>
      <c r="V4270">
        <f>-710.378131869835 -40.1971463117211 -236.806032257243</f>
        <v>-987.38131043879912</v>
      </c>
      <c r="W4270" t="s">
        <v>84691</v>
      </c>
      <c r="X4270" t="s">
        <v>84692</v>
      </c>
      <c r="Y4270" t="s">
        <v>84693</v>
      </c>
    </row>
    <row r="4271" spans="1:25" x14ac:dyDescent="0.3">
      <c r="A4271">
        <v>213500</v>
      </c>
      <c r="B4271" t="s">
        <v>84694</v>
      </c>
      <c r="C4271" t="s">
        <v>84695</v>
      </c>
      <c r="D4271" t="s">
        <v>84696</v>
      </c>
      <c r="E4271" t="s">
        <v>84697</v>
      </c>
      <c r="F4271" t="s">
        <v>84698</v>
      </c>
      <c r="G4271" t="s">
        <v>84699</v>
      </c>
      <c r="H4271" t="s">
        <v>84700</v>
      </c>
      <c r="I4271" t="s">
        <v>84701</v>
      </c>
      <c r="J4271" t="s">
        <v>84702</v>
      </c>
      <c r="K4271" t="s">
        <v>84703</v>
      </c>
      <c r="L4271" t="s">
        <v>84704</v>
      </c>
      <c r="M4271" t="s">
        <v>84705</v>
      </c>
      <c r="N4271" t="s">
        <v>84706</v>
      </c>
      <c r="O4271">
        <f>-784.720138859439 -112.39124156854 -738.998254151503</f>
        <v>-1636.109634579482</v>
      </c>
      <c r="P4271">
        <f>-744.864176180095 -138.247088613371 -426.061795692463</f>
        <v>-1309.173060485929</v>
      </c>
      <c r="Q4271">
        <f>-510.674405668433 -27.880376763093 -401.233161956271</f>
        <v>-939.78794438779687</v>
      </c>
      <c r="R4271" t="s">
        <v>84707</v>
      </c>
      <c r="S4271" t="s">
        <v>84708</v>
      </c>
      <c r="T4271" t="s">
        <v>84709</v>
      </c>
      <c r="U4271" t="s">
        <v>84710</v>
      </c>
      <c r="V4271">
        <f>-708.90461535154 -36.0654464634488 -237.010311477618</f>
        <v>-981.98037329260671</v>
      </c>
      <c r="W4271" t="s">
        <v>84711</v>
      </c>
      <c r="X4271" t="s">
        <v>84712</v>
      </c>
      <c r="Y4271" t="s">
        <v>84713</v>
      </c>
    </row>
    <row r="4272" spans="1:25" x14ac:dyDescent="0.3">
      <c r="A4272">
        <v>213550</v>
      </c>
      <c r="B4272" t="s">
        <v>84714</v>
      </c>
      <c r="C4272" t="s">
        <v>84715</v>
      </c>
      <c r="D4272" t="s">
        <v>84716</v>
      </c>
      <c r="E4272" t="s">
        <v>84717</v>
      </c>
      <c r="F4272" t="s">
        <v>84718</v>
      </c>
      <c r="G4272" t="s">
        <v>84719</v>
      </c>
      <c r="H4272" t="s">
        <v>84720</v>
      </c>
      <c r="I4272" t="s">
        <v>84721</v>
      </c>
      <c r="J4272" t="s">
        <v>84722</v>
      </c>
      <c r="K4272" t="s">
        <v>84723</v>
      </c>
      <c r="L4272" t="s">
        <v>84724</v>
      </c>
      <c r="M4272" t="s">
        <v>84725</v>
      </c>
      <c r="N4272" t="s">
        <v>84726</v>
      </c>
      <c r="O4272">
        <f>-780.384451938822 -98.4704883067407 -741.960337493287</f>
        <v>-1620.8152777388498</v>
      </c>
      <c r="P4272">
        <f>-745.141112459376 -129.802188980105 -428.971065754988</f>
        <v>-1303.9143671944689</v>
      </c>
      <c r="Q4272">
        <f>-507.577570795876 -27.6309367094395 -401.282339866914</f>
        <v>-936.49084737222961</v>
      </c>
      <c r="R4272" t="s">
        <v>84727</v>
      </c>
      <c r="S4272" t="s">
        <v>84728</v>
      </c>
      <c r="T4272" t="s">
        <v>84729</v>
      </c>
      <c r="U4272" t="s">
        <v>84730</v>
      </c>
      <c r="V4272">
        <f>-705.345091688773 -27.8484941715485 -237.576469598012</f>
        <v>-970.77005545833345</v>
      </c>
      <c r="W4272" t="s">
        <v>84731</v>
      </c>
      <c r="X4272" t="s">
        <v>84732</v>
      </c>
      <c r="Y4272" t="s">
        <v>84733</v>
      </c>
    </row>
    <row r="4273" spans="1:25" x14ac:dyDescent="0.3">
      <c r="A4273">
        <v>213600</v>
      </c>
      <c r="B4273" t="s">
        <v>84734</v>
      </c>
      <c r="C4273" t="s">
        <v>84735</v>
      </c>
      <c r="D4273" t="s">
        <v>84736</v>
      </c>
      <c r="E4273" t="s">
        <v>84737</v>
      </c>
      <c r="F4273" t="s">
        <v>84738</v>
      </c>
      <c r="G4273" t="s">
        <v>84739</v>
      </c>
      <c r="H4273" t="s">
        <v>84740</v>
      </c>
      <c r="I4273" t="s">
        <v>84741</v>
      </c>
      <c r="J4273" t="s">
        <v>84742</v>
      </c>
      <c r="K4273" t="s">
        <v>84743</v>
      </c>
      <c r="L4273" t="s">
        <v>84744</v>
      </c>
      <c r="M4273" t="s">
        <v>84745</v>
      </c>
      <c r="N4273" t="s">
        <v>84746</v>
      </c>
      <c r="O4273">
        <f>-776.698993072928 -92.1169802555389 -743.17682849534</f>
        <v>-1611.992801823807</v>
      </c>
      <c r="P4273">
        <f>-743.399972611802 -125.399103807373 -430.175735109881</f>
        <v>-1298.9748115290558</v>
      </c>
      <c r="Q4273">
        <f>-504.272278441148 -27.3546250210243 -401.06760471592</f>
        <v>-932.69450817809229</v>
      </c>
      <c r="R4273" t="s">
        <v>84747</v>
      </c>
      <c r="S4273" t="s">
        <v>84748</v>
      </c>
      <c r="T4273" t="s">
        <v>84749</v>
      </c>
      <c r="U4273" t="s">
        <v>84750</v>
      </c>
      <c r="V4273">
        <f>-703.098794661183 -23.5977064958697 -237.893864250645</f>
        <v>-964.59036540769773</v>
      </c>
      <c r="W4273" t="s">
        <v>84751</v>
      </c>
      <c r="X4273" t="s">
        <v>84752</v>
      </c>
      <c r="Y4273" t="s">
        <v>84753</v>
      </c>
    </row>
    <row r="4274" spans="1:25" x14ac:dyDescent="0.3">
      <c r="A4274">
        <v>213650</v>
      </c>
      <c r="B4274" t="s">
        <v>84754</v>
      </c>
      <c r="C4274" t="s">
        <v>84755</v>
      </c>
      <c r="D4274" t="s">
        <v>84756</v>
      </c>
      <c r="E4274" t="s">
        <v>84757</v>
      </c>
      <c r="F4274" t="s">
        <v>84758</v>
      </c>
      <c r="G4274" t="s">
        <v>84759</v>
      </c>
      <c r="H4274" t="s">
        <v>84760</v>
      </c>
      <c r="I4274" t="s">
        <v>84761</v>
      </c>
      <c r="J4274" t="s">
        <v>84762</v>
      </c>
      <c r="K4274" t="s">
        <v>84763</v>
      </c>
      <c r="L4274" t="s">
        <v>84764</v>
      </c>
      <c r="M4274" t="s">
        <v>84765</v>
      </c>
      <c r="N4274" t="s">
        <v>84766</v>
      </c>
      <c r="O4274">
        <f>-768.981443778142 -81.4306996762275 -745.014590700425</f>
        <v>-1595.4267341547943</v>
      </c>
      <c r="P4274">
        <f>-740.355567427913 -115.685914702726 -431.656618956151</f>
        <v>-1287.6981010867901</v>
      </c>
      <c r="Q4274">
        <f>-498.705764718477 -25.001981603529 -399.658737225315</f>
        <v>-923.36648354732097</v>
      </c>
      <c r="R4274" t="s">
        <v>84767</v>
      </c>
      <c r="S4274" t="s">
        <v>84768</v>
      </c>
      <c r="T4274" t="s">
        <v>84769</v>
      </c>
      <c r="U4274" t="s">
        <v>84770</v>
      </c>
      <c r="V4274">
        <f>-698.575142449082 -14.5432662162355 -238.230329509444</f>
        <v>-951.34873817476148</v>
      </c>
      <c r="W4274" t="s">
        <v>84771</v>
      </c>
      <c r="X4274" t="s">
        <v>84772</v>
      </c>
      <c r="Y4274" t="s">
        <v>84773</v>
      </c>
    </row>
    <row r="4275" spans="1:25" x14ac:dyDescent="0.3">
      <c r="A4275">
        <v>213700</v>
      </c>
      <c r="B4275" t="s">
        <v>84774</v>
      </c>
      <c r="C4275" t="s">
        <v>84775</v>
      </c>
      <c r="D4275" t="s">
        <v>84776</v>
      </c>
      <c r="E4275" t="s">
        <v>84777</v>
      </c>
      <c r="F4275" t="s">
        <v>84778</v>
      </c>
      <c r="G4275" t="s">
        <v>84779</v>
      </c>
      <c r="H4275" t="s">
        <v>84780</v>
      </c>
      <c r="I4275" t="s">
        <v>84781</v>
      </c>
      <c r="J4275" t="s">
        <v>84782</v>
      </c>
      <c r="K4275" t="s">
        <v>84783</v>
      </c>
      <c r="L4275" t="s">
        <v>84784</v>
      </c>
      <c r="M4275" t="s">
        <v>84785</v>
      </c>
      <c r="N4275" t="s">
        <v>84786</v>
      </c>
      <c r="O4275">
        <f>-764.066799771065 -75.930998832793 -745.587301844232</f>
        <v>-1585.5851004480901</v>
      </c>
      <c r="P4275">
        <f>-738.132418355724 -110.362825529088 -432.014288108442</f>
        <v>-1280.5095319932539</v>
      </c>
      <c r="Q4275">
        <f>-495.710738382184 -22.4067084122009 -398.287142429389</f>
        <v>-916.40458922377388</v>
      </c>
      <c r="R4275" t="s">
        <v>84787</v>
      </c>
      <c r="S4275" t="s">
        <v>84788</v>
      </c>
      <c r="T4275" t="s">
        <v>84789</v>
      </c>
      <c r="U4275" t="s">
        <v>84790</v>
      </c>
      <c r="V4275">
        <f>-696.168317963094 -10.1187460975475 -238.409002292302</f>
        <v>-944.69606635294349</v>
      </c>
      <c r="W4275" t="s">
        <v>84791</v>
      </c>
      <c r="X4275" t="s">
        <v>84792</v>
      </c>
      <c r="Y4275" t="s">
        <v>84793</v>
      </c>
    </row>
    <row r="4276" spans="1:25" x14ac:dyDescent="0.3">
      <c r="A4276">
        <v>213750</v>
      </c>
      <c r="B4276" t="s">
        <v>84794</v>
      </c>
      <c r="C4276" t="s">
        <v>84795</v>
      </c>
      <c r="D4276" t="s">
        <v>84796</v>
      </c>
      <c r="E4276" t="s">
        <v>84797</v>
      </c>
      <c r="F4276" t="s">
        <v>84798</v>
      </c>
      <c r="G4276" t="s">
        <v>84799</v>
      </c>
      <c r="H4276" t="s">
        <v>84800</v>
      </c>
      <c r="I4276" t="s">
        <v>84801</v>
      </c>
      <c r="J4276" t="s">
        <v>84802</v>
      </c>
      <c r="K4276" t="s">
        <v>84803</v>
      </c>
      <c r="L4276" t="s">
        <v>84804</v>
      </c>
      <c r="M4276" t="s">
        <v>84805</v>
      </c>
      <c r="N4276" t="s">
        <v>84806</v>
      </c>
      <c r="O4276">
        <f>-753.493473473032 -64.8720992490778 -748.084618911503</f>
        <v>-1566.4501916336128</v>
      </c>
      <c r="P4276">
        <f>-733.152151805756 -98.9025774156178 -434.055458522147</f>
        <v>-1266.1101877435208</v>
      </c>
      <c r="Q4276">
        <f>-489.769668279875 -15.1464096480302 -396.747746982355</f>
        <v>-901.66382491026025</v>
      </c>
      <c r="R4276" t="s">
        <v>84807</v>
      </c>
      <c r="S4276" t="s">
        <v>84808</v>
      </c>
      <c r="T4276" t="s">
        <v>84809</v>
      </c>
      <c r="U4276" t="s">
        <v>84810</v>
      </c>
      <c r="V4276">
        <f>-690.996925099524 -1.43155898503301 -240.105572126463</f>
        <v>-932.53405621102002</v>
      </c>
      <c r="W4276" t="s">
        <v>84811</v>
      </c>
      <c r="X4276" t="s">
        <v>84812</v>
      </c>
      <c r="Y4276" t="s">
        <v>84813</v>
      </c>
    </row>
    <row r="4277" spans="1:25" x14ac:dyDescent="0.3">
      <c r="A4277">
        <v>213800</v>
      </c>
      <c r="B4277" t="s">
        <v>84814</v>
      </c>
      <c r="C4277" t="s">
        <v>84815</v>
      </c>
      <c r="D4277" t="s">
        <v>84816</v>
      </c>
      <c r="E4277" t="s">
        <v>84817</v>
      </c>
      <c r="F4277" t="s">
        <v>84818</v>
      </c>
      <c r="G4277" t="s">
        <v>84819</v>
      </c>
      <c r="H4277" t="s">
        <v>84820</v>
      </c>
      <c r="I4277" t="s">
        <v>84821</v>
      </c>
      <c r="J4277" t="s">
        <v>84822</v>
      </c>
      <c r="K4277" t="s">
        <v>84823</v>
      </c>
      <c r="L4277" t="s">
        <v>84824</v>
      </c>
      <c r="M4277" t="s">
        <v>84825</v>
      </c>
      <c r="N4277" t="s">
        <v>84826</v>
      </c>
      <c r="O4277">
        <f>-748.124774998714 -59.9179391795522 -749.537383073503</f>
        <v>-1557.5800972517691</v>
      </c>
      <c r="P4277">
        <f>-730.25220759839 -94.0209842302436 -435.365816157473</f>
        <v>-1259.6390079861067</v>
      </c>
      <c r="Q4277">
        <f>-486.688239813903 -11.5724594787198 -396.366950117993</f>
        <v>-894.62764941061573</v>
      </c>
      <c r="R4277" t="s">
        <v>84827</v>
      </c>
      <c r="S4277" t="s">
        <v>84828</v>
      </c>
      <c r="T4277" t="s">
        <v>84829</v>
      </c>
      <c r="U4277" t="s">
        <v>84830</v>
      </c>
      <c r="V4277" t="s">
        <v>84831</v>
      </c>
      <c r="W4277" t="s">
        <v>84832</v>
      </c>
      <c r="X4277" t="s">
        <v>84833</v>
      </c>
      <c r="Y4277" t="s">
        <v>84834</v>
      </c>
    </row>
    <row r="4278" spans="1:25" x14ac:dyDescent="0.3">
      <c r="A4278">
        <v>213850</v>
      </c>
      <c r="B4278" t="s">
        <v>84835</v>
      </c>
      <c r="C4278" t="s">
        <v>84836</v>
      </c>
      <c r="D4278" t="s">
        <v>84837</v>
      </c>
      <c r="E4278" t="s">
        <v>84838</v>
      </c>
      <c r="F4278" t="s">
        <v>84839</v>
      </c>
      <c r="G4278" t="s">
        <v>84840</v>
      </c>
      <c r="H4278" t="s">
        <v>84841</v>
      </c>
      <c r="I4278" t="s">
        <v>84842</v>
      </c>
      <c r="J4278" t="s">
        <v>84843</v>
      </c>
      <c r="K4278" t="s">
        <v>84844</v>
      </c>
      <c r="L4278" t="s">
        <v>84845</v>
      </c>
      <c r="M4278" t="s">
        <v>84846</v>
      </c>
      <c r="N4278" t="s">
        <v>84847</v>
      </c>
      <c r="O4278">
        <f>-738.061617280181 -51.8094772377985 -751.906359829124</f>
        <v>-1541.7774543471037</v>
      </c>
      <c r="P4278">
        <f>-725.156507928508 -84.5908829474913 -437.350952147922</f>
        <v>-1247.0983430239212</v>
      </c>
      <c r="Q4278">
        <f>-481.320945460965 -4.34432937025576 -395.556668169814</f>
        <v>-881.22194300103479</v>
      </c>
      <c r="R4278" t="s">
        <v>84848</v>
      </c>
      <c r="S4278" t="s">
        <v>84849</v>
      </c>
      <c r="T4278" t="s">
        <v>84850</v>
      </c>
      <c r="U4278" t="s">
        <v>84851</v>
      </c>
      <c r="V4278" t="s">
        <v>84852</v>
      </c>
      <c r="W4278" t="s">
        <v>84853</v>
      </c>
      <c r="X4278" t="s">
        <v>84854</v>
      </c>
      <c r="Y4278" t="s">
        <v>84855</v>
      </c>
    </row>
    <row r="4279" spans="1:25" x14ac:dyDescent="0.3">
      <c r="A4279">
        <v>213900</v>
      </c>
      <c r="B4279" t="s">
        <v>84856</v>
      </c>
      <c r="C4279" t="s">
        <v>84857</v>
      </c>
      <c r="D4279" t="s">
        <v>84858</v>
      </c>
      <c r="E4279" t="s">
        <v>84859</v>
      </c>
      <c r="F4279" t="s">
        <v>84860</v>
      </c>
      <c r="G4279" t="s">
        <v>84861</v>
      </c>
      <c r="H4279" t="s">
        <v>84862</v>
      </c>
      <c r="I4279" t="s">
        <v>84863</v>
      </c>
      <c r="J4279" t="s">
        <v>84864</v>
      </c>
      <c r="K4279" t="s">
        <v>84865</v>
      </c>
      <c r="L4279" t="s">
        <v>84866</v>
      </c>
      <c r="M4279" t="s">
        <v>84867</v>
      </c>
      <c r="N4279" t="s">
        <v>84868</v>
      </c>
      <c r="O4279">
        <f>-733.555339929787 -48.7041739576575 -752.669405138075</f>
        <v>-1534.9289190255195</v>
      </c>
      <c r="P4279">
        <f>-722.722488777723 -81.0660188368956 -437.992449981254</f>
        <v>-1241.7809575958727</v>
      </c>
      <c r="Q4279">
        <f>-478.901677645526 -1.36480761997768 -395.083363121611</f>
        <v>-875.34984838711466</v>
      </c>
      <c r="R4279" t="s">
        <v>84869</v>
      </c>
      <c r="S4279" t="s">
        <v>84870</v>
      </c>
      <c r="T4279" t="s">
        <v>84871</v>
      </c>
      <c r="U4279" t="s">
        <v>84872</v>
      </c>
      <c r="V4279" t="s">
        <v>84873</v>
      </c>
      <c r="W4279" t="s">
        <v>84874</v>
      </c>
      <c r="X4279" t="s">
        <v>84875</v>
      </c>
      <c r="Y4279" t="s">
        <v>84876</v>
      </c>
    </row>
    <row r="4280" spans="1:25" x14ac:dyDescent="0.3">
      <c r="A4280">
        <v>213950</v>
      </c>
      <c r="B4280" t="s">
        <v>84877</v>
      </c>
      <c r="C4280" t="s">
        <v>84878</v>
      </c>
      <c r="D4280" t="s">
        <v>84879</v>
      </c>
      <c r="E4280" t="s">
        <v>84880</v>
      </c>
      <c r="F4280" t="s">
        <v>84881</v>
      </c>
      <c r="G4280" t="s">
        <v>84882</v>
      </c>
      <c r="H4280" t="s">
        <v>84883</v>
      </c>
      <c r="I4280" t="s">
        <v>84884</v>
      </c>
      <c r="J4280" t="s">
        <v>84885</v>
      </c>
      <c r="K4280" t="s">
        <v>84886</v>
      </c>
      <c r="L4280" t="s">
        <v>84887</v>
      </c>
      <c r="M4280" t="s">
        <v>84888</v>
      </c>
      <c r="N4280" t="s">
        <v>84889</v>
      </c>
      <c r="O4280">
        <f>-724.908232248012 -43.7660587855714 -753.935156795613</f>
        <v>-1522.6094478291966</v>
      </c>
      <c r="P4280">
        <f>-717.612417962009 -74.9789341467767 -439.040476525467</f>
        <v>-1231.6318286342528</v>
      </c>
      <c r="Q4280" t="s">
        <v>84890</v>
      </c>
      <c r="R4280" t="s">
        <v>84891</v>
      </c>
      <c r="S4280" t="s">
        <v>84892</v>
      </c>
      <c r="T4280" t="s">
        <v>84893</v>
      </c>
      <c r="U4280" t="s">
        <v>84894</v>
      </c>
      <c r="V4280" t="s">
        <v>84895</v>
      </c>
      <c r="W4280" t="s">
        <v>84896</v>
      </c>
      <c r="X4280" t="s">
        <v>84897</v>
      </c>
      <c r="Y4280" t="s">
        <v>84898</v>
      </c>
    </row>
    <row r="4281" spans="1:25" x14ac:dyDescent="0.3">
      <c r="A4281">
        <v>214000</v>
      </c>
      <c r="B4281" t="s">
        <v>84899</v>
      </c>
      <c r="C4281" t="s">
        <v>84900</v>
      </c>
      <c r="D4281" t="s">
        <v>84901</v>
      </c>
      <c r="E4281" t="s">
        <v>84902</v>
      </c>
      <c r="F4281" t="s">
        <v>84903</v>
      </c>
      <c r="G4281" t="s">
        <v>84904</v>
      </c>
      <c r="H4281" t="s">
        <v>84905</v>
      </c>
      <c r="I4281" t="s">
        <v>84906</v>
      </c>
      <c r="J4281" t="s">
        <v>84907</v>
      </c>
      <c r="K4281" t="s">
        <v>84908</v>
      </c>
      <c r="L4281" t="s">
        <v>84909</v>
      </c>
      <c r="M4281" t="s">
        <v>84910</v>
      </c>
      <c r="N4281" t="s">
        <v>84911</v>
      </c>
      <c r="O4281">
        <f>-720.778235404547 -41.5769720607739 -754.459133252788</f>
        <v>-1516.8143407181087</v>
      </c>
      <c r="P4281">
        <f>-715.029884910994 -72.225863242242 -439.477109114006</f>
        <v>-1226.732857267242</v>
      </c>
      <c r="Q4281" t="s">
        <v>84912</v>
      </c>
      <c r="R4281" t="s">
        <v>84913</v>
      </c>
      <c r="S4281" t="s">
        <v>84914</v>
      </c>
      <c r="T4281" t="s">
        <v>84915</v>
      </c>
      <c r="U4281" t="s">
        <v>84916</v>
      </c>
      <c r="V4281" t="s">
        <v>84917</v>
      </c>
      <c r="W4281" t="s">
        <v>84918</v>
      </c>
      <c r="X4281" t="s">
        <v>84919</v>
      </c>
      <c r="Y4281" t="s">
        <v>84920</v>
      </c>
    </row>
    <row r="4282" spans="1:25" x14ac:dyDescent="0.3">
      <c r="A4282">
        <v>214050</v>
      </c>
      <c r="B4282" t="s">
        <v>84921</v>
      </c>
      <c r="C4282" t="s">
        <v>84922</v>
      </c>
      <c r="D4282" t="s">
        <v>84923</v>
      </c>
      <c r="E4282" t="s">
        <v>84924</v>
      </c>
      <c r="F4282" t="s">
        <v>84925</v>
      </c>
      <c r="G4282" t="s">
        <v>84926</v>
      </c>
      <c r="H4282" t="s">
        <v>84927</v>
      </c>
      <c r="I4282" t="s">
        <v>84928</v>
      </c>
      <c r="J4282" t="s">
        <v>84929</v>
      </c>
      <c r="K4282" t="s">
        <v>84930</v>
      </c>
      <c r="L4282" t="s">
        <v>84931</v>
      </c>
      <c r="M4282" t="s">
        <v>84932</v>
      </c>
      <c r="N4282" t="s">
        <v>84933</v>
      </c>
      <c r="O4282">
        <f>-713.391059500663 -37.1995524302622 -755.767604868613</f>
        <v>-1506.3582167995382</v>
      </c>
      <c r="P4282">
        <f>-709.884913466501 -67.2578275511544 -440.695504021431</f>
        <v>-1217.8382450390864</v>
      </c>
      <c r="Q4282" t="s">
        <v>84934</v>
      </c>
      <c r="R4282" t="s">
        <v>84935</v>
      </c>
      <c r="S4282" t="s">
        <v>84936</v>
      </c>
      <c r="T4282" t="s">
        <v>84937</v>
      </c>
      <c r="U4282" t="s">
        <v>84938</v>
      </c>
      <c r="V4282" t="s">
        <v>84939</v>
      </c>
      <c r="W4282" t="s">
        <v>84940</v>
      </c>
      <c r="X4282" t="s">
        <v>84941</v>
      </c>
      <c r="Y4282" t="s">
        <v>84942</v>
      </c>
    </row>
    <row r="4283" spans="1:25" x14ac:dyDescent="0.3">
      <c r="A4283">
        <v>214100</v>
      </c>
      <c r="B4283" t="s">
        <v>84943</v>
      </c>
      <c r="C4283" t="s">
        <v>84944</v>
      </c>
      <c r="D4283" t="s">
        <v>84945</v>
      </c>
      <c r="E4283" t="s">
        <v>84946</v>
      </c>
      <c r="F4283" t="s">
        <v>84947</v>
      </c>
      <c r="G4283" t="s">
        <v>84948</v>
      </c>
      <c r="H4283" t="s">
        <v>84949</v>
      </c>
      <c r="I4283" t="s">
        <v>84950</v>
      </c>
      <c r="J4283" t="s">
        <v>84951</v>
      </c>
      <c r="K4283" t="s">
        <v>84952</v>
      </c>
      <c r="L4283" t="s">
        <v>84953</v>
      </c>
      <c r="M4283" t="s">
        <v>84954</v>
      </c>
      <c r="N4283" t="s">
        <v>84955</v>
      </c>
      <c r="O4283">
        <f>-710.102712491661 -35.2306004386228 -756.336215773261</f>
        <v>-1501.6695287035448</v>
      </c>
      <c r="P4283">
        <f>-707.365705311052 -65.3576266266959 -441.263051703665</f>
        <v>-1213.9863836414129</v>
      </c>
      <c r="Q4283" t="s">
        <v>84956</v>
      </c>
      <c r="R4283" t="s">
        <v>84957</v>
      </c>
      <c r="S4283" t="s">
        <v>84958</v>
      </c>
      <c r="T4283" t="s">
        <v>84959</v>
      </c>
      <c r="U4283" t="s">
        <v>84960</v>
      </c>
      <c r="V4283" t="s">
        <v>84961</v>
      </c>
      <c r="W4283" t="s">
        <v>84962</v>
      </c>
      <c r="X4283" t="s">
        <v>84963</v>
      </c>
      <c r="Y4283" t="s">
        <v>84964</v>
      </c>
    </row>
    <row r="4284" spans="1:25" x14ac:dyDescent="0.3">
      <c r="A4284">
        <v>214150</v>
      </c>
      <c r="B4284" t="s">
        <v>84965</v>
      </c>
      <c r="C4284" t="s">
        <v>84966</v>
      </c>
      <c r="D4284" t="s">
        <v>84967</v>
      </c>
      <c r="E4284" t="s">
        <v>84968</v>
      </c>
      <c r="F4284" t="s">
        <v>84969</v>
      </c>
      <c r="G4284" t="s">
        <v>84970</v>
      </c>
      <c r="H4284" t="s">
        <v>84971</v>
      </c>
      <c r="I4284" t="s">
        <v>84972</v>
      </c>
      <c r="J4284" t="s">
        <v>84973</v>
      </c>
      <c r="K4284" t="s">
        <v>84974</v>
      </c>
      <c r="L4284" t="s">
        <v>84975</v>
      </c>
      <c r="M4284" t="s">
        <v>84976</v>
      </c>
      <c r="N4284" t="s">
        <v>84977</v>
      </c>
      <c r="O4284">
        <f>-705.436324461895 -32.629984911368 -757.261145204084</f>
        <v>-1495.327454577347</v>
      </c>
      <c r="P4284">
        <f>-703.393516951275 -62.8129819020062 -442.188137931121</f>
        <v>-1208.3946367844023</v>
      </c>
      <c r="Q4284" t="s">
        <v>84978</v>
      </c>
      <c r="R4284" t="s">
        <v>84979</v>
      </c>
      <c r="S4284" t="s">
        <v>84980</v>
      </c>
      <c r="T4284" t="s">
        <v>84981</v>
      </c>
      <c r="U4284" t="s">
        <v>84982</v>
      </c>
      <c r="V4284" t="s">
        <v>84983</v>
      </c>
      <c r="W4284" t="s">
        <v>84984</v>
      </c>
      <c r="X4284" t="s">
        <v>84985</v>
      </c>
      <c r="Y4284" t="s">
        <v>84986</v>
      </c>
    </row>
    <row r="4285" spans="1:25" x14ac:dyDescent="0.3">
      <c r="A4285">
        <v>214200</v>
      </c>
      <c r="B4285" t="s">
        <v>84987</v>
      </c>
      <c r="C4285" t="s">
        <v>84988</v>
      </c>
      <c r="D4285" t="s">
        <v>84989</v>
      </c>
      <c r="E4285" t="s">
        <v>84990</v>
      </c>
      <c r="F4285" t="s">
        <v>84991</v>
      </c>
      <c r="G4285" t="s">
        <v>84992</v>
      </c>
      <c r="H4285" t="s">
        <v>84993</v>
      </c>
      <c r="I4285" t="s">
        <v>84994</v>
      </c>
      <c r="J4285" t="s">
        <v>84995</v>
      </c>
      <c r="K4285" t="s">
        <v>84996</v>
      </c>
      <c r="L4285" t="s">
        <v>84997</v>
      </c>
      <c r="M4285" t="s">
        <v>84998</v>
      </c>
      <c r="N4285" t="s">
        <v>84999</v>
      </c>
      <c r="O4285">
        <f>-703.449000097171 -31.9136920873357 -757.568854885501</f>
        <v>-1492.9315470700076</v>
      </c>
      <c r="P4285">
        <f>-701.734530449618 -62.4759984102282 -442.530462961168</f>
        <v>-1206.7409918210142</v>
      </c>
      <c r="Q4285" t="s">
        <v>85000</v>
      </c>
      <c r="R4285" t="s">
        <v>85001</v>
      </c>
      <c r="S4285" t="s">
        <v>85002</v>
      </c>
      <c r="T4285" t="s">
        <v>85003</v>
      </c>
      <c r="U4285" t="s">
        <v>85004</v>
      </c>
      <c r="V4285" t="s">
        <v>85005</v>
      </c>
      <c r="W4285" t="s">
        <v>85006</v>
      </c>
      <c r="X4285" t="s">
        <v>85007</v>
      </c>
      <c r="Y4285" t="s">
        <v>85008</v>
      </c>
    </row>
    <row r="4286" spans="1:25" x14ac:dyDescent="0.3">
      <c r="A4286">
        <v>214250</v>
      </c>
      <c r="B4286" t="s">
        <v>85009</v>
      </c>
      <c r="C4286" t="s">
        <v>85010</v>
      </c>
      <c r="D4286" t="s">
        <v>85011</v>
      </c>
      <c r="E4286" t="s">
        <v>85012</v>
      </c>
      <c r="F4286" t="s">
        <v>85013</v>
      </c>
      <c r="G4286" t="s">
        <v>85014</v>
      </c>
      <c r="H4286" t="s">
        <v>85015</v>
      </c>
      <c r="I4286" t="s">
        <v>85016</v>
      </c>
      <c r="J4286" t="s">
        <v>85017</v>
      </c>
      <c r="K4286" t="s">
        <v>85018</v>
      </c>
      <c r="L4286" t="s">
        <v>85019</v>
      </c>
      <c r="M4286" t="s">
        <v>85020</v>
      </c>
      <c r="N4286" t="s">
        <v>85021</v>
      </c>
      <c r="O4286">
        <f>-700.265720073221 -31.3469088920415 -758.250946911506</f>
        <v>-1489.8635758767687</v>
      </c>
      <c r="P4286">
        <f>-699.840657996882 -61.7037265887354 -443.188277690876</f>
        <v>-1204.7326622764936</v>
      </c>
      <c r="Q4286" t="s">
        <v>85022</v>
      </c>
      <c r="R4286" t="s">
        <v>85023</v>
      </c>
      <c r="S4286" t="s">
        <v>85024</v>
      </c>
      <c r="T4286" t="s">
        <v>85025</v>
      </c>
      <c r="U4286" t="s">
        <v>85026</v>
      </c>
      <c r="V4286" t="s">
        <v>85027</v>
      </c>
      <c r="W4286" t="s">
        <v>85028</v>
      </c>
      <c r="X4286" t="s">
        <v>85029</v>
      </c>
      <c r="Y4286" t="s">
        <v>85030</v>
      </c>
    </row>
    <row r="4287" spans="1:25" x14ac:dyDescent="0.3">
      <c r="A4287">
        <v>214300</v>
      </c>
      <c r="B4287" t="s">
        <v>85031</v>
      </c>
      <c r="C4287" t="s">
        <v>85032</v>
      </c>
      <c r="D4287" t="s">
        <v>85033</v>
      </c>
      <c r="E4287" t="s">
        <v>85034</v>
      </c>
      <c r="F4287" t="s">
        <v>85035</v>
      </c>
      <c r="G4287" t="s">
        <v>85036</v>
      </c>
      <c r="H4287" t="s">
        <v>85037</v>
      </c>
      <c r="I4287" t="s">
        <v>85038</v>
      </c>
      <c r="J4287" t="s">
        <v>85039</v>
      </c>
      <c r="K4287" t="s">
        <v>85040</v>
      </c>
      <c r="L4287" t="s">
        <v>85041</v>
      </c>
      <c r="M4287" t="s">
        <v>85042</v>
      </c>
      <c r="N4287" t="s">
        <v>85043</v>
      </c>
      <c r="O4287">
        <f>-698.638004698302 -31.1252384392014 -758.600360509503</f>
        <v>-1488.3636036470066</v>
      </c>
      <c r="P4287">
        <f>-698.6795623102 -61.6150294422919 -443.550273913424</f>
        <v>-1203.8448656659159</v>
      </c>
      <c r="Q4287" t="s">
        <v>85044</v>
      </c>
      <c r="R4287" t="s">
        <v>85045</v>
      </c>
      <c r="S4287" t="s">
        <v>85046</v>
      </c>
      <c r="T4287" t="s">
        <v>85047</v>
      </c>
      <c r="U4287" t="s">
        <v>85048</v>
      </c>
      <c r="V4287" t="s">
        <v>85049</v>
      </c>
      <c r="W4287" t="s">
        <v>85050</v>
      </c>
      <c r="X4287" t="s">
        <v>85051</v>
      </c>
      <c r="Y4287" t="s">
        <v>85052</v>
      </c>
    </row>
    <row r="4288" spans="1:25" x14ac:dyDescent="0.3">
      <c r="A4288">
        <v>214350</v>
      </c>
      <c r="B4288" t="s">
        <v>85053</v>
      </c>
      <c r="C4288" t="s">
        <v>85054</v>
      </c>
      <c r="D4288" t="s">
        <v>85055</v>
      </c>
      <c r="E4288" t="s">
        <v>85056</v>
      </c>
      <c r="F4288" t="s">
        <v>85057</v>
      </c>
      <c r="G4288" t="s">
        <v>85058</v>
      </c>
      <c r="H4288" t="s">
        <v>85059</v>
      </c>
      <c r="I4288" t="s">
        <v>85060</v>
      </c>
      <c r="J4288" t="s">
        <v>85061</v>
      </c>
      <c r="K4288" t="s">
        <v>85062</v>
      </c>
      <c r="L4288" t="s">
        <v>85063</v>
      </c>
      <c r="M4288" t="s">
        <v>85064</v>
      </c>
      <c r="N4288" t="s">
        <v>85065</v>
      </c>
      <c r="O4288">
        <f>-696.610225137615 -31.1232911634725 -759.116980558572</f>
        <v>-1486.8504968596594</v>
      </c>
      <c r="P4288">
        <f>-697.2814005572 -61.3544100334218 -444.042777813172</f>
        <v>-1202.6785884037938</v>
      </c>
      <c r="Q4288" t="s">
        <v>85066</v>
      </c>
      <c r="R4288" t="s">
        <v>85067</v>
      </c>
      <c r="S4288" t="s">
        <v>85068</v>
      </c>
      <c r="T4288" t="s">
        <v>85069</v>
      </c>
      <c r="U4288" t="s">
        <v>85070</v>
      </c>
      <c r="V4288" t="s">
        <v>85071</v>
      </c>
      <c r="W4288" t="s">
        <v>85072</v>
      </c>
      <c r="X4288" t="s">
        <v>85073</v>
      </c>
      <c r="Y4288" t="s">
        <v>85074</v>
      </c>
    </row>
    <row r="4289" spans="1:25" x14ac:dyDescent="0.3">
      <c r="A4289">
        <v>214400</v>
      </c>
      <c r="B4289" t="s">
        <v>85075</v>
      </c>
      <c r="C4289" t="s">
        <v>85076</v>
      </c>
      <c r="D4289" t="s">
        <v>85077</v>
      </c>
      <c r="E4289" t="s">
        <v>85078</v>
      </c>
      <c r="F4289" t="s">
        <v>85079</v>
      </c>
      <c r="G4289" t="s">
        <v>85080</v>
      </c>
      <c r="H4289" t="s">
        <v>85081</v>
      </c>
      <c r="I4289" t="s">
        <v>85082</v>
      </c>
      <c r="J4289" t="s">
        <v>85083</v>
      </c>
      <c r="K4289" t="s">
        <v>85084</v>
      </c>
      <c r="L4289" t="s">
        <v>85085</v>
      </c>
      <c r="M4289" t="s">
        <v>85086</v>
      </c>
      <c r="N4289" t="s">
        <v>85087</v>
      </c>
      <c r="O4289">
        <f>-696.128684308479 -31.3695090683732 -759.238980921089</f>
        <v>-1486.7371742979412</v>
      </c>
      <c r="P4289">
        <f>-697.155059092615 -61.6907307403028 -444.174236709621</f>
        <v>-1203.0200265425387</v>
      </c>
      <c r="Q4289" t="s">
        <v>85088</v>
      </c>
      <c r="R4289" t="s">
        <v>85089</v>
      </c>
      <c r="S4289" t="s">
        <v>85090</v>
      </c>
      <c r="T4289" t="s">
        <v>85091</v>
      </c>
      <c r="U4289" t="s">
        <v>85092</v>
      </c>
      <c r="V4289" t="s">
        <v>85093</v>
      </c>
      <c r="W4289" t="s">
        <v>85094</v>
      </c>
      <c r="X4289" t="s">
        <v>85095</v>
      </c>
      <c r="Y4289" t="s">
        <v>85096</v>
      </c>
    </row>
    <row r="4290" spans="1:25" x14ac:dyDescent="0.3">
      <c r="A4290">
        <v>214450</v>
      </c>
      <c r="B4290" t="s">
        <v>85097</v>
      </c>
      <c r="C4290" t="s">
        <v>85098</v>
      </c>
      <c r="D4290" t="s">
        <v>85099</v>
      </c>
      <c r="E4290" t="s">
        <v>85100</v>
      </c>
      <c r="F4290" t="s">
        <v>85101</v>
      </c>
      <c r="G4290" t="s">
        <v>85102</v>
      </c>
      <c r="H4290" t="s">
        <v>85103</v>
      </c>
      <c r="I4290" t="s">
        <v>85104</v>
      </c>
      <c r="J4290" t="s">
        <v>85105</v>
      </c>
      <c r="K4290" t="s">
        <v>85106</v>
      </c>
      <c r="L4290" t="s">
        <v>85107</v>
      </c>
      <c r="M4290" t="s">
        <v>85108</v>
      </c>
      <c r="N4290" t="s">
        <v>85109</v>
      </c>
      <c r="O4290">
        <f>-696.083939390827 -31.9914051411265 -759.494894200916</f>
        <v>-1487.5702387328695</v>
      </c>
      <c r="P4290">
        <f>-697.779063712356 -61.8902996093761 -444.392655929994</f>
        <v>-1204.0620192517263</v>
      </c>
      <c r="Q4290" t="s">
        <v>85110</v>
      </c>
      <c r="R4290" t="s">
        <v>85111</v>
      </c>
      <c r="S4290" t="s">
        <v>85112</v>
      </c>
      <c r="T4290" t="s">
        <v>85113</v>
      </c>
      <c r="U4290" t="s">
        <v>85114</v>
      </c>
      <c r="V4290" t="s">
        <v>85115</v>
      </c>
      <c r="W4290" t="s">
        <v>85116</v>
      </c>
      <c r="X4290" t="s">
        <v>85117</v>
      </c>
      <c r="Y4290" t="s">
        <v>85118</v>
      </c>
    </row>
    <row r="4291" spans="1:25" x14ac:dyDescent="0.3">
      <c r="A4291">
        <v>214500</v>
      </c>
      <c r="B4291" t="s">
        <v>85119</v>
      </c>
      <c r="C4291" t="s">
        <v>85120</v>
      </c>
      <c r="D4291" t="s">
        <v>85121</v>
      </c>
      <c r="E4291" t="s">
        <v>85122</v>
      </c>
      <c r="F4291" t="s">
        <v>85123</v>
      </c>
      <c r="G4291" t="s">
        <v>85124</v>
      </c>
      <c r="H4291" t="s">
        <v>85125</v>
      </c>
      <c r="I4291" t="s">
        <v>85126</v>
      </c>
      <c r="J4291" t="s">
        <v>85127</v>
      </c>
      <c r="K4291" t="s">
        <v>85128</v>
      </c>
      <c r="L4291" t="s">
        <v>85129</v>
      </c>
      <c r="M4291" t="s">
        <v>85130</v>
      </c>
      <c r="N4291" t="s">
        <v>85131</v>
      </c>
      <c r="O4291">
        <f>-696.427274727149 -32.4314144213488 -759.651151013861</f>
        <v>-1488.5098401623586</v>
      </c>
      <c r="P4291">
        <f>-698.274096254758 -62.710092794146 -444.586145514984</f>
        <v>-1205.5703345638881</v>
      </c>
      <c r="Q4291" t="s">
        <v>85132</v>
      </c>
      <c r="R4291" t="s">
        <v>85133</v>
      </c>
      <c r="S4291" t="s">
        <v>85134</v>
      </c>
      <c r="T4291" t="s">
        <v>85135</v>
      </c>
      <c r="U4291" t="s">
        <v>85136</v>
      </c>
      <c r="V4291" t="s">
        <v>85137</v>
      </c>
      <c r="W4291" t="s">
        <v>85138</v>
      </c>
      <c r="X4291" t="s">
        <v>85139</v>
      </c>
      <c r="Y4291" t="s">
        <v>85140</v>
      </c>
    </row>
    <row r="4292" spans="1:25" x14ac:dyDescent="0.3">
      <c r="A4292">
        <v>214550</v>
      </c>
      <c r="B4292" t="s">
        <v>85141</v>
      </c>
      <c r="C4292" t="s">
        <v>85142</v>
      </c>
      <c r="D4292" t="s">
        <v>85143</v>
      </c>
      <c r="E4292" t="s">
        <v>85144</v>
      </c>
      <c r="F4292" t="s">
        <v>85145</v>
      </c>
      <c r="G4292" t="s">
        <v>85146</v>
      </c>
      <c r="H4292" t="s">
        <v>85147</v>
      </c>
      <c r="I4292" t="s">
        <v>85148</v>
      </c>
      <c r="J4292" t="s">
        <v>85149</v>
      </c>
      <c r="K4292" t="s">
        <v>85150</v>
      </c>
      <c r="L4292" t="s">
        <v>85151</v>
      </c>
      <c r="M4292" t="s">
        <v>85152</v>
      </c>
      <c r="N4292" t="s">
        <v>85153</v>
      </c>
      <c r="O4292">
        <f>-697.357106550612 -33.5189327788646 -760.021578436596</f>
        <v>-1490.8976177660725</v>
      </c>
      <c r="P4292">
        <f>-699.433199672236 -64.2526462350181 -445.00208704277</f>
        <v>-1208.6879329500241</v>
      </c>
      <c r="Q4292" t="s">
        <v>85154</v>
      </c>
      <c r="R4292" t="s">
        <v>85155</v>
      </c>
      <c r="S4292" t="s">
        <v>85156</v>
      </c>
      <c r="T4292" t="s">
        <v>85157</v>
      </c>
      <c r="U4292" t="s">
        <v>85158</v>
      </c>
      <c r="V4292" t="s">
        <v>85159</v>
      </c>
      <c r="W4292" t="s">
        <v>85160</v>
      </c>
      <c r="X4292" t="s">
        <v>85161</v>
      </c>
      <c r="Y4292" t="s">
        <v>85162</v>
      </c>
    </row>
    <row r="4293" spans="1:25" x14ac:dyDescent="0.3">
      <c r="A4293">
        <v>214600</v>
      </c>
      <c r="B4293" t="s">
        <v>85163</v>
      </c>
      <c r="C4293" t="s">
        <v>85164</v>
      </c>
      <c r="D4293" t="s">
        <v>85165</v>
      </c>
      <c r="E4293" t="s">
        <v>85166</v>
      </c>
      <c r="F4293" t="s">
        <v>85167</v>
      </c>
      <c r="G4293" t="s">
        <v>85168</v>
      </c>
      <c r="H4293" t="s">
        <v>85169</v>
      </c>
      <c r="I4293" t="s">
        <v>85170</v>
      </c>
      <c r="J4293" t="s">
        <v>85171</v>
      </c>
      <c r="K4293" t="s">
        <v>85172</v>
      </c>
      <c r="L4293" t="s">
        <v>85173</v>
      </c>
      <c r="M4293" t="s">
        <v>85174</v>
      </c>
      <c r="N4293" t="s">
        <v>85175</v>
      </c>
      <c r="O4293">
        <f>-697.80763082203 -34.0287663010797 -760.276239223776</f>
        <v>-1492.1126363468857</v>
      </c>
      <c r="P4293">
        <f>-700.057580179965 -65.4494474654982 -445.325660515191</f>
        <v>-1210.8326881606542</v>
      </c>
      <c r="Q4293" t="s">
        <v>85176</v>
      </c>
      <c r="R4293" t="s">
        <v>85177</v>
      </c>
      <c r="S4293" t="s">
        <v>85178</v>
      </c>
      <c r="T4293" t="s">
        <v>85179</v>
      </c>
      <c r="U4293" t="s">
        <v>85180</v>
      </c>
      <c r="V4293" t="s">
        <v>85181</v>
      </c>
      <c r="W4293" t="s">
        <v>85182</v>
      </c>
      <c r="X4293" t="s">
        <v>85183</v>
      </c>
      <c r="Y4293" t="s">
        <v>85184</v>
      </c>
    </row>
    <row r="4294" spans="1:25" x14ac:dyDescent="0.3">
      <c r="A4294">
        <v>214650</v>
      </c>
      <c r="B4294" t="s">
        <v>85185</v>
      </c>
      <c r="C4294" t="s">
        <v>85186</v>
      </c>
      <c r="D4294" t="s">
        <v>85187</v>
      </c>
      <c r="E4294" t="s">
        <v>85188</v>
      </c>
      <c r="F4294" t="s">
        <v>85189</v>
      </c>
      <c r="G4294" t="s">
        <v>85190</v>
      </c>
      <c r="H4294" t="s">
        <v>85191</v>
      </c>
      <c r="I4294" t="s">
        <v>85192</v>
      </c>
      <c r="J4294" t="s">
        <v>85193</v>
      </c>
      <c r="K4294" t="s">
        <v>85194</v>
      </c>
      <c r="L4294" t="s">
        <v>85195</v>
      </c>
      <c r="M4294" t="s">
        <v>85196</v>
      </c>
      <c r="N4294" t="s">
        <v>85197</v>
      </c>
      <c r="O4294">
        <f>-699.106963704302 -35.1446712143686 -760.838571094545</f>
        <v>-1495.0902060132157</v>
      </c>
      <c r="P4294">
        <f>-701.721505181712 -67.22206659981 -445.957087898994</f>
        <v>-1214.9006596805161</v>
      </c>
      <c r="Q4294" t="s">
        <v>85198</v>
      </c>
      <c r="R4294" t="s">
        <v>85199</v>
      </c>
      <c r="S4294" t="s">
        <v>85200</v>
      </c>
      <c r="T4294" t="s">
        <v>85201</v>
      </c>
      <c r="U4294" t="s">
        <v>85202</v>
      </c>
      <c r="V4294" t="s">
        <v>85203</v>
      </c>
      <c r="W4294" t="s">
        <v>85204</v>
      </c>
      <c r="X4294" t="s">
        <v>85205</v>
      </c>
      <c r="Y4294" t="s">
        <v>85206</v>
      </c>
    </row>
    <row r="4295" spans="1:25" x14ac:dyDescent="0.3">
      <c r="A4295">
        <v>214700</v>
      </c>
      <c r="B4295" t="s">
        <v>85207</v>
      </c>
      <c r="C4295" t="s">
        <v>85208</v>
      </c>
      <c r="D4295" t="s">
        <v>85209</v>
      </c>
      <c r="E4295" t="s">
        <v>85210</v>
      </c>
      <c r="F4295" t="s">
        <v>85211</v>
      </c>
      <c r="G4295" t="s">
        <v>85212</v>
      </c>
      <c r="H4295" t="s">
        <v>85213</v>
      </c>
      <c r="I4295" t="s">
        <v>85214</v>
      </c>
      <c r="J4295" t="s">
        <v>85215</v>
      </c>
      <c r="K4295" t="s">
        <v>85216</v>
      </c>
      <c r="L4295" t="s">
        <v>85217</v>
      </c>
      <c r="M4295" t="s">
        <v>85218</v>
      </c>
      <c r="N4295" t="s">
        <v>85219</v>
      </c>
      <c r="O4295">
        <f>-699.97674127533 -35.7724886922929 -761.207535354112</f>
        <v>-1496.956765321735</v>
      </c>
      <c r="P4295">
        <f>-702.665936118731 -68.2263327537628 -446.365325366674</f>
        <v>-1217.2575942391677</v>
      </c>
      <c r="Q4295" t="s">
        <v>85220</v>
      </c>
      <c r="R4295" t="s">
        <v>85221</v>
      </c>
      <c r="S4295" t="s">
        <v>85222</v>
      </c>
      <c r="T4295" t="s">
        <v>85223</v>
      </c>
      <c r="U4295" t="s">
        <v>85224</v>
      </c>
      <c r="V4295" t="s">
        <v>85225</v>
      </c>
      <c r="W4295" t="s">
        <v>85226</v>
      </c>
      <c r="X4295" t="s">
        <v>85227</v>
      </c>
      <c r="Y4295" t="s">
        <v>85228</v>
      </c>
    </row>
    <row r="4296" spans="1:25" x14ac:dyDescent="0.3">
      <c r="A4296">
        <v>214750</v>
      </c>
      <c r="B4296" t="s">
        <v>85229</v>
      </c>
      <c r="C4296" t="s">
        <v>85230</v>
      </c>
      <c r="D4296" t="s">
        <v>85231</v>
      </c>
      <c r="E4296" t="s">
        <v>85232</v>
      </c>
      <c r="F4296" t="s">
        <v>85233</v>
      </c>
      <c r="G4296" t="s">
        <v>85234</v>
      </c>
      <c r="H4296" t="s">
        <v>85235</v>
      </c>
      <c r="I4296" t="s">
        <v>85236</v>
      </c>
      <c r="J4296" t="s">
        <v>85237</v>
      </c>
      <c r="K4296" t="s">
        <v>85238</v>
      </c>
      <c r="L4296" t="s">
        <v>85239</v>
      </c>
      <c r="M4296" t="s">
        <v>85240</v>
      </c>
      <c r="N4296" t="s">
        <v>85241</v>
      </c>
      <c r="O4296">
        <f>-703.07079742891 -36.8323091535856 -761.744201188943</f>
        <v>-1501.6473077714386</v>
      </c>
      <c r="P4296">
        <f>-705.533726898291 -70.8154459328096 -447.061333955998</f>
        <v>-1223.4105067870985</v>
      </c>
      <c r="Q4296" t="s">
        <v>85242</v>
      </c>
      <c r="R4296" t="s">
        <v>85243</v>
      </c>
      <c r="S4296" t="s">
        <v>85244</v>
      </c>
      <c r="T4296" t="s">
        <v>85245</v>
      </c>
      <c r="U4296" t="s">
        <v>85246</v>
      </c>
      <c r="V4296" t="s">
        <v>85247</v>
      </c>
      <c r="W4296" t="s">
        <v>85248</v>
      </c>
      <c r="X4296" t="s">
        <v>85249</v>
      </c>
      <c r="Y4296" t="s">
        <v>85250</v>
      </c>
    </row>
    <row r="4297" spans="1:25" x14ac:dyDescent="0.3">
      <c r="A4297">
        <v>214800</v>
      </c>
      <c r="B4297" t="s">
        <v>85251</v>
      </c>
      <c r="C4297" t="s">
        <v>85252</v>
      </c>
      <c r="D4297" t="s">
        <v>85253</v>
      </c>
      <c r="E4297" t="s">
        <v>85254</v>
      </c>
      <c r="F4297" t="s">
        <v>85255</v>
      </c>
      <c r="G4297" t="s">
        <v>85256</v>
      </c>
      <c r="H4297" t="s">
        <v>85257</v>
      </c>
      <c r="I4297" t="s">
        <v>85258</v>
      </c>
      <c r="J4297" t="s">
        <v>85259</v>
      </c>
      <c r="K4297" t="s">
        <v>85260</v>
      </c>
      <c r="L4297" t="s">
        <v>85261</v>
      </c>
      <c r="M4297" t="s">
        <v>85262</v>
      </c>
      <c r="N4297" t="s">
        <v>85263</v>
      </c>
      <c r="O4297">
        <f>-704.869374153367 -37.4475336557482 -761.868789653184</f>
        <v>-1504.1856974622992</v>
      </c>
      <c r="P4297">
        <f>-707.332163824356 -72.0036499059331 -447.248425017682</f>
        <v>-1226.5842387479711</v>
      </c>
      <c r="Q4297" t="s">
        <v>85264</v>
      </c>
      <c r="R4297" t="s">
        <v>85265</v>
      </c>
      <c r="S4297" t="s">
        <v>85266</v>
      </c>
      <c r="T4297" t="s">
        <v>85267</v>
      </c>
      <c r="U4297" t="s">
        <v>85268</v>
      </c>
      <c r="V4297" t="s">
        <v>85269</v>
      </c>
      <c r="W4297" t="s">
        <v>85270</v>
      </c>
      <c r="X4297" t="s">
        <v>85271</v>
      </c>
      <c r="Y4297" t="s">
        <v>85272</v>
      </c>
    </row>
    <row r="4298" spans="1:25" x14ac:dyDescent="0.3">
      <c r="A4298">
        <v>214850</v>
      </c>
      <c r="B4298" t="s">
        <v>85273</v>
      </c>
      <c r="C4298" t="s">
        <v>85274</v>
      </c>
      <c r="D4298" t="s">
        <v>85275</v>
      </c>
      <c r="E4298" t="s">
        <v>85276</v>
      </c>
      <c r="F4298" t="s">
        <v>85277</v>
      </c>
      <c r="G4298" t="s">
        <v>85278</v>
      </c>
      <c r="H4298" t="s">
        <v>85279</v>
      </c>
      <c r="I4298" t="s">
        <v>85280</v>
      </c>
      <c r="J4298" t="s">
        <v>85281</v>
      </c>
      <c r="K4298" t="s">
        <v>85282</v>
      </c>
      <c r="L4298" t="s">
        <v>85283</v>
      </c>
      <c r="M4298" t="s">
        <v>85284</v>
      </c>
      <c r="N4298" t="s">
        <v>85285</v>
      </c>
      <c r="O4298">
        <f>-708.160256186755 -38.8891644405749 -762.099932087225</f>
        <v>-1509.1493527145549</v>
      </c>
      <c r="P4298">
        <f>-710.644107421314 -74.3514490887712 -447.58060163393</f>
        <v>-1232.5761581440152</v>
      </c>
      <c r="Q4298" t="s">
        <v>85286</v>
      </c>
      <c r="R4298" t="s">
        <v>85287</v>
      </c>
      <c r="S4298" t="s">
        <v>85288</v>
      </c>
      <c r="T4298" t="s">
        <v>85289</v>
      </c>
      <c r="U4298" t="s">
        <v>85290</v>
      </c>
      <c r="V4298" t="s">
        <v>85291</v>
      </c>
      <c r="W4298" t="s">
        <v>85292</v>
      </c>
      <c r="X4298" t="s">
        <v>85293</v>
      </c>
      <c r="Y4298" t="s">
        <v>85294</v>
      </c>
    </row>
    <row r="4299" spans="1:25" x14ac:dyDescent="0.3">
      <c r="A4299">
        <v>214900</v>
      </c>
      <c r="B4299" t="s">
        <v>85295</v>
      </c>
      <c r="C4299" t="s">
        <v>85296</v>
      </c>
      <c r="D4299" t="s">
        <v>85297</v>
      </c>
      <c r="E4299" t="s">
        <v>85298</v>
      </c>
      <c r="F4299" t="s">
        <v>85299</v>
      </c>
      <c r="G4299" t="s">
        <v>85300</v>
      </c>
      <c r="H4299" t="s">
        <v>85301</v>
      </c>
      <c r="I4299" t="s">
        <v>85302</v>
      </c>
      <c r="J4299" t="s">
        <v>85303</v>
      </c>
      <c r="K4299" t="s">
        <v>85304</v>
      </c>
      <c r="L4299" t="s">
        <v>85305</v>
      </c>
      <c r="M4299" t="s">
        <v>85306</v>
      </c>
      <c r="N4299" t="s">
        <v>85307</v>
      </c>
      <c r="O4299">
        <f>-709.766163849379 -39.7871382689668 -762.161182692035</f>
        <v>-1511.7144848103808</v>
      </c>
      <c r="P4299">
        <f>-712.210736710677 -75.5142168229038 -447.671459968186</f>
        <v>-1235.3964135017668</v>
      </c>
      <c r="Q4299" t="s">
        <v>85308</v>
      </c>
      <c r="R4299" t="s">
        <v>85309</v>
      </c>
      <c r="S4299" t="s">
        <v>85310</v>
      </c>
      <c r="T4299" t="s">
        <v>85311</v>
      </c>
      <c r="U4299" t="s">
        <v>85312</v>
      </c>
      <c r="V4299" t="s">
        <v>85313</v>
      </c>
      <c r="W4299" t="s">
        <v>85314</v>
      </c>
      <c r="X4299" t="s">
        <v>85315</v>
      </c>
      <c r="Y4299" t="s">
        <v>85316</v>
      </c>
    </row>
    <row r="4300" spans="1:25" x14ac:dyDescent="0.3">
      <c r="A4300">
        <v>214950</v>
      </c>
      <c r="B4300" t="s">
        <v>85317</v>
      </c>
      <c r="C4300" t="s">
        <v>85318</v>
      </c>
      <c r="D4300" t="s">
        <v>85319</v>
      </c>
      <c r="E4300" t="s">
        <v>85320</v>
      </c>
      <c r="F4300" t="s">
        <v>85321</v>
      </c>
      <c r="G4300" t="s">
        <v>85322</v>
      </c>
      <c r="H4300" t="s">
        <v>85323</v>
      </c>
      <c r="I4300" t="s">
        <v>85324</v>
      </c>
      <c r="J4300" t="s">
        <v>85325</v>
      </c>
      <c r="K4300" t="s">
        <v>85326</v>
      </c>
      <c r="L4300" t="s">
        <v>85327</v>
      </c>
      <c r="M4300" t="s">
        <v>85328</v>
      </c>
      <c r="N4300" t="s">
        <v>85329</v>
      </c>
      <c r="O4300">
        <f>-713.64398821862 -41.7589005450866 -762.137604147968</f>
        <v>-1517.5404929116746</v>
      </c>
      <c r="P4300">
        <f>-715.8148413443 -78.5692841174621 -447.770897431702</f>
        <v>-1242.1550228934641</v>
      </c>
      <c r="Q4300" t="s">
        <v>85330</v>
      </c>
      <c r="R4300" t="s">
        <v>85331</v>
      </c>
      <c r="S4300" t="s">
        <v>85332</v>
      </c>
      <c r="T4300" t="s">
        <v>85333</v>
      </c>
      <c r="U4300" t="s">
        <v>85334</v>
      </c>
      <c r="V4300" t="s">
        <v>85335</v>
      </c>
      <c r="W4300" t="s">
        <v>85336</v>
      </c>
      <c r="X4300" t="s">
        <v>85337</v>
      </c>
      <c r="Y4300" t="s">
        <v>85338</v>
      </c>
    </row>
    <row r="4301" spans="1:25" x14ac:dyDescent="0.3">
      <c r="A4301">
        <v>215000</v>
      </c>
      <c r="B4301" t="s">
        <v>85339</v>
      </c>
      <c r="C4301" t="s">
        <v>85340</v>
      </c>
      <c r="D4301" t="s">
        <v>85341</v>
      </c>
      <c r="E4301" t="s">
        <v>85342</v>
      </c>
      <c r="F4301" t="s">
        <v>85343</v>
      </c>
      <c r="G4301" t="s">
        <v>85344</v>
      </c>
      <c r="H4301" t="s">
        <v>85345</v>
      </c>
      <c r="I4301" t="s">
        <v>85346</v>
      </c>
      <c r="J4301" t="s">
        <v>85347</v>
      </c>
      <c r="K4301" t="s">
        <v>85348</v>
      </c>
      <c r="L4301" t="s">
        <v>85349</v>
      </c>
      <c r="M4301" t="s">
        <v>85350</v>
      </c>
      <c r="N4301" t="s">
        <v>85351</v>
      </c>
      <c r="O4301">
        <f>-715.55497022404 -43.0630987079105 -761.957129969206</f>
        <v>-1520.5751989011565</v>
      </c>
      <c r="P4301">
        <f>-717.721787926219 -80.1788946840738 -447.626238419188</f>
        <v>-1245.5269210294809</v>
      </c>
      <c r="Q4301" t="s">
        <v>85352</v>
      </c>
      <c r="R4301" t="s">
        <v>85353</v>
      </c>
      <c r="S4301" t="s">
        <v>85354</v>
      </c>
      <c r="T4301" t="s">
        <v>85355</v>
      </c>
      <c r="U4301" t="s">
        <v>85356</v>
      </c>
      <c r="V4301" t="s">
        <v>85357</v>
      </c>
      <c r="W4301" t="s">
        <v>85358</v>
      </c>
      <c r="X4301" t="s">
        <v>85359</v>
      </c>
      <c r="Y4301" t="s">
        <v>85360</v>
      </c>
    </row>
    <row r="4302" spans="1:25" x14ac:dyDescent="0.3">
      <c r="A4302">
        <v>215050</v>
      </c>
      <c r="B4302" t="s">
        <v>85361</v>
      </c>
      <c r="C4302" t="s">
        <v>85362</v>
      </c>
      <c r="D4302" t="s">
        <v>85363</v>
      </c>
      <c r="E4302" t="s">
        <v>85364</v>
      </c>
      <c r="F4302" t="s">
        <v>85365</v>
      </c>
      <c r="G4302" t="s">
        <v>85366</v>
      </c>
      <c r="H4302" t="s">
        <v>85367</v>
      </c>
      <c r="I4302" t="s">
        <v>85368</v>
      </c>
      <c r="J4302" t="s">
        <v>85369</v>
      </c>
      <c r="K4302" t="s">
        <v>85370</v>
      </c>
      <c r="L4302" t="s">
        <v>85371</v>
      </c>
      <c r="M4302" t="s">
        <v>85372</v>
      </c>
      <c r="N4302" t="s">
        <v>85373</v>
      </c>
      <c r="O4302">
        <f>-719.187216109432 -46.2044337556517 -761.455279167293</f>
        <v>-1526.8469290323769</v>
      </c>
      <c r="P4302">
        <f>-721.32234272454 -83.4998900820071 -447.145423127534</f>
        <v>-1251.9676559340812</v>
      </c>
      <c r="Q4302" t="s">
        <v>85374</v>
      </c>
      <c r="R4302" t="s">
        <v>85375</v>
      </c>
      <c r="S4302" t="s">
        <v>85376</v>
      </c>
      <c r="T4302" t="s">
        <v>85377</v>
      </c>
      <c r="U4302" t="s">
        <v>85378</v>
      </c>
      <c r="V4302" t="s">
        <v>85379</v>
      </c>
      <c r="W4302" t="s">
        <v>85380</v>
      </c>
      <c r="X4302" t="s">
        <v>85381</v>
      </c>
      <c r="Y4302" t="s">
        <v>85382</v>
      </c>
    </row>
    <row r="4303" spans="1:25" x14ac:dyDescent="0.3">
      <c r="A4303">
        <v>215100</v>
      </c>
      <c r="B4303" t="s">
        <v>85383</v>
      </c>
      <c r="C4303" t="s">
        <v>85384</v>
      </c>
      <c r="D4303" t="s">
        <v>85385</v>
      </c>
      <c r="E4303" t="s">
        <v>85386</v>
      </c>
      <c r="F4303" t="s">
        <v>85387</v>
      </c>
      <c r="G4303" t="s">
        <v>85388</v>
      </c>
      <c r="H4303" t="s">
        <v>85389</v>
      </c>
      <c r="I4303" t="s">
        <v>85390</v>
      </c>
      <c r="J4303" t="s">
        <v>85391</v>
      </c>
      <c r="K4303" t="s">
        <v>85392</v>
      </c>
      <c r="L4303" t="s">
        <v>85393</v>
      </c>
      <c r="M4303" t="s">
        <v>85394</v>
      </c>
      <c r="N4303" t="s">
        <v>85395</v>
      </c>
      <c r="O4303">
        <f>-720.930978829186 -48.0073537413784 -761.155211210567</f>
        <v>-1530.0935437811313</v>
      </c>
      <c r="P4303">
        <f>-722.743413047718 -85.1887150508421 -446.829726132427</f>
        <v>-1254.7618542309872</v>
      </c>
      <c r="Q4303">
        <f>-483.101525074261 -0.44606541988469 -391.761557637125</f>
        <v>-875.30914813127072</v>
      </c>
      <c r="R4303" t="s">
        <v>85396</v>
      </c>
      <c r="S4303" t="s">
        <v>85397</v>
      </c>
      <c r="T4303" t="s">
        <v>85398</v>
      </c>
      <c r="U4303" t="s">
        <v>85399</v>
      </c>
      <c r="V4303" t="s">
        <v>85400</v>
      </c>
      <c r="W4303" t="s">
        <v>85401</v>
      </c>
      <c r="X4303" t="s">
        <v>85402</v>
      </c>
      <c r="Y4303" t="s">
        <v>85403</v>
      </c>
    </row>
    <row r="4304" spans="1:25" x14ac:dyDescent="0.3">
      <c r="A4304">
        <v>215150</v>
      </c>
      <c r="B4304" t="s">
        <v>85404</v>
      </c>
      <c r="C4304" t="s">
        <v>85405</v>
      </c>
      <c r="D4304" t="s">
        <v>85406</v>
      </c>
      <c r="E4304" t="s">
        <v>85407</v>
      </c>
      <c r="F4304" t="s">
        <v>85408</v>
      </c>
      <c r="G4304" t="s">
        <v>85409</v>
      </c>
      <c r="H4304" t="s">
        <v>85410</v>
      </c>
      <c r="I4304" t="s">
        <v>85411</v>
      </c>
      <c r="J4304" t="s">
        <v>85412</v>
      </c>
      <c r="K4304" t="s">
        <v>85413</v>
      </c>
      <c r="L4304" t="s">
        <v>85414</v>
      </c>
      <c r="M4304" t="s">
        <v>85415</v>
      </c>
      <c r="N4304" t="s">
        <v>85416</v>
      </c>
      <c r="O4304">
        <f>-724.236911258894 -51.2426520272497 -760.559836586159</f>
        <v>-1536.0393998723027</v>
      </c>
      <c r="P4304">
        <f>-725.292593026709 -88.204290108675 -446.205067663621</f>
        <v>-1259.7019507990049</v>
      </c>
      <c r="Q4304">
        <f>-486.069598936704 -2.11348196262634 -391.40723323221</f>
        <v>-879.59031413154025</v>
      </c>
      <c r="R4304" t="s">
        <v>85417</v>
      </c>
      <c r="S4304" t="s">
        <v>85418</v>
      </c>
      <c r="T4304" t="s">
        <v>85419</v>
      </c>
      <c r="U4304" t="s">
        <v>85420</v>
      </c>
      <c r="V4304" t="s">
        <v>85421</v>
      </c>
      <c r="W4304" t="s">
        <v>85422</v>
      </c>
      <c r="X4304" t="s">
        <v>85423</v>
      </c>
      <c r="Y4304" t="s">
        <v>85424</v>
      </c>
    </row>
    <row r="4305" spans="1:25" x14ac:dyDescent="0.3">
      <c r="A4305">
        <v>215200</v>
      </c>
      <c r="B4305" t="s">
        <v>85425</v>
      </c>
      <c r="C4305" t="s">
        <v>85426</v>
      </c>
      <c r="D4305" t="s">
        <v>85427</v>
      </c>
      <c r="E4305" t="s">
        <v>85428</v>
      </c>
      <c r="F4305" t="s">
        <v>85429</v>
      </c>
      <c r="G4305" t="s">
        <v>85430</v>
      </c>
      <c r="H4305" t="s">
        <v>85431</v>
      </c>
      <c r="I4305" t="s">
        <v>85432</v>
      </c>
      <c r="J4305" t="s">
        <v>85433</v>
      </c>
      <c r="K4305" t="s">
        <v>85434</v>
      </c>
      <c r="L4305" t="s">
        <v>85435</v>
      </c>
      <c r="M4305" t="s">
        <v>85436</v>
      </c>
      <c r="N4305" t="s">
        <v>85437</v>
      </c>
      <c r="O4305">
        <f>-725.8815734741 -52.8197583022993 -760.246629267779</f>
        <v>-1538.9479610441783</v>
      </c>
      <c r="P4305">
        <f>-726.611874106519 -89.560196317701 -445.864889095319</f>
        <v>-1262.0369595195389</v>
      </c>
      <c r="Q4305">
        <f>-487.70365412088 -2.49528620850128 -391.233173008881</f>
        <v>-881.4321133382623</v>
      </c>
      <c r="R4305" t="s">
        <v>85438</v>
      </c>
      <c r="S4305" t="s">
        <v>85439</v>
      </c>
      <c r="T4305" t="s">
        <v>85440</v>
      </c>
      <c r="U4305" t="s">
        <v>85441</v>
      </c>
      <c r="V4305" t="s">
        <v>85442</v>
      </c>
      <c r="W4305" t="s">
        <v>85443</v>
      </c>
      <c r="X4305" t="s">
        <v>85444</v>
      </c>
      <c r="Y4305" t="s">
        <v>85445</v>
      </c>
    </row>
    <row r="4306" spans="1:25" x14ac:dyDescent="0.3">
      <c r="A4306">
        <v>215250</v>
      </c>
      <c r="B4306" t="s">
        <v>85446</v>
      </c>
      <c r="C4306" t="s">
        <v>85447</v>
      </c>
      <c r="D4306" t="s">
        <v>85448</v>
      </c>
      <c r="E4306" t="s">
        <v>85449</v>
      </c>
      <c r="F4306" t="s">
        <v>85450</v>
      </c>
      <c r="G4306" t="s">
        <v>85451</v>
      </c>
      <c r="H4306" t="s">
        <v>85452</v>
      </c>
      <c r="I4306" t="s">
        <v>85453</v>
      </c>
      <c r="J4306" t="s">
        <v>85454</v>
      </c>
      <c r="K4306" t="s">
        <v>85455</v>
      </c>
      <c r="L4306" t="s">
        <v>85456</v>
      </c>
      <c r="M4306" t="s">
        <v>85457</v>
      </c>
      <c r="N4306" t="s">
        <v>85458</v>
      </c>
      <c r="O4306">
        <f>-729.104294793657 -56.2080141182869 -759.419505824659</f>
        <v>-1544.7318147366029</v>
      </c>
      <c r="P4306">
        <f>-729.163842831574 -92.5298450838775 -444.988339343908</f>
        <v>-1266.6820272593595</v>
      </c>
      <c r="Q4306">
        <f>-491.087281503772 -2.95643241199832 -390.782835361816</f>
        <v>-884.82654927758631</v>
      </c>
      <c r="R4306" t="s">
        <v>85459</v>
      </c>
      <c r="S4306" t="s">
        <v>85460</v>
      </c>
      <c r="T4306" t="s">
        <v>85461</v>
      </c>
      <c r="U4306" t="s">
        <v>85462</v>
      </c>
      <c r="V4306" t="s">
        <v>85463</v>
      </c>
      <c r="W4306" t="s">
        <v>85464</v>
      </c>
      <c r="X4306" t="s">
        <v>85465</v>
      </c>
      <c r="Y4306" t="s">
        <v>85466</v>
      </c>
    </row>
    <row r="4307" spans="1:25" x14ac:dyDescent="0.3">
      <c r="A4307">
        <v>215300</v>
      </c>
      <c r="B4307" t="s">
        <v>85467</v>
      </c>
      <c r="C4307" t="s">
        <v>85468</v>
      </c>
      <c r="D4307" t="s">
        <v>85469</v>
      </c>
      <c r="E4307" t="s">
        <v>85470</v>
      </c>
      <c r="F4307" t="s">
        <v>85471</v>
      </c>
      <c r="G4307" t="s">
        <v>85472</v>
      </c>
      <c r="H4307" t="s">
        <v>85473</v>
      </c>
      <c r="I4307" t="s">
        <v>85474</v>
      </c>
      <c r="J4307" t="s">
        <v>85475</v>
      </c>
      <c r="K4307" t="s">
        <v>85476</v>
      </c>
      <c r="L4307" t="s">
        <v>85477</v>
      </c>
      <c r="M4307" t="s">
        <v>85478</v>
      </c>
      <c r="N4307" t="s">
        <v>85479</v>
      </c>
      <c r="O4307">
        <f>-730.497169640339 -58.1012097895716 -758.82355330931</f>
        <v>-1547.4219327392207</v>
      </c>
      <c r="P4307">
        <f>-730.300763427131 -94.0701802174799 -444.351908558194</f>
        <v>-1268.7228522028049</v>
      </c>
      <c r="Q4307">
        <f>-492.699318190674 -3.10639959998161 -390.378050543903</f>
        <v>-886.18376833455864</v>
      </c>
      <c r="R4307" t="s">
        <v>85480</v>
      </c>
      <c r="S4307" t="s">
        <v>85481</v>
      </c>
      <c r="T4307" t="s">
        <v>85482</v>
      </c>
      <c r="U4307" t="s">
        <v>85483</v>
      </c>
      <c r="V4307" t="s">
        <v>85484</v>
      </c>
      <c r="W4307" t="s">
        <v>85485</v>
      </c>
      <c r="X4307" t="s">
        <v>85486</v>
      </c>
      <c r="Y4307" t="s">
        <v>85487</v>
      </c>
    </row>
    <row r="4308" spans="1:25" x14ac:dyDescent="0.3">
      <c r="A4308">
        <v>215350</v>
      </c>
      <c r="B4308" t="s">
        <v>85488</v>
      </c>
      <c r="C4308" t="s">
        <v>85489</v>
      </c>
      <c r="D4308" t="s">
        <v>85490</v>
      </c>
      <c r="E4308" t="s">
        <v>85491</v>
      </c>
      <c r="F4308" t="s">
        <v>85492</v>
      </c>
      <c r="G4308" t="s">
        <v>85493</v>
      </c>
      <c r="H4308" t="s">
        <v>85494</v>
      </c>
      <c r="I4308" t="s">
        <v>85495</v>
      </c>
      <c r="J4308" t="s">
        <v>85496</v>
      </c>
      <c r="K4308" t="s">
        <v>85497</v>
      </c>
      <c r="L4308" t="s">
        <v>85498</v>
      </c>
      <c r="M4308" t="s">
        <v>85499</v>
      </c>
      <c r="N4308" t="s">
        <v>85500</v>
      </c>
      <c r="O4308">
        <f>-733.342520743465 -61.8459325880083 -757.590385277422</f>
        <v>-1552.7788386088953</v>
      </c>
      <c r="P4308">
        <f>-732.250040538135 -96.9950166779759 -443.027847937908</f>
        <v>-1272.2729051540189</v>
      </c>
      <c r="Q4308">
        <f>-495.679723595915 -3.16805075602952 -389.427397855774</f>
        <v>-888.27517220771847</v>
      </c>
      <c r="R4308" t="s">
        <v>85501</v>
      </c>
      <c r="S4308" t="s">
        <v>85502</v>
      </c>
      <c r="T4308" t="s">
        <v>85503</v>
      </c>
      <c r="U4308" t="s">
        <v>85504</v>
      </c>
      <c r="V4308" t="s">
        <v>85505</v>
      </c>
      <c r="W4308" t="s">
        <v>85506</v>
      </c>
      <c r="X4308" t="s">
        <v>85507</v>
      </c>
      <c r="Y4308" t="s">
        <v>85508</v>
      </c>
    </row>
    <row r="4309" spans="1:25" x14ac:dyDescent="0.3">
      <c r="A4309">
        <v>215400</v>
      </c>
      <c r="B4309" t="s">
        <v>85509</v>
      </c>
      <c r="C4309" t="s">
        <v>85510</v>
      </c>
      <c r="D4309" t="s">
        <v>85511</v>
      </c>
      <c r="E4309" t="s">
        <v>85512</v>
      </c>
      <c r="F4309" t="s">
        <v>85513</v>
      </c>
      <c r="G4309" t="s">
        <v>85514</v>
      </c>
      <c r="H4309" t="s">
        <v>85515</v>
      </c>
      <c r="I4309" t="s">
        <v>85516</v>
      </c>
      <c r="J4309" t="s">
        <v>85517</v>
      </c>
      <c r="K4309" t="s">
        <v>85518</v>
      </c>
      <c r="L4309" t="s">
        <v>85519</v>
      </c>
      <c r="M4309" t="s">
        <v>85520</v>
      </c>
      <c r="N4309" t="s">
        <v>85521</v>
      </c>
      <c r="O4309">
        <f>-734.672760418888 -63.6413798229139 -756.992409862602</f>
        <v>-1555.3065501044039</v>
      </c>
      <c r="P4309">
        <f>-733.102771492526 -98.3732110821211 -442.385634488979</f>
        <v>-1273.861617063626</v>
      </c>
      <c r="Q4309">
        <f>-497.050788265274 -3.08994573345012 -389.069467675006</f>
        <v>-889.21020167373013</v>
      </c>
      <c r="R4309" t="s">
        <v>85522</v>
      </c>
      <c r="S4309" t="s">
        <v>85523</v>
      </c>
      <c r="T4309" t="s">
        <v>85524</v>
      </c>
      <c r="U4309" t="s">
        <v>85525</v>
      </c>
      <c r="V4309" t="s">
        <v>85526</v>
      </c>
      <c r="W4309" t="s">
        <v>85527</v>
      </c>
      <c r="X4309" t="s">
        <v>85528</v>
      </c>
      <c r="Y4309" t="s">
        <v>85529</v>
      </c>
    </row>
    <row r="4310" spans="1:25" x14ac:dyDescent="0.3">
      <c r="A4310">
        <v>215450</v>
      </c>
      <c r="B4310" t="s">
        <v>85530</v>
      </c>
      <c r="C4310" t="s">
        <v>85531</v>
      </c>
      <c r="D4310" t="s">
        <v>85532</v>
      </c>
      <c r="E4310" t="s">
        <v>85533</v>
      </c>
      <c r="F4310" t="s">
        <v>85534</v>
      </c>
      <c r="G4310" t="s">
        <v>85535</v>
      </c>
      <c r="H4310" t="s">
        <v>85536</v>
      </c>
      <c r="I4310" t="s">
        <v>85537</v>
      </c>
      <c r="J4310" t="s">
        <v>85538</v>
      </c>
      <c r="K4310" t="s">
        <v>85539</v>
      </c>
      <c r="L4310" t="s">
        <v>85540</v>
      </c>
      <c r="M4310" t="s">
        <v>85541</v>
      </c>
      <c r="N4310" t="s">
        <v>85542</v>
      </c>
      <c r="O4310">
        <f>-737.098440615808 -67.0262949867024 -755.814090428378</f>
        <v>-1559.9388260308883</v>
      </c>
      <c r="P4310">
        <f>-734.573619567336 -101.143223664461 -441.146338247095</f>
        <v>-1276.8631814788919</v>
      </c>
      <c r="Q4310">
        <f>-499.527597328625 -3.12262644007387 -388.350203065063</f>
        <v>-891.00042683376182</v>
      </c>
      <c r="R4310" t="s">
        <v>85543</v>
      </c>
      <c r="S4310" t="s">
        <v>85544</v>
      </c>
      <c r="T4310" t="s">
        <v>85545</v>
      </c>
      <c r="U4310" t="s">
        <v>85546</v>
      </c>
      <c r="V4310">
        <f>-697.166124395361 -0.509299052991992 -243.510510179922</f>
        <v>-941.18593362827494</v>
      </c>
      <c r="W4310" t="s">
        <v>85547</v>
      </c>
      <c r="X4310" t="s">
        <v>85548</v>
      </c>
      <c r="Y4310" t="s">
        <v>85549</v>
      </c>
    </row>
    <row r="4311" spans="1:25" x14ac:dyDescent="0.3">
      <c r="A4311">
        <v>215500</v>
      </c>
      <c r="B4311" t="s">
        <v>85550</v>
      </c>
      <c r="C4311" t="s">
        <v>85551</v>
      </c>
      <c r="D4311" t="s">
        <v>85552</v>
      </c>
      <c r="E4311" t="s">
        <v>85553</v>
      </c>
      <c r="F4311" t="s">
        <v>85554</v>
      </c>
      <c r="G4311" t="s">
        <v>85555</v>
      </c>
      <c r="H4311" t="s">
        <v>85556</v>
      </c>
      <c r="I4311" t="s">
        <v>85557</v>
      </c>
      <c r="J4311" t="s">
        <v>85558</v>
      </c>
      <c r="K4311" t="s">
        <v>85559</v>
      </c>
      <c r="L4311" t="s">
        <v>85560</v>
      </c>
      <c r="M4311" t="s">
        <v>85561</v>
      </c>
      <c r="N4311" t="s">
        <v>85562</v>
      </c>
      <c r="O4311">
        <f>-738.154184780404 -68.6464789908564 -755.247334853764</f>
        <v>-1562.0479986250243</v>
      </c>
      <c r="P4311">
        <f>-735.292919363871 -102.502659089458 -440.554207828103</f>
        <v>-1278.349786281432</v>
      </c>
      <c r="Q4311">
        <f>-500.765993627308 -3.16146892091183 -387.918667924376</f>
        <v>-891.84613047259586</v>
      </c>
      <c r="R4311" t="s">
        <v>85563</v>
      </c>
      <c r="S4311" t="s">
        <v>85564</v>
      </c>
      <c r="T4311" t="s">
        <v>85565</v>
      </c>
      <c r="U4311" t="s">
        <v>85566</v>
      </c>
      <c r="V4311">
        <f>-698.332730272906 -1.61721361639775 -243.102302731474</f>
        <v>-943.05224662077774</v>
      </c>
      <c r="W4311" t="s">
        <v>85567</v>
      </c>
      <c r="X4311" t="s">
        <v>85568</v>
      </c>
      <c r="Y4311" t="s">
        <v>85569</v>
      </c>
    </row>
    <row r="4312" spans="1:25" x14ac:dyDescent="0.3">
      <c r="A4312">
        <v>215550</v>
      </c>
      <c r="B4312" t="s">
        <v>85570</v>
      </c>
      <c r="C4312" t="s">
        <v>85571</v>
      </c>
      <c r="D4312" t="s">
        <v>85572</v>
      </c>
      <c r="E4312" t="s">
        <v>85573</v>
      </c>
      <c r="F4312" t="s">
        <v>85574</v>
      </c>
      <c r="G4312" t="s">
        <v>85575</v>
      </c>
      <c r="H4312" t="s">
        <v>85576</v>
      </c>
      <c r="I4312" t="s">
        <v>85577</v>
      </c>
      <c r="J4312" t="s">
        <v>85578</v>
      </c>
      <c r="K4312" t="s">
        <v>85579</v>
      </c>
      <c r="L4312" t="s">
        <v>85580</v>
      </c>
      <c r="M4312" t="s">
        <v>85581</v>
      </c>
      <c r="N4312" t="s">
        <v>85582</v>
      </c>
      <c r="O4312">
        <f>-739.804046627868 -71.93085047264 -754.148062298096</f>
        <v>-1565.882959398604</v>
      </c>
      <c r="P4312">
        <f>-736.36538302975 -105.450019267189 -439.424691229188</f>
        <v>-1281.2400935261269</v>
      </c>
      <c r="Q4312">
        <f>-502.894595825319 -3.52312790448946 -387.03810615067</f>
        <v>-893.4558298804784</v>
      </c>
      <c r="R4312" t="s">
        <v>85583</v>
      </c>
      <c r="S4312" t="s">
        <v>85584</v>
      </c>
      <c r="T4312" t="s">
        <v>85585</v>
      </c>
      <c r="U4312" t="s">
        <v>85586</v>
      </c>
      <c r="V4312">
        <f>-700.45093456868 -3.7883810504245 -242.294857562057</f>
        <v>-946.53417318116158</v>
      </c>
      <c r="W4312" t="s">
        <v>85587</v>
      </c>
      <c r="X4312" t="s">
        <v>85588</v>
      </c>
      <c r="Y4312" t="s">
        <v>85589</v>
      </c>
    </row>
    <row r="4313" spans="1:25" x14ac:dyDescent="0.3">
      <c r="A4313">
        <v>215600</v>
      </c>
      <c r="B4313" t="s">
        <v>85590</v>
      </c>
      <c r="C4313" t="s">
        <v>85591</v>
      </c>
      <c r="D4313" t="s">
        <v>85592</v>
      </c>
      <c r="E4313" t="s">
        <v>85593</v>
      </c>
      <c r="F4313" t="s">
        <v>85594</v>
      </c>
      <c r="G4313" t="s">
        <v>85595</v>
      </c>
      <c r="H4313" t="s">
        <v>85596</v>
      </c>
      <c r="I4313" t="s">
        <v>85597</v>
      </c>
      <c r="J4313" t="s">
        <v>85598</v>
      </c>
      <c r="K4313" t="s">
        <v>85599</v>
      </c>
      <c r="L4313" t="s">
        <v>85600</v>
      </c>
      <c r="M4313" t="s">
        <v>85601</v>
      </c>
      <c r="N4313" t="s">
        <v>85602</v>
      </c>
      <c r="O4313">
        <f>-740.500187168852 -73.4633082919709 -753.603955530453</f>
        <v>-1567.567450991276</v>
      </c>
      <c r="P4313">
        <f>-736.678464722679 -106.92402587289 -438.878779772617</f>
        <v>-1282.481270368186</v>
      </c>
      <c r="Q4313">
        <f>-503.714766882199 -3.75196158589574 -386.672627884159</f>
        <v>-894.1393563522538</v>
      </c>
      <c r="R4313" t="s">
        <v>85603</v>
      </c>
      <c r="S4313" t="s">
        <v>85604</v>
      </c>
      <c r="T4313" t="s">
        <v>85605</v>
      </c>
      <c r="U4313" t="s">
        <v>85606</v>
      </c>
      <c r="V4313">
        <f>-701.377134843977 -4.95670069889798 -241.903350352555</f>
        <v>-948.23718589543</v>
      </c>
      <c r="W4313" t="s">
        <v>85607</v>
      </c>
      <c r="X4313" t="s">
        <v>85608</v>
      </c>
      <c r="Y4313" t="s">
        <v>85609</v>
      </c>
    </row>
    <row r="4314" spans="1:25" x14ac:dyDescent="0.3">
      <c r="A4314">
        <v>215650</v>
      </c>
      <c r="B4314" t="s">
        <v>85610</v>
      </c>
      <c r="C4314" t="s">
        <v>85611</v>
      </c>
      <c r="D4314" t="s">
        <v>85612</v>
      </c>
      <c r="E4314" t="s">
        <v>85613</v>
      </c>
      <c r="F4314" t="s">
        <v>85614</v>
      </c>
      <c r="G4314" t="s">
        <v>85615</v>
      </c>
      <c r="H4314" t="s">
        <v>85616</v>
      </c>
      <c r="I4314" t="s">
        <v>85617</v>
      </c>
      <c r="J4314" t="s">
        <v>85618</v>
      </c>
      <c r="K4314" t="s">
        <v>85619</v>
      </c>
      <c r="L4314" t="s">
        <v>85620</v>
      </c>
      <c r="M4314" t="s">
        <v>85621</v>
      </c>
      <c r="N4314" t="s">
        <v>85622</v>
      </c>
      <c r="O4314">
        <f>-741.135187260725 -76.6457583822562 -752.624494262499</f>
        <v>-1570.4054399054803</v>
      </c>
      <c r="P4314">
        <f>-736.615850830665 -109.645568706166 -437.859805216604</f>
        <v>-1284.1212247534349</v>
      </c>
      <c r="Q4314">
        <f>-504.53114591591 -4.29265250115463 -386.09574864299</f>
        <v>-894.91954706005458</v>
      </c>
      <c r="R4314" t="s">
        <v>85623</v>
      </c>
      <c r="S4314" t="s">
        <v>85624</v>
      </c>
      <c r="T4314" t="s">
        <v>85625</v>
      </c>
      <c r="U4314" t="s">
        <v>85626</v>
      </c>
      <c r="V4314">
        <f>-703.083247570176 -7.3044933679007 -241.162684930104</f>
        <v>-951.5504258681807</v>
      </c>
      <c r="W4314" t="s">
        <v>85627</v>
      </c>
      <c r="X4314" t="s">
        <v>85628</v>
      </c>
      <c r="Y4314" t="s">
        <v>85629</v>
      </c>
    </row>
    <row r="4315" spans="1:25" x14ac:dyDescent="0.3">
      <c r="A4315">
        <v>215700</v>
      </c>
      <c r="B4315" t="s">
        <v>85630</v>
      </c>
      <c r="C4315" t="s">
        <v>85631</v>
      </c>
      <c r="D4315" t="s">
        <v>85632</v>
      </c>
      <c r="E4315" t="s">
        <v>85633</v>
      </c>
      <c r="F4315" t="s">
        <v>85634</v>
      </c>
      <c r="G4315" t="s">
        <v>85635</v>
      </c>
      <c r="H4315" t="s">
        <v>85636</v>
      </c>
      <c r="I4315" t="s">
        <v>85637</v>
      </c>
      <c r="J4315" t="s">
        <v>85638</v>
      </c>
      <c r="K4315" t="s">
        <v>85639</v>
      </c>
      <c r="L4315" t="s">
        <v>85640</v>
      </c>
      <c r="M4315" t="s">
        <v>85641</v>
      </c>
      <c r="N4315" t="s">
        <v>85642</v>
      </c>
      <c r="O4315">
        <f>-741.192195103329 -78.113448597335 -752.19239411121</f>
        <v>-1571.4980378118739</v>
      </c>
      <c r="P4315">
        <f>-736.326362291243 -110.966168525148 -437.417500903114</f>
        <v>-1284.710031719505</v>
      </c>
      <c r="Q4315">
        <f>-504.657257468575 -4.62695182032326 -385.809373031683</f>
        <v>-895.09358232058116</v>
      </c>
      <c r="R4315" t="s">
        <v>85643</v>
      </c>
      <c r="S4315" t="s">
        <v>85644</v>
      </c>
      <c r="T4315" t="s">
        <v>85645</v>
      </c>
      <c r="U4315" t="s">
        <v>85646</v>
      </c>
      <c r="V4315">
        <f>-703.828087443623 -8.46718682550386 -240.838865010928</f>
        <v>-953.1341392800548</v>
      </c>
      <c r="W4315" t="s">
        <v>85647</v>
      </c>
      <c r="X4315" t="s">
        <v>85648</v>
      </c>
      <c r="Y4315" t="s">
        <v>85649</v>
      </c>
    </row>
    <row r="4316" spans="1:25" x14ac:dyDescent="0.3">
      <c r="A4316">
        <v>215750</v>
      </c>
      <c r="B4316" t="s">
        <v>85650</v>
      </c>
      <c r="C4316" t="s">
        <v>85651</v>
      </c>
      <c r="D4316" t="s">
        <v>85652</v>
      </c>
      <c r="E4316" t="s">
        <v>85653</v>
      </c>
      <c r="F4316" t="s">
        <v>85654</v>
      </c>
      <c r="G4316" t="s">
        <v>85655</v>
      </c>
      <c r="H4316" t="s">
        <v>85656</v>
      </c>
      <c r="I4316" t="s">
        <v>85657</v>
      </c>
      <c r="J4316" t="s">
        <v>85658</v>
      </c>
      <c r="K4316" t="s">
        <v>85659</v>
      </c>
      <c r="L4316" t="s">
        <v>85660</v>
      </c>
      <c r="M4316" t="s">
        <v>85661</v>
      </c>
      <c r="N4316" t="s">
        <v>85662</v>
      </c>
      <c r="O4316">
        <f>-741.576045834859 -81.3711718401592 -751.42562411235</f>
        <v>-1574.3728417873681</v>
      </c>
      <c r="P4316">
        <f>-736.4729456445 -114.068672690035 -436.638252441728</f>
        <v>-1287.179870776263</v>
      </c>
      <c r="Q4316">
        <f>-505.627518655822 -5.83800663908164 -385.271353559691</f>
        <v>-896.73687885459458</v>
      </c>
      <c r="R4316" t="s">
        <v>85663</v>
      </c>
      <c r="S4316" t="s">
        <v>85664</v>
      </c>
      <c r="T4316" t="s">
        <v>85665</v>
      </c>
      <c r="U4316" t="s">
        <v>85666</v>
      </c>
      <c r="V4316">
        <f>-705.091778931136 -10.9192055816841 -240.203849994065</f>
        <v>-956.21483450688504</v>
      </c>
      <c r="W4316" t="s">
        <v>85667</v>
      </c>
      <c r="X4316" t="s">
        <v>85668</v>
      </c>
      <c r="Y4316" t="s">
        <v>85669</v>
      </c>
    </row>
    <row r="4317" spans="1:25" x14ac:dyDescent="0.3">
      <c r="A4317">
        <v>215800</v>
      </c>
      <c r="B4317" t="s">
        <v>85670</v>
      </c>
      <c r="C4317" t="s">
        <v>85671</v>
      </c>
      <c r="D4317" t="s">
        <v>85672</v>
      </c>
      <c r="E4317" t="s">
        <v>85673</v>
      </c>
      <c r="F4317" t="s">
        <v>85674</v>
      </c>
      <c r="G4317" t="s">
        <v>85675</v>
      </c>
      <c r="H4317" t="s">
        <v>85676</v>
      </c>
      <c r="I4317" t="s">
        <v>85677</v>
      </c>
      <c r="J4317" t="s">
        <v>85678</v>
      </c>
      <c r="K4317" t="s">
        <v>85679</v>
      </c>
      <c r="L4317" t="s">
        <v>85680</v>
      </c>
      <c r="M4317" t="s">
        <v>85681</v>
      </c>
      <c r="N4317" t="s">
        <v>85682</v>
      </c>
      <c r="O4317">
        <f>-741.87425074791 -82.9910591024823 -751.064341478812</f>
        <v>-1575.9296513292043</v>
      </c>
      <c r="P4317">
        <f>-736.566120622057 -115.668909060644 -436.278382544842</f>
        <v>-1288.5134122275431</v>
      </c>
      <c r="Q4317">
        <f>-506.11013119826 -6.56056192674396 -385.019612612022</f>
        <v>-897.69030573702594</v>
      </c>
      <c r="R4317" t="s">
        <v>85683</v>
      </c>
      <c r="S4317" t="s">
        <v>85684</v>
      </c>
      <c r="T4317" t="s">
        <v>85685</v>
      </c>
      <c r="U4317" t="s">
        <v>85686</v>
      </c>
      <c r="V4317">
        <f>-705.76518263324 -12.2702671351665 -239.925089678344</f>
        <v>-957.96053944675043</v>
      </c>
      <c r="W4317" t="s">
        <v>85687</v>
      </c>
      <c r="X4317" t="s">
        <v>85688</v>
      </c>
      <c r="Y4317" t="s">
        <v>85689</v>
      </c>
    </row>
    <row r="4318" spans="1:25" x14ac:dyDescent="0.3">
      <c r="A4318">
        <v>215850</v>
      </c>
      <c r="B4318" t="s">
        <v>85690</v>
      </c>
      <c r="C4318" t="s">
        <v>85691</v>
      </c>
      <c r="D4318" t="s">
        <v>85692</v>
      </c>
      <c r="E4318" t="s">
        <v>85693</v>
      </c>
      <c r="F4318" t="s">
        <v>85694</v>
      </c>
      <c r="G4318" t="s">
        <v>85695</v>
      </c>
      <c r="H4318" t="s">
        <v>85696</v>
      </c>
      <c r="I4318" t="s">
        <v>85697</v>
      </c>
      <c r="J4318" t="s">
        <v>85698</v>
      </c>
      <c r="K4318" t="s">
        <v>85699</v>
      </c>
      <c r="L4318" t="s">
        <v>85700</v>
      </c>
      <c r="M4318" t="s">
        <v>85701</v>
      </c>
      <c r="N4318" t="s">
        <v>85702</v>
      </c>
      <c r="O4318">
        <f>-742.273710647355 -86.1715401197741 -750.299889159339</f>
        <v>-1578.7451399264683</v>
      </c>
      <c r="P4318">
        <f>-736.454111563081 -118.592027370273 -435.49642123479</f>
        <v>-1290.5425601681441</v>
      </c>
      <c r="Q4318">
        <f>-506.542513727081 -8.17215998473375 -384.602405569864</f>
        <v>-899.31707928167873</v>
      </c>
      <c r="R4318" t="s">
        <v>85703</v>
      </c>
      <c r="S4318" t="s">
        <v>85704</v>
      </c>
      <c r="T4318" t="s">
        <v>85705</v>
      </c>
      <c r="U4318" t="s">
        <v>85706</v>
      </c>
      <c r="V4318">
        <f>-706.791426110141 -14.7997091915065 -239.334724312702</f>
        <v>-960.92585961434952</v>
      </c>
      <c r="W4318" t="s">
        <v>85707</v>
      </c>
      <c r="X4318" t="s">
        <v>85708</v>
      </c>
      <c r="Y4318" t="s">
        <v>85709</v>
      </c>
    </row>
    <row r="4319" spans="1:25" x14ac:dyDescent="0.3">
      <c r="A4319">
        <v>215900</v>
      </c>
      <c r="B4319" t="s">
        <v>85710</v>
      </c>
      <c r="C4319" t="s">
        <v>85711</v>
      </c>
      <c r="D4319" t="s">
        <v>85712</v>
      </c>
      <c r="E4319" t="s">
        <v>85713</v>
      </c>
      <c r="F4319" t="s">
        <v>85714</v>
      </c>
      <c r="G4319" t="s">
        <v>85715</v>
      </c>
      <c r="H4319" t="s">
        <v>85716</v>
      </c>
      <c r="I4319" t="s">
        <v>85717</v>
      </c>
      <c r="J4319" t="s">
        <v>85718</v>
      </c>
      <c r="K4319" t="s">
        <v>85719</v>
      </c>
      <c r="L4319" t="s">
        <v>85720</v>
      </c>
      <c r="M4319" t="s">
        <v>85721</v>
      </c>
      <c r="N4319" t="s">
        <v>85722</v>
      </c>
      <c r="O4319">
        <f>-742.481432342093 -87.6386934830482 -749.958814551474</f>
        <v>-1580.0789403766153</v>
      </c>
      <c r="P4319">
        <f>-736.306392766927 -119.847830583625 -435.140548114989</f>
        <v>-1291.2947714655411</v>
      </c>
      <c r="Q4319">
        <f>-506.606733697127 -8.93126029492419 -384.37025684672</f>
        <v>-899.90825083877121</v>
      </c>
      <c r="R4319" t="s">
        <v>85723</v>
      </c>
      <c r="S4319" t="s">
        <v>85724</v>
      </c>
      <c r="T4319" t="s">
        <v>85725</v>
      </c>
      <c r="U4319" t="s">
        <v>85726</v>
      </c>
      <c r="V4319">
        <f>-707.31884760806 -15.9654473166704 -239.025758072949</f>
        <v>-962.31005299767935</v>
      </c>
      <c r="W4319" t="s">
        <v>85727</v>
      </c>
      <c r="X4319" t="s">
        <v>85728</v>
      </c>
      <c r="Y4319" t="s">
        <v>85729</v>
      </c>
    </row>
    <row r="4320" spans="1:25" x14ac:dyDescent="0.3">
      <c r="A4320">
        <v>215950</v>
      </c>
      <c r="B4320" t="s">
        <v>85730</v>
      </c>
      <c r="C4320" t="s">
        <v>85731</v>
      </c>
      <c r="D4320" t="s">
        <v>85732</v>
      </c>
      <c r="E4320" t="s">
        <v>85733</v>
      </c>
      <c r="F4320" t="s">
        <v>85734</v>
      </c>
      <c r="G4320" t="s">
        <v>85735</v>
      </c>
      <c r="H4320" t="s">
        <v>85736</v>
      </c>
      <c r="I4320" t="s">
        <v>85737</v>
      </c>
      <c r="J4320" t="s">
        <v>85738</v>
      </c>
      <c r="K4320" t="s">
        <v>85739</v>
      </c>
      <c r="L4320" t="s">
        <v>85740</v>
      </c>
      <c r="M4320" t="s">
        <v>85741</v>
      </c>
      <c r="N4320" t="s">
        <v>85742</v>
      </c>
      <c r="O4320">
        <f>-743.243011037174 -90.5710462744571 -749.221488260988</f>
        <v>-1583.0355455726192</v>
      </c>
      <c r="P4320">
        <f>-736.503643093653 -122.551050087135 -434.391269252034</f>
        <v>-1293.4459624328219</v>
      </c>
      <c r="Q4320">
        <f>-507.19841598682 -10.7352072671968 -383.811076525391</f>
        <v>-901.74469977940771</v>
      </c>
      <c r="R4320" t="s">
        <v>85743</v>
      </c>
      <c r="S4320" t="s">
        <v>85744</v>
      </c>
      <c r="T4320" t="s">
        <v>85745</v>
      </c>
      <c r="U4320" t="s">
        <v>85746</v>
      </c>
      <c r="V4320">
        <f>-708.417540704148 -18.4178218513507 -238.433031990038</f>
        <v>-965.26839454553669</v>
      </c>
      <c r="W4320" t="s">
        <v>85747</v>
      </c>
      <c r="X4320" t="s">
        <v>85748</v>
      </c>
      <c r="Y4320" t="s">
        <v>85749</v>
      </c>
    </row>
    <row r="4321" spans="1:25" x14ac:dyDescent="0.3">
      <c r="A4321">
        <v>216000</v>
      </c>
      <c r="B4321" t="s">
        <v>85750</v>
      </c>
      <c r="C4321" t="s">
        <v>85751</v>
      </c>
      <c r="D4321" t="s">
        <v>85752</v>
      </c>
      <c r="E4321" t="s">
        <v>85753</v>
      </c>
      <c r="F4321" t="s">
        <v>85754</v>
      </c>
      <c r="G4321" t="s">
        <v>85755</v>
      </c>
      <c r="H4321" t="s">
        <v>85756</v>
      </c>
      <c r="I4321" t="s">
        <v>85757</v>
      </c>
      <c r="J4321" t="s">
        <v>85758</v>
      </c>
      <c r="K4321" t="s">
        <v>85759</v>
      </c>
      <c r="L4321" t="s">
        <v>85760</v>
      </c>
      <c r="M4321" t="s">
        <v>85761</v>
      </c>
      <c r="N4321" t="s">
        <v>85762</v>
      </c>
      <c r="O4321">
        <f>-743.320101728275 -91.9196594485857 -748.885917153166</f>
        <v>-1584.1256783300266</v>
      </c>
      <c r="P4321">
        <f>-736.405078178419 -123.792277637422 -434.048573955805</f>
        <v>-1294.2459297716459</v>
      </c>
      <c r="Q4321">
        <f>-507.237655784576 -11.6568206219308 -383.551030594177</f>
        <v>-902.44550700068385</v>
      </c>
      <c r="R4321" t="s">
        <v>85763</v>
      </c>
      <c r="S4321" t="s">
        <v>85764</v>
      </c>
      <c r="T4321" t="s">
        <v>85765</v>
      </c>
      <c r="U4321" t="s">
        <v>85766</v>
      </c>
      <c r="V4321">
        <f>-708.824469476335 -19.5364329025745 -238.15850565645</f>
        <v>-966.51940803535945</v>
      </c>
      <c r="W4321" t="s">
        <v>85767</v>
      </c>
      <c r="X4321" t="s">
        <v>85768</v>
      </c>
      <c r="Y4321" t="s">
        <v>85769</v>
      </c>
    </row>
    <row r="4322" spans="1:25" x14ac:dyDescent="0.3">
      <c r="A4322">
        <v>216050</v>
      </c>
      <c r="B4322" t="s">
        <v>85770</v>
      </c>
      <c r="C4322" t="s">
        <v>85771</v>
      </c>
      <c r="D4322" t="s">
        <v>85772</v>
      </c>
      <c r="E4322" t="s">
        <v>85773</v>
      </c>
      <c r="F4322" t="s">
        <v>85774</v>
      </c>
      <c r="G4322" t="s">
        <v>85775</v>
      </c>
      <c r="H4322" t="s">
        <v>85776</v>
      </c>
      <c r="I4322" t="s">
        <v>85777</v>
      </c>
      <c r="J4322" t="s">
        <v>85778</v>
      </c>
      <c r="K4322" t="s">
        <v>85779</v>
      </c>
      <c r="L4322" t="s">
        <v>85780</v>
      </c>
      <c r="M4322" t="s">
        <v>85781</v>
      </c>
      <c r="N4322" t="s">
        <v>85782</v>
      </c>
      <c r="O4322">
        <f>-743.570512745297 -94.5697575995755 -748.161491214393</f>
        <v>-1586.3017615592655</v>
      </c>
      <c r="P4322">
        <f>-736.54854616531 -126.13055906356 -433.29517722329</f>
        <v>-1295.97428245216</v>
      </c>
      <c r="Q4322">
        <f>-507.679327797527 -13.2676911850692 -383.066072714438</f>
        <v>-904.01309169703427</v>
      </c>
      <c r="R4322" t="s">
        <v>85783</v>
      </c>
      <c r="S4322" t="s">
        <v>85784</v>
      </c>
      <c r="T4322" t="s">
        <v>85785</v>
      </c>
      <c r="U4322" t="s">
        <v>85786</v>
      </c>
      <c r="V4322">
        <f>-709.588065204901 -21.7738347837651 -237.57479488754</f>
        <v>-968.93669487620605</v>
      </c>
      <c r="W4322" t="s">
        <v>85787</v>
      </c>
      <c r="X4322" t="s">
        <v>85788</v>
      </c>
      <c r="Y4322" t="s">
        <v>85789</v>
      </c>
    </row>
    <row r="4323" spans="1:25" x14ac:dyDescent="0.3">
      <c r="A4323">
        <v>216100</v>
      </c>
      <c r="B4323" t="s">
        <v>85790</v>
      </c>
      <c r="C4323" t="s">
        <v>85791</v>
      </c>
      <c r="D4323" t="s">
        <v>85792</v>
      </c>
      <c r="E4323" t="s">
        <v>85793</v>
      </c>
      <c r="F4323" t="s">
        <v>85794</v>
      </c>
      <c r="G4323" t="s">
        <v>85795</v>
      </c>
      <c r="H4323" t="s">
        <v>85796</v>
      </c>
      <c r="I4323" t="s">
        <v>85797</v>
      </c>
      <c r="J4323" t="s">
        <v>85798</v>
      </c>
      <c r="K4323" t="s">
        <v>85799</v>
      </c>
      <c r="L4323" t="s">
        <v>85800</v>
      </c>
      <c r="M4323" t="s">
        <v>85801</v>
      </c>
      <c r="N4323" t="s">
        <v>85802</v>
      </c>
      <c r="O4323">
        <f>-743.620171499622 -95.7948877038377 -747.833192031882</f>
        <v>-1587.2482512353417</v>
      </c>
      <c r="P4323">
        <f>-736.454584673926 -127.273070559062 -432.961817455917</f>
        <v>-1296.689472688905</v>
      </c>
      <c r="Q4323">
        <f>-507.781602765963 -13.9528137942609 -382.869832750305</f>
        <v>-904.60424931052887</v>
      </c>
      <c r="R4323" t="s">
        <v>85803</v>
      </c>
      <c r="S4323" t="s">
        <v>85804</v>
      </c>
      <c r="T4323" t="s">
        <v>85805</v>
      </c>
      <c r="U4323" t="s">
        <v>85806</v>
      </c>
      <c r="V4323">
        <f>-709.949671489255 -22.8452842967531 -237.314855123625</f>
        <v>-970.1098109096331</v>
      </c>
      <c r="W4323" t="s">
        <v>85807</v>
      </c>
      <c r="X4323" t="s">
        <v>85808</v>
      </c>
      <c r="Y4323" t="s">
        <v>85809</v>
      </c>
    </row>
    <row r="4324" spans="1:25" x14ac:dyDescent="0.3">
      <c r="A4324">
        <v>216150</v>
      </c>
      <c r="B4324" t="s">
        <v>85810</v>
      </c>
      <c r="C4324" t="s">
        <v>85811</v>
      </c>
      <c r="D4324" t="s">
        <v>85812</v>
      </c>
      <c r="E4324" t="s">
        <v>85813</v>
      </c>
      <c r="F4324" t="s">
        <v>85814</v>
      </c>
      <c r="G4324" t="s">
        <v>85815</v>
      </c>
      <c r="H4324" t="s">
        <v>85816</v>
      </c>
      <c r="I4324" t="s">
        <v>85817</v>
      </c>
      <c r="J4324" t="s">
        <v>85818</v>
      </c>
      <c r="K4324" t="s">
        <v>85819</v>
      </c>
      <c r="L4324" t="s">
        <v>85820</v>
      </c>
      <c r="M4324" t="s">
        <v>85821</v>
      </c>
      <c r="N4324" t="s">
        <v>85822</v>
      </c>
      <c r="O4324">
        <f>-743.789731964424 -98.1740261847929 -747.224014818762</f>
        <v>-1589.1877729679791</v>
      </c>
      <c r="P4324">
        <f>-736.250618837164 -129.473472946026 -432.343542208487</f>
        <v>-1298.067633991677</v>
      </c>
      <c r="Q4324">
        <f>-508.115275173594 -14.9519074146074 -382.532484591982</f>
        <v>-905.59966718018336</v>
      </c>
      <c r="R4324" t="s">
        <v>85823</v>
      </c>
      <c r="S4324" t="s">
        <v>85824</v>
      </c>
      <c r="T4324" t="s">
        <v>85825</v>
      </c>
      <c r="U4324" t="s">
        <v>85826</v>
      </c>
      <c r="V4324">
        <f>-710.441616322601 -24.9339441756786 -236.769803492954</f>
        <v>-972.14536399123358</v>
      </c>
      <c r="W4324" t="s">
        <v>85827</v>
      </c>
      <c r="X4324" t="s">
        <v>85828</v>
      </c>
      <c r="Y4324" t="s">
        <v>85829</v>
      </c>
    </row>
    <row r="4325" spans="1:25" x14ac:dyDescent="0.3">
      <c r="A4325">
        <v>216200</v>
      </c>
      <c r="B4325" t="s">
        <v>85830</v>
      </c>
      <c r="C4325" t="s">
        <v>85831</v>
      </c>
      <c r="D4325" t="s">
        <v>85832</v>
      </c>
      <c r="E4325" t="s">
        <v>85833</v>
      </c>
      <c r="F4325" t="s">
        <v>85834</v>
      </c>
      <c r="G4325" t="s">
        <v>85835</v>
      </c>
      <c r="H4325" t="s">
        <v>85836</v>
      </c>
      <c r="I4325" t="s">
        <v>85837</v>
      </c>
      <c r="J4325" t="s">
        <v>85838</v>
      </c>
      <c r="K4325" t="s">
        <v>85839</v>
      </c>
      <c r="L4325" t="s">
        <v>85840</v>
      </c>
      <c r="M4325" t="s">
        <v>85841</v>
      </c>
      <c r="N4325" t="s">
        <v>85842</v>
      </c>
      <c r="O4325">
        <f>-743.858436905354 -99.4349281329569 -746.915436367311</f>
        <v>-1590.2088014056219</v>
      </c>
      <c r="P4325">
        <f>-736.078121394617 -130.611911715995 -432.02866529447</f>
        <v>-1298.718698405082</v>
      </c>
      <c r="Q4325">
        <f>-508.220192531221 -15.4676409326714 -382.383661769054</f>
        <v>-906.0714952329464</v>
      </c>
      <c r="R4325" t="s">
        <v>85843</v>
      </c>
      <c r="S4325" t="s">
        <v>85844</v>
      </c>
      <c r="T4325" t="s">
        <v>85845</v>
      </c>
      <c r="U4325" t="s">
        <v>85846</v>
      </c>
      <c r="V4325">
        <f>-710.679472626329 -25.9949555118033 -236.509677613819</f>
        <v>-973.18410575195128</v>
      </c>
      <c r="W4325" t="s">
        <v>85847</v>
      </c>
      <c r="X4325" t="s">
        <v>85848</v>
      </c>
      <c r="Y4325" t="s">
        <v>85849</v>
      </c>
    </row>
    <row r="4326" spans="1:25" x14ac:dyDescent="0.3">
      <c r="A4326">
        <v>216250</v>
      </c>
      <c r="B4326" t="s">
        <v>85850</v>
      </c>
      <c r="C4326" t="s">
        <v>85851</v>
      </c>
      <c r="D4326" t="s">
        <v>85852</v>
      </c>
      <c r="E4326" t="s">
        <v>85853</v>
      </c>
      <c r="F4326" t="s">
        <v>85854</v>
      </c>
      <c r="G4326" t="s">
        <v>85855</v>
      </c>
      <c r="H4326" t="s">
        <v>85856</v>
      </c>
      <c r="I4326" t="s">
        <v>85857</v>
      </c>
      <c r="J4326" t="s">
        <v>85858</v>
      </c>
      <c r="K4326" t="s">
        <v>85859</v>
      </c>
      <c r="L4326" t="s">
        <v>85860</v>
      </c>
      <c r="M4326" t="s">
        <v>85861</v>
      </c>
      <c r="N4326" t="s">
        <v>85862</v>
      </c>
      <c r="O4326">
        <f>-743.809202091866 -101.895116633728 -746.338072561749</f>
        <v>-1592.042391287343</v>
      </c>
      <c r="P4326">
        <f>-735.48819654064 -132.928606882983 -431.451094013531</f>
        <v>-1299.8678974371542</v>
      </c>
      <c r="Q4326">
        <f>-508.168990887572 -16.5171439931451 -382.29458545747</f>
        <v>-906.9807203381871</v>
      </c>
      <c r="R4326" t="s">
        <v>85863</v>
      </c>
      <c r="S4326" t="s">
        <v>85864</v>
      </c>
      <c r="T4326" t="s">
        <v>85865</v>
      </c>
      <c r="U4326" t="s">
        <v>85866</v>
      </c>
      <c r="V4326">
        <f>-710.825770612602 -28.0865003540121 -236.056661971502</f>
        <v>-974.96893293811604</v>
      </c>
      <c r="W4326" t="s">
        <v>85867</v>
      </c>
      <c r="X4326" t="s">
        <v>85868</v>
      </c>
      <c r="Y4326" t="s">
        <v>85869</v>
      </c>
    </row>
    <row r="4327" spans="1:25" x14ac:dyDescent="0.3">
      <c r="A4327">
        <v>216300</v>
      </c>
      <c r="B4327" t="s">
        <v>85870</v>
      </c>
      <c r="C4327" t="s">
        <v>85871</v>
      </c>
      <c r="D4327" t="s">
        <v>85872</v>
      </c>
      <c r="E4327" t="s">
        <v>85873</v>
      </c>
      <c r="F4327" t="s">
        <v>85874</v>
      </c>
      <c r="G4327" t="s">
        <v>85875</v>
      </c>
      <c r="H4327" t="s">
        <v>85876</v>
      </c>
      <c r="I4327" t="s">
        <v>85877</v>
      </c>
      <c r="J4327" t="s">
        <v>85878</v>
      </c>
      <c r="K4327" t="s">
        <v>85879</v>
      </c>
      <c r="L4327" t="s">
        <v>85880</v>
      </c>
      <c r="M4327" t="s">
        <v>85881</v>
      </c>
      <c r="N4327" t="s">
        <v>85882</v>
      </c>
      <c r="O4327">
        <f>-743.768004056519 -103.091696679974 -746.038936610471</f>
        <v>-1592.8986373469638</v>
      </c>
      <c r="P4327">
        <f>-735.039230382916 -134.007840734459 -431.151354902604</f>
        <v>-1300.198426019979</v>
      </c>
      <c r="Q4327">
        <f>-507.996238317028 -16.9546929947671 -382.242534034385</f>
        <v>-907.19346534618012</v>
      </c>
      <c r="R4327" t="s">
        <v>85883</v>
      </c>
      <c r="S4327" t="s">
        <v>85884</v>
      </c>
      <c r="T4327" t="s">
        <v>85885</v>
      </c>
      <c r="U4327" t="s">
        <v>85886</v>
      </c>
      <c r="V4327">
        <f>-710.816578551512 -29.07799508686 -235.822504816568</f>
        <v>-975.71707845493995</v>
      </c>
      <c r="W4327" t="s">
        <v>85887</v>
      </c>
      <c r="X4327" t="s">
        <v>85888</v>
      </c>
      <c r="Y4327" t="s">
        <v>85889</v>
      </c>
    </row>
    <row r="4328" spans="1:25" x14ac:dyDescent="0.3">
      <c r="A4328">
        <v>216350</v>
      </c>
      <c r="B4328" t="s">
        <v>85890</v>
      </c>
      <c r="C4328" t="s">
        <v>85891</v>
      </c>
      <c r="D4328" t="s">
        <v>85892</v>
      </c>
      <c r="E4328" t="s">
        <v>85893</v>
      </c>
      <c r="F4328" t="s">
        <v>85894</v>
      </c>
      <c r="G4328" t="s">
        <v>85895</v>
      </c>
      <c r="H4328" t="s">
        <v>85896</v>
      </c>
      <c r="I4328" t="s">
        <v>85897</v>
      </c>
      <c r="J4328" t="s">
        <v>85898</v>
      </c>
      <c r="K4328" t="s">
        <v>85899</v>
      </c>
      <c r="L4328" t="s">
        <v>85900</v>
      </c>
      <c r="M4328" t="s">
        <v>85901</v>
      </c>
      <c r="N4328" t="s">
        <v>85902</v>
      </c>
      <c r="O4328">
        <f>-743.386953587016 -105.248368006471 -745.524317645102</f>
        <v>-1594.1596392385891</v>
      </c>
      <c r="P4328">
        <f>-733.860814308612 -136.155827789187 -430.658945174443</f>
        <v>-1300.675587272242</v>
      </c>
      <c r="Q4328">
        <f>-507.365129561443 -17.8677908898551 -382.184992841012</f>
        <v>-907.41791329231012</v>
      </c>
      <c r="R4328" t="s">
        <v>85903</v>
      </c>
      <c r="S4328" t="s">
        <v>85904</v>
      </c>
      <c r="T4328" t="s">
        <v>85905</v>
      </c>
      <c r="U4328" t="s">
        <v>85906</v>
      </c>
      <c r="V4328">
        <f>-710.865710239226 -30.9813565090185 -235.384564885221</f>
        <v>-977.23163163346555</v>
      </c>
      <c r="W4328" t="s">
        <v>85907</v>
      </c>
      <c r="X4328" t="s">
        <v>85908</v>
      </c>
      <c r="Y4328" t="s">
        <v>85909</v>
      </c>
    </row>
    <row r="4329" spans="1:25" x14ac:dyDescent="0.3">
      <c r="A4329">
        <v>216400</v>
      </c>
      <c r="B4329" t="s">
        <v>85910</v>
      </c>
      <c r="C4329" t="s">
        <v>85911</v>
      </c>
      <c r="D4329" t="s">
        <v>85912</v>
      </c>
      <c r="E4329" t="s">
        <v>85913</v>
      </c>
      <c r="F4329" t="s">
        <v>85914</v>
      </c>
      <c r="G4329" t="s">
        <v>85915</v>
      </c>
      <c r="H4329" t="s">
        <v>85916</v>
      </c>
      <c r="I4329" t="s">
        <v>85917</v>
      </c>
      <c r="J4329" t="s">
        <v>85918</v>
      </c>
      <c r="K4329" t="s">
        <v>85919</v>
      </c>
      <c r="L4329" t="s">
        <v>85920</v>
      </c>
      <c r="M4329" t="s">
        <v>85921</v>
      </c>
      <c r="N4329" t="s">
        <v>85922</v>
      </c>
      <c r="O4329">
        <f>-743.166751979769 -107.453201348693 -745.080120973194</f>
        <v>-1595.7000743016561</v>
      </c>
      <c r="P4329">
        <f>-733.138296752302 -138.330835499045 -430.227408443024</f>
        <v>-1301.6965406943709</v>
      </c>
      <c r="Q4329">
        <f>-507.178794724251 -18.9155967477459 -382.01600830747</f>
        <v>-908.11039977946689</v>
      </c>
      <c r="R4329" t="s">
        <v>85923</v>
      </c>
      <c r="S4329" t="s">
        <v>85924</v>
      </c>
      <c r="T4329" t="s">
        <v>85925</v>
      </c>
      <c r="U4329" t="s">
        <v>85926</v>
      </c>
      <c r="V4329">
        <f>-710.76424948312 -32.8130460217105 -234.989557957279</f>
        <v>-978.56685346210952</v>
      </c>
      <c r="W4329" t="s">
        <v>85927</v>
      </c>
      <c r="X4329" t="s">
        <v>85928</v>
      </c>
      <c r="Y4329" t="s">
        <v>85929</v>
      </c>
    </row>
    <row r="4330" spans="1:25" x14ac:dyDescent="0.3">
      <c r="A4330">
        <v>216450</v>
      </c>
      <c r="B4330" t="s">
        <v>85930</v>
      </c>
      <c r="C4330" t="s">
        <v>85931</v>
      </c>
      <c r="D4330" t="s">
        <v>85932</v>
      </c>
      <c r="E4330" t="s">
        <v>85933</v>
      </c>
      <c r="F4330" t="s">
        <v>85934</v>
      </c>
      <c r="G4330" t="s">
        <v>85935</v>
      </c>
      <c r="H4330" t="s">
        <v>85936</v>
      </c>
      <c r="I4330" t="s">
        <v>85937</v>
      </c>
      <c r="J4330" t="s">
        <v>85938</v>
      </c>
      <c r="K4330" t="s">
        <v>85939</v>
      </c>
      <c r="L4330" t="s">
        <v>85940</v>
      </c>
      <c r="M4330" t="s">
        <v>85941</v>
      </c>
      <c r="N4330" t="s">
        <v>85942</v>
      </c>
      <c r="O4330">
        <f>-743.027106288635 -108.588125267027 -744.852396739591</f>
        <v>-1596.4676282952528</v>
      </c>
      <c r="P4330">
        <f>-732.768788543397 -139.479355992059 -430.008483883583</f>
        <v>-1302.2566284190391</v>
      </c>
      <c r="Q4330">
        <f>-507.037891467485 -19.5927455201283 -381.895782070797</f>
        <v>-908.52641905841028</v>
      </c>
      <c r="R4330" t="s">
        <v>85943</v>
      </c>
      <c r="S4330" t="s">
        <v>85944</v>
      </c>
      <c r="T4330" t="s">
        <v>85945</v>
      </c>
      <c r="U4330" t="s">
        <v>85946</v>
      </c>
      <c r="V4330">
        <f>-710.716131813967 -33.7606951982825 -234.797906746463</f>
        <v>-979.2747337587125</v>
      </c>
      <c r="W4330" t="s">
        <v>85947</v>
      </c>
      <c r="X4330" t="s">
        <v>85948</v>
      </c>
      <c r="Y4330" t="s">
        <v>85949</v>
      </c>
    </row>
    <row r="4331" spans="1:25" x14ac:dyDescent="0.3">
      <c r="A4331">
        <v>216500</v>
      </c>
      <c r="B4331" t="s">
        <v>85950</v>
      </c>
      <c r="C4331" t="s">
        <v>85951</v>
      </c>
      <c r="D4331" t="s">
        <v>85952</v>
      </c>
      <c r="E4331" t="s">
        <v>85953</v>
      </c>
      <c r="F4331" t="s">
        <v>85954</v>
      </c>
      <c r="G4331" t="s">
        <v>85955</v>
      </c>
      <c r="H4331" t="s">
        <v>85956</v>
      </c>
      <c r="I4331" t="s">
        <v>85957</v>
      </c>
      <c r="J4331" t="s">
        <v>85958</v>
      </c>
      <c r="K4331" t="s">
        <v>85959</v>
      </c>
      <c r="L4331" t="s">
        <v>85960</v>
      </c>
      <c r="M4331" t="s">
        <v>85961</v>
      </c>
      <c r="N4331" t="s">
        <v>85962</v>
      </c>
      <c r="O4331">
        <f>-742.779651522945 -109.617682650224 -744.652515735821</f>
        <v>-1597.0498499089899</v>
      </c>
      <c r="P4331">
        <f>-732.235074551069 -140.448358493415 -429.812264170808</f>
        <v>-1302.495697215292</v>
      </c>
      <c r="Q4331">
        <f>-506.704303627691 -20.1474505640288 -381.795296687621</f>
        <v>-908.64705087934078</v>
      </c>
      <c r="R4331" t="s">
        <v>85963</v>
      </c>
      <c r="S4331" t="s">
        <v>85964</v>
      </c>
      <c r="T4331" t="s">
        <v>85965</v>
      </c>
      <c r="U4331" t="s">
        <v>85966</v>
      </c>
      <c r="V4331">
        <f>-710.486920291434 -34.6255121945117 -234.642707186565</f>
        <v>-979.75513967251061</v>
      </c>
      <c r="W4331" t="s">
        <v>85967</v>
      </c>
      <c r="X4331" t="s">
        <v>85968</v>
      </c>
      <c r="Y4331" t="s">
        <v>85969</v>
      </c>
    </row>
    <row r="4332" spans="1:25" x14ac:dyDescent="0.3">
      <c r="A4332">
        <v>216550</v>
      </c>
      <c r="B4332" t="s">
        <v>85970</v>
      </c>
      <c r="C4332" t="s">
        <v>85971</v>
      </c>
      <c r="D4332" t="s">
        <v>85972</v>
      </c>
      <c r="E4332" t="s">
        <v>85973</v>
      </c>
      <c r="F4332" t="s">
        <v>85974</v>
      </c>
      <c r="G4332" t="s">
        <v>85975</v>
      </c>
      <c r="H4332" t="s">
        <v>85976</v>
      </c>
      <c r="I4332" t="s">
        <v>85977</v>
      </c>
      <c r="J4332" t="s">
        <v>85978</v>
      </c>
      <c r="K4332" t="s">
        <v>85979</v>
      </c>
      <c r="L4332" t="s">
        <v>85980</v>
      </c>
      <c r="M4332" t="s">
        <v>85981</v>
      </c>
      <c r="N4332" t="s">
        <v>85982</v>
      </c>
      <c r="O4332">
        <f>-742.065198808599 -111.574873930276 -744.278185933285</f>
        <v>-1597.9182586721599</v>
      </c>
      <c r="P4332">
        <f>-731.039379937844 -142.4219336334 -429.456060723097</f>
        <v>-1302.917374294341</v>
      </c>
      <c r="Q4332">
        <f>-505.979699644021 -21.1503836179168 -381.671018831632</f>
        <v>-908.80110209356985</v>
      </c>
      <c r="R4332" t="s">
        <v>85983</v>
      </c>
      <c r="S4332" t="s">
        <v>85984</v>
      </c>
      <c r="T4332" t="s">
        <v>85985</v>
      </c>
      <c r="U4332" t="s">
        <v>85986</v>
      </c>
      <c r="V4332">
        <f>-709.928929525629 -36.3587560796709 -234.347428475537</f>
        <v>-980.63511408083684</v>
      </c>
      <c r="W4332" t="s">
        <v>85987</v>
      </c>
      <c r="X4332" t="s">
        <v>85988</v>
      </c>
      <c r="Y4332" t="s">
        <v>85989</v>
      </c>
    </row>
    <row r="4333" spans="1:25" x14ac:dyDescent="0.3">
      <c r="A4333">
        <v>216600</v>
      </c>
      <c r="B4333" t="s">
        <v>85990</v>
      </c>
      <c r="C4333" t="s">
        <v>85991</v>
      </c>
      <c r="D4333" t="s">
        <v>85992</v>
      </c>
      <c r="E4333" t="s">
        <v>85993</v>
      </c>
      <c r="F4333" t="s">
        <v>85994</v>
      </c>
      <c r="G4333" t="s">
        <v>85995</v>
      </c>
      <c r="H4333" t="s">
        <v>85996</v>
      </c>
      <c r="I4333" t="s">
        <v>85997</v>
      </c>
      <c r="J4333" t="s">
        <v>85998</v>
      </c>
      <c r="K4333" t="s">
        <v>85999</v>
      </c>
      <c r="L4333" t="s">
        <v>86000</v>
      </c>
      <c r="M4333" t="s">
        <v>86001</v>
      </c>
      <c r="N4333" t="s">
        <v>86002</v>
      </c>
      <c r="O4333">
        <f>-741.791904424055 -112.49871789852 -744.103292411494</f>
        <v>-1598.3939147340689</v>
      </c>
      <c r="P4333">
        <f>-730.578049850089 -143.35219600442 -429.28831403443</f>
        <v>-1303.2185598889389</v>
      </c>
      <c r="Q4333">
        <f>-505.759109052431 -21.5935750830809 -381.608160945539</f>
        <v>-908.96084508105082</v>
      </c>
      <c r="R4333" t="s">
        <v>86003</v>
      </c>
      <c r="S4333" t="s">
        <v>86004</v>
      </c>
      <c r="T4333" t="s">
        <v>86005</v>
      </c>
      <c r="U4333" t="s">
        <v>86006</v>
      </c>
      <c r="V4333">
        <f>-709.752381799682 -37.1910112921278 -234.18299747938</f>
        <v>-981.12639057118975</v>
      </c>
      <c r="W4333" t="s">
        <v>86007</v>
      </c>
      <c r="X4333" t="s">
        <v>86008</v>
      </c>
      <c r="Y4333" t="s">
        <v>86009</v>
      </c>
    </row>
    <row r="4334" spans="1:25" x14ac:dyDescent="0.3">
      <c r="A4334">
        <v>216650</v>
      </c>
      <c r="B4334" t="s">
        <v>86010</v>
      </c>
      <c r="C4334" t="s">
        <v>86011</v>
      </c>
      <c r="D4334" t="s">
        <v>86012</v>
      </c>
      <c r="E4334" t="s">
        <v>86013</v>
      </c>
      <c r="F4334" t="s">
        <v>86014</v>
      </c>
      <c r="G4334" t="s">
        <v>86015</v>
      </c>
      <c r="H4334" t="s">
        <v>86016</v>
      </c>
      <c r="I4334" t="s">
        <v>86017</v>
      </c>
      <c r="J4334" t="s">
        <v>86018</v>
      </c>
      <c r="K4334" t="s">
        <v>86019</v>
      </c>
      <c r="L4334" t="s">
        <v>86020</v>
      </c>
      <c r="M4334" t="s">
        <v>86021</v>
      </c>
      <c r="N4334" t="s">
        <v>86022</v>
      </c>
      <c r="O4334">
        <f>-741.624272480556 -114.303802320401 -743.707092998411</f>
        <v>-1599.635167799368</v>
      </c>
      <c r="P4334">
        <f>-730.035574185482 -145.227858006821 -428.912653222537</f>
        <v>-1304.1760854148401</v>
      </c>
      <c r="Q4334">
        <f>-505.639705437852 -22.5936608462928 -381.485408911637</f>
        <v>-909.71877519578186</v>
      </c>
      <c r="R4334" t="s">
        <v>86023</v>
      </c>
      <c r="S4334" t="s">
        <v>86024</v>
      </c>
      <c r="T4334" t="s">
        <v>86025</v>
      </c>
      <c r="U4334" t="s">
        <v>86026</v>
      </c>
      <c r="V4334">
        <f>-709.667160332541 -38.8042363511154 -233.862521751463</f>
        <v>-982.33391843511936</v>
      </c>
      <c r="W4334" t="s">
        <v>86027</v>
      </c>
      <c r="X4334" t="s">
        <v>86028</v>
      </c>
      <c r="Y4334" t="s">
        <v>86029</v>
      </c>
    </row>
    <row r="4335" spans="1:25" x14ac:dyDescent="0.3">
      <c r="A4335">
        <v>216700</v>
      </c>
      <c r="B4335" t="s">
        <v>86030</v>
      </c>
      <c r="C4335" t="s">
        <v>86031</v>
      </c>
      <c r="D4335" t="s">
        <v>86032</v>
      </c>
      <c r="E4335" t="s">
        <v>86033</v>
      </c>
      <c r="F4335" t="s">
        <v>86034</v>
      </c>
      <c r="G4335" t="s">
        <v>86035</v>
      </c>
      <c r="H4335" t="s">
        <v>86036</v>
      </c>
      <c r="I4335" t="s">
        <v>86037</v>
      </c>
      <c r="J4335" t="s">
        <v>86038</v>
      </c>
      <c r="K4335" t="s">
        <v>86039</v>
      </c>
      <c r="L4335" t="s">
        <v>86040</v>
      </c>
      <c r="M4335" t="s">
        <v>86041</v>
      </c>
      <c r="N4335" t="s">
        <v>86042</v>
      </c>
      <c r="O4335">
        <f>-741.521421823524 -115.110611535834 -743.518837609474</f>
        <v>-1600.1508709688319</v>
      </c>
      <c r="P4335">
        <f>-729.78215372101 -146.094070379938 -428.735784185602</f>
        <v>-1304.61200828655</v>
      </c>
      <c r="Q4335">
        <f>-505.572640828814 -23.0516527688155 -381.48414695394</f>
        <v>-910.10844055156952</v>
      </c>
      <c r="R4335" t="s">
        <v>86043</v>
      </c>
      <c r="S4335" t="s">
        <v>86044</v>
      </c>
      <c r="T4335" t="s">
        <v>86045</v>
      </c>
      <c r="U4335" t="s">
        <v>86046</v>
      </c>
      <c r="V4335">
        <f>-709.683168434886 -39.5945066943802 -233.697885472825</f>
        <v>-982.97556060209126</v>
      </c>
      <c r="W4335" t="s">
        <v>86047</v>
      </c>
      <c r="X4335" t="s">
        <v>86048</v>
      </c>
      <c r="Y4335" t="s">
        <v>86049</v>
      </c>
    </row>
    <row r="4336" spans="1:25" x14ac:dyDescent="0.3">
      <c r="A4336">
        <v>216750</v>
      </c>
      <c r="B4336" t="s">
        <v>86050</v>
      </c>
      <c r="C4336" t="s">
        <v>86051</v>
      </c>
      <c r="D4336" t="s">
        <v>86052</v>
      </c>
      <c r="E4336" t="s">
        <v>86053</v>
      </c>
      <c r="F4336" t="s">
        <v>86054</v>
      </c>
      <c r="G4336" t="s">
        <v>86055</v>
      </c>
      <c r="H4336" t="s">
        <v>86056</v>
      </c>
      <c r="I4336" t="s">
        <v>86057</v>
      </c>
      <c r="J4336" t="s">
        <v>86058</v>
      </c>
      <c r="K4336" t="s">
        <v>86059</v>
      </c>
      <c r="L4336" t="s">
        <v>86060</v>
      </c>
      <c r="M4336" t="s">
        <v>86061</v>
      </c>
      <c r="N4336" t="s">
        <v>86062</v>
      </c>
      <c r="O4336">
        <f>-741.699050292604 -116.694064500551 -743.188193519554</f>
        <v>-1601.5813083127091</v>
      </c>
      <c r="P4336">
        <f>-729.641000688026 -147.618808120018 -428.411359059408</f>
        <v>-1305.6711678674519</v>
      </c>
      <c r="Q4336">
        <f>-505.812507891127 -23.7978373864373 -381.387906130948</f>
        <v>-910.99825140851226</v>
      </c>
      <c r="R4336" t="s">
        <v>86063</v>
      </c>
      <c r="S4336" t="s">
        <v>86064</v>
      </c>
      <c r="T4336" t="s">
        <v>86065</v>
      </c>
      <c r="U4336" t="s">
        <v>86066</v>
      </c>
      <c r="V4336">
        <f>-709.974735410146 -41.0393320328342 -233.383016570574</f>
        <v>-984.39708401355415</v>
      </c>
      <c r="W4336" t="s">
        <v>86067</v>
      </c>
      <c r="X4336" t="s">
        <v>86068</v>
      </c>
      <c r="Y4336" t="s">
        <v>86069</v>
      </c>
    </row>
    <row r="4337" spans="1:25" x14ac:dyDescent="0.3">
      <c r="A4337">
        <v>216800</v>
      </c>
      <c r="B4337" t="s">
        <v>86070</v>
      </c>
      <c r="C4337" t="s">
        <v>86071</v>
      </c>
      <c r="D4337" t="s">
        <v>86072</v>
      </c>
      <c r="E4337" t="s">
        <v>86073</v>
      </c>
      <c r="F4337" t="s">
        <v>86074</v>
      </c>
      <c r="G4337" t="s">
        <v>86075</v>
      </c>
      <c r="H4337" t="s">
        <v>86076</v>
      </c>
      <c r="I4337" t="s">
        <v>86077</v>
      </c>
      <c r="J4337" t="s">
        <v>86078</v>
      </c>
      <c r="K4337" t="s">
        <v>86079</v>
      </c>
      <c r="L4337" t="s">
        <v>86080</v>
      </c>
      <c r="M4337" t="s">
        <v>86081</v>
      </c>
      <c r="N4337" t="s">
        <v>86082</v>
      </c>
      <c r="O4337">
        <f>-741.872000741031 -117.453261218644 -743.016266057748</f>
        <v>-1602.3415280174231</v>
      </c>
      <c r="P4337">
        <f>-729.688894327304 -148.370154191784 -428.243382138284</f>
        <v>-1306.302430657372</v>
      </c>
      <c r="Q4337">
        <f>-506.00926639721 -24.242440969806 -381.320082871564</f>
        <v>-911.57179023857998</v>
      </c>
      <c r="R4337" t="s">
        <v>86083</v>
      </c>
      <c r="S4337" t="s">
        <v>86084</v>
      </c>
      <c r="T4337" t="s">
        <v>86085</v>
      </c>
      <c r="U4337" t="s">
        <v>86086</v>
      </c>
      <c r="V4337">
        <f>-710.182894716545 -41.7353257404479 -233.237304154616</f>
        <v>-985.15552461160894</v>
      </c>
      <c r="W4337" t="s">
        <v>86087</v>
      </c>
      <c r="X4337" t="s">
        <v>86088</v>
      </c>
      <c r="Y4337" t="s">
        <v>86089</v>
      </c>
    </row>
    <row r="4338" spans="1:25" x14ac:dyDescent="0.3">
      <c r="A4338">
        <v>216850</v>
      </c>
      <c r="B4338" t="s">
        <v>86090</v>
      </c>
      <c r="C4338" t="s">
        <v>86091</v>
      </c>
      <c r="D4338" t="s">
        <v>86092</v>
      </c>
      <c r="E4338" t="s">
        <v>86093</v>
      </c>
      <c r="F4338" t="s">
        <v>86094</v>
      </c>
      <c r="G4338" t="s">
        <v>86095</v>
      </c>
      <c r="H4338" t="s">
        <v>86096</v>
      </c>
      <c r="I4338" t="s">
        <v>86097</v>
      </c>
      <c r="J4338" t="s">
        <v>86098</v>
      </c>
      <c r="K4338" t="s">
        <v>86099</v>
      </c>
      <c r="L4338" t="s">
        <v>86100</v>
      </c>
      <c r="M4338" t="s">
        <v>86101</v>
      </c>
      <c r="N4338" t="s">
        <v>86102</v>
      </c>
      <c r="O4338">
        <f>-742.283368801715 -118.792339470716 -742.667536702341</f>
        <v>-1603.7432449747721</v>
      </c>
      <c r="P4338">
        <f>-729.83024909449 -149.650133923256 -427.899543565093</f>
        <v>-1307.3799265828391</v>
      </c>
      <c r="Q4338">
        <f>-506.331542979994 -25.1293294148229 -381.156314804197</f>
        <v>-912.61718719901387</v>
      </c>
      <c r="R4338" t="s">
        <v>86103</v>
      </c>
      <c r="S4338" t="s">
        <v>86104</v>
      </c>
      <c r="T4338" t="s">
        <v>86105</v>
      </c>
      <c r="U4338" t="s">
        <v>86106</v>
      </c>
      <c r="V4338">
        <f>-710.593783982857 -42.9413284228062 -232.935092327974</f>
        <v>-986.47020473363716</v>
      </c>
      <c r="W4338" t="s">
        <v>86107</v>
      </c>
      <c r="X4338" t="s">
        <v>86108</v>
      </c>
      <c r="Y4338" t="s">
        <v>86109</v>
      </c>
    </row>
    <row r="4339" spans="1:25" x14ac:dyDescent="0.3">
      <c r="A4339">
        <v>216900</v>
      </c>
      <c r="B4339" t="s">
        <v>86110</v>
      </c>
      <c r="C4339" t="s">
        <v>86111</v>
      </c>
      <c r="D4339" t="s">
        <v>86112</v>
      </c>
      <c r="E4339" t="s">
        <v>86113</v>
      </c>
      <c r="F4339" t="s">
        <v>86114</v>
      </c>
      <c r="G4339" t="s">
        <v>86115</v>
      </c>
      <c r="H4339" t="s">
        <v>86116</v>
      </c>
      <c r="I4339" t="s">
        <v>86117</v>
      </c>
      <c r="J4339" t="s">
        <v>86118</v>
      </c>
      <c r="K4339" t="s">
        <v>86119</v>
      </c>
      <c r="L4339" t="s">
        <v>86120</v>
      </c>
      <c r="M4339" t="s">
        <v>86121</v>
      </c>
      <c r="N4339" t="s">
        <v>86122</v>
      </c>
      <c r="O4339">
        <f>-742.603593014269 -119.390037094219 -742.527150229962</f>
        <v>-1604.5207803384501</v>
      </c>
      <c r="P4339">
        <f>-730.067029851959 -150.210225674813 -427.758714515596</f>
        <v>-1308.035970042368</v>
      </c>
      <c r="Q4339">
        <f>-506.578174567176 -25.6411233204401 -381.096715801846</f>
        <v>-913.31601368946212</v>
      </c>
      <c r="R4339" t="s">
        <v>86123</v>
      </c>
      <c r="S4339" t="s">
        <v>86124</v>
      </c>
      <c r="T4339" t="s">
        <v>86125</v>
      </c>
      <c r="U4339" t="s">
        <v>86126</v>
      </c>
      <c r="V4339">
        <f>-710.816823199873 -43.514238247853 -232.795407973779</f>
        <v>-987.12646942150502</v>
      </c>
      <c r="W4339" t="s">
        <v>86127</v>
      </c>
      <c r="X4339" t="s">
        <v>86128</v>
      </c>
      <c r="Y4339" t="s">
        <v>86129</v>
      </c>
    </row>
    <row r="4340" spans="1:25" x14ac:dyDescent="0.3">
      <c r="A4340">
        <v>216950</v>
      </c>
      <c r="B4340" t="s">
        <v>86130</v>
      </c>
      <c r="C4340" t="s">
        <v>86131</v>
      </c>
      <c r="D4340" t="s">
        <v>86132</v>
      </c>
      <c r="E4340" t="s">
        <v>86133</v>
      </c>
      <c r="F4340" t="s">
        <v>86134</v>
      </c>
      <c r="G4340" t="s">
        <v>86135</v>
      </c>
      <c r="H4340" t="s">
        <v>86136</v>
      </c>
      <c r="I4340" t="s">
        <v>86137</v>
      </c>
      <c r="J4340" t="s">
        <v>86138</v>
      </c>
      <c r="K4340" t="s">
        <v>86139</v>
      </c>
      <c r="L4340" t="s">
        <v>86140</v>
      </c>
      <c r="M4340" t="s">
        <v>86141</v>
      </c>
      <c r="N4340" t="s">
        <v>86142</v>
      </c>
      <c r="O4340">
        <f>-742.999867119588 -120.365403466356 -742.256737477795</f>
        <v>-1605.622008063739</v>
      </c>
      <c r="P4340">
        <f>-730.236371121769 -151.217141382467 -427.500470597818</f>
        <v>-1308.9539831020538</v>
      </c>
      <c r="Q4340">
        <f>-506.699943063763 -26.7064574444073 -380.910428412556</f>
        <v>-914.31682892072627</v>
      </c>
      <c r="R4340" t="s">
        <v>86143</v>
      </c>
      <c r="S4340" t="s">
        <v>86144</v>
      </c>
      <c r="T4340" t="s">
        <v>86145</v>
      </c>
      <c r="U4340" t="s">
        <v>86146</v>
      </c>
      <c r="V4340">
        <f>-711.153272271675 -44.5117991767127 -232.552934968804</f>
        <v>-988.21800641719165</v>
      </c>
      <c r="W4340" t="s">
        <v>86147</v>
      </c>
      <c r="X4340" t="s">
        <v>86148</v>
      </c>
      <c r="Y4340" t="s">
        <v>86149</v>
      </c>
    </row>
    <row r="4341" spans="1:25" x14ac:dyDescent="0.3">
      <c r="A4341">
        <v>217000</v>
      </c>
      <c r="B4341" t="s">
        <v>86150</v>
      </c>
      <c r="C4341" t="s">
        <v>86151</v>
      </c>
      <c r="D4341" t="s">
        <v>86152</v>
      </c>
      <c r="E4341" t="s">
        <v>86153</v>
      </c>
      <c r="F4341" t="s">
        <v>86154</v>
      </c>
      <c r="G4341" t="s">
        <v>86155</v>
      </c>
      <c r="H4341" t="s">
        <v>86156</v>
      </c>
      <c r="I4341" t="s">
        <v>86157</v>
      </c>
      <c r="J4341" t="s">
        <v>86158</v>
      </c>
      <c r="K4341" t="s">
        <v>86159</v>
      </c>
      <c r="L4341" t="s">
        <v>86160</v>
      </c>
      <c r="M4341" t="s">
        <v>86161</v>
      </c>
      <c r="N4341" t="s">
        <v>86162</v>
      </c>
      <c r="O4341">
        <f>-743.317778344689 -120.832091981744 -742.140156482986</f>
        <v>-1606.290026809419</v>
      </c>
      <c r="P4341">
        <f>-730.497637578888 -151.69921357079 -427.387814804228</f>
        <v>-1309.5846659539061</v>
      </c>
      <c r="Q4341">
        <f>-506.885513664179 -27.305618726871 -380.848630941156</f>
        <v>-915.03976333220601</v>
      </c>
      <c r="R4341" t="s">
        <v>86163</v>
      </c>
      <c r="S4341" t="s">
        <v>86164</v>
      </c>
      <c r="T4341" t="s">
        <v>86165</v>
      </c>
      <c r="U4341" t="s">
        <v>86166</v>
      </c>
      <c r="V4341">
        <f>-711.356485080603 -44.9644163294456 -232.447119844801</f>
        <v>-988.7680212548496</v>
      </c>
      <c r="W4341" t="s">
        <v>86167</v>
      </c>
      <c r="X4341" t="s">
        <v>86168</v>
      </c>
      <c r="Y4341" t="s">
        <v>86169</v>
      </c>
    </row>
    <row r="4342" spans="1:25" x14ac:dyDescent="0.3">
      <c r="A4342">
        <v>217050</v>
      </c>
      <c r="B4342" t="s">
        <v>86170</v>
      </c>
      <c r="C4342" t="s">
        <v>86171</v>
      </c>
      <c r="D4342" t="s">
        <v>86172</v>
      </c>
      <c r="E4342" t="s">
        <v>86173</v>
      </c>
      <c r="F4342" t="s">
        <v>86174</v>
      </c>
      <c r="G4342" t="s">
        <v>86175</v>
      </c>
      <c r="H4342" t="s">
        <v>86176</v>
      </c>
      <c r="I4342" t="s">
        <v>86177</v>
      </c>
      <c r="J4342" t="s">
        <v>86178</v>
      </c>
      <c r="K4342" t="s">
        <v>86179</v>
      </c>
      <c r="L4342" t="s">
        <v>86180</v>
      </c>
      <c r="M4342" t="s">
        <v>86181</v>
      </c>
      <c r="N4342" t="s">
        <v>86182</v>
      </c>
      <c r="O4342">
        <f>-743.676520428062 -121.538632045095 -741.936753516884</f>
        <v>-1607.1519059900411</v>
      </c>
      <c r="P4342">
        <f>-730.749588988318 -152.414391497028 -427.189643035904</f>
        <v>-1310.35362352125</v>
      </c>
      <c r="Q4342">
        <f>-506.986667428334 -28.2708464724312 -380.707049293298</f>
        <v>-915.9645631940632</v>
      </c>
      <c r="R4342" t="s">
        <v>86183</v>
      </c>
      <c r="S4342" t="s">
        <v>86184</v>
      </c>
      <c r="T4342" t="s">
        <v>86185</v>
      </c>
      <c r="U4342" t="s">
        <v>86186</v>
      </c>
      <c r="V4342">
        <f>-711.683289470341 -45.6757228418437 -232.289190443194</f>
        <v>-989.64820275537875</v>
      </c>
      <c r="W4342" t="s">
        <v>86187</v>
      </c>
      <c r="X4342" t="s">
        <v>86188</v>
      </c>
      <c r="Y4342" t="s">
        <v>86189</v>
      </c>
    </row>
    <row r="4343" spans="1:25" x14ac:dyDescent="0.3">
      <c r="A4343">
        <v>217100</v>
      </c>
      <c r="B4343" t="s">
        <v>86190</v>
      </c>
      <c r="C4343" t="s">
        <v>86191</v>
      </c>
      <c r="D4343" t="s">
        <v>86192</v>
      </c>
      <c r="E4343" t="s">
        <v>86193</v>
      </c>
      <c r="F4343" t="s">
        <v>86194</v>
      </c>
      <c r="G4343" t="s">
        <v>86195</v>
      </c>
      <c r="H4343" t="s">
        <v>86196</v>
      </c>
      <c r="I4343" t="s">
        <v>86197</v>
      </c>
      <c r="J4343" t="s">
        <v>86198</v>
      </c>
      <c r="K4343" t="s">
        <v>86199</v>
      </c>
      <c r="L4343" t="s">
        <v>86200</v>
      </c>
      <c r="M4343" t="s">
        <v>86201</v>
      </c>
      <c r="N4343" t="s">
        <v>86202</v>
      </c>
      <c r="O4343">
        <f>-743.779446583111 -121.857929752761 -741.819919920289</f>
        <v>-1607.457296256161</v>
      </c>
      <c r="P4343">
        <f>-730.836723634347 -152.814852838571 -427.081398705448</f>
        <v>-1310.7329751783659</v>
      </c>
      <c r="Q4343">
        <f>-506.987572034007 -28.8130250147969 -380.635990221618</f>
        <v>-916.4365872704218</v>
      </c>
      <c r="R4343" t="s">
        <v>86203</v>
      </c>
      <c r="S4343" t="s">
        <v>86204</v>
      </c>
      <c r="T4343" t="s">
        <v>86205</v>
      </c>
      <c r="U4343" t="s">
        <v>86206</v>
      </c>
      <c r="V4343">
        <f>-711.802969221009 -45.9807314015006 -232.217449474035</f>
        <v>-990.00115009654462</v>
      </c>
      <c r="W4343" t="s">
        <v>86207</v>
      </c>
      <c r="X4343" t="s">
        <v>86208</v>
      </c>
      <c r="Y4343" t="s">
        <v>86209</v>
      </c>
    </row>
    <row r="4344" spans="1:25" x14ac:dyDescent="0.3">
      <c r="A4344">
        <v>217150</v>
      </c>
      <c r="B4344" t="s">
        <v>86210</v>
      </c>
      <c r="C4344" t="s">
        <v>86211</v>
      </c>
      <c r="D4344" t="s">
        <v>86212</v>
      </c>
      <c r="E4344" t="s">
        <v>86213</v>
      </c>
      <c r="F4344" t="s">
        <v>86214</v>
      </c>
      <c r="G4344" t="s">
        <v>86215</v>
      </c>
      <c r="H4344" t="s">
        <v>86216</v>
      </c>
      <c r="I4344" t="s">
        <v>86217</v>
      </c>
      <c r="J4344" t="s">
        <v>86218</v>
      </c>
      <c r="K4344" t="s">
        <v>86219</v>
      </c>
      <c r="L4344" t="s">
        <v>86220</v>
      </c>
      <c r="M4344" t="s">
        <v>86221</v>
      </c>
      <c r="N4344" t="s">
        <v>86222</v>
      </c>
      <c r="O4344">
        <f>-743.960680509454 -122.476539749895 -741.670195306039</f>
        <v>-1608.107415565388</v>
      </c>
      <c r="P4344">
        <f>-731.159352254213 -153.31949429991 -426.914731713299</f>
        <v>-1311.3935782674221</v>
      </c>
      <c r="Q4344">
        <f>-507.175952744242 -29.5332648325882 -380.542181829184</f>
        <v>-917.25139940601412</v>
      </c>
      <c r="R4344" t="s">
        <v>86223</v>
      </c>
      <c r="S4344" t="s">
        <v>86224</v>
      </c>
      <c r="T4344" t="s">
        <v>86225</v>
      </c>
      <c r="U4344" t="s">
        <v>86226</v>
      </c>
      <c r="V4344">
        <f>-711.981311167154 -46.4284197685099 -232.178479366824</f>
        <v>-990.58821030248794</v>
      </c>
      <c r="W4344" t="s">
        <v>86227</v>
      </c>
      <c r="X4344" t="s">
        <v>86228</v>
      </c>
      <c r="Y4344" t="s">
        <v>86229</v>
      </c>
    </row>
    <row r="4345" spans="1:25" x14ac:dyDescent="0.3">
      <c r="A4345">
        <v>217200</v>
      </c>
      <c r="B4345" t="s">
        <v>86230</v>
      </c>
      <c r="C4345" t="s">
        <v>86231</v>
      </c>
      <c r="D4345" t="s">
        <v>86232</v>
      </c>
      <c r="E4345" t="s">
        <v>86233</v>
      </c>
      <c r="F4345" t="s">
        <v>86234</v>
      </c>
      <c r="G4345" t="s">
        <v>86235</v>
      </c>
      <c r="H4345" t="s">
        <v>86236</v>
      </c>
      <c r="I4345" t="s">
        <v>86237</v>
      </c>
      <c r="J4345" t="s">
        <v>86238</v>
      </c>
      <c r="K4345" t="s">
        <v>86239</v>
      </c>
      <c r="L4345" t="s">
        <v>86240</v>
      </c>
      <c r="M4345" t="s">
        <v>86241</v>
      </c>
      <c r="N4345" t="s">
        <v>86242</v>
      </c>
      <c r="O4345">
        <f>-744.095695927271 -122.63757387623 -741.6109633346</f>
        <v>-1608.3442331381011</v>
      </c>
      <c r="P4345">
        <f>-731.256685779179 -153.406465218252 -426.849705262293</f>
        <v>-1311.512856259724</v>
      </c>
      <c r="Q4345">
        <f>-507.238500560659 -29.6735757614986 -380.502238048465</f>
        <v>-917.41431437062261</v>
      </c>
      <c r="R4345" t="s">
        <v>86243</v>
      </c>
      <c r="S4345" t="s">
        <v>86244</v>
      </c>
      <c r="T4345" t="s">
        <v>86245</v>
      </c>
      <c r="U4345" t="s">
        <v>86246</v>
      </c>
      <c r="V4345">
        <f>-712.007804754619 -46.5312268358177 -232.183718730176</f>
        <v>-990.7227503206127</v>
      </c>
      <c r="W4345" t="s">
        <v>86247</v>
      </c>
      <c r="X4345" t="s">
        <v>86248</v>
      </c>
      <c r="Y4345" t="s">
        <v>86249</v>
      </c>
    </row>
    <row r="4346" spans="1:25" x14ac:dyDescent="0.3">
      <c r="A4346">
        <v>217250</v>
      </c>
      <c r="B4346" t="s">
        <v>86250</v>
      </c>
      <c r="C4346" t="s">
        <v>86251</v>
      </c>
      <c r="D4346" t="s">
        <v>86252</v>
      </c>
      <c r="E4346" t="s">
        <v>86253</v>
      </c>
      <c r="F4346" t="s">
        <v>86254</v>
      </c>
      <c r="G4346" t="s">
        <v>86255</v>
      </c>
      <c r="H4346" t="s">
        <v>86256</v>
      </c>
      <c r="I4346" t="s">
        <v>86257</v>
      </c>
      <c r="J4346" t="s">
        <v>86258</v>
      </c>
      <c r="K4346" t="s">
        <v>86259</v>
      </c>
      <c r="L4346" t="s">
        <v>86260</v>
      </c>
      <c r="M4346" t="s">
        <v>86261</v>
      </c>
      <c r="N4346" t="s">
        <v>86262</v>
      </c>
      <c r="O4346">
        <f>-744.433513398133 -122.849486891752 -741.412058144967</f>
        <v>-1608.6950584348519</v>
      </c>
      <c r="P4346">
        <f>-731.455145724718 -153.436299480216 -426.638854992419</f>
        <v>-1311.530300197353</v>
      </c>
      <c r="Q4346">
        <f>-507.32687179632 -29.8941042913725 -380.314893333835</f>
        <v>-917.53586942152754</v>
      </c>
      <c r="R4346" t="s">
        <v>86263</v>
      </c>
      <c r="S4346" t="s">
        <v>86264</v>
      </c>
      <c r="T4346" t="s">
        <v>86265</v>
      </c>
      <c r="U4346" t="s">
        <v>86266</v>
      </c>
      <c r="V4346">
        <f>-712.146092837959 -46.6215109313903 -232.195193013407</f>
        <v>-990.9627967827563</v>
      </c>
      <c r="W4346" t="s">
        <v>86267</v>
      </c>
      <c r="X4346" t="s">
        <v>86268</v>
      </c>
      <c r="Y4346" t="s">
        <v>86269</v>
      </c>
    </row>
    <row r="4347" spans="1:25" x14ac:dyDescent="0.3">
      <c r="A4347">
        <v>217300</v>
      </c>
      <c r="B4347" t="s">
        <v>86270</v>
      </c>
      <c r="C4347" t="s">
        <v>86271</v>
      </c>
      <c r="D4347" t="s">
        <v>86272</v>
      </c>
      <c r="E4347" t="s">
        <v>86273</v>
      </c>
      <c r="F4347" t="s">
        <v>86274</v>
      </c>
      <c r="G4347" t="s">
        <v>86275</v>
      </c>
      <c r="H4347" t="s">
        <v>86276</v>
      </c>
      <c r="I4347" t="s">
        <v>86277</v>
      </c>
      <c r="J4347" t="s">
        <v>86278</v>
      </c>
      <c r="K4347" t="s">
        <v>86279</v>
      </c>
      <c r="L4347" t="s">
        <v>86280</v>
      </c>
      <c r="M4347" t="s">
        <v>86281</v>
      </c>
      <c r="N4347" t="s">
        <v>86282</v>
      </c>
      <c r="O4347">
        <f>-744.576850436509 -122.790294207785 -741.336407733795</f>
        <v>-1608.7035523780889</v>
      </c>
      <c r="P4347">
        <f>-731.595062730528 -153.268108556483 -426.552667226835</f>
        <v>-1311.415838513846</v>
      </c>
      <c r="Q4347">
        <f>-507.41674980027 -29.7914128478342 -380.296299067926</f>
        <v>-917.50446171603016</v>
      </c>
      <c r="R4347" t="s">
        <v>86283</v>
      </c>
      <c r="S4347" t="s">
        <v>86284</v>
      </c>
      <c r="T4347" t="s">
        <v>86285</v>
      </c>
      <c r="U4347" t="s">
        <v>86286</v>
      </c>
      <c r="V4347">
        <f>-712.149868554162 -46.5535387378718 -232.20973272515</f>
        <v>-990.91314001718388</v>
      </c>
      <c r="W4347" t="s">
        <v>86287</v>
      </c>
      <c r="X4347" t="s">
        <v>86288</v>
      </c>
      <c r="Y4347" t="s">
        <v>86289</v>
      </c>
    </row>
    <row r="4348" spans="1:25" x14ac:dyDescent="0.3">
      <c r="A4348">
        <v>217350</v>
      </c>
      <c r="B4348" t="s">
        <v>86290</v>
      </c>
      <c r="C4348" t="s">
        <v>86291</v>
      </c>
      <c r="D4348" t="s">
        <v>86292</v>
      </c>
      <c r="E4348" t="s">
        <v>86293</v>
      </c>
      <c r="F4348" t="s">
        <v>86294</v>
      </c>
      <c r="G4348" t="s">
        <v>86295</v>
      </c>
      <c r="H4348" t="s">
        <v>86296</v>
      </c>
      <c r="I4348" t="s">
        <v>86297</v>
      </c>
      <c r="J4348" t="s">
        <v>86298</v>
      </c>
      <c r="K4348" t="s">
        <v>86299</v>
      </c>
      <c r="L4348" t="s">
        <v>86300</v>
      </c>
      <c r="M4348" t="s">
        <v>86301</v>
      </c>
      <c r="N4348" t="s">
        <v>86302</v>
      </c>
      <c r="O4348">
        <f>-744.708796947493 -122.502425900329 -741.233871080587</f>
        <v>-1608.4450939284091</v>
      </c>
      <c r="P4348">
        <f>-731.690691637035 -152.889838691738 -426.442976741369</f>
        <v>-1311.0235070701419</v>
      </c>
      <c r="Q4348">
        <f>-507.393388378457 -29.5505813870336 -380.39658536892</f>
        <v>-917.34055513441058</v>
      </c>
      <c r="R4348" t="s">
        <v>86303</v>
      </c>
      <c r="S4348" t="s">
        <v>86304</v>
      </c>
      <c r="T4348" t="s">
        <v>86305</v>
      </c>
      <c r="U4348" t="s">
        <v>86306</v>
      </c>
      <c r="V4348">
        <f>-712.155299612118 -46.2698906990286 -232.263079537053</f>
        <v>-990.68826984819952</v>
      </c>
      <c r="W4348" t="s">
        <v>86307</v>
      </c>
      <c r="X4348" t="s">
        <v>86308</v>
      </c>
      <c r="Y4348" t="s">
        <v>86309</v>
      </c>
    </row>
    <row r="4349" spans="1:25" x14ac:dyDescent="0.3">
      <c r="A4349">
        <v>217400</v>
      </c>
      <c r="B4349" t="s">
        <v>86310</v>
      </c>
      <c r="C4349" t="s">
        <v>86311</v>
      </c>
      <c r="D4349" t="s">
        <v>86312</v>
      </c>
      <c r="E4349" t="s">
        <v>86313</v>
      </c>
      <c r="F4349" t="s">
        <v>86314</v>
      </c>
      <c r="G4349" t="s">
        <v>86315</v>
      </c>
      <c r="H4349" t="s">
        <v>86316</v>
      </c>
      <c r="I4349" t="s">
        <v>86317</v>
      </c>
      <c r="J4349" t="s">
        <v>86318</v>
      </c>
      <c r="K4349" t="s">
        <v>86319</v>
      </c>
      <c r="L4349" t="s">
        <v>86320</v>
      </c>
      <c r="M4349" t="s">
        <v>86321</v>
      </c>
      <c r="N4349" t="s">
        <v>86322</v>
      </c>
      <c r="O4349">
        <f>-744.853716131219 -122.314027140618 -741.163518851551</f>
        <v>-1608.3312621233881</v>
      </c>
      <c r="P4349">
        <f>-731.842935332994 -152.678785408138 -426.370111455972</f>
        <v>-1310.8918321971039</v>
      </c>
      <c r="Q4349">
        <f>-507.452956884837 -29.45726494571 -380.460560522827</f>
        <v>-917.37078235337401</v>
      </c>
      <c r="R4349" t="s">
        <v>86323</v>
      </c>
      <c r="S4349" t="s">
        <v>86324</v>
      </c>
      <c r="T4349" t="s">
        <v>86325</v>
      </c>
      <c r="U4349" t="s">
        <v>86326</v>
      </c>
      <c r="V4349">
        <f>-712.234120026928 -46.1168822007357 -232.276950743661</f>
        <v>-990.62795297132482</v>
      </c>
      <c r="W4349" t="s">
        <v>86327</v>
      </c>
      <c r="X4349" t="s">
        <v>86328</v>
      </c>
      <c r="Y4349" t="s">
        <v>86329</v>
      </c>
    </row>
    <row r="4350" spans="1:25" x14ac:dyDescent="0.3">
      <c r="A4350">
        <v>217450</v>
      </c>
      <c r="B4350" t="s">
        <v>86330</v>
      </c>
      <c r="C4350" t="s">
        <v>86331</v>
      </c>
      <c r="D4350" t="s">
        <v>86332</v>
      </c>
      <c r="E4350" t="s">
        <v>86333</v>
      </c>
      <c r="F4350" t="s">
        <v>86334</v>
      </c>
      <c r="G4350" t="s">
        <v>86335</v>
      </c>
      <c r="H4350" t="s">
        <v>86336</v>
      </c>
      <c r="I4350" t="s">
        <v>86337</v>
      </c>
      <c r="J4350" t="s">
        <v>86338</v>
      </c>
      <c r="K4350" t="s">
        <v>86339</v>
      </c>
      <c r="L4350" t="s">
        <v>86340</v>
      </c>
      <c r="M4350" t="s">
        <v>86341</v>
      </c>
      <c r="N4350" t="s">
        <v>86342</v>
      </c>
      <c r="O4350">
        <f>-745.388944596666 -121.902796544786 -741.107938123377</f>
        <v>-1608.399679264829</v>
      </c>
      <c r="P4350">
        <f>-732.193545219323 -152.212425934613 -426.316829423927</f>
        <v>-1310.7228005778629</v>
      </c>
      <c r="Q4350">
        <f>-507.721635989217 -29.1132740449382 -380.480218401602</f>
        <v>-917.31512843575717</v>
      </c>
      <c r="R4350" t="s">
        <v>86343</v>
      </c>
      <c r="S4350" t="s">
        <v>86344</v>
      </c>
      <c r="T4350" t="s">
        <v>86345</v>
      </c>
      <c r="U4350" t="s">
        <v>86346</v>
      </c>
      <c r="V4350">
        <f>-712.492420355677 -45.7296822701942 -232.308900233469</f>
        <v>-990.53100285934022</v>
      </c>
      <c r="W4350" t="s">
        <v>86347</v>
      </c>
      <c r="X4350" t="s">
        <v>86348</v>
      </c>
      <c r="Y4350" t="s">
        <v>86349</v>
      </c>
    </row>
    <row r="4351" spans="1:25" x14ac:dyDescent="0.3">
      <c r="A4351">
        <v>217500</v>
      </c>
      <c r="B4351" t="s">
        <v>86350</v>
      </c>
      <c r="C4351" t="s">
        <v>86351</v>
      </c>
      <c r="D4351" t="s">
        <v>86352</v>
      </c>
      <c r="E4351" t="s">
        <v>86353</v>
      </c>
      <c r="F4351" t="s">
        <v>86354</v>
      </c>
      <c r="G4351" t="s">
        <v>86355</v>
      </c>
      <c r="H4351" t="s">
        <v>86356</v>
      </c>
      <c r="I4351" t="s">
        <v>86357</v>
      </c>
      <c r="J4351" t="s">
        <v>86358</v>
      </c>
      <c r="K4351" t="s">
        <v>86359</v>
      </c>
      <c r="L4351" t="s">
        <v>86360</v>
      </c>
      <c r="M4351" t="s">
        <v>86361</v>
      </c>
      <c r="N4351" t="s">
        <v>86362</v>
      </c>
      <c r="O4351">
        <f>-745.736966970089 -121.670392534235 -741.060153621921</f>
        <v>-1608.4675131262452</v>
      </c>
      <c r="P4351">
        <f>-732.451713860497 -151.948962736517 -426.270010510064</f>
        <v>-1310.6706871070778</v>
      </c>
      <c r="Q4351">
        <f>-507.946625332569 -28.865655071487 -380.553298692132</f>
        <v>-917.36557909618796</v>
      </c>
      <c r="R4351" t="s">
        <v>86363</v>
      </c>
      <c r="S4351" t="s">
        <v>86364</v>
      </c>
      <c r="T4351" t="s">
        <v>86365</v>
      </c>
      <c r="U4351" t="s">
        <v>86366</v>
      </c>
      <c r="V4351">
        <f>-712.689090620683 -45.4951156537547 -232.320644487798</f>
        <v>-990.50485076223572</v>
      </c>
      <c r="W4351" t="s">
        <v>86367</v>
      </c>
      <c r="X4351" t="s">
        <v>86368</v>
      </c>
      <c r="Y4351" t="s">
        <v>86369</v>
      </c>
    </row>
    <row r="4352" spans="1:25" x14ac:dyDescent="0.3">
      <c r="A4352">
        <v>217550</v>
      </c>
      <c r="B4352" t="s">
        <v>86370</v>
      </c>
      <c r="C4352" t="s">
        <v>86371</v>
      </c>
      <c r="D4352" t="s">
        <v>86372</v>
      </c>
      <c r="E4352" t="s">
        <v>86373</v>
      </c>
      <c r="F4352" t="s">
        <v>86374</v>
      </c>
      <c r="G4352" t="s">
        <v>86375</v>
      </c>
      <c r="H4352" t="s">
        <v>86376</v>
      </c>
      <c r="I4352" t="s">
        <v>86377</v>
      </c>
      <c r="J4352" t="s">
        <v>86378</v>
      </c>
      <c r="K4352" t="s">
        <v>86379</v>
      </c>
      <c r="L4352" t="s">
        <v>86380</v>
      </c>
      <c r="M4352" t="s">
        <v>86381</v>
      </c>
      <c r="N4352" t="s">
        <v>86382</v>
      </c>
      <c r="O4352">
        <f>-746.47722456815 -121.260720909445 -740.992361182224</f>
        <v>-1608.730306659819</v>
      </c>
      <c r="P4352">
        <f>-733.063094522275 -151.472753339067 -426.201259176562</f>
        <v>-1310.737107037904</v>
      </c>
      <c r="Q4352">
        <f>-508.481469956837 -28.4775563125502 -380.623257633175</f>
        <v>-917.58228390256227</v>
      </c>
      <c r="R4352" t="s">
        <v>86383</v>
      </c>
      <c r="S4352" t="s">
        <v>86384</v>
      </c>
      <c r="T4352" t="s">
        <v>86385</v>
      </c>
      <c r="U4352" t="s">
        <v>86386</v>
      </c>
      <c r="V4352">
        <f>-713.165760467053 -45.0601843442601 -232.341669221364</f>
        <v>-990.56761403267706</v>
      </c>
      <c r="W4352" t="s">
        <v>86387</v>
      </c>
      <c r="X4352" t="s">
        <v>86388</v>
      </c>
      <c r="Y4352" t="s">
        <v>86389</v>
      </c>
    </row>
    <row r="4353" spans="1:25" x14ac:dyDescent="0.3">
      <c r="A4353">
        <v>217600</v>
      </c>
      <c r="B4353" t="s">
        <v>86390</v>
      </c>
      <c r="C4353" t="s">
        <v>86391</v>
      </c>
      <c r="D4353" t="s">
        <v>86392</v>
      </c>
      <c r="E4353" t="s">
        <v>86393</v>
      </c>
      <c r="F4353" t="s">
        <v>86394</v>
      </c>
      <c r="G4353" t="s">
        <v>86395</v>
      </c>
      <c r="H4353" t="s">
        <v>86396</v>
      </c>
      <c r="I4353" t="s">
        <v>86397</v>
      </c>
      <c r="J4353" t="s">
        <v>86398</v>
      </c>
      <c r="K4353" t="s">
        <v>86399</v>
      </c>
      <c r="L4353" t="s">
        <v>86400</v>
      </c>
      <c r="M4353" t="s">
        <v>86401</v>
      </c>
      <c r="N4353" t="s">
        <v>86402</v>
      </c>
      <c r="O4353">
        <f>-746.867967008586 -121.065540143326 -741.003998900647</f>
        <v>-1608.937506052559</v>
      </c>
      <c r="P4353">
        <f>-733.385625498494 -151.223153078262 -426.210499814591</f>
        <v>-1310.8192783913471</v>
      </c>
      <c r="Q4353">
        <f>-508.762077729077 -28.2696617206495 -380.727268899178</f>
        <v>-917.75900834890444</v>
      </c>
      <c r="R4353" t="s">
        <v>86403</v>
      </c>
      <c r="S4353" t="s">
        <v>86404</v>
      </c>
      <c r="T4353" t="s">
        <v>86405</v>
      </c>
      <c r="U4353" t="s">
        <v>86406</v>
      </c>
      <c r="V4353">
        <f>-713.455145991452 -44.8554828367471 -232.356958842803</f>
        <v>-990.66758767100214</v>
      </c>
      <c r="W4353" t="s">
        <v>86407</v>
      </c>
      <c r="X4353" t="s">
        <v>86408</v>
      </c>
      <c r="Y4353" t="s">
        <v>86409</v>
      </c>
    </row>
    <row r="4354" spans="1:25" x14ac:dyDescent="0.3">
      <c r="A4354">
        <v>217650</v>
      </c>
      <c r="B4354" t="s">
        <v>86410</v>
      </c>
      <c r="C4354" t="s">
        <v>86411</v>
      </c>
      <c r="D4354" t="s">
        <v>86412</v>
      </c>
      <c r="E4354" t="s">
        <v>86413</v>
      </c>
      <c r="F4354" t="s">
        <v>86414</v>
      </c>
      <c r="G4354" t="s">
        <v>86415</v>
      </c>
      <c r="H4354" t="s">
        <v>86416</v>
      </c>
      <c r="I4354" t="s">
        <v>86417</v>
      </c>
      <c r="J4354" t="s">
        <v>86418</v>
      </c>
      <c r="K4354" t="s">
        <v>86419</v>
      </c>
      <c r="L4354" t="s">
        <v>86420</v>
      </c>
      <c r="M4354" t="s">
        <v>86421</v>
      </c>
      <c r="N4354" t="s">
        <v>86422</v>
      </c>
      <c r="O4354">
        <f>-747.54037226231 -120.707433263273 -740.977027457519</f>
        <v>-1609.224832983102</v>
      </c>
      <c r="P4354">
        <f>-733.978472774392 -150.904210649058 -426.190728204748</f>
        <v>-1311.0734116281978</v>
      </c>
      <c r="Q4354">
        <f>-509.377565358503 -27.8768061038438 -380.795381367244</f>
        <v>-918.04975282959072</v>
      </c>
      <c r="R4354" t="s">
        <v>86423</v>
      </c>
      <c r="S4354" t="s">
        <v>86424</v>
      </c>
      <c r="T4354" t="s">
        <v>86425</v>
      </c>
      <c r="U4354" t="s">
        <v>86426</v>
      </c>
      <c r="V4354">
        <f>-714.073894285405 -44.4866994964173 -232.375497254217</f>
        <v>-990.93609103603922</v>
      </c>
      <c r="W4354" t="s">
        <v>86427</v>
      </c>
      <c r="X4354" t="s">
        <v>86428</v>
      </c>
      <c r="Y4354" t="s">
        <v>86429</v>
      </c>
    </row>
    <row r="4355" spans="1:25" x14ac:dyDescent="0.3">
      <c r="A4355">
        <v>217700</v>
      </c>
      <c r="B4355" t="s">
        <v>86430</v>
      </c>
      <c r="C4355" t="s">
        <v>86431</v>
      </c>
      <c r="D4355" t="s">
        <v>86432</v>
      </c>
      <c r="E4355" t="s">
        <v>86433</v>
      </c>
      <c r="F4355" t="s">
        <v>86434</v>
      </c>
      <c r="G4355" t="s">
        <v>86435</v>
      </c>
      <c r="H4355" t="s">
        <v>86436</v>
      </c>
      <c r="I4355" t="s">
        <v>86437</v>
      </c>
      <c r="J4355" t="s">
        <v>86438</v>
      </c>
      <c r="K4355" t="s">
        <v>86439</v>
      </c>
      <c r="L4355" t="s">
        <v>86440</v>
      </c>
      <c r="M4355" t="s">
        <v>86441</v>
      </c>
      <c r="N4355" t="s">
        <v>86442</v>
      </c>
      <c r="O4355">
        <f>-747.613373913038 -120.552535953486 -740.91545686826</f>
        <v>-1609.0813667347838</v>
      </c>
      <c r="P4355">
        <f>-733.976041393685 -150.866942814734 -426.143705757807</f>
        <v>-1310.9866899662261</v>
      </c>
      <c r="Q4355">
        <f>-509.401771781954 -27.7907037661826 -380.748620287362</f>
        <v>-917.94109583549857</v>
      </c>
      <c r="R4355" t="s">
        <v>86443</v>
      </c>
      <c r="S4355" t="s">
        <v>86444</v>
      </c>
      <c r="T4355" t="s">
        <v>86445</v>
      </c>
      <c r="U4355" t="s">
        <v>86446</v>
      </c>
      <c r="V4355">
        <f>-714.430784468468 -44.3045264339219 -232.372361119334</f>
        <v>-991.10767202172383</v>
      </c>
      <c r="W4355" t="s">
        <v>86447</v>
      </c>
      <c r="X4355" t="s">
        <v>86448</v>
      </c>
      <c r="Y4355" t="s">
        <v>86449</v>
      </c>
    </row>
    <row r="4356" spans="1:25" x14ac:dyDescent="0.3">
      <c r="A4356">
        <v>217750</v>
      </c>
      <c r="B4356" t="s">
        <v>86450</v>
      </c>
      <c r="C4356" t="s">
        <v>86451</v>
      </c>
      <c r="D4356" t="s">
        <v>86452</v>
      </c>
      <c r="E4356" t="s">
        <v>86453</v>
      </c>
      <c r="F4356" t="s">
        <v>86454</v>
      </c>
      <c r="G4356" t="s">
        <v>86455</v>
      </c>
      <c r="H4356" t="s">
        <v>86456</v>
      </c>
      <c r="I4356" t="s">
        <v>86457</v>
      </c>
      <c r="J4356" t="s">
        <v>86458</v>
      </c>
      <c r="K4356" t="s">
        <v>86459</v>
      </c>
      <c r="L4356" t="s">
        <v>86460</v>
      </c>
      <c r="M4356" t="s">
        <v>86461</v>
      </c>
      <c r="N4356" t="s">
        <v>86462</v>
      </c>
      <c r="O4356">
        <f>-747.142896900352 -120.078442040688 -740.888733020341</f>
        <v>-1608.110071961381</v>
      </c>
      <c r="P4356">
        <f>-733.975690643302 -150.195011477516 -426.078015601399</f>
        <v>-1310.248717722217</v>
      </c>
      <c r="Q4356">
        <f>-509.670654723727 -26.6722248288618 -380.565297020516</f>
        <v>-916.90817657310481</v>
      </c>
      <c r="R4356" t="s">
        <v>86463</v>
      </c>
      <c r="S4356" t="s">
        <v>86464</v>
      </c>
      <c r="T4356" t="s">
        <v>86465</v>
      </c>
      <c r="U4356" t="s">
        <v>86466</v>
      </c>
      <c r="V4356">
        <f>-715.254934248059 -43.9824451528148 -232.365293559439</f>
        <v>-991.60267296031282</v>
      </c>
      <c r="W4356" t="s">
        <v>86467</v>
      </c>
      <c r="X4356" t="s">
        <v>86468</v>
      </c>
      <c r="Y4356" t="s">
        <v>86469</v>
      </c>
    </row>
    <row r="4357" spans="1:25" x14ac:dyDescent="0.3">
      <c r="A4357">
        <v>217800</v>
      </c>
      <c r="B4357" t="s">
        <v>86470</v>
      </c>
      <c r="C4357" t="s">
        <v>86471</v>
      </c>
      <c r="D4357" t="s">
        <v>86472</v>
      </c>
      <c r="E4357" t="s">
        <v>86473</v>
      </c>
      <c r="F4357" t="s">
        <v>86474</v>
      </c>
      <c r="G4357" t="s">
        <v>86475</v>
      </c>
      <c r="H4357" t="s">
        <v>86476</v>
      </c>
      <c r="I4357" t="s">
        <v>86477</v>
      </c>
      <c r="J4357" t="s">
        <v>86478</v>
      </c>
      <c r="K4357" t="s">
        <v>86479</v>
      </c>
      <c r="L4357" t="s">
        <v>86480</v>
      </c>
      <c r="M4357" t="s">
        <v>86481</v>
      </c>
      <c r="N4357" t="s">
        <v>86482</v>
      </c>
      <c r="O4357">
        <f>-746.41636149724 -120.529040346219 -740.725101920845</f>
        <v>-1607.6705037643039</v>
      </c>
      <c r="P4357">
        <f>-733.946670940782 -150.469666451154 -425.869381782904</f>
        <v>-1310.2857191748401</v>
      </c>
      <c r="Q4357">
        <f>-510.351133420645 -25.8026658840711 -379.986052190204</f>
        <v>-916.13985149492009</v>
      </c>
      <c r="R4357" t="s">
        <v>86483</v>
      </c>
      <c r="S4357" t="s">
        <v>86484</v>
      </c>
      <c r="T4357" t="s">
        <v>86485</v>
      </c>
      <c r="U4357" t="s">
        <v>86486</v>
      </c>
      <c r="V4357">
        <f>-716.161248262562 -43.8639403321706 -232.348919053098</f>
        <v>-992.37410764783067</v>
      </c>
      <c r="W4357" t="s">
        <v>86487</v>
      </c>
      <c r="X4357" t="s">
        <v>86488</v>
      </c>
      <c r="Y4357" t="s">
        <v>86489</v>
      </c>
    </row>
    <row r="4358" spans="1:25" x14ac:dyDescent="0.3">
      <c r="A4358">
        <v>217850</v>
      </c>
      <c r="B4358" t="s">
        <v>86490</v>
      </c>
      <c r="C4358" t="s">
        <v>86491</v>
      </c>
      <c r="D4358" t="s">
        <v>86492</v>
      </c>
      <c r="E4358" t="s">
        <v>86493</v>
      </c>
      <c r="F4358" t="s">
        <v>86494</v>
      </c>
      <c r="G4358" t="s">
        <v>86495</v>
      </c>
      <c r="H4358" t="s">
        <v>86496</v>
      </c>
      <c r="I4358" t="s">
        <v>86497</v>
      </c>
      <c r="J4358" t="s">
        <v>86498</v>
      </c>
      <c r="K4358" t="s">
        <v>86499</v>
      </c>
      <c r="L4358" t="s">
        <v>86500</v>
      </c>
      <c r="M4358" t="s">
        <v>86501</v>
      </c>
      <c r="N4358" t="s">
        <v>86502</v>
      </c>
      <c r="O4358">
        <f>-745.776015571042 -120.65689409326 -740.594928445276</f>
        <v>-1607.0278381095779</v>
      </c>
      <c r="P4358">
        <f>-733.572631217018 -150.397121057727 -425.709625774932</f>
        <v>-1309.6793780496771</v>
      </c>
      <c r="Q4358">
        <f>-510.470561657194 -24.9462825691892 -379.561466931524</f>
        <v>-914.97831115790723</v>
      </c>
      <c r="R4358" t="s">
        <v>86503</v>
      </c>
      <c r="S4358" t="s">
        <v>86504</v>
      </c>
      <c r="T4358" t="s">
        <v>86505</v>
      </c>
      <c r="U4358" t="s">
        <v>86506</v>
      </c>
      <c r="V4358">
        <f>-716.492608440707 -43.7317130498047 -232.33006088716</f>
        <v>-992.5543823776718</v>
      </c>
      <c r="W4358" t="s">
        <v>86507</v>
      </c>
      <c r="X4358" t="s">
        <v>86508</v>
      </c>
      <c r="Y4358" t="s">
        <v>86509</v>
      </c>
    </row>
    <row r="4359" spans="1:25" x14ac:dyDescent="0.3">
      <c r="A4359">
        <v>217900</v>
      </c>
      <c r="B4359" t="s">
        <v>86510</v>
      </c>
      <c r="C4359" t="s">
        <v>86511</v>
      </c>
      <c r="D4359" t="s">
        <v>86512</v>
      </c>
      <c r="E4359" t="s">
        <v>86513</v>
      </c>
      <c r="F4359" t="s">
        <v>86514</v>
      </c>
      <c r="G4359" t="s">
        <v>86515</v>
      </c>
      <c r="H4359" t="s">
        <v>86516</v>
      </c>
      <c r="I4359" t="s">
        <v>86517</v>
      </c>
      <c r="J4359" t="s">
        <v>86518</v>
      </c>
      <c r="K4359" t="s">
        <v>86519</v>
      </c>
      <c r="L4359" t="s">
        <v>86520</v>
      </c>
      <c r="M4359" t="s">
        <v>86521</v>
      </c>
      <c r="N4359" t="s">
        <v>86522</v>
      </c>
      <c r="O4359">
        <f>-745.134731310457 -120.757456423786 -740.472662689499</f>
        <v>-1606.3648504237422</v>
      </c>
      <c r="P4359">
        <f>-733.180989800799 -150.194525349616 -425.549261107091</f>
        <v>-1308.924776257506</v>
      </c>
      <c r="Q4359">
        <f>-510.693348915724 -23.7448821444609 -379.162096934776</f>
        <v>-913.60032799496094</v>
      </c>
      <c r="R4359" t="s">
        <v>86523</v>
      </c>
      <c r="S4359" t="s">
        <v>86524</v>
      </c>
      <c r="T4359" t="s">
        <v>86525</v>
      </c>
      <c r="U4359" t="s">
        <v>86526</v>
      </c>
      <c r="V4359">
        <f>-716.789733250391 -43.6558220403729 -232.314628041333</f>
        <v>-992.76018333209686</v>
      </c>
      <c r="W4359" t="s">
        <v>86527</v>
      </c>
      <c r="X4359" t="s">
        <v>86528</v>
      </c>
      <c r="Y4359" t="s">
        <v>86529</v>
      </c>
    </row>
    <row r="4360" spans="1:25" x14ac:dyDescent="0.3">
      <c r="A4360">
        <v>217950</v>
      </c>
      <c r="B4360" t="s">
        <v>86530</v>
      </c>
      <c r="C4360" t="s">
        <v>86531</v>
      </c>
      <c r="D4360" t="s">
        <v>86532</v>
      </c>
      <c r="E4360" t="s">
        <v>86533</v>
      </c>
      <c r="F4360" t="s">
        <v>86534</v>
      </c>
      <c r="G4360" t="s">
        <v>86535</v>
      </c>
      <c r="H4360" t="s">
        <v>86536</v>
      </c>
      <c r="I4360" t="s">
        <v>86537</v>
      </c>
      <c r="J4360" t="s">
        <v>86538</v>
      </c>
      <c r="K4360" t="s">
        <v>86539</v>
      </c>
      <c r="L4360" t="s">
        <v>86540</v>
      </c>
      <c r="M4360" t="s">
        <v>86541</v>
      </c>
      <c r="N4360" t="s">
        <v>86542</v>
      </c>
      <c r="O4360">
        <f>-744.38389155192 -120.817311048796 -740.348376694366</f>
        <v>-1605.5495792950819</v>
      </c>
      <c r="P4360">
        <f>-732.703778425839 -149.850736710332 -425.377250485121</f>
        <v>-1307.931765621292</v>
      </c>
      <c r="Q4360">
        <f>-510.898217291103 -22.2936133225683 -378.755524254917</f>
        <v>-911.94735486858826</v>
      </c>
      <c r="R4360" t="s">
        <v>86543</v>
      </c>
      <c r="S4360" t="s">
        <v>86544</v>
      </c>
      <c r="T4360" t="s">
        <v>86545</v>
      </c>
      <c r="U4360" t="s">
        <v>86546</v>
      </c>
      <c r="V4360">
        <f>-717.03601425494 -43.6107521287279 -232.298386675704</f>
        <v>-992.94515305937193</v>
      </c>
      <c r="W4360" t="s">
        <v>86547</v>
      </c>
      <c r="X4360" t="s">
        <v>86548</v>
      </c>
      <c r="Y4360" t="s">
        <v>86549</v>
      </c>
    </row>
    <row r="4361" spans="1:25" x14ac:dyDescent="0.3">
      <c r="A4361">
        <v>218000</v>
      </c>
      <c r="B4361" t="s">
        <v>86550</v>
      </c>
      <c r="C4361" t="s">
        <v>86551</v>
      </c>
      <c r="D4361" t="s">
        <v>86552</v>
      </c>
      <c r="E4361" t="s">
        <v>86553</v>
      </c>
      <c r="F4361" t="s">
        <v>86554</v>
      </c>
      <c r="G4361" t="s">
        <v>86555</v>
      </c>
      <c r="H4361" t="s">
        <v>86556</v>
      </c>
      <c r="I4361" t="s">
        <v>86557</v>
      </c>
      <c r="J4361" t="s">
        <v>86558</v>
      </c>
      <c r="K4361" t="s">
        <v>86559</v>
      </c>
      <c r="L4361" t="s">
        <v>86560</v>
      </c>
      <c r="M4361" t="s">
        <v>86561</v>
      </c>
      <c r="N4361" t="s">
        <v>86562</v>
      </c>
      <c r="O4361">
        <f>-743.493640036967 -120.828993024498 -740.261905193521</f>
        <v>-1604.584538254986</v>
      </c>
      <c r="P4361">
        <f>-732.051483579472 -149.606278023814 -425.258538400857</f>
        <v>-1306.9163000041431</v>
      </c>
      <c r="Q4361">
        <f>-510.960004251941 -20.9192149635585 -378.351463710949</f>
        <v>-910.23068292644848</v>
      </c>
      <c r="R4361" t="s">
        <v>86563</v>
      </c>
      <c r="S4361" t="s">
        <v>86564</v>
      </c>
      <c r="T4361" t="s">
        <v>86565</v>
      </c>
      <c r="U4361" t="s">
        <v>86566</v>
      </c>
      <c r="V4361">
        <f>-717.242499860736 -43.6066132536782 -232.282781005361</f>
        <v>-993.13189411977521</v>
      </c>
      <c r="W4361" t="s">
        <v>86567</v>
      </c>
      <c r="X4361" t="s">
        <v>86568</v>
      </c>
      <c r="Y4361" t="s">
        <v>86569</v>
      </c>
    </row>
    <row r="4362" spans="1:25" x14ac:dyDescent="0.3">
      <c r="A4362">
        <v>218050</v>
      </c>
      <c r="B4362" t="s">
        <v>86570</v>
      </c>
      <c r="C4362" t="s">
        <v>86571</v>
      </c>
      <c r="D4362" t="s">
        <v>86572</v>
      </c>
      <c r="E4362" t="s">
        <v>86573</v>
      </c>
      <c r="F4362" t="s">
        <v>86574</v>
      </c>
      <c r="G4362" t="s">
        <v>86575</v>
      </c>
      <c r="H4362" t="s">
        <v>86576</v>
      </c>
      <c r="I4362" t="s">
        <v>86577</v>
      </c>
      <c r="J4362" t="s">
        <v>86578</v>
      </c>
      <c r="K4362" t="s">
        <v>86579</v>
      </c>
      <c r="L4362" t="s">
        <v>86580</v>
      </c>
      <c r="M4362" t="s">
        <v>86581</v>
      </c>
      <c r="N4362" t="s">
        <v>86582</v>
      </c>
      <c r="O4362">
        <f>-741.112588665501 -120.781355179064 -740.062441142868</f>
        <v>-1601.956384987433</v>
      </c>
      <c r="P4362">
        <f>-729.986174526052 -149.164736238225 -425.011961841744</f>
        <v>-1304.162872606021</v>
      </c>
      <c r="Q4362">
        <f>-511.005667676512 -17.079219250553 -377.651632612364</f>
        <v>-905.73651953942897</v>
      </c>
      <c r="R4362" t="s">
        <v>86583</v>
      </c>
      <c r="S4362" t="s">
        <v>86584</v>
      </c>
      <c r="T4362" t="s">
        <v>86585</v>
      </c>
      <c r="U4362" t="s">
        <v>86586</v>
      </c>
      <c r="V4362">
        <f>-718.053384528959 -43.9127066750286 -232.153444592306</f>
        <v>-994.11953579629358</v>
      </c>
      <c r="W4362" t="s">
        <v>86587</v>
      </c>
      <c r="X4362" t="s">
        <v>86588</v>
      </c>
      <c r="Y4362" t="s">
        <v>86589</v>
      </c>
    </row>
    <row r="4363" spans="1:25" x14ac:dyDescent="0.3">
      <c r="A4363">
        <v>218100</v>
      </c>
      <c r="B4363" t="s">
        <v>86590</v>
      </c>
      <c r="C4363" t="s">
        <v>86591</v>
      </c>
      <c r="D4363" t="s">
        <v>86592</v>
      </c>
      <c r="E4363" t="s">
        <v>86593</v>
      </c>
      <c r="F4363" t="s">
        <v>86594</v>
      </c>
      <c r="G4363" t="s">
        <v>86595</v>
      </c>
      <c r="H4363" t="s">
        <v>86596</v>
      </c>
      <c r="I4363" t="s">
        <v>86597</v>
      </c>
      <c r="J4363" t="s">
        <v>86598</v>
      </c>
      <c r="K4363" t="s">
        <v>86599</v>
      </c>
      <c r="L4363" t="s">
        <v>86600</v>
      </c>
      <c r="M4363" t="s">
        <v>86601</v>
      </c>
      <c r="N4363" t="s">
        <v>86602</v>
      </c>
      <c r="O4363">
        <f>-740.562569529073 -120.778221485414 -739.974950342251</f>
        <v>-1601.3157413567378</v>
      </c>
      <c r="P4363">
        <f>-729.45654750212 -149.076610504048 -424.916181021829</f>
        <v>-1303.449339027997</v>
      </c>
      <c r="Q4363">
        <f>-511.134472674932 -15.9522358014235 -377.424905709856</f>
        <v>-904.51161418621155</v>
      </c>
      <c r="R4363" t="s">
        <v>86603</v>
      </c>
      <c r="S4363" t="s">
        <v>86604</v>
      </c>
      <c r="T4363" t="s">
        <v>86605</v>
      </c>
      <c r="U4363" t="s">
        <v>86606</v>
      </c>
      <c r="V4363">
        <f>-718.40303707959 -44.2408115425683 -232.055204431886</f>
        <v>-994.69905305404427</v>
      </c>
      <c r="W4363" t="s">
        <v>86607</v>
      </c>
      <c r="X4363" t="s">
        <v>86608</v>
      </c>
      <c r="Y4363" t="s">
        <v>86609</v>
      </c>
    </row>
    <row r="4364" spans="1:25" x14ac:dyDescent="0.3">
      <c r="A4364">
        <v>218150</v>
      </c>
      <c r="B4364" t="s">
        <v>86610</v>
      </c>
      <c r="C4364" t="s">
        <v>86611</v>
      </c>
      <c r="D4364" t="s">
        <v>86612</v>
      </c>
      <c r="E4364" t="s">
        <v>86613</v>
      </c>
      <c r="F4364" t="s">
        <v>86614</v>
      </c>
      <c r="G4364" t="s">
        <v>86615</v>
      </c>
      <c r="H4364" t="s">
        <v>86616</v>
      </c>
      <c r="I4364" t="s">
        <v>86617</v>
      </c>
      <c r="J4364" t="s">
        <v>86618</v>
      </c>
      <c r="K4364" t="s">
        <v>86619</v>
      </c>
      <c r="L4364" t="s">
        <v>86620</v>
      </c>
      <c r="M4364" t="s">
        <v>86621</v>
      </c>
      <c r="N4364" t="s">
        <v>86622</v>
      </c>
      <c r="O4364">
        <f>-739.928735814101 -121.217238412858 -739.786981040173</f>
        <v>-1600.932955267132</v>
      </c>
      <c r="P4364">
        <f>-728.971995171017 -149.436552547826 -424.715884444784</f>
        <v>-1303.124432163627</v>
      </c>
      <c r="Q4364">
        <f>-511.900766771868 -14.3322124408121 -377.082863753411</f>
        <v>-903.31584296609117</v>
      </c>
      <c r="R4364" t="s">
        <v>86623</v>
      </c>
      <c r="S4364" t="s">
        <v>86624</v>
      </c>
      <c r="T4364" t="s">
        <v>86625</v>
      </c>
      <c r="U4364" t="s">
        <v>86626</v>
      </c>
      <c r="V4364">
        <f>-718.984901839976 -45.2229385596208 -231.854688136039</f>
        <v>-996.06252853563592</v>
      </c>
      <c r="W4364" t="s">
        <v>86627</v>
      </c>
      <c r="X4364" t="s">
        <v>86628</v>
      </c>
      <c r="Y4364" t="s">
        <v>86629</v>
      </c>
    </row>
    <row r="4365" spans="1:25" x14ac:dyDescent="0.3">
      <c r="A4365">
        <v>218200</v>
      </c>
      <c r="B4365" t="s">
        <v>86630</v>
      </c>
      <c r="C4365" t="s">
        <v>86631</v>
      </c>
      <c r="D4365" t="s">
        <v>86632</v>
      </c>
      <c r="E4365" t="s">
        <v>86633</v>
      </c>
      <c r="F4365" t="s">
        <v>86634</v>
      </c>
      <c r="G4365" t="s">
        <v>86635</v>
      </c>
      <c r="H4365" t="s">
        <v>86636</v>
      </c>
      <c r="I4365" t="s">
        <v>86637</v>
      </c>
      <c r="J4365" t="s">
        <v>86638</v>
      </c>
      <c r="K4365" t="s">
        <v>86639</v>
      </c>
      <c r="L4365" t="s">
        <v>86640</v>
      </c>
      <c r="M4365" t="s">
        <v>86641</v>
      </c>
      <c r="N4365" t="s">
        <v>86642</v>
      </c>
      <c r="O4365">
        <f>-739.668773746165 -121.662628187378 -739.674129138715</f>
        <v>-1601.005531072258</v>
      </c>
      <c r="P4365">
        <f>-728.787809431739 -149.963112377035 -424.607566777395</f>
        <v>-1303.358488586169</v>
      </c>
      <c r="Q4365">
        <f>-512.303678133628 -13.939706858092 -376.917820916111</f>
        <v>-903.16120590783089</v>
      </c>
      <c r="R4365" t="s">
        <v>86643</v>
      </c>
      <c r="S4365" t="s">
        <v>86644</v>
      </c>
      <c r="T4365" t="s">
        <v>86645</v>
      </c>
      <c r="U4365" t="s">
        <v>86646</v>
      </c>
      <c r="V4365">
        <f>-719.159753710438 -45.8338159964501 -231.752292860529</f>
        <v>-996.74586256741713</v>
      </c>
      <c r="W4365" t="s">
        <v>86647</v>
      </c>
      <c r="X4365" t="s">
        <v>86648</v>
      </c>
      <c r="Y4365" t="s">
        <v>86649</v>
      </c>
    </row>
    <row r="4366" spans="1:25" x14ac:dyDescent="0.3">
      <c r="A4366">
        <v>218250</v>
      </c>
      <c r="B4366" t="s">
        <v>86650</v>
      </c>
      <c r="C4366" t="s">
        <v>86651</v>
      </c>
      <c r="D4366" t="s">
        <v>86652</v>
      </c>
      <c r="E4366" t="s">
        <v>86653</v>
      </c>
      <c r="F4366" t="s">
        <v>86654</v>
      </c>
      <c r="G4366" t="s">
        <v>86655</v>
      </c>
      <c r="H4366" t="s">
        <v>86656</v>
      </c>
      <c r="I4366" t="s">
        <v>86657</v>
      </c>
      <c r="J4366" t="s">
        <v>86658</v>
      </c>
      <c r="K4366" t="s">
        <v>86659</v>
      </c>
      <c r="L4366" t="s">
        <v>86660</v>
      </c>
      <c r="M4366" t="s">
        <v>86661</v>
      </c>
      <c r="N4366" t="s">
        <v>86662</v>
      </c>
      <c r="O4366">
        <f>-739.665048684911 -122.831652806776 -739.445099368627</f>
        <v>-1601.9418008603138</v>
      </c>
      <c r="P4366">
        <f>-728.470879058491 -151.057999615575 -424.382982715443</f>
        <v>-1303.9118613895091</v>
      </c>
      <c r="Q4366">
        <f>-513.073592178751 -13.3168110435806 -376.702815023592</f>
        <v>-903.09321824592371</v>
      </c>
      <c r="R4366" t="s">
        <v>86663</v>
      </c>
      <c r="S4366" t="s">
        <v>86664</v>
      </c>
      <c r="T4366" t="s">
        <v>86665</v>
      </c>
      <c r="U4366" t="s">
        <v>86666</v>
      </c>
      <c r="V4366">
        <f>-719.842081568759 -47.2518975223879 -231.535240991094</f>
        <v>-998.62922008224098</v>
      </c>
      <c r="W4366" t="s">
        <v>86667</v>
      </c>
      <c r="X4366" t="s">
        <v>86668</v>
      </c>
      <c r="Y4366" t="s">
        <v>86669</v>
      </c>
    </row>
    <row r="4367" spans="1:25" x14ac:dyDescent="0.3">
      <c r="A4367">
        <v>218300</v>
      </c>
      <c r="B4367" t="s">
        <v>86670</v>
      </c>
      <c r="C4367" t="s">
        <v>86671</v>
      </c>
      <c r="D4367" t="s">
        <v>86672</v>
      </c>
      <c r="E4367" t="s">
        <v>86673</v>
      </c>
      <c r="F4367" t="s">
        <v>86674</v>
      </c>
      <c r="G4367" t="s">
        <v>86675</v>
      </c>
      <c r="H4367" t="s">
        <v>86676</v>
      </c>
      <c r="I4367" t="s">
        <v>86677</v>
      </c>
      <c r="J4367" t="s">
        <v>86678</v>
      </c>
      <c r="K4367" t="s">
        <v>86679</v>
      </c>
      <c r="L4367" t="s">
        <v>86680</v>
      </c>
      <c r="M4367" t="s">
        <v>86681</v>
      </c>
      <c r="N4367" t="s">
        <v>86682</v>
      </c>
      <c r="O4367">
        <f>-739.869264454252 -123.324761020695 -739.341009798644</f>
        <v>-1602.5350352735909</v>
      </c>
      <c r="P4367">
        <f>-728.39975755863 -151.498542555259 -424.284054831945</f>
        <v>-1304.182354945834</v>
      </c>
      <c r="Q4367">
        <f>-513.4881187727 -12.9832795247946 -376.654686720774</f>
        <v>-903.12608501826867</v>
      </c>
      <c r="R4367" t="s">
        <v>86683</v>
      </c>
      <c r="S4367" t="s">
        <v>86684</v>
      </c>
      <c r="T4367" t="s">
        <v>86685</v>
      </c>
      <c r="U4367" t="s">
        <v>86686</v>
      </c>
      <c r="V4367">
        <f>-720.160987865974 -47.9202741994995 -231.454265717788</f>
        <v>-999.5355277832615</v>
      </c>
      <c r="W4367" t="s">
        <v>86687</v>
      </c>
      <c r="X4367" t="s">
        <v>86688</v>
      </c>
      <c r="Y4367" t="s">
        <v>86689</v>
      </c>
    </row>
    <row r="4368" spans="1:25" x14ac:dyDescent="0.3">
      <c r="A4368">
        <v>218350</v>
      </c>
      <c r="B4368" t="s">
        <v>86690</v>
      </c>
      <c r="C4368" t="s">
        <v>86691</v>
      </c>
      <c r="D4368" t="s">
        <v>86692</v>
      </c>
      <c r="E4368" t="s">
        <v>86693</v>
      </c>
      <c r="F4368" t="s">
        <v>86694</v>
      </c>
      <c r="G4368" t="s">
        <v>86695</v>
      </c>
      <c r="H4368" t="s">
        <v>86696</v>
      </c>
      <c r="I4368" t="s">
        <v>86697</v>
      </c>
      <c r="J4368" t="s">
        <v>86698</v>
      </c>
      <c r="K4368" t="s">
        <v>86699</v>
      </c>
      <c r="L4368" t="s">
        <v>86700</v>
      </c>
      <c r="M4368" t="s">
        <v>86701</v>
      </c>
      <c r="N4368" t="s">
        <v>86702</v>
      </c>
      <c r="O4368">
        <f>-740.512217786565 -124.706366662014 -739.13062275128</f>
        <v>-1604.3492071998589</v>
      </c>
      <c r="P4368">
        <f>-728.348101936028 -152.807592096663 -424.093356977345</f>
        <v>-1305.2490510100361</v>
      </c>
      <c r="Q4368">
        <f>-514.298621994074 -12.8668826335095 -376.749311313423</f>
        <v>-903.91481594100651</v>
      </c>
      <c r="R4368" t="s">
        <v>86703</v>
      </c>
      <c r="S4368" t="s">
        <v>86704</v>
      </c>
      <c r="T4368" t="s">
        <v>86705</v>
      </c>
      <c r="U4368" t="s">
        <v>86706</v>
      </c>
      <c r="V4368">
        <f>-720.973885447858 -49.413319056313 -231.282137485047</f>
        <v>-1001.669341989218</v>
      </c>
      <c r="W4368" t="s">
        <v>86707</v>
      </c>
      <c r="X4368" t="s">
        <v>86708</v>
      </c>
      <c r="Y4368" t="s">
        <v>86709</v>
      </c>
    </row>
    <row r="4369" spans="1:25" x14ac:dyDescent="0.3">
      <c r="A4369">
        <v>218400</v>
      </c>
      <c r="B4369" t="s">
        <v>86710</v>
      </c>
      <c r="C4369" t="s">
        <v>86711</v>
      </c>
      <c r="D4369" t="s">
        <v>86712</v>
      </c>
      <c r="E4369" t="s">
        <v>86713</v>
      </c>
      <c r="F4369" t="s">
        <v>86714</v>
      </c>
      <c r="G4369" t="s">
        <v>86715</v>
      </c>
      <c r="H4369" t="s">
        <v>86716</v>
      </c>
      <c r="I4369" t="s">
        <v>86717</v>
      </c>
      <c r="J4369" t="s">
        <v>86718</v>
      </c>
      <c r="K4369" t="s">
        <v>86719</v>
      </c>
      <c r="L4369" t="s">
        <v>86720</v>
      </c>
      <c r="M4369" t="s">
        <v>86721</v>
      </c>
      <c r="N4369" t="s">
        <v>86722</v>
      </c>
      <c r="O4369">
        <f>-741.127363449034 -125.459626912602 -738.996048894428</f>
        <v>-1605.583039256064</v>
      </c>
      <c r="P4369">
        <f>-728.524340123084 -153.497720595254 -423.970284849923</f>
        <v>-1305.992345568261</v>
      </c>
      <c r="Q4369">
        <f>-514.817384164034 -12.9547221327289 -376.863439396257</f>
        <v>-904.63554569301982</v>
      </c>
      <c r="R4369" t="s">
        <v>86723</v>
      </c>
      <c r="S4369" t="s">
        <v>86724</v>
      </c>
      <c r="T4369" t="s">
        <v>86725</v>
      </c>
      <c r="U4369" t="s">
        <v>86726</v>
      </c>
      <c r="V4369">
        <f>-721.48820777697 -50.1647773270415 -231.190656240587</f>
        <v>-1002.8436413445985</v>
      </c>
      <c r="W4369" t="s">
        <v>86727</v>
      </c>
      <c r="X4369" t="s">
        <v>86728</v>
      </c>
      <c r="Y4369" t="s">
        <v>86729</v>
      </c>
    </row>
    <row r="4370" spans="1:25" x14ac:dyDescent="0.3">
      <c r="A4370">
        <v>218450</v>
      </c>
      <c r="B4370" t="s">
        <v>86730</v>
      </c>
      <c r="C4370" t="s">
        <v>86731</v>
      </c>
      <c r="D4370" t="s">
        <v>86732</v>
      </c>
      <c r="E4370" t="s">
        <v>86733</v>
      </c>
      <c r="F4370" t="s">
        <v>86734</v>
      </c>
      <c r="G4370" t="s">
        <v>86735</v>
      </c>
      <c r="H4370" t="s">
        <v>86736</v>
      </c>
      <c r="I4370" t="s">
        <v>86737</v>
      </c>
      <c r="J4370" t="s">
        <v>86738</v>
      </c>
      <c r="K4370" t="s">
        <v>86739</v>
      </c>
      <c r="L4370" t="s">
        <v>86740</v>
      </c>
      <c r="M4370" t="s">
        <v>86741</v>
      </c>
      <c r="N4370" t="s">
        <v>86742</v>
      </c>
      <c r="O4370">
        <f>-742.867523343581 -126.938422135894 -738.590024408567</f>
        <v>-1608.3959698880421</v>
      </c>
      <c r="P4370">
        <f>-729.374447189353 -154.802764293904 -423.585796203068</f>
        <v>-1307.763007686325</v>
      </c>
      <c r="Q4370">
        <f>-516.075184191639 -13.4363014888461 -377.098890032915</f>
        <v>-906.61037571340012</v>
      </c>
      <c r="R4370" t="s">
        <v>86743</v>
      </c>
      <c r="S4370" t="s">
        <v>86744</v>
      </c>
      <c r="T4370" t="s">
        <v>86745</v>
      </c>
      <c r="U4370" t="s">
        <v>86746</v>
      </c>
      <c r="V4370">
        <f>-722.635087023509 -51.6334194520255 -231.029324012636</f>
        <v>-1005.2978304881705</v>
      </c>
      <c r="W4370" t="s">
        <v>86747</v>
      </c>
      <c r="X4370" t="s">
        <v>86748</v>
      </c>
      <c r="Y4370" t="s">
        <v>86749</v>
      </c>
    </row>
    <row r="4371" spans="1:25" x14ac:dyDescent="0.3">
      <c r="A4371">
        <v>218500</v>
      </c>
      <c r="B4371" t="s">
        <v>86750</v>
      </c>
      <c r="C4371" t="s">
        <v>86751</v>
      </c>
      <c r="D4371" t="s">
        <v>86752</v>
      </c>
      <c r="E4371" t="s">
        <v>86753</v>
      </c>
      <c r="F4371" t="s">
        <v>86754</v>
      </c>
      <c r="G4371" t="s">
        <v>86755</v>
      </c>
      <c r="H4371" t="s">
        <v>86756</v>
      </c>
      <c r="I4371" t="s">
        <v>86757</v>
      </c>
      <c r="J4371" t="s">
        <v>86758</v>
      </c>
      <c r="K4371" t="s">
        <v>86759</v>
      </c>
      <c r="L4371" t="s">
        <v>86760</v>
      </c>
      <c r="M4371" t="s">
        <v>86761</v>
      </c>
      <c r="N4371" t="s">
        <v>86762</v>
      </c>
      <c r="O4371">
        <f>-743.955715003606 -127.691220809635 -738.315529449637</f>
        <v>-1609.9624652628779</v>
      </c>
      <c r="P4371">
        <f>-729.963511916516 -155.399268557594 -423.319239721353</f>
        <v>-1308.6820201954631</v>
      </c>
      <c r="Q4371">
        <f>-516.822169839947 -13.6999004355096 -377.123167709947</f>
        <v>-907.64523798540358</v>
      </c>
      <c r="R4371" t="s">
        <v>86763</v>
      </c>
      <c r="S4371" t="s">
        <v>86764</v>
      </c>
      <c r="T4371" t="s">
        <v>86765</v>
      </c>
      <c r="U4371" t="s">
        <v>86766</v>
      </c>
      <c r="V4371">
        <f>-723.313224922811 -52.4277750193403 -230.941456826979</f>
        <v>-1006.6824567691302</v>
      </c>
      <c r="W4371" t="s">
        <v>86767</v>
      </c>
      <c r="X4371" t="s">
        <v>86768</v>
      </c>
      <c r="Y4371" t="s">
        <v>86769</v>
      </c>
    </row>
    <row r="4372" spans="1:25" x14ac:dyDescent="0.3">
      <c r="A4372">
        <v>218550</v>
      </c>
      <c r="B4372" t="s">
        <v>86770</v>
      </c>
      <c r="C4372" t="s">
        <v>86771</v>
      </c>
      <c r="D4372" t="s">
        <v>86772</v>
      </c>
      <c r="E4372" t="s">
        <v>86773</v>
      </c>
      <c r="F4372" t="s">
        <v>86774</v>
      </c>
      <c r="G4372" t="s">
        <v>86775</v>
      </c>
      <c r="H4372" t="s">
        <v>86776</v>
      </c>
      <c r="I4372" t="s">
        <v>86777</v>
      </c>
      <c r="J4372" t="s">
        <v>86778</v>
      </c>
      <c r="K4372" t="s">
        <v>86779</v>
      </c>
      <c r="L4372" t="s">
        <v>86780</v>
      </c>
      <c r="M4372" t="s">
        <v>86781</v>
      </c>
      <c r="N4372" t="s">
        <v>86782</v>
      </c>
      <c r="O4372">
        <f>-746.438709654107 -129.327450014938 -737.706330100836</f>
        <v>-1613.4724897698811</v>
      </c>
      <c r="P4372">
        <f>-731.595669647827 -156.57475923986 -422.708743686222</f>
        <v>-1310.879172573909</v>
      </c>
      <c r="Q4372">
        <f>-518.767921808092 -14.2785653024246 -376.902742755452</f>
        <v>-909.9492298659685</v>
      </c>
      <c r="R4372" t="s">
        <v>86783</v>
      </c>
      <c r="S4372" t="s">
        <v>86784</v>
      </c>
      <c r="T4372" t="s">
        <v>86785</v>
      </c>
      <c r="U4372" t="s">
        <v>86786</v>
      </c>
      <c r="V4372">
        <f>-724.864374840626 -53.9907044057211 -230.786116862342</f>
        <v>-1009.6411961086892</v>
      </c>
      <c r="W4372" t="s">
        <v>86787</v>
      </c>
      <c r="X4372" t="s">
        <v>86788</v>
      </c>
      <c r="Y4372" t="s">
        <v>86789</v>
      </c>
    </row>
    <row r="4373" spans="1:25" x14ac:dyDescent="0.3">
      <c r="A4373">
        <v>218600</v>
      </c>
      <c r="B4373" t="s">
        <v>86790</v>
      </c>
      <c r="C4373" t="s">
        <v>86791</v>
      </c>
      <c r="D4373" t="s">
        <v>86792</v>
      </c>
      <c r="E4373" t="s">
        <v>86793</v>
      </c>
      <c r="F4373" t="s">
        <v>86794</v>
      </c>
      <c r="G4373" t="s">
        <v>86795</v>
      </c>
      <c r="H4373" t="s">
        <v>86796</v>
      </c>
      <c r="I4373" t="s">
        <v>86797</v>
      </c>
      <c r="J4373" t="s">
        <v>86798</v>
      </c>
      <c r="K4373" t="s">
        <v>86799</v>
      </c>
      <c r="L4373" t="s">
        <v>86800</v>
      </c>
      <c r="M4373" t="s">
        <v>86801</v>
      </c>
      <c r="N4373" t="s">
        <v>86802</v>
      </c>
      <c r="O4373">
        <f>-747.678235634768 -130.123897515019 -737.37074442229</f>
        <v>-1615.1728775720771</v>
      </c>
      <c r="P4373">
        <f>-732.515908003206 -157.076871171199 -422.362909698084</f>
        <v>-1311.955688872489</v>
      </c>
      <c r="Q4373">
        <f>-519.818906003356 -14.5770772714891 -376.581991101951</f>
        <v>-910.97797437679606</v>
      </c>
      <c r="R4373" t="s">
        <v>86803</v>
      </c>
      <c r="S4373" t="s">
        <v>86804</v>
      </c>
      <c r="T4373" t="s">
        <v>86805</v>
      </c>
      <c r="U4373" t="s">
        <v>86806</v>
      </c>
      <c r="V4373">
        <f>-725.708390959265 -54.7694464423535 -230.693934271711</f>
        <v>-1011.1717716733294</v>
      </c>
      <c r="W4373" t="s">
        <v>86807</v>
      </c>
      <c r="X4373" t="s">
        <v>86808</v>
      </c>
      <c r="Y4373" t="s">
        <v>86809</v>
      </c>
    </row>
    <row r="4374" spans="1:25" x14ac:dyDescent="0.3">
      <c r="A4374">
        <v>218650</v>
      </c>
      <c r="B4374" t="s">
        <v>86810</v>
      </c>
      <c r="C4374" t="s">
        <v>86811</v>
      </c>
      <c r="D4374" t="s">
        <v>86812</v>
      </c>
      <c r="E4374" t="s">
        <v>86813</v>
      </c>
      <c r="F4374" t="s">
        <v>86814</v>
      </c>
      <c r="G4374" t="s">
        <v>86815</v>
      </c>
      <c r="H4374" t="s">
        <v>86816</v>
      </c>
      <c r="I4374" t="s">
        <v>86817</v>
      </c>
      <c r="J4374" t="s">
        <v>86818</v>
      </c>
      <c r="K4374" t="s">
        <v>86819</v>
      </c>
      <c r="L4374" t="s">
        <v>86820</v>
      </c>
      <c r="M4374" t="s">
        <v>86821</v>
      </c>
      <c r="N4374" t="s">
        <v>86822</v>
      </c>
      <c r="O4374">
        <f>-749.957644880752 -131.961877145199 -736.75750244007</f>
        <v>-1618.6770244660211</v>
      </c>
      <c r="P4374">
        <f>-734.640489294825 -158.286630308069 -421.704069667226</f>
        <v>-1314.6311892701201</v>
      </c>
      <c r="Q4374">
        <f>-522.079310373249 -15.5573247281868 -376.007335512926</f>
        <v>-913.64397061436171</v>
      </c>
      <c r="R4374" t="s">
        <v>86823</v>
      </c>
      <c r="S4374" t="s">
        <v>86824</v>
      </c>
      <c r="T4374" t="s">
        <v>86825</v>
      </c>
      <c r="U4374" t="s">
        <v>86826</v>
      </c>
      <c r="V4374">
        <f>-727.662313397613 -56.2357053069186 -230.532011986264</f>
        <v>-1014.4300306907957</v>
      </c>
      <c r="W4374" t="s">
        <v>86827</v>
      </c>
      <c r="X4374" t="s">
        <v>86828</v>
      </c>
      <c r="Y4374" t="s">
        <v>86829</v>
      </c>
    </row>
    <row r="4375" spans="1:25" x14ac:dyDescent="0.3">
      <c r="A4375">
        <v>218700</v>
      </c>
      <c r="B4375" t="s">
        <v>86830</v>
      </c>
      <c r="C4375" t="s">
        <v>86831</v>
      </c>
      <c r="D4375" t="s">
        <v>86832</v>
      </c>
      <c r="E4375" t="s">
        <v>86833</v>
      </c>
      <c r="F4375" t="s">
        <v>86834</v>
      </c>
      <c r="G4375" t="s">
        <v>86835</v>
      </c>
      <c r="H4375" t="s">
        <v>86836</v>
      </c>
      <c r="I4375" t="s">
        <v>86837</v>
      </c>
      <c r="J4375" t="s">
        <v>86838</v>
      </c>
      <c r="K4375" t="s">
        <v>86839</v>
      </c>
      <c r="L4375" t="s">
        <v>86840</v>
      </c>
      <c r="M4375" t="s">
        <v>86841</v>
      </c>
      <c r="N4375" t="s">
        <v>86842</v>
      </c>
      <c r="O4375">
        <f>-751.096087926008 -132.66305798583 -736.511346431877</f>
        <v>-1620.270492343715</v>
      </c>
      <c r="P4375">
        <f>-735.70976947547 -158.897630942567 -421.453734835289</f>
        <v>-1316.061135253326</v>
      </c>
      <c r="Q4375">
        <f>-523.129929014918 -16.1800643605034 -375.806849555951</f>
        <v>-915.11684293137239</v>
      </c>
      <c r="R4375" t="s">
        <v>86843</v>
      </c>
      <c r="S4375" t="s">
        <v>86844</v>
      </c>
      <c r="T4375" t="s">
        <v>86845</v>
      </c>
      <c r="U4375" t="s">
        <v>86846</v>
      </c>
      <c r="V4375">
        <f>-728.64302929779 -56.9157195825878 -230.503318573557</f>
        <v>-1016.0620674539348</v>
      </c>
      <c r="W4375" t="s">
        <v>86847</v>
      </c>
      <c r="X4375" t="s">
        <v>86848</v>
      </c>
      <c r="Y4375" t="s">
        <v>86849</v>
      </c>
    </row>
    <row r="4376" spans="1:25" x14ac:dyDescent="0.3">
      <c r="A4376">
        <v>218750</v>
      </c>
      <c r="B4376" t="s">
        <v>86850</v>
      </c>
      <c r="C4376" t="s">
        <v>86851</v>
      </c>
      <c r="D4376" t="s">
        <v>86852</v>
      </c>
      <c r="E4376" t="s">
        <v>86853</v>
      </c>
      <c r="F4376" t="s">
        <v>86854</v>
      </c>
      <c r="G4376" t="s">
        <v>86855</v>
      </c>
      <c r="H4376" t="s">
        <v>86856</v>
      </c>
      <c r="I4376" t="s">
        <v>86857</v>
      </c>
      <c r="J4376" t="s">
        <v>86858</v>
      </c>
      <c r="K4376" t="s">
        <v>86859</v>
      </c>
      <c r="L4376" t="s">
        <v>86860</v>
      </c>
      <c r="M4376" t="s">
        <v>86861</v>
      </c>
      <c r="N4376" t="s">
        <v>86862</v>
      </c>
      <c r="O4376">
        <f>-753.483801262834 -134.630028329413 -736.235477594282</f>
        <v>-1624.3493071865291</v>
      </c>
      <c r="P4376">
        <f>-738.348915891087 -160.613413936572 -421.145155774969</f>
        <v>-1320.107485602628</v>
      </c>
      <c r="Q4376">
        <f>-525.469588417009 -18.2557001574089 -375.772414497834</f>
        <v>-919.49770307225197</v>
      </c>
      <c r="R4376" t="s">
        <v>86863</v>
      </c>
      <c r="S4376" t="s">
        <v>86864</v>
      </c>
      <c r="T4376" t="s">
        <v>86865</v>
      </c>
      <c r="U4376" t="s">
        <v>86866</v>
      </c>
      <c r="V4376">
        <f>-730.614335168307 -58.5232711209319 -230.711641582436</f>
        <v>-1019.8492478716748</v>
      </c>
      <c r="W4376" t="s">
        <v>86867</v>
      </c>
      <c r="X4376" t="s">
        <v>86868</v>
      </c>
      <c r="Y4376" t="s">
        <v>86869</v>
      </c>
    </row>
    <row r="4377" spans="1:25" x14ac:dyDescent="0.3">
      <c r="A4377">
        <v>218800</v>
      </c>
      <c r="B4377" t="s">
        <v>86870</v>
      </c>
      <c r="C4377" t="s">
        <v>86871</v>
      </c>
      <c r="D4377" t="s">
        <v>86872</v>
      </c>
      <c r="E4377" t="s">
        <v>86873</v>
      </c>
      <c r="F4377" t="s">
        <v>86874</v>
      </c>
      <c r="G4377" t="s">
        <v>86875</v>
      </c>
      <c r="H4377" t="s">
        <v>86876</v>
      </c>
      <c r="I4377" t="s">
        <v>86877</v>
      </c>
      <c r="J4377" t="s">
        <v>86878</v>
      </c>
      <c r="K4377" t="s">
        <v>86879</v>
      </c>
      <c r="L4377" t="s">
        <v>86880</v>
      </c>
      <c r="M4377" t="s">
        <v>86881</v>
      </c>
      <c r="N4377" t="s">
        <v>86882</v>
      </c>
      <c r="O4377">
        <f>-754.823567056544 -135.577158191497 -736.198408058995</f>
        <v>-1626.599133307036</v>
      </c>
      <c r="P4377">
        <f>-739.636603422472 -161.425912212882 -421.099386166314</f>
        <v>-1322.1619018016679</v>
      </c>
      <c r="Q4377">
        <f>-526.547566682508 -19.2965487236154 -375.995608310973</f>
        <v>-921.83972371709638</v>
      </c>
      <c r="R4377" t="s">
        <v>86883</v>
      </c>
      <c r="S4377" t="s">
        <v>86884</v>
      </c>
      <c r="T4377" t="s">
        <v>86885</v>
      </c>
      <c r="U4377" t="s">
        <v>86886</v>
      </c>
      <c r="V4377">
        <f>-731.614875240848 -59.1949322475091 -230.886624099395</f>
        <v>-1021.6964315877522</v>
      </c>
      <c r="W4377" t="s">
        <v>86887</v>
      </c>
      <c r="X4377" t="s">
        <v>86888</v>
      </c>
      <c r="Y4377" t="s">
        <v>86889</v>
      </c>
    </row>
    <row r="4378" spans="1:25" x14ac:dyDescent="0.3">
      <c r="A4378">
        <v>218850</v>
      </c>
      <c r="B4378" t="s">
        <v>86890</v>
      </c>
      <c r="C4378" t="s">
        <v>86891</v>
      </c>
      <c r="D4378" t="s">
        <v>86892</v>
      </c>
      <c r="E4378" t="s">
        <v>86893</v>
      </c>
      <c r="F4378" t="s">
        <v>86894</v>
      </c>
      <c r="G4378" t="s">
        <v>86895</v>
      </c>
      <c r="H4378" t="s">
        <v>86896</v>
      </c>
      <c r="I4378" t="s">
        <v>86897</v>
      </c>
      <c r="J4378" t="s">
        <v>86898</v>
      </c>
      <c r="K4378" t="s">
        <v>86899</v>
      </c>
      <c r="L4378" t="s">
        <v>86900</v>
      </c>
      <c r="M4378" t="s">
        <v>86901</v>
      </c>
      <c r="N4378" t="s">
        <v>86902</v>
      </c>
      <c r="O4378">
        <f>-757.991026292179 -137.328691652922 -736.386955450309</f>
        <v>-1631.7066733954098</v>
      </c>
      <c r="P4378">
        <f>-742.018028990086 -162.919911944383 -421.305680756954</f>
        <v>-1326.243621691423</v>
      </c>
      <c r="Q4378">
        <f>-528.370919431949 -21.4335843710091 -376.82479735615</f>
        <v>-926.62930115910808</v>
      </c>
      <c r="R4378" t="s">
        <v>86903</v>
      </c>
      <c r="S4378" t="s">
        <v>86904</v>
      </c>
      <c r="T4378" t="s">
        <v>86905</v>
      </c>
      <c r="U4378" t="s">
        <v>86906</v>
      </c>
      <c r="V4378">
        <f>-733.485887387704 -60.7449394023818 -231.582533073309</f>
        <v>-1025.8133598633947</v>
      </c>
      <c r="W4378" t="s">
        <v>86907</v>
      </c>
      <c r="X4378" t="s">
        <v>86908</v>
      </c>
      <c r="Y4378" t="s">
        <v>86909</v>
      </c>
    </row>
    <row r="4379" spans="1:25" x14ac:dyDescent="0.3">
      <c r="A4379">
        <v>218900</v>
      </c>
      <c r="B4379" t="s">
        <v>86910</v>
      </c>
      <c r="C4379" t="s">
        <v>86911</v>
      </c>
      <c r="D4379" t="s">
        <v>86912</v>
      </c>
      <c r="E4379" t="s">
        <v>86913</v>
      </c>
      <c r="F4379" t="s">
        <v>86914</v>
      </c>
      <c r="G4379" t="s">
        <v>86915</v>
      </c>
      <c r="H4379" t="s">
        <v>86916</v>
      </c>
      <c r="I4379" t="s">
        <v>86917</v>
      </c>
      <c r="J4379" t="s">
        <v>86918</v>
      </c>
      <c r="K4379" t="s">
        <v>86919</v>
      </c>
      <c r="L4379" t="s">
        <v>86920</v>
      </c>
      <c r="M4379" t="s">
        <v>86921</v>
      </c>
      <c r="N4379" t="s">
        <v>86922</v>
      </c>
      <c r="O4379">
        <f>-759.612869719386 -137.970655280159 -736.604670543939</f>
        <v>-1634.1881955434842</v>
      </c>
      <c r="P4379">
        <f>-743.259340402159 -163.386107418207 -421.528765354889</f>
        <v>-1328.1742131752549</v>
      </c>
      <c r="Q4379">
        <f>-529.303196048219 -22.2853634167457 -377.308658050621</f>
        <v>-928.89721751558568</v>
      </c>
      <c r="R4379" t="s">
        <v>86923</v>
      </c>
      <c r="S4379" t="s">
        <v>86924</v>
      </c>
      <c r="T4379" t="s">
        <v>86925</v>
      </c>
      <c r="U4379" t="s">
        <v>86926</v>
      </c>
      <c r="V4379">
        <f>-734.37196300587 -61.3081076429451 -231.878708649222</f>
        <v>-1027.5587792980371</v>
      </c>
      <c r="W4379" t="s">
        <v>86927</v>
      </c>
      <c r="X4379" t="s">
        <v>86928</v>
      </c>
      <c r="Y4379" t="s">
        <v>86929</v>
      </c>
    </row>
    <row r="4380" spans="1:25" x14ac:dyDescent="0.3">
      <c r="A4380">
        <v>218950</v>
      </c>
      <c r="B4380" t="s">
        <v>86930</v>
      </c>
      <c r="C4380" t="s">
        <v>86931</v>
      </c>
      <c r="D4380" t="s">
        <v>86932</v>
      </c>
      <c r="E4380" t="s">
        <v>86933</v>
      </c>
      <c r="F4380" t="s">
        <v>86934</v>
      </c>
      <c r="G4380" t="s">
        <v>86935</v>
      </c>
      <c r="H4380" t="s">
        <v>86936</v>
      </c>
      <c r="I4380" t="s">
        <v>86937</v>
      </c>
      <c r="J4380" t="s">
        <v>86938</v>
      </c>
      <c r="K4380" t="s">
        <v>86939</v>
      </c>
      <c r="L4380" t="s">
        <v>86940</v>
      </c>
      <c r="M4380" t="s">
        <v>86941</v>
      </c>
      <c r="N4380">
        <f>-723.225293858109 -0.882114959637192 -769.389443273144</f>
        <v>-1493.4968520908901</v>
      </c>
      <c r="O4380">
        <f>-762.92773470882 -138.761723931121 -737.200539087849</f>
        <v>-1638.8899977277902</v>
      </c>
      <c r="P4380">
        <f>-746.006954211019 -164.230800045218 -422.159029532159</f>
        <v>-1332.3967837883961</v>
      </c>
      <c r="Q4380">
        <f>-531.363531009696 -24.0629356036973 -378.304385841011</f>
        <v>-933.73085245440427</v>
      </c>
      <c r="R4380" t="s">
        <v>86942</v>
      </c>
      <c r="S4380" t="s">
        <v>86943</v>
      </c>
      <c r="T4380" t="s">
        <v>86944</v>
      </c>
      <c r="U4380" t="s">
        <v>86945</v>
      </c>
      <c r="V4380">
        <f>-735.877935437705 -62.1592339311298 -232.540594583811</f>
        <v>-1030.5777639526459</v>
      </c>
      <c r="W4380" t="s">
        <v>86946</v>
      </c>
      <c r="X4380" t="s">
        <v>86947</v>
      </c>
      <c r="Y4380" t="s">
        <v>86948</v>
      </c>
    </row>
    <row r="4381" spans="1:25" x14ac:dyDescent="0.3">
      <c r="A4381">
        <v>219000</v>
      </c>
      <c r="B4381" t="s">
        <v>86949</v>
      </c>
      <c r="C4381" t="s">
        <v>86950</v>
      </c>
      <c r="D4381" t="s">
        <v>86951</v>
      </c>
      <c r="E4381" t="s">
        <v>86952</v>
      </c>
      <c r="F4381" t="s">
        <v>86953</v>
      </c>
      <c r="G4381" t="s">
        <v>86954</v>
      </c>
      <c r="H4381" t="s">
        <v>86955</v>
      </c>
      <c r="I4381" t="s">
        <v>86956</v>
      </c>
      <c r="J4381" t="s">
        <v>86957</v>
      </c>
      <c r="K4381" t="s">
        <v>86958</v>
      </c>
      <c r="L4381" t="s">
        <v>86959</v>
      </c>
      <c r="M4381" t="s">
        <v>86960</v>
      </c>
      <c r="N4381">
        <f>-724.441462308316 -1.30221576432859 -769.726938367275</f>
        <v>-1495.4706164399195</v>
      </c>
      <c r="O4381">
        <f>-764.472004489502 -139.096271562436 -737.54307542671</f>
        <v>-1641.111351478648</v>
      </c>
      <c r="P4381">
        <f>-747.496227203304 -164.6920938495 -422.514688637018</f>
        <v>-1334.703009689822</v>
      </c>
      <c r="Q4381">
        <f>-532.5182552632 -24.9920440693845 -378.806687548488</f>
        <v>-936.31698688107258</v>
      </c>
      <c r="R4381" t="s">
        <v>86961</v>
      </c>
      <c r="S4381" t="s">
        <v>86962</v>
      </c>
      <c r="T4381" t="s">
        <v>86963</v>
      </c>
      <c r="U4381" t="s">
        <v>86964</v>
      </c>
      <c r="V4381">
        <f>-736.49993298786 -62.5072283898542 -232.808609344219</f>
        <v>-1031.8157707219332</v>
      </c>
      <c r="W4381" t="s">
        <v>86965</v>
      </c>
      <c r="X4381" t="s">
        <v>86966</v>
      </c>
      <c r="Y4381" t="s">
        <v>86967</v>
      </c>
    </row>
    <row r="4382" spans="1:25" x14ac:dyDescent="0.3">
      <c r="A4382">
        <v>219050</v>
      </c>
      <c r="B4382" t="s">
        <v>86968</v>
      </c>
      <c r="C4382" t="s">
        <v>86969</v>
      </c>
      <c r="D4382" t="s">
        <v>86970</v>
      </c>
      <c r="E4382" t="s">
        <v>86971</v>
      </c>
      <c r="F4382" t="s">
        <v>86972</v>
      </c>
      <c r="G4382" t="s">
        <v>86973</v>
      </c>
      <c r="H4382" t="s">
        <v>86974</v>
      </c>
      <c r="I4382" t="s">
        <v>86975</v>
      </c>
      <c r="J4382" t="s">
        <v>86976</v>
      </c>
      <c r="K4382" t="s">
        <v>86977</v>
      </c>
      <c r="L4382" t="s">
        <v>86978</v>
      </c>
      <c r="M4382" t="s">
        <v>86979</v>
      </c>
      <c r="N4382">
        <f>-726.631640348261 -1.16195202503968 -770.125451538743</f>
        <v>-1497.9190439120439</v>
      </c>
      <c r="O4382">
        <f>-767.442929104117 -138.765484184515 -738.108217095215</f>
        <v>-1644.316630383847</v>
      </c>
      <c r="P4382">
        <f>-750.192121374141 -165.125014031918 -423.157667568544</f>
        <v>-1338.4748029746031</v>
      </c>
      <c r="Q4382">
        <f>-534.460579621314 -26.5942360391114 -379.440367065974</f>
        <v>-940.49518272639932</v>
      </c>
      <c r="R4382" t="s">
        <v>86980</v>
      </c>
      <c r="S4382" t="s">
        <v>86981</v>
      </c>
      <c r="T4382" t="s">
        <v>86982</v>
      </c>
      <c r="U4382" t="s">
        <v>86983</v>
      </c>
      <c r="V4382">
        <f>-737.611173315387 -62.6741414894457 -232.905724743974</f>
        <v>-1033.1910395488067</v>
      </c>
      <c r="W4382" t="s">
        <v>86984</v>
      </c>
      <c r="X4382" t="s">
        <v>86985</v>
      </c>
      <c r="Y4382" t="s">
        <v>86986</v>
      </c>
    </row>
    <row r="4383" spans="1:25" x14ac:dyDescent="0.3">
      <c r="A4383">
        <v>219100</v>
      </c>
      <c r="B4383" t="s">
        <v>86987</v>
      </c>
      <c r="C4383" t="s">
        <v>86988</v>
      </c>
      <c r="D4383" t="s">
        <v>86989</v>
      </c>
      <c r="E4383" t="s">
        <v>86990</v>
      </c>
      <c r="F4383" t="s">
        <v>86991</v>
      </c>
      <c r="G4383" t="s">
        <v>86992</v>
      </c>
      <c r="H4383" t="s">
        <v>86993</v>
      </c>
      <c r="I4383" t="s">
        <v>86994</v>
      </c>
      <c r="J4383" t="s">
        <v>86995</v>
      </c>
      <c r="K4383" t="s">
        <v>86996</v>
      </c>
      <c r="L4383" t="s">
        <v>86997</v>
      </c>
      <c r="M4383" t="s">
        <v>86998</v>
      </c>
      <c r="N4383">
        <f>-727.547290454081 -0.853453225992098 -770.200198691822</f>
        <v>-1498.6009423718951</v>
      </c>
      <c r="O4383">
        <f>-768.711808875692 -138.368550990934 -738.27944455867</f>
        <v>-1645.3598044252958</v>
      </c>
      <c r="P4383">
        <f>-751.368235186796 -165.038460142521 -423.360236359393</f>
        <v>-1339.76693168871</v>
      </c>
      <c r="Q4383">
        <f>-535.252400000765 -27.1193828393978 -379.607342515228</f>
        <v>-941.97912535539081</v>
      </c>
      <c r="R4383" t="s">
        <v>86999</v>
      </c>
      <c r="S4383" t="s">
        <v>87000</v>
      </c>
      <c r="T4383" t="s">
        <v>87001</v>
      </c>
      <c r="U4383" t="s">
        <v>87002</v>
      </c>
      <c r="V4383">
        <f>-738.100458320927 -62.5675795984569 -232.809856672119</f>
        <v>-1033.4778945915029</v>
      </c>
      <c r="W4383" t="s">
        <v>87003</v>
      </c>
      <c r="X4383" t="s">
        <v>87004</v>
      </c>
      <c r="Y4383" t="s">
        <v>87005</v>
      </c>
    </row>
    <row r="4384" spans="1:25" x14ac:dyDescent="0.3">
      <c r="A4384">
        <v>219150</v>
      </c>
      <c r="B4384" t="s">
        <v>87006</v>
      </c>
      <c r="C4384" t="s">
        <v>87007</v>
      </c>
      <c r="D4384" t="s">
        <v>87008</v>
      </c>
      <c r="E4384" t="s">
        <v>87009</v>
      </c>
      <c r="F4384" t="s">
        <v>87010</v>
      </c>
      <c r="G4384" t="s">
        <v>87011</v>
      </c>
      <c r="H4384" t="s">
        <v>87012</v>
      </c>
      <c r="I4384" t="s">
        <v>87013</v>
      </c>
      <c r="J4384" t="s">
        <v>87014</v>
      </c>
      <c r="K4384" t="s">
        <v>87015</v>
      </c>
      <c r="L4384" t="s">
        <v>87016</v>
      </c>
      <c r="M4384" t="s">
        <v>87017</v>
      </c>
      <c r="N4384" t="s">
        <v>87018</v>
      </c>
      <c r="O4384">
        <f>-770.848737638722 -137.250728417978 -738.638315839581</f>
        <v>-1646.7377818962809</v>
      </c>
      <c r="P4384">
        <f>-753.208567972982 -164.811456143995 -423.812311664272</f>
        <v>-1341.832335781249</v>
      </c>
      <c r="Q4384">
        <f>-536.417674835992 -27.9488348737586 -380.081285283997</f>
        <v>-944.44779499374761</v>
      </c>
      <c r="R4384" t="s">
        <v>87019</v>
      </c>
      <c r="S4384" t="s">
        <v>87020</v>
      </c>
      <c r="T4384" t="s">
        <v>87021</v>
      </c>
      <c r="U4384" t="s">
        <v>87022</v>
      </c>
      <c r="V4384">
        <f>-738.899728374177 -62.0582931785511 -232.581887965034</f>
        <v>-1033.5399095177622</v>
      </c>
      <c r="W4384" t="s">
        <v>87023</v>
      </c>
      <c r="X4384" t="s">
        <v>87024</v>
      </c>
      <c r="Y4384" t="s">
        <v>87025</v>
      </c>
    </row>
    <row r="4385" spans="1:25" x14ac:dyDescent="0.3">
      <c r="A4385">
        <v>219200</v>
      </c>
      <c r="B4385" t="s">
        <v>87026</v>
      </c>
      <c r="C4385" t="s">
        <v>87027</v>
      </c>
      <c r="D4385" t="s">
        <v>87028</v>
      </c>
      <c r="E4385" t="s">
        <v>87029</v>
      </c>
      <c r="F4385" t="s">
        <v>87030</v>
      </c>
      <c r="G4385" t="s">
        <v>87031</v>
      </c>
      <c r="H4385" t="s">
        <v>87032</v>
      </c>
      <c r="I4385" t="s">
        <v>87033</v>
      </c>
      <c r="J4385" t="s">
        <v>87034</v>
      </c>
      <c r="K4385" t="s">
        <v>87035</v>
      </c>
      <c r="L4385" t="s">
        <v>87036</v>
      </c>
      <c r="M4385" t="s">
        <v>87037</v>
      </c>
      <c r="N4385" t="s">
        <v>87038</v>
      </c>
      <c r="O4385">
        <f>-771.958589397768 -136.540528085471 -738.874185945849</f>
        <v>-1647.3733034290881</v>
      </c>
      <c r="P4385">
        <f>-754.147133673174 -164.707117034387 -424.111463404703</f>
        <v>-1342.9657141122641</v>
      </c>
      <c r="Q4385">
        <f>-537.027855536747 -28.3994230056287 -380.276098982013</f>
        <v>-945.70337752438877</v>
      </c>
      <c r="R4385" t="s">
        <v>87039</v>
      </c>
      <c r="S4385" t="s">
        <v>87040</v>
      </c>
      <c r="T4385" t="s">
        <v>87041</v>
      </c>
      <c r="U4385" t="s">
        <v>87042</v>
      </c>
      <c r="V4385">
        <f>-739.191232371211 -61.8000915586542 -232.546971349645</f>
        <v>-1033.5382952795103</v>
      </c>
      <c r="W4385" t="s">
        <v>87043</v>
      </c>
      <c r="X4385" t="s">
        <v>87044</v>
      </c>
      <c r="Y4385" t="s">
        <v>87045</v>
      </c>
    </row>
    <row r="4386" spans="1:25" x14ac:dyDescent="0.3">
      <c r="A4386">
        <v>219250</v>
      </c>
      <c r="B4386" t="s">
        <v>87046</v>
      </c>
      <c r="C4386" t="s">
        <v>87047</v>
      </c>
      <c r="D4386" t="s">
        <v>87048</v>
      </c>
      <c r="E4386" t="s">
        <v>87049</v>
      </c>
      <c r="F4386" t="s">
        <v>87050</v>
      </c>
      <c r="G4386" t="s">
        <v>87051</v>
      </c>
      <c r="H4386" t="s">
        <v>87052</v>
      </c>
      <c r="I4386" t="s">
        <v>87053</v>
      </c>
      <c r="J4386" t="s">
        <v>87054</v>
      </c>
      <c r="K4386" t="s">
        <v>87055</v>
      </c>
      <c r="L4386" t="s">
        <v>87056</v>
      </c>
      <c r="M4386" t="s">
        <v>87057</v>
      </c>
      <c r="N4386" t="s">
        <v>87058</v>
      </c>
      <c r="O4386">
        <f>-773.532741666685 -135.201196111724 -739.369680963641</f>
        <v>-1648.10361874205</v>
      </c>
      <c r="P4386">
        <f>-755.619974652054 -164.281140791676 -424.695720881571</f>
        <v>-1344.596836325301</v>
      </c>
      <c r="Q4386">
        <f>-537.698815991071 -29.3199383481092 -380.674432844291</f>
        <v>-947.6931871834712</v>
      </c>
      <c r="R4386" t="s">
        <v>87059</v>
      </c>
      <c r="S4386" t="s">
        <v>87060</v>
      </c>
      <c r="T4386" t="s">
        <v>87061</v>
      </c>
      <c r="U4386" t="s">
        <v>87062</v>
      </c>
      <c r="V4386">
        <f>-739.550838256182 -61.2301672281192 -232.564202489594</f>
        <v>-1033.3452079738952</v>
      </c>
      <c r="W4386" t="s">
        <v>87063</v>
      </c>
      <c r="X4386" t="s">
        <v>87064</v>
      </c>
      <c r="Y4386" t="s">
        <v>87065</v>
      </c>
    </row>
    <row r="4387" spans="1:25" x14ac:dyDescent="0.3">
      <c r="A4387">
        <v>219300</v>
      </c>
      <c r="B4387" t="s">
        <v>87066</v>
      </c>
      <c r="C4387" t="s">
        <v>87067</v>
      </c>
      <c r="D4387" t="s">
        <v>87068</v>
      </c>
      <c r="E4387" t="s">
        <v>87069</v>
      </c>
      <c r="F4387" t="s">
        <v>87070</v>
      </c>
      <c r="G4387" t="s">
        <v>87071</v>
      </c>
      <c r="H4387" t="s">
        <v>87072</v>
      </c>
      <c r="I4387" t="s">
        <v>87073</v>
      </c>
      <c r="J4387" t="s">
        <v>87074</v>
      </c>
      <c r="K4387" t="s">
        <v>87075</v>
      </c>
      <c r="L4387" t="s">
        <v>87076</v>
      </c>
      <c r="M4387" t="s">
        <v>87077</v>
      </c>
      <c r="N4387" t="s">
        <v>87078</v>
      </c>
      <c r="O4387">
        <f>-774.077069765249 -134.470113561919 -739.589778207436</f>
        <v>-1648.1369615346039</v>
      </c>
      <c r="P4387">
        <f>-756.207173427725 -164.030934476787 -424.958295476351</f>
        <v>-1345.1964033808631</v>
      </c>
      <c r="Q4387">
        <f>-537.857247593327 -29.8071818426115 -380.807529350603</f>
        <v>-948.47195878654145</v>
      </c>
      <c r="R4387" t="s">
        <v>87079</v>
      </c>
      <c r="S4387" t="s">
        <v>87080</v>
      </c>
      <c r="T4387" t="s">
        <v>87081</v>
      </c>
      <c r="U4387" t="s">
        <v>87082</v>
      </c>
      <c r="V4387">
        <f>-739.63243019899 -60.8488780565465 -232.589231110888</f>
        <v>-1033.0705393664246</v>
      </c>
      <c r="W4387" t="s">
        <v>87083</v>
      </c>
      <c r="X4387" t="s">
        <v>87084</v>
      </c>
      <c r="Y4387" t="s">
        <v>87085</v>
      </c>
    </row>
    <row r="4388" spans="1:25" x14ac:dyDescent="0.3">
      <c r="A4388">
        <v>219350</v>
      </c>
      <c r="B4388" t="s">
        <v>87086</v>
      </c>
      <c r="C4388" t="s">
        <v>87087</v>
      </c>
      <c r="D4388" t="s">
        <v>87088</v>
      </c>
      <c r="E4388" t="s">
        <v>87089</v>
      </c>
      <c r="F4388" t="s">
        <v>87090</v>
      </c>
      <c r="G4388" t="s">
        <v>87091</v>
      </c>
      <c r="H4388" t="s">
        <v>87092</v>
      </c>
      <c r="I4388" t="s">
        <v>87093</v>
      </c>
      <c r="J4388" t="s">
        <v>87094</v>
      </c>
      <c r="K4388" t="s">
        <v>87095</v>
      </c>
      <c r="L4388" t="s">
        <v>87096</v>
      </c>
      <c r="M4388" t="s">
        <v>87097</v>
      </c>
      <c r="N4388" t="s">
        <v>87098</v>
      </c>
      <c r="O4388">
        <f>-774.511740238203 -133.110068401569 -739.824907365963</f>
        <v>-1647.446716005735</v>
      </c>
      <c r="P4388">
        <f>-757.135085074893 -163.147434413054 -425.210862707798</f>
        <v>-1345.493382195745</v>
      </c>
      <c r="Q4388">
        <f>-537.991496596698 -30.3181709435958 -380.77496916038</f>
        <v>-949.08463670067374</v>
      </c>
      <c r="R4388" t="s">
        <v>87099</v>
      </c>
      <c r="S4388" t="s">
        <v>87100</v>
      </c>
      <c r="T4388" t="s">
        <v>87101</v>
      </c>
      <c r="U4388" t="s">
        <v>87102</v>
      </c>
      <c r="V4388">
        <f>-739.550043955378 -59.7816206347713 -232.545710571372</f>
        <v>-1031.8773751615213</v>
      </c>
      <c r="W4388" t="s">
        <v>87103</v>
      </c>
      <c r="X4388" t="s">
        <v>87104</v>
      </c>
      <c r="Y4388" t="s">
        <v>87105</v>
      </c>
    </row>
    <row r="4389" spans="1:25" x14ac:dyDescent="0.3">
      <c r="A4389">
        <v>219400</v>
      </c>
      <c r="B4389" t="s">
        <v>87106</v>
      </c>
      <c r="C4389" t="s">
        <v>87107</v>
      </c>
      <c r="D4389" t="s">
        <v>87108</v>
      </c>
      <c r="E4389" t="s">
        <v>87109</v>
      </c>
      <c r="F4389" t="s">
        <v>87110</v>
      </c>
      <c r="G4389" t="s">
        <v>87111</v>
      </c>
      <c r="H4389" t="s">
        <v>87112</v>
      </c>
      <c r="I4389" t="s">
        <v>87113</v>
      </c>
      <c r="J4389" t="s">
        <v>87114</v>
      </c>
      <c r="K4389" t="s">
        <v>87115</v>
      </c>
      <c r="L4389" t="s">
        <v>87116</v>
      </c>
      <c r="M4389" t="s">
        <v>87117</v>
      </c>
      <c r="N4389" t="s">
        <v>87118</v>
      </c>
      <c r="O4389">
        <f>-774.465288806477 -132.398752930709 -739.912683266507</f>
        <v>-1646.7767250036929</v>
      </c>
      <c r="P4389">
        <f>-757.487938901059 -162.423776561723 -425.275579248399</f>
        <v>-1345.187294711181</v>
      </c>
      <c r="Q4389">
        <f>-538.097887464265 -30.0965154574874 -380.558813692793</f>
        <v>-948.75321661454541</v>
      </c>
      <c r="R4389" t="s">
        <v>87119</v>
      </c>
      <c r="S4389" t="s">
        <v>87120</v>
      </c>
      <c r="T4389" t="s">
        <v>87121</v>
      </c>
      <c r="U4389" t="s">
        <v>87122</v>
      </c>
      <c r="V4389">
        <f>-739.411108933811 -59.0553881157759 -232.523331576858</f>
        <v>-1030.9898286264449</v>
      </c>
      <c r="W4389" t="s">
        <v>87123</v>
      </c>
      <c r="X4389" t="s">
        <v>87124</v>
      </c>
      <c r="Y4389" t="s">
        <v>87125</v>
      </c>
    </row>
    <row r="4390" spans="1:25" x14ac:dyDescent="0.3">
      <c r="A4390">
        <v>219450</v>
      </c>
      <c r="B4390" t="s">
        <v>87126</v>
      </c>
      <c r="C4390" t="s">
        <v>87127</v>
      </c>
      <c r="D4390" t="s">
        <v>87128</v>
      </c>
      <c r="E4390" t="s">
        <v>87129</v>
      </c>
      <c r="F4390" t="s">
        <v>87130</v>
      </c>
      <c r="G4390" t="s">
        <v>87131</v>
      </c>
      <c r="H4390" t="s">
        <v>87132</v>
      </c>
      <c r="I4390" t="s">
        <v>87133</v>
      </c>
      <c r="J4390" t="s">
        <v>87134</v>
      </c>
      <c r="K4390" t="s">
        <v>87135</v>
      </c>
      <c r="L4390" t="s">
        <v>87136</v>
      </c>
      <c r="M4390" t="s">
        <v>87137</v>
      </c>
      <c r="N4390" t="s">
        <v>87138</v>
      </c>
      <c r="O4390">
        <f>-773.728247255572 -131.23552999113 -739.959136750314</f>
        <v>-1644.9229139970159</v>
      </c>
      <c r="P4390">
        <f>-757.640991977612 -161.169114122229 -425.26664954814</f>
        <v>-1344.0767556479809</v>
      </c>
      <c r="Q4390">
        <f>-538.037404186995 -29.467199945695 -379.759753423223</f>
        <v>-947.26435755591297</v>
      </c>
      <c r="R4390" t="s">
        <v>87139</v>
      </c>
      <c r="S4390" t="s">
        <v>87140</v>
      </c>
      <c r="T4390" t="s">
        <v>87141</v>
      </c>
      <c r="U4390" t="s">
        <v>87142</v>
      </c>
      <c r="V4390">
        <f>-738.865287623013 -57.6802291851361 -232.55935795201</f>
        <v>-1029.1048747601592</v>
      </c>
      <c r="W4390" t="s">
        <v>87143</v>
      </c>
      <c r="X4390" t="s">
        <v>87144</v>
      </c>
      <c r="Y4390" t="s">
        <v>87145</v>
      </c>
    </row>
    <row r="4391" spans="1:25" x14ac:dyDescent="0.3">
      <c r="A4391">
        <v>219500</v>
      </c>
      <c r="B4391" t="s">
        <v>87146</v>
      </c>
      <c r="C4391" t="s">
        <v>87147</v>
      </c>
      <c r="D4391" t="s">
        <v>87148</v>
      </c>
      <c r="E4391" t="s">
        <v>87149</v>
      </c>
      <c r="F4391" t="s">
        <v>87150</v>
      </c>
      <c r="G4391" t="s">
        <v>87151</v>
      </c>
      <c r="H4391" t="s">
        <v>87152</v>
      </c>
      <c r="I4391" t="s">
        <v>87153</v>
      </c>
      <c r="J4391" t="s">
        <v>87154</v>
      </c>
      <c r="K4391" t="s">
        <v>87155</v>
      </c>
      <c r="L4391" t="s">
        <v>87156</v>
      </c>
      <c r="M4391" t="s">
        <v>87157</v>
      </c>
      <c r="N4391" t="s">
        <v>87158</v>
      </c>
      <c r="O4391">
        <f>-773.072560987913 -130.772195054487 -740.017062226525</f>
        <v>-1643.8618182689252</v>
      </c>
      <c r="P4391">
        <f>-757.531362571632 -160.427447887293 -425.27062534996</f>
        <v>-1343.229435808885</v>
      </c>
      <c r="Q4391">
        <f>-537.939110422089 -28.8723280876206 -379.287030651125</f>
        <v>-946.09846916083461</v>
      </c>
      <c r="R4391" t="s">
        <v>87159</v>
      </c>
      <c r="S4391" t="s">
        <v>87160</v>
      </c>
      <c r="T4391" t="s">
        <v>87161</v>
      </c>
      <c r="U4391" t="s">
        <v>87162</v>
      </c>
      <c r="V4391">
        <f>-738.523828023572 -56.9532217402689 -232.611762947933</f>
        <v>-1028.0888127117739</v>
      </c>
      <c r="W4391" t="s">
        <v>87163</v>
      </c>
      <c r="X4391" t="s">
        <v>87164</v>
      </c>
      <c r="Y4391" t="s">
        <v>87165</v>
      </c>
    </row>
    <row r="4392" spans="1:25" x14ac:dyDescent="0.3">
      <c r="A4392">
        <v>219550</v>
      </c>
      <c r="B4392" t="s">
        <v>87166</v>
      </c>
      <c r="C4392" t="s">
        <v>87167</v>
      </c>
      <c r="D4392" t="s">
        <v>87168</v>
      </c>
      <c r="E4392" t="s">
        <v>87169</v>
      </c>
      <c r="F4392" t="s">
        <v>87170</v>
      </c>
      <c r="G4392" t="s">
        <v>87171</v>
      </c>
      <c r="H4392" t="s">
        <v>87172</v>
      </c>
      <c r="I4392" t="s">
        <v>87173</v>
      </c>
      <c r="J4392" t="s">
        <v>87174</v>
      </c>
      <c r="K4392" t="s">
        <v>87175</v>
      </c>
      <c r="L4392" t="s">
        <v>87176</v>
      </c>
      <c r="M4392" t="s">
        <v>87177</v>
      </c>
      <c r="N4392" t="s">
        <v>87178</v>
      </c>
      <c r="O4392">
        <f>-771.23009783439 -129.931710523386 -740.186021174865</f>
        <v>-1641.3478295326408</v>
      </c>
      <c r="P4392">
        <f>-756.650930717816 -158.763752892655 -425.317201511083</f>
        <v>-1340.7318851215541</v>
      </c>
      <c r="Q4392">
        <f>-537.197816164305 -27.3076440239779 -378.395551855716</f>
        <v>-942.90101204399889</v>
      </c>
      <c r="R4392" t="s">
        <v>87179</v>
      </c>
      <c r="S4392" t="s">
        <v>87180</v>
      </c>
      <c r="T4392" t="s">
        <v>87181</v>
      </c>
      <c r="U4392" t="s">
        <v>87182</v>
      </c>
      <c r="V4392">
        <f>-737.491158508993 -55.2669628361066 -232.763054062656</f>
        <v>-1025.5211754077554</v>
      </c>
      <c r="W4392" t="s">
        <v>87183</v>
      </c>
      <c r="X4392" t="s">
        <v>87184</v>
      </c>
      <c r="Y4392" t="s">
        <v>87185</v>
      </c>
    </row>
    <row r="4393" spans="1:25" x14ac:dyDescent="0.3">
      <c r="A4393">
        <v>219600</v>
      </c>
      <c r="B4393" t="s">
        <v>87186</v>
      </c>
      <c r="C4393" t="s">
        <v>87187</v>
      </c>
      <c r="D4393" t="s">
        <v>87188</v>
      </c>
      <c r="E4393" t="s">
        <v>87189</v>
      </c>
      <c r="F4393" t="s">
        <v>87190</v>
      </c>
      <c r="G4393" t="s">
        <v>87191</v>
      </c>
      <c r="H4393" t="s">
        <v>87192</v>
      </c>
      <c r="I4393" t="s">
        <v>87193</v>
      </c>
      <c r="J4393" t="s">
        <v>87194</v>
      </c>
      <c r="K4393" t="s">
        <v>87195</v>
      </c>
      <c r="L4393" t="s">
        <v>87196</v>
      </c>
      <c r="M4393" t="s">
        <v>87197</v>
      </c>
      <c r="N4393" t="s">
        <v>87198</v>
      </c>
      <c r="O4393">
        <f>-770.067223438753 -129.4501397129 -740.254294645138</f>
        <v>-1639.7716577967908</v>
      </c>
      <c r="P4393">
        <f>-756.030872775655 -158.011420907383 -425.336096615484</f>
        <v>-1339.3783902985219</v>
      </c>
      <c r="Q4393">
        <f>-536.65871129441 -26.5507361196769 -378.049585012302</f>
        <v>-941.25903242638879</v>
      </c>
      <c r="R4393" t="s">
        <v>87199</v>
      </c>
      <c r="S4393" t="s">
        <v>87200</v>
      </c>
      <c r="T4393" t="s">
        <v>87201</v>
      </c>
      <c r="U4393" t="s">
        <v>87202</v>
      </c>
      <c r="V4393">
        <f>-736.843511215075 -54.3839757903688 -232.822268408705</f>
        <v>-1024.0497554141489</v>
      </c>
      <c r="W4393" t="s">
        <v>87203</v>
      </c>
      <c r="X4393" t="s">
        <v>87204</v>
      </c>
      <c r="Y4393" t="s">
        <v>87205</v>
      </c>
    </row>
    <row r="4394" spans="1:25" x14ac:dyDescent="0.3">
      <c r="A4394">
        <v>219650</v>
      </c>
      <c r="B4394" t="s">
        <v>87206</v>
      </c>
      <c r="C4394" t="s">
        <v>87207</v>
      </c>
      <c r="D4394" t="s">
        <v>87208</v>
      </c>
      <c r="E4394" t="s">
        <v>87209</v>
      </c>
      <c r="F4394" t="s">
        <v>87210</v>
      </c>
      <c r="G4394" t="s">
        <v>87211</v>
      </c>
      <c r="H4394" t="s">
        <v>87212</v>
      </c>
      <c r="I4394" t="s">
        <v>87213</v>
      </c>
      <c r="J4394" t="s">
        <v>87214</v>
      </c>
      <c r="K4394" t="s">
        <v>87215</v>
      </c>
      <c r="L4394" t="s">
        <v>87216</v>
      </c>
      <c r="M4394" t="s">
        <v>87217</v>
      </c>
      <c r="N4394" t="s">
        <v>87218</v>
      </c>
      <c r="O4394">
        <f>-767.791450098052 -128.14298183945 -740.315387776431</f>
        <v>-1636.249819713933</v>
      </c>
      <c r="P4394">
        <f>-754.840544386905 -156.394908050264 -425.322828430152</f>
        <v>-1336.5582808673209</v>
      </c>
      <c r="Q4394">
        <f>-535.613992432566 -24.9145224306467 -377.420070928309</f>
        <v>-937.94858579152162</v>
      </c>
      <c r="R4394" t="s">
        <v>87219</v>
      </c>
      <c r="S4394" t="s">
        <v>87220</v>
      </c>
      <c r="T4394" t="s">
        <v>87221</v>
      </c>
      <c r="U4394" t="s">
        <v>87222</v>
      </c>
      <c r="V4394">
        <f>-735.763698533558 -52.6136486625101 -232.91580199039</f>
        <v>-1021.2931491864581</v>
      </c>
      <c r="W4394" t="s">
        <v>87223</v>
      </c>
      <c r="X4394" t="s">
        <v>87224</v>
      </c>
      <c r="Y4394" t="s">
        <v>87225</v>
      </c>
    </row>
    <row r="4395" spans="1:25" x14ac:dyDescent="0.3">
      <c r="A4395">
        <v>219700</v>
      </c>
      <c r="B4395" t="s">
        <v>87226</v>
      </c>
      <c r="C4395" t="s">
        <v>87227</v>
      </c>
      <c r="D4395" t="s">
        <v>87228</v>
      </c>
      <c r="E4395" t="s">
        <v>87229</v>
      </c>
      <c r="F4395" t="s">
        <v>87230</v>
      </c>
      <c r="G4395" t="s">
        <v>87231</v>
      </c>
      <c r="H4395" t="s">
        <v>87232</v>
      </c>
      <c r="I4395" t="s">
        <v>87233</v>
      </c>
      <c r="J4395" t="s">
        <v>87234</v>
      </c>
      <c r="K4395" t="s">
        <v>87235</v>
      </c>
      <c r="L4395" t="s">
        <v>87236</v>
      </c>
      <c r="M4395" t="s">
        <v>87237</v>
      </c>
      <c r="N4395" t="s">
        <v>87238</v>
      </c>
      <c r="O4395">
        <f>-766.661290811394 -127.382024212829 -740.395325425041</f>
        <v>-1634.4386404492641</v>
      </c>
      <c r="P4395">
        <f>-754.238544388577 -155.558249332049 -425.374796066989</f>
        <v>-1335.1715897876152</v>
      </c>
      <c r="Q4395">
        <f>-535.115751786914 -23.9969328087648 -377.220406006896</f>
        <v>-936.33309060257466</v>
      </c>
      <c r="R4395" t="s">
        <v>87239</v>
      </c>
      <c r="S4395" t="s">
        <v>87240</v>
      </c>
      <c r="T4395" t="s">
        <v>87241</v>
      </c>
      <c r="U4395" t="s">
        <v>87242</v>
      </c>
      <c r="V4395">
        <f>-735.268981763928 -51.7799340890299 -232.978366388988</f>
        <v>-1020.0272822419458</v>
      </c>
      <c r="W4395" t="s">
        <v>87243</v>
      </c>
      <c r="X4395" t="s">
        <v>87244</v>
      </c>
      <c r="Y4395" t="s">
        <v>87245</v>
      </c>
    </row>
    <row r="4396" spans="1:25" x14ac:dyDescent="0.3">
      <c r="A4396">
        <v>219750</v>
      </c>
      <c r="B4396" t="s">
        <v>87246</v>
      </c>
      <c r="C4396" t="s">
        <v>87247</v>
      </c>
      <c r="D4396" t="s">
        <v>87248</v>
      </c>
      <c r="E4396" t="s">
        <v>87249</v>
      </c>
      <c r="F4396" t="s">
        <v>87250</v>
      </c>
      <c r="G4396" t="s">
        <v>87251</v>
      </c>
      <c r="H4396" t="s">
        <v>87252</v>
      </c>
      <c r="I4396" t="s">
        <v>87253</v>
      </c>
      <c r="J4396" t="s">
        <v>87254</v>
      </c>
      <c r="K4396" t="s">
        <v>87255</v>
      </c>
      <c r="L4396" t="s">
        <v>87256</v>
      </c>
      <c r="M4396" t="s">
        <v>87257</v>
      </c>
      <c r="N4396" t="s">
        <v>87258</v>
      </c>
      <c r="O4396">
        <f>-765.453817415958 -126.687841915753 -740.474135226275</f>
        <v>-1632.6157945579862</v>
      </c>
      <c r="P4396">
        <f>-753.522529400404 -154.681881096271 -425.418399320776</f>
        <v>-1333.6228098174511</v>
      </c>
      <c r="Q4396">
        <f>-534.525194822664 -23.0270525740739 -376.949613238308</f>
        <v>-934.50186063504589</v>
      </c>
      <c r="R4396" t="s">
        <v>87259</v>
      </c>
      <c r="S4396" t="s">
        <v>87260</v>
      </c>
      <c r="T4396" t="s">
        <v>87261</v>
      </c>
      <c r="U4396" t="s">
        <v>87262</v>
      </c>
      <c r="V4396">
        <f>-734.832456342324 -50.9457825793868 -233.034020857868</f>
        <v>-1018.8122597795788</v>
      </c>
      <c r="W4396" t="s">
        <v>87263</v>
      </c>
      <c r="X4396" t="s">
        <v>87264</v>
      </c>
      <c r="Y4396" t="s">
        <v>87265</v>
      </c>
    </row>
    <row r="4397" spans="1:25" x14ac:dyDescent="0.3">
      <c r="A4397">
        <v>219800</v>
      </c>
      <c r="B4397" t="s">
        <v>87266</v>
      </c>
      <c r="C4397" t="s">
        <v>87267</v>
      </c>
      <c r="D4397" t="s">
        <v>87268</v>
      </c>
      <c r="E4397" t="s">
        <v>87269</v>
      </c>
      <c r="F4397" t="s">
        <v>87270</v>
      </c>
      <c r="G4397" t="s">
        <v>87271</v>
      </c>
      <c r="H4397" t="s">
        <v>87272</v>
      </c>
      <c r="I4397" t="s">
        <v>87273</v>
      </c>
      <c r="J4397" t="s">
        <v>87274</v>
      </c>
      <c r="K4397" t="s">
        <v>87275</v>
      </c>
      <c r="L4397" t="s">
        <v>87276</v>
      </c>
      <c r="M4397" t="s">
        <v>87277</v>
      </c>
      <c r="N4397" t="s">
        <v>87278</v>
      </c>
      <c r="O4397">
        <f>-763.135396563792 -125.553867009175 -740.555705209238</f>
        <v>-1629.244968782205</v>
      </c>
      <c r="P4397">
        <f>-752.278028049788 -153.156683887848 -425.426543102858</f>
        <v>-1330.8612550404939</v>
      </c>
      <c r="Q4397">
        <f>-533.762519270221 -20.9929308309863 -376.17492863978</f>
        <v>-930.93037874098729</v>
      </c>
      <c r="R4397" t="s">
        <v>87279</v>
      </c>
      <c r="S4397" t="s">
        <v>87280</v>
      </c>
      <c r="T4397" t="s">
        <v>87281</v>
      </c>
      <c r="U4397" t="s">
        <v>87282</v>
      </c>
      <c r="V4397">
        <f>-734.164266887982 -49.5412909753143 -233.113159676121</f>
        <v>-1016.8187175394172</v>
      </c>
      <c r="W4397" t="s">
        <v>87283</v>
      </c>
      <c r="X4397" t="s">
        <v>87284</v>
      </c>
      <c r="Y4397" t="s">
        <v>87285</v>
      </c>
    </row>
    <row r="4398" spans="1:25" x14ac:dyDescent="0.3">
      <c r="A4398">
        <v>219850</v>
      </c>
      <c r="B4398" t="s">
        <v>87286</v>
      </c>
      <c r="C4398" t="s">
        <v>87287</v>
      </c>
      <c r="D4398" t="s">
        <v>87288</v>
      </c>
      <c r="E4398" t="s">
        <v>87289</v>
      </c>
      <c r="F4398" t="s">
        <v>87290</v>
      </c>
      <c r="G4398" t="s">
        <v>87291</v>
      </c>
      <c r="H4398" t="s">
        <v>87292</v>
      </c>
      <c r="I4398" t="s">
        <v>87293</v>
      </c>
      <c r="J4398" t="s">
        <v>87294</v>
      </c>
      <c r="K4398" t="s">
        <v>87295</v>
      </c>
      <c r="L4398" t="s">
        <v>87296</v>
      </c>
      <c r="M4398" t="s">
        <v>87297</v>
      </c>
      <c r="N4398" t="s">
        <v>87298</v>
      </c>
      <c r="O4398">
        <f>-761.141658180631 -124.476598551688 -740.58459241347</f>
        <v>-1626.2028491457891</v>
      </c>
      <c r="P4398">
        <f>-751.171563356469 -151.749300172484 -425.397419614252</f>
        <v>-1328.318283143205</v>
      </c>
      <c r="Q4398">
        <f>-533.228643728157 -18.9201881678387 -375.404066146787</f>
        <v>-927.55289804278254</v>
      </c>
      <c r="R4398" t="s">
        <v>87299</v>
      </c>
      <c r="S4398" t="s">
        <v>87300</v>
      </c>
      <c r="T4398" t="s">
        <v>87301</v>
      </c>
      <c r="U4398" t="s">
        <v>87302</v>
      </c>
      <c r="V4398">
        <f>-733.638961556909 -48.4171100324213 -233.181928941214</f>
        <v>-1015.2380005305442</v>
      </c>
      <c r="W4398" t="s">
        <v>87303</v>
      </c>
      <c r="X4398" t="s">
        <v>87304</v>
      </c>
      <c r="Y4398" t="s">
        <v>87305</v>
      </c>
    </row>
    <row r="4399" spans="1:25" x14ac:dyDescent="0.3">
      <c r="A4399">
        <v>219900</v>
      </c>
      <c r="B4399" t="s">
        <v>87306</v>
      </c>
      <c r="C4399" t="s">
        <v>87307</v>
      </c>
      <c r="D4399" t="s">
        <v>87308</v>
      </c>
      <c r="E4399" t="s">
        <v>87309</v>
      </c>
      <c r="F4399" t="s">
        <v>87310</v>
      </c>
      <c r="G4399" t="s">
        <v>87311</v>
      </c>
      <c r="H4399" t="s">
        <v>87312</v>
      </c>
      <c r="I4399" t="s">
        <v>87313</v>
      </c>
      <c r="J4399" t="s">
        <v>87314</v>
      </c>
      <c r="K4399" t="s">
        <v>87315</v>
      </c>
      <c r="L4399" t="s">
        <v>87316</v>
      </c>
      <c r="M4399" t="s">
        <v>87317</v>
      </c>
      <c r="N4399" t="s">
        <v>87318</v>
      </c>
      <c r="O4399">
        <f>-760.096739061381 -123.934237816471 -740.58241770698</f>
        <v>-1624.6133945848319</v>
      </c>
      <c r="P4399">
        <f>-750.486428718784 -151.106311153201 -425.375355211903</f>
        <v>-1326.9680950838881</v>
      </c>
      <c r="Q4399">
        <f>-532.777270952053 -18.0100941975711 -375.073923800088</f>
        <v>-925.86128894971205</v>
      </c>
      <c r="R4399" t="s">
        <v>87319</v>
      </c>
      <c r="S4399" t="s">
        <v>87320</v>
      </c>
      <c r="T4399" t="s">
        <v>87321</v>
      </c>
      <c r="U4399" t="s">
        <v>87322</v>
      </c>
      <c r="V4399">
        <f>-733.29598832423 -47.9523068310234 -233.216256451935</f>
        <v>-1014.4645516071885</v>
      </c>
      <c r="W4399" t="s">
        <v>87323</v>
      </c>
      <c r="X4399" t="s">
        <v>87324</v>
      </c>
      <c r="Y4399" t="s">
        <v>87325</v>
      </c>
    </row>
    <row r="4400" spans="1:25" x14ac:dyDescent="0.3">
      <c r="A4400">
        <v>219950</v>
      </c>
      <c r="B4400" t="s">
        <v>87326</v>
      </c>
      <c r="C4400" t="s">
        <v>87327</v>
      </c>
      <c r="D4400" t="s">
        <v>87328</v>
      </c>
      <c r="E4400" t="s">
        <v>87329</v>
      </c>
      <c r="F4400" t="s">
        <v>87330</v>
      </c>
      <c r="G4400" t="s">
        <v>87331</v>
      </c>
      <c r="H4400" t="s">
        <v>87332</v>
      </c>
      <c r="I4400" t="s">
        <v>87333</v>
      </c>
      <c r="J4400" t="s">
        <v>87334</v>
      </c>
      <c r="K4400" t="s">
        <v>87335</v>
      </c>
      <c r="L4400" t="s">
        <v>87336</v>
      </c>
      <c r="M4400" t="s">
        <v>87337</v>
      </c>
      <c r="N4400" t="s">
        <v>87338</v>
      </c>
      <c r="O4400">
        <f>-757.976602860812 -123.467627967359 -740.546076881215</f>
        <v>-1621.9903077093859</v>
      </c>
      <c r="P4400">
        <f>-749.161826418649 -150.523549957002 -425.305865832803</f>
        <v>-1324.991242208454</v>
      </c>
      <c r="Q4400">
        <f>-531.854624532915 -16.9659086875756 -374.492280220053</f>
        <v>-923.31281344054355</v>
      </c>
      <c r="R4400" t="s">
        <v>87339</v>
      </c>
      <c r="S4400" t="s">
        <v>87340</v>
      </c>
      <c r="T4400" t="s">
        <v>87341</v>
      </c>
      <c r="U4400" t="s">
        <v>87342</v>
      </c>
      <c r="V4400">
        <f>-732.591000714946 -47.516048210003 -233.239444567055</f>
        <v>-1013.3464934920039</v>
      </c>
      <c r="W4400" t="s">
        <v>87343</v>
      </c>
      <c r="X4400" t="s">
        <v>87344</v>
      </c>
      <c r="Y4400" t="s">
        <v>87345</v>
      </c>
    </row>
    <row r="4401" spans="1:25" x14ac:dyDescent="0.3">
      <c r="A4401">
        <v>220000</v>
      </c>
      <c r="B4401" t="s">
        <v>87346</v>
      </c>
      <c r="C4401" t="s">
        <v>87347</v>
      </c>
      <c r="D4401" t="s">
        <v>87348</v>
      </c>
      <c r="E4401" t="s">
        <v>87349</v>
      </c>
      <c r="F4401" t="s">
        <v>87350</v>
      </c>
      <c r="G4401" t="s">
        <v>87351</v>
      </c>
      <c r="H4401" t="s">
        <v>87352</v>
      </c>
      <c r="I4401" t="s">
        <v>87353</v>
      </c>
      <c r="J4401" t="s">
        <v>87354</v>
      </c>
      <c r="K4401" t="s">
        <v>87355</v>
      </c>
      <c r="L4401" t="s">
        <v>87356</v>
      </c>
      <c r="M4401" t="s">
        <v>87357</v>
      </c>
      <c r="N4401" t="s">
        <v>87358</v>
      </c>
      <c r="O4401">
        <f>-757.03979241002 -123.317670840571 -740.535065854993</f>
        <v>-1620.8925291055841</v>
      </c>
      <c r="P4401">
        <f>-748.539132539447 -150.351258465448 -425.284057482631</f>
        <v>-1324.174448487526</v>
      </c>
      <c r="Q4401">
        <f>-531.424812488198 -16.5426194533857 -374.30674766195</f>
        <v>-922.27417960353364</v>
      </c>
      <c r="R4401" t="s">
        <v>87359</v>
      </c>
      <c r="S4401" t="s">
        <v>87360</v>
      </c>
      <c r="T4401" t="s">
        <v>87361</v>
      </c>
      <c r="U4401" t="s">
        <v>87362</v>
      </c>
      <c r="V4401">
        <f>-732.201464709195 -47.4068157791553 -233.243748771653</f>
        <v>-1012.8520292600033</v>
      </c>
      <c r="W4401" t="s">
        <v>87363</v>
      </c>
      <c r="X4401" t="s">
        <v>87364</v>
      </c>
      <c r="Y4401" t="s">
        <v>87365</v>
      </c>
    </row>
    <row r="4402" spans="1:25" x14ac:dyDescent="0.3">
      <c r="A4402">
        <v>220050</v>
      </c>
      <c r="B4402" t="s">
        <v>87366</v>
      </c>
      <c r="C4402" t="s">
        <v>87367</v>
      </c>
      <c r="D4402" t="s">
        <v>87368</v>
      </c>
      <c r="E4402" t="s">
        <v>87369</v>
      </c>
      <c r="F4402" t="s">
        <v>87370</v>
      </c>
      <c r="G4402" t="s">
        <v>87371</v>
      </c>
      <c r="H4402" t="s">
        <v>87372</v>
      </c>
      <c r="I4402" t="s">
        <v>87373</v>
      </c>
      <c r="J4402" t="s">
        <v>87374</v>
      </c>
      <c r="K4402" t="s">
        <v>87375</v>
      </c>
      <c r="L4402" t="s">
        <v>87376</v>
      </c>
      <c r="M4402" t="s">
        <v>87377</v>
      </c>
      <c r="N4402" t="s">
        <v>87378</v>
      </c>
      <c r="O4402">
        <f>-755.289536862176 -123.425216334103 -740.497197764908</f>
        <v>-1619.2119509611871</v>
      </c>
      <c r="P4402">
        <f>-747.119953283897 -150.570527372662 -425.2472881773</f>
        <v>-1322.9377688338591</v>
      </c>
      <c r="Q4402">
        <f>-530.353894629405 -16.3240833138454 -373.94056279666</f>
        <v>-920.61854073991049</v>
      </c>
      <c r="R4402" t="s">
        <v>87379</v>
      </c>
      <c r="S4402" t="s">
        <v>87380</v>
      </c>
      <c r="T4402" t="s">
        <v>87381</v>
      </c>
      <c r="U4402" t="s">
        <v>87382</v>
      </c>
      <c r="V4402">
        <f>-731.35494722791 -47.5425803020439 -233.23116027059</f>
        <v>-1012.128687800544</v>
      </c>
      <c r="W4402" t="s">
        <v>87383</v>
      </c>
      <c r="X4402" t="s">
        <v>87384</v>
      </c>
      <c r="Y4402" t="s">
        <v>87385</v>
      </c>
    </row>
    <row r="4403" spans="1:25" x14ac:dyDescent="0.3">
      <c r="A4403">
        <v>220100</v>
      </c>
      <c r="B4403" t="s">
        <v>87386</v>
      </c>
      <c r="C4403" t="s">
        <v>87387</v>
      </c>
      <c r="D4403" t="s">
        <v>87388</v>
      </c>
      <c r="E4403" t="s">
        <v>87389</v>
      </c>
      <c r="F4403" t="s">
        <v>87390</v>
      </c>
      <c r="G4403" t="s">
        <v>87391</v>
      </c>
      <c r="H4403" t="s">
        <v>87392</v>
      </c>
      <c r="I4403" t="s">
        <v>87393</v>
      </c>
      <c r="J4403" t="s">
        <v>87394</v>
      </c>
      <c r="K4403" t="s">
        <v>87395</v>
      </c>
      <c r="L4403" t="s">
        <v>87396</v>
      </c>
      <c r="M4403" t="s">
        <v>87397</v>
      </c>
      <c r="N4403" t="s">
        <v>87398</v>
      </c>
      <c r="O4403">
        <f>-754.367227380779 -123.616652286731 -740.472336453129</f>
        <v>-1618.4562161206391</v>
      </c>
      <c r="P4403">
        <f>-746.331002528875 -150.696038900923 -425.213145102605</f>
        <v>-1322.240186532403</v>
      </c>
      <c r="Q4403">
        <f>-529.735586847637 -16.224762589047 -373.774234395491</f>
        <v>-919.73458383217508</v>
      </c>
      <c r="R4403" t="s">
        <v>87399</v>
      </c>
      <c r="S4403" t="s">
        <v>87400</v>
      </c>
      <c r="T4403" t="s">
        <v>87401</v>
      </c>
      <c r="U4403" t="s">
        <v>87402</v>
      </c>
      <c r="V4403">
        <f>-730.966548143346 -47.7690636427542 -233.213300533608</f>
        <v>-1011.9489123197081</v>
      </c>
      <c r="W4403" t="s">
        <v>87403</v>
      </c>
      <c r="X4403" t="s">
        <v>87404</v>
      </c>
      <c r="Y4403" t="s">
        <v>87405</v>
      </c>
    </row>
    <row r="4404" spans="1:25" x14ac:dyDescent="0.3">
      <c r="A4404">
        <v>220150</v>
      </c>
      <c r="B4404" t="s">
        <v>87406</v>
      </c>
      <c r="C4404" t="s">
        <v>87407</v>
      </c>
      <c r="D4404" t="s">
        <v>87408</v>
      </c>
      <c r="E4404" t="s">
        <v>87409</v>
      </c>
      <c r="F4404" t="s">
        <v>87410</v>
      </c>
      <c r="G4404" t="s">
        <v>87411</v>
      </c>
      <c r="H4404" t="s">
        <v>87412</v>
      </c>
      <c r="I4404" t="s">
        <v>87413</v>
      </c>
      <c r="J4404" t="s">
        <v>87414</v>
      </c>
      <c r="K4404" t="s">
        <v>87415</v>
      </c>
      <c r="L4404" t="s">
        <v>87416</v>
      </c>
      <c r="M4404" t="s">
        <v>87417</v>
      </c>
      <c r="N4404" t="s">
        <v>87418</v>
      </c>
      <c r="O4404">
        <f>-753.442028108183 -123.922558267311 -740.24196092806</f>
        <v>-1617.6065473035542</v>
      </c>
      <c r="P4404">
        <f>-745.630978380992 -150.770065391254 -424.957347670269</f>
        <v>-1321.3583914425149</v>
      </c>
      <c r="Q4404">
        <f>-529.421624113253 -15.8357817790845 -373.109142428534</f>
        <v>-918.36654832087152</v>
      </c>
      <c r="R4404" t="s">
        <v>87419</v>
      </c>
      <c r="S4404" t="s">
        <v>87420</v>
      </c>
      <c r="T4404" t="s">
        <v>87421</v>
      </c>
      <c r="U4404" t="s">
        <v>87422</v>
      </c>
      <c r="V4404">
        <f>-730.810931066332 -48.4386853710728 -233.139101396003</f>
        <v>-1012.3887178334078</v>
      </c>
      <c r="W4404" t="s">
        <v>87423</v>
      </c>
      <c r="X4404" t="s">
        <v>87424</v>
      </c>
      <c r="Y4404" t="s">
        <v>87425</v>
      </c>
    </row>
    <row r="4405" spans="1:25" x14ac:dyDescent="0.3">
      <c r="A4405">
        <v>220200</v>
      </c>
      <c r="B4405" t="s">
        <v>87426</v>
      </c>
      <c r="C4405" t="s">
        <v>87427</v>
      </c>
      <c r="D4405" t="s">
        <v>87428</v>
      </c>
      <c r="E4405" t="s">
        <v>87429</v>
      </c>
      <c r="F4405" t="s">
        <v>87430</v>
      </c>
      <c r="G4405" t="s">
        <v>87431</v>
      </c>
      <c r="H4405" t="s">
        <v>87432</v>
      </c>
      <c r="I4405" t="s">
        <v>87433</v>
      </c>
      <c r="J4405" t="s">
        <v>87434</v>
      </c>
      <c r="K4405" t="s">
        <v>87435</v>
      </c>
      <c r="L4405" t="s">
        <v>87436</v>
      </c>
      <c r="M4405" t="s">
        <v>87437</v>
      </c>
      <c r="N4405" t="s">
        <v>87438</v>
      </c>
      <c r="O4405">
        <f>-753.443725118642 -124.494302093942 -740.048704341993</f>
        <v>-1617.9867315545771</v>
      </c>
      <c r="P4405">
        <f>-745.778290271864 -151.210263898867 -424.74938522911</f>
        <v>-1321.7379393998408</v>
      </c>
      <c r="Q4405">
        <f>-529.803897814106 -15.9975786512396 -372.647584325414</f>
        <v>-918.44906079075963</v>
      </c>
      <c r="R4405" t="s">
        <v>87439</v>
      </c>
      <c r="S4405" t="s">
        <v>87440</v>
      </c>
      <c r="T4405" t="s">
        <v>87441</v>
      </c>
      <c r="U4405" t="s">
        <v>87442</v>
      </c>
      <c r="V4405">
        <f>-731.131899949416 -49.0742596287646 -233.075349286715</f>
        <v>-1013.2815088648956</v>
      </c>
      <c r="W4405" t="s">
        <v>87443</v>
      </c>
      <c r="X4405" t="s">
        <v>87444</v>
      </c>
      <c r="Y4405" t="s">
        <v>87445</v>
      </c>
    </row>
    <row r="4406" spans="1:25" x14ac:dyDescent="0.3">
      <c r="A4406">
        <v>220250</v>
      </c>
      <c r="B4406" t="s">
        <v>87446</v>
      </c>
      <c r="C4406" t="s">
        <v>87447</v>
      </c>
      <c r="D4406" t="s">
        <v>87448</v>
      </c>
      <c r="E4406" t="s">
        <v>87449</v>
      </c>
      <c r="F4406" t="s">
        <v>87450</v>
      </c>
      <c r="G4406" t="s">
        <v>87451</v>
      </c>
      <c r="H4406" t="s">
        <v>87452</v>
      </c>
      <c r="I4406" t="s">
        <v>87453</v>
      </c>
      <c r="J4406" t="s">
        <v>87454</v>
      </c>
      <c r="K4406" t="s">
        <v>87455</v>
      </c>
      <c r="L4406" t="s">
        <v>87456</v>
      </c>
      <c r="M4406" t="s">
        <v>87457</v>
      </c>
      <c r="N4406" t="s">
        <v>87458</v>
      </c>
      <c r="O4406">
        <f>-752.774791255236 -126.025925458375 -739.686227578634</f>
        <v>-1618.486944292245</v>
      </c>
      <c r="P4406">
        <f>-745.575512875979 -152.336872862844 -424.341775670995</f>
        <v>-1322.2541614098179</v>
      </c>
      <c r="Q4406">
        <f>-530.321219392713 -16.2573406446868 -371.521092410249</f>
        <v>-918.09965244764885</v>
      </c>
      <c r="R4406" t="s">
        <v>87459</v>
      </c>
      <c r="S4406" t="s">
        <v>87460</v>
      </c>
      <c r="T4406" t="s">
        <v>87461</v>
      </c>
      <c r="U4406" t="s">
        <v>87462</v>
      </c>
      <c r="V4406">
        <f>-732.098015097412 -50.8856241665108 -233.148142974457</f>
        <v>-1016.1317822383797</v>
      </c>
      <c r="W4406" t="s">
        <v>87463</v>
      </c>
      <c r="X4406" t="s">
        <v>87464</v>
      </c>
      <c r="Y4406" t="s">
        <v>87465</v>
      </c>
    </row>
    <row r="4407" spans="1:25" x14ac:dyDescent="0.3">
      <c r="A4407">
        <v>220300</v>
      </c>
      <c r="B4407" t="s">
        <v>87466</v>
      </c>
      <c r="C4407" t="s">
        <v>87467</v>
      </c>
      <c r="D4407" t="s">
        <v>87468</v>
      </c>
      <c r="E4407" t="s">
        <v>87469</v>
      </c>
      <c r="F4407" t="s">
        <v>87470</v>
      </c>
      <c r="G4407" t="s">
        <v>87471</v>
      </c>
      <c r="H4407" t="s">
        <v>87472</v>
      </c>
      <c r="I4407" t="s">
        <v>87473</v>
      </c>
      <c r="J4407" t="s">
        <v>87474</v>
      </c>
      <c r="K4407" t="s">
        <v>87475</v>
      </c>
      <c r="L4407" t="s">
        <v>87476</v>
      </c>
      <c r="M4407" t="s">
        <v>87477</v>
      </c>
      <c r="N4407" t="s">
        <v>87478</v>
      </c>
      <c r="O4407">
        <f>-752.245422454004 -127.135105045333 -739.443181871939</f>
        <v>-1618.823709371276</v>
      </c>
      <c r="P4407">
        <f>-745.413344439798 -152.91014437278 -424.046199511173</f>
        <v>-1322.369688323751</v>
      </c>
      <c r="Q4407">
        <f>-530.607049018943 -16.3005914485113 -370.772196948271</f>
        <v>-917.67983741572539</v>
      </c>
      <c r="R4407" t="s">
        <v>87479</v>
      </c>
      <c r="S4407" t="s">
        <v>87480</v>
      </c>
      <c r="T4407" t="s">
        <v>87481</v>
      </c>
      <c r="U4407" t="s">
        <v>87482</v>
      </c>
      <c r="V4407">
        <f>-732.816842327781 -51.9565316835092 -233.204401574134</f>
        <v>-1017.9777755854243</v>
      </c>
      <c r="W4407" t="s">
        <v>87483</v>
      </c>
      <c r="X4407" t="s">
        <v>87484</v>
      </c>
      <c r="Y4407" t="s">
        <v>87485</v>
      </c>
    </row>
    <row r="4408" spans="1:25" x14ac:dyDescent="0.3">
      <c r="A4408">
        <v>220350</v>
      </c>
      <c r="B4408" t="s">
        <v>87486</v>
      </c>
      <c r="C4408" t="s">
        <v>87487</v>
      </c>
      <c r="D4408" t="s">
        <v>87488</v>
      </c>
      <c r="E4408" t="s">
        <v>87489</v>
      </c>
      <c r="F4408" t="s">
        <v>87490</v>
      </c>
      <c r="G4408" t="s">
        <v>87491</v>
      </c>
      <c r="H4408" t="s">
        <v>87492</v>
      </c>
      <c r="I4408" t="s">
        <v>87493</v>
      </c>
      <c r="J4408" t="s">
        <v>87494</v>
      </c>
      <c r="K4408" t="s">
        <v>87495</v>
      </c>
      <c r="L4408" t="s">
        <v>87496</v>
      </c>
      <c r="M4408" t="s">
        <v>87497</v>
      </c>
      <c r="N4408" t="s">
        <v>87498</v>
      </c>
      <c r="O4408">
        <f>-750.912649388876 -129.368109362969 -738.709727982805</f>
        <v>-1618.9904867346499</v>
      </c>
      <c r="P4408">
        <f>-745.691305553886 -153.8672878256 -423.180578460604</f>
        <v>-1322.73917184009</v>
      </c>
      <c r="Q4408">
        <f>-531.614967741182 -16.4815708044132 -368.971806983046</f>
        <v>-917.0683455286412</v>
      </c>
      <c r="R4408" t="s">
        <v>87499</v>
      </c>
      <c r="S4408" t="s">
        <v>87500</v>
      </c>
      <c r="T4408" t="s">
        <v>87501</v>
      </c>
      <c r="U4408" t="s">
        <v>87502</v>
      </c>
      <c r="V4408">
        <f>-734.718291696675 -54.1967368962598 -233.18981383936</f>
        <v>-1022.1048424322948</v>
      </c>
      <c r="W4408" t="s">
        <v>87503</v>
      </c>
      <c r="X4408" t="s">
        <v>87504</v>
      </c>
      <c r="Y4408" t="s">
        <v>87505</v>
      </c>
    </row>
    <row r="4409" spans="1:25" x14ac:dyDescent="0.3">
      <c r="A4409">
        <v>220400</v>
      </c>
      <c r="B4409" t="s">
        <v>87506</v>
      </c>
      <c r="C4409" t="s">
        <v>87507</v>
      </c>
      <c r="D4409" t="s">
        <v>87508</v>
      </c>
      <c r="E4409" t="s">
        <v>87509</v>
      </c>
      <c r="F4409" t="s">
        <v>87510</v>
      </c>
      <c r="G4409" t="s">
        <v>87511</v>
      </c>
      <c r="H4409" t="s">
        <v>87512</v>
      </c>
      <c r="I4409" t="s">
        <v>87513</v>
      </c>
      <c r="J4409" t="s">
        <v>87514</v>
      </c>
      <c r="K4409" t="s">
        <v>87515</v>
      </c>
      <c r="L4409" t="s">
        <v>87516</v>
      </c>
      <c r="M4409" t="s">
        <v>87517</v>
      </c>
      <c r="N4409" t="s">
        <v>87518</v>
      </c>
      <c r="O4409">
        <f>-750.674723892707 -130.025517273962 -738.499783093889</f>
        <v>-1619.2000242605582</v>
      </c>
      <c r="P4409">
        <f>-746.548020088944 -153.984847072469 -422.912818482065</f>
        <v>-1323.4456856434779</v>
      </c>
      <c r="Q4409">
        <f>-532.672964668571 -16.5321966482086 -368.083465555589</f>
        <v>-917.28862687236858</v>
      </c>
      <c r="R4409" t="s">
        <v>87519</v>
      </c>
      <c r="S4409" t="s">
        <v>87520</v>
      </c>
      <c r="T4409" t="s">
        <v>87521</v>
      </c>
      <c r="U4409" t="s">
        <v>87522</v>
      </c>
      <c r="V4409">
        <f>-735.809329345924 -55.1315289807815 -233.057882689215</f>
        <v>-1023.9987410159205</v>
      </c>
      <c r="W4409" t="s">
        <v>87523</v>
      </c>
      <c r="X4409" t="s">
        <v>87524</v>
      </c>
      <c r="Y4409" t="s">
        <v>87525</v>
      </c>
    </row>
    <row r="4410" spans="1:25" x14ac:dyDescent="0.3">
      <c r="A4410">
        <v>220450</v>
      </c>
      <c r="B4410" t="s">
        <v>87526</v>
      </c>
      <c r="C4410" t="s">
        <v>87527</v>
      </c>
      <c r="D4410" t="s">
        <v>87528</v>
      </c>
      <c r="E4410" t="s">
        <v>87529</v>
      </c>
      <c r="F4410" t="s">
        <v>87530</v>
      </c>
      <c r="G4410" t="s">
        <v>87531</v>
      </c>
      <c r="H4410" t="s">
        <v>87532</v>
      </c>
      <c r="I4410" t="s">
        <v>87533</v>
      </c>
      <c r="J4410" t="s">
        <v>87534</v>
      </c>
      <c r="K4410" t="s">
        <v>87535</v>
      </c>
      <c r="L4410" t="s">
        <v>87536</v>
      </c>
      <c r="M4410" t="s">
        <v>87537</v>
      </c>
      <c r="N4410" t="s">
        <v>87538</v>
      </c>
      <c r="O4410">
        <f>-750.239193272304 -130.922188754953 -738.089791878599</f>
        <v>-1619.2511739058559</v>
      </c>
      <c r="P4410">
        <f>-749.490891397057 -152.984647565224 -422.338471016686</f>
        <v>-1324.8140099789671</v>
      </c>
      <c r="Q4410">
        <f>-535.717609063053 -15.8749242043084 -366.26780345891</f>
        <v>-917.8603367262715</v>
      </c>
      <c r="R4410" t="s">
        <v>87539</v>
      </c>
      <c r="S4410" t="s">
        <v>87540</v>
      </c>
      <c r="T4410" t="s">
        <v>87541</v>
      </c>
      <c r="U4410" t="s">
        <v>87542</v>
      </c>
      <c r="V4410">
        <f>-738.161254972629 -56.8028154569288 -232.574222007117</f>
        <v>-1027.5382924366747</v>
      </c>
      <c r="W4410" t="s">
        <v>87543</v>
      </c>
      <c r="X4410" t="s">
        <v>87544</v>
      </c>
      <c r="Y4410" t="s">
        <v>87545</v>
      </c>
    </row>
    <row r="4411" spans="1:25" x14ac:dyDescent="0.3">
      <c r="A4411">
        <v>220500</v>
      </c>
      <c r="B4411" t="s">
        <v>87546</v>
      </c>
      <c r="C4411" t="s">
        <v>87547</v>
      </c>
      <c r="D4411" t="s">
        <v>87548</v>
      </c>
      <c r="E4411" t="s">
        <v>87549</v>
      </c>
      <c r="F4411" t="s">
        <v>87550</v>
      </c>
      <c r="G4411" t="s">
        <v>87551</v>
      </c>
      <c r="H4411" t="s">
        <v>87552</v>
      </c>
      <c r="I4411" t="s">
        <v>87553</v>
      </c>
      <c r="J4411" t="s">
        <v>87554</v>
      </c>
      <c r="K4411" t="s">
        <v>87555</v>
      </c>
      <c r="L4411" t="s">
        <v>87556</v>
      </c>
      <c r="M4411" t="s">
        <v>87557</v>
      </c>
      <c r="N4411" t="s">
        <v>87558</v>
      </c>
      <c r="O4411">
        <f>-750.116581036925 -131.590977578684 -737.994788636469</f>
        <v>-1619.7023472520782</v>
      </c>
      <c r="P4411">
        <f>-751.67065417416 -152.617132681228 -422.175730885246</f>
        <v>-1326.463517740634</v>
      </c>
      <c r="Q4411">
        <f>-537.746376948875 -16.1246393554356 -365.182089534472</f>
        <v>-919.05310583878259</v>
      </c>
      <c r="R4411" t="s">
        <v>87559</v>
      </c>
      <c r="S4411" t="s">
        <v>87560</v>
      </c>
      <c r="T4411" t="s">
        <v>87561</v>
      </c>
      <c r="U4411" t="s">
        <v>87562</v>
      </c>
      <c r="V4411">
        <f>-739.328788045629 -57.5906837979098 -232.500751975837</f>
        <v>-1029.4202238193759</v>
      </c>
      <c r="W4411" t="s">
        <v>87563</v>
      </c>
      <c r="X4411" t="s">
        <v>87564</v>
      </c>
      <c r="Y4411" t="s">
        <v>87565</v>
      </c>
    </row>
    <row r="4412" spans="1:25" x14ac:dyDescent="0.3">
      <c r="A4412">
        <v>220550</v>
      </c>
      <c r="B4412" t="s">
        <v>87566</v>
      </c>
      <c r="C4412" t="s">
        <v>87567</v>
      </c>
      <c r="D4412" t="s">
        <v>87568</v>
      </c>
      <c r="E4412" t="s">
        <v>87569</v>
      </c>
      <c r="F4412" t="s">
        <v>87570</v>
      </c>
      <c r="G4412" t="s">
        <v>87571</v>
      </c>
      <c r="H4412" t="s">
        <v>87572</v>
      </c>
      <c r="I4412" t="s">
        <v>87573</v>
      </c>
      <c r="J4412" t="s">
        <v>87574</v>
      </c>
      <c r="K4412" t="s">
        <v>87575</v>
      </c>
      <c r="L4412" t="s">
        <v>87576</v>
      </c>
      <c r="M4412" t="s">
        <v>87577</v>
      </c>
      <c r="N4412" t="s">
        <v>87578</v>
      </c>
      <c r="O4412">
        <f>-750.523134901648 -133.12339381895 -738.038229917255</f>
        <v>-1621.6847586378531</v>
      </c>
      <c r="P4412">
        <f>-755.182792327627 -152.960644540889 -422.172790226278</f>
        <v>-1330.3162270947939</v>
      </c>
      <c r="Q4412">
        <f>-540.65802573471 -18.2129585365644 -363.314556264967</f>
        <v>-922.18554053624143</v>
      </c>
      <c r="R4412" t="s">
        <v>87579</v>
      </c>
      <c r="S4412" t="s">
        <v>87580</v>
      </c>
      <c r="T4412" t="s">
        <v>87581</v>
      </c>
      <c r="U4412" t="s">
        <v>87582</v>
      </c>
      <c r="V4412">
        <f>-741.708391139811 -59.2815103623775 -232.824852973413</f>
        <v>-1033.8147544756016</v>
      </c>
      <c r="W4412" t="s">
        <v>87583</v>
      </c>
      <c r="X4412" t="s">
        <v>87584</v>
      </c>
      <c r="Y4412" t="s">
        <v>87585</v>
      </c>
    </row>
    <row r="4413" spans="1:25" x14ac:dyDescent="0.3">
      <c r="A4413">
        <v>220600</v>
      </c>
      <c r="B4413" t="s">
        <v>87586</v>
      </c>
      <c r="C4413" t="s">
        <v>87587</v>
      </c>
      <c r="D4413" t="s">
        <v>87588</v>
      </c>
      <c r="E4413" t="s">
        <v>87589</v>
      </c>
      <c r="F4413" t="s">
        <v>87590</v>
      </c>
      <c r="G4413" t="s">
        <v>87591</v>
      </c>
      <c r="H4413" t="s">
        <v>87592</v>
      </c>
      <c r="I4413" t="s">
        <v>87593</v>
      </c>
      <c r="J4413" t="s">
        <v>87594</v>
      </c>
      <c r="K4413" t="s">
        <v>87595</v>
      </c>
      <c r="L4413" t="s">
        <v>87596</v>
      </c>
      <c r="M4413" t="s">
        <v>87597</v>
      </c>
      <c r="N4413" t="s">
        <v>87598</v>
      </c>
      <c r="O4413">
        <f>-751.721084387979 -133.711506568465 -738.157832150974</f>
        <v>-1623.5904231074178</v>
      </c>
      <c r="P4413">
        <f>-756.934259192535 -153.096803605126 -422.273088073049</f>
        <v>-1332.3041508707099</v>
      </c>
      <c r="Q4413">
        <f>-541.902031824365 -19.5001228233073 -362.648186098446</f>
        <v>-924.05034074611831</v>
      </c>
      <c r="R4413" t="s">
        <v>87599</v>
      </c>
      <c r="S4413" t="s">
        <v>87600</v>
      </c>
      <c r="T4413" t="s">
        <v>87601</v>
      </c>
      <c r="U4413" t="s">
        <v>87602</v>
      </c>
      <c r="V4413">
        <f>-742.997902131016 -59.8911816855939 -233.092845071738</f>
        <v>-1035.9819288883477</v>
      </c>
      <c r="W4413" t="s">
        <v>87603</v>
      </c>
      <c r="X4413" t="s">
        <v>87604</v>
      </c>
      <c r="Y4413" t="s">
        <v>87605</v>
      </c>
    </row>
    <row r="4414" spans="1:25" x14ac:dyDescent="0.3">
      <c r="A4414">
        <v>220650</v>
      </c>
      <c r="B4414" t="s">
        <v>87606</v>
      </c>
      <c r="C4414" t="s">
        <v>87607</v>
      </c>
      <c r="D4414" t="s">
        <v>87608</v>
      </c>
      <c r="E4414" t="s">
        <v>87609</v>
      </c>
      <c r="F4414" t="s">
        <v>87610</v>
      </c>
      <c r="G4414" t="s">
        <v>87611</v>
      </c>
      <c r="H4414" t="s">
        <v>87612</v>
      </c>
      <c r="I4414" t="s">
        <v>87613</v>
      </c>
      <c r="J4414" t="s">
        <v>87614</v>
      </c>
      <c r="K4414" t="s">
        <v>87615</v>
      </c>
      <c r="L4414" t="s">
        <v>87616</v>
      </c>
      <c r="M4414" t="s">
        <v>87617</v>
      </c>
      <c r="N4414" t="s">
        <v>87618</v>
      </c>
      <c r="O4414">
        <f>-754.587969724314 -134.396389242958 -738.512678029017</f>
        <v>-1627.4970369962889</v>
      </c>
      <c r="P4414">
        <f>-758.745370927249 -153.110160930602 -422.571622213278</f>
        <v>-1334.4271540711291</v>
      </c>
      <c r="Q4414">
        <f>-542.486330215 -21.9612325160947 -361.9576376207</f>
        <v>-926.40520035179463</v>
      </c>
      <c r="R4414" t="s">
        <v>87619</v>
      </c>
      <c r="S4414" t="s">
        <v>87620</v>
      </c>
      <c r="T4414" t="s">
        <v>87621</v>
      </c>
      <c r="U4414" t="s">
        <v>87622</v>
      </c>
      <c r="V4414">
        <f>-745.560742184741 -60.553957213371 -234.315955559751</f>
        <v>-1040.430654957863</v>
      </c>
      <c r="W4414" t="s">
        <v>87623</v>
      </c>
      <c r="X4414" t="s">
        <v>87624</v>
      </c>
      <c r="Y4414" t="s">
        <v>87625</v>
      </c>
    </row>
    <row r="4415" spans="1:25" x14ac:dyDescent="0.3">
      <c r="A4415">
        <v>220700</v>
      </c>
      <c r="B4415" t="s">
        <v>87626</v>
      </c>
      <c r="C4415" t="s">
        <v>87627</v>
      </c>
      <c r="D4415" t="s">
        <v>87628</v>
      </c>
      <c r="E4415" t="s">
        <v>87629</v>
      </c>
      <c r="F4415" t="s">
        <v>87630</v>
      </c>
      <c r="G4415" t="s">
        <v>87631</v>
      </c>
      <c r="H4415" t="s">
        <v>87632</v>
      </c>
      <c r="I4415" t="s">
        <v>87633</v>
      </c>
      <c r="J4415" t="s">
        <v>87634</v>
      </c>
      <c r="K4415" t="s">
        <v>87635</v>
      </c>
      <c r="L4415" t="s">
        <v>87636</v>
      </c>
      <c r="M4415" t="s">
        <v>87637</v>
      </c>
      <c r="N4415" t="s">
        <v>87638</v>
      </c>
      <c r="O4415">
        <f>-757.080344353423 -134.730666273996 -738.520915283639</f>
        <v>-1630.3319259110581</v>
      </c>
      <c r="P4415">
        <f>-759.822426799949 -152.882902230391 -422.531715503527</f>
        <v>-1335.237044533867</v>
      </c>
      <c r="Q4415">
        <f>-542.925118241493 -22.9902593494755 -361.494682016677</f>
        <v>-927.41005960764551</v>
      </c>
      <c r="R4415" t="s">
        <v>87639</v>
      </c>
      <c r="S4415" t="s">
        <v>87640</v>
      </c>
      <c r="T4415" t="s">
        <v>87641</v>
      </c>
      <c r="U4415" t="s">
        <v>87642</v>
      </c>
      <c r="V4415">
        <f>-746.869991405909 -60.3816518395879 -234.827894151118</f>
        <v>-1042.0795373966148</v>
      </c>
      <c r="W4415" t="s">
        <v>87643</v>
      </c>
      <c r="X4415" t="s">
        <v>87644</v>
      </c>
      <c r="Y4415" t="s">
        <v>87645</v>
      </c>
    </row>
    <row r="4416" spans="1:25" x14ac:dyDescent="0.3">
      <c r="A4416">
        <v>220750</v>
      </c>
      <c r="B4416" t="s">
        <v>87646</v>
      </c>
      <c r="C4416" t="s">
        <v>87647</v>
      </c>
      <c r="D4416" t="s">
        <v>87648</v>
      </c>
      <c r="E4416" t="s">
        <v>87649</v>
      </c>
      <c r="F4416" t="s">
        <v>87650</v>
      </c>
      <c r="G4416" t="s">
        <v>87651</v>
      </c>
      <c r="H4416" t="s">
        <v>87652</v>
      </c>
      <c r="I4416">
        <f>-655.12725838811 -5.49713595706885 -923.180602829422</f>
        <v>-1583.8049971746009</v>
      </c>
      <c r="J4416" t="s">
        <v>87653</v>
      </c>
      <c r="K4416" t="s">
        <v>87654</v>
      </c>
      <c r="L4416" t="s">
        <v>87655</v>
      </c>
      <c r="M4416" t="s">
        <v>87656</v>
      </c>
      <c r="N4416">
        <f>-720.007650891019 -0.544003566535594 -769.17730826183</f>
        <v>-1489.7289627193845</v>
      </c>
      <c r="O4416">
        <f>-764.370004755092 -137.002890834193 -737.099122282472</f>
        <v>-1638.4720178717571</v>
      </c>
      <c r="P4416">
        <f>-762.934579975321 -153.727479773718 -421.022437147566</f>
        <v>-1337.684496896605</v>
      </c>
      <c r="Q4416">
        <f>-544.505499957197 -25.886610419727 -361.126712367133</f>
        <v>-931.51882274405705</v>
      </c>
      <c r="R4416" t="s">
        <v>87657</v>
      </c>
      <c r="S4416" t="s">
        <v>87658</v>
      </c>
      <c r="T4416" t="s">
        <v>87659</v>
      </c>
      <c r="U4416" t="s">
        <v>87660</v>
      </c>
      <c r="V4416">
        <f>-749.634428861826 -59.452648821451 -235.609733704781</f>
        <v>-1044.696811388058</v>
      </c>
      <c r="W4416" t="s">
        <v>87661</v>
      </c>
      <c r="X4416" t="s">
        <v>87662</v>
      </c>
      <c r="Y4416" t="s">
        <v>87663</v>
      </c>
    </row>
    <row r="4417" spans="1:25" x14ac:dyDescent="0.3">
      <c r="A4417">
        <v>220800</v>
      </c>
      <c r="B4417" t="s">
        <v>87664</v>
      </c>
      <c r="C4417" t="s">
        <v>87665</v>
      </c>
      <c r="D4417" t="s">
        <v>87666</v>
      </c>
      <c r="E4417" t="s">
        <v>87667</v>
      </c>
      <c r="F4417" t="s">
        <v>87668</v>
      </c>
      <c r="G4417" t="s">
        <v>87669</v>
      </c>
      <c r="H4417" t="s">
        <v>87670</v>
      </c>
      <c r="I4417">
        <f>-657.82475629253 -11.8396802892519 -923.020824494086</f>
        <v>-1592.6852610758679</v>
      </c>
      <c r="J4417" t="s">
        <v>87671</v>
      </c>
      <c r="K4417" t="s">
        <v>87672</v>
      </c>
      <c r="L4417" t="s">
        <v>87673</v>
      </c>
      <c r="M4417" t="s">
        <v>87674</v>
      </c>
      <c r="N4417">
        <f>-722.054191787446 -3.52989466874919 -769.005414100455</f>
        <v>-1494.5895005566504</v>
      </c>
      <c r="O4417">
        <f>-768.73250835065 -138.938340947685 -735.69094314362</f>
        <v>-1643.361792441955</v>
      </c>
      <c r="P4417">
        <f>-765.499826337239 -153.881849657006 -419.538366620931</f>
        <v>-1338.920042615176</v>
      </c>
      <c r="Q4417">
        <f>-545.809342124878 -27.531683661965 -361.110758464714</f>
        <v>-934.451784251557</v>
      </c>
      <c r="R4417" t="s">
        <v>87675</v>
      </c>
      <c r="S4417" t="s">
        <v>87676</v>
      </c>
      <c r="T4417" t="s">
        <v>87677</v>
      </c>
      <c r="U4417" t="s">
        <v>87678</v>
      </c>
      <c r="V4417">
        <f>-751.101119294828 -58.663221776729 -235.90874432098</f>
        <v>-1045.6730853925369</v>
      </c>
      <c r="W4417" t="s">
        <v>87679</v>
      </c>
      <c r="X4417" t="s">
        <v>87680</v>
      </c>
      <c r="Y4417" t="s">
        <v>87681</v>
      </c>
    </row>
    <row r="4418" spans="1:25" x14ac:dyDescent="0.3">
      <c r="A4418">
        <v>220850</v>
      </c>
      <c r="B4418" t="s">
        <v>87682</v>
      </c>
      <c r="C4418" t="s">
        <v>87683</v>
      </c>
      <c r="D4418" t="s">
        <v>87684</v>
      </c>
      <c r="E4418" t="s">
        <v>87685</v>
      </c>
      <c r="F4418" t="s">
        <v>87686</v>
      </c>
      <c r="G4418" t="s">
        <v>87687</v>
      </c>
      <c r="H4418" t="s">
        <v>87688</v>
      </c>
      <c r="I4418">
        <f>-663.605849022545 -24.4554940458265 -922.396355193031</f>
        <v>-1610.4576982614026</v>
      </c>
      <c r="J4418" t="s">
        <v>87689</v>
      </c>
      <c r="K4418" t="s">
        <v>87690</v>
      </c>
      <c r="L4418" t="s">
        <v>87691</v>
      </c>
      <c r="M4418" t="s">
        <v>87692</v>
      </c>
      <c r="N4418">
        <f>-726.23781692296 -9.69708297086163 -768.2682101185</f>
        <v>-1504.2031100123215</v>
      </c>
      <c r="O4418">
        <f>-777.608608640054 -142.604831107133 -731.847484939538</f>
        <v>-1652.060924686725</v>
      </c>
      <c r="P4418">
        <f>-770.747233932499 -153.220530661374 -415.577917188396</f>
        <v>-1339.545681782269</v>
      </c>
      <c r="Q4418">
        <f>-547.894017458939 -31.109808835412 -360.19304162668</f>
        <v>-939.19686792103084</v>
      </c>
      <c r="R4418" t="s">
        <v>87693</v>
      </c>
      <c r="S4418" t="s">
        <v>87694</v>
      </c>
      <c r="T4418" t="s">
        <v>87695</v>
      </c>
      <c r="U4418" t="s">
        <v>87696</v>
      </c>
      <c r="V4418">
        <f>-753.481433593045 -55.8891523168763 -236.166121922878</f>
        <v>-1045.5367078327995</v>
      </c>
      <c r="W4418" t="s">
        <v>87697</v>
      </c>
      <c r="X4418" t="s">
        <v>87698</v>
      </c>
      <c r="Y4418" t="s">
        <v>87699</v>
      </c>
    </row>
    <row r="4419" spans="1:25" x14ac:dyDescent="0.3">
      <c r="A4419">
        <v>220900</v>
      </c>
      <c r="B4419" t="s">
        <v>87700</v>
      </c>
      <c r="C4419" t="s">
        <v>87701</v>
      </c>
      <c r="D4419" t="s">
        <v>87702</v>
      </c>
      <c r="E4419" t="s">
        <v>87703</v>
      </c>
      <c r="F4419" t="s">
        <v>87704</v>
      </c>
      <c r="G4419" t="s">
        <v>87705</v>
      </c>
      <c r="H4419" t="s">
        <v>87706</v>
      </c>
      <c r="I4419">
        <f>-669.253624286629 -36.2378311785167 -921.692792990414</f>
        <v>-1627.1842484555596</v>
      </c>
      <c r="J4419" t="s">
        <v>87707</v>
      </c>
      <c r="K4419" t="s">
        <v>87708</v>
      </c>
      <c r="L4419" t="s">
        <v>87709</v>
      </c>
      <c r="M4419" t="s">
        <v>87710</v>
      </c>
      <c r="N4419">
        <f>-730.137252841828 -15.5282419289215 -767.453471782339</f>
        <v>-1513.1189665530883</v>
      </c>
      <c r="O4419">
        <f>-786.478211816411 -145.470865736672 -727.84479924824</f>
        <v>-1659.793876801323</v>
      </c>
      <c r="P4419">
        <f>-776.205658611229 -152.235961602471 -411.561782209995</f>
        <v>-1340.003402423695</v>
      </c>
      <c r="Q4419">
        <f>-549.848052559814 -36.0352851388161 -357.694808425521</f>
        <v>-943.57814612415109</v>
      </c>
      <c r="R4419" t="s">
        <v>87711</v>
      </c>
      <c r="S4419" t="s">
        <v>87712</v>
      </c>
      <c r="T4419" t="s">
        <v>87713</v>
      </c>
      <c r="U4419" t="s">
        <v>87714</v>
      </c>
      <c r="V4419">
        <f>-755.590895433761 -52.0723633084149 -236.36201793114</f>
        <v>-1044.0252766733158</v>
      </c>
      <c r="W4419" t="s">
        <v>87715</v>
      </c>
      <c r="X4419" t="s">
        <v>87716</v>
      </c>
      <c r="Y4419" t="s">
        <v>87717</v>
      </c>
    </row>
    <row r="4420" spans="1:25" x14ac:dyDescent="0.3">
      <c r="A4420">
        <v>220950</v>
      </c>
      <c r="B4420" t="s">
        <v>87718</v>
      </c>
      <c r="C4420" t="s">
        <v>87719</v>
      </c>
      <c r="D4420" t="s">
        <v>87720</v>
      </c>
      <c r="E4420" t="s">
        <v>87721</v>
      </c>
      <c r="F4420" t="s">
        <v>87722</v>
      </c>
      <c r="G4420" t="s">
        <v>87723</v>
      </c>
      <c r="H4420">
        <f>-709.387681072925 -0.628469573378197 -835.82692506765</f>
        <v>-1545.8430757139531</v>
      </c>
      <c r="I4420">
        <f>-671.791665619186 -41.6569468747366 -921.186155416359</f>
        <v>-1634.6347679102817</v>
      </c>
      <c r="J4420" t="s">
        <v>87724</v>
      </c>
      <c r="K4420" t="s">
        <v>87725</v>
      </c>
      <c r="L4420" t="s">
        <v>87726</v>
      </c>
      <c r="M4420" t="s">
        <v>87727</v>
      </c>
      <c r="N4420">
        <f>-731.883703520458 -18.1271838111259 -766.974553019787</f>
        <v>-1516.9854403513709</v>
      </c>
      <c r="O4420">
        <f>-790.619073931109 -146.530362813735 -725.79815090574</f>
        <v>-1662.947587650584</v>
      </c>
      <c r="P4420">
        <f>-779.15083156485 -150.897563096969 -409.51416395094</f>
        <v>-1339.5625586127589</v>
      </c>
      <c r="Q4420">
        <f>-551.226936750853 -37.6995034491893 -355.858686799713</f>
        <v>-944.78512699975522</v>
      </c>
      <c r="R4420" t="s">
        <v>87728</v>
      </c>
      <c r="S4420" t="s">
        <v>87729</v>
      </c>
      <c r="T4420" t="s">
        <v>87730</v>
      </c>
      <c r="U4420" t="s">
        <v>87731</v>
      </c>
      <c r="V4420">
        <f>-756.402592712246 -49.673048337153 -236.375488969215</f>
        <v>-1042.4511300186141</v>
      </c>
      <c r="W4420" t="s">
        <v>87732</v>
      </c>
      <c r="X4420" t="s">
        <v>87733</v>
      </c>
      <c r="Y4420" t="s">
        <v>87734</v>
      </c>
    </row>
    <row r="4421" spans="1:25" x14ac:dyDescent="0.3">
      <c r="A4421">
        <v>221000</v>
      </c>
      <c r="B4421" t="s">
        <v>87735</v>
      </c>
      <c r="C4421" t="s">
        <v>87736</v>
      </c>
      <c r="D4421" t="s">
        <v>87737</v>
      </c>
      <c r="E4421" t="s">
        <v>87738</v>
      </c>
      <c r="F4421" t="s">
        <v>87739</v>
      </c>
      <c r="G4421" t="s">
        <v>87740</v>
      </c>
      <c r="H4421">
        <f>-710.570813730624 -4.37292039251383 -835.410835067212</f>
        <v>-1550.3545691903498</v>
      </c>
      <c r="I4421">
        <f>-673.920509994893 -46.9155474051445 -920.439443757541</f>
        <v>-1641.2755011575784</v>
      </c>
      <c r="J4421" t="s">
        <v>87741</v>
      </c>
      <c r="K4421" t="s">
        <v>87742</v>
      </c>
      <c r="L4421" t="s">
        <v>87743</v>
      </c>
      <c r="M4421" t="s">
        <v>87744</v>
      </c>
      <c r="N4421">
        <f>-733.328616997023 -20.626159691486 -766.339756743463</f>
        <v>-1520.294533431972</v>
      </c>
      <c r="O4421">
        <f>-794.243477252874 -147.480516759724 -723.607762380698</f>
        <v>-1665.331756393296</v>
      </c>
      <c r="P4421">
        <f>-781.921179720185 -149.253609297563 -407.330808406258</f>
        <v>-1338.5055974240061</v>
      </c>
      <c r="Q4421">
        <f>-552.251543718594 -39.5210369410622 -353.92053013873</f>
        <v>-945.69311079838621</v>
      </c>
      <c r="R4421" t="s">
        <v>87745</v>
      </c>
      <c r="S4421" t="s">
        <v>87746</v>
      </c>
      <c r="T4421" t="s">
        <v>87747</v>
      </c>
      <c r="U4421" t="s">
        <v>87748</v>
      </c>
      <c r="V4421">
        <f>-757.252962338855 -46.9392330715416 -236.291065336519</f>
        <v>-1040.4832607469157</v>
      </c>
      <c r="W4421" t="s">
        <v>87749</v>
      </c>
      <c r="X4421" t="s">
        <v>87750</v>
      </c>
      <c r="Y4421" t="s">
        <v>87751</v>
      </c>
    </row>
    <row r="4422" spans="1:25" x14ac:dyDescent="0.3">
      <c r="A4422">
        <v>221050</v>
      </c>
      <c r="B4422" t="s">
        <v>87752</v>
      </c>
      <c r="C4422" t="s">
        <v>87753</v>
      </c>
      <c r="D4422" t="s">
        <v>87754</v>
      </c>
      <c r="E4422" t="s">
        <v>87755</v>
      </c>
      <c r="F4422" t="s">
        <v>87756</v>
      </c>
      <c r="G4422" t="s">
        <v>87757</v>
      </c>
      <c r="H4422">
        <f>-712.561997121804 -11.6088701338253 -834.467691356879</f>
        <v>-1558.6385586125084</v>
      </c>
      <c r="I4422">
        <f>-677.610793463466 -57.0233791319865 -918.722681234118</f>
        <v>-1653.3568538295706</v>
      </c>
      <c r="J4422" t="s">
        <v>87758</v>
      </c>
      <c r="K4422" t="s">
        <v>87759</v>
      </c>
      <c r="L4422" t="s">
        <v>87760</v>
      </c>
      <c r="M4422" t="s">
        <v>87761</v>
      </c>
      <c r="N4422">
        <f>-735.834112982102 -25.4093859046181 -765.035075881849</f>
        <v>-1526.2785747685693</v>
      </c>
      <c r="O4422">
        <f>-800.843988561065 -149.091258990362 -719.190485124983</f>
        <v>-1669.1257326764098</v>
      </c>
      <c r="P4422">
        <f>-787.160679551887 -145.57204082224 -402.983865455411</f>
        <v>-1335.716585829538</v>
      </c>
      <c r="Q4422">
        <f>-554.220756155494 -42.3966089576909 -350.678609206</f>
        <v>-947.29597431918478</v>
      </c>
      <c r="R4422" t="s">
        <v>87762</v>
      </c>
      <c r="S4422" t="s">
        <v>87763</v>
      </c>
      <c r="T4422" t="s">
        <v>87764</v>
      </c>
      <c r="U4422" t="s">
        <v>87765</v>
      </c>
      <c r="V4422">
        <f>-758.828694293852 -40.7168562842071 -236.085020208117</f>
        <v>-1035.6305707861761</v>
      </c>
      <c r="W4422" t="s">
        <v>87766</v>
      </c>
      <c r="X4422" t="s">
        <v>87767</v>
      </c>
      <c r="Y4422" t="s">
        <v>87768</v>
      </c>
    </row>
    <row r="4423" spans="1:25" x14ac:dyDescent="0.3">
      <c r="A4423">
        <v>221100</v>
      </c>
      <c r="B4423" t="s">
        <v>87769</v>
      </c>
      <c r="C4423" t="s">
        <v>87770</v>
      </c>
      <c r="D4423" t="s">
        <v>87771</v>
      </c>
      <c r="E4423" t="s">
        <v>87772</v>
      </c>
      <c r="F4423" t="s">
        <v>87773</v>
      </c>
      <c r="G4423" t="s">
        <v>87774</v>
      </c>
      <c r="H4423">
        <f>-713.159117010072 -14.6675142983311 -834.181922191645</f>
        <v>-1562.008553500048</v>
      </c>
      <c r="I4423">
        <f>-679.023581036664 -61.5263978884418 -917.979238191544</f>
        <v>-1658.5292171166498</v>
      </c>
      <c r="J4423" t="s">
        <v>87775</v>
      </c>
      <c r="K4423" t="s">
        <v>87776</v>
      </c>
      <c r="L4423" t="s">
        <v>87777</v>
      </c>
      <c r="M4423" t="s">
        <v>87778</v>
      </c>
      <c r="N4423">
        <f>-736.699352946727 -27.1238928520982 -764.585814118213</f>
        <v>-1528.4090599170381</v>
      </c>
      <c r="O4423">
        <f>-803.602799307867 -149.173870127672 -717.122019712575</f>
        <v>-1669.898689148114</v>
      </c>
      <c r="P4423">
        <f>-789.355415933556 -142.874042828418 -400.983564198465</f>
        <v>-1333.213022960439</v>
      </c>
      <c r="Q4423">
        <f>-555.030801127307 -42.2051429408516 -349.995444438801</f>
        <v>-947.23138850695955</v>
      </c>
      <c r="R4423" t="s">
        <v>87779</v>
      </c>
      <c r="S4423" t="s">
        <v>87780</v>
      </c>
      <c r="T4423" t="s">
        <v>87781</v>
      </c>
      <c r="U4423" t="s">
        <v>87782</v>
      </c>
      <c r="V4423">
        <f>-759.287973166699 -36.729689402325 -236.256843644499</f>
        <v>-1032.274506213523</v>
      </c>
      <c r="W4423" t="s">
        <v>87783</v>
      </c>
      <c r="X4423" t="s">
        <v>87784</v>
      </c>
      <c r="Y4423" t="s">
        <v>87785</v>
      </c>
    </row>
    <row r="4424" spans="1:25" x14ac:dyDescent="0.3">
      <c r="A4424">
        <v>221150</v>
      </c>
      <c r="B4424" t="s">
        <v>87786</v>
      </c>
      <c r="C4424" t="s">
        <v>87787</v>
      </c>
      <c r="D4424" t="s">
        <v>87788</v>
      </c>
      <c r="E4424" t="s">
        <v>87789</v>
      </c>
      <c r="F4424" t="s">
        <v>87790</v>
      </c>
      <c r="G4424" t="s">
        <v>87791</v>
      </c>
      <c r="H4424">
        <f>-713.758675275426 -19.535264033058 -833.49660075518</f>
        <v>-1566.7905400636639</v>
      </c>
      <c r="I4424">
        <f>-681.365194131839 -69.2573413988598 -916.329872660803</f>
        <v>-1666.9524081915017</v>
      </c>
      <c r="J4424" t="s">
        <v>87792</v>
      </c>
      <c r="K4424" t="s">
        <v>87793</v>
      </c>
      <c r="L4424" t="s">
        <v>87794</v>
      </c>
      <c r="M4424" t="s">
        <v>87795</v>
      </c>
      <c r="N4424">
        <f>-737.584817630545 -29.2224367013732 -763.558083713365</f>
        <v>-1530.3653380452834</v>
      </c>
      <c r="O4424">
        <f>-808.018486539926 -147.912684967863 -712.8053777743</f>
        <v>-1668.7365492820891</v>
      </c>
      <c r="P4424">
        <f>-792.513650065181 -134.683471839068 -396.94025769488</f>
        <v>-1324.137379599129</v>
      </c>
      <c r="Q4424">
        <f>-555.936663569074 -38.6443968919066 -347.444470724992</f>
        <v>-942.02553118597257</v>
      </c>
      <c r="R4424" t="s">
        <v>87796</v>
      </c>
      <c r="S4424" t="s">
        <v>87797</v>
      </c>
      <c r="T4424" t="s">
        <v>87798</v>
      </c>
      <c r="U4424" t="s">
        <v>87799</v>
      </c>
      <c r="V4424">
        <f>-759.350987887625 -27.4609299418803 -236.738959228184</f>
        <v>-1023.5508770576894</v>
      </c>
      <c r="W4424" t="s">
        <v>87800</v>
      </c>
      <c r="X4424" t="s">
        <v>87801</v>
      </c>
      <c r="Y4424" t="s">
        <v>87802</v>
      </c>
    </row>
    <row r="4425" spans="1:25" x14ac:dyDescent="0.3">
      <c r="A4425">
        <v>221200</v>
      </c>
      <c r="B4425" t="s">
        <v>87803</v>
      </c>
      <c r="C4425" t="s">
        <v>87804</v>
      </c>
      <c r="D4425" t="s">
        <v>87805</v>
      </c>
      <c r="E4425" t="s">
        <v>87806</v>
      </c>
      <c r="F4425" t="s">
        <v>87807</v>
      </c>
      <c r="G4425" t="s">
        <v>87808</v>
      </c>
      <c r="H4425">
        <f>-713.652707576774 -21.4596977295389 -832.958612344594</f>
        <v>-1568.0710176509069</v>
      </c>
      <c r="I4425">
        <f>-682.148612383632 -72.5939401449903 -915.273651642495</f>
        <v>-1670.0162041711174</v>
      </c>
      <c r="J4425" t="s">
        <v>87809</v>
      </c>
      <c r="K4425" t="s">
        <v>87810</v>
      </c>
      <c r="L4425" t="s">
        <v>87811</v>
      </c>
      <c r="M4425" t="s">
        <v>87812</v>
      </c>
      <c r="N4425">
        <f>-737.583436650151 -29.7691025793788 -762.878777150766</f>
        <v>-1530.231316380296</v>
      </c>
      <c r="O4425">
        <f>-809.513687587872 -146.797834543596 -710.398059465006</f>
        <v>-1666.709581596474</v>
      </c>
      <c r="P4425">
        <f>-793.557688891133 -130.302212651404 -394.709206101991</f>
        <v>-1318.569107644528</v>
      </c>
      <c r="Q4425">
        <f>-555.891017984928 -36.5688476492815 -346.019808581535</f>
        <v>-938.47967421574447</v>
      </c>
      <c r="R4425" t="s">
        <v>87813</v>
      </c>
      <c r="S4425" t="s">
        <v>87814</v>
      </c>
      <c r="T4425" t="s">
        <v>87815</v>
      </c>
      <c r="U4425" t="s">
        <v>87816</v>
      </c>
      <c r="V4425">
        <f>-758.877077774935 -22.4739107652522 -236.991746708224</f>
        <v>-1018.3427352484111</v>
      </c>
      <c r="W4425" t="s">
        <v>87817</v>
      </c>
      <c r="X4425" t="s">
        <v>87818</v>
      </c>
      <c r="Y4425" t="s">
        <v>87819</v>
      </c>
    </row>
    <row r="4426" spans="1:25" x14ac:dyDescent="0.3">
      <c r="A4426">
        <v>221250</v>
      </c>
      <c r="B4426" t="s">
        <v>87820</v>
      </c>
      <c r="C4426" t="s">
        <v>87821</v>
      </c>
      <c r="D4426" t="s">
        <v>87822</v>
      </c>
      <c r="E4426" t="s">
        <v>87823</v>
      </c>
      <c r="F4426" t="s">
        <v>87824</v>
      </c>
      <c r="G4426" t="s">
        <v>87825</v>
      </c>
      <c r="H4426">
        <f>-712.913084112031 -23.9783222593871 -831.958106828367</f>
        <v>-1568.8495131997852</v>
      </c>
      <c r="I4426">
        <f>-683.115999345992 -77.6028896681869 -913.318451670588</f>
        <v>-1674.0373406847671</v>
      </c>
      <c r="J4426" t="s">
        <v>87826</v>
      </c>
      <c r="K4426" t="s">
        <v>87827</v>
      </c>
      <c r="L4426" t="s">
        <v>87828</v>
      </c>
      <c r="M4426" t="s">
        <v>87829</v>
      </c>
      <c r="N4426">
        <f>-736.966365311775 -29.7973596596144 -761.669407245794</f>
        <v>-1528.4331322171834</v>
      </c>
      <c r="O4426">
        <f>-811.835491059352 -143.447377761338 -706.018771752782</f>
        <v>-1661.301640573472</v>
      </c>
      <c r="P4426">
        <f>-794.611702362375 -121.846562346132 -390.704722404201</f>
        <v>-1307.1629871127079</v>
      </c>
      <c r="Q4426">
        <f>-554.654694296816 -32.8845421880501 -344.352855805311</f>
        <v>-931.89209229017706</v>
      </c>
      <c r="R4426" t="s">
        <v>87830</v>
      </c>
      <c r="S4426" t="s">
        <v>87831</v>
      </c>
      <c r="T4426" t="s">
        <v>87832</v>
      </c>
      <c r="U4426" t="s">
        <v>87833</v>
      </c>
      <c r="V4426">
        <f>-756.714886156566 -12.5615280358024 -237.528841715713</f>
        <v>-1006.8052559080814</v>
      </c>
      <c r="W4426" t="s">
        <v>87834</v>
      </c>
      <c r="X4426" t="s">
        <v>87835</v>
      </c>
      <c r="Y4426" t="s">
        <v>87836</v>
      </c>
    </row>
    <row r="4427" spans="1:25" x14ac:dyDescent="0.3">
      <c r="A4427">
        <v>221300</v>
      </c>
      <c r="B4427" t="s">
        <v>87837</v>
      </c>
      <c r="C4427" t="s">
        <v>87838</v>
      </c>
      <c r="D4427" t="s">
        <v>87839</v>
      </c>
      <c r="E4427" t="s">
        <v>87840</v>
      </c>
      <c r="F4427" t="s">
        <v>87841</v>
      </c>
      <c r="G4427" t="s">
        <v>87842</v>
      </c>
      <c r="H4427">
        <f>-712.746190398025 -24.5338581699989 -831.813411572067</f>
        <v>-1569.0934601400909</v>
      </c>
      <c r="I4427">
        <f>-683.670498891234 -79.1738719268708 -912.758193832632</f>
        <v>-1675.6025646507369</v>
      </c>
      <c r="J4427" t="s">
        <v>87843</v>
      </c>
      <c r="K4427" t="s">
        <v>87844</v>
      </c>
      <c r="L4427" t="s">
        <v>87845</v>
      </c>
      <c r="M4427" t="s">
        <v>87846</v>
      </c>
      <c r="N4427">
        <f>-736.836814774935 -29.3494860399067 -761.461642668402</f>
        <v>-1527.6479434832436</v>
      </c>
      <c r="O4427">
        <f>-813.142049187867 -141.508611171617 -704.683662882978</f>
        <v>-1659.3343232424618</v>
      </c>
      <c r="P4427">
        <f>-794.767692504116 -117.657170588687 -389.596715608863</f>
        <v>-1302.0215787016659</v>
      </c>
      <c r="Q4427">
        <f>-553.733374432351 -31.2449195196812 -344.018090371119</f>
        <v>-928.99638432315112</v>
      </c>
      <c r="R4427" t="s">
        <v>87847</v>
      </c>
      <c r="S4427" t="s">
        <v>87848</v>
      </c>
      <c r="T4427" t="s">
        <v>87849</v>
      </c>
      <c r="U4427" t="s">
        <v>87850</v>
      </c>
      <c r="V4427">
        <f>-755.475565853015 -7.87333134434948 -237.801201790042</f>
        <v>-1001.1500989874065</v>
      </c>
      <c r="W4427" t="s">
        <v>87851</v>
      </c>
      <c r="X4427" t="s">
        <v>87852</v>
      </c>
      <c r="Y4427" t="s">
        <v>87853</v>
      </c>
    </row>
    <row r="4428" spans="1:25" x14ac:dyDescent="0.3">
      <c r="A4428">
        <v>221350</v>
      </c>
      <c r="B4428" t="s">
        <v>87854</v>
      </c>
      <c r="C4428" t="s">
        <v>87855</v>
      </c>
      <c r="D4428" t="s">
        <v>87856</v>
      </c>
      <c r="E4428" t="s">
        <v>87857</v>
      </c>
      <c r="F4428" t="s">
        <v>87858</v>
      </c>
      <c r="G4428" t="s">
        <v>87859</v>
      </c>
      <c r="H4428">
        <f>-712.580731724389 -23.5266213535488 -831.832174770923</f>
        <v>-1567.9395278488607</v>
      </c>
      <c r="I4428">
        <f>-684.70617839781 -79.5985658492555 -912.218269388235</f>
        <v>-1676.5230136353005</v>
      </c>
      <c r="J4428" t="s">
        <v>87860</v>
      </c>
      <c r="K4428" t="s">
        <v>87861</v>
      </c>
      <c r="L4428" t="s">
        <v>87862</v>
      </c>
      <c r="M4428" t="s">
        <v>87863</v>
      </c>
      <c r="N4428">
        <f>-736.592472341934 -26.943610821414 -761.371666168855</f>
        <v>-1524.9077493322029</v>
      </c>
      <c r="O4428">
        <f>-814.951065123682 -136.970222247589 -703.195304119204</f>
        <v>-1655.116591490475</v>
      </c>
      <c r="P4428">
        <f>-795.303674905878 -110.247039701576 -388.415991580032</f>
        <v>-1293.9667061874861</v>
      </c>
      <c r="Q4428">
        <f>-552.332160838879 -27.936483329062 -345.615947279239</f>
        <v>-925.8845914471799</v>
      </c>
      <c r="R4428" t="s">
        <v>87864</v>
      </c>
      <c r="S4428" t="s">
        <v>87865</v>
      </c>
      <c r="T4428" t="s">
        <v>87866</v>
      </c>
      <c r="U4428" t="s">
        <v>87867</v>
      </c>
      <c r="V4428" t="s">
        <v>87868</v>
      </c>
      <c r="W4428" t="s">
        <v>87869</v>
      </c>
      <c r="X4428" t="s">
        <v>87870</v>
      </c>
      <c r="Y4428" t="s">
        <v>87871</v>
      </c>
    </row>
    <row r="4429" spans="1:25" x14ac:dyDescent="0.3">
      <c r="A4429">
        <v>221400</v>
      </c>
      <c r="B4429" t="s">
        <v>87872</v>
      </c>
      <c r="C4429" t="s">
        <v>87873</v>
      </c>
      <c r="D4429" t="s">
        <v>87874</v>
      </c>
      <c r="E4429" t="s">
        <v>87875</v>
      </c>
      <c r="F4429" t="s">
        <v>87876</v>
      </c>
      <c r="G4429" t="s">
        <v>87877</v>
      </c>
      <c r="H4429">
        <f>-713.137810845027 -20.8211004281716 -832.030994504221</f>
        <v>-1565.9899057774196</v>
      </c>
      <c r="I4429">
        <f>-685.818841040248 -77.2655171485019 -912.347041193431</f>
        <v>-1675.4313993821809</v>
      </c>
      <c r="J4429" t="s">
        <v>87878</v>
      </c>
      <c r="K4429" t="s">
        <v>87879</v>
      </c>
      <c r="L4429" t="s">
        <v>87880</v>
      </c>
      <c r="M4429" t="s">
        <v>87881</v>
      </c>
      <c r="N4429">
        <f>-737.021792673657 -23.8489594812329 -761.509308230056</f>
        <v>-1522.3800603849459</v>
      </c>
      <c r="O4429">
        <f>-816.298623093515 -133.100774623702 -703.107302132553</f>
        <v>-1652.50669984977</v>
      </c>
      <c r="P4429">
        <f>-796.030813408145 -105.49509311356 -388.443543580084</f>
        <v>-1289.9694501017889</v>
      </c>
      <c r="Q4429">
        <f>-552.078898178842 -25.2806615705342 -347.270166844583</f>
        <v>-924.62972659395928</v>
      </c>
      <c r="R4429" t="s">
        <v>87882</v>
      </c>
      <c r="S4429" t="s">
        <v>87883</v>
      </c>
      <c r="T4429" t="s">
        <v>87884</v>
      </c>
      <c r="U4429" t="s">
        <v>87885</v>
      </c>
      <c r="V4429" t="s">
        <v>87886</v>
      </c>
      <c r="W4429" t="s">
        <v>87887</v>
      </c>
      <c r="X4429" t="s">
        <v>87888</v>
      </c>
      <c r="Y4429" t="s">
        <v>87889</v>
      </c>
    </row>
    <row r="4430" spans="1:25" x14ac:dyDescent="0.3">
      <c r="A4430">
        <v>221450</v>
      </c>
      <c r="B4430" t="s">
        <v>87890</v>
      </c>
      <c r="C4430" t="s">
        <v>87891</v>
      </c>
      <c r="D4430" t="s">
        <v>87892</v>
      </c>
      <c r="E4430" t="s">
        <v>87893</v>
      </c>
      <c r="F4430" t="s">
        <v>87894</v>
      </c>
      <c r="G4430" t="s">
        <v>87895</v>
      </c>
      <c r="H4430">
        <f>-713.101601993745 -12.2148845986817 -832.309800445822</f>
        <v>-1557.6262870382488</v>
      </c>
      <c r="I4430">
        <f>-687.155624384032 -69.1720166098905 -912.719180952334</f>
        <v>-1669.0468219462564</v>
      </c>
      <c r="J4430" t="s">
        <v>87896</v>
      </c>
      <c r="K4430" t="s">
        <v>87897</v>
      </c>
      <c r="L4430" t="s">
        <v>87898</v>
      </c>
      <c r="M4430" t="s">
        <v>87899</v>
      </c>
      <c r="N4430">
        <f>-736.691941879817 -14.6624569228795 -761.666778705586</f>
        <v>-1513.0211775082826</v>
      </c>
      <c r="O4430">
        <f>-817.759438582208 -122.350697281743 -702.967175528308</f>
        <v>-1643.0773113922589</v>
      </c>
      <c r="P4430">
        <f>-796.113782562681 -94.5823499314247 -388.409415265037</f>
        <v>-1279.1055477591426</v>
      </c>
      <c r="Q4430">
        <f>-549.939555556329 -20.9565353788119 -348.165852923975</f>
        <v>-919.0619438591159</v>
      </c>
      <c r="R4430" t="s">
        <v>87900</v>
      </c>
      <c r="S4430" t="s">
        <v>87901</v>
      </c>
      <c r="T4430" t="s">
        <v>87902</v>
      </c>
      <c r="U4430" t="s">
        <v>87903</v>
      </c>
      <c r="V4430" t="s">
        <v>87904</v>
      </c>
      <c r="W4430" t="s">
        <v>87905</v>
      </c>
      <c r="X4430" t="s">
        <v>87906</v>
      </c>
      <c r="Y4430" t="s">
        <v>87907</v>
      </c>
    </row>
    <row r="4431" spans="1:25" x14ac:dyDescent="0.3">
      <c r="A4431">
        <v>221500</v>
      </c>
      <c r="B4431" t="s">
        <v>87908</v>
      </c>
      <c r="C4431" t="s">
        <v>87909</v>
      </c>
      <c r="D4431" t="s">
        <v>87910</v>
      </c>
      <c r="E4431" t="s">
        <v>87911</v>
      </c>
      <c r="F4431" t="s">
        <v>87912</v>
      </c>
      <c r="G4431" t="s">
        <v>87913</v>
      </c>
      <c r="H4431">
        <f>-712.980653130912 -5.97882279236705 -832.353245153132</f>
        <v>-1551.312721076411</v>
      </c>
      <c r="I4431">
        <f>-687.92658961708 -63.1279830790693 -912.909066425703</f>
        <v>-1663.9636391218523</v>
      </c>
      <c r="J4431" t="s">
        <v>87914</v>
      </c>
      <c r="K4431" t="s">
        <v>87915</v>
      </c>
      <c r="L4431" t="s">
        <v>87916</v>
      </c>
      <c r="M4431" t="s">
        <v>87917</v>
      </c>
      <c r="N4431">
        <f>-736.386256890579 -8.17773328526732 -761.640765377279</f>
        <v>-1506.2047555531253</v>
      </c>
      <c r="O4431">
        <f>-818.646532985819 -114.981140309656 -702.928781678326</f>
        <v>-1636.556454973801</v>
      </c>
      <c r="P4431">
        <f>-796.235754308848 -88.9359973481971 -388.277126991213</f>
        <v>-1273.448878648258</v>
      </c>
      <c r="Q4431">
        <f>-548.722361083893 -19.7582483058461 -348.356886357971</f>
        <v>-916.83749574771014</v>
      </c>
      <c r="R4431" t="s">
        <v>87918</v>
      </c>
      <c r="S4431" t="s">
        <v>87919</v>
      </c>
      <c r="T4431" t="s">
        <v>87920</v>
      </c>
      <c r="U4431" t="s">
        <v>87921</v>
      </c>
      <c r="V4431" t="s">
        <v>87922</v>
      </c>
      <c r="W4431" t="s">
        <v>87923</v>
      </c>
      <c r="X4431" t="s">
        <v>87924</v>
      </c>
      <c r="Y4431" t="s">
        <v>87925</v>
      </c>
    </row>
    <row r="4432" spans="1:25" x14ac:dyDescent="0.3">
      <c r="A4432">
        <v>221550</v>
      </c>
      <c r="B4432" t="s">
        <v>87926</v>
      </c>
      <c r="C4432" t="s">
        <v>87927</v>
      </c>
      <c r="D4432" t="s">
        <v>87928</v>
      </c>
      <c r="E4432" t="s">
        <v>87929</v>
      </c>
      <c r="F4432" t="s">
        <v>87930</v>
      </c>
      <c r="G4432" t="s">
        <v>87931</v>
      </c>
      <c r="H4432" t="s">
        <v>87932</v>
      </c>
      <c r="I4432">
        <f>-688.106691401071 -45.5608527102386 -913.257461667217</f>
        <v>-1646.9250057785266</v>
      </c>
      <c r="J4432" t="s">
        <v>87933</v>
      </c>
      <c r="K4432" t="s">
        <v>87934</v>
      </c>
      <c r="L4432" t="s">
        <v>87935</v>
      </c>
      <c r="M4432" t="s">
        <v>87936</v>
      </c>
      <c r="N4432" t="s">
        <v>87937</v>
      </c>
      <c r="O4432">
        <f>-819.041655317372 -95.2668723433969 -702.931955494084</f>
        <v>-1617.2404831548529</v>
      </c>
      <c r="P4432">
        <f>-793.978615171483 -72.1598039198973 -388.250913877929</f>
        <v>-1254.3893329693094</v>
      </c>
      <c r="Q4432">
        <f>-543.771252436323 -13.3458753542873 -348.511711479088</f>
        <v>-905.62883926969835</v>
      </c>
      <c r="R4432" t="s">
        <v>87938</v>
      </c>
      <c r="S4432" t="s">
        <v>87939</v>
      </c>
      <c r="T4432" t="s">
        <v>87940</v>
      </c>
      <c r="U4432" t="s">
        <v>87941</v>
      </c>
      <c r="V4432" t="s">
        <v>87942</v>
      </c>
      <c r="W4432" t="s">
        <v>87943</v>
      </c>
      <c r="X4432" t="s">
        <v>87944</v>
      </c>
      <c r="Y4432" t="s">
        <v>87945</v>
      </c>
    </row>
    <row r="4433" spans="1:25" x14ac:dyDescent="0.3">
      <c r="A4433">
        <v>221600</v>
      </c>
      <c r="B4433" t="s">
        <v>87946</v>
      </c>
      <c r="C4433" t="s">
        <v>87947</v>
      </c>
      <c r="D4433" t="s">
        <v>87948</v>
      </c>
      <c r="E4433" t="s">
        <v>87949</v>
      </c>
      <c r="F4433" t="s">
        <v>87950</v>
      </c>
      <c r="G4433" t="s">
        <v>87951</v>
      </c>
      <c r="H4433" t="s">
        <v>87952</v>
      </c>
      <c r="I4433">
        <f>-686.493278859716 -35.4712584972647 -913.385428496905</f>
        <v>-1635.3499658538858</v>
      </c>
      <c r="J4433" t="s">
        <v>87953</v>
      </c>
      <c r="K4433" t="s">
        <v>87954</v>
      </c>
      <c r="L4433" t="s">
        <v>87955</v>
      </c>
      <c r="M4433" t="s">
        <v>87956</v>
      </c>
      <c r="N4433" t="s">
        <v>87957</v>
      </c>
      <c r="O4433">
        <f>-817.58354991145 -84.1698509883458 -702.943101396668</f>
        <v>-1604.6965022964637</v>
      </c>
      <c r="P4433">
        <f>-791.665764000418 -62.7484446566959 -388.212166739462</f>
        <v>-1242.6263753965759</v>
      </c>
      <c r="Q4433">
        <f>-540.078883617645 -9.78849175021992 -348.95214454959</f>
        <v>-898.81951991745495</v>
      </c>
      <c r="R4433" t="s">
        <v>87958</v>
      </c>
      <c r="S4433" t="s">
        <v>87959</v>
      </c>
      <c r="T4433" t="s">
        <v>87960</v>
      </c>
      <c r="U4433" t="s">
        <v>87961</v>
      </c>
      <c r="V4433" t="s">
        <v>87962</v>
      </c>
      <c r="W4433" t="s">
        <v>87963</v>
      </c>
      <c r="X4433" t="s">
        <v>87964</v>
      </c>
      <c r="Y4433" t="s">
        <v>87965</v>
      </c>
    </row>
    <row r="4434" spans="1:25" x14ac:dyDescent="0.3">
      <c r="A4434">
        <v>221650</v>
      </c>
      <c r="B4434" t="s">
        <v>87966</v>
      </c>
      <c r="C4434" t="s">
        <v>87967</v>
      </c>
      <c r="D4434" t="s">
        <v>87968</v>
      </c>
      <c r="E4434" t="s">
        <v>87969</v>
      </c>
      <c r="F4434" t="s">
        <v>87970</v>
      </c>
      <c r="G4434" t="s">
        <v>87971</v>
      </c>
      <c r="H4434" t="s">
        <v>87972</v>
      </c>
      <c r="I4434">
        <f>-680.245566233228 -11.5901874886295 -915.283671134927</f>
        <v>-1607.1194248567845</v>
      </c>
      <c r="J4434" t="s">
        <v>87973</v>
      </c>
      <c r="K4434" t="s">
        <v>87974</v>
      </c>
      <c r="L4434" t="s">
        <v>87975</v>
      </c>
      <c r="M4434" t="s">
        <v>87976</v>
      </c>
      <c r="N4434" t="s">
        <v>87977</v>
      </c>
      <c r="O4434">
        <f>-811.824263513738 -59.3518580609743 -704.769686687873</f>
        <v>-1575.9458082625852</v>
      </c>
      <c r="P4434">
        <f>-783.336784796127 -40.9682919582656 -390.068678280371</f>
        <v>-1214.3737550347635</v>
      </c>
      <c r="Q4434">
        <f>-529.40990135368 -0.842373972256155 -350.659342411372</f>
        <v>-880.91161773730812</v>
      </c>
      <c r="R4434" t="s">
        <v>87978</v>
      </c>
      <c r="S4434" t="s">
        <v>87979</v>
      </c>
      <c r="T4434" t="s">
        <v>87980</v>
      </c>
      <c r="U4434" t="s">
        <v>87981</v>
      </c>
      <c r="V4434" t="s">
        <v>87982</v>
      </c>
      <c r="W4434" t="s">
        <v>87983</v>
      </c>
      <c r="X4434" t="s">
        <v>87984</v>
      </c>
      <c r="Y4434" t="s">
        <v>87985</v>
      </c>
    </row>
    <row r="4435" spans="1:25" x14ac:dyDescent="0.3">
      <c r="A4435">
        <v>221700</v>
      </c>
      <c r="B4435" t="s">
        <v>87986</v>
      </c>
      <c r="C4435" t="s">
        <v>87987</v>
      </c>
      <c r="D4435" t="s">
        <v>87988</v>
      </c>
      <c r="E4435" t="s">
        <v>87989</v>
      </c>
      <c r="F4435" t="s">
        <v>87990</v>
      </c>
      <c r="G4435" t="s">
        <v>87991</v>
      </c>
      <c r="H4435" t="s">
        <v>87992</v>
      </c>
      <c r="I4435" t="s">
        <v>87993</v>
      </c>
      <c r="J4435" t="s">
        <v>87994</v>
      </c>
      <c r="K4435" t="s">
        <v>87995</v>
      </c>
      <c r="L4435" t="s">
        <v>87996</v>
      </c>
      <c r="M4435" t="s">
        <v>87997</v>
      </c>
      <c r="N4435" t="s">
        <v>87998</v>
      </c>
      <c r="O4435">
        <f>-808.701004144822 -44.4526184506653 -706.462889835698</f>
        <v>-1559.6165124311854</v>
      </c>
      <c r="P4435">
        <f>-779.764770175344 -27.7255161191624 -391.710366440152</f>
        <v>-1199.2006527346584</v>
      </c>
      <c r="Q4435" t="s">
        <v>87999</v>
      </c>
      <c r="R4435" t="s">
        <v>88000</v>
      </c>
      <c r="S4435" t="s">
        <v>88001</v>
      </c>
      <c r="T4435" t="s">
        <v>88002</v>
      </c>
      <c r="U4435" t="s">
        <v>88003</v>
      </c>
      <c r="V4435" t="s">
        <v>88004</v>
      </c>
      <c r="W4435" t="s">
        <v>88005</v>
      </c>
      <c r="X4435" t="s">
        <v>88006</v>
      </c>
      <c r="Y4435" t="s">
        <v>88007</v>
      </c>
    </row>
    <row r="4436" spans="1:25" x14ac:dyDescent="0.3">
      <c r="A4436">
        <v>221750</v>
      </c>
      <c r="B4436" t="s">
        <v>88008</v>
      </c>
      <c r="C4436" t="s">
        <v>88009</v>
      </c>
      <c r="D4436" t="s">
        <v>88010</v>
      </c>
      <c r="E4436" t="s">
        <v>88011</v>
      </c>
      <c r="F4436" t="s">
        <v>88012</v>
      </c>
      <c r="G4436" t="s">
        <v>88013</v>
      </c>
      <c r="H4436" t="s">
        <v>88014</v>
      </c>
      <c r="I4436" t="s">
        <v>88015</v>
      </c>
      <c r="J4436" t="s">
        <v>88016</v>
      </c>
      <c r="K4436" t="s">
        <v>88017</v>
      </c>
      <c r="L4436" t="s">
        <v>88018</v>
      </c>
      <c r="M4436" t="s">
        <v>88019</v>
      </c>
      <c r="N4436" t="s">
        <v>88020</v>
      </c>
      <c r="O4436">
        <f>-799.998833786709 -18.5585882946943 -709.402744464682</f>
        <v>-1527.9601665460855</v>
      </c>
      <c r="P4436">
        <f>-771.185755434183 -4.97564340430472 -394.487667054043</f>
        <v>-1170.6490658925306</v>
      </c>
      <c r="Q4436" t="s">
        <v>88021</v>
      </c>
      <c r="R4436" t="s">
        <v>88022</v>
      </c>
      <c r="S4436" t="s">
        <v>88023</v>
      </c>
      <c r="T4436" t="s">
        <v>88024</v>
      </c>
      <c r="U4436" t="s">
        <v>88025</v>
      </c>
      <c r="V4436" t="s">
        <v>88026</v>
      </c>
      <c r="W4436" t="s">
        <v>88027</v>
      </c>
      <c r="X4436" t="s">
        <v>88028</v>
      </c>
      <c r="Y4436" t="s">
        <v>88029</v>
      </c>
    </row>
    <row r="4437" spans="1:25" x14ac:dyDescent="0.3">
      <c r="A4437">
        <v>221800</v>
      </c>
      <c r="B4437" t="s">
        <v>88030</v>
      </c>
      <c r="C4437" t="s">
        <v>88031</v>
      </c>
      <c r="D4437" t="s">
        <v>88032</v>
      </c>
      <c r="E4437" t="s">
        <v>88033</v>
      </c>
      <c r="F4437" t="s">
        <v>88034</v>
      </c>
      <c r="G4437" t="s">
        <v>88035</v>
      </c>
      <c r="H4437" t="s">
        <v>88036</v>
      </c>
      <c r="I4437" t="s">
        <v>88037</v>
      </c>
      <c r="J4437" t="s">
        <v>88038</v>
      </c>
      <c r="K4437" t="s">
        <v>88039</v>
      </c>
      <c r="L4437" t="s">
        <v>88040</v>
      </c>
      <c r="M4437" t="s">
        <v>88041</v>
      </c>
      <c r="N4437" t="s">
        <v>88042</v>
      </c>
      <c r="O4437">
        <f>-796.470525631598 -7.30654477605685 -710.114358537778</f>
        <v>-1513.8914289454328</v>
      </c>
      <c r="P4437" t="s">
        <v>88043</v>
      </c>
      <c r="Q4437" t="s">
        <v>88044</v>
      </c>
      <c r="R4437" t="s">
        <v>88045</v>
      </c>
      <c r="S4437" t="s">
        <v>88046</v>
      </c>
      <c r="T4437" t="s">
        <v>88047</v>
      </c>
      <c r="U4437" t="s">
        <v>88048</v>
      </c>
      <c r="V4437" t="s">
        <v>88049</v>
      </c>
      <c r="W4437" t="s">
        <v>88050</v>
      </c>
      <c r="X4437" t="s">
        <v>88051</v>
      </c>
      <c r="Y4437" t="s">
        <v>88052</v>
      </c>
    </row>
    <row r="4438" spans="1:25" x14ac:dyDescent="0.3">
      <c r="A4438">
        <v>221850</v>
      </c>
      <c r="B4438" t="s">
        <v>88053</v>
      </c>
      <c r="C4438" t="s">
        <v>88054</v>
      </c>
      <c r="D4438" t="s">
        <v>88055</v>
      </c>
      <c r="E4438" t="s">
        <v>88056</v>
      </c>
      <c r="F4438" t="s">
        <v>88057</v>
      </c>
      <c r="G4438" t="s">
        <v>88058</v>
      </c>
      <c r="H4438" t="s">
        <v>88059</v>
      </c>
      <c r="I4438" t="s">
        <v>88060</v>
      </c>
      <c r="J4438" t="s">
        <v>88061</v>
      </c>
      <c r="K4438" t="s">
        <v>88062</v>
      </c>
      <c r="L4438" t="s">
        <v>88063</v>
      </c>
      <c r="M4438" t="s">
        <v>88064</v>
      </c>
      <c r="N4438" t="s">
        <v>88065</v>
      </c>
      <c r="O4438" t="s">
        <v>88066</v>
      </c>
      <c r="P4438" t="s">
        <v>88067</v>
      </c>
      <c r="Q4438" t="s">
        <v>88068</v>
      </c>
      <c r="R4438" t="s">
        <v>88069</v>
      </c>
      <c r="S4438" t="s">
        <v>88070</v>
      </c>
      <c r="T4438" t="s">
        <v>88071</v>
      </c>
      <c r="U4438" t="s">
        <v>88072</v>
      </c>
      <c r="V4438" t="s">
        <v>88073</v>
      </c>
      <c r="W4438" t="s">
        <v>88074</v>
      </c>
      <c r="X4438" t="s">
        <v>88075</v>
      </c>
      <c r="Y4438" t="s">
        <v>88076</v>
      </c>
    </row>
    <row r="4439" spans="1:25" x14ac:dyDescent="0.3">
      <c r="A4439">
        <v>221900</v>
      </c>
      <c r="B4439" t="s">
        <v>88077</v>
      </c>
      <c r="C4439" t="s">
        <v>88078</v>
      </c>
      <c r="D4439" t="s">
        <v>88079</v>
      </c>
      <c r="E4439" t="s">
        <v>88080</v>
      </c>
      <c r="F4439" t="s">
        <v>88081</v>
      </c>
      <c r="G4439" t="s">
        <v>88082</v>
      </c>
      <c r="H4439" t="s">
        <v>88083</v>
      </c>
      <c r="I4439" t="s">
        <v>88084</v>
      </c>
      <c r="J4439" t="s">
        <v>88085</v>
      </c>
      <c r="K4439" t="s">
        <v>88086</v>
      </c>
      <c r="L4439" t="s">
        <v>88087</v>
      </c>
      <c r="M4439" t="s">
        <v>88088</v>
      </c>
      <c r="N4439" t="s">
        <v>88089</v>
      </c>
      <c r="O4439" t="s">
        <v>88090</v>
      </c>
      <c r="P4439" t="s">
        <v>88091</v>
      </c>
      <c r="Q4439" t="s">
        <v>88092</v>
      </c>
      <c r="R4439" t="s">
        <v>88093</v>
      </c>
      <c r="S4439" t="s">
        <v>88094</v>
      </c>
      <c r="T4439" t="s">
        <v>88095</v>
      </c>
      <c r="U4439" t="s">
        <v>88096</v>
      </c>
      <c r="V4439" t="s">
        <v>88097</v>
      </c>
      <c r="W4439" t="s">
        <v>88098</v>
      </c>
      <c r="X4439" t="s">
        <v>88099</v>
      </c>
      <c r="Y4439" t="s">
        <v>88100</v>
      </c>
    </row>
    <row r="4440" spans="1:25" x14ac:dyDescent="0.3">
      <c r="A4440">
        <v>221950</v>
      </c>
      <c r="B4440" t="s">
        <v>88101</v>
      </c>
      <c r="C4440" t="s">
        <v>88102</v>
      </c>
      <c r="D4440" t="s">
        <v>88103</v>
      </c>
      <c r="E4440" t="s">
        <v>88104</v>
      </c>
      <c r="F4440" t="s">
        <v>88105</v>
      </c>
      <c r="G4440" t="s">
        <v>88106</v>
      </c>
      <c r="H4440" t="s">
        <v>88107</v>
      </c>
      <c r="I4440" t="s">
        <v>88108</v>
      </c>
      <c r="J4440" t="s">
        <v>88109</v>
      </c>
      <c r="K4440" t="s">
        <v>88110</v>
      </c>
      <c r="L4440" t="s">
        <v>88111</v>
      </c>
      <c r="M4440" t="s">
        <v>88112</v>
      </c>
      <c r="N4440" t="s">
        <v>88113</v>
      </c>
      <c r="O4440" t="s">
        <v>88114</v>
      </c>
      <c r="P4440" t="s">
        <v>88115</v>
      </c>
      <c r="Q4440" t="s">
        <v>88116</v>
      </c>
      <c r="R4440" t="s">
        <v>88117</v>
      </c>
      <c r="S4440" t="s">
        <v>88118</v>
      </c>
      <c r="T4440" t="s">
        <v>88119</v>
      </c>
      <c r="U4440" t="s">
        <v>88120</v>
      </c>
      <c r="V4440" t="s">
        <v>88121</v>
      </c>
      <c r="W4440" t="s">
        <v>88122</v>
      </c>
      <c r="X4440" t="s">
        <v>88123</v>
      </c>
      <c r="Y4440" t="s">
        <v>88124</v>
      </c>
    </row>
    <row r="4441" spans="1:25" x14ac:dyDescent="0.3">
      <c r="A4441">
        <v>222000</v>
      </c>
      <c r="B4441" t="s">
        <v>88125</v>
      </c>
      <c r="C4441" t="s">
        <v>88126</v>
      </c>
      <c r="D4441" t="s">
        <v>88127</v>
      </c>
      <c r="E4441" t="s">
        <v>88128</v>
      </c>
      <c r="F4441" t="s">
        <v>88129</v>
      </c>
      <c r="G4441" t="s">
        <v>88130</v>
      </c>
      <c r="H4441" t="s">
        <v>88131</v>
      </c>
      <c r="I4441" t="s">
        <v>88132</v>
      </c>
      <c r="J4441" t="s">
        <v>88133</v>
      </c>
      <c r="K4441" t="s">
        <v>88134</v>
      </c>
      <c r="L4441" t="s">
        <v>88135</v>
      </c>
      <c r="M4441" t="s">
        <v>88136</v>
      </c>
      <c r="N4441" t="s">
        <v>88137</v>
      </c>
      <c r="O4441" t="s">
        <v>88138</v>
      </c>
      <c r="P4441" t="s">
        <v>88139</v>
      </c>
      <c r="Q4441" t="s">
        <v>88140</v>
      </c>
      <c r="R4441" t="s">
        <v>88141</v>
      </c>
      <c r="S4441" t="s">
        <v>88142</v>
      </c>
      <c r="T4441" t="s">
        <v>88143</v>
      </c>
      <c r="U4441" t="s">
        <v>88144</v>
      </c>
      <c r="V4441" t="s">
        <v>88145</v>
      </c>
      <c r="W4441" t="s">
        <v>88146</v>
      </c>
      <c r="X4441" t="s">
        <v>88147</v>
      </c>
      <c r="Y4441" t="s">
        <v>88148</v>
      </c>
    </row>
    <row r="4442" spans="1:25" x14ac:dyDescent="0.3">
      <c r="A4442">
        <v>222050</v>
      </c>
      <c r="B4442" t="s">
        <v>88149</v>
      </c>
      <c r="C4442" t="s">
        <v>88150</v>
      </c>
      <c r="D4442" t="s">
        <v>88151</v>
      </c>
      <c r="E4442" t="s">
        <v>88152</v>
      </c>
      <c r="F4442" t="s">
        <v>88153</v>
      </c>
      <c r="G4442" t="s">
        <v>88154</v>
      </c>
      <c r="H4442" t="s">
        <v>88155</v>
      </c>
      <c r="I4442" t="s">
        <v>88156</v>
      </c>
      <c r="J4442" t="s">
        <v>88157</v>
      </c>
      <c r="K4442" t="s">
        <v>88158</v>
      </c>
      <c r="L4442" t="s">
        <v>88159</v>
      </c>
      <c r="M4442" t="s">
        <v>88160</v>
      </c>
      <c r="N4442" t="s">
        <v>88161</v>
      </c>
      <c r="O4442" t="s">
        <v>88162</v>
      </c>
      <c r="P4442" t="s">
        <v>88163</v>
      </c>
      <c r="Q4442" t="s">
        <v>88164</v>
      </c>
      <c r="R4442" t="s">
        <v>88165</v>
      </c>
      <c r="S4442" t="s">
        <v>88166</v>
      </c>
      <c r="T4442" t="s">
        <v>88167</v>
      </c>
      <c r="U4442" t="s">
        <v>88168</v>
      </c>
      <c r="V4442" t="s">
        <v>88169</v>
      </c>
      <c r="W4442" t="s">
        <v>88170</v>
      </c>
      <c r="X4442" t="s">
        <v>88171</v>
      </c>
      <c r="Y4442" t="s">
        <v>88172</v>
      </c>
    </row>
    <row r="4443" spans="1:25" x14ac:dyDescent="0.3">
      <c r="A4443">
        <v>222100</v>
      </c>
      <c r="B4443" t="s">
        <v>88173</v>
      </c>
      <c r="C4443" t="s">
        <v>88174</v>
      </c>
      <c r="D4443" t="s">
        <v>88175</v>
      </c>
      <c r="E4443" t="s">
        <v>88176</v>
      </c>
      <c r="F4443" t="s">
        <v>88177</v>
      </c>
      <c r="G4443" t="s">
        <v>88178</v>
      </c>
      <c r="H4443" t="s">
        <v>88179</v>
      </c>
      <c r="I4443" t="s">
        <v>88180</v>
      </c>
      <c r="J4443" t="s">
        <v>88181</v>
      </c>
      <c r="K4443" t="s">
        <v>88182</v>
      </c>
      <c r="L4443" t="s">
        <v>88183</v>
      </c>
      <c r="M4443" t="s">
        <v>88184</v>
      </c>
      <c r="N4443" t="s">
        <v>88185</v>
      </c>
      <c r="O4443" t="s">
        <v>88186</v>
      </c>
      <c r="P4443" t="s">
        <v>88187</v>
      </c>
      <c r="Q4443" t="s">
        <v>88188</v>
      </c>
      <c r="R4443" t="s">
        <v>88189</v>
      </c>
      <c r="S4443" t="s">
        <v>88190</v>
      </c>
      <c r="T4443" t="s">
        <v>88191</v>
      </c>
      <c r="U4443" t="s">
        <v>88192</v>
      </c>
      <c r="V4443" t="s">
        <v>88193</v>
      </c>
      <c r="W4443" t="s">
        <v>88194</v>
      </c>
      <c r="X4443" t="s">
        <v>88195</v>
      </c>
      <c r="Y4443" t="s">
        <v>88196</v>
      </c>
    </row>
    <row r="4444" spans="1:25" x14ac:dyDescent="0.3">
      <c r="A4444">
        <v>222150</v>
      </c>
      <c r="B4444" t="s">
        <v>88197</v>
      </c>
      <c r="C4444" t="s">
        <v>88198</v>
      </c>
      <c r="D4444" t="s">
        <v>88199</v>
      </c>
      <c r="E4444" t="s">
        <v>88200</v>
      </c>
      <c r="F4444" t="s">
        <v>88201</v>
      </c>
      <c r="G4444" t="s">
        <v>88202</v>
      </c>
      <c r="H4444" t="s">
        <v>88203</v>
      </c>
      <c r="I4444" t="s">
        <v>88204</v>
      </c>
      <c r="J4444" t="s">
        <v>88205</v>
      </c>
      <c r="K4444" t="s">
        <v>88206</v>
      </c>
      <c r="L4444" t="s">
        <v>88207</v>
      </c>
      <c r="M4444" t="s">
        <v>88208</v>
      </c>
      <c r="N4444" t="s">
        <v>88209</v>
      </c>
      <c r="O4444" t="s">
        <v>88210</v>
      </c>
      <c r="P4444" t="s">
        <v>88211</v>
      </c>
      <c r="Q4444" t="s">
        <v>88212</v>
      </c>
      <c r="R4444" t="s">
        <v>88213</v>
      </c>
      <c r="S4444" t="s">
        <v>88214</v>
      </c>
      <c r="T4444" t="s">
        <v>88215</v>
      </c>
      <c r="U4444" t="s">
        <v>88216</v>
      </c>
      <c r="V4444" t="s">
        <v>88217</v>
      </c>
      <c r="W4444" t="s">
        <v>88218</v>
      </c>
      <c r="X4444" t="s">
        <v>88219</v>
      </c>
      <c r="Y4444" t="s">
        <v>88220</v>
      </c>
    </row>
    <row r="4445" spans="1:25" x14ac:dyDescent="0.3">
      <c r="A4445">
        <v>222200</v>
      </c>
      <c r="B4445" t="s">
        <v>88221</v>
      </c>
      <c r="C4445" t="s">
        <v>88222</v>
      </c>
      <c r="D4445" t="s">
        <v>88223</v>
      </c>
      <c r="E4445" t="s">
        <v>88224</v>
      </c>
      <c r="F4445" t="s">
        <v>88225</v>
      </c>
      <c r="G4445" t="s">
        <v>88226</v>
      </c>
      <c r="H4445" t="s">
        <v>88227</v>
      </c>
      <c r="I4445" t="s">
        <v>88228</v>
      </c>
      <c r="J4445" t="s">
        <v>88229</v>
      </c>
      <c r="K4445" t="s">
        <v>88230</v>
      </c>
      <c r="L4445" t="s">
        <v>88231</v>
      </c>
      <c r="M4445" t="s">
        <v>88232</v>
      </c>
      <c r="N4445" t="s">
        <v>88233</v>
      </c>
      <c r="O4445" t="s">
        <v>88234</v>
      </c>
      <c r="P4445" t="s">
        <v>88235</v>
      </c>
      <c r="Q4445" t="s">
        <v>88236</v>
      </c>
      <c r="R4445" t="s">
        <v>88237</v>
      </c>
      <c r="S4445" t="s">
        <v>88238</v>
      </c>
      <c r="T4445" t="s">
        <v>88239</v>
      </c>
      <c r="U4445" t="s">
        <v>88240</v>
      </c>
      <c r="V4445" t="s">
        <v>88241</v>
      </c>
      <c r="W4445" t="s">
        <v>88242</v>
      </c>
      <c r="X4445" t="s">
        <v>88243</v>
      </c>
      <c r="Y4445" t="s">
        <v>88244</v>
      </c>
    </row>
    <row r="4446" spans="1:25" x14ac:dyDescent="0.3">
      <c r="A4446">
        <v>222250</v>
      </c>
      <c r="B4446" t="s">
        <v>88245</v>
      </c>
      <c r="C4446" t="s">
        <v>88246</v>
      </c>
      <c r="D4446" t="s">
        <v>88247</v>
      </c>
      <c r="E4446" t="s">
        <v>88248</v>
      </c>
      <c r="F4446" t="s">
        <v>88249</v>
      </c>
      <c r="G4446" t="s">
        <v>88250</v>
      </c>
      <c r="H4446" t="s">
        <v>88251</v>
      </c>
      <c r="I4446" t="s">
        <v>88252</v>
      </c>
      <c r="J4446" t="s">
        <v>88253</v>
      </c>
      <c r="K4446" t="s">
        <v>88254</v>
      </c>
      <c r="L4446" t="s">
        <v>88255</v>
      </c>
      <c r="M4446" t="s">
        <v>88256</v>
      </c>
      <c r="N4446" t="s">
        <v>88257</v>
      </c>
      <c r="O4446" t="s">
        <v>88258</v>
      </c>
      <c r="P4446" t="s">
        <v>88259</v>
      </c>
      <c r="Q4446" t="s">
        <v>88260</v>
      </c>
      <c r="R4446" t="s">
        <v>88261</v>
      </c>
      <c r="S4446" t="s">
        <v>88262</v>
      </c>
      <c r="T4446" t="s">
        <v>88263</v>
      </c>
      <c r="U4446" t="s">
        <v>88264</v>
      </c>
      <c r="V4446" t="s">
        <v>88265</v>
      </c>
      <c r="W4446" t="s">
        <v>88266</v>
      </c>
      <c r="X4446" t="s">
        <v>88267</v>
      </c>
      <c r="Y4446" t="s">
        <v>88268</v>
      </c>
    </row>
    <row r="4447" spans="1:25" x14ac:dyDescent="0.3">
      <c r="A4447">
        <v>222300</v>
      </c>
      <c r="B4447" t="s">
        <v>88269</v>
      </c>
      <c r="C4447" t="s">
        <v>88270</v>
      </c>
      <c r="D4447" t="s">
        <v>88271</v>
      </c>
      <c r="E4447" t="s">
        <v>88272</v>
      </c>
      <c r="F4447" t="s">
        <v>88273</v>
      </c>
      <c r="G4447" t="s">
        <v>88274</v>
      </c>
      <c r="H4447" t="s">
        <v>88275</v>
      </c>
      <c r="I4447" t="s">
        <v>88276</v>
      </c>
      <c r="J4447" t="s">
        <v>88277</v>
      </c>
      <c r="K4447" t="s">
        <v>88278</v>
      </c>
      <c r="L4447" t="s">
        <v>88279</v>
      </c>
      <c r="M4447" t="s">
        <v>88280</v>
      </c>
      <c r="N4447" t="s">
        <v>88281</v>
      </c>
      <c r="O4447" t="s">
        <v>88282</v>
      </c>
      <c r="P4447" t="s">
        <v>88283</v>
      </c>
      <c r="Q4447" t="s">
        <v>88284</v>
      </c>
      <c r="R4447" t="s">
        <v>88285</v>
      </c>
      <c r="S4447" t="s">
        <v>88286</v>
      </c>
      <c r="T4447" t="s">
        <v>88287</v>
      </c>
      <c r="U4447" t="s">
        <v>88288</v>
      </c>
      <c r="V4447" t="s">
        <v>88289</v>
      </c>
      <c r="W4447" t="s">
        <v>88290</v>
      </c>
      <c r="X4447" t="s">
        <v>88291</v>
      </c>
      <c r="Y4447" t="s">
        <v>88292</v>
      </c>
    </row>
    <row r="4448" spans="1:25" x14ac:dyDescent="0.3">
      <c r="A4448">
        <v>222350</v>
      </c>
      <c r="B4448" t="s">
        <v>88293</v>
      </c>
      <c r="C4448" t="s">
        <v>88294</v>
      </c>
      <c r="D4448" t="s">
        <v>88295</v>
      </c>
      <c r="E4448" t="s">
        <v>88296</v>
      </c>
      <c r="F4448" t="s">
        <v>88297</v>
      </c>
      <c r="G4448" t="s">
        <v>88298</v>
      </c>
      <c r="H4448" t="s">
        <v>88299</v>
      </c>
      <c r="I4448" t="s">
        <v>88300</v>
      </c>
      <c r="J4448" t="s">
        <v>88301</v>
      </c>
      <c r="K4448" t="s">
        <v>88302</v>
      </c>
      <c r="L4448" t="s">
        <v>88303</v>
      </c>
      <c r="M4448" t="s">
        <v>88304</v>
      </c>
      <c r="N4448" t="s">
        <v>88305</v>
      </c>
      <c r="O4448" t="s">
        <v>88306</v>
      </c>
      <c r="P4448" t="s">
        <v>88307</v>
      </c>
      <c r="Q4448" t="s">
        <v>88308</v>
      </c>
      <c r="R4448" t="s">
        <v>88309</v>
      </c>
      <c r="S4448" t="s">
        <v>88310</v>
      </c>
      <c r="T4448" t="s">
        <v>88311</v>
      </c>
      <c r="U4448" t="s">
        <v>88312</v>
      </c>
      <c r="V4448" t="s">
        <v>88313</v>
      </c>
      <c r="W4448" t="s">
        <v>88314</v>
      </c>
      <c r="X4448" t="s">
        <v>88315</v>
      </c>
      <c r="Y4448" t="s">
        <v>88316</v>
      </c>
    </row>
    <row r="4449" spans="1:25" x14ac:dyDescent="0.3">
      <c r="A4449">
        <v>222400</v>
      </c>
      <c r="B4449" t="s">
        <v>88317</v>
      </c>
      <c r="C4449" t="s">
        <v>88318</v>
      </c>
      <c r="D4449" t="s">
        <v>88319</v>
      </c>
      <c r="E4449" t="s">
        <v>88320</v>
      </c>
      <c r="F4449" t="s">
        <v>88321</v>
      </c>
      <c r="G4449" t="s">
        <v>88322</v>
      </c>
      <c r="H4449" t="s">
        <v>88323</v>
      </c>
      <c r="I4449" t="s">
        <v>88324</v>
      </c>
      <c r="J4449" t="s">
        <v>88325</v>
      </c>
      <c r="K4449" t="s">
        <v>88326</v>
      </c>
      <c r="L4449" t="s">
        <v>88327</v>
      </c>
      <c r="M4449" t="s">
        <v>88328</v>
      </c>
      <c r="N4449" t="s">
        <v>88329</v>
      </c>
      <c r="O4449" t="s">
        <v>88330</v>
      </c>
      <c r="P4449" t="s">
        <v>88331</v>
      </c>
      <c r="Q4449" t="s">
        <v>88332</v>
      </c>
      <c r="R4449" t="s">
        <v>88333</v>
      </c>
      <c r="S4449" t="s">
        <v>88334</v>
      </c>
      <c r="T4449" t="s">
        <v>88335</v>
      </c>
      <c r="U4449" t="s">
        <v>88336</v>
      </c>
      <c r="V4449" t="s">
        <v>88337</v>
      </c>
      <c r="W4449" t="s">
        <v>88338</v>
      </c>
      <c r="X4449" t="s">
        <v>88339</v>
      </c>
      <c r="Y4449" t="s">
        <v>88340</v>
      </c>
    </row>
    <row r="4450" spans="1:25" x14ac:dyDescent="0.3">
      <c r="A4450">
        <v>222450</v>
      </c>
      <c r="B4450" t="s">
        <v>88341</v>
      </c>
      <c r="C4450" t="s">
        <v>88342</v>
      </c>
      <c r="D4450" t="s">
        <v>88343</v>
      </c>
      <c r="E4450" t="s">
        <v>88344</v>
      </c>
      <c r="F4450" t="s">
        <v>88345</v>
      </c>
      <c r="G4450" t="s">
        <v>88346</v>
      </c>
      <c r="H4450" t="s">
        <v>88347</v>
      </c>
      <c r="I4450" t="s">
        <v>88348</v>
      </c>
      <c r="J4450" t="s">
        <v>88349</v>
      </c>
      <c r="K4450" t="s">
        <v>88350</v>
      </c>
      <c r="L4450" t="s">
        <v>88351</v>
      </c>
      <c r="M4450" t="s">
        <v>88352</v>
      </c>
      <c r="N4450" t="s">
        <v>88353</v>
      </c>
      <c r="O4450" t="s">
        <v>88354</v>
      </c>
      <c r="P4450" t="s">
        <v>88355</v>
      </c>
      <c r="Q4450" t="s">
        <v>88356</v>
      </c>
      <c r="R4450" t="s">
        <v>88357</v>
      </c>
      <c r="S4450" t="s">
        <v>88358</v>
      </c>
      <c r="T4450" t="s">
        <v>88359</v>
      </c>
      <c r="U4450" t="s">
        <v>88360</v>
      </c>
      <c r="V4450" t="s">
        <v>88361</v>
      </c>
      <c r="W4450" t="s">
        <v>88362</v>
      </c>
      <c r="X4450" t="s">
        <v>88363</v>
      </c>
      <c r="Y4450" t="s">
        <v>88364</v>
      </c>
    </row>
    <row r="4451" spans="1:25" x14ac:dyDescent="0.3">
      <c r="A4451">
        <v>222500</v>
      </c>
      <c r="B4451" t="s">
        <v>88365</v>
      </c>
      <c r="C4451" t="s">
        <v>88366</v>
      </c>
      <c r="D4451" t="s">
        <v>88367</v>
      </c>
      <c r="E4451" t="s">
        <v>88368</v>
      </c>
      <c r="F4451" t="s">
        <v>88369</v>
      </c>
      <c r="G4451" t="s">
        <v>88370</v>
      </c>
      <c r="H4451" t="s">
        <v>88371</v>
      </c>
      <c r="I4451" t="s">
        <v>88372</v>
      </c>
      <c r="J4451" t="s">
        <v>88373</v>
      </c>
      <c r="K4451" t="s">
        <v>88374</v>
      </c>
      <c r="L4451" t="s">
        <v>88375</v>
      </c>
      <c r="M4451" t="s">
        <v>88376</v>
      </c>
      <c r="N4451" t="s">
        <v>88377</v>
      </c>
      <c r="O4451" t="s">
        <v>88378</v>
      </c>
      <c r="P4451" t="s">
        <v>88379</v>
      </c>
      <c r="Q4451" t="s">
        <v>88380</v>
      </c>
      <c r="R4451" t="s">
        <v>88381</v>
      </c>
      <c r="S4451" t="s">
        <v>88382</v>
      </c>
      <c r="T4451" t="s">
        <v>88383</v>
      </c>
      <c r="U4451" t="s">
        <v>88384</v>
      </c>
      <c r="V4451" t="s">
        <v>88385</v>
      </c>
      <c r="W4451" t="s">
        <v>88386</v>
      </c>
      <c r="X4451" t="s">
        <v>88387</v>
      </c>
      <c r="Y4451" t="s">
        <v>88388</v>
      </c>
    </row>
    <row r="4452" spans="1:25" x14ac:dyDescent="0.3">
      <c r="A4452">
        <v>222550</v>
      </c>
      <c r="B4452" t="s">
        <v>88389</v>
      </c>
      <c r="C4452" t="s">
        <v>88390</v>
      </c>
      <c r="D4452" t="s">
        <v>88391</v>
      </c>
      <c r="E4452" t="s">
        <v>88392</v>
      </c>
      <c r="F4452" t="s">
        <v>88393</v>
      </c>
      <c r="G4452" t="s">
        <v>88394</v>
      </c>
      <c r="H4452" t="s">
        <v>88395</v>
      </c>
      <c r="I4452" t="s">
        <v>88396</v>
      </c>
      <c r="J4452" t="s">
        <v>88397</v>
      </c>
      <c r="K4452" t="s">
        <v>88398</v>
      </c>
      <c r="L4452" t="s">
        <v>88399</v>
      </c>
      <c r="M4452" t="s">
        <v>88400</v>
      </c>
      <c r="N4452" t="s">
        <v>88401</v>
      </c>
      <c r="O4452" t="s">
        <v>88402</v>
      </c>
      <c r="P4452" t="s">
        <v>88403</v>
      </c>
      <c r="Q4452" t="s">
        <v>88404</v>
      </c>
      <c r="R4452" t="s">
        <v>88405</v>
      </c>
      <c r="S4452" t="s">
        <v>88406</v>
      </c>
      <c r="T4452" t="s">
        <v>88407</v>
      </c>
      <c r="U4452" t="s">
        <v>88408</v>
      </c>
      <c r="V4452" t="s">
        <v>88409</v>
      </c>
      <c r="W4452" t="s">
        <v>88410</v>
      </c>
      <c r="X4452" t="s">
        <v>88411</v>
      </c>
      <c r="Y4452" t="s">
        <v>88412</v>
      </c>
    </row>
    <row r="4453" spans="1:25" x14ac:dyDescent="0.3">
      <c r="A4453">
        <v>222600</v>
      </c>
      <c r="B4453" t="s">
        <v>88413</v>
      </c>
      <c r="C4453" t="s">
        <v>88414</v>
      </c>
      <c r="D4453" t="s">
        <v>88415</v>
      </c>
      <c r="E4453" t="s">
        <v>88416</v>
      </c>
      <c r="F4453" t="s">
        <v>88417</v>
      </c>
      <c r="G4453" t="s">
        <v>88418</v>
      </c>
      <c r="H4453" t="s">
        <v>88419</v>
      </c>
      <c r="I4453" t="s">
        <v>88420</v>
      </c>
      <c r="J4453" t="s">
        <v>88421</v>
      </c>
      <c r="K4453" t="s">
        <v>88422</v>
      </c>
      <c r="L4453" t="s">
        <v>88423</v>
      </c>
      <c r="M4453" t="s">
        <v>88424</v>
      </c>
      <c r="N4453" t="s">
        <v>88425</v>
      </c>
      <c r="O4453" t="s">
        <v>88426</v>
      </c>
      <c r="P4453" t="s">
        <v>88427</v>
      </c>
      <c r="Q4453" t="s">
        <v>88428</v>
      </c>
      <c r="R4453" t="s">
        <v>88429</v>
      </c>
      <c r="S4453" t="s">
        <v>88430</v>
      </c>
      <c r="T4453" t="s">
        <v>88431</v>
      </c>
      <c r="U4453" t="s">
        <v>88432</v>
      </c>
      <c r="V4453" t="s">
        <v>88433</v>
      </c>
      <c r="W4453" t="s">
        <v>88434</v>
      </c>
      <c r="X4453" t="s">
        <v>88435</v>
      </c>
      <c r="Y4453" t="s">
        <v>88436</v>
      </c>
    </row>
    <row r="4454" spans="1:25" x14ac:dyDescent="0.3">
      <c r="A4454">
        <v>222650</v>
      </c>
      <c r="B4454" t="s">
        <v>88437</v>
      </c>
      <c r="C4454" t="s">
        <v>88438</v>
      </c>
      <c r="D4454" t="s">
        <v>88439</v>
      </c>
      <c r="E4454" t="s">
        <v>88440</v>
      </c>
      <c r="F4454" t="s">
        <v>88441</v>
      </c>
      <c r="G4454" t="s">
        <v>88442</v>
      </c>
      <c r="H4454" t="s">
        <v>88443</v>
      </c>
      <c r="I4454" t="s">
        <v>88444</v>
      </c>
      <c r="J4454" t="s">
        <v>88445</v>
      </c>
      <c r="K4454" t="s">
        <v>88446</v>
      </c>
      <c r="L4454" t="s">
        <v>88447</v>
      </c>
      <c r="M4454" t="s">
        <v>88448</v>
      </c>
      <c r="N4454" t="s">
        <v>88449</v>
      </c>
      <c r="O4454" t="s">
        <v>88450</v>
      </c>
      <c r="P4454" t="s">
        <v>88451</v>
      </c>
      <c r="Q4454" t="s">
        <v>88452</v>
      </c>
      <c r="R4454" t="s">
        <v>88453</v>
      </c>
      <c r="S4454" t="s">
        <v>88454</v>
      </c>
      <c r="T4454" t="s">
        <v>88455</v>
      </c>
      <c r="U4454" t="s">
        <v>88456</v>
      </c>
      <c r="V4454" t="s">
        <v>88457</v>
      </c>
      <c r="W4454" t="s">
        <v>88458</v>
      </c>
      <c r="X4454" t="s">
        <v>88459</v>
      </c>
      <c r="Y4454" t="s">
        <v>88460</v>
      </c>
    </row>
    <row r="4455" spans="1:25" x14ac:dyDescent="0.3">
      <c r="A4455">
        <v>222700</v>
      </c>
      <c r="B4455" t="s">
        <v>88461</v>
      </c>
      <c r="C4455" t="s">
        <v>88462</v>
      </c>
      <c r="D4455" t="s">
        <v>88463</v>
      </c>
      <c r="E4455" t="s">
        <v>88464</v>
      </c>
      <c r="F4455" t="s">
        <v>88465</v>
      </c>
      <c r="G4455" t="s">
        <v>88466</v>
      </c>
      <c r="H4455" t="s">
        <v>88467</v>
      </c>
      <c r="I4455" t="s">
        <v>88468</v>
      </c>
      <c r="J4455" t="s">
        <v>88469</v>
      </c>
      <c r="K4455" t="s">
        <v>88470</v>
      </c>
      <c r="L4455" t="s">
        <v>88471</v>
      </c>
      <c r="M4455" t="s">
        <v>88472</v>
      </c>
      <c r="N4455" t="s">
        <v>88473</v>
      </c>
      <c r="O4455" t="s">
        <v>88474</v>
      </c>
      <c r="P4455" t="s">
        <v>88475</v>
      </c>
      <c r="Q4455" t="s">
        <v>88476</v>
      </c>
      <c r="R4455" t="s">
        <v>88477</v>
      </c>
      <c r="S4455" t="s">
        <v>88478</v>
      </c>
      <c r="T4455" t="s">
        <v>88479</v>
      </c>
      <c r="U4455" t="s">
        <v>88480</v>
      </c>
      <c r="V4455" t="s">
        <v>88481</v>
      </c>
      <c r="W4455" t="s">
        <v>88482</v>
      </c>
      <c r="X4455" t="s">
        <v>88483</v>
      </c>
      <c r="Y4455" t="s">
        <v>88484</v>
      </c>
    </row>
    <row r="4456" spans="1:25" x14ac:dyDescent="0.3">
      <c r="A4456">
        <v>222750</v>
      </c>
      <c r="B4456" t="s">
        <v>88485</v>
      </c>
      <c r="C4456" t="s">
        <v>88486</v>
      </c>
      <c r="D4456" t="s">
        <v>88487</v>
      </c>
      <c r="E4456" t="s">
        <v>88488</v>
      </c>
      <c r="F4456" t="s">
        <v>88489</v>
      </c>
      <c r="G4456" t="s">
        <v>88490</v>
      </c>
      <c r="H4456" t="s">
        <v>88491</v>
      </c>
      <c r="I4456" t="s">
        <v>88492</v>
      </c>
      <c r="J4456" t="s">
        <v>88493</v>
      </c>
      <c r="K4456" t="s">
        <v>88494</v>
      </c>
      <c r="L4456" t="s">
        <v>88495</v>
      </c>
      <c r="M4456" t="s">
        <v>88496</v>
      </c>
      <c r="N4456" t="s">
        <v>88497</v>
      </c>
      <c r="O4456" t="s">
        <v>88498</v>
      </c>
      <c r="P4456" t="s">
        <v>88499</v>
      </c>
      <c r="Q4456" t="s">
        <v>88500</v>
      </c>
      <c r="R4456" t="s">
        <v>88501</v>
      </c>
      <c r="S4456" t="s">
        <v>88502</v>
      </c>
      <c r="T4456" t="s">
        <v>88503</v>
      </c>
      <c r="U4456" t="s">
        <v>88504</v>
      </c>
      <c r="V4456" t="s">
        <v>88505</v>
      </c>
      <c r="W4456" t="s">
        <v>88506</v>
      </c>
      <c r="X4456" t="s">
        <v>88507</v>
      </c>
      <c r="Y4456" t="s">
        <v>88508</v>
      </c>
    </row>
    <row r="4457" spans="1:25" x14ac:dyDescent="0.3">
      <c r="A4457">
        <v>222800</v>
      </c>
      <c r="B4457" t="s">
        <v>88509</v>
      </c>
      <c r="C4457" t="s">
        <v>88510</v>
      </c>
      <c r="D4457" t="s">
        <v>88511</v>
      </c>
      <c r="E4457" t="s">
        <v>88512</v>
      </c>
      <c r="F4457" t="s">
        <v>88513</v>
      </c>
      <c r="G4457" t="s">
        <v>88514</v>
      </c>
      <c r="H4457" t="s">
        <v>88515</v>
      </c>
      <c r="I4457" t="s">
        <v>88516</v>
      </c>
      <c r="J4457" t="s">
        <v>88517</v>
      </c>
      <c r="K4457" t="s">
        <v>88518</v>
      </c>
      <c r="L4457" t="s">
        <v>88519</v>
      </c>
      <c r="M4457" t="s">
        <v>88520</v>
      </c>
      <c r="N4457" t="s">
        <v>88521</v>
      </c>
      <c r="O4457" t="s">
        <v>88522</v>
      </c>
      <c r="P4457" t="s">
        <v>88523</v>
      </c>
      <c r="Q4457" t="s">
        <v>88524</v>
      </c>
      <c r="R4457" t="s">
        <v>88525</v>
      </c>
      <c r="S4457" t="s">
        <v>88526</v>
      </c>
      <c r="T4457" t="s">
        <v>88527</v>
      </c>
      <c r="U4457" t="s">
        <v>88528</v>
      </c>
      <c r="V4457" t="s">
        <v>88529</v>
      </c>
      <c r="W4457" t="s">
        <v>88530</v>
      </c>
      <c r="X4457" t="s">
        <v>88531</v>
      </c>
      <c r="Y4457" t="s">
        <v>88532</v>
      </c>
    </row>
    <row r="4458" spans="1:25" x14ac:dyDescent="0.3">
      <c r="A4458">
        <v>222850</v>
      </c>
      <c r="B4458" t="s">
        <v>88533</v>
      </c>
      <c r="C4458" t="s">
        <v>88534</v>
      </c>
      <c r="D4458" t="s">
        <v>88535</v>
      </c>
      <c r="E4458" t="s">
        <v>88536</v>
      </c>
      <c r="F4458" t="s">
        <v>88537</v>
      </c>
      <c r="G4458" t="s">
        <v>88538</v>
      </c>
      <c r="H4458" t="s">
        <v>88539</v>
      </c>
      <c r="I4458" t="s">
        <v>88540</v>
      </c>
      <c r="J4458" t="s">
        <v>88541</v>
      </c>
      <c r="K4458" t="s">
        <v>88542</v>
      </c>
      <c r="L4458" t="s">
        <v>88543</v>
      </c>
      <c r="M4458" t="s">
        <v>88544</v>
      </c>
      <c r="N4458" t="s">
        <v>88545</v>
      </c>
      <c r="O4458" t="s">
        <v>88546</v>
      </c>
      <c r="P4458" t="s">
        <v>88547</v>
      </c>
      <c r="Q4458" t="s">
        <v>88548</v>
      </c>
      <c r="R4458" t="s">
        <v>88549</v>
      </c>
      <c r="S4458" t="s">
        <v>88550</v>
      </c>
      <c r="T4458" t="s">
        <v>88551</v>
      </c>
      <c r="U4458" t="s">
        <v>88552</v>
      </c>
      <c r="V4458" t="s">
        <v>88553</v>
      </c>
      <c r="W4458" t="s">
        <v>88554</v>
      </c>
      <c r="X4458" t="s">
        <v>88555</v>
      </c>
      <c r="Y4458" t="s">
        <v>88556</v>
      </c>
    </row>
    <row r="4459" spans="1:25" x14ac:dyDescent="0.3">
      <c r="A4459">
        <v>222900</v>
      </c>
      <c r="B4459" t="s">
        <v>88557</v>
      </c>
      <c r="C4459" t="s">
        <v>88558</v>
      </c>
      <c r="D4459" t="s">
        <v>88559</v>
      </c>
      <c r="E4459" t="s">
        <v>88560</v>
      </c>
      <c r="F4459" t="s">
        <v>88561</v>
      </c>
      <c r="G4459" t="s">
        <v>88562</v>
      </c>
      <c r="H4459" t="s">
        <v>88563</v>
      </c>
      <c r="I4459" t="s">
        <v>88564</v>
      </c>
      <c r="J4459" t="s">
        <v>88565</v>
      </c>
      <c r="K4459" t="s">
        <v>88566</v>
      </c>
      <c r="L4459" t="s">
        <v>88567</v>
      </c>
      <c r="M4459" t="s">
        <v>88568</v>
      </c>
      <c r="N4459" t="s">
        <v>88569</v>
      </c>
      <c r="O4459" t="s">
        <v>88570</v>
      </c>
      <c r="P4459" t="s">
        <v>88571</v>
      </c>
      <c r="Q4459" t="s">
        <v>88572</v>
      </c>
      <c r="R4459" t="s">
        <v>88573</v>
      </c>
      <c r="S4459" t="s">
        <v>88574</v>
      </c>
      <c r="T4459" t="s">
        <v>88575</v>
      </c>
      <c r="U4459" t="s">
        <v>88576</v>
      </c>
      <c r="V4459" t="s">
        <v>88577</v>
      </c>
      <c r="W4459" t="s">
        <v>88578</v>
      </c>
      <c r="X4459" t="s">
        <v>88579</v>
      </c>
      <c r="Y4459" t="s">
        <v>88580</v>
      </c>
    </row>
    <row r="4460" spans="1:25" x14ac:dyDescent="0.3">
      <c r="A4460">
        <v>222950</v>
      </c>
      <c r="B4460" t="s">
        <v>88581</v>
      </c>
      <c r="C4460" t="s">
        <v>88582</v>
      </c>
      <c r="D4460" t="s">
        <v>88583</v>
      </c>
      <c r="E4460" t="s">
        <v>88584</v>
      </c>
      <c r="F4460" t="s">
        <v>88585</v>
      </c>
      <c r="G4460" t="s">
        <v>88586</v>
      </c>
      <c r="H4460" t="s">
        <v>88587</v>
      </c>
      <c r="I4460" t="s">
        <v>88588</v>
      </c>
      <c r="J4460" t="s">
        <v>88589</v>
      </c>
      <c r="K4460" t="s">
        <v>88590</v>
      </c>
      <c r="L4460" t="s">
        <v>88591</v>
      </c>
      <c r="M4460" t="s">
        <v>88592</v>
      </c>
      <c r="N4460" t="s">
        <v>88593</v>
      </c>
      <c r="O4460" t="s">
        <v>88594</v>
      </c>
      <c r="P4460" t="s">
        <v>88595</v>
      </c>
      <c r="Q4460" t="s">
        <v>88596</v>
      </c>
      <c r="R4460" t="s">
        <v>88597</v>
      </c>
      <c r="S4460" t="s">
        <v>88598</v>
      </c>
      <c r="T4460" t="s">
        <v>88599</v>
      </c>
      <c r="U4460" t="s">
        <v>88600</v>
      </c>
      <c r="V4460" t="s">
        <v>88601</v>
      </c>
      <c r="W4460" t="s">
        <v>88602</v>
      </c>
      <c r="X4460" t="s">
        <v>88603</v>
      </c>
      <c r="Y4460" t="s">
        <v>88604</v>
      </c>
    </row>
    <row r="4461" spans="1:25" x14ac:dyDescent="0.3">
      <c r="A4461">
        <v>223000</v>
      </c>
      <c r="B4461" t="s">
        <v>88605</v>
      </c>
      <c r="C4461" t="s">
        <v>88606</v>
      </c>
      <c r="D4461" t="s">
        <v>88607</v>
      </c>
      <c r="E4461" t="s">
        <v>88608</v>
      </c>
      <c r="F4461" t="s">
        <v>88609</v>
      </c>
      <c r="G4461" t="s">
        <v>88610</v>
      </c>
      <c r="H4461" t="s">
        <v>88611</v>
      </c>
      <c r="I4461" t="s">
        <v>88612</v>
      </c>
      <c r="J4461" t="s">
        <v>88613</v>
      </c>
      <c r="K4461" t="s">
        <v>88614</v>
      </c>
      <c r="L4461" t="s">
        <v>88615</v>
      </c>
      <c r="M4461" t="s">
        <v>88616</v>
      </c>
      <c r="N4461" t="s">
        <v>88617</v>
      </c>
      <c r="O4461" t="s">
        <v>88618</v>
      </c>
      <c r="P4461" t="s">
        <v>88619</v>
      </c>
      <c r="Q4461" t="s">
        <v>88620</v>
      </c>
      <c r="R4461" t="s">
        <v>88621</v>
      </c>
      <c r="S4461" t="s">
        <v>88622</v>
      </c>
      <c r="T4461" t="s">
        <v>88623</v>
      </c>
      <c r="U4461" t="s">
        <v>88624</v>
      </c>
      <c r="V4461" t="s">
        <v>88625</v>
      </c>
      <c r="W4461" t="s">
        <v>88626</v>
      </c>
      <c r="X4461" t="s">
        <v>88627</v>
      </c>
      <c r="Y4461" t="s">
        <v>88628</v>
      </c>
    </row>
    <row r="4462" spans="1:25" x14ac:dyDescent="0.3">
      <c r="A4462">
        <v>223050</v>
      </c>
      <c r="B4462" t="s">
        <v>88629</v>
      </c>
      <c r="C4462" t="s">
        <v>88630</v>
      </c>
      <c r="D4462" t="s">
        <v>88631</v>
      </c>
      <c r="E4462" t="s">
        <v>88632</v>
      </c>
      <c r="F4462" t="s">
        <v>88633</v>
      </c>
      <c r="G4462" t="s">
        <v>88634</v>
      </c>
      <c r="H4462" t="s">
        <v>88635</v>
      </c>
      <c r="I4462" t="s">
        <v>88636</v>
      </c>
      <c r="J4462" t="s">
        <v>88637</v>
      </c>
      <c r="K4462" t="s">
        <v>88638</v>
      </c>
      <c r="L4462" t="s">
        <v>88639</v>
      </c>
      <c r="M4462" t="s">
        <v>88640</v>
      </c>
      <c r="N4462" t="s">
        <v>88641</v>
      </c>
      <c r="O4462" t="s">
        <v>88642</v>
      </c>
      <c r="P4462" t="s">
        <v>88643</v>
      </c>
      <c r="Q4462" t="s">
        <v>88644</v>
      </c>
      <c r="R4462" t="s">
        <v>88645</v>
      </c>
      <c r="S4462" t="s">
        <v>88646</v>
      </c>
      <c r="T4462" t="s">
        <v>88647</v>
      </c>
      <c r="U4462" t="s">
        <v>88648</v>
      </c>
      <c r="V4462" t="s">
        <v>88649</v>
      </c>
      <c r="W4462" t="s">
        <v>88650</v>
      </c>
      <c r="X4462" t="s">
        <v>88651</v>
      </c>
      <c r="Y4462" t="s">
        <v>88652</v>
      </c>
    </row>
    <row r="4463" spans="1:25" x14ac:dyDescent="0.3">
      <c r="A4463">
        <v>223100</v>
      </c>
      <c r="B4463" t="s">
        <v>88653</v>
      </c>
      <c r="C4463" t="s">
        <v>88654</v>
      </c>
      <c r="D4463" t="s">
        <v>88655</v>
      </c>
      <c r="E4463" t="s">
        <v>88656</v>
      </c>
      <c r="F4463" t="s">
        <v>88657</v>
      </c>
      <c r="G4463" t="s">
        <v>88658</v>
      </c>
      <c r="H4463" t="s">
        <v>88659</v>
      </c>
      <c r="I4463" t="s">
        <v>88660</v>
      </c>
      <c r="J4463" t="s">
        <v>88661</v>
      </c>
      <c r="K4463" t="s">
        <v>88662</v>
      </c>
      <c r="L4463" t="s">
        <v>88663</v>
      </c>
      <c r="M4463" t="s">
        <v>88664</v>
      </c>
      <c r="N4463" t="s">
        <v>88665</v>
      </c>
      <c r="O4463" t="s">
        <v>88666</v>
      </c>
      <c r="P4463" t="s">
        <v>88667</v>
      </c>
      <c r="Q4463" t="s">
        <v>88668</v>
      </c>
      <c r="R4463" t="s">
        <v>88669</v>
      </c>
      <c r="S4463" t="s">
        <v>88670</v>
      </c>
      <c r="T4463" t="s">
        <v>88671</v>
      </c>
      <c r="U4463" t="s">
        <v>88672</v>
      </c>
      <c r="V4463" t="s">
        <v>88673</v>
      </c>
      <c r="W4463" t="s">
        <v>88674</v>
      </c>
      <c r="X4463" t="s">
        <v>88675</v>
      </c>
      <c r="Y4463" t="s">
        <v>88676</v>
      </c>
    </row>
    <row r="4464" spans="1:25" x14ac:dyDescent="0.3">
      <c r="A4464">
        <v>223150</v>
      </c>
      <c r="B4464" t="s">
        <v>88677</v>
      </c>
      <c r="C4464" t="s">
        <v>88678</v>
      </c>
      <c r="D4464" t="s">
        <v>88679</v>
      </c>
      <c r="E4464" t="s">
        <v>88680</v>
      </c>
      <c r="F4464" t="s">
        <v>88681</v>
      </c>
      <c r="G4464" t="s">
        <v>88682</v>
      </c>
      <c r="H4464" t="s">
        <v>88683</v>
      </c>
      <c r="I4464" t="s">
        <v>88684</v>
      </c>
      <c r="J4464" t="s">
        <v>88685</v>
      </c>
      <c r="K4464" t="s">
        <v>88686</v>
      </c>
      <c r="L4464" t="s">
        <v>88687</v>
      </c>
      <c r="M4464" t="s">
        <v>88688</v>
      </c>
      <c r="N4464" t="s">
        <v>88689</v>
      </c>
      <c r="O4464" t="s">
        <v>88690</v>
      </c>
      <c r="P4464" t="s">
        <v>88691</v>
      </c>
      <c r="Q4464" t="s">
        <v>88692</v>
      </c>
      <c r="R4464" t="s">
        <v>88693</v>
      </c>
      <c r="S4464" t="s">
        <v>88694</v>
      </c>
      <c r="T4464" t="s">
        <v>88695</v>
      </c>
      <c r="U4464" t="s">
        <v>88696</v>
      </c>
      <c r="V4464" t="s">
        <v>88697</v>
      </c>
      <c r="W4464" t="s">
        <v>88698</v>
      </c>
      <c r="X4464" t="s">
        <v>88699</v>
      </c>
      <c r="Y4464" t="s">
        <v>88700</v>
      </c>
    </row>
    <row r="4465" spans="1:25" x14ac:dyDescent="0.3">
      <c r="A4465">
        <v>223200</v>
      </c>
      <c r="B4465" t="s">
        <v>88701</v>
      </c>
      <c r="C4465" t="s">
        <v>88702</v>
      </c>
      <c r="D4465" t="s">
        <v>88703</v>
      </c>
      <c r="E4465" t="s">
        <v>88704</v>
      </c>
      <c r="F4465" t="s">
        <v>88705</v>
      </c>
      <c r="G4465" t="s">
        <v>88706</v>
      </c>
      <c r="H4465" t="s">
        <v>88707</v>
      </c>
      <c r="I4465" t="s">
        <v>88708</v>
      </c>
      <c r="J4465" t="s">
        <v>88709</v>
      </c>
      <c r="K4465" t="s">
        <v>88710</v>
      </c>
      <c r="L4465" t="s">
        <v>88711</v>
      </c>
      <c r="M4465" t="s">
        <v>88712</v>
      </c>
      <c r="N4465" t="s">
        <v>88713</v>
      </c>
      <c r="O4465" t="s">
        <v>88714</v>
      </c>
      <c r="P4465" t="s">
        <v>88715</v>
      </c>
      <c r="Q4465" t="s">
        <v>88716</v>
      </c>
      <c r="R4465" t="s">
        <v>88717</v>
      </c>
      <c r="S4465" t="s">
        <v>88718</v>
      </c>
      <c r="T4465" t="s">
        <v>88719</v>
      </c>
      <c r="U4465" t="s">
        <v>88720</v>
      </c>
      <c r="V4465" t="s">
        <v>88721</v>
      </c>
      <c r="W4465" t="s">
        <v>88722</v>
      </c>
      <c r="X4465" t="s">
        <v>88723</v>
      </c>
      <c r="Y4465" t="s">
        <v>88724</v>
      </c>
    </row>
    <row r="4466" spans="1:25" x14ac:dyDescent="0.3">
      <c r="A4466">
        <v>223250</v>
      </c>
      <c r="B4466" t="s">
        <v>88725</v>
      </c>
      <c r="C4466" t="s">
        <v>88726</v>
      </c>
      <c r="D4466" t="s">
        <v>88727</v>
      </c>
      <c r="E4466" t="s">
        <v>88728</v>
      </c>
      <c r="F4466" t="s">
        <v>88729</v>
      </c>
      <c r="G4466" t="s">
        <v>88730</v>
      </c>
      <c r="H4466" t="s">
        <v>88731</v>
      </c>
      <c r="I4466" t="s">
        <v>88732</v>
      </c>
      <c r="J4466" t="s">
        <v>88733</v>
      </c>
      <c r="K4466" t="s">
        <v>88734</v>
      </c>
      <c r="L4466" t="s">
        <v>88735</v>
      </c>
      <c r="M4466" t="s">
        <v>88736</v>
      </c>
      <c r="N4466" t="s">
        <v>88737</v>
      </c>
      <c r="O4466" t="s">
        <v>88738</v>
      </c>
      <c r="P4466" t="s">
        <v>88739</v>
      </c>
      <c r="Q4466" t="s">
        <v>88740</v>
      </c>
      <c r="R4466" t="s">
        <v>88741</v>
      </c>
      <c r="S4466" t="s">
        <v>88742</v>
      </c>
      <c r="T4466" t="s">
        <v>88743</v>
      </c>
      <c r="U4466" t="s">
        <v>88744</v>
      </c>
      <c r="V4466" t="s">
        <v>88745</v>
      </c>
      <c r="W4466" t="s">
        <v>88746</v>
      </c>
      <c r="X4466" t="s">
        <v>88747</v>
      </c>
      <c r="Y4466" t="s">
        <v>88748</v>
      </c>
    </row>
    <row r="4467" spans="1:25" x14ac:dyDescent="0.3">
      <c r="A4467">
        <v>223300</v>
      </c>
      <c r="B4467" t="s">
        <v>88749</v>
      </c>
      <c r="C4467" t="s">
        <v>88750</v>
      </c>
      <c r="D4467" t="s">
        <v>88751</v>
      </c>
      <c r="E4467" t="s">
        <v>88752</v>
      </c>
      <c r="F4467" t="s">
        <v>88753</v>
      </c>
      <c r="G4467" t="s">
        <v>88754</v>
      </c>
      <c r="H4467" t="s">
        <v>88755</v>
      </c>
      <c r="I4467" t="s">
        <v>88756</v>
      </c>
      <c r="J4467" t="s">
        <v>88757</v>
      </c>
      <c r="K4467" t="s">
        <v>88758</v>
      </c>
      <c r="L4467" t="s">
        <v>88759</v>
      </c>
      <c r="M4467" t="s">
        <v>88760</v>
      </c>
      <c r="N4467" t="s">
        <v>88761</v>
      </c>
      <c r="O4467" t="s">
        <v>88762</v>
      </c>
      <c r="P4467" t="s">
        <v>88763</v>
      </c>
      <c r="Q4467" t="s">
        <v>88764</v>
      </c>
      <c r="R4467" t="s">
        <v>88765</v>
      </c>
      <c r="S4467" t="s">
        <v>88766</v>
      </c>
      <c r="T4467" t="s">
        <v>88767</v>
      </c>
      <c r="U4467" t="s">
        <v>88768</v>
      </c>
      <c r="V4467" t="s">
        <v>88769</v>
      </c>
      <c r="W4467" t="s">
        <v>88770</v>
      </c>
      <c r="X4467" t="s">
        <v>88771</v>
      </c>
      <c r="Y4467" t="s">
        <v>88772</v>
      </c>
    </row>
    <row r="4468" spans="1:25" x14ac:dyDescent="0.3">
      <c r="A4468">
        <v>223350</v>
      </c>
      <c r="B4468" t="s">
        <v>88773</v>
      </c>
      <c r="C4468" t="s">
        <v>88774</v>
      </c>
      <c r="D4468" t="s">
        <v>88775</v>
      </c>
      <c r="E4468" t="s">
        <v>88776</v>
      </c>
      <c r="F4468" t="s">
        <v>88777</v>
      </c>
      <c r="G4468" t="s">
        <v>88778</v>
      </c>
      <c r="H4468" t="s">
        <v>88779</v>
      </c>
      <c r="I4468" t="s">
        <v>88780</v>
      </c>
      <c r="J4468" t="s">
        <v>88781</v>
      </c>
      <c r="K4468" t="s">
        <v>88782</v>
      </c>
      <c r="L4468" t="s">
        <v>88783</v>
      </c>
      <c r="M4468" t="s">
        <v>88784</v>
      </c>
      <c r="N4468" t="s">
        <v>88785</v>
      </c>
      <c r="O4468" t="s">
        <v>88786</v>
      </c>
      <c r="P4468" t="s">
        <v>88787</v>
      </c>
      <c r="Q4468" t="s">
        <v>88788</v>
      </c>
      <c r="R4468" t="s">
        <v>88789</v>
      </c>
      <c r="S4468" t="s">
        <v>88790</v>
      </c>
      <c r="T4468" t="s">
        <v>88791</v>
      </c>
      <c r="U4468" t="s">
        <v>88792</v>
      </c>
      <c r="V4468" t="s">
        <v>88793</v>
      </c>
      <c r="W4468" t="s">
        <v>88794</v>
      </c>
      <c r="X4468" t="s">
        <v>88795</v>
      </c>
      <c r="Y4468" t="s">
        <v>88796</v>
      </c>
    </row>
    <row r="4469" spans="1:25" x14ac:dyDescent="0.3">
      <c r="A4469">
        <v>223400</v>
      </c>
      <c r="B4469" t="s">
        <v>88797</v>
      </c>
      <c r="C4469" t="s">
        <v>88798</v>
      </c>
      <c r="D4469" t="s">
        <v>88799</v>
      </c>
      <c r="E4469" t="s">
        <v>88800</v>
      </c>
      <c r="F4469" t="s">
        <v>88801</v>
      </c>
      <c r="G4469" t="s">
        <v>88802</v>
      </c>
      <c r="H4469" t="s">
        <v>88803</v>
      </c>
      <c r="I4469" t="s">
        <v>88804</v>
      </c>
      <c r="J4469" t="s">
        <v>88805</v>
      </c>
      <c r="K4469" t="s">
        <v>88806</v>
      </c>
      <c r="L4469" t="s">
        <v>88807</v>
      </c>
      <c r="M4469" t="s">
        <v>88808</v>
      </c>
      <c r="N4469" t="s">
        <v>88809</v>
      </c>
      <c r="O4469" t="s">
        <v>88810</v>
      </c>
      <c r="P4469" t="s">
        <v>88811</v>
      </c>
      <c r="Q4469" t="s">
        <v>88812</v>
      </c>
      <c r="R4469" t="s">
        <v>88813</v>
      </c>
      <c r="S4469" t="s">
        <v>88814</v>
      </c>
      <c r="T4469" t="s">
        <v>88815</v>
      </c>
      <c r="U4469" t="s">
        <v>88816</v>
      </c>
      <c r="V4469" t="s">
        <v>88817</v>
      </c>
      <c r="W4469" t="s">
        <v>88818</v>
      </c>
      <c r="X4469" t="s">
        <v>88819</v>
      </c>
      <c r="Y4469" t="s">
        <v>88820</v>
      </c>
    </row>
    <row r="4470" spans="1:25" x14ac:dyDescent="0.3">
      <c r="A4470">
        <v>223450</v>
      </c>
      <c r="B4470" t="s">
        <v>88821</v>
      </c>
      <c r="C4470" t="s">
        <v>88822</v>
      </c>
      <c r="D4470" t="s">
        <v>88823</v>
      </c>
      <c r="E4470" t="s">
        <v>88824</v>
      </c>
      <c r="F4470" t="s">
        <v>88825</v>
      </c>
      <c r="G4470" t="s">
        <v>88826</v>
      </c>
      <c r="H4470" t="s">
        <v>88827</v>
      </c>
      <c r="I4470" t="s">
        <v>88828</v>
      </c>
      <c r="J4470" t="s">
        <v>88829</v>
      </c>
      <c r="K4470" t="s">
        <v>88830</v>
      </c>
      <c r="L4470" t="s">
        <v>88831</v>
      </c>
      <c r="M4470" t="s">
        <v>88832</v>
      </c>
      <c r="N4470" t="s">
        <v>88833</v>
      </c>
      <c r="O4470" t="s">
        <v>88834</v>
      </c>
      <c r="P4470" t="s">
        <v>88835</v>
      </c>
      <c r="Q4470" t="s">
        <v>88836</v>
      </c>
      <c r="R4470" t="s">
        <v>88837</v>
      </c>
      <c r="S4470" t="s">
        <v>88838</v>
      </c>
      <c r="T4470" t="s">
        <v>88839</v>
      </c>
      <c r="U4470" t="s">
        <v>88840</v>
      </c>
      <c r="V4470" t="s">
        <v>88841</v>
      </c>
      <c r="W4470" t="s">
        <v>88842</v>
      </c>
      <c r="X4470" t="s">
        <v>88843</v>
      </c>
      <c r="Y4470" t="s">
        <v>88844</v>
      </c>
    </row>
    <row r="4471" spans="1:25" x14ac:dyDescent="0.3">
      <c r="A4471">
        <v>223500</v>
      </c>
      <c r="B4471" t="s">
        <v>88845</v>
      </c>
      <c r="C4471" t="s">
        <v>88846</v>
      </c>
      <c r="D4471" t="s">
        <v>88847</v>
      </c>
      <c r="E4471" t="s">
        <v>88848</v>
      </c>
      <c r="F4471" t="s">
        <v>88849</v>
      </c>
      <c r="G4471" t="s">
        <v>88850</v>
      </c>
      <c r="H4471" t="s">
        <v>88851</v>
      </c>
      <c r="I4471" t="s">
        <v>88852</v>
      </c>
      <c r="J4471" t="s">
        <v>88853</v>
      </c>
      <c r="K4471" t="s">
        <v>88854</v>
      </c>
      <c r="L4471" t="s">
        <v>88855</v>
      </c>
      <c r="M4471" t="s">
        <v>88856</v>
      </c>
      <c r="N4471" t="s">
        <v>88857</v>
      </c>
      <c r="O4471" t="s">
        <v>88858</v>
      </c>
      <c r="P4471" t="s">
        <v>88859</v>
      </c>
      <c r="Q4471" t="s">
        <v>88860</v>
      </c>
      <c r="R4471" t="s">
        <v>88861</v>
      </c>
      <c r="S4471" t="s">
        <v>88862</v>
      </c>
      <c r="T4471" t="s">
        <v>88863</v>
      </c>
      <c r="U4471" t="s">
        <v>88864</v>
      </c>
      <c r="V4471" t="s">
        <v>88865</v>
      </c>
      <c r="W4471" t="s">
        <v>88866</v>
      </c>
      <c r="X4471" t="s">
        <v>88867</v>
      </c>
      <c r="Y4471" t="s">
        <v>88868</v>
      </c>
    </row>
    <row r="4472" spans="1:25" x14ac:dyDescent="0.3">
      <c r="A4472">
        <v>223550</v>
      </c>
      <c r="B4472" t="s">
        <v>88869</v>
      </c>
      <c r="C4472" t="s">
        <v>88870</v>
      </c>
      <c r="D4472" t="s">
        <v>88871</v>
      </c>
      <c r="E4472" t="s">
        <v>88872</v>
      </c>
      <c r="F4472" t="s">
        <v>88873</v>
      </c>
      <c r="G4472" t="s">
        <v>88874</v>
      </c>
      <c r="H4472" t="s">
        <v>88875</v>
      </c>
      <c r="I4472" t="s">
        <v>88876</v>
      </c>
      <c r="J4472" t="s">
        <v>88877</v>
      </c>
      <c r="K4472" t="s">
        <v>88878</v>
      </c>
      <c r="L4472" t="s">
        <v>88879</v>
      </c>
      <c r="M4472" t="s">
        <v>88880</v>
      </c>
      <c r="N4472" t="s">
        <v>88881</v>
      </c>
      <c r="O4472" t="s">
        <v>88882</v>
      </c>
      <c r="P4472" t="s">
        <v>88883</v>
      </c>
      <c r="Q4472" t="s">
        <v>88884</v>
      </c>
      <c r="R4472" t="s">
        <v>88885</v>
      </c>
      <c r="S4472" t="s">
        <v>88886</v>
      </c>
      <c r="T4472" t="s">
        <v>88887</v>
      </c>
      <c r="U4472" t="s">
        <v>88888</v>
      </c>
      <c r="V4472" t="s">
        <v>88889</v>
      </c>
      <c r="W4472" t="s">
        <v>88890</v>
      </c>
      <c r="X4472" t="s">
        <v>88891</v>
      </c>
      <c r="Y4472" t="s">
        <v>88892</v>
      </c>
    </row>
    <row r="4473" spans="1:25" x14ac:dyDescent="0.3">
      <c r="A4473">
        <v>223600</v>
      </c>
      <c r="B4473" t="s">
        <v>88893</v>
      </c>
      <c r="C4473" t="s">
        <v>88894</v>
      </c>
      <c r="D4473" t="s">
        <v>88895</v>
      </c>
      <c r="E4473" t="s">
        <v>88896</v>
      </c>
      <c r="F4473" t="s">
        <v>88897</v>
      </c>
      <c r="G4473" t="s">
        <v>88898</v>
      </c>
      <c r="H4473" t="s">
        <v>88899</v>
      </c>
      <c r="I4473" t="s">
        <v>88900</v>
      </c>
      <c r="J4473" t="s">
        <v>88901</v>
      </c>
      <c r="K4473" t="s">
        <v>88902</v>
      </c>
      <c r="L4473" t="s">
        <v>88903</v>
      </c>
      <c r="M4473" t="s">
        <v>88904</v>
      </c>
      <c r="N4473" t="s">
        <v>88905</v>
      </c>
      <c r="O4473" t="s">
        <v>88906</v>
      </c>
      <c r="P4473" t="s">
        <v>88907</v>
      </c>
      <c r="Q4473" t="s">
        <v>88908</v>
      </c>
      <c r="R4473" t="s">
        <v>88909</v>
      </c>
      <c r="S4473" t="s">
        <v>88910</v>
      </c>
      <c r="T4473" t="s">
        <v>88911</v>
      </c>
      <c r="U4473" t="s">
        <v>88912</v>
      </c>
      <c r="V4473" t="s">
        <v>88913</v>
      </c>
      <c r="W4473" t="s">
        <v>88914</v>
      </c>
      <c r="X4473" t="s">
        <v>88915</v>
      </c>
      <c r="Y4473" t="s">
        <v>88916</v>
      </c>
    </row>
    <row r="4474" spans="1:25" x14ac:dyDescent="0.3">
      <c r="A4474">
        <v>223650</v>
      </c>
      <c r="B4474" t="s">
        <v>88917</v>
      </c>
      <c r="C4474" t="s">
        <v>88918</v>
      </c>
      <c r="D4474" t="s">
        <v>88919</v>
      </c>
      <c r="E4474" t="s">
        <v>88920</v>
      </c>
      <c r="F4474" t="s">
        <v>88921</v>
      </c>
      <c r="G4474" t="s">
        <v>88922</v>
      </c>
      <c r="H4474" t="s">
        <v>88923</v>
      </c>
      <c r="I4474" t="s">
        <v>88924</v>
      </c>
      <c r="J4474" t="s">
        <v>88925</v>
      </c>
      <c r="K4474" t="s">
        <v>88926</v>
      </c>
      <c r="L4474" t="s">
        <v>88927</v>
      </c>
      <c r="M4474" t="s">
        <v>88928</v>
      </c>
      <c r="N4474" t="s">
        <v>88929</v>
      </c>
      <c r="O4474" t="s">
        <v>88930</v>
      </c>
      <c r="P4474" t="s">
        <v>88931</v>
      </c>
      <c r="Q4474" t="s">
        <v>88932</v>
      </c>
      <c r="R4474" t="s">
        <v>88933</v>
      </c>
      <c r="S4474" t="s">
        <v>88934</v>
      </c>
      <c r="T4474" t="s">
        <v>88935</v>
      </c>
      <c r="U4474" t="s">
        <v>88936</v>
      </c>
      <c r="V4474" t="s">
        <v>88937</v>
      </c>
      <c r="W4474" t="s">
        <v>88938</v>
      </c>
      <c r="X4474" t="s">
        <v>88939</v>
      </c>
      <c r="Y4474" t="s">
        <v>88940</v>
      </c>
    </row>
    <row r="4475" spans="1:25" x14ac:dyDescent="0.3">
      <c r="A4475">
        <v>223700</v>
      </c>
      <c r="B4475" t="s">
        <v>88941</v>
      </c>
      <c r="C4475" t="s">
        <v>88942</v>
      </c>
      <c r="D4475" t="s">
        <v>88943</v>
      </c>
      <c r="E4475" t="s">
        <v>88944</v>
      </c>
      <c r="F4475" t="s">
        <v>88945</v>
      </c>
      <c r="G4475" t="s">
        <v>88946</v>
      </c>
      <c r="H4475" t="s">
        <v>88947</v>
      </c>
      <c r="I4475" t="s">
        <v>88948</v>
      </c>
      <c r="J4475" t="s">
        <v>88949</v>
      </c>
      <c r="K4475" t="s">
        <v>88950</v>
      </c>
      <c r="L4475" t="s">
        <v>88951</v>
      </c>
      <c r="M4475" t="s">
        <v>88952</v>
      </c>
      <c r="N4475" t="s">
        <v>88953</v>
      </c>
      <c r="O4475" t="s">
        <v>88954</v>
      </c>
      <c r="P4475" t="s">
        <v>88955</v>
      </c>
      <c r="Q4475" t="s">
        <v>88956</v>
      </c>
      <c r="R4475" t="s">
        <v>88957</v>
      </c>
      <c r="S4475" t="s">
        <v>88958</v>
      </c>
      <c r="T4475" t="s">
        <v>88959</v>
      </c>
      <c r="U4475" t="s">
        <v>88960</v>
      </c>
      <c r="V4475" t="s">
        <v>88961</v>
      </c>
      <c r="W4475" t="s">
        <v>88962</v>
      </c>
      <c r="X4475" t="s">
        <v>88963</v>
      </c>
      <c r="Y4475" t="s">
        <v>88964</v>
      </c>
    </row>
    <row r="4476" spans="1:25" x14ac:dyDescent="0.3">
      <c r="A4476">
        <v>223750</v>
      </c>
      <c r="B4476" t="s">
        <v>88965</v>
      </c>
      <c r="C4476" t="s">
        <v>88966</v>
      </c>
      <c r="D4476" t="s">
        <v>88967</v>
      </c>
      <c r="E4476" t="s">
        <v>88968</v>
      </c>
      <c r="F4476" t="s">
        <v>88969</v>
      </c>
      <c r="G4476" t="s">
        <v>88970</v>
      </c>
      <c r="H4476" t="s">
        <v>88971</v>
      </c>
      <c r="I4476" t="s">
        <v>88972</v>
      </c>
      <c r="J4476" t="s">
        <v>88973</v>
      </c>
      <c r="K4476" t="s">
        <v>88974</v>
      </c>
      <c r="L4476" t="s">
        <v>88975</v>
      </c>
      <c r="M4476" t="s">
        <v>88976</v>
      </c>
      <c r="N4476" t="s">
        <v>88977</v>
      </c>
      <c r="O4476" t="s">
        <v>88978</v>
      </c>
      <c r="P4476" t="s">
        <v>88979</v>
      </c>
      <c r="Q4476" t="s">
        <v>88980</v>
      </c>
      <c r="R4476" t="s">
        <v>88981</v>
      </c>
      <c r="S4476" t="s">
        <v>88982</v>
      </c>
      <c r="T4476" t="s">
        <v>88983</v>
      </c>
      <c r="U4476" t="s">
        <v>88984</v>
      </c>
      <c r="V4476" t="s">
        <v>88985</v>
      </c>
      <c r="W4476" t="s">
        <v>88986</v>
      </c>
      <c r="X4476" t="s">
        <v>88987</v>
      </c>
      <c r="Y4476" t="s">
        <v>88988</v>
      </c>
    </row>
    <row r="4477" spans="1:25" x14ac:dyDescent="0.3">
      <c r="A4477">
        <v>223800</v>
      </c>
      <c r="B4477" t="s">
        <v>88989</v>
      </c>
      <c r="C4477" t="s">
        <v>88990</v>
      </c>
      <c r="D4477" t="s">
        <v>88991</v>
      </c>
      <c r="E4477" t="s">
        <v>88992</v>
      </c>
      <c r="F4477" t="s">
        <v>88993</v>
      </c>
      <c r="G4477" t="s">
        <v>88994</v>
      </c>
      <c r="H4477" t="s">
        <v>88995</v>
      </c>
      <c r="I4477" t="s">
        <v>88996</v>
      </c>
      <c r="J4477" t="s">
        <v>88997</v>
      </c>
      <c r="K4477" t="s">
        <v>88998</v>
      </c>
      <c r="L4477" t="s">
        <v>88999</v>
      </c>
      <c r="M4477" t="s">
        <v>89000</v>
      </c>
      <c r="N4477" t="s">
        <v>89001</v>
      </c>
      <c r="O4477" t="s">
        <v>89002</v>
      </c>
      <c r="P4477" t="s">
        <v>89003</v>
      </c>
      <c r="Q4477" t="s">
        <v>89004</v>
      </c>
      <c r="R4477" t="s">
        <v>89005</v>
      </c>
      <c r="S4477" t="s">
        <v>89006</v>
      </c>
      <c r="T4477" t="s">
        <v>89007</v>
      </c>
      <c r="U4477" t="s">
        <v>89008</v>
      </c>
      <c r="V4477" t="s">
        <v>89009</v>
      </c>
      <c r="W4477" t="s">
        <v>89010</v>
      </c>
      <c r="X4477" t="s">
        <v>89011</v>
      </c>
      <c r="Y4477" t="s">
        <v>89012</v>
      </c>
    </row>
    <row r="4478" spans="1:25" x14ac:dyDescent="0.3">
      <c r="A4478">
        <v>223850</v>
      </c>
      <c r="B4478" t="s">
        <v>89013</v>
      </c>
      <c r="C4478" t="s">
        <v>89014</v>
      </c>
      <c r="D4478" t="s">
        <v>89015</v>
      </c>
      <c r="E4478" t="s">
        <v>89016</v>
      </c>
      <c r="F4478" t="s">
        <v>89017</v>
      </c>
      <c r="G4478" t="s">
        <v>89018</v>
      </c>
      <c r="H4478" t="s">
        <v>89019</v>
      </c>
      <c r="I4478" t="s">
        <v>89020</v>
      </c>
      <c r="J4478" t="s">
        <v>89021</v>
      </c>
      <c r="K4478" t="s">
        <v>89022</v>
      </c>
      <c r="L4478" t="s">
        <v>89023</v>
      </c>
      <c r="M4478" t="s">
        <v>89024</v>
      </c>
      <c r="N4478" t="s">
        <v>89025</v>
      </c>
      <c r="O4478" t="s">
        <v>89026</v>
      </c>
      <c r="P4478" t="s">
        <v>89027</v>
      </c>
      <c r="Q4478" t="s">
        <v>89028</v>
      </c>
      <c r="R4478" t="s">
        <v>89029</v>
      </c>
      <c r="S4478" t="s">
        <v>89030</v>
      </c>
      <c r="T4478" t="s">
        <v>89031</v>
      </c>
      <c r="U4478" t="s">
        <v>89032</v>
      </c>
      <c r="V4478" t="s">
        <v>89033</v>
      </c>
      <c r="W4478" t="s">
        <v>89034</v>
      </c>
      <c r="X4478" t="s">
        <v>89035</v>
      </c>
      <c r="Y4478" t="s">
        <v>89036</v>
      </c>
    </row>
    <row r="4479" spans="1:25" x14ac:dyDescent="0.3">
      <c r="A4479">
        <v>223900</v>
      </c>
      <c r="B4479" t="s">
        <v>89037</v>
      </c>
      <c r="C4479" t="s">
        <v>89038</v>
      </c>
      <c r="D4479" t="s">
        <v>89039</v>
      </c>
      <c r="E4479" t="s">
        <v>89040</v>
      </c>
      <c r="F4479" t="s">
        <v>89041</v>
      </c>
      <c r="G4479" t="s">
        <v>89042</v>
      </c>
      <c r="H4479" t="s">
        <v>89043</v>
      </c>
      <c r="I4479" t="s">
        <v>89044</v>
      </c>
      <c r="J4479" t="s">
        <v>89045</v>
      </c>
      <c r="K4479" t="s">
        <v>89046</v>
      </c>
      <c r="L4479" t="s">
        <v>89047</v>
      </c>
      <c r="M4479" t="s">
        <v>89048</v>
      </c>
      <c r="N4479" t="s">
        <v>89049</v>
      </c>
      <c r="O4479" t="s">
        <v>89050</v>
      </c>
      <c r="P4479" t="s">
        <v>89051</v>
      </c>
      <c r="Q4479" t="s">
        <v>89052</v>
      </c>
      <c r="R4479" t="s">
        <v>89053</v>
      </c>
      <c r="S4479" t="s">
        <v>89054</v>
      </c>
      <c r="T4479" t="s">
        <v>89055</v>
      </c>
      <c r="U4479" t="s">
        <v>89056</v>
      </c>
      <c r="V4479" t="s">
        <v>89057</v>
      </c>
      <c r="W4479" t="s">
        <v>89058</v>
      </c>
      <c r="X4479" t="s">
        <v>89059</v>
      </c>
      <c r="Y4479" t="s">
        <v>89060</v>
      </c>
    </row>
    <row r="4480" spans="1:25" x14ac:dyDescent="0.3">
      <c r="A4480">
        <v>223950</v>
      </c>
      <c r="B4480" t="s">
        <v>89061</v>
      </c>
      <c r="C4480" t="s">
        <v>89062</v>
      </c>
      <c r="D4480" t="s">
        <v>89063</v>
      </c>
      <c r="E4480" t="s">
        <v>89064</v>
      </c>
      <c r="F4480" t="s">
        <v>89065</v>
      </c>
      <c r="G4480" t="s">
        <v>89066</v>
      </c>
      <c r="H4480" t="s">
        <v>89067</v>
      </c>
      <c r="I4480" t="s">
        <v>89068</v>
      </c>
      <c r="J4480" t="s">
        <v>89069</v>
      </c>
      <c r="K4480" t="s">
        <v>89070</v>
      </c>
      <c r="L4480" t="s">
        <v>89071</v>
      </c>
      <c r="M4480" t="s">
        <v>89072</v>
      </c>
      <c r="N4480" t="s">
        <v>89073</v>
      </c>
      <c r="O4480" t="s">
        <v>89074</v>
      </c>
      <c r="P4480" t="s">
        <v>89075</v>
      </c>
      <c r="Q4480" t="s">
        <v>89076</v>
      </c>
      <c r="R4480" t="s">
        <v>89077</v>
      </c>
      <c r="S4480" t="s">
        <v>89078</v>
      </c>
      <c r="T4480" t="s">
        <v>89079</v>
      </c>
      <c r="U4480" t="s">
        <v>89080</v>
      </c>
      <c r="V4480" t="s">
        <v>89081</v>
      </c>
      <c r="W4480" t="s">
        <v>89082</v>
      </c>
      <c r="X4480" t="s">
        <v>89083</v>
      </c>
      <c r="Y4480" t="s">
        <v>89084</v>
      </c>
    </row>
    <row r="4481" spans="1:25" x14ac:dyDescent="0.3">
      <c r="A4481">
        <v>224000</v>
      </c>
      <c r="B4481" t="s">
        <v>89085</v>
      </c>
      <c r="C4481" t="s">
        <v>89086</v>
      </c>
      <c r="D4481" t="s">
        <v>89087</v>
      </c>
      <c r="E4481" t="s">
        <v>89088</v>
      </c>
      <c r="F4481" t="s">
        <v>89089</v>
      </c>
      <c r="G4481" t="s">
        <v>89090</v>
      </c>
      <c r="H4481" t="s">
        <v>89091</v>
      </c>
      <c r="I4481" t="s">
        <v>89092</v>
      </c>
      <c r="J4481" t="s">
        <v>89093</v>
      </c>
      <c r="K4481" t="s">
        <v>89094</v>
      </c>
      <c r="L4481" t="s">
        <v>89095</v>
      </c>
      <c r="M4481" t="s">
        <v>89096</v>
      </c>
      <c r="N4481" t="s">
        <v>89097</v>
      </c>
      <c r="O4481" t="s">
        <v>89098</v>
      </c>
      <c r="P4481" t="s">
        <v>89099</v>
      </c>
      <c r="Q4481" t="s">
        <v>89100</v>
      </c>
      <c r="R4481" t="s">
        <v>89101</v>
      </c>
      <c r="S4481" t="s">
        <v>89102</v>
      </c>
      <c r="T4481" t="s">
        <v>89103</v>
      </c>
      <c r="U4481" t="s">
        <v>89104</v>
      </c>
      <c r="V4481" t="s">
        <v>89105</v>
      </c>
      <c r="W4481" t="s">
        <v>89106</v>
      </c>
      <c r="X4481" t="s">
        <v>89107</v>
      </c>
      <c r="Y4481" t="s">
        <v>89108</v>
      </c>
    </row>
    <row r="4482" spans="1:25" x14ac:dyDescent="0.3">
      <c r="A4482">
        <v>224050</v>
      </c>
      <c r="B4482" t="s">
        <v>89109</v>
      </c>
      <c r="C4482" t="s">
        <v>89110</v>
      </c>
      <c r="D4482" t="s">
        <v>89111</v>
      </c>
      <c r="E4482" t="s">
        <v>89112</v>
      </c>
      <c r="F4482" t="s">
        <v>89113</v>
      </c>
      <c r="G4482" t="s">
        <v>89114</v>
      </c>
      <c r="H4482" t="s">
        <v>89115</v>
      </c>
      <c r="I4482" t="s">
        <v>89116</v>
      </c>
      <c r="J4482" t="s">
        <v>89117</v>
      </c>
      <c r="K4482" t="s">
        <v>89118</v>
      </c>
      <c r="L4482" t="s">
        <v>89119</v>
      </c>
      <c r="M4482" t="s">
        <v>89120</v>
      </c>
      <c r="N4482" t="s">
        <v>89121</v>
      </c>
      <c r="O4482" t="s">
        <v>89122</v>
      </c>
      <c r="P4482" t="s">
        <v>89123</v>
      </c>
      <c r="Q4482" t="s">
        <v>89124</v>
      </c>
      <c r="R4482" t="s">
        <v>89125</v>
      </c>
      <c r="S4482" t="s">
        <v>89126</v>
      </c>
      <c r="T4482" t="s">
        <v>89127</v>
      </c>
      <c r="U4482" t="s">
        <v>89128</v>
      </c>
      <c r="V4482" t="s">
        <v>89129</v>
      </c>
      <c r="W4482" t="s">
        <v>89130</v>
      </c>
      <c r="X4482" t="s">
        <v>89131</v>
      </c>
      <c r="Y4482" t="s">
        <v>89132</v>
      </c>
    </row>
    <row r="4483" spans="1:25" x14ac:dyDescent="0.3">
      <c r="A4483">
        <v>224100</v>
      </c>
      <c r="B4483" t="s">
        <v>89133</v>
      </c>
      <c r="C4483" t="s">
        <v>89134</v>
      </c>
      <c r="D4483" t="s">
        <v>89135</v>
      </c>
      <c r="E4483" t="s">
        <v>89136</v>
      </c>
      <c r="F4483" t="s">
        <v>89137</v>
      </c>
      <c r="G4483" t="s">
        <v>89138</v>
      </c>
      <c r="H4483" t="s">
        <v>89139</v>
      </c>
      <c r="I4483" t="s">
        <v>89140</v>
      </c>
      <c r="J4483" t="s">
        <v>89141</v>
      </c>
      <c r="K4483" t="s">
        <v>89142</v>
      </c>
      <c r="L4483" t="s">
        <v>89143</v>
      </c>
      <c r="M4483" t="s">
        <v>89144</v>
      </c>
      <c r="N4483" t="s">
        <v>89145</v>
      </c>
      <c r="O4483" t="s">
        <v>89146</v>
      </c>
      <c r="P4483" t="s">
        <v>89147</v>
      </c>
      <c r="Q4483" t="s">
        <v>89148</v>
      </c>
      <c r="R4483" t="s">
        <v>89149</v>
      </c>
      <c r="S4483" t="s">
        <v>89150</v>
      </c>
      <c r="T4483" t="s">
        <v>89151</v>
      </c>
      <c r="U4483" t="s">
        <v>89152</v>
      </c>
      <c r="V4483" t="s">
        <v>89153</v>
      </c>
      <c r="W4483" t="s">
        <v>89154</v>
      </c>
      <c r="X4483" t="s">
        <v>89155</v>
      </c>
      <c r="Y4483" t="s">
        <v>89156</v>
      </c>
    </row>
    <row r="4484" spans="1:25" x14ac:dyDescent="0.3">
      <c r="A4484">
        <v>224150</v>
      </c>
      <c r="B4484" t="s">
        <v>89157</v>
      </c>
      <c r="C4484" t="s">
        <v>89158</v>
      </c>
      <c r="D4484" t="s">
        <v>89159</v>
      </c>
      <c r="E4484" t="s">
        <v>89160</v>
      </c>
      <c r="F4484" t="s">
        <v>89161</v>
      </c>
      <c r="G4484" t="s">
        <v>89162</v>
      </c>
      <c r="H4484" t="s">
        <v>89163</v>
      </c>
      <c r="I4484" t="s">
        <v>89164</v>
      </c>
      <c r="J4484" t="s">
        <v>89165</v>
      </c>
      <c r="K4484" t="s">
        <v>89166</v>
      </c>
      <c r="L4484" t="s">
        <v>89167</v>
      </c>
      <c r="M4484" t="s">
        <v>89168</v>
      </c>
      <c r="N4484" t="s">
        <v>89169</v>
      </c>
      <c r="O4484" t="s">
        <v>89170</v>
      </c>
      <c r="P4484" t="s">
        <v>89171</v>
      </c>
      <c r="Q4484" t="s">
        <v>89172</v>
      </c>
      <c r="R4484" t="s">
        <v>89173</v>
      </c>
      <c r="S4484" t="s">
        <v>89174</v>
      </c>
      <c r="T4484" t="s">
        <v>89175</v>
      </c>
      <c r="U4484" t="s">
        <v>89176</v>
      </c>
      <c r="V4484" t="s">
        <v>89177</v>
      </c>
      <c r="W4484" t="s">
        <v>89178</v>
      </c>
      <c r="X4484" t="s">
        <v>89179</v>
      </c>
      <c r="Y4484" t="s">
        <v>89180</v>
      </c>
    </row>
    <row r="4485" spans="1:25" x14ac:dyDescent="0.3">
      <c r="A4485">
        <v>224200</v>
      </c>
      <c r="B4485" t="s">
        <v>89181</v>
      </c>
      <c r="C4485" t="s">
        <v>89182</v>
      </c>
      <c r="D4485" t="s">
        <v>89183</v>
      </c>
      <c r="E4485" t="s">
        <v>89184</v>
      </c>
      <c r="F4485" t="s">
        <v>89185</v>
      </c>
      <c r="G4485" t="s">
        <v>89186</v>
      </c>
      <c r="H4485" t="s">
        <v>89187</v>
      </c>
      <c r="I4485" t="s">
        <v>89188</v>
      </c>
      <c r="J4485" t="s">
        <v>89189</v>
      </c>
      <c r="K4485" t="s">
        <v>89190</v>
      </c>
      <c r="L4485" t="s">
        <v>89191</v>
      </c>
      <c r="M4485" t="s">
        <v>89192</v>
      </c>
      <c r="N4485" t="s">
        <v>89193</v>
      </c>
      <c r="O4485" t="s">
        <v>89194</v>
      </c>
      <c r="P4485" t="s">
        <v>89195</v>
      </c>
      <c r="Q4485" t="s">
        <v>89196</v>
      </c>
      <c r="R4485" t="s">
        <v>89197</v>
      </c>
      <c r="S4485" t="s">
        <v>89198</v>
      </c>
      <c r="T4485" t="s">
        <v>89199</v>
      </c>
      <c r="U4485" t="s">
        <v>89200</v>
      </c>
      <c r="V4485" t="s">
        <v>89201</v>
      </c>
      <c r="W4485" t="s">
        <v>89202</v>
      </c>
      <c r="X4485" t="s">
        <v>89203</v>
      </c>
      <c r="Y4485" t="s">
        <v>89204</v>
      </c>
    </row>
    <row r="4486" spans="1:25" x14ac:dyDescent="0.3">
      <c r="A4486">
        <v>224250</v>
      </c>
      <c r="B4486" t="s">
        <v>89205</v>
      </c>
      <c r="C4486" t="s">
        <v>89206</v>
      </c>
      <c r="D4486" t="s">
        <v>89207</v>
      </c>
      <c r="E4486" t="s">
        <v>89208</v>
      </c>
      <c r="F4486" t="s">
        <v>89209</v>
      </c>
      <c r="G4486" t="s">
        <v>89210</v>
      </c>
      <c r="H4486" t="s">
        <v>89211</v>
      </c>
      <c r="I4486" t="s">
        <v>89212</v>
      </c>
      <c r="J4486" t="s">
        <v>89213</v>
      </c>
      <c r="K4486" t="s">
        <v>89214</v>
      </c>
      <c r="L4486" t="s">
        <v>89215</v>
      </c>
      <c r="M4486" t="s">
        <v>89216</v>
      </c>
      <c r="N4486" t="s">
        <v>89217</v>
      </c>
      <c r="O4486" t="s">
        <v>89218</v>
      </c>
      <c r="P4486" t="s">
        <v>89219</v>
      </c>
      <c r="Q4486" t="s">
        <v>89220</v>
      </c>
      <c r="R4486" t="s">
        <v>89221</v>
      </c>
      <c r="S4486" t="s">
        <v>89222</v>
      </c>
      <c r="T4486" t="s">
        <v>89223</v>
      </c>
      <c r="U4486" t="s">
        <v>89224</v>
      </c>
      <c r="V4486" t="s">
        <v>89225</v>
      </c>
      <c r="W4486" t="s">
        <v>89226</v>
      </c>
      <c r="X4486" t="s">
        <v>89227</v>
      </c>
      <c r="Y4486" t="s">
        <v>89228</v>
      </c>
    </row>
    <row r="4487" spans="1:25" x14ac:dyDescent="0.3">
      <c r="A4487">
        <v>224300</v>
      </c>
      <c r="B4487" t="s">
        <v>89229</v>
      </c>
      <c r="C4487" t="s">
        <v>89230</v>
      </c>
      <c r="D4487" t="s">
        <v>89231</v>
      </c>
      <c r="E4487" t="s">
        <v>89232</v>
      </c>
      <c r="F4487" t="s">
        <v>89233</v>
      </c>
      <c r="G4487" t="s">
        <v>89234</v>
      </c>
      <c r="H4487" t="s">
        <v>89235</v>
      </c>
      <c r="I4487" t="s">
        <v>89236</v>
      </c>
      <c r="J4487" t="s">
        <v>89237</v>
      </c>
      <c r="K4487" t="s">
        <v>89238</v>
      </c>
      <c r="L4487" t="s">
        <v>89239</v>
      </c>
      <c r="M4487" t="s">
        <v>89240</v>
      </c>
      <c r="N4487" t="s">
        <v>89241</v>
      </c>
      <c r="O4487" t="s">
        <v>89242</v>
      </c>
      <c r="P4487" t="s">
        <v>89243</v>
      </c>
      <c r="Q4487" t="s">
        <v>89244</v>
      </c>
      <c r="R4487" t="s">
        <v>89245</v>
      </c>
      <c r="S4487" t="s">
        <v>89246</v>
      </c>
      <c r="T4487" t="s">
        <v>89247</v>
      </c>
      <c r="U4487" t="s">
        <v>89248</v>
      </c>
      <c r="V4487" t="s">
        <v>89249</v>
      </c>
      <c r="W4487" t="s">
        <v>89250</v>
      </c>
      <c r="X4487" t="s">
        <v>89251</v>
      </c>
      <c r="Y4487" t="s">
        <v>89252</v>
      </c>
    </row>
    <row r="4488" spans="1:25" x14ac:dyDescent="0.3">
      <c r="A4488">
        <v>224350</v>
      </c>
      <c r="B4488" t="s">
        <v>89253</v>
      </c>
      <c r="C4488" t="s">
        <v>89254</v>
      </c>
      <c r="D4488" t="s">
        <v>89255</v>
      </c>
      <c r="E4488" t="s">
        <v>89256</v>
      </c>
      <c r="F4488" t="s">
        <v>89257</v>
      </c>
      <c r="G4488" t="s">
        <v>89258</v>
      </c>
      <c r="H4488" t="s">
        <v>89259</v>
      </c>
      <c r="I4488" t="s">
        <v>89260</v>
      </c>
      <c r="J4488" t="s">
        <v>89261</v>
      </c>
      <c r="K4488" t="s">
        <v>89262</v>
      </c>
      <c r="L4488" t="s">
        <v>89263</v>
      </c>
      <c r="M4488" t="s">
        <v>89264</v>
      </c>
      <c r="N4488" t="s">
        <v>89265</v>
      </c>
      <c r="O4488" t="s">
        <v>89266</v>
      </c>
      <c r="P4488" t="s">
        <v>89267</v>
      </c>
      <c r="Q4488" t="s">
        <v>89268</v>
      </c>
      <c r="R4488" t="s">
        <v>89269</v>
      </c>
      <c r="S4488" t="s">
        <v>89270</v>
      </c>
      <c r="T4488" t="s">
        <v>89271</v>
      </c>
      <c r="U4488" t="s">
        <v>89272</v>
      </c>
      <c r="V4488" t="s">
        <v>89273</v>
      </c>
      <c r="W4488" t="s">
        <v>89274</v>
      </c>
      <c r="X4488" t="s">
        <v>89275</v>
      </c>
      <c r="Y4488" t="s">
        <v>89276</v>
      </c>
    </row>
    <row r="4489" spans="1:25" x14ac:dyDescent="0.3">
      <c r="A4489">
        <v>224400</v>
      </c>
      <c r="B4489" t="s">
        <v>89277</v>
      </c>
      <c r="C4489" t="s">
        <v>89278</v>
      </c>
      <c r="D4489" t="s">
        <v>89279</v>
      </c>
      <c r="E4489" t="s">
        <v>89280</v>
      </c>
      <c r="F4489" t="s">
        <v>89281</v>
      </c>
      <c r="G4489" t="s">
        <v>89282</v>
      </c>
      <c r="H4489" t="s">
        <v>89283</v>
      </c>
      <c r="I4489" t="s">
        <v>89284</v>
      </c>
      <c r="J4489" t="s">
        <v>89285</v>
      </c>
      <c r="K4489" t="s">
        <v>89286</v>
      </c>
      <c r="L4489" t="s">
        <v>89287</v>
      </c>
      <c r="M4489" t="s">
        <v>89288</v>
      </c>
      <c r="N4489" t="s">
        <v>89289</v>
      </c>
      <c r="O4489" t="s">
        <v>89290</v>
      </c>
      <c r="P4489" t="s">
        <v>89291</v>
      </c>
      <c r="Q4489" t="s">
        <v>89292</v>
      </c>
      <c r="R4489" t="s">
        <v>89293</v>
      </c>
      <c r="S4489" t="s">
        <v>89294</v>
      </c>
      <c r="T4489" t="s">
        <v>89295</v>
      </c>
      <c r="U4489" t="s">
        <v>89296</v>
      </c>
      <c r="V4489" t="s">
        <v>89297</v>
      </c>
      <c r="W4489" t="s">
        <v>89298</v>
      </c>
      <c r="X4489" t="s">
        <v>89299</v>
      </c>
      <c r="Y4489" t="s">
        <v>89300</v>
      </c>
    </row>
    <row r="4490" spans="1:25" x14ac:dyDescent="0.3">
      <c r="A4490">
        <v>224450</v>
      </c>
      <c r="B4490" t="s">
        <v>89301</v>
      </c>
      <c r="C4490" t="s">
        <v>89302</v>
      </c>
      <c r="D4490" t="s">
        <v>89303</v>
      </c>
      <c r="E4490" t="s">
        <v>89304</v>
      </c>
      <c r="F4490" t="s">
        <v>89305</v>
      </c>
      <c r="G4490" t="s">
        <v>89306</v>
      </c>
      <c r="H4490" t="s">
        <v>89307</v>
      </c>
      <c r="I4490" t="s">
        <v>89308</v>
      </c>
      <c r="J4490" t="s">
        <v>89309</v>
      </c>
      <c r="K4490" t="s">
        <v>89310</v>
      </c>
      <c r="L4490" t="s">
        <v>89311</v>
      </c>
      <c r="M4490" t="s">
        <v>89312</v>
      </c>
      <c r="N4490" t="s">
        <v>89313</v>
      </c>
      <c r="O4490" t="s">
        <v>89314</v>
      </c>
      <c r="P4490" t="s">
        <v>89315</v>
      </c>
      <c r="Q4490" t="s">
        <v>89316</v>
      </c>
      <c r="R4490" t="s">
        <v>89317</v>
      </c>
      <c r="S4490" t="s">
        <v>89318</v>
      </c>
      <c r="T4490" t="s">
        <v>89319</v>
      </c>
      <c r="U4490" t="s">
        <v>89320</v>
      </c>
      <c r="V4490" t="s">
        <v>89321</v>
      </c>
      <c r="W4490" t="s">
        <v>89322</v>
      </c>
      <c r="X4490" t="s">
        <v>89323</v>
      </c>
      <c r="Y4490" t="s">
        <v>89324</v>
      </c>
    </row>
    <row r="4491" spans="1:25" x14ac:dyDescent="0.3">
      <c r="A4491">
        <v>224500</v>
      </c>
      <c r="B4491" t="s">
        <v>89325</v>
      </c>
      <c r="C4491" t="s">
        <v>89326</v>
      </c>
      <c r="D4491" t="s">
        <v>89327</v>
      </c>
      <c r="E4491" t="s">
        <v>89328</v>
      </c>
      <c r="F4491" t="s">
        <v>89329</v>
      </c>
      <c r="G4491" t="s">
        <v>89330</v>
      </c>
      <c r="H4491" t="s">
        <v>89331</v>
      </c>
      <c r="I4491" t="s">
        <v>89332</v>
      </c>
      <c r="J4491" t="s">
        <v>89333</v>
      </c>
      <c r="K4491" t="s">
        <v>89334</v>
      </c>
      <c r="L4491" t="s">
        <v>89335</v>
      </c>
      <c r="M4491" t="s">
        <v>89336</v>
      </c>
      <c r="N4491" t="s">
        <v>89337</v>
      </c>
      <c r="O4491" t="s">
        <v>89338</v>
      </c>
      <c r="P4491" t="s">
        <v>89339</v>
      </c>
      <c r="Q4491" t="s">
        <v>89340</v>
      </c>
      <c r="R4491" t="s">
        <v>89341</v>
      </c>
      <c r="S4491" t="s">
        <v>89342</v>
      </c>
      <c r="T4491" t="s">
        <v>89343</v>
      </c>
      <c r="U4491" t="s">
        <v>89344</v>
      </c>
      <c r="V4491" t="s">
        <v>89345</v>
      </c>
      <c r="W4491" t="s">
        <v>89346</v>
      </c>
      <c r="X4491" t="s">
        <v>89347</v>
      </c>
      <c r="Y4491" t="s">
        <v>89348</v>
      </c>
    </row>
    <row r="4492" spans="1:25" x14ac:dyDescent="0.3">
      <c r="A4492">
        <v>224550</v>
      </c>
      <c r="B4492" t="s">
        <v>89349</v>
      </c>
      <c r="C4492" t="s">
        <v>89350</v>
      </c>
      <c r="D4492" t="s">
        <v>89351</v>
      </c>
      <c r="E4492" t="s">
        <v>89352</v>
      </c>
      <c r="F4492" t="s">
        <v>89353</v>
      </c>
      <c r="G4492" t="s">
        <v>89354</v>
      </c>
      <c r="H4492" t="s">
        <v>89355</v>
      </c>
      <c r="I4492" t="s">
        <v>89356</v>
      </c>
      <c r="J4492" t="s">
        <v>89357</v>
      </c>
      <c r="K4492" t="s">
        <v>89358</v>
      </c>
      <c r="L4492" t="s">
        <v>89359</v>
      </c>
      <c r="M4492" t="s">
        <v>89360</v>
      </c>
      <c r="N4492" t="s">
        <v>89361</v>
      </c>
      <c r="O4492" t="s">
        <v>89362</v>
      </c>
      <c r="P4492" t="s">
        <v>89363</v>
      </c>
      <c r="Q4492" t="s">
        <v>89364</v>
      </c>
      <c r="R4492" t="s">
        <v>89365</v>
      </c>
      <c r="S4492" t="s">
        <v>89366</v>
      </c>
      <c r="T4492" t="s">
        <v>89367</v>
      </c>
      <c r="U4492" t="s">
        <v>89368</v>
      </c>
      <c r="V4492" t="s">
        <v>89369</v>
      </c>
      <c r="W4492" t="s">
        <v>89370</v>
      </c>
      <c r="X4492" t="s">
        <v>89371</v>
      </c>
      <c r="Y4492" t="s">
        <v>89372</v>
      </c>
    </row>
    <row r="4493" spans="1:25" x14ac:dyDescent="0.3">
      <c r="A4493">
        <v>224600</v>
      </c>
      <c r="B4493" t="s">
        <v>89373</v>
      </c>
      <c r="C4493" t="s">
        <v>89374</v>
      </c>
      <c r="D4493" t="s">
        <v>89375</v>
      </c>
      <c r="E4493" t="s">
        <v>89376</v>
      </c>
      <c r="F4493" t="s">
        <v>89377</v>
      </c>
      <c r="G4493" t="s">
        <v>89378</v>
      </c>
      <c r="H4493" t="s">
        <v>89379</v>
      </c>
      <c r="I4493" t="s">
        <v>89380</v>
      </c>
      <c r="J4493" t="s">
        <v>89381</v>
      </c>
      <c r="K4493" t="s">
        <v>89382</v>
      </c>
      <c r="L4493" t="s">
        <v>89383</v>
      </c>
      <c r="M4493" t="s">
        <v>89384</v>
      </c>
      <c r="N4493" t="s">
        <v>89385</v>
      </c>
      <c r="O4493" t="s">
        <v>89386</v>
      </c>
      <c r="P4493" t="s">
        <v>89387</v>
      </c>
      <c r="Q4493" t="s">
        <v>89388</v>
      </c>
      <c r="R4493" t="s">
        <v>89389</v>
      </c>
      <c r="S4493" t="s">
        <v>89390</v>
      </c>
      <c r="T4493" t="s">
        <v>89391</v>
      </c>
      <c r="U4493" t="s">
        <v>89392</v>
      </c>
      <c r="V4493" t="s">
        <v>89393</v>
      </c>
      <c r="W4493" t="s">
        <v>89394</v>
      </c>
      <c r="X4493" t="s">
        <v>89395</v>
      </c>
      <c r="Y4493" t="s">
        <v>89396</v>
      </c>
    </row>
    <row r="4494" spans="1:25" x14ac:dyDescent="0.3">
      <c r="A4494">
        <v>224650</v>
      </c>
      <c r="B4494" t="s">
        <v>89397</v>
      </c>
      <c r="C4494" t="s">
        <v>89398</v>
      </c>
      <c r="D4494" t="s">
        <v>89399</v>
      </c>
      <c r="E4494" t="s">
        <v>89400</v>
      </c>
      <c r="F4494" t="s">
        <v>89401</v>
      </c>
      <c r="G4494" t="s">
        <v>89402</v>
      </c>
      <c r="H4494" t="s">
        <v>89403</v>
      </c>
      <c r="I4494" t="s">
        <v>89404</v>
      </c>
      <c r="J4494" t="s">
        <v>89405</v>
      </c>
      <c r="K4494" t="s">
        <v>89406</v>
      </c>
      <c r="L4494" t="s">
        <v>89407</v>
      </c>
      <c r="M4494" t="s">
        <v>89408</v>
      </c>
      <c r="N4494" t="s">
        <v>89409</v>
      </c>
      <c r="O4494" t="s">
        <v>89410</v>
      </c>
      <c r="P4494" t="s">
        <v>89411</v>
      </c>
      <c r="Q4494" t="s">
        <v>89412</v>
      </c>
      <c r="R4494" t="s">
        <v>89413</v>
      </c>
      <c r="S4494" t="s">
        <v>89414</v>
      </c>
      <c r="T4494" t="s">
        <v>89415</v>
      </c>
      <c r="U4494" t="s">
        <v>89416</v>
      </c>
      <c r="V4494" t="s">
        <v>89417</v>
      </c>
      <c r="W4494" t="s">
        <v>89418</v>
      </c>
      <c r="X4494" t="s">
        <v>89419</v>
      </c>
      <c r="Y4494" t="s">
        <v>89420</v>
      </c>
    </row>
    <row r="4495" spans="1:25" x14ac:dyDescent="0.3">
      <c r="A4495">
        <v>224700</v>
      </c>
      <c r="B4495" t="s">
        <v>89421</v>
      </c>
      <c r="C4495" t="s">
        <v>89422</v>
      </c>
      <c r="D4495" t="s">
        <v>89423</v>
      </c>
      <c r="E4495" t="s">
        <v>89424</v>
      </c>
      <c r="F4495" t="s">
        <v>89425</v>
      </c>
      <c r="G4495" t="s">
        <v>89426</v>
      </c>
      <c r="H4495" t="s">
        <v>89427</v>
      </c>
      <c r="I4495" t="s">
        <v>89428</v>
      </c>
      <c r="J4495" t="s">
        <v>89429</v>
      </c>
      <c r="K4495" t="s">
        <v>89430</v>
      </c>
      <c r="L4495" t="s">
        <v>89431</v>
      </c>
      <c r="M4495" t="s">
        <v>89432</v>
      </c>
      <c r="N4495" t="s">
        <v>89433</v>
      </c>
      <c r="O4495" t="s">
        <v>89434</v>
      </c>
      <c r="P4495" t="s">
        <v>89435</v>
      </c>
      <c r="Q4495" t="s">
        <v>89436</v>
      </c>
      <c r="R4495" t="s">
        <v>89437</v>
      </c>
      <c r="S4495" t="s">
        <v>89438</v>
      </c>
      <c r="T4495" t="s">
        <v>89439</v>
      </c>
      <c r="U4495" t="s">
        <v>89440</v>
      </c>
      <c r="V4495" t="s">
        <v>89441</v>
      </c>
      <c r="W4495" t="s">
        <v>89442</v>
      </c>
      <c r="X4495" t="s">
        <v>89443</v>
      </c>
      <c r="Y4495" t="s">
        <v>89444</v>
      </c>
    </row>
    <row r="4496" spans="1:25" x14ac:dyDescent="0.3">
      <c r="A4496">
        <v>224750</v>
      </c>
      <c r="B4496" t="s">
        <v>89445</v>
      </c>
      <c r="C4496" t="s">
        <v>89446</v>
      </c>
      <c r="D4496" t="s">
        <v>89447</v>
      </c>
      <c r="E4496" t="s">
        <v>89448</v>
      </c>
      <c r="F4496" t="s">
        <v>89449</v>
      </c>
      <c r="G4496" t="s">
        <v>89450</v>
      </c>
      <c r="H4496" t="s">
        <v>89451</v>
      </c>
      <c r="I4496" t="s">
        <v>89452</v>
      </c>
      <c r="J4496" t="s">
        <v>89453</v>
      </c>
      <c r="K4496" t="s">
        <v>89454</v>
      </c>
      <c r="L4496" t="s">
        <v>89455</v>
      </c>
      <c r="M4496" t="s">
        <v>89456</v>
      </c>
      <c r="N4496" t="s">
        <v>89457</v>
      </c>
      <c r="O4496" t="s">
        <v>89458</v>
      </c>
      <c r="P4496" t="s">
        <v>89459</v>
      </c>
      <c r="Q4496" t="s">
        <v>89460</v>
      </c>
      <c r="R4496" t="s">
        <v>89461</v>
      </c>
      <c r="S4496" t="s">
        <v>89462</v>
      </c>
      <c r="T4496" t="s">
        <v>89463</v>
      </c>
      <c r="U4496" t="s">
        <v>89464</v>
      </c>
      <c r="V4496" t="s">
        <v>89465</v>
      </c>
      <c r="W4496" t="s">
        <v>89466</v>
      </c>
      <c r="X4496" t="s">
        <v>89467</v>
      </c>
      <c r="Y4496" t="s">
        <v>89468</v>
      </c>
    </row>
    <row r="4497" spans="1:25" x14ac:dyDescent="0.3">
      <c r="A4497">
        <v>224800</v>
      </c>
      <c r="B4497" t="s">
        <v>89469</v>
      </c>
      <c r="C4497" t="s">
        <v>89470</v>
      </c>
      <c r="D4497" t="s">
        <v>89471</v>
      </c>
      <c r="E4497" t="s">
        <v>89472</v>
      </c>
      <c r="F4497" t="s">
        <v>89473</v>
      </c>
      <c r="G4497" t="s">
        <v>89474</v>
      </c>
      <c r="H4497" t="s">
        <v>89475</v>
      </c>
      <c r="I4497" t="s">
        <v>89476</v>
      </c>
      <c r="J4497" t="s">
        <v>89477</v>
      </c>
      <c r="K4497" t="s">
        <v>89478</v>
      </c>
      <c r="L4497" t="s">
        <v>89479</v>
      </c>
      <c r="M4497" t="s">
        <v>89480</v>
      </c>
      <c r="N4497" t="s">
        <v>89481</v>
      </c>
      <c r="O4497" t="s">
        <v>89482</v>
      </c>
      <c r="P4497" t="s">
        <v>89483</v>
      </c>
      <c r="Q4497" t="s">
        <v>89484</v>
      </c>
      <c r="R4497" t="s">
        <v>89485</v>
      </c>
      <c r="S4497" t="s">
        <v>89486</v>
      </c>
      <c r="T4497" t="s">
        <v>89487</v>
      </c>
      <c r="U4497" t="s">
        <v>89488</v>
      </c>
      <c r="V4497" t="s">
        <v>89489</v>
      </c>
      <c r="W4497" t="s">
        <v>89490</v>
      </c>
      <c r="X4497" t="s">
        <v>89491</v>
      </c>
      <c r="Y4497" t="s">
        <v>89492</v>
      </c>
    </row>
    <row r="4498" spans="1:25" x14ac:dyDescent="0.3">
      <c r="A4498">
        <v>224850</v>
      </c>
      <c r="B4498" t="s">
        <v>89493</v>
      </c>
      <c r="C4498" t="s">
        <v>89494</v>
      </c>
      <c r="D4498" t="s">
        <v>89495</v>
      </c>
      <c r="E4498" t="s">
        <v>89496</v>
      </c>
      <c r="F4498" t="s">
        <v>89497</v>
      </c>
      <c r="G4498" t="s">
        <v>89498</v>
      </c>
      <c r="H4498" t="s">
        <v>89499</v>
      </c>
      <c r="I4498" t="s">
        <v>89500</v>
      </c>
      <c r="J4498" t="s">
        <v>89501</v>
      </c>
      <c r="K4498" t="s">
        <v>89502</v>
      </c>
      <c r="L4498" t="s">
        <v>89503</v>
      </c>
      <c r="M4498" t="s">
        <v>89504</v>
      </c>
      <c r="N4498" t="s">
        <v>89505</v>
      </c>
      <c r="O4498" t="s">
        <v>89506</v>
      </c>
      <c r="P4498" t="s">
        <v>89507</v>
      </c>
      <c r="Q4498" t="s">
        <v>89508</v>
      </c>
      <c r="R4498" t="s">
        <v>89509</v>
      </c>
      <c r="S4498" t="s">
        <v>89510</v>
      </c>
      <c r="T4498" t="s">
        <v>89511</v>
      </c>
      <c r="U4498" t="s">
        <v>89512</v>
      </c>
      <c r="V4498" t="s">
        <v>89513</v>
      </c>
      <c r="W4498" t="s">
        <v>89514</v>
      </c>
      <c r="X4498" t="s">
        <v>89515</v>
      </c>
      <c r="Y4498" t="s">
        <v>89516</v>
      </c>
    </row>
    <row r="4499" spans="1:25" x14ac:dyDescent="0.3">
      <c r="A4499">
        <v>224900</v>
      </c>
      <c r="B4499" t="s">
        <v>89517</v>
      </c>
      <c r="C4499" t="s">
        <v>89518</v>
      </c>
      <c r="D4499" t="s">
        <v>89519</v>
      </c>
      <c r="E4499" t="s">
        <v>89520</v>
      </c>
      <c r="F4499" t="s">
        <v>89521</v>
      </c>
      <c r="G4499" t="s">
        <v>89522</v>
      </c>
      <c r="H4499" t="s">
        <v>89523</v>
      </c>
      <c r="I4499" t="s">
        <v>89524</v>
      </c>
      <c r="J4499" t="s">
        <v>89525</v>
      </c>
      <c r="K4499" t="s">
        <v>89526</v>
      </c>
      <c r="L4499" t="s">
        <v>89527</v>
      </c>
      <c r="M4499" t="s">
        <v>89528</v>
      </c>
      <c r="N4499" t="s">
        <v>89529</v>
      </c>
      <c r="O4499" t="s">
        <v>89530</v>
      </c>
      <c r="P4499" t="s">
        <v>89531</v>
      </c>
      <c r="Q4499" t="s">
        <v>89532</v>
      </c>
      <c r="R4499" t="s">
        <v>89533</v>
      </c>
      <c r="S4499" t="s">
        <v>89534</v>
      </c>
      <c r="T4499" t="s">
        <v>89535</v>
      </c>
      <c r="U4499" t="s">
        <v>89536</v>
      </c>
      <c r="V4499" t="s">
        <v>89537</v>
      </c>
      <c r="W4499" t="s">
        <v>89538</v>
      </c>
      <c r="X4499" t="s">
        <v>89539</v>
      </c>
      <c r="Y4499" t="s">
        <v>89540</v>
      </c>
    </row>
    <row r="4500" spans="1:25" x14ac:dyDescent="0.3">
      <c r="A4500">
        <v>224950</v>
      </c>
      <c r="B4500" t="s">
        <v>89541</v>
      </c>
      <c r="C4500" t="s">
        <v>89542</v>
      </c>
      <c r="D4500" t="s">
        <v>89543</v>
      </c>
      <c r="E4500" t="s">
        <v>89544</v>
      </c>
      <c r="F4500" t="s">
        <v>89545</v>
      </c>
      <c r="G4500" t="s">
        <v>89546</v>
      </c>
      <c r="H4500" t="s">
        <v>89547</v>
      </c>
      <c r="I4500" t="s">
        <v>89548</v>
      </c>
      <c r="J4500" t="s">
        <v>89549</v>
      </c>
      <c r="K4500" t="s">
        <v>89550</v>
      </c>
      <c r="L4500" t="s">
        <v>89551</v>
      </c>
      <c r="M4500" t="s">
        <v>89552</v>
      </c>
      <c r="N4500" t="s">
        <v>89553</v>
      </c>
      <c r="O4500" t="s">
        <v>89554</v>
      </c>
      <c r="P4500" t="s">
        <v>89555</v>
      </c>
      <c r="Q4500" t="s">
        <v>89556</v>
      </c>
      <c r="R4500" t="s">
        <v>89557</v>
      </c>
      <c r="S4500" t="s">
        <v>89558</v>
      </c>
      <c r="T4500" t="s">
        <v>89559</v>
      </c>
      <c r="U4500" t="s">
        <v>89560</v>
      </c>
      <c r="V4500" t="s">
        <v>89561</v>
      </c>
      <c r="W4500" t="s">
        <v>89562</v>
      </c>
      <c r="X4500" t="s">
        <v>89563</v>
      </c>
      <c r="Y4500" t="s">
        <v>89564</v>
      </c>
    </row>
    <row r="4501" spans="1:25" x14ac:dyDescent="0.3">
      <c r="A4501">
        <v>225000</v>
      </c>
      <c r="B4501" t="s">
        <v>89565</v>
      </c>
      <c r="C4501" t="s">
        <v>89566</v>
      </c>
      <c r="D4501" t="s">
        <v>89567</v>
      </c>
      <c r="E4501" t="s">
        <v>89568</v>
      </c>
      <c r="F4501" t="s">
        <v>89569</v>
      </c>
      <c r="G4501" t="s">
        <v>89570</v>
      </c>
      <c r="H4501" t="s">
        <v>89571</v>
      </c>
      <c r="I4501" t="s">
        <v>89572</v>
      </c>
      <c r="J4501" t="s">
        <v>89573</v>
      </c>
      <c r="K4501" t="s">
        <v>89574</v>
      </c>
      <c r="L4501" t="s">
        <v>89575</v>
      </c>
      <c r="M4501" t="s">
        <v>89576</v>
      </c>
      <c r="N4501" t="s">
        <v>89577</v>
      </c>
      <c r="O4501" t="s">
        <v>89578</v>
      </c>
      <c r="P4501" t="s">
        <v>89579</v>
      </c>
      <c r="Q4501" t="s">
        <v>89580</v>
      </c>
      <c r="R4501" t="s">
        <v>89581</v>
      </c>
      <c r="S4501" t="s">
        <v>89582</v>
      </c>
      <c r="T4501" t="s">
        <v>89583</v>
      </c>
      <c r="U4501" t="s">
        <v>89584</v>
      </c>
      <c r="V4501" t="s">
        <v>89585</v>
      </c>
      <c r="W4501" t="s">
        <v>89586</v>
      </c>
      <c r="X4501" t="s">
        <v>89587</v>
      </c>
      <c r="Y4501" t="s">
        <v>89588</v>
      </c>
    </row>
    <row r="4502" spans="1:25" x14ac:dyDescent="0.3">
      <c r="A4502">
        <v>225050</v>
      </c>
      <c r="B4502" t="s">
        <v>89589</v>
      </c>
      <c r="C4502" t="s">
        <v>89590</v>
      </c>
      <c r="D4502" t="s">
        <v>89591</v>
      </c>
      <c r="E4502" t="s">
        <v>89592</v>
      </c>
      <c r="F4502" t="s">
        <v>89593</v>
      </c>
      <c r="G4502" t="s">
        <v>89594</v>
      </c>
      <c r="H4502" t="s">
        <v>89595</v>
      </c>
      <c r="I4502" t="s">
        <v>89596</v>
      </c>
      <c r="J4502" t="s">
        <v>89597</v>
      </c>
      <c r="K4502" t="s">
        <v>89598</v>
      </c>
      <c r="L4502" t="s">
        <v>89599</v>
      </c>
      <c r="M4502" t="s">
        <v>89600</v>
      </c>
      <c r="N4502" t="s">
        <v>89601</v>
      </c>
      <c r="O4502" t="s">
        <v>89602</v>
      </c>
      <c r="P4502" t="s">
        <v>89603</v>
      </c>
      <c r="Q4502" t="s">
        <v>89604</v>
      </c>
      <c r="R4502" t="s">
        <v>89605</v>
      </c>
      <c r="S4502" t="s">
        <v>89606</v>
      </c>
      <c r="T4502" t="s">
        <v>89607</v>
      </c>
      <c r="U4502" t="s">
        <v>89608</v>
      </c>
      <c r="V4502" t="s">
        <v>89609</v>
      </c>
      <c r="W4502" t="s">
        <v>89610</v>
      </c>
      <c r="X4502" t="s">
        <v>89611</v>
      </c>
      <c r="Y4502" t="s">
        <v>89612</v>
      </c>
    </row>
    <row r="4503" spans="1:25" x14ac:dyDescent="0.3">
      <c r="A4503">
        <v>225100</v>
      </c>
      <c r="B4503" t="s">
        <v>89613</v>
      </c>
      <c r="C4503" t="s">
        <v>89614</v>
      </c>
      <c r="D4503" t="s">
        <v>89615</v>
      </c>
      <c r="E4503" t="s">
        <v>89616</v>
      </c>
      <c r="F4503" t="s">
        <v>89617</v>
      </c>
      <c r="G4503" t="s">
        <v>89618</v>
      </c>
      <c r="H4503" t="s">
        <v>89619</v>
      </c>
      <c r="I4503" t="s">
        <v>89620</v>
      </c>
      <c r="J4503" t="s">
        <v>89621</v>
      </c>
      <c r="K4503" t="s">
        <v>89622</v>
      </c>
      <c r="L4503" t="s">
        <v>89623</v>
      </c>
      <c r="M4503" t="s">
        <v>89624</v>
      </c>
      <c r="N4503" t="s">
        <v>89625</v>
      </c>
      <c r="O4503" t="s">
        <v>89626</v>
      </c>
      <c r="P4503" t="s">
        <v>89627</v>
      </c>
      <c r="Q4503" t="s">
        <v>89628</v>
      </c>
      <c r="R4503" t="s">
        <v>89629</v>
      </c>
      <c r="S4503" t="s">
        <v>89630</v>
      </c>
      <c r="T4503" t="s">
        <v>89631</v>
      </c>
      <c r="U4503" t="s">
        <v>89632</v>
      </c>
      <c r="V4503" t="s">
        <v>89633</v>
      </c>
      <c r="W4503" t="s">
        <v>89634</v>
      </c>
      <c r="X4503" t="s">
        <v>89635</v>
      </c>
      <c r="Y4503" t="s">
        <v>89636</v>
      </c>
    </row>
    <row r="4504" spans="1:25" x14ac:dyDescent="0.3">
      <c r="A4504">
        <v>225150</v>
      </c>
      <c r="B4504" t="s">
        <v>89637</v>
      </c>
      <c r="C4504" t="s">
        <v>89638</v>
      </c>
      <c r="D4504" t="s">
        <v>89639</v>
      </c>
      <c r="E4504" t="s">
        <v>89640</v>
      </c>
      <c r="F4504" t="s">
        <v>89641</v>
      </c>
      <c r="G4504" t="s">
        <v>89642</v>
      </c>
      <c r="H4504" t="s">
        <v>89643</v>
      </c>
      <c r="I4504" t="s">
        <v>89644</v>
      </c>
      <c r="J4504" t="s">
        <v>89645</v>
      </c>
      <c r="K4504" t="s">
        <v>89646</v>
      </c>
      <c r="L4504" t="s">
        <v>89647</v>
      </c>
      <c r="M4504" t="s">
        <v>89648</v>
      </c>
      <c r="N4504" t="s">
        <v>89649</v>
      </c>
      <c r="O4504" t="s">
        <v>89650</v>
      </c>
      <c r="P4504" t="s">
        <v>89651</v>
      </c>
      <c r="Q4504" t="s">
        <v>89652</v>
      </c>
      <c r="R4504" t="s">
        <v>89653</v>
      </c>
      <c r="S4504" t="s">
        <v>89654</v>
      </c>
      <c r="T4504" t="s">
        <v>89655</v>
      </c>
      <c r="U4504" t="s">
        <v>89656</v>
      </c>
      <c r="V4504" t="s">
        <v>89657</v>
      </c>
      <c r="W4504" t="s">
        <v>89658</v>
      </c>
      <c r="X4504" t="s">
        <v>89659</v>
      </c>
      <c r="Y4504" t="s">
        <v>89660</v>
      </c>
    </row>
    <row r="4505" spans="1:25" x14ac:dyDescent="0.3">
      <c r="A4505">
        <v>225200</v>
      </c>
      <c r="B4505" t="s">
        <v>89661</v>
      </c>
      <c r="C4505" t="s">
        <v>89662</v>
      </c>
      <c r="D4505" t="s">
        <v>89663</v>
      </c>
      <c r="E4505" t="s">
        <v>89664</v>
      </c>
      <c r="F4505" t="s">
        <v>89665</v>
      </c>
      <c r="G4505" t="s">
        <v>89666</v>
      </c>
      <c r="H4505" t="s">
        <v>89667</v>
      </c>
      <c r="I4505" t="s">
        <v>89668</v>
      </c>
      <c r="J4505" t="s">
        <v>89669</v>
      </c>
      <c r="K4505" t="s">
        <v>89670</v>
      </c>
      <c r="L4505" t="s">
        <v>89671</v>
      </c>
      <c r="M4505" t="s">
        <v>89672</v>
      </c>
      <c r="N4505" t="s">
        <v>89673</v>
      </c>
      <c r="O4505" t="s">
        <v>89674</v>
      </c>
      <c r="P4505" t="s">
        <v>89675</v>
      </c>
      <c r="Q4505" t="s">
        <v>89676</v>
      </c>
      <c r="R4505" t="s">
        <v>89677</v>
      </c>
      <c r="S4505" t="s">
        <v>89678</v>
      </c>
      <c r="T4505" t="s">
        <v>89679</v>
      </c>
      <c r="U4505" t="s">
        <v>89680</v>
      </c>
      <c r="V4505" t="s">
        <v>89681</v>
      </c>
      <c r="W4505" t="s">
        <v>89682</v>
      </c>
      <c r="X4505" t="s">
        <v>89683</v>
      </c>
      <c r="Y4505" t="s">
        <v>89684</v>
      </c>
    </row>
    <row r="4506" spans="1:25" x14ac:dyDescent="0.3">
      <c r="A4506">
        <v>225250</v>
      </c>
      <c r="B4506" t="s">
        <v>89685</v>
      </c>
      <c r="C4506" t="s">
        <v>89686</v>
      </c>
      <c r="D4506" t="s">
        <v>89687</v>
      </c>
      <c r="E4506" t="s">
        <v>89688</v>
      </c>
      <c r="F4506" t="s">
        <v>89689</v>
      </c>
      <c r="G4506" t="s">
        <v>89690</v>
      </c>
      <c r="H4506" t="s">
        <v>89691</v>
      </c>
      <c r="I4506" t="s">
        <v>89692</v>
      </c>
      <c r="J4506" t="s">
        <v>89693</v>
      </c>
      <c r="K4506" t="s">
        <v>89694</v>
      </c>
      <c r="L4506" t="s">
        <v>89695</v>
      </c>
      <c r="M4506" t="s">
        <v>89696</v>
      </c>
      <c r="N4506" t="s">
        <v>89697</v>
      </c>
      <c r="O4506" t="s">
        <v>89698</v>
      </c>
      <c r="P4506" t="s">
        <v>89699</v>
      </c>
      <c r="Q4506" t="s">
        <v>89700</v>
      </c>
      <c r="R4506" t="s">
        <v>89701</v>
      </c>
      <c r="S4506" t="s">
        <v>89702</v>
      </c>
      <c r="T4506" t="s">
        <v>89703</v>
      </c>
      <c r="U4506" t="s">
        <v>89704</v>
      </c>
      <c r="V4506" t="s">
        <v>89705</v>
      </c>
      <c r="W4506" t="s">
        <v>89706</v>
      </c>
      <c r="X4506" t="s">
        <v>89707</v>
      </c>
      <c r="Y4506" t="s">
        <v>89708</v>
      </c>
    </row>
    <row r="4507" spans="1:25" x14ac:dyDescent="0.3">
      <c r="A4507">
        <v>225300</v>
      </c>
      <c r="B4507" t="s">
        <v>89709</v>
      </c>
      <c r="C4507" t="s">
        <v>89710</v>
      </c>
      <c r="D4507" t="s">
        <v>89711</v>
      </c>
      <c r="E4507" t="s">
        <v>89712</v>
      </c>
      <c r="F4507" t="s">
        <v>89713</v>
      </c>
      <c r="G4507" t="s">
        <v>89714</v>
      </c>
      <c r="H4507" t="s">
        <v>89715</v>
      </c>
      <c r="I4507" t="s">
        <v>89716</v>
      </c>
      <c r="J4507" t="s">
        <v>89717</v>
      </c>
      <c r="K4507" t="s">
        <v>89718</v>
      </c>
      <c r="L4507" t="s">
        <v>89719</v>
      </c>
      <c r="M4507" t="s">
        <v>89720</v>
      </c>
      <c r="N4507" t="s">
        <v>89721</v>
      </c>
      <c r="O4507" t="s">
        <v>89722</v>
      </c>
      <c r="P4507" t="s">
        <v>89723</v>
      </c>
      <c r="Q4507" t="s">
        <v>89724</v>
      </c>
      <c r="R4507" t="s">
        <v>89725</v>
      </c>
      <c r="S4507" t="s">
        <v>89726</v>
      </c>
      <c r="T4507" t="s">
        <v>89727</v>
      </c>
      <c r="U4507" t="s">
        <v>89728</v>
      </c>
      <c r="V4507" t="s">
        <v>89729</v>
      </c>
      <c r="W4507" t="s">
        <v>89730</v>
      </c>
      <c r="X4507" t="s">
        <v>89731</v>
      </c>
      <c r="Y4507" t="s">
        <v>89732</v>
      </c>
    </row>
    <row r="4508" spans="1:25" x14ac:dyDescent="0.3">
      <c r="A4508">
        <v>225350</v>
      </c>
      <c r="B4508" t="s">
        <v>89733</v>
      </c>
      <c r="C4508" t="s">
        <v>89734</v>
      </c>
      <c r="D4508" t="s">
        <v>89735</v>
      </c>
      <c r="E4508" t="s">
        <v>89736</v>
      </c>
      <c r="F4508" t="s">
        <v>89737</v>
      </c>
      <c r="G4508" t="s">
        <v>89738</v>
      </c>
      <c r="H4508" t="s">
        <v>89739</v>
      </c>
      <c r="I4508" t="s">
        <v>89740</v>
      </c>
      <c r="J4508" t="s">
        <v>89741</v>
      </c>
      <c r="K4508" t="s">
        <v>89742</v>
      </c>
      <c r="L4508" t="s">
        <v>89743</v>
      </c>
      <c r="M4508" t="s">
        <v>89744</v>
      </c>
      <c r="N4508" t="s">
        <v>89745</v>
      </c>
      <c r="O4508" t="s">
        <v>89746</v>
      </c>
      <c r="P4508" t="s">
        <v>89747</v>
      </c>
      <c r="Q4508" t="s">
        <v>89748</v>
      </c>
      <c r="R4508" t="s">
        <v>89749</v>
      </c>
      <c r="S4508" t="s">
        <v>89750</v>
      </c>
      <c r="T4508" t="s">
        <v>89751</v>
      </c>
      <c r="U4508" t="s">
        <v>89752</v>
      </c>
      <c r="V4508" t="s">
        <v>89753</v>
      </c>
      <c r="W4508" t="s">
        <v>89754</v>
      </c>
      <c r="X4508" t="s">
        <v>89755</v>
      </c>
      <c r="Y4508" t="s">
        <v>89756</v>
      </c>
    </row>
    <row r="4509" spans="1:25" x14ac:dyDescent="0.3">
      <c r="A4509">
        <v>225400</v>
      </c>
      <c r="B4509" t="s">
        <v>89757</v>
      </c>
      <c r="C4509" t="s">
        <v>89758</v>
      </c>
      <c r="D4509" t="s">
        <v>89759</v>
      </c>
      <c r="E4509" t="s">
        <v>89760</v>
      </c>
      <c r="F4509" t="s">
        <v>89761</v>
      </c>
      <c r="G4509" t="s">
        <v>89762</v>
      </c>
      <c r="H4509" t="s">
        <v>89763</v>
      </c>
      <c r="I4509" t="s">
        <v>89764</v>
      </c>
      <c r="J4509" t="s">
        <v>89765</v>
      </c>
      <c r="K4509" t="s">
        <v>89766</v>
      </c>
      <c r="L4509" t="s">
        <v>89767</v>
      </c>
      <c r="M4509" t="s">
        <v>89768</v>
      </c>
      <c r="N4509" t="s">
        <v>89769</v>
      </c>
      <c r="O4509" t="s">
        <v>89770</v>
      </c>
      <c r="P4509" t="s">
        <v>89771</v>
      </c>
      <c r="Q4509" t="s">
        <v>89772</v>
      </c>
      <c r="R4509" t="s">
        <v>89773</v>
      </c>
      <c r="S4509" t="s">
        <v>89774</v>
      </c>
      <c r="T4509" t="s">
        <v>89775</v>
      </c>
      <c r="U4509" t="s">
        <v>89776</v>
      </c>
      <c r="V4509" t="s">
        <v>89777</v>
      </c>
      <c r="W4509" t="s">
        <v>89778</v>
      </c>
      <c r="X4509" t="s">
        <v>89779</v>
      </c>
      <c r="Y4509" t="s">
        <v>89780</v>
      </c>
    </row>
    <row r="4510" spans="1:25" x14ac:dyDescent="0.3">
      <c r="A4510">
        <v>225450</v>
      </c>
      <c r="B4510" t="s">
        <v>89781</v>
      </c>
      <c r="C4510" t="s">
        <v>89782</v>
      </c>
      <c r="D4510" t="s">
        <v>89783</v>
      </c>
      <c r="E4510" t="s">
        <v>89784</v>
      </c>
      <c r="F4510" t="s">
        <v>89785</v>
      </c>
      <c r="G4510" t="s">
        <v>89786</v>
      </c>
      <c r="H4510" t="s">
        <v>89787</v>
      </c>
      <c r="I4510" t="s">
        <v>89788</v>
      </c>
      <c r="J4510" t="s">
        <v>89789</v>
      </c>
      <c r="K4510" t="s">
        <v>89790</v>
      </c>
      <c r="L4510" t="s">
        <v>89791</v>
      </c>
      <c r="M4510" t="s">
        <v>89792</v>
      </c>
      <c r="N4510" t="s">
        <v>89793</v>
      </c>
      <c r="O4510" t="s">
        <v>89794</v>
      </c>
      <c r="P4510" t="s">
        <v>89795</v>
      </c>
      <c r="Q4510" t="s">
        <v>89796</v>
      </c>
      <c r="R4510" t="s">
        <v>89797</v>
      </c>
      <c r="S4510" t="s">
        <v>89798</v>
      </c>
      <c r="T4510" t="s">
        <v>89799</v>
      </c>
      <c r="U4510" t="s">
        <v>89800</v>
      </c>
      <c r="V4510" t="s">
        <v>89801</v>
      </c>
      <c r="W4510" t="s">
        <v>89802</v>
      </c>
      <c r="X4510" t="s">
        <v>89803</v>
      </c>
      <c r="Y4510" t="s">
        <v>89804</v>
      </c>
    </row>
    <row r="4511" spans="1:25" x14ac:dyDescent="0.3">
      <c r="A4511">
        <v>225500</v>
      </c>
      <c r="B4511" t="s">
        <v>89805</v>
      </c>
      <c r="C4511" t="s">
        <v>89806</v>
      </c>
      <c r="D4511" t="s">
        <v>89807</v>
      </c>
      <c r="E4511" t="s">
        <v>89808</v>
      </c>
      <c r="F4511" t="s">
        <v>89809</v>
      </c>
      <c r="G4511" t="s">
        <v>89810</v>
      </c>
      <c r="H4511" t="s">
        <v>89811</v>
      </c>
      <c r="I4511" t="s">
        <v>89812</v>
      </c>
      <c r="J4511" t="s">
        <v>89813</v>
      </c>
      <c r="K4511" t="s">
        <v>89814</v>
      </c>
      <c r="L4511" t="s">
        <v>89815</v>
      </c>
      <c r="M4511" t="s">
        <v>89816</v>
      </c>
      <c r="N4511" t="s">
        <v>89817</v>
      </c>
      <c r="O4511" t="s">
        <v>89818</v>
      </c>
      <c r="P4511" t="s">
        <v>89819</v>
      </c>
      <c r="Q4511" t="s">
        <v>89820</v>
      </c>
      <c r="R4511" t="s">
        <v>89821</v>
      </c>
      <c r="S4511" t="s">
        <v>89822</v>
      </c>
      <c r="T4511" t="s">
        <v>89823</v>
      </c>
      <c r="U4511" t="s">
        <v>89824</v>
      </c>
      <c r="V4511" t="s">
        <v>89825</v>
      </c>
      <c r="W4511" t="s">
        <v>89826</v>
      </c>
      <c r="X4511" t="s">
        <v>89827</v>
      </c>
      <c r="Y4511" t="s">
        <v>89828</v>
      </c>
    </row>
    <row r="4512" spans="1:25" x14ac:dyDescent="0.3">
      <c r="A4512">
        <v>225550</v>
      </c>
      <c r="B4512" t="s">
        <v>89829</v>
      </c>
      <c r="C4512" t="s">
        <v>89830</v>
      </c>
      <c r="D4512" t="s">
        <v>89831</v>
      </c>
      <c r="E4512" t="s">
        <v>89832</v>
      </c>
      <c r="F4512" t="s">
        <v>89833</v>
      </c>
      <c r="G4512" t="s">
        <v>89834</v>
      </c>
      <c r="H4512" t="s">
        <v>89835</v>
      </c>
      <c r="I4512" t="s">
        <v>89836</v>
      </c>
      <c r="J4512" t="s">
        <v>89837</v>
      </c>
      <c r="K4512" t="s">
        <v>89838</v>
      </c>
      <c r="L4512" t="s">
        <v>89839</v>
      </c>
      <c r="M4512" t="s">
        <v>89840</v>
      </c>
      <c r="N4512" t="s">
        <v>89841</v>
      </c>
      <c r="O4512" t="s">
        <v>89842</v>
      </c>
      <c r="P4512" t="s">
        <v>89843</v>
      </c>
      <c r="Q4512" t="s">
        <v>89844</v>
      </c>
      <c r="R4512" t="s">
        <v>89845</v>
      </c>
      <c r="S4512" t="s">
        <v>89846</v>
      </c>
      <c r="T4512" t="s">
        <v>89847</v>
      </c>
      <c r="U4512" t="s">
        <v>89848</v>
      </c>
      <c r="V4512" t="s">
        <v>89849</v>
      </c>
      <c r="W4512" t="s">
        <v>89850</v>
      </c>
      <c r="X4512" t="s">
        <v>89851</v>
      </c>
      <c r="Y4512" t="s">
        <v>89852</v>
      </c>
    </row>
    <row r="4513" spans="1:25" x14ac:dyDescent="0.3">
      <c r="A4513">
        <v>225600</v>
      </c>
      <c r="B4513" t="s">
        <v>89853</v>
      </c>
      <c r="C4513" t="s">
        <v>89854</v>
      </c>
      <c r="D4513" t="s">
        <v>89855</v>
      </c>
      <c r="E4513" t="s">
        <v>89856</v>
      </c>
      <c r="F4513" t="s">
        <v>89857</v>
      </c>
      <c r="G4513" t="s">
        <v>89858</v>
      </c>
      <c r="H4513" t="s">
        <v>89859</v>
      </c>
      <c r="I4513" t="s">
        <v>89860</v>
      </c>
      <c r="J4513" t="s">
        <v>89861</v>
      </c>
      <c r="K4513" t="s">
        <v>89862</v>
      </c>
      <c r="L4513" t="s">
        <v>89863</v>
      </c>
      <c r="M4513" t="s">
        <v>89864</v>
      </c>
      <c r="N4513" t="s">
        <v>89865</v>
      </c>
      <c r="O4513" t="s">
        <v>89866</v>
      </c>
      <c r="P4513" t="s">
        <v>89867</v>
      </c>
      <c r="Q4513" t="s">
        <v>89868</v>
      </c>
      <c r="R4513" t="s">
        <v>89869</v>
      </c>
      <c r="S4513" t="s">
        <v>89870</v>
      </c>
      <c r="T4513" t="s">
        <v>89871</v>
      </c>
      <c r="U4513" t="s">
        <v>89872</v>
      </c>
      <c r="V4513" t="s">
        <v>89873</v>
      </c>
      <c r="W4513" t="s">
        <v>89874</v>
      </c>
      <c r="X4513" t="s">
        <v>89875</v>
      </c>
      <c r="Y4513" t="s">
        <v>89876</v>
      </c>
    </row>
    <row r="4514" spans="1:25" x14ac:dyDescent="0.3">
      <c r="A4514">
        <v>225650</v>
      </c>
      <c r="B4514" t="s">
        <v>89877</v>
      </c>
      <c r="C4514" t="s">
        <v>89878</v>
      </c>
      <c r="D4514" t="s">
        <v>89879</v>
      </c>
      <c r="E4514" t="s">
        <v>89880</v>
      </c>
      <c r="F4514" t="s">
        <v>89881</v>
      </c>
      <c r="G4514" t="s">
        <v>89882</v>
      </c>
      <c r="H4514" t="s">
        <v>89883</v>
      </c>
      <c r="I4514" t="s">
        <v>89884</v>
      </c>
      <c r="J4514" t="s">
        <v>89885</v>
      </c>
      <c r="K4514" t="s">
        <v>89886</v>
      </c>
      <c r="L4514" t="s">
        <v>89887</v>
      </c>
      <c r="M4514" t="s">
        <v>89888</v>
      </c>
      <c r="N4514" t="s">
        <v>89889</v>
      </c>
      <c r="O4514" t="s">
        <v>89890</v>
      </c>
      <c r="P4514" t="s">
        <v>89891</v>
      </c>
      <c r="Q4514" t="s">
        <v>89892</v>
      </c>
      <c r="R4514" t="s">
        <v>89893</v>
      </c>
      <c r="S4514" t="s">
        <v>89894</v>
      </c>
      <c r="T4514" t="s">
        <v>89895</v>
      </c>
      <c r="U4514" t="s">
        <v>89896</v>
      </c>
      <c r="V4514" t="s">
        <v>89897</v>
      </c>
      <c r="W4514" t="s">
        <v>89898</v>
      </c>
      <c r="X4514" t="s">
        <v>89899</v>
      </c>
      <c r="Y4514" t="s">
        <v>89900</v>
      </c>
    </row>
    <row r="4515" spans="1:25" x14ac:dyDescent="0.3">
      <c r="A4515">
        <v>225700</v>
      </c>
      <c r="B4515" t="s">
        <v>89901</v>
      </c>
      <c r="C4515" t="s">
        <v>89902</v>
      </c>
      <c r="D4515" t="s">
        <v>89903</v>
      </c>
      <c r="E4515" t="s">
        <v>89904</v>
      </c>
      <c r="F4515" t="s">
        <v>89905</v>
      </c>
      <c r="G4515" t="s">
        <v>89906</v>
      </c>
      <c r="H4515" t="s">
        <v>89907</v>
      </c>
      <c r="I4515" t="s">
        <v>89908</v>
      </c>
      <c r="J4515" t="s">
        <v>89909</v>
      </c>
      <c r="K4515" t="s">
        <v>89910</v>
      </c>
      <c r="L4515" t="s">
        <v>89911</v>
      </c>
      <c r="M4515" t="s">
        <v>89912</v>
      </c>
      <c r="N4515" t="s">
        <v>89913</v>
      </c>
      <c r="O4515" t="s">
        <v>89914</v>
      </c>
      <c r="P4515" t="s">
        <v>89915</v>
      </c>
      <c r="Q4515" t="s">
        <v>89916</v>
      </c>
      <c r="R4515" t="s">
        <v>89917</v>
      </c>
      <c r="S4515" t="s">
        <v>89918</v>
      </c>
      <c r="T4515" t="s">
        <v>89919</v>
      </c>
      <c r="U4515" t="s">
        <v>89920</v>
      </c>
      <c r="V4515" t="s">
        <v>89921</v>
      </c>
      <c r="W4515" t="s">
        <v>89922</v>
      </c>
      <c r="X4515" t="s">
        <v>89923</v>
      </c>
      <c r="Y4515" t="s">
        <v>89924</v>
      </c>
    </row>
    <row r="4516" spans="1:25" x14ac:dyDescent="0.3">
      <c r="A4516">
        <v>225750</v>
      </c>
      <c r="B4516" t="s">
        <v>89925</v>
      </c>
      <c r="C4516" t="s">
        <v>89926</v>
      </c>
      <c r="D4516" t="s">
        <v>89927</v>
      </c>
      <c r="E4516" t="s">
        <v>89928</v>
      </c>
      <c r="F4516" t="s">
        <v>89929</v>
      </c>
      <c r="G4516" t="s">
        <v>89930</v>
      </c>
      <c r="H4516" t="s">
        <v>89931</v>
      </c>
      <c r="I4516" t="s">
        <v>89932</v>
      </c>
      <c r="J4516" t="s">
        <v>89933</v>
      </c>
      <c r="K4516" t="s">
        <v>89934</v>
      </c>
      <c r="L4516" t="s">
        <v>89935</v>
      </c>
      <c r="M4516" t="s">
        <v>89936</v>
      </c>
      <c r="N4516" t="s">
        <v>89937</v>
      </c>
      <c r="O4516" t="s">
        <v>89938</v>
      </c>
      <c r="P4516" t="s">
        <v>89939</v>
      </c>
      <c r="Q4516" t="s">
        <v>89940</v>
      </c>
      <c r="R4516" t="s">
        <v>89941</v>
      </c>
      <c r="S4516" t="s">
        <v>89942</v>
      </c>
      <c r="T4516" t="s">
        <v>89943</v>
      </c>
      <c r="U4516" t="s">
        <v>89944</v>
      </c>
      <c r="V4516" t="s">
        <v>89945</v>
      </c>
      <c r="W4516" t="s">
        <v>89946</v>
      </c>
      <c r="X4516" t="s">
        <v>89947</v>
      </c>
      <c r="Y4516" t="s">
        <v>89948</v>
      </c>
    </row>
    <row r="4517" spans="1:25" x14ac:dyDescent="0.3">
      <c r="A4517">
        <v>225800</v>
      </c>
      <c r="B4517" t="s">
        <v>89949</v>
      </c>
      <c r="C4517" t="s">
        <v>89950</v>
      </c>
      <c r="D4517" t="s">
        <v>89951</v>
      </c>
      <c r="E4517" t="s">
        <v>89952</v>
      </c>
      <c r="F4517" t="s">
        <v>89953</v>
      </c>
      <c r="G4517" t="s">
        <v>89954</v>
      </c>
      <c r="H4517" t="s">
        <v>89955</v>
      </c>
      <c r="I4517" t="s">
        <v>89956</v>
      </c>
      <c r="J4517" t="s">
        <v>89957</v>
      </c>
      <c r="K4517" t="s">
        <v>89958</v>
      </c>
      <c r="L4517" t="s">
        <v>89959</v>
      </c>
      <c r="M4517" t="s">
        <v>89960</v>
      </c>
      <c r="N4517" t="s">
        <v>89961</v>
      </c>
      <c r="O4517" t="s">
        <v>89962</v>
      </c>
      <c r="P4517" t="s">
        <v>89963</v>
      </c>
      <c r="Q4517" t="s">
        <v>89964</v>
      </c>
      <c r="R4517" t="s">
        <v>89965</v>
      </c>
      <c r="S4517" t="s">
        <v>89966</v>
      </c>
      <c r="T4517" t="s">
        <v>89967</v>
      </c>
      <c r="U4517" t="s">
        <v>89968</v>
      </c>
      <c r="V4517" t="s">
        <v>89969</v>
      </c>
      <c r="W4517" t="s">
        <v>89970</v>
      </c>
      <c r="X4517" t="s">
        <v>89971</v>
      </c>
      <c r="Y4517" t="s">
        <v>89972</v>
      </c>
    </row>
    <row r="4518" spans="1:25" x14ac:dyDescent="0.3">
      <c r="A4518">
        <v>225850</v>
      </c>
      <c r="B4518" t="s">
        <v>89973</v>
      </c>
      <c r="C4518" t="s">
        <v>89974</v>
      </c>
      <c r="D4518" t="s">
        <v>89975</v>
      </c>
      <c r="E4518" t="s">
        <v>89976</v>
      </c>
      <c r="F4518" t="s">
        <v>89977</v>
      </c>
      <c r="G4518" t="s">
        <v>89978</v>
      </c>
      <c r="H4518" t="s">
        <v>89979</v>
      </c>
      <c r="I4518" t="s">
        <v>89980</v>
      </c>
      <c r="J4518" t="s">
        <v>89981</v>
      </c>
      <c r="K4518" t="s">
        <v>89982</v>
      </c>
      <c r="L4518" t="s">
        <v>89983</v>
      </c>
      <c r="M4518" t="s">
        <v>89984</v>
      </c>
      <c r="N4518" t="s">
        <v>89985</v>
      </c>
      <c r="O4518" t="s">
        <v>89986</v>
      </c>
      <c r="P4518" t="s">
        <v>89987</v>
      </c>
      <c r="Q4518" t="s">
        <v>89988</v>
      </c>
      <c r="R4518" t="s">
        <v>89989</v>
      </c>
      <c r="S4518" t="s">
        <v>89990</v>
      </c>
      <c r="T4518" t="s">
        <v>89991</v>
      </c>
      <c r="U4518" t="s">
        <v>89992</v>
      </c>
      <c r="V4518" t="s">
        <v>89993</v>
      </c>
      <c r="W4518" t="s">
        <v>89994</v>
      </c>
      <c r="X4518" t="s">
        <v>89995</v>
      </c>
      <c r="Y4518" t="s">
        <v>89996</v>
      </c>
    </row>
    <row r="4519" spans="1:25" x14ac:dyDescent="0.3">
      <c r="A4519">
        <v>225900</v>
      </c>
      <c r="B4519" t="s">
        <v>89997</v>
      </c>
      <c r="C4519" t="s">
        <v>89998</v>
      </c>
      <c r="D4519" t="s">
        <v>89999</v>
      </c>
      <c r="E4519" t="s">
        <v>90000</v>
      </c>
      <c r="F4519" t="s">
        <v>90001</v>
      </c>
      <c r="G4519" t="s">
        <v>90002</v>
      </c>
      <c r="H4519" t="s">
        <v>90003</v>
      </c>
      <c r="I4519" t="s">
        <v>90004</v>
      </c>
      <c r="J4519" t="s">
        <v>90005</v>
      </c>
      <c r="K4519" t="s">
        <v>90006</v>
      </c>
      <c r="L4519" t="s">
        <v>90007</v>
      </c>
      <c r="M4519" t="s">
        <v>90008</v>
      </c>
      <c r="N4519" t="s">
        <v>90009</v>
      </c>
      <c r="O4519" t="s">
        <v>90010</v>
      </c>
      <c r="P4519" t="s">
        <v>90011</v>
      </c>
      <c r="Q4519" t="s">
        <v>90012</v>
      </c>
      <c r="R4519" t="s">
        <v>90013</v>
      </c>
      <c r="S4519" t="s">
        <v>90014</v>
      </c>
      <c r="T4519" t="s">
        <v>90015</v>
      </c>
      <c r="U4519" t="s">
        <v>90016</v>
      </c>
      <c r="V4519" t="s">
        <v>90017</v>
      </c>
      <c r="W4519" t="s">
        <v>90018</v>
      </c>
      <c r="X4519" t="s">
        <v>90019</v>
      </c>
      <c r="Y4519" t="s">
        <v>90020</v>
      </c>
    </row>
    <row r="4520" spans="1:25" x14ac:dyDescent="0.3">
      <c r="A4520">
        <v>225950</v>
      </c>
      <c r="B4520" t="s">
        <v>90021</v>
      </c>
      <c r="C4520" t="s">
        <v>90022</v>
      </c>
      <c r="D4520" t="s">
        <v>90023</v>
      </c>
      <c r="E4520" t="s">
        <v>90024</v>
      </c>
      <c r="F4520" t="s">
        <v>90025</v>
      </c>
      <c r="G4520" t="s">
        <v>90026</v>
      </c>
      <c r="H4520" t="s">
        <v>90027</v>
      </c>
      <c r="I4520" t="s">
        <v>90028</v>
      </c>
      <c r="J4520" t="s">
        <v>90029</v>
      </c>
      <c r="K4520" t="s">
        <v>90030</v>
      </c>
      <c r="L4520" t="s">
        <v>90031</v>
      </c>
      <c r="M4520" t="s">
        <v>90032</v>
      </c>
      <c r="N4520" t="s">
        <v>90033</v>
      </c>
      <c r="O4520" t="s">
        <v>90034</v>
      </c>
      <c r="P4520" t="s">
        <v>90035</v>
      </c>
      <c r="Q4520" t="s">
        <v>90036</v>
      </c>
      <c r="R4520" t="s">
        <v>90037</v>
      </c>
      <c r="S4520" t="s">
        <v>90038</v>
      </c>
      <c r="T4520" t="s">
        <v>90039</v>
      </c>
      <c r="U4520" t="s">
        <v>90040</v>
      </c>
      <c r="V4520" t="s">
        <v>90041</v>
      </c>
      <c r="W4520" t="s">
        <v>90042</v>
      </c>
      <c r="X4520" t="s">
        <v>90043</v>
      </c>
      <c r="Y4520" t="s">
        <v>90044</v>
      </c>
    </row>
    <row r="4521" spans="1:25" x14ac:dyDescent="0.3">
      <c r="A4521">
        <v>226000</v>
      </c>
      <c r="B4521" t="s">
        <v>90045</v>
      </c>
      <c r="C4521" t="s">
        <v>90046</v>
      </c>
      <c r="D4521" t="s">
        <v>90047</v>
      </c>
      <c r="E4521" t="s">
        <v>90048</v>
      </c>
      <c r="F4521" t="s">
        <v>90049</v>
      </c>
      <c r="G4521" t="s">
        <v>90050</v>
      </c>
      <c r="H4521" t="s">
        <v>90051</v>
      </c>
      <c r="I4521" t="s">
        <v>90052</v>
      </c>
      <c r="J4521" t="s">
        <v>90053</v>
      </c>
      <c r="K4521" t="s">
        <v>90054</v>
      </c>
      <c r="L4521" t="s">
        <v>90055</v>
      </c>
      <c r="M4521" t="s">
        <v>90056</v>
      </c>
      <c r="N4521" t="s">
        <v>90057</v>
      </c>
      <c r="O4521" t="s">
        <v>90058</v>
      </c>
      <c r="P4521" t="s">
        <v>90059</v>
      </c>
      <c r="Q4521" t="s">
        <v>90060</v>
      </c>
      <c r="R4521" t="s">
        <v>90061</v>
      </c>
      <c r="S4521" t="s">
        <v>90062</v>
      </c>
      <c r="T4521" t="s">
        <v>90063</v>
      </c>
      <c r="U4521" t="s">
        <v>90064</v>
      </c>
      <c r="V4521" t="s">
        <v>90065</v>
      </c>
      <c r="W4521" t="s">
        <v>90066</v>
      </c>
      <c r="X4521" t="s">
        <v>90067</v>
      </c>
      <c r="Y4521" t="s">
        <v>90068</v>
      </c>
    </row>
    <row r="4522" spans="1:25" x14ac:dyDescent="0.3">
      <c r="A4522">
        <v>226050</v>
      </c>
      <c r="B4522" t="s">
        <v>90069</v>
      </c>
      <c r="C4522" t="s">
        <v>90070</v>
      </c>
      <c r="D4522" t="s">
        <v>90071</v>
      </c>
      <c r="E4522" t="s">
        <v>90072</v>
      </c>
      <c r="F4522" t="s">
        <v>90073</v>
      </c>
      <c r="G4522" t="s">
        <v>90074</v>
      </c>
      <c r="H4522" t="s">
        <v>90075</v>
      </c>
      <c r="I4522" t="s">
        <v>90076</v>
      </c>
      <c r="J4522" t="s">
        <v>90077</v>
      </c>
      <c r="K4522" t="s">
        <v>90078</v>
      </c>
      <c r="L4522" t="s">
        <v>90079</v>
      </c>
      <c r="M4522" t="s">
        <v>90080</v>
      </c>
      <c r="N4522" t="s">
        <v>90081</v>
      </c>
      <c r="O4522" t="s">
        <v>90082</v>
      </c>
      <c r="P4522" t="s">
        <v>90083</v>
      </c>
      <c r="Q4522" t="s">
        <v>90084</v>
      </c>
      <c r="R4522" t="s">
        <v>90085</v>
      </c>
      <c r="S4522" t="s">
        <v>90086</v>
      </c>
      <c r="T4522" t="s">
        <v>90087</v>
      </c>
      <c r="U4522" t="s">
        <v>90088</v>
      </c>
      <c r="V4522" t="s">
        <v>90089</v>
      </c>
      <c r="W4522" t="s">
        <v>90090</v>
      </c>
      <c r="X4522" t="s">
        <v>90091</v>
      </c>
      <c r="Y4522" t="s">
        <v>90092</v>
      </c>
    </row>
    <row r="4523" spans="1:25" x14ac:dyDescent="0.3">
      <c r="A4523">
        <v>226100</v>
      </c>
      <c r="B4523" t="s">
        <v>90093</v>
      </c>
      <c r="C4523" t="s">
        <v>90094</v>
      </c>
      <c r="D4523" t="s">
        <v>90095</v>
      </c>
      <c r="E4523" t="s">
        <v>90096</v>
      </c>
      <c r="F4523" t="s">
        <v>90097</v>
      </c>
      <c r="G4523" t="s">
        <v>90098</v>
      </c>
      <c r="H4523" t="s">
        <v>90099</v>
      </c>
      <c r="I4523" t="s">
        <v>90100</v>
      </c>
      <c r="J4523" t="s">
        <v>90101</v>
      </c>
      <c r="K4523" t="s">
        <v>90102</v>
      </c>
      <c r="L4523" t="s">
        <v>90103</v>
      </c>
      <c r="M4523" t="s">
        <v>90104</v>
      </c>
      <c r="N4523" t="s">
        <v>90105</v>
      </c>
      <c r="O4523" t="s">
        <v>90106</v>
      </c>
      <c r="P4523" t="s">
        <v>90107</v>
      </c>
      <c r="Q4523" t="s">
        <v>90108</v>
      </c>
      <c r="R4523" t="s">
        <v>90109</v>
      </c>
      <c r="S4523" t="s">
        <v>90110</v>
      </c>
      <c r="T4523" t="s">
        <v>90111</v>
      </c>
      <c r="U4523" t="s">
        <v>90112</v>
      </c>
      <c r="V4523" t="s">
        <v>90113</v>
      </c>
      <c r="W4523" t="s">
        <v>90114</v>
      </c>
      <c r="X4523" t="s">
        <v>90115</v>
      </c>
      <c r="Y4523" t="s">
        <v>90116</v>
      </c>
    </row>
    <row r="4524" spans="1:25" x14ac:dyDescent="0.3">
      <c r="A4524">
        <v>226150</v>
      </c>
      <c r="B4524" t="s">
        <v>90117</v>
      </c>
      <c r="C4524" t="s">
        <v>90118</v>
      </c>
      <c r="D4524" t="s">
        <v>90119</v>
      </c>
      <c r="E4524" t="s">
        <v>90120</v>
      </c>
      <c r="F4524" t="s">
        <v>90121</v>
      </c>
      <c r="G4524" t="s">
        <v>90122</v>
      </c>
      <c r="H4524" t="s">
        <v>90123</v>
      </c>
      <c r="I4524" t="s">
        <v>90124</v>
      </c>
      <c r="J4524" t="s">
        <v>90125</v>
      </c>
      <c r="K4524" t="s">
        <v>90126</v>
      </c>
      <c r="L4524" t="s">
        <v>90127</v>
      </c>
      <c r="M4524" t="s">
        <v>90128</v>
      </c>
      <c r="N4524" t="s">
        <v>90129</v>
      </c>
      <c r="O4524" t="s">
        <v>90130</v>
      </c>
      <c r="P4524" t="s">
        <v>90131</v>
      </c>
      <c r="Q4524" t="s">
        <v>90132</v>
      </c>
      <c r="R4524" t="s">
        <v>90133</v>
      </c>
      <c r="S4524" t="s">
        <v>90134</v>
      </c>
      <c r="T4524" t="s">
        <v>90135</v>
      </c>
      <c r="U4524" t="s">
        <v>90136</v>
      </c>
      <c r="V4524" t="s">
        <v>90137</v>
      </c>
      <c r="W4524" t="s">
        <v>90138</v>
      </c>
      <c r="X4524" t="s">
        <v>90139</v>
      </c>
      <c r="Y4524" t="s">
        <v>90140</v>
      </c>
    </row>
    <row r="4525" spans="1:25" x14ac:dyDescent="0.3">
      <c r="A4525">
        <v>226200</v>
      </c>
      <c r="B4525" t="s">
        <v>90141</v>
      </c>
      <c r="C4525" t="s">
        <v>90142</v>
      </c>
      <c r="D4525" t="s">
        <v>90143</v>
      </c>
      <c r="E4525" t="s">
        <v>90144</v>
      </c>
      <c r="F4525" t="s">
        <v>90145</v>
      </c>
      <c r="G4525" t="s">
        <v>90146</v>
      </c>
      <c r="H4525" t="s">
        <v>90147</v>
      </c>
      <c r="I4525" t="s">
        <v>90148</v>
      </c>
      <c r="J4525" t="s">
        <v>90149</v>
      </c>
      <c r="K4525" t="s">
        <v>90150</v>
      </c>
      <c r="L4525" t="s">
        <v>90151</v>
      </c>
      <c r="M4525" t="s">
        <v>90152</v>
      </c>
      <c r="N4525" t="s">
        <v>90153</v>
      </c>
      <c r="O4525" t="s">
        <v>90154</v>
      </c>
      <c r="P4525" t="s">
        <v>90155</v>
      </c>
      <c r="Q4525" t="s">
        <v>90156</v>
      </c>
      <c r="R4525" t="s">
        <v>90157</v>
      </c>
      <c r="S4525" t="s">
        <v>90158</v>
      </c>
      <c r="T4525" t="s">
        <v>90159</v>
      </c>
      <c r="U4525" t="s">
        <v>90160</v>
      </c>
      <c r="V4525" t="s">
        <v>90161</v>
      </c>
      <c r="W4525" t="s">
        <v>90162</v>
      </c>
      <c r="X4525" t="s">
        <v>90163</v>
      </c>
      <c r="Y4525" t="s">
        <v>90164</v>
      </c>
    </row>
    <row r="4526" spans="1:25" x14ac:dyDescent="0.3">
      <c r="A4526">
        <v>226250</v>
      </c>
      <c r="B4526" t="s">
        <v>90165</v>
      </c>
      <c r="C4526" t="s">
        <v>90166</v>
      </c>
      <c r="D4526" t="s">
        <v>90167</v>
      </c>
      <c r="E4526" t="s">
        <v>90168</v>
      </c>
      <c r="F4526" t="s">
        <v>90169</v>
      </c>
      <c r="G4526" t="s">
        <v>90170</v>
      </c>
      <c r="H4526" t="s">
        <v>90171</v>
      </c>
      <c r="I4526" t="s">
        <v>90172</v>
      </c>
      <c r="J4526" t="s">
        <v>90173</v>
      </c>
      <c r="K4526" t="s">
        <v>90174</v>
      </c>
      <c r="L4526" t="s">
        <v>90175</v>
      </c>
      <c r="M4526" t="s">
        <v>90176</v>
      </c>
      <c r="N4526" t="s">
        <v>90177</v>
      </c>
      <c r="O4526" t="s">
        <v>90178</v>
      </c>
      <c r="P4526" t="s">
        <v>90179</v>
      </c>
      <c r="Q4526" t="s">
        <v>90180</v>
      </c>
      <c r="R4526" t="s">
        <v>90181</v>
      </c>
      <c r="S4526" t="s">
        <v>90182</v>
      </c>
      <c r="T4526" t="s">
        <v>90183</v>
      </c>
      <c r="U4526" t="s">
        <v>90184</v>
      </c>
      <c r="V4526" t="s">
        <v>90185</v>
      </c>
      <c r="W4526" t="s">
        <v>90186</v>
      </c>
      <c r="X4526" t="s">
        <v>90187</v>
      </c>
      <c r="Y4526" t="s">
        <v>90188</v>
      </c>
    </row>
    <row r="4527" spans="1:25" x14ac:dyDescent="0.3">
      <c r="A4527">
        <v>226300</v>
      </c>
      <c r="B4527" t="s">
        <v>90189</v>
      </c>
      <c r="C4527" t="s">
        <v>90190</v>
      </c>
      <c r="D4527" t="s">
        <v>90191</v>
      </c>
      <c r="E4527" t="s">
        <v>90192</v>
      </c>
      <c r="F4527" t="s">
        <v>90193</v>
      </c>
      <c r="G4527" t="s">
        <v>90194</v>
      </c>
      <c r="H4527" t="s">
        <v>90195</v>
      </c>
      <c r="I4527" t="s">
        <v>90196</v>
      </c>
      <c r="J4527" t="s">
        <v>90197</v>
      </c>
      <c r="K4527" t="s">
        <v>90198</v>
      </c>
      <c r="L4527" t="s">
        <v>90199</v>
      </c>
      <c r="M4527" t="s">
        <v>90200</v>
      </c>
      <c r="N4527" t="s">
        <v>90201</v>
      </c>
      <c r="O4527" t="s">
        <v>90202</v>
      </c>
      <c r="P4527" t="s">
        <v>90203</v>
      </c>
      <c r="Q4527" t="s">
        <v>90204</v>
      </c>
      <c r="R4527" t="s">
        <v>90205</v>
      </c>
      <c r="S4527" t="s">
        <v>90206</v>
      </c>
      <c r="T4527" t="s">
        <v>90207</v>
      </c>
      <c r="U4527" t="s">
        <v>90208</v>
      </c>
      <c r="V4527" t="s">
        <v>90209</v>
      </c>
      <c r="W4527" t="s">
        <v>90210</v>
      </c>
      <c r="X4527" t="s">
        <v>90211</v>
      </c>
      <c r="Y4527" t="s">
        <v>90212</v>
      </c>
    </row>
    <row r="4528" spans="1:25" x14ac:dyDescent="0.3">
      <c r="A4528">
        <v>226350</v>
      </c>
      <c r="B4528" t="s">
        <v>90213</v>
      </c>
      <c r="C4528" t="s">
        <v>90214</v>
      </c>
      <c r="D4528" t="s">
        <v>90215</v>
      </c>
      <c r="E4528" t="s">
        <v>90216</v>
      </c>
      <c r="F4528" t="s">
        <v>90217</v>
      </c>
      <c r="G4528" t="s">
        <v>90218</v>
      </c>
      <c r="H4528" t="s">
        <v>90219</v>
      </c>
      <c r="I4528" t="s">
        <v>90220</v>
      </c>
      <c r="J4528" t="s">
        <v>90221</v>
      </c>
      <c r="K4528" t="s">
        <v>90222</v>
      </c>
      <c r="L4528" t="s">
        <v>90223</v>
      </c>
      <c r="M4528" t="s">
        <v>90224</v>
      </c>
      <c r="N4528" t="s">
        <v>90225</v>
      </c>
      <c r="O4528" t="s">
        <v>90226</v>
      </c>
      <c r="P4528" t="s">
        <v>90227</v>
      </c>
      <c r="Q4528" t="s">
        <v>90228</v>
      </c>
      <c r="R4528" t="s">
        <v>90229</v>
      </c>
      <c r="S4528" t="s">
        <v>90230</v>
      </c>
      <c r="T4528" t="s">
        <v>90231</v>
      </c>
      <c r="U4528" t="s">
        <v>90232</v>
      </c>
      <c r="V4528" t="s">
        <v>90233</v>
      </c>
      <c r="W4528" t="s">
        <v>90234</v>
      </c>
      <c r="X4528" t="s">
        <v>90235</v>
      </c>
      <c r="Y4528" t="s">
        <v>90236</v>
      </c>
    </row>
    <row r="4529" spans="1:25" x14ac:dyDescent="0.3">
      <c r="A4529">
        <v>226400</v>
      </c>
      <c r="B4529" t="s">
        <v>90237</v>
      </c>
      <c r="C4529" t="s">
        <v>90238</v>
      </c>
      <c r="D4529" t="s">
        <v>90239</v>
      </c>
      <c r="E4529" t="s">
        <v>90240</v>
      </c>
      <c r="F4529" t="s">
        <v>90241</v>
      </c>
      <c r="G4529" t="s">
        <v>90242</v>
      </c>
      <c r="H4529" t="s">
        <v>90243</v>
      </c>
      <c r="I4529" t="s">
        <v>90244</v>
      </c>
      <c r="J4529" t="s">
        <v>90245</v>
      </c>
      <c r="K4529" t="s">
        <v>90246</v>
      </c>
      <c r="L4529" t="s">
        <v>90247</v>
      </c>
      <c r="M4529" t="s">
        <v>90248</v>
      </c>
      <c r="N4529" t="s">
        <v>90249</v>
      </c>
      <c r="O4529" t="s">
        <v>90250</v>
      </c>
      <c r="P4529" t="s">
        <v>90251</v>
      </c>
      <c r="Q4529" t="s">
        <v>90252</v>
      </c>
      <c r="R4529" t="s">
        <v>90253</v>
      </c>
      <c r="S4529" t="s">
        <v>90254</v>
      </c>
      <c r="T4529" t="s">
        <v>90255</v>
      </c>
      <c r="U4529" t="s">
        <v>90256</v>
      </c>
      <c r="V4529" t="s">
        <v>90257</v>
      </c>
      <c r="W4529" t="s">
        <v>90258</v>
      </c>
      <c r="X4529" t="s">
        <v>90259</v>
      </c>
      <c r="Y4529" t="s">
        <v>90260</v>
      </c>
    </row>
    <row r="4530" spans="1:25" x14ac:dyDescent="0.3">
      <c r="A4530">
        <v>226450</v>
      </c>
      <c r="B4530" t="s">
        <v>90261</v>
      </c>
      <c r="C4530" t="s">
        <v>90262</v>
      </c>
      <c r="D4530" t="s">
        <v>90263</v>
      </c>
      <c r="E4530" t="s">
        <v>90264</v>
      </c>
      <c r="F4530" t="s">
        <v>90265</v>
      </c>
      <c r="G4530" t="s">
        <v>90266</v>
      </c>
      <c r="H4530" t="s">
        <v>90267</v>
      </c>
      <c r="I4530" t="s">
        <v>90268</v>
      </c>
      <c r="J4530" t="s">
        <v>90269</v>
      </c>
      <c r="K4530" t="s">
        <v>90270</v>
      </c>
      <c r="L4530" t="s">
        <v>90271</v>
      </c>
      <c r="M4530" t="s">
        <v>90272</v>
      </c>
      <c r="N4530" t="s">
        <v>90273</v>
      </c>
      <c r="O4530" t="s">
        <v>90274</v>
      </c>
      <c r="P4530" t="s">
        <v>90275</v>
      </c>
      <c r="Q4530" t="s">
        <v>90276</v>
      </c>
      <c r="R4530" t="s">
        <v>90277</v>
      </c>
      <c r="S4530" t="s">
        <v>90278</v>
      </c>
      <c r="T4530" t="s">
        <v>90279</v>
      </c>
      <c r="U4530" t="s">
        <v>90280</v>
      </c>
      <c r="V4530" t="s">
        <v>90281</v>
      </c>
      <c r="W4530" t="s">
        <v>90282</v>
      </c>
      <c r="X4530" t="s">
        <v>90283</v>
      </c>
      <c r="Y4530" t="s">
        <v>90284</v>
      </c>
    </row>
    <row r="4531" spans="1:25" x14ac:dyDescent="0.3">
      <c r="A4531">
        <v>226500</v>
      </c>
      <c r="B4531" t="s">
        <v>90285</v>
      </c>
      <c r="C4531" t="s">
        <v>90286</v>
      </c>
      <c r="D4531" t="s">
        <v>90287</v>
      </c>
      <c r="E4531" t="s">
        <v>90288</v>
      </c>
      <c r="F4531" t="s">
        <v>90289</v>
      </c>
      <c r="G4531" t="s">
        <v>90290</v>
      </c>
      <c r="H4531" t="s">
        <v>90291</v>
      </c>
      <c r="I4531" t="s">
        <v>90292</v>
      </c>
      <c r="J4531" t="s">
        <v>90293</v>
      </c>
      <c r="K4531" t="s">
        <v>90294</v>
      </c>
      <c r="L4531" t="s">
        <v>90295</v>
      </c>
      <c r="M4531" t="s">
        <v>90296</v>
      </c>
      <c r="N4531" t="s">
        <v>90297</v>
      </c>
      <c r="O4531" t="s">
        <v>90298</v>
      </c>
      <c r="P4531" t="s">
        <v>90299</v>
      </c>
      <c r="Q4531" t="s">
        <v>90300</v>
      </c>
      <c r="R4531" t="s">
        <v>90301</v>
      </c>
      <c r="S4531" t="s">
        <v>90302</v>
      </c>
      <c r="T4531" t="s">
        <v>90303</v>
      </c>
      <c r="U4531" t="s">
        <v>90304</v>
      </c>
      <c r="V4531" t="s">
        <v>90305</v>
      </c>
      <c r="W4531" t="s">
        <v>90306</v>
      </c>
      <c r="X4531" t="s">
        <v>90307</v>
      </c>
      <c r="Y4531" t="s">
        <v>90308</v>
      </c>
    </row>
    <row r="4532" spans="1:25" x14ac:dyDescent="0.3">
      <c r="A4532">
        <v>226550</v>
      </c>
      <c r="B4532" t="s">
        <v>90309</v>
      </c>
      <c r="C4532" t="s">
        <v>90310</v>
      </c>
      <c r="D4532" t="s">
        <v>90311</v>
      </c>
      <c r="E4532" t="s">
        <v>90312</v>
      </c>
      <c r="F4532" t="s">
        <v>90313</v>
      </c>
      <c r="G4532" t="s">
        <v>90314</v>
      </c>
      <c r="H4532" t="s">
        <v>90315</v>
      </c>
      <c r="I4532" t="s">
        <v>90316</v>
      </c>
      <c r="J4532" t="s">
        <v>90317</v>
      </c>
      <c r="K4532" t="s">
        <v>90318</v>
      </c>
      <c r="L4532" t="s">
        <v>90319</v>
      </c>
      <c r="M4532" t="s">
        <v>90320</v>
      </c>
      <c r="N4532" t="s">
        <v>90321</v>
      </c>
      <c r="O4532" t="s">
        <v>90322</v>
      </c>
      <c r="P4532" t="s">
        <v>90323</v>
      </c>
      <c r="Q4532" t="s">
        <v>90324</v>
      </c>
      <c r="R4532" t="s">
        <v>90325</v>
      </c>
      <c r="S4532" t="s">
        <v>90326</v>
      </c>
      <c r="T4532" t="s">
        <v>90327</v>
      </c>
      <c r="U4532" t="s">
        <v>90328</v>
      </c>
      <c r="V4532" t="s">
        <v>90329</v>
      </c>
      <c r="W4532" t="s">
        <v>90330</v>
      </c>
      <c r="X4532" t="s">
        <v>90331</v>
      </c>
      <c r="Y4532" t="s">
        <v>90332</v>
      </c>
    </row>
    <row r="4533" spans="1:25" x14ac:dyDescent="0.3">
      <c r="A4533">
        <v>226600</v>
      </c>
      <c r="B4533" t="s">
        <v>90333</v>
      </c>
      <c r="C4533" t="s">
        <v>90334</v>
      </c>
      <c r="D4533" t="s">
        <v>90335</v>
      </c>
      <c r="E4533" t="s">
        <v>90336</v>
      </c>
      <c r="F4533" t="s">
        <v>90337</v>
      </c>
      <c r="G4533" t="s">
        <v>90338</v>
      </c>
      <c r="H4533" t="s">
        <v>90339</v>
      </c>
      <c r="I4533" t="s">
        <v>90340</v>
      </c>
      <c r="J4533" t="s">
        <v>90341</v>
      </c>
      <c r="K4533" t="s">
        <v>90342</v>
      </c>
      <c r="L4533" t="s">
        <v>90343</v>
      </c>
      <c r="M4533" t="s">
        <v>90344</v>
      </c>
      <c r="N4533" t="s">
        <v>90345</v>
      </c>
      <c r="O4533" t="s">
        <v>90346</v>
      </c>
      <c r="P4533" t="s">
        <v>90347</v>
      </c>
      <c r="Q4533" t="s">
        <v>90348</v>
      </c>
      <c r="R4533" t="s">
        <v>90349</v>
      </c>
      <c r="S4533" t="s">
        <v>90350</v>
      </c>
      <c r="T4533" t="s">
        <v>90351</v>
      </c>
      <c r="U4533" t="s">
        <v>90352</v>
      </c>
      <c r="V4533" t="s">
        <v>90353</v>
      </c>
      <c r="W4533" t="s">
        <v>90354</v>
      </c>
      <c r="X4533" t="s">
        <v>90355</v>
      </c>
      <c r="Y4533" t="s">
        <v>90356</v>
      </c>
    </row>
    <row r="4534" spans="1:25" x14ac:dyDescent="0.3">
      <c r="A4534">
        <v>226650</v>
      </c>
      <c r="B4534" t="s">
        <v>90357</v>
      </c>
      <c r="C4534" t="s">
        <v>90358</v>
      </c>
      <c r="D4534" t="s">
        <v>90359</v>
      </c>
      <c r="E4534" t="s">
        <v>90360</v>
      </c>
      <c r="F4534" t="s">
        <v>90361</v>
      </c>
      <c r="G4534" t="s">
        <v>90362</v>
      </c>
      <c r="H4534" t="s">
        <v>90363</v>
      </c>
      <c r="I4534" t="s">
        <v>90364</v>
      </c>
      <c r="J4534" t="s">
        <v>90365</v>
      </c>
      <c r="K4534" t="s">
        <v>90366</v>
      </c>
      <c r="L4534" t="s">
        <v>90367</v>
      </c>
      <c r="M4534" t="s">
        <v>90368</v>
      </c>
      <c r="N4534" t="s">
        <v>90369</v>
      </c>
      <c r="O4534" t="s">
        <v>90370</v>
      </c>
      <c r="P4534" t="s">
        <v>90371</v>
      </c>
      <c r="Q4534" t="s">
        <v>90372</v>
      </c>
      <c r="R4534" t="s">
        <v>90373</v>
      </c>
      <c r="S4534" t="s">
        <v>90374</v>
      </c>
      <c r="T4534" t="s">
        <v>90375</v>
      </c>
      <c r="U4534" t="s">
        <v>90376</v>
      </c>
      <c r="V4534" t="s">
        <v>90377</v>
      </c>
      <c r="W4534" t="s">
        <v>90378</v>
      </c>
      <c r="X4534" t="s">
        <v>90379</v>
      </c>
      <c r="Y4534" t="s">
        <v>90380</v>
      </c>
    </row>
    <row r="4535" spans="1:25" x14ac:dyDescent="0.3">
      <c r="A4535">
        <v>226700</v>
      </c>
      <c r="B4535" t="s">
        <v>90381</v>
      </c>
      <c r="C4535" t="s">
        <v>90382</v>
      </c>
      <c r="D4535" t="s">
        <v>90383</v>
      </c>
      <c r="E4535" t="s">
        <v>90384</v>
      </c>
      <c r="F4535" t="s">
        <v>90385</v>
      </c>
      <c r="G4535" t="s">
        <v>90386</v>
      </c>
      <c r="H4535" t="s">
        <v>90387</v>
      </c>
      <c r="I4535" t="s">
        <v>90388</v>
      </c>
      <c r="J4535" t="s">
        <v>90389</v>
      </c>
      <c r="K4535" t="s">
        <v>90390</v>
      </c>
      <c r="L4535" t="s">
        <v>90391</v>
      </c>
      <c r="M4535" t="s">
        <v>90392</v>
      </c>
      <c r="N4535" t="s">
        <v>90393</v>
      </c>
      <c r="O4535" t="s">
        <v>90394</v>
      </c>
      <c r="P4535" t="s">
        <v>90395</v>
      </c>
      <c r="Q4535" t="s">
        <v>90396</v>
      </c>
      <c r="R4535" t="s">
        <v>90397</v>
      </c>
      <c r="S4535" t="s">
        <v>90398</v>
      </c>
      <c r="T4535" t="s">
        <v>90399</v>
      </c>
      <c r="U4535" t="s">
        <v>90400</v>
      </c>
      <c r="V4535" t="s">
        <v>90401</v>
      </c>
      <c r="W4535" t="s">
        <v>90402</v>
      </c>
      <c r="X4535" t="s">
        <v>90403</v>
      </c>
      <c r="Y4535" t="s">
        <v>90404</v>
      </c>
    </row>
    <row r="4536" spans="1:25" x14ac:dyDescent="0.3">
      <c r="A4536">
        <v>226750</v>
      </c>
      <c r="B4536" t="s">
        <v>90405</v>
      </c>
      <c r="C4536" t="s">
        <v>90406</v>
      </c>
      <c r="D4536" t="s">
        <v>90407</v>
      </c>
      <c r="E4536" t="s">
        <v>90408</v>
      </c>
      <c r="F4536" t="s">
        <v>90409</v>
      </c>
      <c r="G4536" t="s">
        <v>90410</v>
      </c>
      <c r="H4536" t="s">
        <v>90411</v>
      </c>
      <c r="I4536" t="s">
        <v>90412</v>
      </c>
      <c r="J4536" t="s">
        <v>90413</v>
      </c>
      <c r="K4536" t="s">
        <v>90414</v>
      </c>
      <c r="L4536" t="s">
        <v>90415</v>
      </c>
      <c r="M4536" t="s">
        <v>90416</v>
      </c>
      <c r="N4536" t="s">
        <v>90417</v>
      </c>
      <c r="O4536" t="s">
        <v>90418</v>
      </c>
      <c r="P4536" t="s">
        <v>90419</v>
      </c>
      <c r="Q4536" t="s">
        <v>90420</v>
      </c>
      <c r="R4536" t="s">
        <v>90421</v>
      </c>
      <c r="S4536" t="s">
        <v>90422</v>
      </c>
      <c r="T4536" t="s">
        <v>90423</v>
      </c>
      <c r="U4536" t="s">
        <v>90424</v>
      </c>
      <c r="V4536" t="s">
        <v>90425</v>
      </c>
      <c r="W4536" t="s">
        <v>90426</v>
      </c>
      <c r="X4536" t="s">
        <v>90427</v>
      </c>
      <c r="Y4536" t="s">
        <v>90428</v>
      </c>
    </row>
    <row r="4537" spans="1:25" x14ac:dyDescent="0.3">
      <c r="A4537">
        <v>226800</v>
      </c>
      <c r="B4537" t="s">
        <v>90429</v>
      </c>
      <c r="C4537" t="s">
        <v>90430</v>
      </c>
      <c r="D4537" t="s">
        <v>90431</v>
      </c>
      <c r="E4537" t="s">
        <v>90432</v>
      </c>
      <c r="F4537" t="s">
        <v>90433</v>
      </c>
      <c r="G4537" t="s">
        <v>90434</v>
      </c>
      <c r="H4537" t="s">
        <v>90435</v>
      </c>
      <c r="I4537" t="s">
        <v>90436</v>
      </c>
      <c r="J4537" t="s">
        <v>90437</v>
      </c>
      <c r="K4537" t="s">
        <v>90438</v>
      </c>
      <c r="L4537" t="s">
        <v>90439</v>
      </c>
      <c r="M4537" t="s">
        <v>90440</v>
      </c>
      <c r="N4537" t="s">
        <v>90441</v>
      </c>
      <c r="O4537" t="s">
        <v>90442</v>
      </c>
      <c r="P4537" t="s">
        <v>90443</v>
      </c>
      <c r="Q4537" t="s">
        <v>90444</v>
      </c>
      <c r="R4537" t="s">
        <v>90445</v>
      </c>
      <c r="S4537" t="s">
        <v>90446</v>
      </c>
      <c r="T4537" t="s">
        <v>90447</v>
      </c>
      <c r="U4537" t="s">
        <v>90448</v>
      </c>
      <c r="V4537" t="s">
        <v>90449</v>
      </c>
      <c r="W4537" t="s">
        <v>90450</v>
      </c>
      <c r="X4537" t="s">
        <v>90451</v>
      </c>
      <c r="Y4537" t="s">
        <v>90452</v>
      </c>
    </row>
    <row r="4538" spans="1:25" x14ac:dyDescent="0.3">
      <c r="A4538">
        <v>226850</v>
      </c>
      <c r="B4538" t="s">
        <v>90453</v>
      </c>
      <c r="C4538" t="s">
        <v>90454</v>
      </c>
      <c r="D4538" t="s">
        <v>90455</v>
      </c>
      <c r="E4538" t="s">
        <v>90456</v>
      </c>
      <c r="F4538" t="s">
        <v>90457</v>
      </c>
      <c r="G4538" t="s">
        <v>90458</v>
      </c>
      <c r="H4538" t="s">
        <v>90459</v>
      </c>
      <c r="I4538" t="s">
        <v>90460</v>
      </c>
      <c r="J4538" t="s">
        <v>90461</v>
      </c>
      <c r="K4538" t="s">
        <v>90462</v>
      </c>
      <c r="L4538" t="s">
        <v>90463</v>
      </c>
      <c r="M4538" t="s">
        <v>90464</v>
      </c>
      <c r="N4538" t="s">
        <v>90465</v>
      </c>
      <c r="O4538" t="s">
        <v>90466</v>
      </c>
      <c r="P4538" t="s">
        <v>90467</v>
      </c>
      <c r="Q4538" t="s">
        <v>90468</v>
      </c>
      <c r="R4538" t="s">
        <v>90469</v>
      </c>
      <c r="S4538" t="s">
        <v>90470</v>
      </c>
      <c r="T4538" t="s">
        <v>90471</v>
      </c>
      <c r="U4538" t="s">
        <v>90472</v>
      </c>
      <c r="V4538" t="s">
        <v>90473</v>
      </c>
      <c r="W4538" t="s">
        <v>90474</v>
      </c>
      <c r="X4538" t="s">
        <v>90475</v>
      </c>
      <c r="Y4538" t="s">
        <v>90476</v>
      </c>
    </row>
    <row r="4539" spans="1:25" x14ac:dyDescent="0.3">
      <c r="A4539">
        <v>226900</v>
      </c>
      <c r="B4539" t="s">
        <v>90477</v>
      </c>
      <c r="C4539" t="s">
        <v>90478</v>
      </c>
      <c r="D4539" t="s">
        <v>90479</v>
      </c>
      <c r="E4539" t="s">
        <v>90480</v>
      </c>
      <c r="F4539" t="s">
        <v>90481</v>
      </c>
      <c r="G4539" t="s">
        <v>90482</v>
      </c>
      <c r="H4539" t="s">
        <v>90483</v>
      </c>
      <c r="I4539" t="s">
        <v>90484</v>
      </c>
      <c r="J4539" t="s">
        <v>90485</v>
      </c>
      <c r="K4539" t="s">
        <v>90486</v>
      </c>
      <c r="L4539" t="s">
        <v>90487</v>
      </c>
      <c r="M4539" t="s">
        <v>90488</v>
      </c>
      <c r="N4539" t="s">
        <v>90489</v>
      </c>
      <c r="O4539" t="s">
        <v>90490</v>
      </c>
      <c r="P4539" t="s">
        <v>90491</v>
      </c>
      <c r="Q4539" t="s">
        <v>90492</v>
      </c>
      <c r="R4539" t="s">
        <v>90493</v>
      </c>
      <c r="S4539" t="s">
        <v>90494</v>
      </c>
      <c r="T4539" t="s">
        <v>90495</v>
      </c>
      <c r="U4539" t="s">
        <v>90496</v>
      </c>
      <c r="V4539" t="s">
        <v>90497</v>
      </c>
      <c r="W4539" t="s">
        <v>90498</v>
      </c>
      <c r="X4539" t="s">
        <v>90499</v>
      </c>
      <c r="Y4539" t="s">
        <v>90500</v>
      </c>
    </row>
    <row r="4540" spans="1:25" x14ac:dyDescent="0.3">
      <c r="A4540">
        <v>226950</v>
      </c>
      <c r="B4540" t="s">
        <v>90501</v>
      </c>
      <c r="C4540" t="s">
        <v>90502</v>
      </c>
      <c r="D4540" t="s">
        <v>90503</v>
      </c>
      <c r="E4540" t="s">
        <v>90504</v>
      </c>
      <c r="F4540" t="s">
        <v>90505</v>
      </c>
      <c r="G4540" t="s">
        <v>90506</v>
      </c>
      <c r="H4540" t="s">
        <v>90507</v>
      </c>
      <c r="I4540" t="s">
        <v>90508</v>
      </c>
      <c r="J4540" t="s">
        <v>90509</v>
      </c>
      <c r="K4540" t="s">
        <v>90510</v>
      </c>
      <c r="L4540" t="s">
        <v>90511</v>
      </c>
      <c r="M4540" t="s">
        <v>90512</v>
      </c>
      <c r="N4540" t="s">
        <v>90513</v>
      </c>
      <c r="O4540" t="s">
        <v>90514</v>
      </c>
      <c r="P4540" t="s">
        <v>90515</v>
      </c>
      <c r="Q4540" t="s">
        <v>90516</v>
      </c>
      <c r="R4540" t="s">
        <v>90517</v>
      </c>
      <c r="S4540" t="s">
        <v>90518</v>
      </c>
      <c r="T4540" t="s">
        <v>90519</v>
      </c>
      <c r="U4540" t="s">
        <v>90520</v>
      </c>
      <c r="V4540" t="s">
        <v>90521</v>
      </c>
      <c r="W4540" t="s">
        <v>90522</v>
      </c>
      <c r="X4540" t="s">
        <v>90523</v>
      </c>
      <c r="Y4540" t="s">
        <v>90524</v>
      </c>
    </row>
    <row r="4541" spans="1:25" x14ac:dyDescent="0.3">
      <c r="A4541">
        <v>227000</v>
      </c>
      <c r="B4541" t="s">
        <v>90525</v>
      </c>
      <c r="C4541" t="s">
        <v>90526</v>
      </c>
      <c r="D4541" t="s">
        <v>90527</v>
      </c>
      <c r="E4541" t="s">
        <v>90528</v>
      </c>
      <c r="F4541" t="s">
        <v>90529</v>
      </c>
      <c r="G4541" t="s">
        <v>90530</v>
      </c>
      <c r="H4541" t="s">
        <v>90531</v>
      </c>
      <c r="I4541" t="s">
        <v>90532</v>
      </c>
      <c r="J4541" t="s">
        <v>90533</v>
      </c>
      <c r="K4541" t="s">
        <v>90534</v>
      </c>
      <c r="L4541" t="s">
        <v>90535</v>
      </c>
      <c r="M4541" t="s">
        <v>90536</v>
      </c>
      <c r="N4541" t="s">
        <v>90537</v>
      </c>
      <c r="O4541" t="s">
        <v>90538</v>
      </c>
      <c r="P4541" t="s">
        <v>90539</v>
      </c>
      <c r="Q4541" t="s">
        <v>90540</v>
      </c>
      <c r="R4541" t="s">
        <v>90541</v>
      </c>
      <c r="S4541" t="s">
        <v>90542</v>
      </c>
      <c r="T4541" t="s">
        <v>90543</v>
      </c>
      <c r="U4541" t="s">
        <v>90544</v>
      </c>
      <c r="V4541" t="s">
        <v>90545</v>
      </c>
      <c r="W4541" t="s">
        <v>90546</v>
      </c>
      <c r="X4541" t="s">
        <v>90547</v>
      </c>
      <c r="Y4541" t="s">
        <v>90548</v>
      </c>
    </row>
    <row r="4542" spans="1:25" x14ac:dyDescent="0.3">
      <c r="A4542">
        <v>227050</v>
      </c>
      <c r="B4542" t="s">
        <v>90549</v>
      </c>
      <c r="C4542" t="s">
        <v>90550</v>
      </c>
      <c r="D4542" t="s">
        <v>90551</v>
      </c>
      <c r="E4542" t="s">
        <v>90552</v>
      </c>
      <c r="F4542" t="s">
        <v>90553</v>
      </c>
      <c r="G4542" t="s">
        <v>90554</v>
      </c>
      <c r="H4542" t="s">
        <v>90555</v>
      </c>
      <c r="I4542" t="s">
        <v>90556</v>
      </c>
      <c r="J4542" t="s">
        <v>90557</v>
      </c>
      <c r="K4542" t="s">
        <v>90558</v>
      </c>
      <c r="L4542" t="s">
        <v>90559</v>
      </c>
      <c r="M4542" t="s">
        <v>90560</v>
      </c>
      <c r="N4542" t="s">
        <v>90561</v>
      </c>
      <c r="O4542" t="s">
        <v>90562</v>
      </c>
      <c r="P4542" t="s">
        <v>90563</v>
      </c>
      <c r="Q4542" t="s">
        <v>90564</v>
      </c>
      <c r="R4542" t="s">
        <v>90565</v>
      </c>
      <c r="S4542" t="s">
        <v>90566</v>
      </c>
      <c r="T4542" t="s">
        <v>90567</v>
      </c>
      <c r="U4542" t="s">
        <v>90568</v>
      </c>
      <c r="V4542" t="s">
        <v>90569</v>
      </c>
      <c r="W4542" t="s">
        <v>90570</v>
      </c>
      <c r="X4542" t="s">
        <v>90571</v>
      </c>
      <c r="Y4542" t="s">
        <v>90572</v>
      </c>
    </row>
    <row r="4543" spans="1:25" x14ac:dyDescent="0.3">
      <c r="A4543">
        <v>227100</v>
      </c>
      <c r="B4543" t="s">
        <v>90573</v>
      </c>
      <c r="C4543" t="s">
        <v>90574</v>
      </c>
      <c r="D4543" t="s">
        <v>90575</v>
      </c>
      <c r="E4543" t="s">
        <v>90576</v>
      </c>
      <c r="F4543" t="s">
        <v>90577</v>
      </c>
      <c r="G4543" t="s">
        <v>90578</v>
      </c>
      <c r="H4543" t="s">
        <v>90579</v>
      </c>
      <c r="I4543" t="s">
        <v>90580</v>
      </c>
      <c r="J4543" t="s">
        <v>90581</v>
      </c>
      <c r="K4543" t="s">
        <v>90582</v>
      </c>
      <c r="L4543" t="s">
        <v>90583</v>
      </c>
      <c r="M4543" t="s">
        <v>90584</v>
      </c>
      <c r="N4543" t="s">
        <v>90585</v>
      </c>
      <c r="O4543" t="s">
        <v>90586</v>
      </c>
      <c r="P4543" t="s">
        <v>90587</v>
      </c>
      <c r="Q4543" t="s">
        <v>90588</v>
      </c>
      <c r="R4543" t="s">
        <v>90589</v>
      </c>
      <c r="S4543" t="s">
        <v>90590</v>
      </c>
      <c r="T4543" t="s">
        <v>90591</v>
      </c>
      <c r="U4543" t="s">
        <v>90592</v>
      </c>
      <c r="V4543" t="s">
        <v>90593</v>
      </c>
      <c r="W4543" t="s">
        <v>90594</v>
      </c>
      <c r="X4543" t="s">
        <v>90595</v>
      </c>
      <c r="Y4543" t="s">
        <v>90596</v>
      </c>
    </row>
    <row r="4544" spans="1:25" x14ac:dyDescent="0.3">
      <c r="A4544">
        <v>227150</v>
      </c>
      <c r="B4544" t="s">
        <v>90597</v>
      </c>
      <c r="C4544" t="s">
        <v>90598</v>
      </c>
      <c r="D4544" t="s">
        <v>90599</v>
      </c>
      <c r="E4544" t="s">
        <v>90600</v>
      </c>
      <c r="F4544" t="s">
        <v>90601</v>
      </c>
      <c r="G4544" t="s">
        <v>90602</v>
      </c>
      <c r="H4544" t="s">
        <v>90603</v>
      </c>
      <c r="I4544" t="s">
        <v>90604</v>
      </c>
      <c r="J4544" t="s">
        <v>90605</v>
      </c>
      <c r="K4544" t="s">
        <v>90606</v>
      </c>
      <c r="L4544" t="s">
        <v>90607</v>
      </c>
      <c r="M4544" t="s">
        <v>90608</v>
      </c>
      <c r="N4544" t="s">
        <v>90609</v>
      </c>
      <c r="O4544" t="s">
        <v>90610</v>
      </c>
      <c r="P4544" t="s">
        <v>90611</v>
      </c>
      <c r="Q4544" t="s">
        <v>90612</v>
      </c>
      <c r="R4544" t="s">
        <v>90613</v>
      </c>
      <c r="S4544" t="s">
        <v>90614</v>
      </c>
      <c r="T4544" t="s">
        <v>90615</v>
      </c>
      <c r="U4544" t="s">
        <v>90616</v>
      </c>
      <c r="V4544" t="s">
        <v>90617</v>
      </c>
      <c r="W4544" t="s">
        <v>90618</v>
      </c>
      <c r="X4544" t="s">
        <v>90619</v>
      </c>
      <c r="Y4544" t="s">
        <v>90620</v>
      </c>
    </row>
    <row r="4545" spans="1:25" x14ac:dyDescent="0.3">
      <c r="A4545">
        <v>227200</v>
      </c>
      <c r="B4545" t="s">
        <v>90621</v>
      </c>
      <c r="C4545" t="s">
        <v>90622</v>
      </c>
      <c r="D4545" t="s">
        <v>90623</v>
      </c>
      <c r="E4545" t="s">
        <v>90624</v>
      </c>
      <c r="F4545" t="s">
        <v>90625</v>
      </c>
      <c r="G4545" t="s">
        <v>90626</v>
      </c>
      <c r="H4545" t="s">
        <v>90627</v>
      </c>
      <c r="I4545" t="s">
        <v>90628</v>
      </c>
      <c r="J4545" t="s">
        <v>90629</v>
      </c>
      <c r="K4545" t="s">
        <v>90630</v>
      </c>
      <c r="L4545" t="s">
        <v>90631</v>
      </c>
      <c r="M4545" t="s">
        <v>90632</v>
      </c>
      <c r="N4545" t="s">
        <v>90633</v>
      </c>
      <c r="O4545" t="s">
        <v>90634</v>
      </c>
      <c r="P4545" t="s">
        <v>90635</v>
      </c>
      <c r="Q4545" t="s">
        <v>90636</v>
      </c>
      <c r="R4545" t="s">
        <v>90637</v>
      </c>
      <c r="S4545" t="s">
        <v>90638</v>
      </c>
      <c r="T4545" t="s">
        <v>90639</v>
      </c>
      <c r="U4545" t="s">
        <v>90640</v>
      </c>
      <c r="V4545" t="s">
        <v>90641</v>
      </c>
      <c r="W4545" t="s">
        <v>90642</v>
      </c>
      <c r="X4545" t="s">
        <v>90643</v>
      </c>
      <c r="Y4545" t="s">
        <v>90644</v>
      </c>
    </row>
    <row r="4546" spans="1:25" x14ac:dyDescent="0.3">
      <c r="A4546">
        <v>227250</v>
      </c>
      <c r="B4546" t="s">
        <v>90645</v>
      </c>
      <c r="C4546" t="s">
        <v>90646</v>
      </c>
      <c r="D4546" t="s">
        <v>90647</v>
      </c>
      <c r="E4546" t="s">
        <v>90648</v>
      </c>
      <c r="F4546" t="s">
        <v>90649</v>
      </c>
      <c r="G4546" t="s">
        <v>90650</v>
      </c>
      <c r="H4546" t="s">
        <v>90651</v>
      </c>
      <c r="I4546" t="s">
        <v>90652</v>
      </c>
      <c r="J4546" t="s">
        <v>90653</v>
      </c>
      <c r="K4546" t="s">
        <v>90654</v>
      </c>
      <c r="L4546" t="s">
        <v>90655</v>
      </c>
      <c r="M4546" t="s">
        <v>90656</v>
      </c>
      <c r="N4546" t="s">
        <v>90657</v>
      </c>
      <c r="O4546" t="s">
        <v>90658</v>
      </c>
      <c r="P4546" t="s">
        <v>90659</v>
      </c>
      <c r="Q4546" t="s">
        <v>90660</v>
      </c>
      <c r="R4546" t="s">
        <v>90661</v>
      </c>
      <c r="S4546" t="s">
        <v>90662</v>
      </c>
      <c r="T4546" t="s">
        <v>90663</v>
      </c>
      <c r="U4546" t="s">
        <v>90664</v>
      </c>
      <c r="V4546" t="s">
        <v>90665</v>
      </c>
      <c r="W4546" t="s">
        <v>90666</v>
      </c>
      <c r="X4546" t="s">
        <v>90667</v>
      </c>
      <c r="Y4546" t="s">
        <v>90668</v>
      </c>
    </row>
    <row r="4547" spans="1:25" x14ac:dyDescent="0.3">
      <c r="A4547">
        <v>227300</v>
      </c>
      <c r="B4547" t="s">
        <v>90669</v>
      </c>
      <c r="C4547" t="s">
        <v>90670</v>
      </c>
      <c r="D4547" t="s">
        <v>90671</v>
      </c>
      <c r="E4547" t="s">
        <v>90672</v>
      </c>
      <c r="F4547" t="s">
        <v>90673</v>
      </c>
      <c r="G4547" t="s">
        <v>90674</v>
      </c>
      <c r="H4547" t="s">
        <v>90675</v>
      </c>
      <c r="I4547" t="s">
        <v>90676</v>
      </c>
      <c r="J4547" t="s">
        <v>90677</v>
      </c>
      <c r="K4547" t="s">
        <v>90678</v>
      </c>
      <c r="L4547" t="s">
        <v>90679</v>
      </c>
      <c r="M4547" t="s">
        <v>90680</v>
      </c>
      <c r="N4547" t="s">
        <v>90681</v>
      </c>
      <c r="O4547" t="s">
        <v>90682</v>
      </c>
      <c r="P4547" t="s">
        <v>90683</v>
      </c>
      <c r="Q4547" t="s">
        <v>90684</v>
      </c>
      <c r="R4547" t="s">
        <v>90685</v>
      </c>
      <c r="S4547" t="s">
        <v>90686</v>
      </c>
      <c r="T4547" t="s">
        <v>90687</v>
      </c>
      <c r="U4547" t="s">
        <v>90688</v>
      </c>
      <c r="V4547" t="s">
        <v>90689</v>
      </c>
      <c r="W4547" t="s">
        <v>90690</v>
      </c>
      <c r="X4547" t="s">
        <v>90691</v>
      </c>
      <c r="Y4547" t="s">
        <v>90692</v>
      </c>
    </row>
    <row r="4548" spans="1:25" x14ac:dyDescent="0.3">
      <c r="A4548">
        <v>227350</v>
      </c>
      <c r="B4548" t="s">
        <v>90693</v>
      </c>
      <c r="C4548" t="s">
        <v>90694</v>
      </c>
      <c r="D4548" t="s">
        <v>90695</v>
      </c>
      <c r="E4548" t="s">
        <v>90696</v>
      </c>
      <c r="F4548" t="s">
        <v>90697</v>
      </c>
      <c r="G4548" t="s">
        <v>90698</v>
      </c>
      <c r="H4548" t="s">
        <v>90699</v>
      </c>
      <c r="I4548" t="s">
        <v>90700</v>
      </c>
      <c r="J4548" t="s">
        <v>90701</v>
      </c>
      <c r="K4548" t="s">
        <v>90702</v>
      </c>
      <c r="L4548" t="s">
        <v>90703</v>
      </c>
      <c r="M4548" t="s">
        <v>90704</v>
      </c>
      <c r="N4548" t="s">
        <v>90705</v>
      </c>
      <c r="O4548" t="s">
        <v>90706</v>
      </c>
      <c r="P4548" t="s">
        <v>90707</v>
      </c>
      <c r="Q4548" t="s">
        <v>90708</v>
      </c>
      <c r="R4548" t="s">
        <v>90709</v>
      </c>
      <c r="S4548" t="s">
        <v>90710</v>
      </c>
      <c r="T4548" t="s">
        <v>90711</v>
      </c>
      <c r="U4548" t="s">
        <v>90712</v>
      </c>
      <c r="V4548" t="s">
        <v>90713</v>
      </c>
      <c r="W4548" t="s">
        <v>90714</v>
      </c>
      <c r="X4548" t="s">
        <v>90715</v>
      </c>
      <c r="Y4548" t="s">
        <v>90716</v>
      </c>
    </row>
    <row r="4549" spans="1:25" x14ac:dyDescent="0.3">
      <c r="A4549">
        <v>227400</v>
      </c>
      <c r="B4549" t="s">
        <v>90717</v>
      </c>
      <c r="C4549" t="s">
        <v>90718</v>
      </c>
      <c r="D4549" t="s">
        <v>90719</v>
      </c>
      <c r="E4549" t="s">
        <v>90720</v>
      </c>
      <c r="F4549" t="s">
        <v>90721</v>
      </c>
      <c r="G4549" t="s">
        <v>90722</v>
      </c>
      <c r="H4549" t="s">
        <v>90723</v>
      </c>
      <c r="I4549" t="s">
        <v>90724</v>
      </c>
      <c r="J4549" t="s">
        <v>90725</v>
      </c>
      <c r="K4549" t="s">
        <v>90726</v>
      </c>
      <c r="L4549" t="s">
        <v>90727</v>
      </c>
      <c r="M4549" t="s">
        <v>90728</v>
      </c>
      <c r="N4549" t="s">
        <v>90729</v>
      </c>
      <c r="O4549" t="s">
        <v>90730</v>
      </c>
      <c r="P4549" t="s">
        <v>90731</v>
      </c>
      <c r="Q4549" t="s">
        <v>90732</v>
      </c>
      <c r="R4549" t="s">
        <v>90733</v>
      </c>
      <c r="S4549" t="s">
        <v>90734</v>
      </c>
      <c r="T4549" t="s">
        <v>90735</v>
      </c>
      <c r="U4549" t="s">
        <v>90736</v>
      </c>
      <c r="V4549" t="s">
        <v>90737</v>
      </c>
      <c r="W4549" t="s">
        <v>90738</v>
      </c>
      <c r="X4549" t="s">
        <v>90739</v>
      </c>
      <c r="Y4549" t="s">
        <v>90740</v>
      </c>
    </row>
    <row r="4550" spans="1:25" x14ac:dyDescent="0.3">
      <c r="A4550">
        <v>227450</v>
      </c>
      <c r="B4550" t="s">
        <v>90741</v>
      </c>
      <c r="C4550" t="s">
        <v>90742</v>
      </c>
      <c r="D4550" t="s">
        <v>90743</v>
      </c>
      <c r="E4550" t="s">
        <v>90744</v>
      </c>
      <c r="F4550" t="s">
        <v>90745</v>
      </c>
      <c r="G4550" t="s">
        <v>90746</v>
      </c>
      <c r="H4550" t="s">
        <v>90747</v>
      </c>
      <c r="I4550" t="s">
        <v>90748</v>
      </c>
      <c r="J4550" t="s">
        <v>90749</v>
      </c>
      <c r="K4550" t="s">
        <v>90750</v>
      </c>
      <c r="L4550" t="s">
        <v>90751</v>
      </c>
      <c r="M4550" t="s">
        <v>90752</v>
      </c>
      <c r="N4550" t="s">
        <v>90753</v>
      </c>
      <c r="O4550" t="s">
        <v>90754</v>
      </c>
      <c r="P4550" t="s">
        <v>90755</v>
      </c>
      <c r="Q4550" t="s">
        <v>90756</v>
      </c>
      <c r="R4550" t="s">
        <v>90757</v>
      </c>
      <c r="S4550" t="s">
        <v>90758</v>
      </c>
      <c r="T4550" t="s">
        <v>90759</v>
      </c>
      <c r="U4550" t="s">
        <v>90760</v>
      </c>
      <c r="V4550" t="s">
        <v>90761</v>
      </c>
      <c r="W4550" t="s">
        <v>90762</v>
      </c>
      <c r="X4550" t="s">
        <v>90763</v>
      </c>
      <c r="Y4550" t="s">
        <v>90764</v>
      </c>
    </row>
    <row r="4551" spans="1:25" x14ac:dyDescent="0.3">
      <c r="A4551">
        <v>227500</v>
      </c>
      <c r="B4551" t="s">
        <v>90765</v>
      </c>
      <c r="C4551" t="s">
        <v>90766</v>
      </c>
      <c r="D4551" t="s">
        <v>90767</v>
      </c>
      <c r="E4551" t="s">
        <v>90768</v>
      </c>
      <c r="F4551" t="s">
        <v>90769</v>
      </c>
      <c r="G4551" t="s">
        <v>90770</v>
      </c>
      <c r="H4551" t="s">
        <v>90771</v>
      </c>
      <c r="I4551" t="s">
        <v>90772</v>
      </c>
      <c r="J4551" t="s">
        <v>90773</v>
      </c>
      <c r="K4551" t="s">
        <v>90774</v>
      </c>
      <c r="L4551" t="s">
        <v>90775</v>
      </c>
      <c r="M4551" t="s">
        <v>90776</v>
      </c>
      <c r="N4551" t="s">
        <v>90777</v>
      </c>
      <c r="O4551" t="s">
        <v>90778</v>
      </c>
      <c r="P4551" t="s">
        <v>90779</v>
      </c>
      <c r="Q4551" t="s">
        <v>90780</v>
      </c>
      <c r="R4551" t="s">
        <v>90781</v>
      </c>
      <c r="S4551" t="s">
        <v>90782</v>
      </c>
      <c r="T4551" t="s">
        <v>90783</v>
      </c>
      <c r="U4551" t="s">
        <v>90784</v>
      </c>
      <c r="V4551" t="s">
        <v>90785</v>
      </c>
      <c r="W4551" t="s">
        <v>90786</v>
      </c>
      <c r="X4551" t="s">
        <v>90787</v>
      </c>
      <c r="Y4551" t="s">
        <v>90788</v>
      </c>
    </row>
    <row r="4552" spans="1:25" x14ac:dyDescent="0.3">
      <c r="A4552">
        <v>227550</v>
      </c>
      <c r="B4552" t="s">
        <v>90789</v>
      </c>
      <c r="C4552" t="s">
        <v>90790</v>
      </c>
      <c r="D4552" t="s">
        <v>90791</v>
      </c>
      <c r="E4552" t="s">
        <v>90792</v>
      </c>
      <c r="F4552" t="s">
        <v>90793</v>
      </c>
      <c r="G4552" t="s">
        <v>90794</v>
      </c>
      <c r="H4552" t="s">
        <v>90795</v>
      </c>
      <c r="I4552" t="s">
        <v>90796</v>
      </c>
      <c r="J4552" t="s">
        <v>90797</v>
      </c>
      <c r="K4552" t="s">
        <v>90798</v>
      </c>
      <c r="L4552" t="s">
        <v>90799</v>
      </c>
      <c r="M4552" t="s">
        <v>90800</v>
      </c>
      <c r="N4552" t="s">
        <v>90801</v>
      </c>
      <c r="O4552" t="s">
        <v>90802</v>
      </c>
      <c r="P4552" t="s">
        <v>90803</v>
      </c>
      <c r="Q4552" t="s">
        <v>90804</v>
      </c>
      <c r="R4552" t="s">
        <v>90805</v>
      </c>
      <c r="S4552" t="s">
        <v>90806</v>
      </c>
      <c r="T4552" t="s">
        <v>90807</v>
      </c>
      <c r="U4552" t="s">
        <v>90808</v>
      </c>
      <c r="V4552" t="s">
        <v>90809</v>
      </c>
      <c r="W4552" t="s">
        <v>90810</v>
      </c>
      <c r="X4552" t="s">
        <v>90811</v>
      </c>
      <c r="Y4552" t="s">
        <v>90812</v>
      </c>
    </row>
    <row r="4553" spans="1:25" x14ac:dyDescent="0.3">
      <c r="A4553">
        <v>227600</v>
      </c>
      <c r="B4553" t="s">
        <v>90813</v>
      </c>
      <c r="C4553" t="s">
        <v>90814</v>
      </c>
      <c r="D4553" t="s">
        <v>90815</v>
      </c>
      <c r="E4553" t="s">
        <v>90816</v>
      </c>
      <c r="F4553" t="s">
        <v>90817</v>
      </c>
      <c r="G4553" t="s">
        <v>90818</v>
      </c>
      <c r="H4553" t="s">
        <v>90819</v>
      </c>
      <c r="I4553" t="s">
        <v>90820</v>
      </c>
      <c r="J4553" t="s">
        <v>90821</v>
      </c>
      <c r="K4553" t="s">
        <v>90822</v>
      </c>
      <c r="L4553" t="s">
        <v>90823</v>
      </c>
      <c r="M4553" t="s">
        <v>90824</v>
      </c>
      <c r="N4553" t="s">
        <v>90825</v>
      </c>
      <c r="O4553" t="s">
        <v>90826</v>
      </c>
      <c r="P4553" t="s">
        <v>90827</v>
      </c>
      <c r="Q4553" t="s">
        <v>90828</v>
      </c>
      <c r="R4553" t="s">
        <v>90829</v>
      </c>
      <c r="S4553" t="s">
        <v>90830</v>
      </c>
      <c r="T4553" t="s">
        <v>90831</v>
      </c>
      <c r="U4553" t="s">
        <v>90832</v>
      </c>
      <c r="V4553" t="s">
        <v>90833</v>
      </c>
      <c r="W4553" t="s">
        <v>90834</v>
      </c>
      <c r="X4553" t="s">
        <v>90835</v>
      </c>
      <c r="Y4553" t="s">
        <v>90836</v>
      </c>
    </row>
    <row r="4554" spans="1:25" x14ac:dyDescent="0.3">
      <c r="A4554">
        <v>227650</v>
      </c>
      <c r="B4554" t="s">
        <v>90837</v>
      </c>
      <c r="C4554" t="s">
        <v>90838</v>
      </c>
      <c r="D4554" t="s">
        <v>90839</v>
      </c>
      <c r="E4554" t="s">
        <v>90840</v>
      </c>
      <c r="F4554" t="s">
        <v>90841</v>
      </c>
      <c r="G4554" t="s">
        <v>90842</v>
      </c>
      <c r="H4554" t="s">
        <v>90843</v>
      </c>
      <c r="I4554" t="s">
        <v>90844</v>
      </c>
      <c r="J4554" t="s">
        <v>90845</v>
      </c>
      <c r="K4554" t="s">
        <v>90846</v>
      </c>
      <c r="L4554" t="s">
        <v>90847</v>
      </c>
      <c r="M4554" t="s">
        <v>90848</v>
      </c>
      <c r="N4554" t="s">
        <v>90849</v>
      </c>
      <c r="O4554" t="s">
        <v>90850</v>
      </c>
      <c r="P4554" t="s">
        <v>90851</v>
      </c>
      <c r="Q4554" t="s">
        <v>90852</v>
      </c>
      <c r="R4554" t="s">
        <v>90853</v>
      </c>
      <c r="S4554" t="s">
        <v>90854</v>
      </c>
      <c r="T4554" t="s">
        <v>90855</v>
      </c>
      <c r="U4554" t="s">
        <v>90856</v>
      </c>
      <c r="V4554" t="s">
        <v>90857</v>
      </c>
      <c r="W4554" t="s">
        <v>90858</v>
      </c>
      <c r="X4554" t="s">
        <v>90859</v>
      </c>
      <c r="Y4554" t="s">
        <v>90860</v>
      </c>
    </row>
    <row r="4555" spans="1:25" x14ac:dyDescent="0.3">
      <c r="A4555">
        <v>227700</v>
      </c>
      <c r="B4555" t="s">
        <v>90861</v>
      </c>
      <c r="C4555" t="s">
        <v>90862</v>
      </c>
      <c r="D4555" t="s">
        <v>90863</v>
      </c>
      <c r="E4555" t="s">
        <v>90864</v>
      </c>
      <c r="F4555" t="s">
        <v>90865</v>
      </c>
      <c r="G4555" t="s">
        <v>90866</v>
      </c>
      <c r="H4555" t="s">
        <v>90867</v>
      </c>
      <c r="I4555" t="s">
        <v>90868</v>
      </c>
      <c r="J4555" t="s">
        <v>90869</v>
      </c>
      <c r="K4555" t="s">
        <v>90870</v>
      </c>
      <c r="L4555" t="s">
        <v>90871</v>
      </c>
      <c r="M4555" t="s">
        <v>90872</v>
      </c>
      <c r="N4555" t="s">
        <v>90873</v>
      </c>
      <c r="O4555" t="s">
        <v>90874</v>
      </c>
      <c r="P4555" t="s">
        <v>90875</v>
      </c>
      <c r="Q4555" t="s">
        <v>90876</v>
      </c>
      <c r="R4555" t="s">
        <v>90877</v>
      </c>
      <c r="S4555" t="s">
        <v>90878</v>
      </c>
      <c r="T4555" t="s">
        <v>90879</v>
      </c>
      <c r="U4555" t="s">
        <v>90880</v>
      </c>
      <c r="V4555" t="s">
        <v>90881</v>
      </c>
      <c r="W4555" t="s">
        <v>90882</v>
      </c>
      <c r="X4555" t="s">
        <v>90883</v>
      </c>
      <c r="Y4555" t="s">
        <v>90884</v>
      </c>
    </row>
    <row r="4556" spans="1:25" x14ac:dyDescent="0.3">
      <c r="A4556">
        <v>227750</v>
      </c>
      <c r="B4556" t="s">
        <v>90885</v>
      </c>
      <c r="C4556" t="s">
        <v>90886</v>
      </c>
      <c r="D4556" t="s">
        <v>90887</v>
      </c>
      <c r="E4556" t="s">
        <v>90888</v>
      </c>
      <c r="F4556" t="s">
        <v>90889</v>
      </c>
      <c r="G4556" t="s">
        <v>90890</v>
      </c>
      <c r="H4556" t="s">
        <v>90891</v>
      </c>
      <c r="I4556" t="s">
        <v>90892</v>
      </c>
      <c r="J4556" t="s">
        <v>90893</v>
      </c>
      <c r="K4556" t="s">
        <v>90894</v>
      </c>
      <c r="L4556" t="s">
        <v>90895</v>
      </c>
      <c r="M4556" t="s">
        <v>90896</v>
      </c>
      <c r="N4556" t="s">
        <v>90897</v>
      </c>
      <c r="O4556" t="s">
        <v>90898</v>
      </c>
      <c r="P4556" t="s">
        <v>90899</v>
      </c>
      <c r="Q4556" t="s">
        <v>90900</v>
      </c>
      <c r="R4556" t="s">
        <v>90901</v>
      </c>
      <c r="S4556" t="s">
        <v>90902</v>
      </c>
      <c r="T4556" t="s">
        <v>90903</v>
      </c>
      <c r="U4556" t="s">
        <v>90904</v>
      </c>
      <c r="V4556" t="s">
        <v>90905</v>
      </c>
      <c r="W4556" t="s">
        <v>90906</v>
      </c>
      <c r="X4556" t="s">
        <v>90907</v>
      </c>
      <c r="Y4556" t="s">
        <v>90908</v>
      </c>
    </row>
    <row r="4557" spans="1:25" x14ac:dyDescent="0.3">
      <c r="A4557">
        <v>227800</v>
      </c>
      <c r="B4557" t="s">
        <v>90909</v>
      </c>
      <c r="C4557" t="s">
        <v>90910</v>
      </c>
      <c r="D4557" t="s">
        <v>90911</v>
      </c>
      <c r="E4557" t="s">
        <v>90912</v>
      </c>
      <c r="F4557" t="s">
        <v>90913</v>
      </c>
      <c r="G4557" t="s">
        <v>90914</v>
      </c>
      <c r="H4557" t="s">
        <v>90915</v>
      </c>
      <c r="I4557" t="s">
        <v>90916</v>
      </c>
      <c r="J4557" t="s">
        <v>90917</v>
      </c>
      <c r="K4557" t="s">
        <v>90918</v>
      </c>
      <c r="L4557" t="s">
        <v>90919</v>
      </c>
      <c r="M4557" t="s">
        <v>90920</v>
      </c>
      <c r="N4557" t="s">
        <v>90921</v>
      </c>
      <c r="O4557" t="s">
        <v>90922</v>
      </c>
      <c r="P4557" t="s">
        <v>90923</v>
      </c>
      <c r="Q4557" t="s">
        <v>90924</v>
      </c>
      <c r="R4557" t="s">
        <v>90925</v>
      </c>
      <c r="S4557" t="s">
        <v>90926</v>
      </c>
      <c r="T4557" t="s">
        <v>90927</v>
      </c>
      <c r="U4557" t="s">
        <v>90928</v>
      </c>
      <c r="V4557" t="s">
        <v>90929</v>
      </c>
      <c r="W4557" t="s">
        <v>90930</v>
      </c>
      <c r="X4557" t="s">
        <v>90931</v>
      </c>
      <c r="Y4557" t="s">
        <v>90932</v>
      </c>
    </row>
    <row r="4558" spans="1:25" x14ac:dyDescent="0.3">
      <c r="A4558">
        <v>227850</v>
      </c>
      <c r="B4558" t="s">
        <v>90933</v>
      </c>
      <c r="C4558" t="s">
        <v>90934</v>
      </c>
      <c r="D4558" t="s">
        <v>90935</v>
      </c>
      <c r="E4558" t="s">
        <v>90936</v>
      </c>
      <c r="F4558" t="s">
        <v>90937</v>
      </c>
      <c r="G4558" t="s">
        <v>90938</v>
      </c>
      <c r="H4558" t="s">
        <v>90939</v>
      </c>
      <c r="I4558" t="s">
        <v>90940</v>
      </c>
      <c r="J4558" t="s">
        <v>90941</v>
      </c>
      <c r="K4558" t="s">
        <v>90942</v>
      </c>
      <c r="L4558" t="s">
        <v>90943</v>
      </c>
      <c r="M4558" t="s">
        <v>90944</v>
      </c>
      <c r="N4558" t="s">
        <v>90945</v>
      </c>
      <c r="O4558" t="s">
        <v>90946</v>
      </c>
      <c r="P4558" t="s">
        <v>90947</v>
      </c>
      <c r="Q4558" t="s">
        <v>90948</v>
      </c>
      <c r="R4558" t="s">
        <v>90949</v>
      </c>
      <c r="S4558" t="s">
        <v>90950</v>
      </c>
      <c r="T4558" t="s">
        <v>90951</v>
      </c>
      <c r="U4558" t="s">
        <v>90952</v>
      </c>
      <c r="V4558" t="s">
        <v>90953</v>
      </c>
      <c r="W4558" t="s">
        <v>90954</v>
      </c>
      <c r="X4558" t="s">
        <v>90955</v>
      </c>
      <c r="Y4558" t="s">
        <v>90956</v>
      </c>
    </row>
    <row r="4559" spans="1:25" x14ac:dyDescent="0.3">
      <c r="A4559">
        <v>227900</v>
      </c>
      <c r="B4559" t="s">
        <v>90957</v>
      </c>
      <c r="C4559" t="s">
        <v>90958</v>
      </c>
      <c r="D4559" t="s">
        <v>90959</v>
      </c>
      <c r="E4559" t="s">
        <v>90960</v>
      </c>
      <c r="F4559" t="s">
        <v>90961</v>
      </c>
      <c r="G4559" t="s">
        <v>90962</v>
      </c>
      <c r="H4559" t="s">
        <v>90963</v>
      </c>
      <c r="I4559" t="s">
        <v>90964</v>
      </c>
      <c r="J4559" t="s">
        <v>90965</v>
      </c>
      <c r="K4559" t="s">
        <v>90966</v>
      </c>
      <c r="L4559" t="s">
        <v>90967</v>
      </c>
      <c r="M4559" t="s">
        <v>90968</v>
      </c>
      <c r="N4559" t="s">
        <v>90969</v>
      </c>
      <c r="O4559" t="s">
        <v>90970</v>
      </c>
      <c r="P4559" t="s">
        <v>90971</v>
      </c>
      <c r="Q4559" t="s">
        <v>90972</v>
      </c>
      <c r="R4559" t="s">
        <v>90973</v>
      </c>
      <c r="S4559" t="s">
        <v>90974</v>
      </c>
      <c r="T4559" t="s">
        <v>90975</v>
      </c>
      <c r="U4559" t="s">
        <v>90976</v>
      </c>
      <c r="V4559" t="s">
        <v>90977</v>
      </c>
      <c r="W4559" t="s">
        <v>90978</v>
      </c>
      <c r="X4559" t="s">
        <v>90979</v>
      </c>
      <c r="Y4559" t="s">
        <v>90980</v>
      </c>
    </row>
    <row r="4560" spans="1:25" x14ac:dyDescent="0.3">
      <c r="A4560">
        <v>227950</v>
      </c>
      <c r="B4560" t="s">
        <v>90981</v>
      </c>
      <c r="C4560" t="s">
        <v>90982</v>
      </c>
      <c r="D4560" t="s">
        <v>90983</v>
      </c>
      <c r="E4560" t="s">
        <v>90984</v>
      </c>
      <c r="F4560" t="s">
        <v>90985</v>
      </c>
      <c r="G4560" t="s">
        <v>90986</v>
      </c>
      <c r="H4560" t="s">
        <v>90987</v>
      </c>
      <c r="I4560" t="s">
        <v>90988</v>
      </c>
      <c r="J4560" t="s">
        <v>90989</v>
      </c>
      <c r="K4560" t="s">
        <v>90990</v>
      </c>
      <c r="L4560" t="s">
        <v>90991</v>
      </c>
      <c r="M4560" t="s">
        <v>90992</v>
      </c>
      <c r="N4560" t="s">
        <v>90993</v>
      </c>
      <c r="O4560" t="s">
        <v>90994</v>
      </c>
      <c r="P4560" t="s">
        <v>90995</v>
      </c>
      <c r="Q4560" t="s">
        <v>90996</v>
      </c>
      <c r="R4560" t="s">
        <v>90997</v>
      </c>
      <c r="S4560" t="s">
        <v>90998</v>
      </c>
      <c r="T4560" t="s">
        <v>90999</v>
      </c>
      <c r="U4560" t="s">
        <v>91000</v>
      </c>
      <c r="V4560" t="s">
        <v>91001</v>
      </c>
      <c r="W4560" t="s">
        <v>91002</v>
      </c>
      <c r="X4560" t="s">
        <v>91003</v>
      </c>
      <c r="Y4560" t="s">
        <v>91004</v>
      </c>
    </row>
    <row r="4561" spans="1:25" x14ac:dyDescent="0.3">
      <c r="A4561">
        <v>228000</v>
      </c>
      <c r="B4561" t="s">
        <v>91005</v>
      </c>
      <c r="C4561" t="s">
        <v>91006</v>
      </c>
      <c r="D4561" t="s">
        <v>91007</v>
      </c>
      <c r="E4561" t="s">
        <v>91008</v>
      </c>
      <c r="F4561" t="s">
        <v>91009</v>
      </c>
      <c r="G4561" t="s">
        <v>91010</v>
      </c>
      <c r="H4561" t="s">
        <v>91011</v>
      </c>
      <c r="I4561" t="s">
        <v>91012</v>
      </c>
      <c r="J4561" t="s">
        <v>91013</v>
      </c>
      <c r="K4561" t="s">
        <v>91014</v>
      </c>
      <c r="L4561" t="s">
        <v>91015</v>
      </c>
      <c r="M4561" t="s">
        <v>91016</v>
      </c>
      <c r="N4561" t="s">
        <v>91017</v>
      </c>
      <c r="O4561" t="s">
        <v>91018</v>
      </c>
      <c r="P4561" t="s">
        <v>91019</v>
      </c>
      <c r="Q4561" t="s">
        <v>91020</v>
      </c>
      <c r="R4561" t="s">
        <v>91021</v>
      </c>
      <c r="S4561" t="s">
        <v>91022</v>
      </c>
      <c r="T4561" t="s">
        <v>91023</v>
      </c>
      <c r="U4561" t="s">
        <v>91024</v>
      </c>
      <c r="V4561" t="s">
        <v>91025</v>
      </c>
      <c r="W4561" t="s">
        <v>91026</v>
      </c>
      <c r="X4561" t="s">
        <v>91027</v>
      </c>
      <c r="Y4561" t="s">
        <v>91028</v>
      </c>
    </row>
    <row r="4562" spans="1:25" x14ac:dyDescent="0.3">
      <c r="A4562">
        <v>228050</v>
      </c>
      <c r="B4562" t="s">
        <v>91029</v>
      </c>
      <c r="C4562" t="s">
        <v>91030</v>
      </c>
      <c r="D4562" t="s">
        <v>91031</v>
      </c>
      <c r="E4562" t="s">
        <v>91032</v>
      </c>
      <c r="F4562" t="s">
        <v>91033</v>
      </c>
      <c r="G4562" t="s">
        <v>91034</v>
      </c>
      <c r="H4562" t="s">
        <v>91035</v>
      </c>
      <c r="I4562" t="s">
        <v>91036</v>
      </c>
      <c r="J4562" t="s">
        <v>91037</v>
      </c>
      <c r="K4562" t="s">
        <v>91038</v>
      </c>
      <c r="L4562" t="s">
        <v>91039</v>
      </c>
      <c r="M4562" t="s">
        <v>91040</v>
      </c>
      <c r="N4562" t="s">
        <v>91041</v>
      </c>
      <c r="O4562" t="s">
        <v>91042</v>
      </c>
      <c r="P4562" t="s">
        <v>91043</v>
      </c>
      <c r="Q4562" t="s">
        <v>91044</v>
      </c>
      <c r="R4562" t="s">
        <v>91045</v>
      </c>
      <c r="S4562" t="s">
        <v>91046</v>
      </c>
      <c r="T4562" t="s">
        <v>91047</v>
      </c>
      <c r="U4562" t="s">
        <v>91048</v>
      </c>
      <c r="V4562" t="s">
        <v>91049</v>
      </c>
      <c r="W4562" t="s">
        <v>91050</v>
      </c>
      <c r="X4562" t="s">
        <v>91051</v>
      </c>
      <c r="Y4562" t="s">
        <v>91052</v>
      </c>
    </row>
    <row r="4563" spans="1:25" x14ac:dyDescent="0.3">
      <c r="A4563">
        <v>228100</v>
      </c>
      <c r="B4563" t="s">
        <v>91053</v>
      </c>
      <c r="C4563" t="s">
        <v>91054</v>
      </c>
      <c r="D4563" t="s">
        <v>91055</v>
      </c>
      <c r="E4563" t="s">
        <v>91056</v>
      </c>
      <c r="F4563" t="s">
        <v>91057</v>
      </c>
      <c r="G4563" t="s">
        <v>91058</v>
      </c>
      <c r="H4563" t="s">
        <v>91059</v>
      </c>
      <c r="I4563" t="s">
        <v>91060</v>
      </c>
      <c r="J4563" t="s">
        <v>91061</v>
      </c>
      <c r="K4563" t="s">
        <v>91062</v>
      </c>
      <c r="L4563" t="s">
        <v>91063</v>
      </c>
      <c r="M4563" t="s">
        <v>91064</v>
      </c>
      <c r="N4563" t="s">
        <v>91065</v>
      </c>
      <c r="O4563" t="s">
        <v>91066</v>
      </c>
      <c r="P4563" t="s">
        <v>91067</v>
      </c>
      <c r="Q4563" t="s">
        <v>91068</v>
      </c>
      <c r="R4563" t="s">
        <v>91069</v>
      </c>
      <c r="S4563" t="s">
        <v>91070</v>
      </c>
      <c r="T4563" t="s">
        <v>91071</v>
      </c>
      <c r="U4563" t="s">
        <v>91072</v>
      </c>
      <c r="V4563" t="s">
        <v>91073</v>
      </c>
      <c r="W4563" t="s">
        <v>91074</v>
      </c>
      <c r="X4563" t="s">
        <v>91075</v>
      </c>
      <c r="Y4563" t="s">
        <v>91076</v>
      </c>
    </row>
    <row r="4564" spans="1:25" x14ac:dyDescent="0.3">
      <c r="A4564">
        <v>228150</v>
      </c>
      <c r="B4564" t="s">
        <v>91077</v>
      </c>
      <c r="C4564" t="s">
        <v>91078</v>
      </c>
      <c r="D4564" t="s">
        <v>91079</v>
      </c>
      <c r="E4564" t="s">
        <v>91080</v>
      </c>
      <c r="F4564" t="s">
        <v>91081</v>
      </c>
      <c r="G4564" t="s">
        <v>91082</v>
      </c>
      <c r="H4564" t="s">
        <v>91083</v>
      </c>
      <c r="I4564" t="s">
        <v>91084</v>
      </c>
      <c r="J4564" t="s">
        <v>91085</v>
      </c>
      <c r="K4564" t="s">
        <v>91086</v>
      </c>
      <c r="L4564" t="s">
        <v>91087</v>
      </c>
      <c r="M4564" t="s">
        <v>91088</v>
      </c>
      <c r="N4564" t="s">
        <v>91089</v>
      </c>
      <c r="O4564" t="s">
        <v>91090</v>
      </c>
      <c r="P4564" t="s">
        <v>91091</v>
      </c>
      <c r="Q4564" t="s">
        <v>91092</v>
      </c>
      <c r="R4564" t="s">
        <v>91093</v>
      </c>
      <c r="S4564" t="s">
        <v>91094</v>
      </c>
      <c r="T4564" t="s">
        <v>91095</v>
      </c>
      <c r="U4564" t="s">
        <v>91096</v>
      </c>
      <c r="V4564" t="s">
        <v>91097</v>
      </c>
      <c r="W4564" t="s">
        <v>91098</v>
      </c>
      <c r="X4564" t="s">
        <v>91099</v>
      </c>
      <c r="Y4564" t="s">
        <v>91100</v>
      </c>
    </row>
    <row r="4565" spans="1:25" x14ac:dyDescent="0.3">
      <c r="A4565">
        <v>228200</v>
      </c>
      <c r="B4565" t="s">
        <v>91101</v>
      </c>
      <c r="C4565" t="s">
        <v>91102</v>
      </c>
      <c r="D4565" t="s">
        <v>91103</v>
      </c>
      <c r="E4565" t="s">
        <v>91104</v>
      </c>
      <c r="F4565" t="s">
        <v>91105</v>
      </c>
      <c r="G4565" t="s">
        <v>91106</v>
      </c>
      <c r="H4565" t="s">
        <v>91107</v>
      </c>
      <c r="I4565" t="s">
        <v>91108</v>
      </c>
      <c r="J4565" t="s">
        <v>91109</v>
      </c>
      <c r="K4565" t="s">
        <v>91110</v>
      </c>
      <c r="L4565" t="s">
        <v>91111</v>
      </c>
      <c r="M4565" t="s">
        <v>91112</v>
      </c>
      <c r="N4565" t="s">
        <v>91113</v>
      </c>
      <c r="O4565" t="s">
        <v>91114</v>
      </c>
      <c r="P4565" t="s">
        <v>91115</v>
      </c>
      <c r="Q4565" t="s">
        <v>91116</v>
      </c>
      <c r="R4565" t="s">
        <v>91117</v>
      </c>
      <c r="S4565" t="s">
        <v>91118</v>
      </c>
      <c r="T4565" t="s">
        <v>91119</v>
      </c>
      <c r="U4565" t="s">
        <v>91120</v>
      </c>
      <c r="V4565" t="s">
        <v>91121</v>
      </c>
      <c r="W4565" t="s">
        <v>91122</v>
      </c>
      <c r="X4565" t="s">
        <v>91123</v>
      </c>
      <c r="Y4565" t="s">
        <v>91124</v>
      </c>
    </row>
    <row r="4566" spans="1:25" x14ac:dyDescent="0.3">
      <c r="A4566">
        <v>228250</v>
      </c>
      <c r="B4566" t="s">
        <v>91125</v>
      </c>
      <c r="C4566" t="s">
        <v>91126</v>
      </c>
      <c r="D4566" t="s">
        <v>91127</v>
      </c>
      <c r="E4566" t="s">
        <v>91128</v>
      </c>
      <c r="F4566" t="s">
        <v>91129</v>
      </c>
      <c r="G4566" t="s">
        <v>91130</v>
      </c>
      <c r="H4566" t="s">
        <v>91131</v>
      </c>
      <c r="I4566" t="s">
        <v>91132</v>
      </c>
      <c r="J4566" t="s">
        <v>91133</v>
      </c>
      <c r="K4566" t="s">
        <v>91134</v>
      </c>
      <c r="L4566" t="s">
        <v>91135</v>
      </c>
      <c r="M4566" t="s">
        <v>91136</v>
      </c>
      <c r="N4566" t="s">
        <v>91137</v>
      </c>
      <c r="O4566" t="s">
        <v>91138</v>
      </c>
      <c r="P4566" t="s">
        <v>91139</v>
      </c>
      <c r="Q4566" t="s">
        <v>91140</v>
      </c>
      <c r="R4566" t="s">
        <v>91141</v>
      </c>
      <c r="S4566" t="s">
        <v>91142</v>
      </c>
      <c r="T4566" t="s">
        <v>91143</v>
      </c>
      <c r="U4566" t="s">
        <v>91144</v>
      </c>
      <c r="V4566" t="s">
        <v>91145</v>
      </c>
      <c r="W4566" t="s">
        <v>91146</v>
      </c>
      <c r="X4566" t="s">
        <v>91147</v>
      </c>
      <c r="Y4566" t="s">
        <v>91148</v>
      </c>
    </row>
    <row r="4567" spans="1:25" x14ac:dyDescent="0.3">
      <c r="A4567">
        <v>228300</v>
      </c>
      <c r="B4567" t="s">
        <v>91149</v>
      </c>
      <c r="C4567" t="s">
        <v>91150</v>
      </c>
      <c r="D4567" t="s">
        <v>91151</v>
      </c>
      <c r="E4567" t="s">
        <v>91152</v>
      </c>
      <c r="F4567" t="s">
        <v>91153</v>
      </c>
      <c r="G4567" t="s">
        <v>91154</v>
      </c>
      <c r="H4567" t="s">
        <v>91155</v>
      </c>
      <c r="I4567" t="s">
        <v>91156</v>
      </c>
      <c r="J4567" t="s">
        <v>91157</v>
      </c>
      <c r="K4567" t="s">
        <v>91158</v>
      </c>
      <c r="L4567" t="s">
        <v>91159</v>
      </c>
      <c r="M4567" t="s">
        <v>91160</v>
      </c>
      <c r="N4567" t="s">
        <v>91161</v>
      </c>
      <c r="O4567" t="s">
        <v>91162</v>
      </c>
      <c r="P4567" t="s">
        <v>91163</v>
      </c>
      <c r="Q4567" t="s">
        <v>91164</v>
      </c>
      <c r="R4567" t="s">
        <v>91165</v>
      </c>
      <c r="S4567" t="s">
        <v>91166</v>
      </c>
      <c r="T4567" t="s">
        <v>91167</v>
      </c>
      <c r="U4567" t="s">
        <v>91168</v>
      </c>
      <c r="V4567" t="s">
        <v>91169</v>
      </c>
      <c r="W4567" t="s">
        <v>91170</v>
      </c>
      <c r="X4567" t="s">
        <v>91171</v>
      </c>
      <c r="Y4567" t="s">
        <v>91172</v>
      </c>
    </row>
    <row r="4568" spans="1:25" x14ac:dyDescent="0.3">
      <c r="A4568">
        <v>228350</v>
      </c>
      <c r="B4568" t="s">
        <v>91173</v>
      </c>
      <c r="C4568" t="s">
        <v>91174</v>
      </c>
      <c r="D4568" t="s">
        <v>91175</v>
      </c>
      <c r="E4568" t="s">
        <v>91176</v>
      </c>
      <c r="F4568" t="s">
        <v>91177</v>
      </c>
      <c r="G4568" t="s">
        <v>91178</v>
      </c>
      <c r="H4568" t="s">
        <v>91179</v>
      </c>
      <c r="I4568" t="s">
        <v>91180</v>
      </c>
      <c r="J4568" t="s">
        <v>91181</v>
      </c>
      <c r="K4568" t="s">
        <v>91182</v>
      </c>
      <c r="L4568" t="s">
        <v>91183</v>
      </c>
      <c r="M4568" t="s">
        <v>91184</v>
      </c>
      <c r="N4568" t="s">
        <v>91185</v>
      </c>
      <c r="O4568" t="s">
        <v>91186</v>
      </c>
      <c r="P4568" t="s">
        <v>91187</v>
      </c>
      <c r="Q4568" t="s">
        <v>91188</v>
      </c>
      <c r="R4568" t="s">
        <v>91189</v>
      </c>
      <c r="S4568" t="s">
        <v>91190</v>
      </c>
      <c r="T4568" t="s">
        <v>91191</v>
      </c>
      <c r="U4568" t="s">
        <v>91192</v>
      </c>
      <c r="V4568" t="s">
        <v>91193</v>
      </c>
      <c r="W4568" t="s">
        <v>91194</v>
      </c>
      <c r="X4568" t="s">
        <v>91195</v>
      </c>
      <c r="Y4568" t="s">
        <v>91196</v>
      </c>
    </row>
    <row r="4569" spans="1:25" x14ac:dyDescent="0.3">
      <c r="A4569">
        <v>228400</v>
      </c>
      <c r="B4569" t="s">
        <v>91197</v>
      </c>
      <c r="C4569" t="s">
        <v>91198</v>
      </c>
      <c r="D4569" t="s">
        <v>91199</v>
      </c>
      <c r="E4569" t="s">
        <v>91200</v>
      </c>
      <c r="F4569" t="s">
        <v>91201</v>
      </c>
      <c r="G4569" t="s">
        <v>91202</v>
      </c>
      <c r="H4569" t="s">
        <v>91203</v>
      </c>
      <c r="I4569" t="s">
        <v>91204</v>
      </c>
      <c r="J4569" t="s">
        <v>91205</v>
      </c>
      <c r="K4569" t="s">
        <v>91206</v>
      </c>
      <c r="L4569" t="s">
        <v>91207</v>
      </c>
      <c r="M4569" t="s">
        <v>91208</v>
      </c>
      <c r="N4569" t="s">
        <v>91209</v>
      </c>
      <c r="O4569" t="s">
        <v>91210</v>
      </c>
      <c r="P4569" t="s">
        <v>91211</v>
      </c>
      <c r="Q4569" t="s">
        <v>91212</v>
      </c>
      <c r="R4569" t="s">
        <v>91213</v>
      </c>
      <c r="S4569" t="s">
        <v>91214</v>
      </c>
      <c r="T4569" t="s">
        <v>91215</v>
      </c>
      <c r="U4569" t="s">
        <v>91216</v>
      </c>
      <c r="V4569" t="s">
        <v>91217</v>
      </c>
      <c r="W4569" t="s">
        <v>91218</v>
      </c>
      <c r="X4569" t="s">
        <v>91219</v>
      </c>
      <c r="Y4569" t="s">
        <v>91220</v>
      </c>
    </row>
    <row r="4570" spans="1:25" x14ac:dyDescent="0.3">
      <c r="A4570">
        <v>228450</v>
      </c>
      <c r="B4570" t="s">
        <v>91221</v>
      </c>
      <c r="C4570" t="s">
        <v>91222</v>
      </c>
      <c r="D4570" t="s">
        <v>91223</v>
      </c>
      <c r="E4570" t="s">
        <v>91224</v>
      </c>
      <c r="F4570" t="s">
        <v>91225</v>
      </c>
      <c r="G4570" t="s">
        <v>91226</v>
      </c>
      <c r="H4570" t="s">
        <v>91227</v>
      </c>
      <c r="I4570" t="s">
        <v>91228</v>
      </c>
      <c r="J4570" t="s">
        <v>91229</v>
      </c>
      <c r="K4570" t="s">
        <v>91230</v>
      </c>
      <c r="L4570" t="s">
        <v>91231</v>
      </c>
      <c r="M4570" t="s">
        <v>91232</v>
      </c>
      <c r="N4570" t="s">
        <v>91233</v>
      </c>
      <c r="O4570" t="s">
        <v>91234</v>
      </c>
      <c r="P4570" t="s">
        <v>91235</v>
      </c>
      <c r="Q4570" t="s">
        <v>91236</v>
      </c>
      <c r="R4570" t="s">
        <v>91237</v>
      </c>
      <c r="S4570" t="s">
        <v>91238</v>
      </c>
      <c r="T4570" t="s">
        <v>91239</v>
      </c>
      <c r="U4570" t="s">
        <v>91240</v>
      </c>
      <c r="V4570" t="s">
        <v>91241</v>
      </c>
      <c r="W4570" t="s">
        <v>91242</v>
      </c>
      <c r="X4570" t="s">
        <v>91243</v>
      </c>
      <c r="Y4570" t="s">
        <v>91244</v>
      </c>
    </row>
    <row r="4571" spans="1:25" x14ac:dyDescent="0.3">
      <c r="A4571">
        <v>228500</v>
      </c>
      <c r="B4571" t="s">
        <v>91245</v>
      </c>
      <c r="C4571" t="s">
        <v>91246</v>
      </c>
      <c r="D4571" t="s">
        <v>91247</v>
      </c>
      <c r="E4571" t="s">
        <v>91248</v>
      </c>
      <c r="F4571" t="s">
        <v>91249</v>
      </c>
      <c r="G4571" t="s">
        <v>91250</v>
      </c>
      <c r="H4571" t="s">
        <v>91251</v>
      </c>
      <c r="I4571" t="s">
        <v>91252</v>
      </c>
      <c r="J4571" t="s">
        <v>91253</v>
      </c>
      <c r="K4571" t="s">
        <v>91254</v>
      </c>
      <c r="L4571" t="s">
        <v>91255</v>
      </c>
      <c r="M4571" t="s">
        <v>91256</v>
      </c>
      <c r="N4571" t="s">
        <v>91257</v>
      </c>
      <c r="O4571" t="s">
        <v>91258</v>
      </c>
      <c r="P4571" t="s">
        <v>91259</v>
      </c>
      <c r="Q4571" t="s">
        <v>91260</v>
      </c>
      <c r="R4571" t="s">
        <v>91261</v>
      </c>
      <c r="S4571" t="s">
        <v>91262</v>
      </c>
      <c r="T4571" t="s">
        <v>91263</v>
      </c>
      <c r="U4571" t="s">
        <v>91264</v>
      </c>
      <c r="V4571" t="s">
        <v>91265</v>
      </c>
      <c r="W4571" t="s">
        <v>91266</v>
      </c>
      <c r="X4571" t="s">
        <v>91267</v>
      </c>
      <c r="Y4571" t="s">
        <v>91268</v>
      </c>
    </row>
    <row r="4572" spans="1:25" x14ac:dyDescent="0.3">
      <c r="A4572">
        <v>228550</v>
      </c>
      <c r="B4572" t="s">
        <v>91269</v>
      </c>
      <c r="C4572" t="s">
        <v>91270</v>
      </c>
      <c r="D4572" t="s">
        <v>91271</v>
      </c>
      <c r="E4572" t="s">
        <v>91272</v>
      </c>
      <c r="F4572" t="s">
        <v>91273</v>
      </c>
      <c r="G4572" t="s">
        <v>91274</v>
      </c>
      <c r="H4572" t="s">
        <v>91275</v>
      </c>
      <c r="I4572" t="s">
        <v>91276</v>
      </c>
      <c r="J4572" t="s">
        <v>91277</v>
      </c>
      <c r="K4572" t="s">
        <v>91278</v>
      </c>
      <c r="L4572" t="s">
        <v>91279</v>
      </c>
      <c r="M4572" t="s">
        <v>91280</v>
      </c>
      <c r="N4572" t="s">
        <v>91281</v>
      </c>
      <c r="O4572" t="s">
        <v>91282</v>
      </c>
      <c r="P4572" t="s">
        <v>91283</v>
      </c>
      <c r="Q4572" t="s">
        <v>91284</v>
      </c>
      <c r="R4572" t="s">
        <v>91285</v>
      </c>
      <c r="S4572" t="s">
        <v>91286</v>
      </c>
      <c r="T4572" t="s">
        <v>91287</v>
      </c>
      <c r="U4572" t="s">
        <v>91288</v>
      </c>
      <c r="V4572" t="s">
        <v>91289</v>
      </c>
      <c r="W4572" t="s">
        <v>91290</v>
      </c>
      <c r="X4572" t="s">
        <v>91291</v>
      </c>
      <c r="Y4572" t="s">
        <v>91292</v>
      </c>
    </row>
    <row r="4573" spans="1:25" x14ac:dyDescent="0.3">
      <c r="A4573">
        <v>228600</v>
      </c>
      <c r="B4573" t="s">
        <v>91293</v>
      </c>
      <c r="C4573" t="s">
        <v>91294</v>
      </c>
      <c r="D4573" t="s">
        <v>91295</v>
      </c>
      <c r="E4573" t="s">
        <v>91296</v>
      </c>
      <c r="F4573" t="s">
        <v>91297</v>
      </c>
      <c r="G4573" t="s">
        <v>91298</v>
      </c>
      <c r="H4573" t="s">
        <v>91299</v>
      </c>
      <c r="I4573" t="s">
        <v>91300</v>
      </c>
      <c r="J4573" t="s">
        <v>91301</v>
      </c>
      <c r="K4573" t="s">
        <v>91302</v>
      </c>
      <c r="L4573" t="s">
        <v>91303</v>
      </c>
      <c r="M4573" t="s">
        <v>91304</v>
      </c>
      <c r="N4573" t="s">
        <v>91305</v>
      </c>
      <c r="O4573" t="s">
        <v>91306</v>
      </c>
      <c r="P4573" t="s">
        <v>91307</v>
      </c>
      <c r="Q4573" t="s">
        <v>91308</v>
      </c>
      <c r="R4573" t="s">
        <v>91309</v>
      </c>
      <c r="S4573" t="s">
        <v>91310</v>
      </c>
      <c r="T4573" t="s">
        <v>91311</v>
      </c>
      <c r="U4573" t="s">
        <v>91312</v>
      </c>
      <c r="V4573" t="s">
        <v>91313</v>
      </c>
      <c r="W4573" t="s">
        <v>91314</v>
      </c>
      <c r="X4573" t="s">
        <v>91315</v>
      </c>
      <c r="Y4573" t="s">
        <v>91316</v>
      </c>
    </row>
    <row r="4574" spans="1:25" x14ac:dyDescent="0.3">
      <c r="A4574">
        <v>228650</v>
      </c>
      <c r="B4574" t="s">
        <v>91317</v>
      </c>
      <c r="C4574" t="s">
        <v>91318</v>
      </c>
      <c r="D4574" t="s">
        <v>91319</v>
      </c>
      <c r="E4574" t="s">
        <v>91320</v>
      </c>
      <c r="F4574" t="s">
        <v>91321</v>
      </c>
      <c r="G4574" t="s">
        <v>91322</v>
      </c>
      <c r="H4574" t="s">
        <v>91323</v>
      </c>
      <c r="I4574" t="s">
        <v>91324</v>
      </c>
      <c r="J4574" t="s">
        <v>91325</v>
      </c>
      <c r="K4574" t="s">
        <v>91326</v>
      </c>
      <c r="L4574" t="s">
        <v>91327</v>
      </c>
      <c r="M4574" t="s">
        <v>91328</v>
      </c>
      <c r="N4574" t="s">
        <v>91329</v>
      </c>
      <c r="O4574" t="s">
        <v>91330</v>
      </c>
      <c r="P4574" t="s">
        <v>91331</v>
      </c>
      <c r="Q4574" t="s">
        <v>91332</v>
      </c>
      <c r="R4574" t="s">
        <v>91333</v>
      </c>
      <c r="S4574" t="s">
        <v>91334</v>
      </c>
      <c r="T4574" t="s">
        <v>91335</v>
      </c>
      <c r="U4574" t="s">
        <v>91336</v>
      </c>
      <c r="V4574" t="s">
        <v>91337</v>
      </c>
      <c r="W4574" t="s">
        <v>91338</v>
      </c>
      <c r="X4574" t="s">
        <v>91339</v>
      </c>
      <c r="Y4574" t="s">
        <v>91340</v>
      </c>
    </row>
    <row r="4575" spans="1:25" x14ac:dyDescent="0.3">
      <c r="A4575">
        <v>228700</v>
      </c>
      <c r="B4575" t="s">
        <v>91341</v>
      </c>
      <c r="C4575" t="s">
        <v>91342</v>
      </c>
      <c r="D4575" t="s">
        <v>91343</v>
      </c>
      <c r="E4575" t="s">
        <v>91344</v>
      </c>
      <c r="F4575" t="s">
        <v>91345</v>
      </c>
      <c r="G4575" t="s">
        <v>91346</v>
      </c>
      <c r="H4575" t="s">
        <v>91347</v>
      </c>
      <c r="I4575" t="s">
        <v>91348</v>
      </c>
      <c r="J4575" t="s">
        <v>91349</v>
      </c>
      <c r="K4575" t="s">
        <v>91350</v>
      </c>
      <c r="L4575" t="s">
        <v>91351</v>
      </c>
      <c r="M4575" t="s">
        <v>91352</v>
      </c>
      <c r="N4575" t="s">
        <v>91353</v>
      </c>
      <c r="O4575" t="s">
        <v>91354</v>
      </c>
      <c r="P4575" t="s">
        <v>91355</v>
      </c>
      <c r="Q4575" t="s">
        <v>91356</v>
      </c>
      <c r="R4575" t="s">
        <v>91357</v>
      </c>
      <c r="S4575" t="s">
        <v>91358</v>
      </c>
      <c r="T4575" t="s">
        <v>91359</v>
      </c>
      <c r="U4575" t="s">
        <v>91360</v>
      </c>
      <c r="V4575" t="s">
        <v>91361</v>
      </c>
      <c r="W4575" t="s">
        <v>91362</v>
      </c>
      <c r="X4575" t="s">
        <v>91363</v>
      </c>
      <c r="Y4575" t="s">
        <v>91364</v>
      </c>
    </row>
    <row r="4576" spans="1:25" x14ac:dyDescent="0.3">
      <c r="A4576">
        <v>228750</v>
      </c>
      <c r="B4576" t="s">
        <v>91365</v>
      </c>
      <c r="C4576" t="s">
        <v>91366</v>
      </c>
      <c r="D4576" t="s">
        <v>91367</v>
      </c>
      <c r="E4576" t="s">
        <v>91368</v>
      </c>
      <c r="F4576" t="s">
        <v>91369</v>
      </c>
      <c r="G4576" t="s">
        <v>91370</v>
      </c>
      <c r="H4576" t="s">
        <v>91371</v>
      </c>
      <c r="I4576" t="s">
        <v>91372</v>
      </c>
      <c r="J4576" t="s">
        <v>91373</v>
      </c>
      <c r="K4576" t="s">
        <v>91374</v>
      </c>
      <c r="L4576" t="s">
        <v>91375</v>
      </c>
      <c r="M4576" t="s">
        <v>91376</v>
      </c>
      <c r="N4576" t="s">
        <v>91377</v>
      </c>
      <c r="O4576" t="s">
        <v>91378</v>
      </c>
      <c r="P4576" t="s">
        <v>91379</v>
      </c>
      <c r="Q4576" t="s">
        <v>91380</v>
      </c>
      <c r="R4576" t="s">
        <v>91381</v>
      </c>
      <c r="S4576" t="s">
        <v>91382</v>
      </c>
      <c r="T4576" t="s">
        <v>91383</v>
      </c>
      <c r="U4576" t="s">
        <v>91384</v>
      </c>
      <c r="V4576" t="s">
        <v>91385</v>
      </c>
      <c r="W4576" t="s">
        <v>91386</v>
      </c>
      <c r="X4576" t="s">
        <v>91387</v>
      </c>
      <c r="Y4576" t="s">
        <v>91388</v>
      </c>
    </row>
    <row r="4577" spans="1:25" x14ac:dyDescent="0.3">
      <c r="A4577">
        <v>228800</v>
      </c>
      <c r="B4577" t="s">
        <v>91389</v>
      </c>
      <c r="C4577" t="s">
        <v>91390</v>
      </c>
      <c r="D4577" t="s">
        <v>91391</v>
      </c>
      <c r="E4577" t="s">
        <v>91392</v>
      </c>
      <c r="F4577" t="s">
        <v>91393</v>
      </c>
      <c r="G4577" t="s">
        <v>91394</v>
      </c>
      <c r="H4577" t="s">
        <v>91395</v>
      </c>
      <c r="I4577" t="s">
        <v>91396</v>
      </c>
      <c r="J4577" t="s">
        <v>91397</v>
      </c>
      <c r="K4577" t="s">
        <v>91398</v>
      </c>
      <c r="L4577" t="s">
        <v>91399</v>
      </c>
      <c r="M4577" t="s">
        <v>91400</v>
      </c>
      <c r="N4577" t="s">
        <v>91401</v>
      </c>
      <c r="O4577" t="s">
        <v>91402</v>
      </c>
      <c r="P4577" t="s">
        <v>91403</v>
      </c>
      <c r="Q4577" t="s">
        <v>91404</v>
      </c>
      <c r="R4577" t="s">
        <v>91405</v>
      </c>
      <c r="S4577" t="s">
        <v>91406</v>
      </c>
      <c r="T4577" t="s">
        <v>91407</v>
      </c>
      <c r="U4577" t="s">
        <v>91408</v>
      </c>
      <c r="V4577" t="s">
        <v>91409</v>
      </c>
      <c r="W4577" t="s">
        <v>91410</v>
      </c>
      <c r="X4577" t="s">
        <v>91411</v>
      </c>
      <c r="Y4577" t="s">
        <v>91412</v>
      </c>
    </row>
    <row r="4578" spans="1:25" x14ac:dyDescent="0.3">
      <c r="A4578">
        <v>228850</v>
      </c>
      <c r="B4578" t="s">
        <v>91413</v>
      </c>
      <c r="C4578" t="s">
        <v>91414</v>
      </c>
      <c r="D4578" t="s">
        <v>91415</v>
      </c>
      <c r="E4578" t="s">
        <v>91416</v>
      </c>
      <c r="F4578" t="s">
        <v>91417</v>
      </c>
      <c r="G4578" t="s">
        <v>91418</v>
      </c>
      <c r="H4578" t="s">
        <v>91419</v>
      </c>
      <c r="I4578" t="s">
        <v>91420</v>
      </c>
      <c r="J4578" t="s">
        <v>91421</v>
      </c>
      <c r="K4578" t="s">
        <v>91422</v>
      </c>
      <c r="L4578" t="s">
        <v>91423</v>
      </c>
      <c r="M4578" t="s">
        <v>91424</v>
      </c>
      <c r="N4578" t="s">
        <v>91425</v>
      </c>
      <c r="O4578" t="s">
        <v>91426</v>
      </c>
      <c r="P4578" t="s">
        <v>91427</v>
      </c>
      <c r="Q4578" t="s">
        <v>91428</v>
      </c>
      <c r="R4578" t="s">
        <v>91429</v>
      </c>
      <c r="S4578" t="s">
        <v>91430</v>
      </c>
      <c r="T4578" t="s">
        <v>91431</v>
      </c>
      <c r="U4578" t="s">
        <v>91432</v>
      </c>
      <c r="V4578" t="s">
        <v>91433</v>
      </c>
      <c r="W4578" t="s">
        <v>91434</v>
      </c>
      <c r="X4578" t="s">
        <v>91435</v>
      </c>
      <c r="Y4578" t="s">
        <v>91436</v>
      </c>
    </row>
    <row r="4579" spans="1:25" x14ac:dyDescent="0.3">
      <c r="A4579">
        <v>228900</v>
      </c>
      <c r="B4579" t="s">
        <v>91437</v>
      </c>
      <c r="C4579" t="s">
        <v>91438</v>
      </c>
      <c r="D4579" t="s">
        <v>91439</v>
      </c>
      <c r="E4579" t="s">
        <v>91440</v>
      </c>
      <c r="F4579" t="s">
        <v>91441</v>
      </c>
      <c r="G4579" t="s">
        <v>91442</v>
      </c>
      <c r="H4579" t="s">
        <v>91443</v>
      </c>
      <c r="I4579" t="s">
        <v>91444</v>
      </c>
      <c r="J4579" t="s">
        <v>91445</v>
      </c>
      <c r="K4579" t="s">
        <v>91446</v>
      </c>
      <c r="L4579" t="s">
        <v>91447</v>
      </c>
      <c r="M4579" t="s">
        <v>91448</v>
      </c>
      <c r="N4579" t="s">
        <v>91449</v>
      </c>
      <c r="O4579" t="s">
        <v>91450</v>
      </c>
      <c r="P4579" t="s">
        <v>91451</v>
      </c>
      <c r="Q4579" t="s">
        <v>91452</v>
      </c>
      <c r="R4579" t="s">
        <v>91453</v>
      </c>
      <c r="S4579" t="s">
        <v>91454</v>
      </c>
      <c r="T4579" t="s">
        <v>91455</v>
      </c>
      <c r="U4579" t="s">
        <v>91456</v>
      </c>
      <c r="V4579" t="s">
        <v>91457</v>
      </c>
      <c r="W4579" t="s">
        <v>91458</v>
      </c>
      <c r="X4579" t="s">
        <v>91459</v>
      </c>
      <c r="Y4579" t="s">
        <v>91460</v>
      </c>
    </row>
    <row r="4580" spans="1:25" x14ac:dyDescent="0.3">
      <c r="A4580">
        <v>228950</v>
      </c>
      <c r="B4580" t="s">
        <v>91461</v>
      </c>
      <c r="C4580" t="s">
        <v>91462</v>
      </c>
      <c r="D4580" t="s">
        <v>91463</v>
      </c>
      <c r="E4580" t="s">
        <v>91464</v>
      </c>
      <c r="F4580" t="s">
        <v>91465</v>
      </c>
      <c r="G4580" t="s">
        <v>91466</v>
      </c>
      <c r="H4580" t="s">
        <v>91467</v>
      </c>
      <c r="I4580" t="s">
        <v>91468</v>
      </c>
      <c r="J4580" t="s">
        <v>91469</v>
      </c>
      <c r="K4580" t="s">
        <v>91470</v>
      </c>
      <c r="L4580" t="s">
        <v>91471</v>
      </c>
      <c r="M4580" t="s">
        <v>91472</v>
      </c>
      <c r="N4580" t="s">
        <v>91473</v>
      </c>
      <c r="O4580" t="s">
        <v>91474</v>
      </c>
      <c r="P4580" t="s">
        <v>91475</v>
      </c>
      <c r="Q4580" t="s">
        <v>91476</v>
      </c>
      <c r="R4580" t="s">
        <v>91477</v>
      </c>
      <c r="S4580" t="s">
        <v>91478</v>
      </c>
      <c r="T4580" t="s">
        <v>91479</v>
      </c>
      <c r="U4580" t="s">
        <v>91480</v>
      </c>
      <c r="V4580" t="s">
        <v>91481</v>
      </c>
      <c r="W4580" t="s">
        <v>91482</v>
      </c>
      <c r="X4580" t="s">
        <v>91483</v>
      </c>
      <c r="Y4580" t="s">
        <v>91484</v>
      </c>
    </row>
    <row r="4581" spans="1:25" x14ac:dyDescent="0.3">
      <c r="A4581">
        <v>229000</v>
      </c>
      <c r="B4581" t="s">
        <v>91485</v>
      </c>
      <c r="C4581" t="s">
        <v>91486</v>
      </c>
      <c r="D4581" t="s">
        <v>91487</v>
      </c>
      <c r="E4581" t="s">
        <v>91488</v>
      </c>
      <c r="F4581" t="s">
        <v>91489</v>
      </c>
      <c r="G4581" t="s">
        <v>91490</v>
      </c>
      <c r="H4581" t="s">
        <v>91491</v>
      </c>
      <c r="I4581" t="s">
        <v>91492</v>
      </c>
      <c r="J4581" t="s">
        <v>91493</v>
      </c>
      <c r="K4581" t="s">
        <v>91494</v>
      </c>
      <c r="L4581" t="s">
        <v>91495</v>
      </c>
      <c r="M4581" t="s">
        <v>91496</v>
      </c>
      <c r="N4581" t="s">
        <v>91497</v>
      </c>
      <c r="O4581" t="s">
        <v>91498</v>
      </c>
      <c r="P4581" t="s">
        <v>91499</v>
      </c>
      <c r="Q4581" t="s">
        <v>91500</v>
      </c>
      <c r="R4581" t="s">
        <v>91501</v>
      </c>
      <c r="S4581" t="s">
        <v>91502</v>
      </c>
      <c r="T4581" t="s">
        <v>91503</v>
      </c>
      <c r="U4581" t="s">
        <v>91504</v>
      </c>
      <c r="V4581" t="s">
        <v>91505</v>
      </c>
      <c r="W4581" t="s">
        <v>91506</v>
      </c>
      <c r="X4581" t="s">
        <v>91507</v>
      </c>
      <c r="Y4581" t="s">
        <v>91508</v>
      </c>
    </row>
    <row r="4582" spans="1:25" x14ac:dyDescent="0.3">
      <c r="A4582">
        <v>229050</v>
      </c>
      <c r="B4582" t="s">
        <v>91509</v>
      </c>
      <c r="C4582" t="s">
        <v>91510</v>
      </c>
      <c r="D4582" t="s">
        <v>91511</v>
      </c>
      <c r="E4582" t="s">
        <v>91512</v>
      </c>
      <c r="F4582" t="s">
        <v>91513</v>
      </c>
      <c r="G4582" t="s">
        <v>91514</v>
      </c>
      <c r="H4582" t="s">
        <v>91515</v>
      </c>
      <c r="I4582" t="s">
        <v>91516</v>
      </c>
      <c r="J4582" t="s">
        <v>91517</v>
      </c>
      <c r="K4582" t="s">
        <v>91518</v>
      </c>
      <c r="L4582" t="s">
        <v>91519</v>
      </c>
      <c r="M4582" t="s">
        <v>91520</v>
      </c>
      <c r="N4582" t="s">
        <v>91521</v>
      </c>
      <c r="O4582" t="s">
        <v>91522</v>
      </c>
      <c r="P4582" t="s">
        <v>91523</v>
      </c>
      <c r="Q4582" t="s">
        <v>91524</v>
      </c>
      <c r="R4582" t="s">
        <v>91525</v>
      </c>
      <c r="S4582" t="s">
        <v>91526</v>
      </c>
      <c r="T4582" t="s">
        <v>91527</v>
      </c>
      <c r="U4582" t="s">
        <v>91528</v>
      </c>
      <c r="V4582" t="s">
        <v>91529</v>
      </c>
      <c r="W4582" t="s">
        <v>91530</v>
      </c>
      <c r="X4582" t="s">
        <v>91531</v>
      </c>
      <c r="Y4582" t="s">
        <v>91532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20170724T1604-50ms-XSens-Positi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2017-09-01T07:29:03Z</dcterms:created>
  <dcterms:modified xsi:type="dcterms:W3CDTF">2017-09-01T07:29:06Z</dcterms:modified>
</cp:coreProperties>
</file>